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t185053/Documents/PERSONAL/maquiobras_back/"/>
    </mc:Choice>
  </mc:AlternateContent>
  <xr:revisionPtr revIDLastSave="0" documentId="13_ncr:1_{3BBD487A-C303-E84C-907F-1C1607A35D5C}" xr6:coauthVersionLast="47" xr6:coauthVersionMax="47" xr10:uidLastSave="{00000000-0000-0000-0000-000000000000}"/>
  <bookViews>
    <workbookView xWindow="34400" yWindow="3580" windowWidth="31900" windowHeight="17380" tabRatio="604" xr2:uid="{00000000-000D-0000-FFFF-FFFF00000000}"/>
  </bookViews>
  <sheets>
    <sheet name="Lista de Precios (Nueva)" sheetId="7" r:id="rId1"/>
    <sheet name="ALIAFOR" sheetId="9" r:id="rId2"/>
    <sheet name="REP DEWALT" sheetId="15" r:id="rId3"/>
    <sheet name="BOSCH REP" sheetId="14" r:id="rId4"/>
    <sheet name="EINHELL" sheetId="3" r:id="rId5"/>
    <sheet name="PROVEEDORES" sheetId="5" r:id="rId6"/>
    <sheet name="AUMENTOS %" sheetId="10" r:id="rId7"/>
    <sheet name="UMI" sheetId="4" r:id="rId8"/>
  </sheets>
  <definedNames>
    <definedName name="_xlnm._FilterDatabase" localSheetId="0" hidden="1">'Lista de Precios (Nueva)'!$A$1:$T$2885</definedName>
    <definedName name="_xlnm._FilterDatabase" localSheetId="5" hidden="1">PROVEEDORES!$H$3:$L$46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07" i="7" l="1"/>
  <c r="M1106" i="7"/>
  <c r="K596" i="7"/>
  <c r="G1590" i="7"/>
  <c r="G1045" i="7"/>
  <c r="K1045" i="7"/>
  <c r="L1287" i="7"/>
  <c r="K782" i="7"/>
  <c r="G2639" i="7"/>
  <c r="K1674" i="7" l="1"/>
  <c r="N161" i="7" l="1"/>
  <c r="K2444" i="7"/>
  <c r="T2444" i="7"/>
  <c r="O2444" i="7"/>
  <c r="P2444" i="7" s="1"/>
  <c r="R2444" i="7" s="1"/>
  <c r="E2444" i="7" s="1"/>
  <c r="F2444" i="7" s="1"/>
  <c r="H2444" i="7"/>
  <c r="K2094" i="7"/>
  <c r="N280" i="7" l="1"/>
  <c r="N2810" i="7"/>
  <c r="N2885" i="7"/>
  <c r="N2884" i="7"/>
  <c r="N2806" i="7"/>
  <c r="N2805" i="7"/>
  <c r="N2688" i="7"/>
  <c r="N2685" i="7"/>
  <c r="N2517" i="7"/>
  <c r="N2516" i="7"/>
  <c r="N2502" i="7"/>
  <c r="N2501" i="7"/>
  <c r="N2500" i="7"/>
  <c r="N2499" i="7"/>
  <c r="K2495" i="7"/>
  <c r="N2495" i="7"/>
  <c r="N2417" i="7"/>
  <c r="N2416" i="7"/>
  <c r="N2367" i="7"/>
  <c r="N2366" i="7"/>
  <c r="N2365" i="7"/>
  <c r="N2333" i="7"/>
  <c r="N2177" i="7"/>
  <c r="N830" i="7"/>
  <c r="N831" i="7"/>
  <c r="K1852" i="7"/>
  <c r="N1852" i="7"/>
  <c r="T1852" i="7" s="1"/>
  <c r="N1340" i="7"/>
  <c r="N995" i="7"/>
  <c r="N832" i="7"/>
  <c r="N829" i="7"/>
  <c r="N827" i="7"/>
  <c r="N826" i="7"/>
  <c r="N702" i="7"/>
  <c r="N700" i="7"/>
  <c r="N527" i="7"/>
  <c r="N526" i="7"/>
  <c r="N525" i="7"/>
  <c r="N524" i="7"/>
  <c r="N523" i="7"/>
  <c r="N520" i="7"/>
  <c r="N518" i="7"/>
  <c r="N519" i="7"/>
  <c r="N517" i="7"/>
  <c r="N516" i="7"/>
  <c r="N515" i="7"/>
  <c r="N514" i="7"/>
  <c r="N513" i="7"/>
  <c r="N512" i="7"/>
  <c r="N511" i="7"/>
  <c r="N510" i="7"/>
  <c r="N433" i="7"/>
  <c r="N2513" i="7"/>
  <c r="N2289" i="7"/>
  <c r="N1339" i="7"/>
  <c r="N1338" i="7"/>
  <c r="N434" i="7"/>
  <c r="N247" i="7"/>
  <c r="N246" i="7"/>
  <c r="K246" i="7"/>
  <c r="K247" i="7"/>
  <c r="N2661" i="7"/>
  <c r="N1350" i="7" l="1"/>
  <c r="N1887" i="7" l="1"/>
  <c r="N2238" i="7" l="1"/>
  <c r="N2237" i="7"/>
  <c r="N2236" i="7"/>
  <c r="K2235" i="7"/>
  <c r="N2235" i="7"/>
  <c r="K1223" i="7"/>
  <c r="K1221" i="7"/>
  <c r="N1223" i="7"/>
  <c r="N1222" i="7"/>
  <c r="N1221" i="7"/>
  <c r="N362" i="7"/>
  <c r="N361" i="7"/>
  <c r="N360" i="7"/>
  <c r="N368" i="7"/>
  <c r="N367" i="7"/>
  <c r="N366" i="7"/>
  <c r="N365" i="7"/>
  <c r="K278" i="7"/>
  <c r="K277" i="7"/>
  <c r="K170" i="7"/>
  <c r="K2107" i="7"/>
  <c r="K834" i="7"/>
  <c r="K2252" i="7"/>
  <c r="K2551" i="7"/>
  <c r="K2727" i="7"/>
  <c r="K678" i="7"/>
  <c r="K457" i="7"/>
  <c r="K2561" i="7"/>
  <c r="K2560" i="7"/>
  <c r="K2559" i="7"/>
  <c r="K2558" i="7"/>
  <c r="K2550" i="7"/>
  <c r="K2549" i="7"/>
  <c r="K2548" i="7"/>
  <c r="K2547" i="7"/>
  <c r="K2546" i="7"/>
  <c r="K2545" i="7"/>
  <c r="K2544" i="7"/>
  <c r="K2543" i="7"/>
  <c r="K2542" i="7"/>
  <c r="K2601" i="7"/>
  <c r="K2635" i="7" l="1"/>
  <c r="K2634" i="7"/>
  <c r="K2633" i="7"/>
  <c r="K2632" i="7"/>
  <c r="K2637" i="7"/>
  <c r="K2636" i="7"/>
  <c r="K2643" i="7"/>
  <c r="K2642" i="7"/>
  <c r="K2641" i="7"/>
  <c r="K2640" i="7"/>
  <c r="K2638" i="7"/>
  <c r="K2639" i="7"/>
  <c r="K2515" i="7"/>
  <c r="K2514" i="7"/>
  <c r="K2604" i="7" l="1"/>
  <c r="T2604" i="7" l="1"/>
  <c r="H2604" i="7" s="1"/>
  <c r="O2604" i="7"/>
  <c r="P2604" i="7" s="1"/>
  <c r="R2604" i="7" s="1"/>
  <c r="E2604" i="7" s="1"/>
  <c r="K102" i="7"/>
  <c r="F2604" i="7" l="1"/>
  <c r="B2604" i="7"/>
  <c r="K326" i="7" l="1"/>
  <c r="K2498" i="7"/>
  <c r="K2492" i="7"/>
  <c r="K1817" i="7" l="1"/>
  <c r="O1817" i="7" s="1"/>
  <c r="P1817" i="7" s="1"/>
  <c r="R1817" i="7" s="1"/>
  <c r="E1817" i="7" s="1"/>
  <c r="F1817" i="7" s="1"/>
  <c r="T1817" i="7"/>
  <c r="H1817" i="7" s="1"/>
  <c r="K1819" i="7"/>
  <c r="O1819" i="7" s="1"/>
  <c r="P1819" i="7" s="1"/>
  <c r="R1819" i="7" s="1"/>
  <c r="E1819" i="7" s="1"/>
  <c r="F1819" i="7" s="1"/>
  <c r="T1819" i="7"/>
  <c r="H1819" i="7" s="1"/>
  <c r="K1821" i="7"/>
  <c r="T1821" i="7"/>
  <c r="H1821" i="7" s="1"/>
  <c r="O1821" i="7"/>
  <c r="P1821" i="7" s="1"/>
  <c r="R1821" i="7" s="1"/>
  <c r="E1821" i="7" s="1"/>
  <c r="F1821" i="7" s="1"/>
  <c r="K1820" i="7"/>
  <c r="T1820" i="7"/>
  <c r="H1820" i="7" s="1"/>
  <c r="O1820" i="7"/>
  <c r="P1820" i="7" s="1"/>
  <c r="R1820" i="7" s="1"/>
  <c r="E1820" i="7" s="1"/>
  <c r="F1820" i="7" s="1"/>
  <c r="T1824" i="7"/>
  <c r="H1824" i="7" s="1"/>
  <c r="K1824" i="7"/>
  <c r="O1824" i="7" s="1"/>
  <c r="P1824" i="7" s="1"/>
  <c r="R1824" i="7" s="1"/>
  <c r="E1824" i="7" s="1"/>
  <c r="F1824" i="7" s="1"/>
  <c r="K1828" i="7"/>
  <c r="T1828" i="7"/>
  <c r="O1828" i="7"/>
  <c r="P1828" i="7" s="1"/>
  <c r="R1828" i="7" s="1"/>
  <c r="E1828" i="7" s="1"/>
  <c r="F1828" i="7" s="1"/>
  <c r="H1828" i="7"/>
  <c r="N2875" i="7"/>
  <c r="T477" i="7"/>
  <c r="H477" i="7" s="1"/>
  <c r="O477" i="7"/>
  <c r="P477" i="7" s="1"/>
  <c r="R477" i="7" s="1"/>
  <c r="E477" i="7" s="1"/>
  <c r="F477" i="7" s="1"/>
  <c r="K1320" i="7" l="1"/>
  <c r="N370" i="7"/>
  <c r="G246" i="7"/>
  <c r="N2864" i="7" l="1"/>
  <c r="K1064" i="7"/>
  <c r="K2739" i="7" l="1"/>
  <c r="K667" i="7" l="1"/>
  <c r="O667" i="7" s="1"/>
  <c r="P667" i="7" s="1"/>
  <c r="R667" i="7" s="1"/>
  <c r="E667" i="7" s="1"/>
  <c r="F667" i="7" s="1"/>
  <c r="T667" i="7"/>
  <c r="H667" i="7" s="1"/>
  <c r="L1128" i="7"/>
  <c r="K2329" i="7"/>
  <c r="K1632" i="7"/>
  <c r="K1113" i="7"/>
  <c r="K1705" i="7"/>
  <c r="K1445" i="7"/>
  <c r="N134" i="7"/>
  <c r="L1207" i="7"/>
  <c r="M458" i="7"/>
  <c r="K2244" i="7"/>
  <c r="M2728" i="7"/>
  <c r="T1352" i="7"/>
  <c r="H1352" i="7" s="1"/>
  <c r="O1352" i="7"/>
  <c r="P1352" i="7" s="1"/>
  <c r="R1352" i="7" s="1"/>
  <c r="E1352" i="7" s="1"/>
  <c r="G1352" i="7" l="1"/>
  <c r="B1352" i="7"/>
  <c r="K27" i="7"/>
  <c r="N27" i="7"/>
  <c r="G2845" i="7"/>
  <c r="L2178" i="7" l="1"/>
  <c r="K323" i="7"/>
  <c r="K1208" i="7" l="1"/>
  <c r="K1209" i="7"/>
  <c r="K747" i="7"/>
  <c r="K2286" i="7"/>
  <c r="K2284" i="7"/>
  <c r="K2285" i="7"/>
  <c r="K2833" i="7" l="1"/>
  <c r="K322" i="7" l="1"/>
  <c r="H49" i="3" l="1"/>
  <c r="K342" i="7" l="1"/>
  <c r="R8" i="9"/>
  <c r="S8" i="9" s="1"/>
  <c r="K2354" i="7"/>
  <c r="G1888" i="7"/>
  <c r="T408" i="7"/>
  <c r="H408" i="7" s="1"/>
  <c r="O408" i="7"/>
  <c r="P408" i="7" s="1"/>
  <c r="R408" i="7" s="1"/>
  <c r="E408" i="7" s="1"/>
  <c r="F408" i="7" s="1"/>
  <c r="T893" i="7"/>
  <c r="H893" i="7" s="1"/>
  <c r="O893" i="7"/>
  <c r="P893" i="7" s="1"/>
  <c r="R893" i="7" s="1"/>
  <c r="E893" i="7" s="1"/>
  <c r="F893" i="7" s="1"/>
  <c r="T1670" i="7"/>
  <c r="H1670" i="7" s="1"/>
  <c r="O1670" i="7"/>
  <c r="P1670" i="7" s="1"/>
  <c r="R1670" i="7" s="1"/>
  <c r="E1670" i="7" s="1"/>
  <c r="F1670" i="7" s="1"/>
  <c r="N2002" i="7" l="1"/>
  <c r="N2001" i="7"/>
  <c r="N2000" i="7"/>
  <c r="N1999" i="7"/>
  <c r="K931" i="7"/>
  <c r="K1672" i="7" l="1"/>
  <c r="K203" i="7" l="1"/>
  <c r="K775" i="7" l="1"/>
  <c r="K1673" i="7"/>
  <c r="T2033" i="7" l="1"/>
  <c r="H2033" i="7" s="1"/>
  <c r="O2033" i="7"/>
  <c r="P2033" i="7" s="1"/>
  <c r="R2033" i="7" s="1"/>
  <c r="E2033" i="7" s="1"/>
  <c r="F2033" i="7" s="1"/>
  <c r="K1323" i="7"/>
  <c r="K509" i="7"/>
  <c r="K1964" i="7" l="1"/>
  <c r="N1116" i="7" l="1"/>
  <c r="L2328" i="7" l="1"/>
  <c r="H15" i="15"/>
  <c r="I15" i="15" s="1"/>
  <c r="C15" i="15" s="1"/>
  <c r="D15" i="15" s="1"/>
  <c r="H14" i="15"/>
  <c r="I14" i="15" s="1"/>
  <c r="C14" i="15" s="1"/>
  <c r="D14" i="15" s="1"/>
  <c r="H13" i="15"/>
  <c r="H12" i="15"/>
  <c r="H11" i="15"/>
  <c r="I11" i="15" s="1"/>
  <c r="C11" i="15" s="1"/>
  <c r="D11" i="15" s="1"/>
  <c r="H10" i="15"/>
  <c r="I10" i="15" s="1"/>
  <c r="C10" i="15" s="1"/>
  <c r="D10" i="15" s="1"/>
  <c r="H9" i="15"/>
  <c r="H8" i="15"/>
  <c r="I8" i="15" s="1"/>
  <c r="C8" i="15" s="1"/>
  <c r="D8" i="15" s="1"/>
  <c r="I9" i="15"/>
  <c r="C9" i="15" s="1"/>
  <c r="D9" i="15" s="1"/>
  <c r="I12" i="15"/>
  <c r="C12" i="15" s="1"/>
  <c r="D12" i="15" s="1"/>
  <c r="I13" i="15"/>
  <c r="C13" i="15" s="1"/>
  <c r="D13" i="15" s="1"/>
  <c r="I16" i="15"/>
  <c r="C16" i="15" s="1"/>
  <c r="D16" i="15" s="1"/>
  <c r="I17" i="15"/>
  <c r="C17" i="15" s="1"/>
  <c r="D17" i="15" s="1"/>
  <c r="I18" i="15"/>
  <c r="C18" i="15" s="1"/>
  <c r="D18" i="15" s="1"/>
  <c r="I19" i="15"/>
  <c r="C19" i="15" s="1"/>
  <c r="D19" i="15" s="1"/>
  <c r="I20" i="15"/>
  <c r="I21" i="15"/>
  <c r="C21" i="15" s="1"/>
  <c r="D21" i="15" s="1"/>
  <c r="I22" i="15"/>
  <c r="C22" i="15" s="1"/>
  <c r="D22" i="15" s="1"/>
  <c r="I23" i="15"/>
  <c r="C23" i="15" s="1"/>
  <c r="D23" i="15" s="1"/>
  <c r="I24" i="15"/>
  <c r="C24" i="15" s="1"/>
  <c r="D24" i="15" s="1"/>
  <c r="I25" i="15"/>
  <c r="C25" i="15" s="1"/>
  <c r="D25" i="15" s="1"/>
  <c r="I26" i="15"/>
  <c r="C26" i="15" s="1"/>
  <c r="D26" i="15" s="1"/>
  <c r="I27" i="15"/>
  <c r="C27" i="15" s="1"/>
  <c r="D27" i="15" s="1"/>
  <c r="I28" i="15"/>
  <c r="C28" i="15" s="1"/>
  <c r="D28" i="15" s="1"/>
  <c r="I29" i="15"/>
  <c r="C29" i="15" s="1"/>
  <c r="D29" i="15" s="1"/>
  <c r="I30" i="15"/>
  <c r="C30" i="15" s="1"/>
  <c r="D30" i="15" s="1"/>
  <c r="I31" i="15"/>
  <c r="C31" i="15" s="1"/>
  <c r="D31" i="15" s="1"/>
  <c r="I32" i="15"/>
  <c r="I33" i="15"/>
  <c r="I34" i="15"/>
  <c r="I35" i="15"/>
  <c r="I36" i="15"/>
  <c r="C36" i="15" s="1"/>
  <c r="D36" i="15" s="1"/>
  <c r="I37" i="15"/>
  <c r="C37" i="15" s="1"/>
  <c r="D37" i="15" s="1"/>
  <c r="I38" i="15"/>
  <c r="C38" i="15" s="1"/>
  <c r="D38" i="15" s="1"/>
  <c r="I39" i="15"/>
  <c r="C39" i="15" s="1"/>
  <c r="D39" i="15" s="1"/>
  <c r="I40" i="15"/>
  <c r="C40" i="15" s="1"/>
  <c r="D40" i="15" s="1"/>
  <c r="I41" i="15"/>
  <c r="C41" i="15" s="1"/>
  <c r="D41" i="15" s="1"/>
  <c r="I42" i="15"/>
  <c r="C42" i="15" s="1"/>
  <c r="D42" i="15" s="1"/>
  <c r="I43" i="15"/>
  <c r="C43" i="15" s="1"/>
  <c r="D43" i="15" s="1"/>
  <c r="I44" i="15"/>
  <c r="I45" i="15"/>
  <c r="C45" i="15" s="1"/>
  <c r="D45" i="15" s="1"/>
  <c r="I46" i="15"/>
  <c r="C46" i="15" s="1"/>
  <c r="D46" i="15" s="1"/>
  <c r="I47" i="15"/>
  <c r="C47" i="15" s="1"/>
  <c r="D47" i="15" s="1"/>
  <c r="I48" i="15"/>
  <c r="C48" i="15" s="1"/>
  <c r="D48" i="15" s="1"/>
  <c r="I49" i="15"/>
  <c r="C49" i="15" s="1"/>
  <c r="D49" i="15" s="1"/>
  <c r="I50" i="15"/>
  <c r="C50" i="15" s="1"/>
  <c r="D50" i="15" s="1"/>
  <c r="I51" i="15"/>
  <c r="C51" i="15" s="1"/>
  <c r="D51" i="15" s="1"/>
  <c r="I52" i="15"/>
  <c r="C52" i="15" s="1"/>
  <c r="D52" i="15" s="1"/>
  <c r="I53" i="15"/>
  <c r="I54" i="15"/>
  <c r="C54" i="15" s="1"/>
  <c r="D54" i="15" s="1"/>
  <c r="I55" i="15"/>
  <c r="C55" i="15" s="1"/>
  <c r="D55" i="15" s="1"/>
  <c r="I56" i="15"/>
  <c r="H7" i="15"/>
  <c r="I7" i="15" s="1"/>
  <c r="C7" i="15" s="1"/>
  <c r="D7" i="15" s="1"/>
  <c r="H6" i="15"/>
  <c r="I6" i="15" s="1"/>
  <c r="C6" i="15" s="1"/>
  <c r="D6" i="15" s="1"/>
  <c r="T1610" i="7"/>
  <c r="H1610" i="7" s="1"/>
  <c r="O1610" i="7"/>
  <c r="P1610" i="7" s="1"/>
  <c r="R1610" i="7" s="1"/>
  <c r="E1610" i="7" s="1"/>
  <c r="F1610" i="7" s="1"/>
  <c r="C20" i="15"/>
  <c r="D20" i="15" s="1"/>
  <c r="C32" i="15"/>
  <c r="D32" i="15" s="1"/>
  <c r="C33" i="15"/>
  <c r="C34" i="15"/>
  <c r="D34" i="15" s="1"/>
  <c r="C35" i="15"/>
  <c r="D35" i="15" s="1"/>
  <c r="C44" i="15"/>
  <c r="D44" i="15" s="1"/>
  <c r="C53" i="15"/>
  <c r="D53" i="15" s="1"/>
  <c r="C56" i="15"/>
  <c r="D56" i="15" s="1"/>
  <c r="D33" i="15"/>
  <c r="K99" i="7"/>
  <c r="N381" i="7" l="1"/>
  <c r="N390" i="7"/>
  <c r="L2673" i="7" l="1"/>
  <c r="L2672" i="7"/>
  <c r="L1979" i="7"/>
  <c r="T1939" i="7" l="1"/>
  <c r="O1939" i="7"/>
  <c r="P1939" i="7" s="1"/>
  <c r="R1939" i="7" s="1"/>
  <c r="E1939" i="7" s="1"/>
  <c r="H1939" i="7"/>
  <c r="L1621" i="7"/>
  <c r="F1939" i="7" l="1"/>
  <c r="B1939" i="7"/>
  <c r="L1106" i="7" l="1"/>
  <c r="K2315" i="7"/>
  <c r="N1235" i="7" l="1"/>
  <c r="L1671" i="7"/>
  <c r="R9" i="9" l="1"/>
  <c r="K2883" i="7" l="1"/>
  <c r="G2350" i="7" l="1"/>
  <c r="G2349" i="7"/>
  <c r="N2654" i="7" l="1"/>
  <c r="K2698" i="7" l="1"/>
  <c r="K2724" i="7" l="1"/>
  <c r="K1483" i="7"/>
  <c r="L1483" i="7"/>
  <c r="K1480" i="7"/>
  <c r="L1480" i="7"/>
  <c r="K1471" i="7"/>
  <c r="L1471" i="7"/>
  <c r="K1047" i="7"/>
  <c r="K1046" i="7"/>
  <c r="K1048" i="7"/>
  <c r="K74" i="7"/>
  <c r="K1132" i="7"/>
  <c r="M362" i="7"/>
  <c r="K640" i="7" l="1"/>
  <c r="K938" i="7"/>
  <c r="O938" i="7" s="1"/>
  <c r="P938" i="7" s="1"/>
  <c r="R938" i="7" s="1"/>
  <c r="E938" i="7" s="1"/>
  <c r="F938" i="7" s="1"/>
  <c r="T938" i="7"/>
  <c r="H938" i="7" s="1"/>
  <c r="N1911" i="7"/>
  <c r="N1127" i="7"/>
  <c r="N179" i="7"/>
  <c r="K1651" i="7" l="1"/>
  <c r="K1995" i="7" l="1"/>
  <c r="L1445" i="7"/>
  <c r="K1571" i="7"/>
  <c r="K1570" i="7"/>
  <c r="K206" i="7" l="1"/>
  <c r="K639" i="7" l="1"/>
  <c r="M1351" i="7"/>
  <c r="K1759" i="7" l="1"/>
  <c r="L2280" i="7" l="1"/>
  <c r="K2280" i="7"/>
  <c r="K1730" i="7" l="1"/>
  <c r="K1728" i="7"/>
  <c r="K1724" i="7"/>
  <c r="L1720" i="7"/>
  <c r="L1717" i="7"/>
  <c r="L1718" i="7"/>
  <c r="L1716" i="7"/>
  <c r="K1248" i="7"/>
  <c r="T1248" i="7"/>
  <c r="H1248" i="7" s="1"/>
  <c r="O1248" i="7"/>
  <c r="P1248" i="7" s="1"/>
  <c r="R1248" i="7" s="1"/>
  <c r="E1248" i="7" s="1"/>
  <c r="F1248" i="7" s="1"/>
  <c r="K936" i="7"/>
  <c r="K935" i="7"/>
  <c r="K934" i="7"/>
  <c r="K932" i="7"/>
  <c r="K933" i="7"/>
  <c r="K930" i="7"/>
  <c r="K929" i="7"/>
  <c r="K928" i="7"/>
  <c r="L2536" i="7" l="1"/>
  <c r="N1570" i="7" l="1"/>
  <c r="N1357" i="7" l="1"/>
  <c r="N1356" i="7"/>
  <c r="K2241" i="7" l="1"/>
  <c r="G2682" i="7"/>
  <c r="K1327" i="7"/>
  <c r="K1336" i="7" l="1"/>
  <c r="K1335" i="7"/>
  <c r="L1336" i="7"/>
  <c r="L1335" i="7"/>
  <c r="L1334" i="7"/>
  <c r="K2054" i="7"/>
  <c r="K1210" i="7"/>
  <c r="T102" i="7" l="1"/>
  <c r="H102" i="7" s="1"/>
  <c r="O102" i="7"/>
  <c r="P102" i="7" s="1"/>
  <c r="R102" i="7" s="1"/>
  <c r="E102" i="7" s="1"/>
  <c r="F102" i="7" l="1"/>
  <c r="B102" i="7"/>
  <c r="M1065" i="7" l="1"/>
  <c r="K2580" i="7"/>
  <c r="K2579" i="7"/>
  <c r="K2577" i="7"/>
  <c r="K2576" i="7"/>
  <c r="K2575" i="7"/>
  <c r="K2578" i="7"/>
  <c r="K1860" i="7" l="1"/>
  <c r="K2876" i="7" l="1"/>
  <c r="K529" i="7"/>
  <c r="K528" i="7"/>
  <c r="K1979" i="7" l="1"/>
  <c r="K1567" i="7" l="1"/>
  <c r="K2834" i="7"/>
  <c r="K2838" i="7"/>
  <c r="K2837" i="7"/>
  <c r="K2836" i="7"/>
  <c r="K1018" i="7" l="1"/>
  <c r="K1017" i="7"/>
  <c r="K1723" i="7"/>
  <c r="K1662" i="7"/>
  <c r="K1661" i="7"/>
  <c r="L319" i="7"/>
  <c r="L318" i="7"/>
  <c r="L1138" i="7"/>
  <c r="L1137" i="7"/>
  <c r="L1136" i="7"/>
  <c r="N24" i="7"/>
  <c r="S9" i="9"/>
  <c r="K11" i="7"/>
  <c r="K13" i="7"/>
  <c r="K2137" i="7"/>
  <c r="K937" i="7"/>
  <c r="L1663" i="7"/>
  <c r="R10" i="9"/>
  <c r="S10" i="9" s="1"/>
  <c r="L1664" i="7" l="1"/>
  <c r="K1713" i="7"/>
  <c r="L1419" i="7" l="1"/>
  <c r="L1420" i="7"/>
  <c r="L1422" i="7"/>
  <c r="K2219" i="7"/>
  <c r="K356" i="7"/>
  <c r="K825" i="7"/>
  <c r="K824" i="7"/>
  <c r="K2779" i="7"/>
  <c r="K2780" i="7"/>
  <c r="K2786" i="7"/>
  <c r="K2793" i="7"/>
  <c r="K2174" i="7"/>
  <c r="K2175" i="7"/>
  <c r="K1070" i="7"/>
  <c r="K1069" i="7"/>
  <c r="K1068" i="7"/>
  <c r="K1067" i="7"/>
  <c r="K1066" i="7"/>
  <c r="M1933" i="7" l="1"/>
  <c r="K1337" i="7"/>
  <c r="M2328" i="7"/>
  <c r="M2326" i="7"/>
  <c r="K2331" i="7"/>
  <c r="K2330" i="7"/>
  <c r="L833" i="7"/>
  <c r="K2093" i="7"/>
  <c r="O2093" i="7" s="1"/>
  <c r="P2093" i="7" s="1"/>
  <c r="R2093" i="7" s="1"/>
  <c r="E2093" i="7" s="1"/>
  <c r="F2093" i="7" s="1"/>
  <c r="T2093" i="7"/>
  <c r="H2093" i="7" s="1"/>
  <c r="K1761" i="7"/>
  <c r="O1761" i="7" s="1"/>
  <c r="P1761" i="7" s="1"/>
  <c r="R1761" i="7" s="1"/>
  <c r="E1761" i="7" s="1"/>
  <c r="F1761" i="7" s="1"/>
  <c r="K1760" i="7"/>
  <c r="O1760" i="7" s="1"/>
  <c r="P1760" i="7" s="1"/>
  <c r="R1760" i="7" s="1"/>
  <c r="E1760" i="7" s="1"/>
  <c r="F1760" i="7" s="1"/>
  <c r="O1759" i="7"/>
  <c r="P1759" i="7" s="1"/>
  <c r="R1759" i="7" s="1"/>
  <c r="E1759" i="7" s="1"/>
  <c r="F1759" i="7" s="1"/>
  <c r="T1761" i="7"/>
  <c r="H1761" i="7" s="1"/>
  <c r="T1760" i="7"/>
  <c r="H1760" i="7" s="1"/>
  <c r="T1759" i="7"/>
  <c r="H1759" i="7" s="1"/>
  <c r="K1758" i="7"/>
  <c r="O1758" i="7" s="1"/>
  <c r="P1758" i="7" s="1"/>
  <c r="R1758" i="7" s="1"/>
  <c r="E1758" i="7" s="1"/>
  <c r="F1758" i="7" s="1"/>
  <c r="T1758" i="7"/>
  <c r="H1758" i="7" s="1"/>
  <c r="K1131" i="7"/>
  <c r="K2140" i="7"/>
  <c r="K2139" i="7"/>
  <c r="K1184" i="7"/>
  <c r="K940" i="7"/>
  <c r="K739" i="7"/>
  <c r="K738" i="7"/>
  <c r="K737" i="7"/>
  <c r="K736" i="7"/>
  <c r="K939" i="7"/>
  <c r="K911" i="7" l="1"/>
  <c r="K910" i="7"/>
  <c r="O910" i="7" s="1"/>
  <c r="P910" i="7" s="1"/>
  <c r="R910" i="7" s="1"/>
  <c r="E910" i="7" s="1"/>
  <c r="F910" i="7" s="1"/>
  <c r="K909" i="7"/>
  <c r="O909" i="7" s="1"/>
  <c r="P909" i="7" s="1"/>
  <c r="R909" i="7" s="1"/>
  <c r="E909" i="7" s="1"/>
  <c r="F909" i="7" s="1"/>
  <c r="T911" i="7"/>
  <c r="H911" i="7" s="1"/>
  <c r="O911" i="7"/>
  <c r="P911" i="7" s="1"/>
  <c r="R911" i="7" s="1"/>
  <c r="E911" i="7" s="1"/>
  <c r="F911" i="7" s="1"/>
  <c r="T910" i="7"/>
  <c r="H910" i="7" s="1"/>
  <c r="T909" i="7"/>
  <c r="H909" i="7" s="1"/>
  <c r="H56" i="3" l="1"/>
  <c r="H55" i="3"/>
  <c r="H54" i="3"/>
  <c r="H53" i="3"/>
  <c r="H52" i="3"/>
  <c r="H51" i="3"/>
  <c r="H48" i="3"/>
  <c r="H46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4" i="3"/>
  <c r="H13" i="3"/>
  <c r="H12" i="3"/>
  <c r="H11" i="3"/>
  <c r="H10" i="3"/>
  <c r="H8" i="3"/>
  <c r="H7" i="3"/>
  <c r="H6" i="3"/>
  <c r="T871" i="7"/>
  <c r="H871" i="7" s="1"/>
  <c r="O871" i="7"/>
  <c r="P871" i="7" s="1"/>
  <c r="R871" i="7" s="1"/>
  <c r="E871" i="7" s="1"/>
  <c r="F871" i="7" s="1"/>
  <c r="T881" i="7"/>
  <c r="H881" i="7" s="1"/>
  <c r="O881" i="7"/>
  <c r="P881" i="7" s="1"/>
  <c r="R881" i="7" s="1"/>
  <c r="E881" i="7" s="1"/>
  <c r="F881" i="7" s="1"/>
  <c r="T870" i="7"/>
  <c r="H870" i="7" s="1"/>
  <c r="O870" i="7"/>
  <c r="P870" i="7" s="1"/>
  <c r="R870" i="7" s="1"/>
  <c r="E870" i="7" s="1"/>
  <c r="F870" i="7" s="1"/>
  <c r="K2256" i="7"/>
  <c r="N2256" i="7" s="1"/>
  <c r="N1305" i="7"/>
  <c r="K1193" i="7"/>
  <c r="K1192" i="7"/>
  <c r="K1191" i="7"/>
  <c r="N1571" i="7" l="1"/>
  <c r="T283" i="7"/>
  <c r="H283" i="7" s="1"/>
  <c r="O283" i="7"/>
  <c r="P283" i="7" s="1"/>
  <c r="R283" i="7" s="1"/>
  <c r="E283" i="7" s="1"/>
  <c r="F283" i="7" s="1"/>
  <c r="K1934" i="7" l="1"/>
  <c r="K1933" i="7"/>
  <c r="N1933" i="7"/>
  <c r="N1934" i="7"/>
  <c r="K2224" i="7"/>
  <c r="G605" i="7" l="1"/>
  <c r="K1111" i="7"/>
  <c r="K1098" i="7"/>
  <c r="K1097" i="7"/>
  <c r="K2665" i="7"/>
  <c r="K2664" i="7"/>
  <c r="O2664" i="7" s="1"/>
  <c r="P2664" i="7" s="1"/>
  <c r="R2664" i="7" s="1"/>
  <c r="E2664" i="7" s="1"/>
  <c r="T2664" i="7"/>
  <c r="H2664" i="7" s="1"/>
  <c r="K2593" i="7"/>
  <c r="O2593" i="7" s="1"/>
  <c r="P2593" i="7" s="1"/>
  <c r="R2593" i="7" s="1"/>
  <c r="E2593" i="7" s="1"/>
  <c r="T2593" i="7"/>
  <c r="H2593" i="7" s="1"/>
  <c r="G2593" i="7" s="1"/>
  <c r="N98" i="7"/>
  <c r="N90" i="7"/>
  <c r="N86" i="7"/>
  <c r="N87" i="7"/>
  <c r="T2341" i="7"/>
  <c r="H2341" i="7" s="1"/>
  <c r="O2341" i="7"/>
  <c r="P2341" i="7" s="1"/>
  <c r="R2341" i="7" s="1"/>
  <c r="E2341" i="7" s="1"/>
  <c r="F2341" i="7" s="1"/>
  <c r="T1659" i="7"/>
  <c r="H1659" i="7" s="1"/>
  <c r="O1659" i="7"/>
  <c r="P1659" i="7" s="1"/>
  <c r="R1659" i="7" s="1"/>
  <c r="E1659" i="7" s="1"/>
  <c r="F1659" i="7" s="1"/>
  <c r="T841" i="7"/>
  <c r="H841" i="7" s="1"/>
  <c r="O841" i="7"/>
  <c r="P841" i="7" s="1"/>
  <c r="R841" i="7" s="1"/>
  <c r="E841" i="7" s="1"/>
  <c r="F841" i="7" s="1"/>
  <c r="T42" i="7"/>
  <c r="H42" i="7" s="1"/>
  <c r="O42" i="7"/>
  <c r="P42" i="7" s="1"/>
  <c r="R42" i="7" s="1"/>
  <c r="E42" i="7" s="1"/>
  <c r="F42" i="7" s="1"/>
  <c r="K473" i="7"/>
  <c r="F2664" i="7" l="1"/>
  <c r="B2664" i="7"/>
  <c r="B2593" i="7"/>
  <c r="F2593" i="7"/>
  <c r="G2703" i="7" l="1"/>
  <c r="G2706" i="7" s="1"/>
  <c r="G2702" i="7"/>
  <c r="G2705" i="7" s="1"/>
  <c r="N31" i="7"/>
  <c r="N30" i="7"/>
  <c r="N29" i="7"/>
  <c r="L1989" i="7" l="1"/>
  <c r="K1247" i="7"/>
  <c r="K10" i="7"/>
  <c r="K424" i="7" l="1"/>
  <c r="K2049" i="7"/>
  <c r="K697" i="7" l="1"/>
  <c r="K696" i="7"/>
  <c r="G2659" i="7" l="1"/>
  <c r="G729" i="7"/>
  <c r="N353" i="7"/>
  <c r="N2497" i="7"/>
  <c r="K1966" i="7"/>
  <c r="K906" i="7" l="1"/>
  <c r="T906" i="7" l="1"/>
  <c r="H906" i="7" s="1"/>
  <c r="O906" i="7"/>
  <c r="P906" i="7" s="1"/>
  <c r="R906" i="7" s="1"/>
  <c r="E906" i="7" s="1"/>
  <c r="F906" i="7" s="1"/>
  <c r="L637" i="7" l="1"/>
  <c r="L638" i="7"/>
  <c r="K2026" i="7" l="1"/>
  <c r="N279" i="7" l="1"/>
  <c r="N703" i="7"/>
  <c r="N2809" i="7"/>
  <c r="G1238" i="7" l="1"/>
  <c r="N2347" i="7" l="1"/>
  <c r="K2347" i="7"/>
  <c r="K1317" i="7"/>
  <c r="O1317" i="7" s="1"/>
  <c r="P1317" i="7" s="1"/>
  <c r="R1317" i="7" s="1"/>
  <c r="E1317" i="7" s="1"/>
  <c r="F1317" i="7" s="1"/>
  <c r="T1317" i="7"/>
  <c r="H1317" i="7" s="1"/>
  <c r="K1617" i="7" l="1"/>
  <c r="L1217" i="7"/>
  <c r="K445" i="7"/>
  <c r="K1150" i="7" l="1"/>
  <c r="K1222" i="7"/>
  <c r="K2238" i="7"/>
  <c r="L397" i="7"/>
  <c r="L395" i="7"/>
  <c r="L396" i="7"/>
  <c r="K1065" i="7" l="1"/>
  <c r="L1065" i="7"/>
  <c r="L2631" i="7"/>
  <c r="K551" i="7"/>
  <c r="K1489" i="7"/>
  <c r="K1486" i="7"/>
  <c r="K1488" i="7"/>
  <c r="K1697" i="7"/>
  <c r="T1697" i="7" s="1"/>
  <c r="H1697" i="7" s="1"/>
  <c r="K1698" i="7"/>
  <c r="O1698" i="7"/>
  <c r="P1698" i="7" s="1"/>
  <c r="R1698" i="7" s="1"/>
  <c r="E1698" i="7" s="1"/>
  <c r="T1698" i="7"/>
  <c r="H1698" i="7" s="1"/>
  <c r="K2653" i="7"/>
  <c r="T2653" i="7" s="1"/>
  <c r="H2653" i="7" s="1"/>
  <c r="K2652" i="7"/>
  <c r="T2652" i="7" s="1"/>
  <c r="H2652" i="7" s="1"/>
  <c r="O2652" i="7" l="1"/>
  <c r="P2652" i="7" s="1"/>
  <c r="R2652" i="7" s="1"/>
  <c r="E2652" i="7" s="1"/>
  <c r="O2653" i="7"/>
  <c r="P2653" i="7" s="1"/>
  <c r="R2653" i="7" s="1"/>
  <c r="E2653" i="7" s="1"/>
  <c r="G2653" i="7" s="1"/>
  <c r="O1697" i="7"/>
  <c r="P1697" i="7" s="1"/>
  <c r="R1697" i="7" s="1"/>
  <c r="E1697" i="7" s="1"/>
  <c r="B1697" i="7" s="1"/>
  <c r="B1698" i="7"/>
  <c r="F1698" i="7"/>
  <c r="G2652" i="7"/>
  <c r="B2652" i="7"/>
  <c r="B2653" i="7" l="1"/>
  <c r="G1697" i="7"/>
  <c r="K1011" i="7" l="1"/>
  <c r="K1012" i="7"/>
  <c r="K1013" i="7"/>
  <c r="T1991" i="7" l="1"/>
  <c r="H1991" i="7" s="1"/>
  <c r="K1991" i="7"/>
  <c r="O1991" i="7" s="1"/>
  <c r="P1991" i="7" s="1"/>
  <c r="R1991" i="7" s="1"/>
  <c r="E1991" i="7" s="1"/>
  <c r="B1991" i="7" l="1"/>
  <c r="G1991" i="7"/>
  <c r="K2076" i="7"/>
  <c r="L959" i="7" l="1"/>
  <c r="K1204" i="7"/>
  <c r="K1203" i="7"/>
  <c r="K1199" i="7"/>
  <c r="K1198" i="7"/>
  <c r="K1197" i="7"/>
  <c r="K292" i="7"/>
  <c r="K2818" i="7"/>
  <c r="K2819" i="7"/>
  <c r="K86" i="7" l="1"/>
  <c r="K693" i="7"/>
  <c r="K1829" i="7" l="1"/>
  <c r="K1827" i="7"/>
  <c r="K1826" i="7"/>
  <c r="K1825" i="7"/>
  <c r="K1823" i="7"/>
  <c r="K1822" i="7"/>
  <c r="K1818" i="7"/>
  <c r="K2717" i="7"/>
  <c r="K250" i="7" l="1"/>
  <c r="K249" i="7"/>
  <c r="K2795" i="7"/>
  <c r="K2792" i="7"/>
  <c r="K2743" i="7"/>
  <c r="K2278" i="7"/>
  <c r="K2157" i="7"/>
  <c r="K2004" i="7"/>
  <c r="K2003" i="7"/>
  <c r="K1880" i="7"/>
  <c r="K1844" i="7"/>
  <c r="K1795" i="7"/>
  <c r="K1769" i="7"/>
  <c r="K1768" i="7"/>
  <c r="K1767" i="7"/>
  <c r="K1766" i="7"/>
  <c r="K1765" i="7"/>
  <c r="K1052" i="7"/>
  <c r="K912" i="7"/>
  <c r="K907" i="7"/>
  <c r="K801" i="7"/>
  <c r="K800" i="7"/>
  <c r="K799" i="7"/>
  <c r="K616" i="7"/>
  <c r="K617" i="7"/>
  <c r="K2096" i="7"/>
  <c r="K2097" i="7"/>
  <c r="L2557" i="7"/>
  <c r="L2556" i="7"/>
  <c r="L2555" i="7"/>
  <c r="L2554" i="7"/>
  <c r="L2553" i="7"/>
  <c r="L2552" i="7"/>
  <c r="K44" i="7"/>
  <c r="K1130" i="7"/>
  <c r="K2858" i="7"/>
  <c r="K2859" i="7"/>
  <c r="L2857" i="7"/>
  <c r="M2857" i="7"/>
  <c r="K2800" i="7"/>
  <c r="M2800" i="7"/>
  <c r="K2443" i="7"/>
  <c r="K2195" i="7"/>
  <c r="L2147" i="7"/>
  <c r="K2147" i="7"/>
  <c r="K2146" i="7"/>
  <c r="K2092" i="7"/>
  <c r="K2091" i="7"/>
  <c r="K2047" i="7"/>
  <c r="K2029" i="7"/>
  <c r="K1510" i="7"/>
  <c r="K805" i="7"/>
  <c r="L805" i="7"/>
  <c r="K802" i="7"/>
  <c r="L802" i="7"/>
  <c r="L391" i="7"/>
  <c r="K391" i="7"/>
  <c r="M289" i="7"/>
  <c r="K288" i="7"/>
  <c r="M288" i="7"/>
  <c r="L379" i="7" l="1"/>
  <c r="K381" i="7"/>
  <c r="L386" i="7"/>
  <c r="N392" i="7"/>
  <c r="N389" i="7"/>
  <c r="L1132" i="7"/>
  <c r="L1131" i="7"/>
  <c r="K1133" i="7"/>
  <c r="L1133" i="7"/>
  <c r="N1138" i="7"/>
  <c r="K2875" i="7"/>
  <c r="K281" i="7"/>
  <c r="K264" i="7"/>
  <c r="K346" i="7"/>
  <c r="N447" i="7"/>
  <c r="K447" i="7"/>
  <c r="K442" i="7"/>
  <c r="N607" i="7"/>
  <c r="N606" i="7"/>
  <c r="N605" i="7"/>
  <c r="N604" i="7"/>
  <c r="N603" i="7"/>
  <c r="N599" i="7"/>
  <c r="N598" i="7"/>
  <c r="N597" i="7"/>
  <c r="K1269" i="7"/>
  <c r="K1388" i="7"/>
  <c r="L1417" i="7"/>
  <c r="K1544" i="7"/>
  <c r="K1542" i="7"/>
  <c r="K1543" i="7"/>
  <c r="K1605" i="7"/>
  <c r="K1604" i="7"/>
  <c r="K1603" i="7"/>
  <c r="N1597" i="7"/>
  <c r="K1597" i="7"/>
  <c r="K1594" i="7"/>
  <c r="N1593" i="7"/>
  <c r="K1593" i="7"/>
  <c r="N1589" i="7"/>
  <c r="K1589" i="7"/>
  <c r="N1585" i="7"/>
  <c r="K1585" i="7"/>
  <c r="N1584" i="7"/>
  <c r="K1584" i="7"/>
  <c r="N1579" i="7"/>
  <c r="K1579" i="7"/>
  <c r="N1856" i="7"/>
  <c r="K1856" i="7"/>
  <c r="K2088" i="7"/>
  <c r="K2086" i="7"/>
  <c r="K2128" i="7"/>
  <c r="K2683" i="7"/>
  <c r="K2682" i="7"/>
  <c r="K2865" i="7"/>
  <c r="K2864" i="7"/>
  <c r="K2572" i="7"/>
  <c r="M582" i="7"/>
  <c r="M581" i="7"/>
  <c r="L581" i="7"/>
  <c r="K582" i="7"/>
  <c r="K581" i="7"/>
  <c r="L580" i="7"/>
  <c r="K580" i="7"/>
  <c r="K2569" i="7"/>
  <c r="K2568" i="7"/>
  <c r="K2567" i="7"/>
  <c r="K2566" i="7"/>
  <c r="K2565" i="7"/>
  <c r="K2563" i="7"/>
  <c r="K2112" i="7"/>
  <c r="K1519" i="7"/>
  <c r="K1426" i="7"/>
  <c r="N1404" i="7"/>
  <c r="K1404" i="7"/>
  <c r="K399" i="7"/>
  <c r="K245" i="7"/>
  <c r="K244" i="7"/>
  <c r="K243" i="7"/>
  <c r="K241" i="7"/>
  <c r="K242" i="7"/>
  <c r="K240" i="7"/>
  <c r="K239" i="7"/>
  <c r="N234" i="7"/>
  <c r="N237" i="7"/>
  <c r="N236" i="7"/>
  <c r="N235" i="7"/>
  <c r="K235" i="7"/>
  <c r="L237" i="7"/>
  <c r="L236" i="7"/>
  <c r="L234" i="7"/>
  <c r="L235" i="7"/>
  <c r="L227" i="7"/>
  <c r="L233" i="7"/>
  <c r="L232" i="7"/>
  <c r="L231" i="7"/>
  <c r="L230" i="7"/>
  <c r="L229" i="7"/>
  <c r="L228" i="7"/>
  <c r="K233" i="7"/>
  <c r="K232" i="7"/>
  <c r="K231" i="7"/>
  <c r="K230" i="7"/>
  <c r="K229" i="7"/>
  <c r="K228" i="7"/>
  <c r="K227" i="7"/>
  <c r="K224" i="7"/>
  <c r="K223" i="7"/>
  <c r="K222" i="7"/>
  <c r="K1606" i="7"/>
  <c r="L1606" i="7"/>
  <c r="L1602" i="7"/>
  <c r="K1592" i="7"/>
  <c r="K1986" i="7" l="1"/>
  <c r="K1985" i="7"/>
  <c r="L1592" i="7"/>
  <c r="L1582" i="7"/>
  <c r="L1581" i="7"/>
  <c r="K961" i="7"/>
  <c r="K960" i="7"/>
  <c r="K959" i="7"/>
  <c r="L961" i="7"/>
  <c r="L960" i="7"/>
  <c r="L962" i="7"/>
  <c r="K962" i="7"/>
  <c r="K963" i="7"/>
  <c r="L963" i="7"/>
  <c r="K965" i="7"/>
  <c r="K964" i="7"/>
  <c r="K134" i="7"/>
  <c r="K169" i="7"/>
  <c r="L575" i="7" l="1"/>
  <c r="L378" i="7"/>
  <c r="L619" i="7"/>
  <c r="K619" i="7"/>
  <c r="L392" i="7"/>
  <c r="N1003" i="7" l="1"/>
  <c r="L1003" i="7"/>
  <c r="K1731" i="7"/>
  <c r="K1729" i="7"/>
  <c r="K1727" i="7"/>
  <c r="K1725" i="7"/>
  <c r="L1721" i="7"/>
  <c r="L1719" i="7"/>
  <c r="L1715" i="7"/>
  <c r="K606" i="7" l="1"/>
  <c r="L1572" i="7"/>
  <c r="K1572" i="7"/>
  <c r="L1125" i="7" l="1"/>
  <c r="K1125" i="7"/>
  <c r="M365" i="7" l="1"/>
  <c r="K1441" i="7"/>
  <c r="O1441" i="7" s="1"/>
  <c r="P1441" i="7" s="1"/>
  <c r="R1441" i="7" s="1"/>
  <c r="E1441" i="7" s="1"/>
  <c r="F1441" i="7" s="1"/>
  <c r="T1441" i="7"/>
  <c r="H1441" i="7" s="1"/>
  <c r="K2736" i="7"/>
  <c r="K1551" i="7"/>
  <c r="G1276" i="7"/>
  <c r="K1658" i="7"/>
  <c r="K2080" i="7"/>
  <c r="K2079" i="7"/>
  <c r="K2046" i="7"/>
  <c r="K2045" i="7"/>
  <c r="K2044" i="7"/>
  <c r="K2038" i="7"/>
  <c r="K2036" i="7"/>
  <c r="K2032" i="7"/>
  <c r="K2031" i="7"/>
  <c r="K2030" i="7"/>
  <c r="K2115" i="7"/>
  <c r="K2043" i="7"/>
  <c r="K2042" i="7"/>
  <c r="K2041" i="7"/>
  <c r="K2037" i="7"/>
  <c r="K2028" i="7"/>
  <c r="K2027" i="7"/>
  <c r="K2025" i="7"/>
  <c r="K2024" i="7"/>
  <c r="K2023" i="7"/>
  <c r="K1764" i="7"/>
  <c r="K1763" i="7"/>
  <c r="K1762" i="7"/>
  <c r="K1746" i="7"/>
  <c r="K1745" i="7"/>
  <c r="K1744" i="7"/>
  <c r="K1743" i="7"/>
  <c r="K1656" i="7"/>
  <c r="K1030" i="7"/>
  <c r="K1029" i="7"/>
  <c r="K1028" i="7"/>
  <c r="K864" i="7"/>
  <c r="K863" i="7"/>
  <c r="K862" i="7"/>
  <c r="K861" i="7"/>
  <c r="K860" i="7"/>
  <c r="K37" i="7"/>
  <c r="K2742" i="7"/>
  <c r="K2741" i="7"/>
  <c r="K2740" i="7"/>
  <c r="K2762" i="7"/>
  <c r="K2362" i="7"/>
  <c r="K1185" i="7"/>
  <c r="K978" i="7"/>
  <c r="K576" i="7"/>
  <c r="K711" i="7"/>
  <c r="K2678" i="7" l="1"/>
  <c r="K2293" i="7"/>
  <c r="K2292" i="7"/>
  <c r="K2291" i="7"/>
  <c r="K778" i="7"/>
  <c r="K779" i="7"/>
  <c r="K52" i="7"/>
  <c r="L2625" i="7"/>
  <c r="K2625" i="7"/>
  <c r="K2540" i="7"/>
  <c r="K2167" i="7"/>
  <c r="L125" i="7"/>
  <c r="K125" i="7"/>
  <c r="K127" i="7"/>
  <c r="L2768" i="7"/>
  <c r="K2768" i="7"/>
  <c r="L2712" i="7"/>
  <c r="K2712" i="7"/>
  <c r="L2713" i="7"/>
  <c r="K2713" i="7"/>
  <c r="L2703" i="7"/>
  <c r="K2703" i="7"/>
  <c r="L2702" i="7"/>
  <c r="K2702" i="7"/>
  <c r="L2701" i="7"/>
  <c r="K2701" i="7"/>
  <c r="K2609" i="7"/>
  <c r="K2536" i="7"/>
  <c r="K1990" i="7"/>
  <c r="K1989" i="7"/>
  <c r="K1988" i="7"/>
  <c r="L1987" i="7"/>
  <c r="K1987" i="7"/>
  <c r="L1683" i="7"/>
  <c r="K1683" i="7"/>
  <c r="K1631" i="7"/>
  <c r="L1629" i="7"/>
  <c r="L1630" i="7"/>
  <c r="K1630" i="7"/>
  <c r="L1628" i="7"/>
  <c r="K1628" i="7"/>
  <c r="L204" i="7"/>
  <c r="K204" i="7"/>
  <c r="L205" i="7"/>
  <c r="K205" i="7"/>
  <c r="L200" i="7"/>
  <c r="K200" i="7"/>
  <c r="K95" i="7"/>
  <c r="O95" i="7" s="1"/>
  <c r="P95" i="7" s="1"/>
  <c r="R95" i="7" s="1"/>
  <c r="E95" i="7" s="1"/>
  <c r="T95" i="7"/>
  <c r="H95" i="7" s="1"/>
  <c r="L101" i="7"/>
  <c r="L100" i="7"/>
  <c r="K101" i="7"/>
  <c r="K100" i="7"/>
  <c r="K98" i="7"/>
  <c r="L96" i="7"/>
  <c r="K96" i="7"/>
  <c r="L94" i="7"/>
  <c r="K94" i="7"/>
  <c r="L93" i="7"/>
  <c r="K93" i="7"/>
  <c r="K90" i="7"/>
  <c r="L87" i="7"/>
  <c r="K87" i="7"/>
  <c r="L86" i="7"/>
  <c r="L85" i="7"/>
  <c r="K85" i="7"/>
  <c r="B95" i="7" l="1"/>
  <c r="F95" i="7"/>
  <c r="L1345" i="7" l="1"/>
  <c r="K2521" i="7"/>
  <c r="L1071" i="7"/>
  <c r="K1464" i="7" l="1"/>
  <c r="K2767" i="7" l="1"/>
  <c r="K2621" i="7"/>
  <c r="K2620" i="7"/>
  <c r="K2595" i="7"/>
  <c r="K2164" i="7"/>
  <c r="K1847" i="7"/>
  <c r="K1846" i="7"/>
  <c r="K1695" i="7"/>
  <c r="K1694" i="7"/>
  <c r="K1650" i="7"/>
  <c r="K1649" i="7"/>
  <c r="K1561" i="7"/>
  <c r="K1272" i="7"/>
  <c r="K984" i="7"/>
  <c r="K2831" i="7"/>
  <c r="K2815" i="7"/>
  <c r="K2814" i="7"/>
  <c r="K2710" i="7"/>
  <c r="K2709" i="7"/>
  <c r="K2696" i="7"/>
  <c r="K2695" i="7"/>
  <c r="K2694" i="7"/>
  <c r="K2693" i="7"/>
  <c r="K2692" i="7"/>
  <c r="K2674" i="7"/>
  <c r="K2673" i="7"/>
  <c r="K2672" i="7"/>
  <c r="K2629" i="7"/>
  <c r="K2624" i="7"/>
  <c r="K2623" i="7"/>
  <c r="K2622" i="7"/>
  <c r="K2606" i="7"/>
  <c r="K2605" i="7"/>
  <c r="K2603" i="7"/>
  <c r="K2602" i="7"/>
  <c r="K2599" i="7"/>
  <c r="K2597" i="7"/>
  <c r="K2596" i="7"/>
  <c r="K2592" i="7"/>
  <c r="K2591" i="7"/>
  <c r="K2590" i="7"/>
  <c r="K2589" i="7"/>
  <c r="K2588" i="7"/>
  <c r="K2534" i="7"/>
  <c r="K2489" i="7"/>
  <c r="K2488" i="7"/>
  <c r="K2486" i="7"/>
  <c r="K2485" i="7"/>
  <c r="K2484" i="7"/>
  <c r="K2482" i="7"/>
  <c r="K2481" i="7"/>
  <c r="K2479" i="7"/>
  <c r="K2471" i="7"/>
  <c r="K2470" i="7"/>
  <c r="K2469" i="7"/>
  <c r="K2468" i="7"/>
  <c r="K2467" i="7"/>
  <c r="K2466" i="7"/>
  <c r="K2465" i="7"/>
  <c r="K2464" i="7"/>
  <c r="K2463" i="7"/>
  <c r="K2455" i="7"/>
  <c r="K2454" i="7"/>
  <c r="K2453" i="7"/>
  <c r="K2322" i="7"/>
  <c r="K2269" i="7"/>
  <c r="K2268" i="7"/>
  <c r="K2267" i="7"/>
  <c r="K2266" i="7"/>
  <c r="K2265" i="7"/>
  <c r="K2264" i="7"/>
  <c r="K2254" i="7"/>
  <c r="K2166" i="7"/>
  <c r="K2165" i="7"/>
  <c r="K2162" i="7"/>
  <c r="K2018" i="7"/>
  <c r="K1998" i="7"/>
  <c r="K1981" i="7"/>
  <c r="K1980" i="7"/>
  <c r="K1978" i="7"/>
  <c r="K1977" i="7"/>
  <c r="K1973" i="7"/>
  <c r="K1971" i="7"/>
  <c r="K1970" i="7"/>
  <c r="K1969" i="7"/>
  <c r="K1965" i="7"/>
  <c r="K1843" i="7"/>
  <c r="K1842" i="7"/>
  <c r="K1840" i="7"/>
  <c r="K1839" i="7"/>
  <c r="K1838" i="7"/>
  <c r="K1837" i="7"/>
  <c r="K1836" i="7"/>
  <c r="K1832" i="7"/>
  <c r="K1813" i="7"/>
  <c r="K1812" i="7"/>
  <c r="K1811" i="7"/>
  <c r="K1810" i="7"/>
  <c r="K1809" i="7"/>
  <c r="K1808" i="7"/>
  <c r="K1807" i="7"/>
  <c r="K1806" i="7"/>
  <c r="K1805" i="7"/>
  <c r="K1804" i="7"/>
  <c r="K1803" i="7"/>
  <c r="K1699" i="7"/>
  <c r="K1682" i="7"/>
  <c r="K1681" i="7"/>
  <c r="K1680" i="7"/>
  <c r="K1679" i="7"/>
  <c r="K1678" i="7"/>
  <c r="K1676" i="7"/>
  <c r="K1675" i="7"/>
  <c r="K1671" i="7"/>
  <c r="K1624" i="7"/>
  <c r="K1623" i="7"/>
  <c r="K1622" i="7"/>
  <c r="K1621" i="7"/>
  <c r="K1620" i="7"/>
  <c r="K1619" i="7"/>
  <c r="K1618" i="7"/>
  <c r="K1564" i="7"/>
  <c r="K1460" i="7"/>
  <c r="K1458" i="7"/>
  <c r="K1457" i="7"/>
  <c r="K1456" i="7"/>
  <c r="K1455" i="7"/>
  <c r="K1454" i="7"/>
  <c r="K1430" i="7"/>
  <c r="K1429" i="7"/>
  <c r="K1398" i="7"/>
  <c r="K1375" i="7"/>
  <c r="K1374" i="7"/>
  <c r="K1365" i="7"/>
  <c r="K1364" i="7"/>
  <c r="K1362" i="7"/>
  <c r="K1361" i="7"/>
  <c r="K1303" i="7"/>
  <c r="K1302" i="7"/>
  <c r="K1301" i="7"/>
  <c r="K1300" i="7"/>
  <c r="K1299" i="7"/>
  <c r="K1298" i="7"/>
  <c r="K1297" i="7"/>
  <c r="K1296" i="7"/>
  <c r="K1295" i="7"/>
  <c r="K1294" i="7"/>
  <c r="K1293" i="7"/>
  <c r="K1292" i="7"/>
  <c r="K1291" i="7"/>
  <c r="K1290" i="7"/>
  <c r="K1289" i="7"/>
  <c r="K1288" i="7"/>
  <c r="K1287" i="7"/>
  <c r="K1286" i="7"/>
  <c r="K1285" i="7"/>
  <c r="K1284" i="7"/>
  <c r="K1283" i="7"/>
  <c r="K1282" i="7"/>
  <c r="K1141" i="7"/>
  <c r="K1140" i="7"/>
  <c r="K1139" i="7"/>
  <c r="K967" i="7"/>
  <c r="K945" i="7"/>
  <c r="K905" i="7"/>
  <c r="K904" i="7"/>
  <c r="K903" i="7"/>
  <c r="K902" i="7"/>
  <c r="K901" i="7"/>
  <c r="K900" i="7"/>
  <c r="K899" i="7"/>
  <c r="K898" i="7"/>
  <c r="K896" i="7"/>
  <c r="K897" i="7"/>
  <c r="K895" i="7"/>
  <c r="K894" i="7"/>
  <c r="K892" i="7"/>
  <c r="K787" i="7"/>
  <c r="K785" i="7"/>
  <c r="K784" i="7"/>
  <c r="K783" i="7"/>
  <c r="K781" i="7"/>
  <c r="K768" i="7"/>
  <c r="K689" i="7"/>
  <c r="K688" i="7"/>
  <c r="K569" i="7"/>
  <c r="K567" i="7"/>
  <c r="K566" i="7"/>
  <c r="K500" i="7"/>
  <c r="K498" i="7"/>
  <c r="K495" i="7"/>
  <c r="K493" i="7"/>
  <c r="K492" i="7"/>
  <c r="K491" i="7"/>
  <c r="K483" i="7"/>
  <c r="K482" i="7"/>
  <c r="K282" i="7"/>
  <c r="K2062" i="7"/>
  <c r="K213" i="7"/>
  <c r="K197" i="7"/>
  <c r="K196" i="7"/>
  <c r="K194" i="7"/>
  <c r="K193" i="7"/>
  <c r="K192" i="7"/>
  <c r="K191" i="7"/>
  <c r="K190" i="7"/>
  <c r="K189" i="7"/>
  <c r="K188" i="7"/>
  <c r="K187" i="7"/>
  <c r="K186" i="7"/>
  <c r="K139" i="7"/>
  <c r="K138" i="7"/>
  <c r="K63" i="7"/>
  <c r="K57" i="7"/>
  <c r="K124" i="7"/>
  <c r="K123" i="7"/>
  <c r="K77" i="7"/>
  <c r="K80" i="7"/>
  <c r="K72" i="7"/>
  <c r="K78" i="7"/>
  <c r="K69" i="7"/>
  <c r="K65" i="7"/>
  <c r="K62" i="7"/>
  <c r="K61" i="7"/>
  <c r="K59" i="7"/>
  <c r="K58" i="7"/>
  <c r="K56" i="7"/>
  <c r="K53" i="7"/>
  <c r="R401" i="9" l="1"/>
  <c r="L281" i="9"/>
  <c r="N281" i="9" s="1"/>
  <c r="L352" i="9"/>
  <c r="N352" i="9" s="1"/>
  <c r="L353" i="9"/>
  <c r="N353" i="9" s="1"/>
  <c r="L641" i="9"/>
  <c r="N641" i="9" s="1"/>
  <c r="L700" i="9"/>
  <c r="N700" i="9" s="1"/>
  <c r="L701" i="9"/>
  <c r="N701" i="9" s="1"/>
  <c r="L855" i="9"/>
  <c r="N855" i="9" s="1"/>
  <c r="L880" i="9"/>
  <c r="N880" i="9" s="1"/>
  <c r="L881" i="9"/>
  <c r="N881" i="9" s="1"/>
  <c r="L64" i="9"/>
  <c r="N64" i="9" s="1"/>
  <c r="L845" i="9" l="1"/>
  <c r="N845" i="9" s="1"/>
  <c r="L640" i="9"/>
  <c r="N640" i="9" s="1"/>
  <c r="L280" i="9"/>
  <c r="N280" i="9" s="1"/>
  <c r="L844" i="9"/>
  <c r="N844" i="9" s="1"/>
  <c r="L629" i="9"/>
  <c r="N629" i="9" s="1"/>
  <c r="L209" i="9"/>
  <c r="N209" i="9" s="1"/>
  <c r="L807" i="9"/>
  <c r="N807" i="9" s="1"/>
  <c r="L569" i="9"/>
  <c r="N569" i="9" s="1"/>
  <c r="L208" i="9"/>
  <c r="N208" i="9" s="1"/>
  <c r="L797" i="9"/>
  <c r="N797" i="9" s="1"/>
  <c r="L568" i="9"/>
  <c r="N568" i="9" s="1"/>
  <c r="L137" i="9"/>
  <c r="N137" i="9" s="1"/>
  <c r="L796" i="9"/>
  <c r="N796" i="9" s="1"/>
  <c r="L557" i="9"/>
  <c r="N557" i="9" s="1"/>
  <c r="L136" i="9"/>
  <c r="N136" i="9" s="1"/>
  <c r="L905" i="9"/>
  <c r="N905" i="9" s="1"/>
  <c r="L759" i="9"/>
  <c r="N759" i="9" s="1"/>
  <c r="L497" i="9"/>
  <c r="N497" i="9" s="1"/>
  <c r="L65" i="9"/>
  <c r="N65" i="9" s="1"/>
  <c r="L904" i="9"/>
  <c r="N904" i="9" s="1"/>
  <c r="L749" i="9"/>
  <c r="N749" i="9" s="1"/>
  <c r="L496" i="9"/>
  <c r="N496" i="9" s="1"/>
  <c r="L18" i="9"/>
  <c r="N18" i="9" s="1"/>
  <c r="L30" i="9"/>
  <c r="N30" i="9" s="1"/>
  <c r="L42" i="9"/>
  <c r="N42" i="9" s="1"/>
  <c r="L54" i="9"/>
  <c r="N54" i="9" s="1"/>
  <c r="L66" i="9"/>
  <c r="N66" i="9" s="1"/>
  <c r="L78" i="9"/>
  <c r="N78" i="9" s="1"/>
  <c r="L90" i="9"/>
  <c r="N90" i="9" s="1"/>
  <c r="L102" i="9"/>
  <c r="N102" i="9" s="1"/>
  <c r="L114" i="9"/>
  <c r="N114" i="9" s="1"/>
  <c r="L126" i="9"/>
  <c r="N126" i="9" s="1"/>
  <c r="L138" i="9"/>
  <c r="N138" i="9" s="1"/>
  <c r="L150" i="9"/>
  <c r="N150" i="9" s="1"/>
  <c r="L162" i="9"/>
  <c r="N162" i="9" s="1"/>
  <c r="L174" i="9"/>
  <c r="N174" i="9" s="1"/>
  <c r="L186" i="9"/>
  <c r="N186" i="9" s="1"/>
  <c r="L198" i="9"/>
  <c r="N198" i="9" s="1"/>
  <c r="L210" i="9"/>
  <c r="N210" i="9" s="1"/>
  <c r="L222" i="9"/>
  <c r="N222" i="9" s="1"/>
  <c r="L234" i="9"/>
  <c r="N234" i="9" s="1"/>
  <c r="L246" i="9"/>
  <c r="N246" i="9" s="1"/>
  <c r="L258" i="9"/>
  <c r="N258" i="9" s="1"/>
  <c r="L270" i="9"/>
  <c r="N270" i="9" s="1"/>
  <c r="L282" i="9"/>
  <c r="N282" i="9" s="1"/>
  <c r="L294" i="9"/>
  <c r="N294" i="9" s="1"/>
  <c r="L306" i="9"/>
  <c r="N306" i="9" s="1"/>
  <c r="L318" i="9"/>
  <c r="N318" i="9" s="1"/>
  <c r="L330" i="9"/>
  <c r="N330" i="9" s="1"/>
  <c r="L342" i="9"/>
  <c r="N342" i="9" s="1"/>
  <c r="L354" i="9"/>
  <c r="N354" i="9" s="1"/>
  <c r="L366" i="9"/>
  <c r="N366" i="9" s="1"/>
  <c r="L378" i="9"/>
  <c r="N378" i="9" s="1"/>
  <c r="L390" i="9"/>
  <c r="N390" i="9" s="1"/>
  <c r="L402" i="9"/>
  <c r="N402" i="9" s="1"/>
  <c r="L414" i="9"/>
  <c r="N414" i="9" s="1"/>
  <c r="L426" i="9"/>
  <c r="N426" i="9" s="1"/>
  <c r="L438" i="9"/>
  <c r="N438" i="9" s="1"/>
  <c r="L450" i="9"/>
  <c r="N450" i="9" s="1"/>
  <c r="L462" i="9"/>
  <c r="N462" i="9" s="1"/>
  <c r="L474" i="9"/>
  <c r="N474" i="9" s="1"/>
  <c r="L486" i="9"/>
  <c r="N486" i="9" s="1"/>
  <c r="L498" i="9"/>
  <c r="N498" i="9" s="1"/>
  <c r="L510" i="9"/>
  <c r="N510" i="9" s="1"/>
  <c r="L522" i="9"/>
  <c r="N522" i="9" s="1"/>
  <c r="L534" i="9"/>
  <c r="N534" i="9" s="1"/>
  <c r="L546" i="9"/>
  <c r="N546" i="9" s="1"/>
  <c r="L558" i="9"/>
  <c r="N558" i="9" s="1"/>
  <c r="L570" i="9"/>
  <c r="N570" i="9" s="1"/>
  <c r="L582" i="9"/>
  <c r="N582" i="9" s="1"/>
  <c r="L594" i="9"/>
  <c r="N594" i="9" s="1"/>
  <c r="L606" i="9"/>
  <c r="N606" i="9" s="1"/>
  <c r="L618" i="9"/>
  <c r="N618" i="9" s="1"/>
  <c r="L630" i="9"/>
  <c r="N630" i="9" s="1"/>
  <c r="L642" i="9"/>
  <c r="N642" i="9" s="1"/>
  <c r="L654" i="9"/>
  <c r="N654" i="9" s="1"/>
  <c r="L666" i="9"/>
  <c r="N666" i="9" s="1"/>
  <c r="L678" i="9"/>
  <c r="N678" i="9" s="1"/>
  <c r="L690" i="9"/>
  <c r="N690" i="9" s="1"/>
  <c r="L702" i="9"/>
  <c r="N702" i="9" s="1"/>
  <c r="L714" i="9"/>
  <c r="N714" i="9" s="1"/>
  <c r="L726" i="9"/>
  <c r="N726" i="9" s="1"/>
  <c r="L738" i="9"/>
  <c r="N738" i="9" s="1"/>
  <c r="L750" i="9"/>
  <c r="N750" i="9" s="1"/>
  <c r="L762" i="9"/>
  <c r="N762" i="9" s="1"/>
  <c r="L774" i="9"/>
  <c r="N774" i="9" s="1"/>
  <c r="L786" i="9"/>
  <c r="N786" i="9" s="1"/>
  <c r="L798" i="9"/>
  <c r="N798" i="9" s="1"/>
  <c r="L810" i="9"/>
  <c r="N810" i="9" s="1"/>
  <c r="L822" i="9"/>
  <c r="N822" i="9" s="1"/>
  <c r="L834" i="9"/>
  <c r="N834" i="9" s="1"/>
  <c r="L846" i="9"/>
  <c r="N846" i="9" s="1"/>
  <c r="L858" i="9"/>
  <c r="N858" i="9" s="1"/>
  <c r="L870" i="9"/>
  <c r="N870" i="9" s="1"/>
  <c r="L882" i="9"/>
  <c r="N882" i="9" s="1"/>
  <c r="L894" i="9"/>
  <c r="N894" i="9" s="1"/>
  <c r="L906" i="9"/>
  <c r="N906" i="9" s="1"/>
  <c r="L19" i="9"/>
  <c r="N19" i="9" s="1"/>
  <c r="L31" i="9"/>
  <c r="N31" i="9" s="1"/>
  <c r="L43" i="9"/>
  <c r="N43" i="9" s="1"/>
  <c r="L55" i="9"/>
  <c r="N55" i="9" s="1"/>
  <c r="L67" i="9"/>
  <c r="N67" i="9" s="1"/>
  <c r="L79" i="9"/>
  <c r="N79" i="9" s="1"/>
  <c r="L91" i="9"/>
  <c r="N91" i="9" s="1"/>
  <c r="L103" i="9"/>
  <c r="N103" i="9" s="1"/>
  <c r="L115" i="9"/>
  <c r="N115" i="9" s="1"/>
  <c r="L127" i="9"/>
  <c r="N127" i="9" s="1"/>
  <c r="L139" i="9"/>
  <c r="N139" i="9" s="1"/>
  <c r="L151" i="9"/>
  <c r="N151" i="9" s="1"/>
  <c r="L163" i="9"/>
  <c r="N163" i="9" s="1"/>
  <c r="L175" i="9"/>
  <c r="N175" i="9" s="1"/>
  <c r="L187" i="9"/>
  <c r="N187" i="9" s="1"/>
  <c r="L199" i="9"/>
  <c r="N199" i="9" s="1"/>
  <c r="L211" i="9"/>
  <c r="N211" i="9" s="1"/>
  <c r="L223" i="9"/>
  <c r="N223" i="9" s="1"/>
  <c r="L235" i="9"/>
  <c r="N235" i="9" s="1"/>
  <c r="L247" i="9"/>
  <c r="N247" i="9" s="1"/>
  <c r="L259" i="9"/>
  <c r="N259" i="9" s="1"/>
  <c r="L271" i="9"/>
  <c r="N271" i="9" s="1"/>
  <c r="L283" i="9"/>
  <c r="N283" i="9" s="1"/>
  <c r="L295" i="9"/>
  <c r="N295" i="9" s="1"/>
  <c r="L307" i="9"/>
  <c r="N307" i="9" s="1"/>
  <c r="L319" i="9"/>
  <c r="N319" i="9" s="1"/>
  <c r="L331" i="9"/>
  <c r="N331" i="9" s="1"/>
  <c r="L343" i="9"/>
  <c r="N343" i="9" s="1"/>
  <c r="L355" i="9"/>
  <c r="N355" i="9" s="1"/>
  <c r="L367" i="9"/>
  <c r="N367" i="9" s="1"/>
  <c r="L379" i="9"/>
  <c r="N379" i="9" s="1"/>
  <c r="L391" i="9"/>
  <c r="N391" i="9" s="1"/>
  <c r="L403" i="9"/>
  <c r="N403" i="9" s="1"/>
  <c r="L415" i="9"/>
  <c r="N415" i="9" s="1"/>
  <c r="L427" i="9"/>
  <c r="N427" i="9" s="1"/>
  <c r="L439" i="9"/>
  <c r="N439" i="9" s="1"/>
  <c r="L451" i="9"/>
  <c r="N451" i="9" s="1"/>
  <c r="L463" i="9"/>
  <c r="N463" i="9" s="1"/>
  <c r="L475" i="9"/>
  <c r="N475" i="9" s="1"/>
  <c r="L487" i="9"/>
  <c r="N487" i="9" s="1"/>
  <c r="L499" i="9"/>
  <c r="N499" i="9" s="1"/>
  <c r="L511" i="9"/>
  <c r="N511" i="9" s="1"/>
  <c r="L523" i="9"/>
  <c r="N523" i="9" s="1"/>
  <c r="L535" i="9"/>
  <c r="N535" i="9" s="1"/>
  <c r="L547" i="9"/>
  <c r="N547" i="9" s="1"/>
  <c r="L559" i="9"/>
  <c r="N559" i="9" s="1"/>
  <c r="L571" i="9"/>
  <c r="N571" i="9" s="1"/>
  <c r="L583" i="9"/>
  <c r="N583" i="9" s="1"/>
  <c r="L595" i="9"/>
  <c r="N595" i="9" s="1"/>
  <c r="L607" i="9"/>
  <c r="N607" i="9" s="1"/>
  <c r="L619" i="9"/>
  <c r="N619" i="9" s="1"/>
  <c r="L631" i="9"/>
  <c r="N631" i="9" s="1"/>
  <c r="L643" i="9"/>
  <c r="N643" i="9" s="1"/>
  <c r="L655" i="9"/>
  <c r="N655" i="9" s="1"/>
  <c r="L667" i="9"/>
  <c r="N667" i="9" s="1"/>
  <c r="L679" i="9"/>
  <c r="N679" i="9" s="1"/>
  <c r="L691" i="9"/>
  <c r="N691" i="9" s="1"/>
  <c r="L703" i="9"/>
  <c r="N703" i="9" s="1"/>
  <c r="L715" i="9"/>
  <c r="N715" i="9" s="1"/>
  <c r="L727" i="9"/>
  <c r="N727" i="9" s="1"/>
  <c r="L739" i="9"/>
  <c r="N739" i="9" s="1"/>
  <c r="L751" i="9"/>
  <c r="N751" i="9" s="1"/>
  <c r="L763" i="9"/>
  <c r="N763" i="9" s="1"/>
  <c r="L775" i="9"/>
  <c r="N775" i="9" s="1"/>
  <c r="L787" i="9"/>
  <c r="N787" i="9" s="1"/>
  <c r="L799" i="9"/>
  <c r="N799" i="9" s="1"/>
  <c r="L811" i="9"/>
  <c r="N811" i="9" s="1"/>
  <c r="L823" i="9"/>
  <c r="N823" i="9" s="1"/>
  <c r="L835" i="9"/>
  <c r="N835" i="9" s="1"/>
  <c r="L847" i="9"/>
  <c r="N847" i="9" s="1"/>
  <c r="L859" i="9"/>
  <c r="N859" i="9" s="1"/>
  <c r="L871" i="9"/>
  <c r="N871" i="9" s="1"/>
  <c r="L883" i="9"/>
  <c r="N883" i="9" s="1"/>
  <c r="L895" i="9"/>
  <c r="N895" i="9" s="1"/>
  <c r="L907" i="9"/>
  <c r="N907" i="9" s="1"/>
  <c r="L8" i="9"/>
  <c r="N8" i="9" s="1"/>
  <c r="L20" i="9"/>
  <c r="N20" i="9" s="1"/>
  <c r="L32" i="9"/>
  <c r="N32" i="9" s="1"/>
  <c r="L44" i="9"/>
  <c r="N44" i="9" s="1"/>
  <c r="L56" i="9"/>
  <c r="N56" i="9" s="1"/>
  <c r="L68" i="9"/>
  <c r="N68" i="9" s="1"/>
  <c r="L80" i="9"/>
  <c r="N80" i="9" s="1"/>
  <c r="L92" i="9"/>
  <c r="N92" i="9" s="1"/>
  <c r="L104" i="9"/>
  <c r="N104" i="9" s="1"/>
  <c r="L116" i="9"/>
  <c r="N116" i="9" s="1"/>
  <c r="L128" i="9"/>
  <c r="N128" i="9" s="1"/>
  <c r="L140" i="9"/>
  <c r="N140" i="9" s="1"/>
  <c r="L152" i="9"/>
  <c r="N152" i="9" s="1"/>
  <c r="L164" i="9"/>
  <c r="N164" i="9" s="1"/>
  <c r="L176" i="9"/>
  <c r="N176" i="9" s="1"/>
  <c r="L188" i="9"/>
  <c r="N188" i="9" s="1"/>
  <c r="L200" i="9"/>
  <c r="N200" i="9" s="1"/>
  <c r="L212" i="9"/>
  <c r="N212" i="9" s="1"/>
  <c r="L224" i="9"/>
  <c r="N224" i="9" s="1"/>
  <c r="L236" i="9"/>
  <c r="N236" i="9" s="1"/>
  <c r="L248" i="9"/>
  <c r="N248" i="9" s="1"/>
  <c r="L260" i="9"/>
  <c r="N260" i="9" s="1"/>
  <c r="L272" i="9"/>
  <c r="N272" i="9" s="1"/>
  <c r="L284" i="9"/>
  <c r="N284" i="9" s="1"/>
  <c r="L296" i="9"/>
  <c r="N296" i="9" s="1"/>
  <c r="L308" i="9"/>
  <c r="N308" i="9" s="1"/>
  <c r="L320" i="9"/>
  <c r="N320" i="9" s="1"/>
  <c r="L332" i="9"/>
  <c r="N332" i="9" s="1"/>
  <c r="L344" i="9"/>
  <c r="N344" i="9" s="1"/>
  <c r="L356" i="9"/>
  <c r="N356" i="9" s="1"/>
  <c r="L368" i="9"/>
  <c r="N368" i="9" s="1"/>
  <c r="L380" i="9"/>
  <c r="N380" i="9" s="1"/>
  <c r="L392" i="9"/>
  <c r="N392" i="9" s="1"/>
  <c r="L404" i="9"/>
  <c r="N404" i="9" s="1"/>
  <c r="L416" i="9"/>
  <c r="N416" i="9" s="1"/>
  <c r="L428" i="9"/>
  <c r="N428" i="9" s="1"/>
  <c r="L440" i="9"/>
  <c r="N440" i="9" s="1"/>
  <c r="L452" i="9"/>
  <c r="N452" i="9" s="1"/>
  <c r="L464" i="9"/>
  <c r="N464" i="9" s="1"/>
  <c r="L476" i="9"/>
  <c r="N476" i="9" s="1"/>
  <c r="L488" i="9"/>
  <c r="N488" i="9" s="1"/>
  <c r="L500" i="9"/>
  <c r="N500" i="9" s="1"/>
  <c r="L512" i="9"/>
  <c r="N512" i="9" s="1"/>
  <c r="L524" i="9"/>
  <c r="N524" i="9" s="1"/>
  <c r="L536" i="9"/>
  <c r="N536" i="9" s="1"/>
  <c r="L548" i="9"/>
  <c r="N548" i="9" s="1"/>
  <c r="L560" i="9"/>
  <c r="N560" i="9" s="1"/>
  <c r="L572" i="9"/>
  <c r="N572" i="9" s="1"/>
  <c r="L584" i="9"/>
  <c r="N584" i="9" s="1"/>
  <c r="L596" i="9"/>
  <c r="N596" i="9" s="1"/>
  <c r="L608" i="9"/>
  <c r="N608" i="9" s="1"/>
  <c r="L620" i="9"/>
  <c r="N620" i="9" s="1"/>
  <c r="L632" i="9"/>
  <c r="N632" i="9" s="1"/>
  <c r="L644" i="9"/>
  <c r="N644" i="9" s="1"/>
  <c r="L656" i="9"/>
  <c r="N656" i="9" s="1"/>
  <c r="L668" i="9"/>
  <c r="N668" i="9" s="1"/>
  <c r="L680" i="9"/>
  <c r="N680" i="9" s="1"/>
  <c r="L692" i="9"/>
  <c r="N692" i="9" s="1"/>
  <c r="L704" i="9"/>
  <c r="N704" i="9" s="1"/>
  <c r="L716" i="9"/>
  <c r="N716" i="9" s="1"/>
  <c r="L728" i="9"/>
  <c r="N728" i="9" s="1"/>
  <c r="L740" i="9"/>
  <c r="N740" i="9" s="1"/>
  <c r="L752" i="9"/>
  <c r="N752" i="9" s="1"/>
  <c r="L764" i="9"/>
  <c r="N764" i="9" s="1"/>
  <c r="L776" i="9"/>
  <c r="N776" i="9" s="1"/>
  <c r="L788" i="9"/>
  <c r="N788" i="9" s="1"/>
  <c r="L800" i="9"/>
  <c r="N800" i="9" s="1"/>
  <c r="L812" i="9"/>
  <c r="N812" i="9" s="1"/>
  <c r="L824" i="9"/>
  <c r="N824" i="9" s="1"/>
  <c r="L836" i="9"/>
  <c r="N836" i="9" s="1"/>
  <c r="L848" i="9"/>
  <c r="N848" i="9" s="1"/>
  <c r="L860" i="9"/>
  <c r="N860" i="9" s="1"/>
  <c r="L9" i="9"/>
  <c r="N9" i="9" s="1"/>
  <c r="L21" i="9"/>
  <c r="N21" i="9" s="1"/>
  <c r="L33" i="9"/>
  <c r="N33" i="9" s="1"/>
  <c r="L45" i="9"/>
  <c r="N45" i="9" s="1"/>
  <c r="L57" i="9"/>
  <c r="N57" i="9" s="1"/>
  <c r="L69" i="9"/>
  <c r="N69" i="9" s="1"/>
  <c r="L81" i="9"/>
  <c r="N81" i="9" s="1"/>
  <c r="L93" i="9"/>
  <c r="N93" i="9" s="1"/>
  <c r="L105" i="9"/>
  <c r="N105" i="9" s="1"/>
  <c r="L117" i="9"/>
  <c r="N117" i="9" s="1"/>
  <c r="L129" i="9"/>
  <c r="N129" i="9" s="1"/>
  <c r="L141" i="9"/>
  <c r="N141" i="9" s="1"/>
  <c r="L153" i="9"/>
  <c r="N153" i="9" s="1"/>
  <c r="L165" i="9"/>
  <c r="N165" i="9" s="1"/>
  <c r="L177" i="9"/>
  <c r="N177" i="9" s="1"/>
  <c r="L189" i="9"/>
  <c r="N189" i="9" s="1"/>
  <c r="L201" i="9"/>
  <c r="N201" i="9" s="1"/>
  <c r="L213" i="9"/>
  <c r="N213" i="9" s="1"/>
  <c r="L225" i="9"/>
  <c r="N225" i="9" s="1"/>
  <c r="L237" i="9"/>
  <c r="N237" i="9" s="1"/>
  <c r="L249" i="9"/>
  <c r="N249" i="9" s="1"/>
  <c r="L261" i="9"/>
  <c r="N261" i="9" s="1"/>
  <c r="L273" i="9"/>
  <c r="N273" i="9" s="1"/>
  <c r="L285" i="9"/>
  <c r="N285" i="9" s="1"/>
  <c r="L297" i="9"/>
  <c r="N297" i="9" s="1"/>
  <c r="L309" i="9"/>
  <c r="N309" i="9" s="1"/>
  <c r="L321" i="9"/>
  <c r="N321" i="9" s="1"/>
  <c r="L333" i="9"/>
  <c r="N333" i="9" s="1"/>
  <c r="L345" i="9"/>
  <c r="N345" i="9" s="1"/>
  <c r="L357" i="9"/>
  <c r="N357" i="9" s="1"/>
  <c r="L369" i="9"/>
  <c r="N369" i="9" s="1"/>
  <c r="L381" i="9"/>
  <c r="N381" i="9" s="1"/>
  <c r="L393" i="9"/>
  <c r="N393" i="9" s="1"/>
  <c r="L405" i="9"/>
  <c r="N405" i="9" s="1"/>
  <c r="L417" i="9"/>
  <c r="N417" i="9" s="1"/>
  <c r="L429" i="9"/>
  <c r="N429" i="9" s="1"/>
  <c r="L441" i="9"/>
  <c r="N441" i="9" s="1"/>
  <c r="L453" i="9"/>
  <c r="N453" i="9" s="1"/>
  <c r="L465" i="9"/>
  <c r="N465" i="9" s="1"/>
  <c r="L477" i="9"/>
  <c r="N477" i="9" s="1"/>
  <c r="L489" i="9"/>
  <c r="N489" i="9" s="1"/>
  <c r="L501" i="9"/>
  <c r="N501" i="9" s="1"/>
  <c r="L513" i="9"/>
  <c r="N513" i="9" s="1"/>
  <c r="L525" i="9"/>
  <c r="N525" i="9" s="1"/>
  <c r="L537" i="9"/>
  <c r="N537" i="9" s="1"/>
  <c r="L549" i="9"/>
  <c r="N549" i="9" s="1"/>
  <c r="L561" i="9"/>
  <c r="N561" i="9" s="1"/>
  <c r="L573" i="9"/>
  <c r="N573" i="9" s="1"/>
  <c r="L585" i="9"/>
  <c r="N585" i="9" s="1"/>
  <c r="L597" i="9"/>
  <c r="N597" i="9" s="1"/>
  <c r="L609" i="9"/>
  <c r="N609" i="9" s="1"/>
  <c r="L621" i="9"/>
  <c r="N621" i="9" s="1"/>
  <c r="L633" i="9"/>
  <c r="N633" i="9" s="1"/>
  <c r="L645" i="9"/>
  <c r="N645" i="9" s="1"/>
  <c r="L657" i="9"/>
  <c r="N657" i="9" s="1"/>
  <c r="L669" i="9"/>
  <c r="N669" i="9" s="1"/>
  <c r="L681" i="9"/>
  <c r="N681" i="9" s="1"/>
  <c r="L693" i="9"/>
  <c r="N693" i="9" s="1"/>
  <c r="L705" i="9"/>
  <c r="N705" i="9" s="1"/>
  <c r="L717" i="9"/>
  <c r="N717" i="9" s="1"/>
  <c r="L729" i="9"/>
  <c r="N729" i="9" s="1"/>
  <c r="L741" i="9"/>
  <c r="N741" i="9" s="1"/>
  <c r="L753" i="9"/>
  <c r="N753" i="9" s="1"/>
  <c r="L765" i="9"/>
  <c r="N765" i="9" s="1"/>
  <c r="L777" i="9"/>
  <c r="N777" i="9" s="1"/>
  <c r="L789" i="9"/>
  <c r="N789" i="9" s="1"/>
  <c r="L801" i="9"/>
  <c r="N801" i="9" s="1"/>
  <c r="L813" i="9"/>
  <c r="N813" i="9" s="1"/>
  <c r="L825" i="9"/>
  <c r="N825" i="9" s="1"/>
  <c r="L837" i="9"/>
  <c r="N837" i="9" s="1"/>
  <c r="L849" i="9"/>
  <c r="N849" i="9" s="1"/>
  <c r="L861" i="9"/>
  <c r="N861" i="9" s="1"/>
  <c r="L873" i="9"/>
  <c r="N873" i="9" s="1"/>
  <c r="L885" i="9"/>
  <c r="N885" i="9" s="1"/>
  <c r="L897" i="9"/>
  <c r="N897" i="9" s="1"/>
  <c r="L909" i="9"/>
  <c r="N909" i="9" s="1"/>
  <c r="L10" i="9"/>
  <c r="N10" i="9" s="1"/>
  <c r="L22" i="9"/>
  <c r="N22" i="9" s="1"/>
  <c r="L34" i="9"/>
  <c r="N34" i="9" s="1"/>
  <c r="L46" i="9"/>
  <c r="N46" i="9" s="1"/>
  <c r="L58" i="9"/>
  <c r="N58" i="9" s="1"/>
  <c r="L70" i="9"/>
  <c r="N70" i="9" s="1"/>
  <c r="L82" i="9"/>
  <c r="N82" i="9" s="1"/>
  <c r="L94" i="9"/>
  <c r="N94" i="9" s="1"/>
  <c r="L106" i="9"/>
  <c r="N106" i="9" s="1"/>
  <c r="L118" i="9"/>
  <c r="N118" i="9" s="1"/>
  <c r="L130" i="9"/>
  <c r="N130" i="9" s="1"/>
  <c r="L142" i="9"/>
  <c r="N142" i="9" s="1"/>
  <c r="L154" i="9"/>
  <c r="N154" i="9" s="1"/>
  <c r="L166" i="9"/>
  <c r="N166" i="9" s="1"/>
  <c r="L178" i="9"/>
  <c r="N178" i="9" s="1"/>
  <c r="L190" i="9"/>
  <c r="N190" i="9" s="1"/>
  <c r="L202" i="9"/>
  <c r="N202" i="9" s="1"/>
  <c r="L214" i="9"/>
  <c r="N214" i="9" s="1"/>
  <c r="L226" i="9"/>
  <c r="N226" i="9" s="1"/>
  <c r="L238" i="9"/>
  <c r="N238" i="9" s="1"/>
  <c r="L250" i="9"/>
  <c r="N250" i="9" s="1"/>
  <c r="L262" i="9"/>
  <c r="N262" i="9" s="1"/>
  <c r="L274" i="9"/>
  <c r="N274" i="9" s="1"/>
  <c r="L286" i="9"/>
  <c r="N286" i="9" s="1"/>
  <c r="L298" i="9"/>
  <c r="N298" i="9" s="1"/>
  <c r="L310" i="9"/>
  <c r="N310" i="9" s="1"/>
  <c r="L322" i="9"/>
  <c r="N322" i="9" s="1"/>
  <c r="L334" i="9"/>
  <c r="N334" i="9" s="1"/>
  <c r="L346" i="9"/>
  <c r="N346" i="9" s="1"/>
  <c r="L358" i="9"/>
  <c r="N358" i="9" s="1"/>
  <c r="L370" i="9"/>
  <c r="N370" i="9" s="1"/>
  <c r="L382" i="9"/>
  <c r="N382" i="9" s="1"/>
  <c r="L394" i="9"/>
  <c r="N394" i="9" s="1"/>
  <c r="L406" i="9"/>
  <c r="N406" i="9" s="1"/>
  <c r="L418" i="9"/>
  <c r="N418" i="9" s="1"/>
  <c r="L430" i="9"/>
  <c r="N430" i="9" s="1"/>
  <c r="L442" i="9"/>
  <c r="N442" i="9" s="1"/>
  <c r="L454" i="9"/>
  <c r="N454" i="9" s="1"/>
  <c r="L466" i="9"/>
  <c r="N466" i="9" s="1"/>
  <c r="L478" i="9"/>
  <c r="N478" i="9" s="1"/>
  <c r="L490" i="9"/>
  <c r="N490" i="9" s="1"/>
  <c r="L502" i="9"/>
  <c r="N502" i="9" s="1"/>
  <c r="L514" i="9"/>
  <c r="N514" i="9" s="1"/>
  <c r="L526" i="9"/>
  <c r="N526" i="9" s="1"/>
  <c r="L538" i="9"/>
  <c r="N538" i="9" s="1"/>
  <c r="L550" i="9"/>
  <c r="N550" i="9" s="1"/>
  <c r="L562" i="9"/>
  <c r="N562" i="9" s="1"/>
  <c r="L574" i="9"/>
  <c r="N574" i="9" s="1"/>
  <c r="L586" i="9"/>
  <c r="N586" i="9" s="1"/>
  <c r="L598" i="9"/>
  <c r="N598" i="9" s="1"/>
  <c r="L610" i="9"/>
  <c r="N610" i="9" s="1"/>
  <c r="L622" i="9"/>
  <c r="N622" i="9" s="1"/>
  <c r="L634" i="9"/>
  <c r="N634" i="9" s="1"/>
  <c r="L646" i="9"/>
  <c r="N646" i="9" s="1"/>
  <c r="L658" i="9"/>
  <c r="N658" i="9" s="1"/>
  <c r="L670" i="9"/>
  <c r="N670" i="9" s="1"/>
  <c r="L682" i="9"/>
  <c r="N682" i="9" s="1"/>
  <c r="L694" i="9"/>
  <c r="N694" i="9" s="1"/>
  <c r="L706" i="9"/>
  <c r="N706" i="9" s="1"/>
  <c r="L718" i="9"/>
  <c r="N718" i="9" s="1"/>
  <c r="L730" i="9"/>
  <c r="N730" i="9" s="1"/>
  <c r="L742" i="9"/>
  <c r="N742" i="9" s="1"/>
  <c r="L754" i="9"/>
  <c r="N754" i="9" s="1"/>
  <c r="L766" i="9"/>
  <c r="N766" i="9" s="1"/>
  <c r="L778" i="9"/>
  <c r="N778" i="9" s="1"/>
  <c r="L790" i="9"/>
  <c r="N790" i="9" s="1"/>
  <c r="L802" i="9"/>
  <c r="N802" i="9" s="1"/>
  <c r="L814" i="9"/>
  <c r="N814" i="9" s="1"/>
  <c r="L826" i="9"/>
  <c r="N826" i="9" s="1"/>
  <c r="L838" i="9"/>
  <c r="N838" i="9" s="1"/>
  <c r="L850" i="9"/>
  <c r="N850" i="9" s="1"/>
  <c r="L862" i="9"/>
  <c r="N862" i="9" s="1"/>
  <c r="L874" i="9"/>
  <c r="N874" i="9" s="1"/>
  <c r="L886" i="9"/>
  <c r="N886" i="9" s="1"/>
  <c r="L898" i="9"/>
  <c r="N898" i="9" s="1"/>
  <c r="L910" i="9"/>
  <c r="N910" i="9" s="1"/>
  <c r="L11" i="9"/>
  <c r="N11" i="9" s="1"/>
  <c r="L23" i="9"/>
  <c r="N23" i="9" s="1"/>
  <c r="L35" i="9"/>
  <c r="N35" i="9" s="1"/>
  <c r="L47" i="9"/>
  <c r="N47" i="9" s="1"/>
  <c r="L59" i="9"/>
  <c r="N59" i="9" s="1"/>
  <c r="L71" i="9"/>
  <c r="N71" i="9" s="1"/>
  <c r="L83" i="9"/>
  <c r="N83" i="9" s="1"/>
  <c r="L95" i="9"/>
  <c r="N95" i="9" s="1"/>
  <c r="L107" i="9"/>
  <c r="N107" i="9" s="1"/>
  <c r="L119" i="9"/>
  <c r="N119" i="9" s="1"/>
  <c r="L131" i="9"/>
  <c r="N131" i="9" s="1"/>
  <c r="L143" i="9"/>
  <c r="N143" i="9" s="1"/>
  <c r="L155" i="9"/>
  <c r="N155" i="9" s="1"/>
  <c r="Q155" i="9" s="1"/>
  <c r="R155" i="9" s="1"/>
  <c r="L167" i="9"/>
  <c r="N167" i="9" s="1"/>
  <c r="L179" i="9"/>
  <c r="N179" i="9" s="1"/>
  <c r="L191" i="9"/>
  <c r="N191" i="9" s="1"/>
  <c r="L203" i="9"/>
  <c r="N203" i="9" s="1"/>
  <c r="L215" i="9"/>
  <c r="N215" i="9" s="1"/>
  <c r="L227" i="9"/>
  <c r="N227" i="9" s="1"/>
  <c r="L239" i="9"/>
  <c r="N239" i="9" s="1"/>
  <c r="L251" i="9"/>
  <c r="N251" i="9" s="1"/>
  <c r="L263" i="9"/>
  <c r="N263" i="9" s="1"/>
  <c r="L275" i="9"/>
  <c r="N275" i="9" s="1"/>
  <c r="L287" i="9"/>
  <c r="N287" i="9" s="1"/>
  <c r="L299" i="9"/>
  <c r="N299" i="9" s="1"/>
  <c r="L311" i="9"/>
  <c r="N311" i="9" s="1"/>
  <c r="L323" i="9"/>
  <c r="N323" i="9" s="1"/>
  <c r="L335" i="9"/>
  <c r="N335" i="9" s="1"/>
  <c r="L347" i="9"/>
  <c r="N347" i="9" s="1"/>
  <c r="L359" i="9"/>
  <c r="N359" i="9" s="1"/>
  <c r="L371" i="9"/>
  <c r="N371" i="9" s="1"/>
  <c r="L383" i="9"/>
  <c r="N383" i="9" s="1"/>
  <c r="L395" i="9"/>
  <c r="N395" i="9" s="1"/>
  <c r="L407" i="9"/>
  <c r="N407" i="9" s="1"/>
  <c r="L419" i="9"/>
  <c r="N419" i="9" s="1"/>
  <c r="L431" i="9"/>
  <c r="N431" i="9" s="1"/>
  <c r="L443" i="9"/>
  <c r="N443" i="9" s="1"/>
  <c r="L455" i="9"/>
  <c r="N455" i="9" s="1"/>
  <c r="L467" i="9"/>
  <c r="N467" i="9" s="1"/>
  <c r="L479" i="9"/>
  <c r="N479" i="9" s="1"/>
  <c r="L491" i="9"/>
  <c r="N491" i="9" s="1"/>
  <c r="L503" i="9"/>
  <c r="N503" i="9" s="1"/>
  <c r="L515" i="9"/>
  <c r="N515" i="9" s="1"/>
  <c r="L527" i="9"/>
  <c r="N527" i="9" s="1"/>
  <c r="L539" i="9"/>
  <c r="N539" i="9" s="1"/>
  <c r="L551" i="9"/>
  <c r="N551" i="9" s="1"/>
  <c r="L563" i="9"/>
  <c r="N563" i="9" s="1"/>
  <c r="L575" i="9"/>
  <c r="N575" i="9" s="1"/>
  <c r="L587" i="9"/>
  <c r="N587" i="9" s="1"/>
  <c r="L599" i="9"/>
  <c r="N599" i="9" s="1"/>
  <c r="L611" i="9"/>
  <c r="N611" i="9" s="1"/>
  <c r="L623" i="9"/>
  <c r="N623" i="9" s="1"/>
  <c r="L635" i="9"/>
  <c r="N635" i="9" s="1"/>
  <c r="L647" i="9"/>
  <c r="N647" i="9" s="1"/>
  <c r="L659" i="9"/>
  <c r="N659" i="9" s="1"/>
  <c r="L671" i="9"/>
  <c r="N671" i="9" s="1"/>
  <c r="L683" i="9"/>
  <c r="N683" i="9" s="1"/>
  <c r="L695" i="9"/>
  <c r="N695" i="9" s="1"/>
  <c r="L707" i="9"/>
  <c r="N707" i="9" s="1"/>
  <c r="L719" i="9"/>
  <c r="N719" i="9" s="1"/>
  <c r="L731" i="9"/>
  <c r="N731" i="9" s="1"/>
  <c r="L743" i="9"/>
  <c r="N743" i="9" s="1"/>
  <c r="L755" i="9"/>
  <c r="N755" i="9" s="1"/>
  <c r="L767" i="9"/>
  <c r="N767" i="9" s="1"/>
  <c r="L779" i="9"/>
  <c r="N779" i="9" s="1"/>
  <c r="L791" i="9"/>
  <c r="N791" i="9" s="1"/>
  <c r="L803" i="9"/>
  <c r="N803" i="9" s="1"/>
  <c r="L815" i="9"/>
  <c r="N815" i="9" s="1"/>
  <c r="L827" i="9"/>
  <c r="N827" i="9" s="1"/>
  <c r="L839" i="9"/>
  <c r="N839" i="9" s="1"/>
  <c r="L851" i="9"/>
  <c r="N851" i="9" s="1"/>
  <c r="L863" i="9"/>
  <c r="N863" i="9" s="1"/>
  <c r="L875" i="9"/>
  <c r="N875" i="9" s="1"/>
  <c r="L887" i="9"/>
  <c r="N887" i="9" s="1"/>
  <c r="L899" i="9"/>
  <c r="N899" i="9" s="1"/>
  <c r="L911" i="9"/>
  <c r="N911" i="9" s="1"/>
  <c r="L12" i="9"/>
  <c r="N12" i="9" s="1"/>
  <c r="L24" i="9"/>
  <c r="N24" i="9" s="1"/>
  <c r="L36" i="9"/>
  <c r="N36" i="9" s="1"/>
  <c r="L48" i="9"/>
  <c r="N48" i="9" s="1"/>
  <c r="L60" i="9"/>
  <c r="N60" i="9" s="1"/>
  <c r="L72" i="9"/>
  <c r="N72" i="9" s="1"/>
  <c r="L84" i="9"/>
  <c r="N84" i="9" s="1"/>
  <c r="L96" i="9"/>
  <c r="N96" i="9" s="1"/>
  <c r="L108" i="9"/>
  <c r="N108" i="9" s="1"/>
  <c r="L120" i="9"/>
  <c r="N120" i="9" s="1"/>
  <c r="L132" i="9"/>
  <c r="N132" i="9" s="1"/>
  <c r="L144" i="9"/>
  <c r="N144" i="9" s="1"/>
  <c r="L156" i="9"/>
  <c r="N156" i="9" s="1"/>
  <c r="L168" i="9"/>
  <c r="N168" i="9" s="1"/>
  <c r="L180" i="9"/>
  <c r="N180" i="9" s="1"/>
  <c r="L192" i="9"/>
  <c r="N192" i="9" s="1"/>
  <c r="L204" i="9"/>
  <c r="N204" i="9" s="1"/>
  <c r="L216" i="9"/>
  <c r="N216" i="9" s="1"/>
  <c r="L228" i="9"/>
  <c r="N228" i="9" s="1"/>
  <c r="L240" i="9"/>
  <c r="N240" i="9" s="1"/>
  <c r="L252" i="9"/>
  <c r="N252" i="9" s="1"/>
  <c r="L264" i="9"/>
  <c r="N264" i="9" s="1"/>
  <c r="L276" i="9"/>
  <c r="N276" i="9" s="1"/>
  <c r="L288" i="9"/>
  <c r="N288" i="9" s="1"/>
  <c r="L300" i="9"/>
  <c r="N300" i="9" s="1"/>
  <c r="L312" i="9"/>
  <c r="N312" i="9" s="1"/>
  <c r="L324" i="9"/>
  <c r="N324" i="9" s="1"/>
  <c r="L336" i="9"/>
  <c r="N336" i="9" s="1"/>
  <c r="L348" i="9"/>
  <c r="N348" i="9" s="1"/>
  <c r="L360" i="9"/>
  <c r="N360" i="9" s="1"/>
  <c r="L372" i="9"/>
  <c r="N372" i="9" s="1"/>
  <c r="L384" i="9"/>
  <c r="N384" i="9" s="1"/>
  <c r="L396" i="9"/>
  <c r="N396" i="9" s="1"/>
  <c r="L408" i="9"/>
  <c r="N408" i="9" s="1"/>
  <c r="L420" i="9"/>
  <c r="N420" i="9" s="1"/>
  <c r="L432" i="9"/>
  <c r="N432" i="9" s="1"/>
  <c r="L444" i="9"/>
  <c r="N444" i="9" s="1"/>
  <c r="L456" i="9"/>
  <c r="N456" i="9" s="1"/>
  <c r="L468" i="9"/>
  <c r="N468" i="9" s="1"/>
  <c r="L480" i="9"/>
  <c r="N480" i="9" s="1"/>
  <c r="L492" i="9"/>
  <c r="N492" i="9" s="1"/>
  <c r="L504" i="9"/>
  <c r="N504" i="9" s="1"/>
  <c r="L516" i="9"/>
  <c r="N516" i="9" s="1"/>
  <c r="L528" i="9"/>
  <c r="N528" i="9" s="1"/>
  <c r="L540" i="9"/>
  <c r="N540" i="9" s="1"/>
  <c r="L552" i="9"/>
  <c r="N552" i="9" s="1"/>
  <c r="L564" i="9"/>
  <c r="N564" i="9" s="1"/>
  <c r="L576" i="9"/>
  <c r="N576" i="9" s="1"/>
  <c r="L588" i="9"/>
  <c r="N588" i="9" s="1"/>
  <c r="L600" i="9"/>
  <c r="N600" i="9" s="1"/>
  <c r="L612" i="9"/>
  <c r="N612" i="9" s="1"/>
  <c r="L624" i="9"/>
  <c r="N624" i="9" s="1"/>
  <c r="L636" i="9"/>
  <c r="N636" i="9" s="1"/>
  <c r="L648" i="9"/>
  <c r="N648" i="9" s="1"/>
  <c r="L660" i="9"/>
  <c r="N660" i="9" s="1"/>
  <c r="L672" i="9"/>
  <c r="N672" i="9" s="1"/>
  <c r="L684" i="9"/>
  <c r="N684" i="9" s="1"/>
  <c r="L696" i="9"/>
  <c r="N696" i="9" s="1"/>
  <c r="L708" i="9"/>
  <c r="N708" i="9" s="1"/>
  <c r="L720" i="9"/>
  <c r="N720" i="9" s="1"/>
  <c r="L732" i="9"/>
  <c r="N732" i="9" s="1"/>
  <c r="L744" i="9"/>
  <c r="N744" i="9" s="1"/>
  <c r="L756" i="9"/>
  <c r="N756" i="9" s="1"/>
  <c r="L768" i="9"/>
  <c r="N768" i="9" s="1"/>
  <c r="L780" i="9"/>
  <c r="N780" i="9" s="1"/>
  <c r="L792" i="9"/>
  <c r="N792" i="9" s="1"/>
  <c r="L804" i="9"/>
  <c r="N804" i="9" s="1"/>
  <c r="L816" i="9"/>
  <c r="N816" i="9" s="1"/>
  <c r="L828" i="9"/>
  <c r="N828" i="9" s="1"/>
  <c r="L840" i="9"/>
  <c r="N840" i="9" s="1"/>
  <c r="L852" i="9"/>
  <c r="N852" i="9" s="1"/>
  <c r="L864" i="9"/>
  <c r="N864" i="9" s="1"/>
  <c r="L876" i="9"/>
  <c r="N876" i="9" s="1"/>
  <c r="L888" i="9"/>
  <c r="N888" i="9" s="1"/>
  <c r="L13" i="9"/>
  <c r="N13" i="9" s="1"/>
  <c r="L25" i="9"/>
  <c r="N25" i="9" s="1"/>
  <c r="L37" i="9"/>
  <c r="N37" i="9" s="1"/>
  <c r="L49" i="9"/>
  <c r="N49" i="9" s="1"/>
  <c r="L61" i="9"/>
  <c r="N61" i="9" s="1"/>
  <c r="L73" i="9"/>
  <c r="N73" i="9" s="1"/>
  <c r="L85" i="9"/>
  <c r="N85" i="9" s="1"/>
  <c r="L97" i="9"/>
  <c r="N97" i="9" s="1"/>
  <c r="L109" i="9"/>
  <c r="N109" i="9" s="1"/>
  <c r="L121" i="9"/>
  <c r="N121" i="9" s="1"/>
  <c r="L133" i="9"/>
  <c r="N133" i="9" s="1"/>
  <c r="L145" i="9"/>
  <c r="N145" i="9" s="1"/>
  <c r="L157" i="9"/>
  <c r="N157" i="9" s="1"/>
  <c r="L169" i="9"/>
  <c r="N169" i="9" s="1"/>
  <c r="L181" i="9"/>
  <c r="N181" i="9" s="1"/>
  <c r="L193" i="9"/>
  <c r="N193" i="9" s="1"/>
  <c r="L205" i="9"/>
  <c r="N205" i="9" s="1"/>
  <c r="L217" i="9"/>
  <c r="N217" i="9" s="1"/>
  <c r="L229" i="9"/>
  <c r="N229" i="9" s="1"/>
  <c r="L241" i="9"/>
  <c r="N241" i="9" s="1"/>
  <c r="L253" i="9"/>
  <c r="N253" i="9" s="1"/>
  <c r="L265" i="9"/>
  <c r="N265" i="9" s="1"/>
  <c r="L277" i="9"/>
  <c r="N277" i="9" s="1"/>
  <c r="L289" i="9"/>
  <c r="N289" i="9" s="1"/>
  <c r="L301" i="9"/>
  <c r="N301" i="9" s="1"/>
  <c r="L313" i="9"/>
  <c r="N313" i="9" s="1"/>
  <c r="L325" i="9"/>
  <c r="N325" i="9" s="1"/>
  <c r="L337" i="9"/>
  <c r="N337" i="9" s="1"/>
  <c r="L349" i="9"/>
  <c r="N349" i="9" s="1"/>
  <c r="L361" i="9"/>
  <c r="N361" i="9" s="1"/>
  <c r="L373" i="9"/>
  <c r="N373" i="9" s="1"/>
  <c r="L385" i="9"/>
  <c r="N385" i="9" s="1"/>
  <c r="L397" i="9"/>
  <c r="N397" i="9" s="1"/>
  <c r="L409" i="9"/>
  <c r="N409" i="9" s="1"/>
  <c r="L421" i="9"/>
  <c r="N421" i="9" s="1"/>
  <c r="L433" i="9"/>
  <c r="N433" i="9" s="1"/>
  <c r="L445" i="9"/>
  <c r="N445" i="9" s="1"/>
  <c r="L457" i="9"/>
  <c r="N457" i="9" s="1"/>
  <c r="L469" i="9"/>
  <c r="N469" i="9" s="1"/>
  <c r="L481" i="9"/>
  <c r="N481" i="9" s="1"/>
  <c r="L493" i="9"/>
  <c r="N493" i="9" s="1"/>
  <c r="L505" i="9"/>
  <c r="N505" i="9" s="1"/>
  <c r="L517" i="9"/>
  <c r="N517" i="9" s="1"/>
  <c r="L529" i="9"/>
  <c r="N529" i="9" s="1"/>
  <c r="L541" i="9"/>
  <c r="N541" i="9" s="1"/>
  <c r="L553" i="9"/>
  <c r="N553" i="9" s="1"/>
  <c r="L565" i="9"/>
  <c r="N565" i="9" s="1"/>
  <c r="L577" i="9"/>
  <c r="N577" i="9" s="1"/>
  <c r="L589" i="9"/>
  <c r="N589" i="9" s="1"/>
  <c r="L601" i="9"/>
  <c r="N601" i="9" s="1"/>
  <c r="L613" i="9"/>
  <c r="N613" i="9" s="1"/>
  <c r="L625" i="9"/>
  <c r="N625" i="9" s="1"/>
  <c r="L637" i="9"/>
  <c r="N637" i="9" s="1"/>
  <c r="L649" i="9"/>
  <c r="N649" i="9" s="1"/>
  <c r="L661" i="9"/>
  <c r="N661" i="9" s="1"/>
  <c r="L673" i="9"/>
  <c r="N673" i="9" s="1"/>
  <c r="L685" i="9"/>
  <c r="N685" i="9" s="1"/>
  <c r="L697" i="9"/>
  <c r="N697" i="9" s="1"/>
  <c r="L709" i="9"/>
  <c r="N709" i="9" s="1"/>
  <c r="L721" i="9"/>
  <c r="N721" i="9" s="1"/>
  <c r="L733" i="9"/>
  <c r="N733" i="9" s="1"/>
  <c r="L745" i="9"/>
  <c r="N745" i="9" s="1"/>
  <c r="L757" i="9"/>
  <c r="N757" i="9" s="1"/>
  <c r="L769" i="9"/>
  <c r="N769" i="9" s="1"/>
  <c r="L781" i="9"/>
  <c r="N781" i="9" s="1"/>
  <c r="L793" i="9"/>
  <c r="N793" i="9" s="1"/>
  <c r="L805" i="9"/>
  <c r="N805" i="9" s="1"/>
  <c r="L817" i="9"/>
  <c r="N817" i="9" s="1"/>
  <c r="L829" i="9"/>
  <c r="N829" i="9" s="1"/>
  <c r="L841" i="9"/>
  <c r="N841" i="9" s="1"/>
  <c r="L853" i="9"/>
  <c r="N853" i="9" s="1"/>
  <c r="L865" i="9"/>
  <c r="N865" i="9" s="1"/>
  <c r="L14" i="9"/>
  <c r="N14" i="9" s="1"/>
  <c r="L26" i="9"/>
  <c r="N26" i="9" s="1"/>
  <c r="L38" i="9"/>
  <c r="N38" i="9" s="1"/>
  <c r="L50" i="9"/>
  <c r="N50" i="9" s="1"/>
  <c r="L62" i="9"/>
  <c r="N62" i="9" s="1"/>
  <c r="L74" i="9"/>
  <c r="N74" i="9" s="1"/>
  <c r="L86" i="9"/>
  <c r="N86" i="9" s="1"/>
  <c r="L98" i="9"/>
  <c r="N98" i="9" s="1"/>
  <c r="L110" i="9"/>
  <c r="N110" i="9" s="1"/>
  <c r="L122" i="9"/>
  <c r="N122" i="9" s="1"/>
  <c r="L134" i="9"/>
  <c r="N134" i="9" s="1"/>
  <c r="L146" i="9"/>
  <c r="N146" i="9" s="1"/>
  <c r="L158" i="9"/>
  <c r="N158" i="9" s="1"/>
  <c r="L170" i="9"/>
  <c r="N170" i="9" s="1"/>
  <c r="L182" i="9"/>
  <c r="N182" i="9" s="1"/>
  <c r="L194" i="9"/>
  <c r="N194" i="9" s="1"/>
  <c r="L206" i="9"/>
  <c r="N206" i="9" s="1"/>
  <c r="L218" i="9"/>
  <c r="N218" i="9" s="1"/>
  <c r="L230" i="9"/>
  <c r="N230" i="9" s="1"/>
  <c r="L242" i="9"/>
  <c r="N242" i="9" s="1"/>
  <c r="L254" i="9"/>
  <c r="N254" i="9" s="1"/>
  <c r="L266" i="9"/>
  <c r="N266" i="9" s="1"/>
  <c r="L278" i="9"/>
  <c r="N278" i="9" s="1"/>
  <c r="L290" i="9"/>
  <c r="N290" i="9" s="1"/>
  <c r="L302" i="9"/>
  <c r="N302" i="9" s="1"/>
  <c r="L314" i="9"/>
  <c r="N314" i="9" s="1"/>
  <c r="L326" i="9"/>
  <c r="N326" i="9" s="1"/>
  <c r="L338" i="9"/>
  <c r="N338" i="9" s="1"/>
  <c r="L350" i="9"/>
  <c r="N350" i="9" s="1"/>
  <c r="L362" i="9"/>
  <c r="N362" i="9" s="1"/>
  <c r="L374" i="9"/>
  <c r="N374" i="9" s="1"/>
  <c r="L386" i="9"/>
  <c r="N386" i="9" s="1"/>
  <c r="L398" i="9"/>
  <c r="N398" i="9" s="1"/>
  <c r="L410" i="9"/>
  <c r="N410" i="9" s="1"/>
  <c r="L422" i="9"/>
  <c r="N422" i="9" s="1"/>
  <c r="L434" i="9"/>
  <c r="N434" i="9" s="1"/>
  <c r="L446" i="9"/>
  <c r="N446" i="9" s="1"/>
  <c r="L458" i="9"/>
  <c r="N458" i="9" s="1"/>
  <c r="L470" i="9"/>
  <c r="N470" i="9" s="1"/>
  <c r="L482" i="9"/>
  <c r="N482" i="9" s="1"/>
  <c r="L494" i="9"/>
  <c r="N494" i="9" s="1"/>
  <c r="L506" i="9"/>
  <c r="N506" i="9" s="1"/>
  <c r="L518" i="9"/>
  <c r="N518" i="9" s="1"/>
  <c r="L530" i="9"/>
  <c r="N530" i="9" s="1"/>
  <c r="L542" i="9"/>
  <c r="N542" i="9" s="1"/>
  <c r="L554" i="9"/>
  <c r="N554" i="9" s="1"/>
  <c r="L566" i="9"/>
  <c r="N566" i="9" s="1"/>
  <c r="L578" i="9"/>
  <c r="N578" i="9" s="1"/>
  <c r="L590" i="9"/>
  <c r="N590" i="9" s="1"/>
  <c r="L602" i="9"/>
  <c r="N602" i="9" s="1"/>
  <c r="L614" i="9"/>
  <c r="N614" i="9" s="1"/>
  <c r="L626" i="9"/>
  <c r="N626" i="9" s="1"/>
  <c r="L638" i="9"/>
  <c r="N638" i="9" s="1"/>
  <c r="L650" i="9"/>
  <c r="N650" i="9" s="1"/>
  <c r="L662" i="9"/>
  <c r="N662" i="9" s="1"/>
  <c r="L674" i="9"/>
  <c r="N674" i="9" s="1"/>
  <c r="L686" i="9"/>
  <c r="N686" i="9" s="1"/>
  <c r="L698" i="9"/>
  <c r="N698" i="9" s="1"/>
  <c r="L710" i="9"/>
  <c r="N710" i="9" s="1"/>
  <c r="L722" i="9"/>
  <c r="N722" i="9" s="1"/>
  <c r="L734" i="9"/>
  <c r="N734" i="9" s="1"/>
  <c r="L746" i="9"/>
  <c r="N746" i="9" s="1"/>
  <c r="L758" i="9"/>
  <c r="N758" i="9" s="1"/>
  <c r="L770" i="9"/>
  <c r="N770" i="9" s="1"/>
  <c r="L782" i="9"/>
  <c r="N782" i="9" s="1"/>
  <c r="L794" i="9"/>
  <c r="N794" i="9" s="1"/>
  <c r="L806" i="9"/>
  <c r="N806" i="9" s="1"/>
  <c r="L818" i="9"/>
  <c r="N818" i="9" s="1"/>
  <c r="L830" i="9"/>
  <c r="N830" i="9" s="1"/>
  <c r="L842" i="9"/>
  <c r="N842" i="9" s="1"/>
  <c r="L854" i="9"/>
  <c r="N854" i="9" s="1"/>
  <c r="L866" i="9"/>
  <c r="N866" i="9" s="1"/>
  <c r="L15" i="9"/>
  <c r="N15" i="9" s="1"/>
  <c r="L27" i="9"/>
  <c r="N27" i="9" s="1"/>
  <c r="L39" i="9"/>
  <c r="N39" i="9" s="1"/>
  <c r="L51" i="9"/>
  <c r="N51" i="9" s="1"/>
  <c r="L63" i="9"/>
  <c r="N63" i="9" s="1"/>
  <c r="L75" i="9"/>
  <c r="N75" i="9" s="1"/>
  <c r="L87" i="9"/>
  <c r="N87" i="9" s="1"/>
  <c r="L99" i="9"/>
  <c r="N99" i="9" s="1"/>
  <c r="L111" i="9"/>
  <c r="N111" i="9" s="1"/>
  <c r="L123" i="9"/>
  <c r="N123" i="9" s="1"/>
  <c r="L135" i="9"/>
  <c r="N135" i="9" s="1"/>
  <c r="L147" i="9"/>
  <c r="N147" i="9" s="1"/>
  <c r="L159" i="9"/>
  <c r="N159" i="9" s="1"/>
  <c r="L171" i="9"/>
  <c r="N171" i="9" s="1"/>
  <c r="L183" i="9"/>
  <c r="N183" i="9" s="1"/>
  <c r="L195" i="9"/>
  <c r="N195" i="9" s="1"/>
  <c r="L207" i="9"/>
  <c r="N207" i="9" s="1"/>
  <c r="L219" i="9"/>
  <c r="N219" i="9" s="1"/>
  <c r="L231" i="9"/>
  <c r="N231" i="9" s="1"/>
  <c r="L243" i="9"/>
  <c r="N243" i="9" s="1"/>
  <c r="L255" i="9"/>
  <c r="N255" i="9" s="1"/>
  <c r="L267" i="9"/>
  <c r="N267" i="9" s="1"/>
  <c r="L279" i="9"/>
  <c r="N279" i="9" s="1"/>
  <c r="L291" i="9"/>
  <c r="N291" i="9" s="1"/>
  <c r="L303" i="9"/>
  <c r="N303" i="9" s="1"/>
  <c r="L315" i="9"/>
  <c r="N315" i="9" s="1"/>
  <c r="L327" i="9"/>
  <c r="N327" i="9" s="1"/>
  <c r="L339" i="9"/>
  <c r="N339" i="9" s="1"/>
  <c r="L351" i="9"/>
  <c r="N351" i="9" s="1"/>
  <c r="L363" i="9"/>
  <c r="N363" i="9" s="1"/>
  <c r="L375" i="9"/>
  <c r="N375" i="9" s="1"/>
  <c r="L387" i="9"/>
  <c r="N387" i="9" s="1"/>
  <c r="L399" i="9"/>
  <c r="N399" i="9" s="1"/>
  <c r="L411" i="9"/>
  <c r="N411" i="9" s="1"/>
  <c r="L423" i="9"/>
  <c r="N423" i="9" s="1"/>
  <c r="L435" i="9"/>
  <c r="N435" i="9" s="1"/>
  <c r="L447" i="9"/>
  <c r="N447" i="9" s="1"/>
  <c r="L459" i="9"/>
  <c r="N459" i="9" s="1"/>
  <c r="L471" i="9"/>
  <c r="N471" i="9" s="1"/>
  <c r="L483" i="9"/>
  <c r="N483" i="9" s="1"/>
  <c r="L495" i="9"/>
  <c r="N495" i="9" s="1"/>
  <c r="L507" i="9"/>
  <c r="N507" i="9" s="1"/>
  <c r="L519" i="9"/>
  <c r="N519" i="9" s="1"/>
  <c r="L531" i="9"/>
  <c r="N531" i="9" s="1"/>
  <c r="L543" i="9"/>
  <c r="N543" i="9" s="1"/>
  <c r="L555" i="9"/>
  <c r="N555" i="9" s="1"/>
  <c r="L567" i="9"/>
  <c r="N567" i="9" s="1"/>
  <c r="L579" i="9"/>
  <c r="N579" i="9" s="1"/>
  <c r="L591" i="9"/>
  <c r="N591" i="9" s="1"/>
  <c r="L603" i="9"/>
  <c r="N603" i="9" s="1"/>
  <c r="L615" i="9"/>
  <c r="N615" i="9" s="1"/>
  <c r="L627" i="9"/>
  <c r="N627" i="9" s="1"/>
  <c r="L639" i="9"/>
  <c r="N639" i="9" s="1"/>
  <c r="L651" i="9"/>
  <c r="N651" i="9" s="1"/>
  <c r="L663" i="9"/>
  <c r="N663" i="9" s="1"/>
  <c r="L675" i="9"/>
  <c r="N675" i="9" s="1"/>
  <c r="L687" i="9"/>
  <c r="N687" i="9" s="1"/>
  <c r="L76" i="9"/>
  <c r="N76" i="9" s="1"/>
  <c r="L148" i="9"/>
  <c r="N148" i="9" s="1"/>
  <c r="L220" i="9"/>
  <c r="N220" i="9" s="1"/>
  <c r="L292" i="9"/>
  <c r="N292" i="9" s="1"/>
  <c r="L364" i="9"/>
  <c r="N364" i="9" s="1"/>
  <c r="L436" i="9"/>
  <c r="N436" i="9" s="1"/>
  <c r="L508" i="9"/>
  <c r="N508" i="9" s="1"/>
  <c r="L580" i="9"/>
  <c r="N580" i="9" s="1"/>
  <c r="L652" i="9"/>
  <c r="N652" i="9" s="1"/>
  <c r="L712" i="9"/>
  <c r="N712" i="9" s="1"/>
  <c r="L760" i="9"/>
  <c r="N760" i="9" s="1"/>
  <c r="L808" i="9"/>
  <c r="N808" i="9" s="1"/>
  <c r="L856" i="9"/>
  <c r="N856" i="9" s="1"/>
  <c r="L889" i="9"/>
  <c r="N889" i="9" s="1"/>
  <c r="L908" i="9"/>
  <c r="N908" i="9" s="1"/>
  <c r="L77" i="9"/>
  <c r="N77" i="9" s="1"/>
  <c r="L149" i="9"/>
  <c r="N149" i="9" s="1"/>
  <c r="L221" i="9"/>
  <c r="N221" i="9" s="1"/>
  <c r="L293" i="9"/>
  <c r="N293" i="9" s="1"/>
  <c r="L365" i="9"/>
  <c r="N365" i="9" s="1"/>
  <c r="L437" i="9"/>
  <c r="N437" i="9" s="1"/>
  <c r="L509" i="9"/>
  <c r="N509" i="9" s="1"/>
  <c r="L581" i="9"/>
  <c r="N581" i="9" s="1"/>
  <c r="L653" i="9"/>
  <c r="N653" i="9" s="1"/>
  <c r="L713" i="9"/>
  <c r="N713" i="9" s="1"/>
  <c r="L761" i="9"/>
  <c r="N761" i="9" s="1"/>
  <c r="L809" i="9"/>
  <c r="N809" i="9" s="1"/>
  <c r="L857" i="9"/>
  <c r="N857" i="9" s="1"/>
  <c r="L890" i="9"/>
  <c r="N890" i="9" s="1"/>
  <c r="L912" i="9"/>
  <c r="N912" i="9" s="1"/>
  <c r="L16" i="9"/>
  <c r="N16" i="9" s="1"/>
  <c r="L88" i="9"/>
  <c r="N88" i="9" s="1"/>
  <c r="L160" i="9"/>
  <c r="N160" i="9" s="1"/>
  <c r="L232" i="9"/>
  <c r="N232" i="9" s="1"/>
  <c r="L304" i="9"/>
  <c r="N304" i="9" s="1"/>
  <c r="L376" i="9"/>
  <c r="N376" i="9" s="1"/>
  <c r="L448" i="9"/>
  <c r="N448" i="9" s="1"/>
  <c r="L520" i="9"/>
  <c r="N520" i="9" s="1"/>
  <c r="L592" i="9"/>
  <c r="N592" i="9" s="1"/>
  <c r="L664" i="9"/>
  <c r="N664" i="9" s="1"/>
  <c r="L723" i="9"/>
  <c r="N723" i="9" s="1"/>
  <c r="L771" i="9"/>
  <c r="N771" i="9" s="1"/>
  <c r="L819" i="9"/>
  <c r="N819" i="9" s="1"/>
  <c r="L867" i="9"/>
  <c r="N867" i="9" s="1"/>
  <c r="L891" i="9"/>
  <c r="N891" i="9" s="1"/>
  <c r="L7" i="9"/>
  <c r="N7" i="9" s="1"/>
  <c r="L17" i="9"/>
  <c r="N17" i="9" s="1"/>
  <c r="L89" i="9"/>
  <c r="N89" i="9" s="1"/>
  <c r="L161" i="9"/>
  <c r="N161" i="9" s="1"/>
  <c r="L233" i="9"/>
  <c r="N233" i="9" s="1"/>
  <c r="L305" i="9"/>
  <c r="N305" i="9" s="1"/>
  <c r="L377" i="9"/>
  <c r="N377" i="9" s="1"/>
  <c r="L449" i="9"/>
  <c r="N449" i="9" s="1"/>
  <c r="L521" i="9"/>
  <c r="N521" i="9" s="1"/>
  <c r="L593" i="9"/>
  <c r="N593" i="9" s="1"/>
  <c r="L665" i="9"/>
  <c r="N665" i="9" s="1"/>
  <c r="L724" i="9"/>
  <c r="N724" i="9" s="1"/>
  <c r="L772" i="9"/>
  <c r="N772" i="9" s="1"/>
  <c r="L820" i="9"/>
  <c r="N820" i="9" s="1"/>
  <c r="L868" i="9"/>
  <c r="N868" i="9" s="1"/>
  <c r="L892" i="9"/>
  <c r="N892" i="9" s="1"/>
  <c r="L28" i="9"/>
  <c r="N28" i="9" s="1"/>
  <c r="L100" i="9"/>
  <c r="N100" i="9" s="1"/>
  <c r="L172" i="9"/>
  <c r="N172" i="9" s="1"/>
  <c r="L244" i="9"/>
  <c r="N244" i="9" s="1"/>
  <c r="L316" i="9"/>
  <c r="N316" i="9" s="1"/>
  <c r="L388" i="9"/>
  <c r="N388" i="9" s="1"/>
  <c r="L460" i="9"/>
  <c r="N460" i="9" s="1"/>
  <c r="L532" i="9"/>
  <c r="N532" i="9" s="1"/>
  <c r="L604" i="9"/>
  <c r="N604" i="9" s="1"/>
  <c r="L676" i="9"/>
  <c r="N676" i="9" s="1"/>
  <c r="L725" i="9"/>
  <c r="N725" i="9" s="1"/>
  <c r="L773" i="9"/>
  <c r="N773" i="9" s="1"/>
  <c r="L821" i="9"/>
  <c r="N821" i="9" s="1"/>
  <c r="L869" i="9"/>
  <c r="N869" i="9" s="1"/>
  <c r="L893" i="9"/>
  <c r="N893" i="9" s="1"/>
  <c r="L29" i="9"/>
  <c r="N29" i="9" s="1"/>
  <c r="L101" i="9"/>
  <c r="N101" i="9" s="1"/>
  <c r="L173" i="9"/>
  <c r="N173" i="9" s="1"/>
  <c r="L245" i="9"/>
  <c r="N245" i="9" s="1"/>
  <c r="L317" i="9"/>
  <c r="N317" i="9" s="1"/>
  <c r="L389" i="9"/>
  <c r="N389" i="9" s="1"/>
  <c r="L461" i="9"/>
  <c r="N461" i="9" s="1"/>
  <c r="L533" i="9"/>
  <c r="N533" i="9" s="1"/>
  <c r="L605" i="9"/>
  <c r="N605" i="9" s="1"/>
  <c r="L677" i="9"/>
  <c r="N677" i="9" s="1"/>
  <c r="L735" i="9"/>
  <c r="N735" i="9" s="1"/>
  <c r="L783" i="9"/>
  <c r="N783" i="9" s="1"/>
  <c r="L831" i="9"/>
  <c r="N831" i="9" s="1"/>
  <c r="L872" i="9"/>
  <c r="N872" i="9" s="1"/>
  <c r="L896" i="9"/>
  <c r="N896" i="9" s="1"/>
  <c r="L40" i="9"/>
  <c r="N40" i="9" s="1"/>
  <c r="L112" i="9"/>
  <c r="N112" i="9" s="1"/>
  <c r="L184" i="9"/>
  <c r="N184" i="9" s="1"/>
  <c r="L256" i="9"/>
  <c r="N256" i="9" s="1"/>
  <c r="L328" i="9"/>
  <c r="N328" i="9" s="1"/>
  <c r="L400" i="9"/>
  <c r="N400" i="9" s="1"/>
  <c r="L472" i="9"/>
  <c r="N472" i="9" s="1"/>
  <c r="L544" i="9"/>
  <c r="N544" i="9" s="1"/>
  <c r="L616" i="9"/>
  <c r="N616" i="9" s="1"/>
  <c r="L688" i="9"/>
  <c r="N688" i="9" s="1"/>
  <c r="L736" i="9"/>
  <c r="N736" i="9" s="1"/>
  <c r="L784" i="9"/>
  <c r="N784" i="9" s="1"/>
  <c r="L832" i="9"/>
  <c r="N832" i="9" s="1"/>
  <c r="L877" i="9"/>
  <c r="N877" i="9" s="1"/>
  <c r="L900" i="9"/>
  <c r="N900" i="9" s="1"/>
  <c r="L41" i="9"/>
  <c r="N41" i="9" s="1"/>
  <c r="L113" i="9"/>
  <c r="N113" i="9" s="1"/>
  <c r="L185" i="9"/>
  <c r="N185" i="9" s="1"/>
  <c r="L257" i="9"/>
  <c r="N257" i="9" s="1"/>
  <c r="L329" i="9"/>
  <c r="N329" i="9" s="1"/>
  <c r="L401" i="9"/>
  <c r="N401" i="9" s="1"/>
  <c r="L473" i="9"/>
  <c r="N473" i="9" s="1"/>
  <c r="L545" i="9"/>
  <c r="N545" i="9" s="1"/>
  <c r="L617" i="9"/>
  <c r="N617" i="9" s="1"/>
  <c r="L689" i="9"/>
  <c r="N689" i="9" s="1"/>
  <c r="L737" i="9"/>
  <c r="N737" i="9" s="1"/>
  <c r="L785" i="9"/>
  <c r="N785" i="9" s="1"/>
  <c r="L833" i="9"/>
  <c r="N833" i="9" s="1"/>
  <c r="L878" i="9"/>
  <c r="N878" i="9" s="1"/>
  <c r="L901" i="9"/>
  <c r="N901" i="9" s="1"/>
  <c r="L52" i="9"/>
  <c r="N52" i="9" s="1"/>
  <c r="L124" i="9"/>
  <c r="N124" i="9" s="1"/>
  <c r="L196" i="9"/>
  <c r="N196" i="9" s="1"/>
  <c r="L268" i="9"/>
  <c r="N268" i="9" s="1"/>
  <c r="L340" i="9"/>
  <c r="N340" i="9" s="1"/>
  <c r="L412" i="9"/>
  <c r="N412" i="9" s="1"/>
  <c r="L484" i="9"/>
  <c r="N484" i="9" s="1"/>
  <c r="L556" i="9"/>
  <c r="N556" i="9" s="1"/>
  <c r="L628" i="9"/>
  <c r="N628" i="9" s="1"/>
  <c r="L699" i="9"/>
  <c r="N699" i="9" s="1"/>
  <c r="L747" i="9"/>
  <c r="N747" i="9" s="1"/>
  <c r="L795" i="9"/>
  <c r="N795" i="9" s="1"/>
  <c r="L843" i="9"/>
  <c r="N843" i="9" s="1"/>
  <c r="L879" i="9"/>
  <c r="N879" i="9" s="1"/>
  <c r="L902" i="9"/>
  <c r="N902" i="9" s="1"/>
  <c r="L53" i="9"/>
  <c r="N53" i="9" s="1"/>
  <c r="L125" i="9"/>
  <c r="N125" i="9" s="1"/>
  <c r="L197" i="9"/>
  <c r="N197" i="9" s="1"/>
  <c r="L269" i="9"/>
  <c r="N269" i="9" s="1"/>
  <c r="L341" i="9"/>
  <c r="N341" i="9" s="1"/>
  <c r="L413" i="9"/>
  <c r="N413" i="9" s="1"/>
  <c r="L485" i="9"/>
  <c r="N485" i="9" s="1"/>
  <c r="L903" i="9"/>
  <c r="N903" i="9" s="1"/>
  <c r="L748" i="9"/>
  <c r="N748" i="9" s="1"/>
  <c r="L425" i="9"/>
  <c r="N425" i="9" s="1"/>
  <c r="L884" i="9"/>
  <c r="N884" i="9" s="1"/>
  <c r="L711" i="9"/>
  <c r="N711" i="9" s="1"/>
  <c r="L424" i="9"/>
  <c r="N424" i="9" s="1"/>
  <c r="N372" i="7" l="1"/>
  <c r="N371" i="7"/>
  <c r="N369" i="7"/>
  <c r="K1692" i="7"/>
  <c r="L400" i="7"/>
  <c r="K955" i="7"/>
  <c r="K908" i="7"/>
  <c r="K1647" i="7" l="1"/>
  <c r="K114" i="7"/>
  <c r="K942" i="7"/>
  <c r="K941" i="7"/>
  <c r="L1990" i="7"/>
  <c r="K2318" i="7"/>
  <c r="L2315" i="7"/>
  <c r="K1639" i="7" l="1"/>
  <c r="K2881" i="7" l="1"/>
  <c r="K2880" i="7"/>
  <c r="K2877" i="7"/>
  <c r="K83" i="7" l="1"/>
  <c r="N83" i="7" s="1"/>
  <c r="G2557" i="7" l="1"/>
  <c r="M1235" i="7"/>
  <c r="K1712" i="7"/>
  <c r="K2852" i="7" l="1"/>
  <c r="K2810" i="7"/>
  <c r="K1938" i="7" l="1"/>
  <c r="G2580" i="7"/>
  <c r="K54" i="7"/>
  <c r="K55" i="7"/>
  <c r="L1130" i="7"/>
  <c r="K2351" i="7"/>
  <c r="L1461" i="7" l="1"/>
  <c r="K302" i="7" l="1"/>
  <c r="K303" i="7"/>
  <c r="K167" i="7"/>
  <c r="K2083" i="7"/>
  <c r="K2081" i="7"/>
  <c r="K1667" i="7"/>
  <c r="K1548" i="7"/>
  <c r="K1547" i="7"/>
  <c r="K1546" i="7"/>
  <c r="G2494" i="7"/>
  <c r="T2675" i="7" l="1"/>
  <c r="O2675" i="7"/>
  <c r="P2675" i="7" s="1"/>
  <c r="R2675" i="7" s="1"/>
  <c r="E2675" i="7" s="1"/>
  <c r="F2675" i="7" s="1"/>
  <c r="T1392" i="7"/>
  <c r="H1392" i="7" s="1"/>
  <c r="O1392" i="7"/>
  <c r="P1392" i="7" s="1"/>
  <c r="R1392" i="7" s="1"/>
  <c r="E1392" i="7" s="1"/>
  <c r="F1392" i="7" s="1"/>
  <c r="L134" i="7"/>
  <c r="G2628" i="7" l="1"/>
  <c r="K1577" i="7" l="1"/>
  <c r="K1578" i="7"/>
  <c r="K2186" i="7"/>
  <c r="K2185" i="7"/>
  <c r="K2184" i="7"/>
  <c r="K2183" i="7"/>
  <c r="K294" i="7"/>
  <c r="K2763" i="7" l="1"/>
  <c r="K2749" i="7"/>
  <c r="K2571" i="7"/>
  <c r="K2570" i="7"/>
  <c r="L2180" i="7"/>
  <c r="L2179" i="7"/>
  <c r="K1870" i="7"/>
  <c r="K1657" i="7"/>
  <c r="K1633" i="7"/>
  <c r="K1261" i="7"/>
  <c r="K1159" i="7"/>
  <c r="K561" i="7"/>
  <c r="K421" i="7"/>
  <c r="K162" i="7"/>
  <c r="K2161" i="7"/>
  <c r="K2628" i="7"/>
  <c r="N2628" i="7" s="1"/>
  <c r="K2158" i="7"/>
  <c r="N2879" i="7" l="1"/>
  <c r="N2843" i="7"/>
  <c r="N2842" i="7"/>
  <c r="N2841" i="7"/>
  <c r="N2840" i="7"/>
  <c r="N2839" i="7"/>
  <c r="N2830" i="7"/>
  <c r="N2822" i="7"/>
  <c r="N2755" i="7"/>
  <c r="N2677" i="7"/>
  <c r="N2676" i="7"/>
  <c r="N2337" i="7"/>
  <c r="N2298" i="7"/>
  <c r="N2290" i="7"/>
  <c r="N2180" i="7"/>
  <c r="N2179" i="7"/>
  <c r="N2178" i="7"/>
  <c r="N2173" i="7"/>
  <c r="N2172" i="7"/>
  <c r="N2156" i="7"/>
  <c r="N2155" i="7"/>
  <c r="N2151" i="7"/>
  <c r="N2012" i="7" l="1"/>
  <c r="N2010" i="7"/>
  <c r="N1923" i="7"/>
  <c r="N1922" i="7"/>
  <c r="N1915" i="7"/>
  <c r="N1914" i="7"/>
  <c r="N1913" i="7"/>
  <c r="N1423" i="7"/>
  <c r="N1422" i="7"/>
  <c r="N1421" i="7"/>
  <c r="N1420" i="7"/>
  <c r="N1419" i="7"/>
  <c r="N1271" i="7"/>
  <c r="N1270" i="7"/>
  <c r="N1236" i="7"/>
  <c r="N1562" i="7"/>
  <c r="N1126" i="7"/>
  <c r="N1123" i="7"/>
  <c r="N1122" i="7"/>
  <c r="N1119" i="7"/>
  <c r="N1118" i="7"/>
  <c r="N1071" i="7"/>
  <c r="N942" i="7"/>
  <c r="N941" i="7"/>
  <c r="N859" i="7"/>
  <c r="N779" i="7"/>
  <c r="N778" i="7"/>
  <c r="N641" i="7"/>
  <c r="N573" i="7"/>
  <c r="N182" i="7"/>
  <c r="N181" i="7"/>
  <c r="N180" i="7"/>
  <c r="N178" i="7"/>
  <c r="N176" i="7"/>
  <c r="N159" i="7"/>
  <c r="L2734" i="7" l="1"/>
  <c r="K644" i="7"/>
  <c r="K807" i="7"/>
  <c r="G2429" i="7" l="1"/>
  <c r="G2422" i="7" l="1"/>
  <c r="K289" i="7"/>
  <c r="K2728" i="7" l="1"/>
  <c r="K458" i="7"/>
  <c r="O2097" i="7"/>
  <c r="P2097" i="7" s="1"/>
  <c r="R2097" i="7" s="1"/>
  <c r="E2097" i="7" s="1"/>
  <c r="F2097" i="7" s="1"/>
  <c r="T2097" i="7"/>
  <c r="H2097" i="7" s="1"/>
  <c r="K1863" i="7"/>
  <c r="K2796" i="7" l="1"/>
  <c r="K357" i="7"/>
  <c r="K1310" i="7" l="1"/>
  <c r="K1308" i="7"/>
  <c r="K1307" i="7"/>
  <c r="K629" i="7"/>
  <c r="K628" i="7"/>
  <c r="K627" i="7"/>
  <c r="K626" i="7"/>
  <c r="K625" i="7"/>
  <c r="K624" i="7"/>
  <c r="K1865" i="7"/>
  <c r="K1864" i="7"/>
  <c r="N1137" i="7" l="1"/>
  <c r="N1136" i="7"/>
  <c r="T2035" i="7"/>
  <c r="H2035" i="7" s="1"/>
  <c r="O2035" i="7"/>
  <c r="P2035" i="7" s="1"/>
  <c r="R2035" i="7" s="1"/>
  <c r="E2035" i="7" s="1"/>
  <c r="F2035" i="7" s="1"/>
  <c r="K1182" i="7" l="1"/>
  <c r="K1211" i="7" l="1"/>
  <c r="K809" i="7" l="1"/>
  <c r="G2749" i="7"/>
  <c r="K2239" i="7" l="1"/>
  <c r="K368" i="7" l="1"/>
  <c r="T452" i="7"/>
  <c r="H452" i="7" s="1"/>
  <c r="O452" i="7"/>
  <c r="P452" i="7" s="1"/>
  <c r="R452" i="7" s="1"/>
  <c r="E452" i="7" s="1"/>
  <c r="F452" i="7" s="1"/>
  <c r="M1026" i="7" l="1"/>
  <c r="K1027" i="7"/>
  <c r="T1464" i="7" l="1"/>
  <c r="H1464" i="7" s="1"/>
  <c r="O1464" i="7"/>
  <c r="P1464" i="7" s="1"/>
  <c r="R1464" i="7" s="1"/>
  <c r="E1464" i="7" s="1"/>
  <c r="F1464" i="7" s="1"/>
  <c r="K1501" i="7" l="1"/>
  <c r="O1501" i="7" s="1"/>
  <c r="P1501" i="7" s="1"/>
  <c r="R1501" i="7" s="1"/>
  <c r="E1501" i="7" s="1"/>
  <c r="F1501" i="7" s="1"/>
  <c r="T1501" i="7"/>
  <c r="H1501" i="7" s="1"/>
  <c r="K2345" i="7"/>
  <c r="K1315" i="7"/>
  <c r="L746" i="7"/>
  <c r="T2803" i="7"/>
  <c r="H2803" i="7" s="1"/>
  <c r="O2803" i="7"/>
  <c r="P2803" i="7" s="1"/>
  <c r="R2803" i="7" s="1"/>
  <c r="E2803" i="7" s="1"/>
  <c r="F2803" i="7" s="1"/>
  <c r="M711" i="7" l="1"/>
  <c r="K2445" i="7"/>
  <c r="T1657" i="7" l="1"/>
  <c r="H1657" i="7" s="1"/>
  <c r="O1657" i="7"/>
  <c r="P1657" i="7" s="1"/>
  <c r="R1657" i="7" s="1"/>
  <c r="E1657" i="7" s="1"/>
  <c r="F1657" i="7" s="1"/>
  <c r="T2161" i="7"/>
  <c r="H2161" i="7" s="1"/>
  <c r="O2161" i="7"/>
  <c r="P2161" i="7" s="1"/>
  <c r="R2161" i="7" s="1"/>
  <c r="E2161" i="7" s="1"/>
  <c r="F2161" i="7" s="1"/>
  <c r="T2158" i="7"/>
  <c r="H2158" i="7" s="1"/>
  <c r="O2158" i="7"/>
  <c r="P2158" i="7" s="1"/>
  <c r="R2158" i="7" s="1"/>
  <c r="E2158" i="7" s="1"/>
  <c r="F2158" i="7" s="1"/>
  <c r="L2448" i="7"/>
  <c r="K504" i="7"/>
  <c r="G2554" i="7" l="1"/>
  <c r="K2821" i="7" l="1"/>
  <c r="N2829" i="7"/>
  <c r="T842" i="7" l="1"/>
  <c r="H842" i="7" s="1"/>
  <c r="O842" i="7"/>
  <c r="P842" i="7" s="1"/>
  <c r="R842" i="7" s="1"/>
  <c r="E842" i="7" s="1"/>
  <c r="F842" i="7" s="1"/>
  <c r="T103" i="7" l="1"/>
  <c r="H103" i="7" s="1"/>
  <c r="O103" i="7"/>
  <c r="P103" i="7" s="1"/>
  <c r="R103" i="7" s="1"/>
  <c r="E103" i="7" s="1"/>
  <c r="T1360" i="7"/>
  <c r="H1360" i="7" s="1"/>
  <c r="O1360" i="7"/>
  <c r="P1360" i="7" s="1"/>
  <c r="R1360" i="7" s="1"/>
  <c r="E1360" i="7" s="1"/>
  <c r="F1360" i="7" s="1"/>
  <c r="T1549" i="7"/>
  <c r="H1549" i="7" s="1"/>
  <c r="O1549" i="7"/>
  <c r="P1549" i="7" s="1"/>
  <c r="R1549" i="7" s="1"/>
  <c r="E1549" i="7" s="1"/>
  <c r="F1549" i="7" s="1"/>
  <c r="T634" i="7"/>
  <c r="H634" i="7" s="1"/>
  <c r="O634" i="7"/>
  <c r="P634" i="7" s="1"/>
  <c r="R634" i="7" s="1"/>
  <c r="E634" i="7" s="1"/>
  <c r="F634" i="7" s="1"/>
  <c r="F103" i="7" l="1"/>
  <c r="B103" i="7"/>
  <c r="T1159" i="7" l="1"/>
  <c r="H1159" i="7" s="1"/>
  <c r="O1159" i="7"/>
  <c r="P1159" i="7" s="1"/>
  <c r="R1159" i="7" s="1"/>
  <c r="E1159" i="7" s="1"/>
  <c r="G1159" i="7" l="1"/>
  <c r="B1159" i="7"/>
  <c r="K2813" i="7" l="1"/>
  <c r="K2812" i="7"/>
  <c r="K2809" i="7"/>
  <c r="K2332" i="7"/>
  <c r="K2176" i="7"/>
  <c r="K2061" i="7"/>
  <c r="K2060" i="7"/>
  <c r="K1351" i="7"/>
  <c r="K1345" i="7"/>
  <c r="K703" i="7"/>
  <c r="K533" i="7"/>
  <c r="K522" i="7"/>
  <c r="K521" i="7"/>
  <c r="K508" i="7"/>
  <c r="K507" i="7"/>
  <c r="K456" i="7"/>
  <c r="K455" i="7"/>
  <c r="K353" i="7"/>
  <c r="K352" i="7"/>
  <c r="K351" i="7"/>
  <c r="K350" i="7"/>
  <c r="K349" i="7"/>
  <c r="K348" i="7"/>
  <c r="K279" i="7"/>
  <c r="K2138" i="7" l="1"/>
  <c r="K2442" i="7" l="1"/>
  <c r="K2441" i="7"/>
  <c r="K1481" i="7"/>
  <c r="K1478" i="7"/>
  <c r="L2241" i="7" l="1"/>
  <c r="K2435" i="7"/>
  <c r="K2835" i="7"/>
  <c r="K1566" i="7"/>
  <c r="K1565" i="7"/>
  <c r="K556" i="7" l="1"/>
  <c r="K555" i="7"/>
  <c r="L1004" i="7"/>
  <c r="M2327" i="7" l="1"/>
  <c r="K2123" i="7" l="1"/>
  <c r="T2096" i="7"/>
  <c r="H2096" i="7" s="1"/>
  <c r="O2096" i="7"/>
  <c r="P2096" i="7" s="1"/>
  <c r="R2096" i="7" s="1"/>
  <c r="E2096" i="7" s="1"/>
  <c r="F2096" i="7" s="1"/>
  <c r="K1151" i="7"/>
  <c r="O1151" i="7" s="1"/>
  <c r="P1151" i="7" s="1"/>
  <c r="R1151" i="7" s="1"/>
  <c r="E1151" i="7" s="1"/>
  <c r="F1151" i="7" s="1"/>
  <c r="T1151" i="7"/>
  <c r="H1151" i="7" s="1"/>
  <c r="K1686" i="7" l="1"/>
  <c r="G1584" i="7"/>
  <c r="K2095" i="7"/>
  <c r="K24" i="7" l="1"/>
  <c r="K29" i="7"/>
  <c r="K31" i="7"/>
  <c r="K30" i="7"/>
  <c r="K2697" i="7"/>
  <c r="K1972" i="7"/>
  <c r="K64" i="7"/>
  <c r="K1417" i="7" l="1"/>
  <c r="K924" i="7"/>
  <c r="L924" i="7"/>
  <c r="L1816" i="7"/>
  <c r="L1815" i="7"/>
  <c r="K1815" i="7"/>
  <c r="K1814" i="7"/>
  <c r="K1816" i="7"/>
  <c r="L1814" i="7"/>
  <c r="K1781" i="7"/>
  <c r="L1781" i="7"/>
  <c r="L1755" i="7"/>
  <c r="L1754" i="7"/>
  <c r="K1753" i="7"/>
  <c r="K1755" i="7"/>
  <c r="K1754" i="7"/>
  <c r="L1753" i="7"/>
  <c r="K1389" i="7"/>
  <c r="K832" i="7"/>
  <c r="K831" i="7"/>
  <c r="K830" i="7"/>
  <c r="K829" i="7"/>
  <c r="K827" i="7"/>
  <c r="K826" i="7"/>
  <c r="K524" i="7"/>
  <c r="K519" i="7"/>
  <c r="K513" i="7"/>
  <c r="K512" i="7"/>
  <c r="K516" i="7" l="1"/>
  <c r="G2180" i="7"/>
  <c r="N1063" i="7"/>
  <c r="N922" i="7"/>
  <c r="N921" i="7"/>
  <c r="N920" i="7"/>
  <c r="N380" i="7"/>
  <c r="K1076" i="7"/>
  <c r="N1076" i="7"/>
  <c r="K549" i="7"/>
  <c r="K550" i="7"/>
  <c r="K552" i="7"/>
  <c r="K256" i="7"/>
  <c r="K255" i="7"/>
  <c r="K668" i="7"/>
  <c r="K666" i="7"/>
  <c r="K665" i="7"/>
  <c r="K653" i="7"/>
  <c r="K649" i="7"/>
  <c r="K849" i="7"/>
  <c r="L2737" i="7"/>
  <c r="K2520" i="7"/>
  <c r="K2059" i="7"/>
  <c r="L2017" i="7"/>
  <c r="K2017" i="7"/>
  <c r="K2014" i="7"/>
  <c r="K1892" i="7"/>
  <c r="K1891" i="7"/>
  <c r="K1025" i="7"/>
  <c r="K1024" i="7"/>
  <c r="K1023" i="7"/>
  <c r="K1022" i="7"/>
  <c r="K1021" i="7"/>
  <c r="K794" i="7"/>
  <c r="K795" i="7"/>
  <c r="K648" i="7"/>
  <c r="K647" i="7"/>
  <c r="K1332" i="7" l="1"/>
  <c r="K2319" i="7" l="1"/>
  <c r="K2114" i="7"/>
  <c r="K2113" i="7"/>
  <c r="K2067" i="7"/>
  <c r="K2066" i="7"/>
  <c r="K2065" i="7"/>
  <c r="L1578" i="7"/>
  <c r="L1577" i="7"/>
  <c r="K1507" i="7"/>
  <c r="K1506" i="7"/>
  <c r="K1505" i="7"/>
  <c r="K1443" i="7"/>
  <c r="K1440" i="7"/>
  <c r="K1439" i="7"/>
  <c r="K1437" i="7"/>
  <c r="K1438" i="7"/>
  <c r="K1378" i="7"/>
  <c r="L1263" i="7"/>
  <c r="K1263" i="7"/>
  <c r="K615" i="7"/>
  <c r="K607" i="7"/>
  <c r="K605" i="7"/>
  <c r="K604" i="7"/>
  <c r="K603" i="7"/>
  <c r="K599" i="7"/>
  <c r="K598" i="7"/>
  <c r="K597" i="7"/>
  <c r="K238" i="7"/>
  <c r="K237" i="7"/>
  <c r="K236" i="7"/>
  <c r="K234" i="7"/>
  <c r="K2275" i="7"/>
  <c r="K1954" i="7"/>
  <c r="K1848" i="7"/>
  <c r="K1569" i="7"/>
  <c r="L1474" i="7"/>
  <c r="N1452" i="7"/>
  <c r="K1051" i="7"/>
  <c r="L1010" i="7"/>
  <c r="N749" i="7"/>
  <c r="K568" i="7"/>
  <c r="N568" i="7" s="1"/>
  <c r="K199" i="7"/>
  <c r="N199" i="7" s="1"/>
  <c r="K163" i="7"/>
  <c r="K81" i="7"/>
  <c r="N81" i="7" s="1"/>
  <c r="K82" i="7"/>
  <c r="N82" i="7" s="1"/>
  <c r="K84" i="7"/>
  <c r="N84" i="7" s="1"/>
  <c r="K2773" i="7"/>
  <c r="K2761" i="7"/>
  <c r="K2725" i="7"/>
  <c r="K2656" i="7"/>
  <c r="K2655" i="7"/>
  <c r="L2326" i="7"/>
  <c r="L2325" i="7"/>
  <c r="K2212" i="7"/>
  <c r="K2211" i="7"/>
  <c r="L2212" i="7"/>
  <c r="L2211" i="7"/>
  <c r="L2209" i="7"/>
  <c r="L2208" i="7"/>
  <c r="L2207" i="7"/>
  <c r="K2159" i="7"/>
  <c r="K2040" i="7"/>
  <c r="K2039" i="7"/>
  <c r="K1928" i="7"/>
  <c r="K1931" i="7"/>
  <c r="K1930" i="7"/>
  <c r="L1859" i="7"/>
  <c r="L1858" i="7"/>
  <c r="K1660" i="7"/>
  <c r="K1254" i="7"/>
  <c r="K1135" i="7"/>
  <c r="L596" i="7"/>
  <c r="L458" i="7"/>
  <c r="K415" i="7"/>
  <c r="K414" i="7"/>
  <c r="L383" i="7"/>
  <c r="K382" i="7"/>
  <c r="L381" i="7"/>
  <c r="L1005" i="7" s="1"/>
  <c r="L372" i="7"/>
  <c r="L371" i="7"/>
  <c r="L370" i="7"/>
  <c r="L369" i="7"/>
  <c r="K336" i="7"/>
  <c r="K335" i="7"/>
  <c r="K334" i="7"/>
  <c r="K1419" i="7"/>
  <c r="K2804" i="7"/>
  <c r="L1333" i="7"/>
  <c r="L1328" i="7"/>
  <c r="K1448" i="7"/>
  <c r="K2480" i="7"/>
  <c r="K2281" i="7"/>
  <c r="K1834" i="7"/>
  <c r="K971" i="7"/>
  <c r="K195" i="7"/>
  <c r="K79" i="7"/>
  <c r="K575" i="7"/>
  <c r="K2654" i="7"/>
  <c r="K1602" i="7" l="1"/>
  <c r="K1582" i="7"/>
  <c r="K1581" i="7"/>
  <c r="K1587" i="7"/>
  <c r="K2650" i="7" l="1"/>
  <c r="L250" i="7"/>
  <c r="K1340" i="7" l="1"/>
  <c r="K2885" i="7"/>
  <c r="K2884" i="7"/>
  <c r="K2806" i="7"/>
  <c r="K2805" i="7"/>
  <c r="K2688" i="7"/>
  <c r="K2685" i="7"/>
  <c r="K2502" i="7"/>
  <c r="K2501" i="7"/>
  <c r="K2500" i="7"/>
  <c r="K2499" i="7"/>
  <c r="K2516" i="7"/>
  <c r="K2517" i="7"/>
  <c r="K2417" i="7"/>
  <c r="K2416" i="7"/>
  <c r="K2367" i="7"/>
  <c r="K2366" i="7"/>
  <c r="K2365" i="7"/>
  <c r="K2333" i="7"/>
  <c r="K2177" i="7"/>
  <c r="K995" i="7"/>
  <c r="K949" i="7"/>
  <c r="K702" i="7"/>
  <c r="K700" i="7"/>
  <c r="K527" i="7"/>
  <c r="K526" i="7"/>
  <c r="K525" i="7"/>
  <c r="K523" i="7"/>
  <c r="K520" i="7"/>
  <c r="K511" i="7"/>
  <c r="K510" i="7"/>
  <c r="K514" i="7"/>
  <c r="K515" i="7"/>
  <c r="K518" i="7"/>
  <c r="K517" i="7"/>
  <c r="K280" i="7"/>
  <c r="K433" i="7"/>
  <c r="K2841" i="7" l="1"/>
  <c r="L1453" i="7" l="1"/>
  <c r="K2746" i="7" l="1"/>
  <c r="K2573" i="7"/>
  <c r="L2446" i="7"/>
  <c r="K1665" i="7"/>
  <c r="L1488" i="7"/>
  <c r="K1487" i="7"/>
  <c r="L1484" i="7"/>
  <c r="L1482" i="7"/>
  <c r="L1479" i="7"/>
  <c r="L1477" i="7"/>
  <c r="L1476" i="7"/>
  <c r="L1469" i="7"/>
  <c r="L1467" i="7"/>
  <c r="L1466" i="7"/>
  <c r="L1465" i="7"/>
  <c r="K1253" i="7"/>
  <c r="K1250" i="7"/>
  <c r="L1208" i="7"/>
  <c r="K1149" i="7"/>
  <c r="K1147" i="7"/>
  <c r="K1137" i="7"/>
  <c r="K1136" i="7"/>
  <c r="K1050" i="7"/>
  <c r="K1049" i="7"/>
  <c r="K1044" i="7"/>
  <c r="L1043" i="7"/>
  <c r="L1042" i="7"/>
  <c r="L1041" i="7"/>
  <c r="L1040" i="7"/>
  <c r="L1038" i="7"/>
  <c r="L1039" i="7"/>
  <c r="L1037" i="7"/>
  <c r="L1036" i="7"/>
  <c r="L1035" i="7"/>
  <c r="L1034" i="7"/>
  <c r="L1033" i="7"/>
  <c r="K1016" i="7"/>
  <c r="K1015" i="7"/>
  <c r="K1008" i="7"/>
  <c r="K1007" i="7"/>
  <c r="K1006" i="7"/>
  <c r="K981" i="7"/>
  <c r="K980" i="7"/>
  <c r="K979" i="7"/>
  <c r="K977" i="7"/>
  <c r="K889" i="7"/>
  <c r="K887" i="7"/>
  <c r="K886" i="7"/>
  <c r="K879" i="7"/>
  <c r="K878" i="7"/>
  <c r="K2735" i="7"/>
  <c r="L2735" i="7"/>
  <c r="L2733" i="7"/>
  <c r="L2731" i="7"/>
  <c r="L846" i="7"/>
  <c r="K811" i="7"/>
  <c r="K810" i="7"/>
  <c r="K806" i="7"/>
  <c r="K804" i="7"/>
  <c r="K803" i="7"/>
  <c r="K664" i="7"/>
  <c r="L390" i="7"/>
  <c r="L389" i="7"/>
  <c r="L388" i="7"/>
  <c r="K385" i="7"/>
  <c r="L385" i="7"/>
  <c r="L384" i="7"/>
  <c r="K1709" i="7" l="1"/>
  <c r="K369" i="7"/>
  <c r="L329" i="7"/>
  <c r="M329" i="7"/>
  <c r="K293" i="7"/>
  <c r="K2497" i="7" l="1"/>
  <c r="K951" i="7" l="1"/>
  <c r="K315" i="7" l="1"/>
  <c r="T315" i="7"/>
  <c r="H315" i="7" s="1"/>
  <c r="O315" i="7"/>
  <c r="P315" i="7" s="1"/>
  <c r="R315" i="7" s="1"/>
  <c r="E315" i="7" s="1"/>
  <c r="F315" i="7" s="1"/>
  <c r="T2377" i="7"/>
  <c r="H2377" i="7" s="1"/>
  <c r="O2377" i="7"/>
  <c r="P2377" i="7" s="1"/>
  <c r="R2377" i="7" s="1"/>
  <c r="E2377" i="7" s="1"/>
  <c r="F2377" i="7" s="1"/>
  <c r="T2376" i="7"/>
  <c r="H2376" i="7" s="1"/>
  <c r="O2376" i="7"/>
  <c r="P2376" i="7" s="1"/>
  <c r="R2376" i="7" s="1"/>
  <c r="E2376" i="7" s="1"/>
  <c r="F2376" i="7" s="1"/>
  <c r="K1129" i="7" l="1"/>
  <c r="K1118" i="7"/>
  <c r="L1423" i="7" l="1"/>
  <c r="L1026" i="7" l="1"/>
  <c r="K1896" i="7" l="1"/>
  <c r="K1893" i="7"/>
  <c r="K1895" i="7"/>
  <c r="K1894" i="7"/>
  <c r="L621" i="7"/>
  <c r="L620" i="7"/>
  <c r="K1341" i="7" l="1"/>
  <c r="N1344" i="7"/>
  <c r="N1341" i="7"/>
  <c r="K1344" i="7"/>
  <c r="K1522" i="7" l="1"/>
  <c r="G2854" i="7" l="1"/>
  <c r="L1064" i="7" l="1"/>
  <c r="K2363" i="7" l="1"/>
  <c r="K1550" i="7" l="1"/>
  <c r="K1485" i="7" l="1"/>
  <c r="K880" i="7"/>
  <c r="K847" i="7"/>
  <c r="K661" i="7"/>
  <c r="K657" i="7"/>
  <c r="K406" i="7"/>
  <c r="K383" i="7"/>
  <c r="K371" i="7"/>
  <c r="K370" i="7"/>
  <c r="K1333" i="7"/>
  <c r="K1328" i="7"/>
  <c r="K2651" i="7"/>
  <c r="M580" i="7" l="1"/>
  <c r="K1094" i="7" l="1"/>
  <c r="K1109" i="7"/>
  <c r="K2863" i="7"/>
  <c r="K2231" i="7"/>
  <c r="K1115" i="7"/>
  <c r="K1102" i="7"/>
  <c r="K1103" i="7"/>
  <c r="K1095" i="7"/>
  <c r="K1101" i="7"/>
  <c r="K1093" i="7"/>
  <c r="K1100" i="7"/>
  <c r="K1107" i="7"/>
  <c r="K1106" i="7"/>
  <c r="K1099" i="7"/>
  <c r="K1096" i="7"/>
  <c r="K1104" i="7"/>
  <c r="K1523" i="7"/>
  <c r="K2494" i="7"/>
  <c r="K2197" i="7"/>
  <c r="K2196" i="7"/>
  <c r="K1943" i="7"/>
  <c r="K1612" i="7"/>
  <c r="K1613" i="7"/>
  <c r="K1158" i="7"/>
  <c r="K1154" i="7"/>
  <c r="K1014" i="7"/>
  <c r="K948" i="7"/>
  <c r="K798" i="7"/>
  <c r="K2448" i="7"/>
  <c r="K2447" i="7"/>
  <c r="K701" i="7"/>
  <c r="K670" i="7"/>
  <c r="K164" i="7"/>
  <c r="N2816" i="7" l="1"/>
  <c r="N1854" i="7"/>
  <c r="K1854" i="7"/>
  <c r="K2816" i="7"/>
  <c r="L450" i="7"/>
  <c r="L443" i="7"/>
  <c r="K2289" i="7" l="1"/>
  <c r="K593" i="7"/>
  <c r="K137" i="7"/>
  <c r="M2238" i="7"/>
  <c r="M2237" i="7"/>
  <c r="M2236" i="7"/>
  <c r="L1223" i="7"/>
  <c r="L1222" i="7"/>
  <c r="L1221" i="7"/>
  <c r="K397" i="7"/>
  <c r="K395" i="7"/>
  <c r="K362" i="7"/>
  <c r="L362" i="7"/>
  <c r="L361" i="7"/>
  <c r="L360" i="7"/>
  <c r="K366" i="7"/>
  <c r="K365" i="7"/>
  <c r="K531" i="7"/>
  <c r="K2491" i="7"/>
  <c r="K2490" i="7"/>
  <c r="K2202" i="7" l="1"/>
  <c r="K1235" i="7" l="1"/>
  <c r="T206" i="7"/>
  <c r="H206" i="7" s="1"/>
  <c r="O206" i="7"/>
  <c r="P206" i="7" s="1"/>
  <c r="R206" i="7" s="1"/>
  <c r="E206" i="7" s="1"/>
  <c r="F206" i="7" s="1"/>
  <c r="T2763" i="7"/>
  <c r="H2763" i="7" s="1"/>
  <c r="O2763" i="7"/>
  <c r="P2763" i="7" s="1"/>
  <c r="R2763" i="7" s="1"/>
  <c r="E2763" i="7" s="1"/>
  <c r="G2763" i="7" s="1"/>
  <c r="O2571" i="7"/>
  <c r="P2571" i="7" s="1"/>
  <c r="R2571" i="7" s="1"/>
  <c r="E2571" i="7" s="1"/>
  <c r="F2571" i="7" s="1"/>
  <c r="O2570" i="7"/>
  <c r="P2570" i="7" s="1"/>
  <c r="R2570" i="7" s="1"/>
  <c r="E2570" i="7" s="1"/>
  <c r="F2570" i="7" s="1"/>
  <c r="T2571" i="7"/>
  <c r="H2571" i="7" s="1"/>
  <c r="O2572" i="7"/>
  <c r="P2572" i="7" s="1"/>
  <c r="R2572" i="7" s="1"/>
  <c r="E2572" i="7" s="1"/>
  <c r="F2572" i="7" s="1"/>
  <c r="T2572" i="7"/>
  <c r="H2572" i="7" s="1"/>
  <c r="T2570" i="7"/>
  <c r="H2570" i="7" s="1"/>
  <c r="O421" i="7"/>
  <c r="P421" i="7" s="1"/>
  <c r="R421" i="7" s="1"/>
  <c r="E421" i="7" s="1"/>
  <c r="F421" i="7" s="1"/>
  <c r="T421" i="7"/>
  <c r="H421" i="7" s="1"/>
  <c r="L1924" i="7" l="1"/>
  <c r="K1420" i="7" l="1"/>
  <c r="T163" i="7" l="1"/>
  <c r="H163" i="7" s="1"/>
  <c r="O163" i="7"/>
  <c r="P163" i="7" s="1"/>
  <c r="R163" i="7" s="1"/>
  <c r="E163" i="7" s="1"/>
  <c r="G163" i="7" s="1"/>
  <c r="K1616" i="7" l="1"/>
  <c r="K2180" i="7" l="1"/>
  <c r="K1422" i="7"/>
  <c r="K2178" i="7"/>
  <c r="T1720" i="7" l="1"/>
  <c r="H1720" i="7" s="1"/>
  <c r="O1720" i="7"/>
  <c r="P1720" i="7" s="1"/>
  <c r="R1720" i="7" s="1"/>
  <c r="E1720" i="7" s="1"/>
  <c r="F1720" i="7" s="1"/>
  <c r="T524" i="7" l="1"/>
  <c r="K2150" i="7" l="1"/>
  <c r="O2150" i="7" s="1"/>
  <c r="P2150" i="7" s="1"/>
  <c r="R2150" i="7" s="1"/>
  <c r="E2150" i="7" s="1"/>
  <c r="G2150" i="7" s="1"/>
  <c r="T2150" i="7"/>
  <c r="H2150" i="7" s="1"/>
  <c r="K367" i="7" l="1"/>
  <c r="T63" i="7"/>
  <c r="H63" i="7" s="1"/>
  <c r="O63" i="7"/>
  <c r="P63" i="7" s="1"/>
  <c r="R63" i="7" s="1"/>
  <c r="E63" i="7" s="1"/>
  <c r="F63" i="7" l="1"/>
  <c r="B63" i="7"/>
  <c r="K2156" i="7" l="1"/>
  <c r="K2012" i="7" l="1"/>
  <c r="K1446" i="7"/>
  <c r="T1370" i="7" l="1"/>
  <c r="H1370" i="7" s="1"/>
  <c r="O1370" i="7"/>
  <c r="P1370" i="7" s="1"/>
  <c r="R1370" i="7" s="1"/>
  <c r="E1370" i="7" s="1"/>
  <c r="F1370" i="7" s="1"/>
  <c r="K1350" i="7" l="1"/>
  <c r="G1372" i="7" l="1"/>
  <c r="K109" i="7"/>
  <c r="T132" i="7"/>
  <c r="H132" i="7" s="1"/>
  <c r="O132" i="7"/>
  <c r="P132" i="7" s="1"/>
  <c r="R132" i="7" s="1"/>
  <c r="E132" i="7" s="1"/>
  <c r="F132" i="7" s="1"/>
  <c r="K472" i="7" l="1"/>
  <c r="K1666" i="7" l="1"/>
  <c r="K2493" i="7" l="1"/>
  <c r="K2503" i="7" l="1"/>
  <c r="K2427" i="7" l="1"/>
  <c r="N2427" i="7" s="1"/>
  <c r="O1606" i="7"/>
  <c r="P1606" i="7" s="1"/>
  <c r="R1606" i="7" s="1"/>
  <c r="E1606" i="7" s="1"/>
  <c r="F1606" i="7" s="1"/>
  <c r="T1606" i="7"/>
  <c r="H1606" i="7" s="1"/>
  <c r="K2179" i="7" l="1"/>
  <c r="I39" i="3"/>
  <c r="I12" i="3"/>
  <c r="I25" i="3"/>
  <c r="M1236" i="7"/>
  <c r="K2755" i="7"/>
  <c r="K2677" i="7"/>
  <c r="L2677" i="7"/>
  <c r="K380" i="7"/>
  <c r="L380" i="7"/>
  <c r="K1127" i="7"/>
  <c r="L1127" i="7"/>
  <c r="L2755" i="7" l="1"/>
  <c r="T1261" i="7" l="1"/>
  <c r="H1261" i="7" s="1"/>
  <c r="O1261" i="7"/>
  <c r="P1261" i="7" s="1"/>
  <c r="R1261" i="7" s="1"/>
  <c r="E1261" i="7" s="1"/>
  <c r="G1261" i="7" l="1"/>
  <c r="B1261" i="7"/>
  <c r="L551" i="7" l="1"/>
  <c r="T561" i="7" l="1"/>
  <c r="H561" i="7" s="1"/>
  <c r="O561" i="7"/>
  <c r="P561" i="7" s="1"/>
  <c r="R561" i="7" s="1"/>
  <c r="E561" i="7" s="1"/>
  <c r="F561" i="7" s="1"/>
  <c r="T1749" i="7" l="1"/>
  <c r="H1749" i="7" s="1"/>
  <c r="O1749" i="7"/>
  <c r="P1749" i="7" s="1"/>
  <c r="R1749" i="7" s="1"/>
  <c r="E1749" i="7" s="1"/>
  <c r="F1749" i="7" s="1"/>
  <c r="T1748" i="7"/>
  <c r="H1748" i="7" s="1"/>
  <c r="O1748" i="7"/>
  <c r="P1748" i="7" s="1"/>
  <c r="R1748" i="7" s="1"/>
  <c r="E1748" i="7" s="1"/>
  <c r="F1748" i="7" s="1"/>
  <c r="T1747" i="7"/>
  <c r="H1747" i="7" s="1"/>
  <c r="O1747" i="7"/>
  <c r="P1747" i="7" s="1"/>
  <c r="R1747" i="7" s="1"/>
  <c r="E1747" i="7" s="1"/>
  <c r="F1747" i="7" s="1"/>
  <c r="T974" i="7"/>
  <c r="H974" i="7" s="1"/>
  <c r="O974" i="7"/>
  <c r="P974" i="7" s="1"/>
  <c r="R974" i="7" s="1"/>
  <c r="E974" i="7" s="1"/>
  <c r="F974" i="7" s="1"/>
  <c r="T2163" i="7"/>
  <c r="H2163" i="7" s="1"/>
  <c r="O2163" i="7"/>
  <c r="P2163" i="7" s="1"/>
  <c r="R2163" i="7" s="1"/>
  <c r="E2163" i="7" s="1"/>
  <c r="F2163" i="7" s="1"/>
  <c r="K1339" i="7" l="1"/>
  <c r="L1332" i="7" l="1"/>
  <c r="L1331" i="7"/>
  <c r="L1330" i="7"/>
  <c r="L1329" i="7"/>
  <c r="K1331" i="7"/>
  <c r="K1330" i="7"/>
  <c r="K1329" i="7"/>
  <c r="K2671" i="7" l="1"/>
  <c r="L2327" i="7"/>
  <c r="L1857" i="7"/>
  <c r="L1862" i="7"/>
  <c r="K1858" i="7"/>
  <c r="K1859" i="7"/>
  <c r="K1144" i="7"/>
  <c r="L593" i="7"/>
  <c r="K407" i="7"/>
  <c r="L2324" i="7"/>
  <c r="L1656" i="7"/>
  <c r="L323" i="7"/>
  <c r="M2235" i="7"/>
  <c r="L366" i="7"/>
  <c r="L367" i="7"/>
  <c r="L365" i="7"/>
  <c r="K2189" i="7" s="1"/>
  <c r="L368" i="7"/>
  <c r="T197" i="7"/>
  <c r="H197" i="7" s="1"/>
  <c r="O197" i="7"/>
  <c r="P197" i="7" s="1"/>
  <c r="R197" i="7" s="1"/>
  <c r="E197" i="7" s="1"/>
  <c r="F197" i="7" l="1"/>
  <c r="B197" i="7"/>
  <c r="M735" i="7" l="1"/>
  <c r="M734" i="7"/>
  <c r="M733" i="7"/>
  <c r="M732" i="7"/>
  <c r="M731" i="7"/>
  <c r="M730" i="7"/>
  <c r="M729" i="7"/>
  <c r="M728" i="7"/>
  <c r="M727" i="7"/>
  <c r="M726" i="7"/>
  <c r="M725" i="7"/>
  <c r="M724" i="7"/>
  <c r="M723" i="7"/>
  <c r="M722" i="7"/>
  <c r="M721" i="7"/>
  <c r="M720" i="7"/>
  <c r="M719" i="7"/>
  <c r="M718" i="7"/>
  <c r="M717" i="7"/>
  <c r="M716" i="7"/>
  <c r="M715" i="7"/>
  <c r="M714" i="7"/>
  <c r="M713" i="7"/>
  <c r="M712" i="7"/>
  <c r="M710" i="7"/>
  <c r="M709" i="7"/>
  <c r="M708" i="7"/>
  <c r="M707" i="7"/>
  <c r="M706" i="7"/>
  <c r="M705" i="7"/>
  <c r="K735" i="7"/>
  <c r="K734" i="7"/>
  <c r="K733" i="7"/>
  <c r="K732" i="7"/>
  <c r="K731" i="7"/>
  <c r="K730" i="7"/>
  <c r="K729" i="7"/>
  <c r="K728" i="7"/>
  <c r="K727" i="7"/>
  <c r="K726" i="7"/>
  <c r="K725" i="7"/>
  <c r="K724" i="7"/>
  <c r="K723" i="7"/>
  <c r="K722" i="7"/>
  <c r="K721" i="7"/>
  <c r="K720" i="7"/>
  <c r="K719" i="7"/>
  <c r="K716" i="7"/>
  <c r="K717" i="7"/>
  <c r="K718" i="7"/>
  <c r="K715" i="7"/>
  <c r="K714" i="7"/>
  <c r="K713" i="7"/>
  <c r="K710" i="7"/>
  <c r="K709" i="7"/>
  <c r="K708" i="7"/>
  <c r="K707" i="7"/>
  <c r="K706" i="7"/>
  <c r="K705" i="7"/>
  <c r="K776" i="7" l="1"/>
  <c r="N776" i="7"/>
  <c r="K2820" i="7"/>
  <c r="K1508" i="7" l="1"/>
  <c r="K1053" i="7"/>
  <c r="K969" i="7"/>
  <c r="K441" i="7"/>
  <c r="K439" i="7"/>
  <c r="K265" i="7"/>
  <c r="K145" i="7"/>
  <c r="G1245" i="7" l="1"/>
  <c r="G1243" i="7"/>
  <c r="G1244" i="7" s="1"/>
  <c r="G1241" i="7"/>
  <c r="G1242" i="7" s="1"/>
  <c r="K2778" i="7"/>
  <c r="G1278" i="7"/>
  <c r="K1924" i="7"/>
  <c r="K38" i="7" l="1"/>
  <c r="K1105" i="7"/>
  <c r="T1450" i="7"/>
  <c r="H1450" i="7" s="1"/>
  <c r="O1450" i="7"/>
  <c r="P1450" i="7" s="1"/>
  <c r="R1450" i="7" s="1"/>
  <c r="E1450" i="7" s="1"/>
  <c r="F1450" i="7" s="1"/>
  <c r="T2323" i="7"/>
  <c r="H2323" i="7" s="1"/>
  <c r="O2323" i="7"/>
  <c r="P2323" i="7" s="1"/>
  <c r="R2323" i="7" s="1"/>
  <c r="E2323" i="7" s="1"/>
  <c r="F2323" i="7" s="1"/>
  <c r="O1996" i="7"/>
  <c r="P1996" i="7" s="1"/>
  <c r="R1996" i="7" s="1"/>
  <c r="E1996" i="7" s="1"/>
  <c r="T1417" i="7"/>
  <c r="H1417" i="7" s="1"/>
  <c r="O1417" i="7"/>
  <c r="P1417" i="7" s="1"/>
  <c r="R1417" i="7" s="1"/>
  <c r="E1417" i="7" s="1"/>
  <c r="F1417" i="7" s="1"/>
  <c r="T1781" i="7"/>
  <c r="H1781" i="7" s="1"/>
  <c r="O1781" i="7"/>
  <c r="P1781" i="7" s="1"/>
  <c r="R1781" i="7" s="1"/>
  <c r="E1781" i="7" s="1"/>
  <c r="F1781" i="7" s="1"/>
  <c r="T608" i="7"/>
  <c r="H608" i="7" s="1"/>
  <c r="O608" i="7"/>
  <c r="P608" i="7" s="1"/>
  <c r="R608" i="7" s="1"/>
  <c r="E608" i="7" s="1"/>
  <c r="F608" i="7" s="1"/>
  <c r="T601" i="7"/>
  <c r="H601" i="7" s="1"/>
  <c r="O601" i="7"/>
  <c r="P601" i="7" s="1"/>
  <c r="R601" i="7" s="1"/>
  <c r="E601" i="7" s="1"/>
  <c r="F601" i="7" s="1"/>
  <c r="O191" i="7"/>
  <c r="P191" i="7" s="1"/>
  <c r="R191" i="7" s="1"/>
  <c r="E191" i="7" s="1"/>
  <c r="T191" i="7"/>
  <c r="H191" i="7" s="1"/>
  <c r="G33" i="7"/>
  <c r="G34" i="7" s="1"/>
  <c r="G32" i="7"/>
  <c r="T1996" i="7" l="1"/>
  <c r="H1996" i="7" s="1"/>
  <c r="G1996" i="7"/>
  <c r="B1996" i="7"/>
  <c r="F191" i="7"/>
  <c r="B191" i="7"/>
  <c r="L2002" i="7" l="1"/>
  <c r="L1999" i="7"/>
  <c r="L2000" i="7"/>
  <c r="L2001" i="7"/>
  <c r="G1668" i="7"/>
  <c r="O1098" i="7"/>
  <c r="P1098" i="7" s="1"/>
  <c r="R1098" i="7" s="1"/>
  <c r="E1098" i="7" s="1"/>
  <c r="F1098" i="7" s="1"/>
  <c r="T1098" i="7"/>
  <c r="H1098" i="7" s="1"/>
  <c r="C39" i="3"/>
  <c r="D39" i="3" s="1"/>
  <c r="O2683" i="7"/>
  <c r="P2683" i="7" s="1"/>
  <c r="R2683" i="7" s="1"/>
  <c r="E2683" i="7" s="1"/>
  <c r="F2683" i="7" s="1"/>
  <c r="O2682" i="7"/>
  <c r="P2682" i="7" s="1"/>
  <c r="R2682" i="7" s="1"/>
  <c r="E2682" i="7" s="1"/>
  <c r="F2682" i="7" s="1"/>
  <c r="T2683" i="7"/>
  <c r="H2683" i="7" s="1"/>
  <c r="T2682" i="7"/>
  <c r="H2682" i="7" s="1"/>
  <c r="K622" i="7" l="1"/>
  <c r="K2149" i="7"/>
  <c r="L2137" i="7" l="1"/>
  <c r="T631" i="7" l="1"/>
  <c r="H631" i="7" s="1"/>
  <c r="O631" i="7"/>
  <c r="P631" i="7" s="1"/>
  <c r="R631" i="7" s="1"/>
  <c r="E631" i="7" s="1"/>
  <c r="F631" i="7" s="1"/>
  <c r="T2883" i="7" l="1"/>
  <c r="H2883" i="7" s="1"/>
  <c r="O2883" i="7"/>
  <c r="P2883" i="7" s="1"/>
  <c r="R2883" i="7" s="1"/>
  <c r="E2883" i="7" s="1"/>
  <c r="G2883" i="7" s="1"/>
  <c r="L1235" i="7" l="1"/>
  <c r="L642" i="7" l="1"/>
  <c r="K858" i="7" l="1"/>
  <c r="K2473" i="7" l="1"/>
  <c r="T1191" i="7"/>
  <c r="H1191" i="7" s="1"/>
  <c r="O1191" i="7"/>
  <c r="P1191" i="7" s="1"/>
  <c r="R1191" i="7" s="1"/>
  <c r="E1191" i="7" s="1"/>
  <c r="F1191" i="7" s="1"/>
  <c r="T552" i="7"/>
  <c r="H552" i="7" s="1"/>
  <c r="O552" i="7"/>
  <c r="P552" i="7" s="1"/>
  <c r="R552" i="7" s="1"/>
  <c r="E552" i="7" s="1"/>
  <c r="F552" i="7" s="1"/>
  <c r="K993" i="7" l="1"/>
  <c r="O1025" i="7" l="1"/>
  <c r="P1025" i="7" s="1"/>
  <c r="R1025" i="7" s="1"/>
  <c r="E1025" i="7" s="1"/>
  <c r="F1025" i="7" s="1"/>
  <c r="T1025" i="7"/>
  <c r="H1025" i="7" s="1"/>
  <c r="T962" i="7" l="1"/>
  <c r="H962" i="7" s="1"/>
  <c r="O962" i="7" l="1"/>
  <c r="P962" i="7" s="1"/>
  <c r="R962" i="7" s="1"/>
  <c r="E962" i="7" s="1"/>
  <c r="F962" i="7" s="1"/>
  <c r="K2171" i="7" l="1"/>
  <c r="K316" i="7" l="1"/>
  <c r="K2452" i="7" l="1"/>
  <c r="K2450" i="7"/>
  <c r="K1937" i="7"/>
  <c r="K1696" i="7"/>
  <c r="K1652" i="7"/>
  <c r="K1274" i="7"/>
  <c r="K1177" i="7"/>
  <c r="K1174" i="7"/>
  <c r="K1173" i="7"/>
  <c r="K1172" i="7"/>
  <c r="K1170" i="7"/>
  <c r="K675" i="7"/>
  <c r="K674" i="7"/>
  <c r="K672" i="7"/>
  <c r="T900" i="7" l="1"/>
  <c r="H900" i="7" s="1"/>
  <c r="O900" i="7"/>
  <c r="P900" i="7" s="1"/>
  <c r="R900" i="7" s="1"/>
  <c r="E900" i="7" s="1"/>
  <c r="F900" i="7" s="1"/>
  <c r="K1108" i="7" l="1"/>
  <c r="K684" i="7"/>
  <c r="I14" i="3"/>
  <c r="I6" i="3"/>
  <c r="I7" i="3" l="1"/>
  <c r="C7" i="3" s="1"/>
  <c r="D7" i="3" s="1"/>
  <c r="O1298" i="7"/>
  <c r="P1298" i="7" s="1"/>
  <c r="R1298" i="7" s="1"/>
  <c r="E1298" i="7" s="1"/>
  <c r="F1298" i="7" s="1"/>
  <c r="T1298" i="7"/>
  <c r="H1298" i="7" s="1"/>
  <c r="T150" i="7" l="1"/>
  <c r="H150" i="7" s="1"/>
  <c r="O150" i="7"/>
  <c r="P150" i="7" s="1"/>
  <c r="R150" i="7" s="1"/>
  <c r="E150" i="7" s="1"/>
  <c r="F150" i="7" s="1"/>
  <c r="T1390" i="7"/>
  <c r="H1390" i="7" s="1"/>
  <c r="O1390" i="7"/>
  <c r="P1390" i="7" s="1"/>
  <c r="R1390" i="7" s="1"/>
  <c r="E1390" i="7" s="1"/>
  <c r="F1390" i="7" s="1"/>
  <c r="T1569" i="7" l="1"/>
  <c r="H1569" i="7" s="1"/>
  <c r="O1569" i="7"/>
  <c r="P1569" i="7" s="1"/>
  <c r="R1569" i="7" s="1"/>
  <c r="E1569" i="7" s="1"/>
  <c r="F1569" i="7" s="1"/>
  <c r="K2213" i="7" l="1"/>
  <c r="K2134" i="7"/>
  <c r="K2135" i="7"/>
  <c r="K2145" i="7"/>
  <c r="O2145" i="7" l="1"/>
  <c r="P2145" i="7" s="1"/>
  <c r="R2145" i="7" s="1"/>
  <c r="E2145" i="7" s="1"/>
  <c r="F2145" i="7" s="1"/>
  <c r="T2145" i="7"/>
  <c r="H2145" i="7" s="1"/>
  <c r="T1633" i="7"/>
  <c r="H1633" i="7" s="1"/>
  <c r="O1633" i="7"/>
  <c r="P1633" i="7" s="1"/>
  <c r="R1633" i="7" s="1"/>
  <c r="E1633" i="7" s="1"/>
  <c r="G1633" i="7" s="1"/>
  <c r="K506" i="7" l="1"/>
  <c r="K505" i="7"/>
  <c r="K1645" i="7" l="1"/>
  <c r="T1693" i="7" l="1"/>
  <c r="H1693" i="7" s="1"/>
  <c r="O1693" i="7"/>
  <c r="P1693" i="7" s="1"/>
  <c r="R1693" i="7" s="1"/>
  <c r="E1693" i="7" s="1"/>
  <c r="T1643" i="7"/>
  <c r="H1643" i="7" s="1"/>
  <c r="O1643" i="7"/>
  <c r="P1643" i="7" s="1"/>
  <c r="R1643" i="7" s="1"/>
  <c r="E1643" i="7" s="1"/>
  <c r="G1693" i="7" l="1"/>
  <c r="B1693" i="7"/>
  <c r="G1643" i="7"/>
  <c r="B1643" i="7"/>
  <c r="O2004" i="7" l="1"/>
  <c r="P2004" i="7" s="1"/>
  <c r="R2004" i="7" s="1"/>
  <c r="E2004" i="7" s="1"/>
  <c r="G2004" i="7" s="1"/>
  <c r="T2004" i="7"/>
  <c r="H2004" i="7" s="1"/>
  <c r="K1126" i="7" l="1"/>
  <c r="O40" i="9" l="1"/>
  <c r="K2317" i="7" l="1"/>
  <c r="K1568" i="7" l="1"/>
  <c r="K2404" i="7"/>
  <c r="K2843" i="7" l="1"/>
  <c r="K2173" i="7"/>
  <c r="K2151" i="7"/>
  <c r="K2879" i="7"/>
  <c r="K2676" i="7"/>
  <c r="K159" i="7"/>
  <c r="K1071" i="7"/>
  <c r="K922" i="7"/>
  <c r="K921" i="7"/>
  <c r="K920" i="7"/>
  <c r="K859" i="7"/>
  <c r="K641" i="7"/>
  <c r="O199" i="7" l="1"/>
  <c r="P199" i="7" s="1"/>
  <c r="R199" i="7" s="1"/>
  <c r="E199" i="7" s="1"/>
  <c r="T199" i="7"/>
  <c r="H199" i="7" s="1"/>
  <c r="T2149" i="7"/>
  <c r="H2149" i="7" s="1"/>
  <c r="O2149" i="7"/>
  <c r="P2149" i="7" s="1"/>
  <c r="R2149" i="7" s="1"/>
  <c r="E2149" i="7" s="1"/>
  <c r="G2149" i="7" s="1"/>
  <c r="F199" i="7" l="1"/>
  <c r="B199" i="7"/>
  <c r="L2704" i="7" l="1"/>
  <c r="L2626" i="7"/>
  <c r="L2610" i="7"/>
  <c r="L2594" i="7"/>
  <c r="L2253" i="7"/>
  <c r="K2253" i="7"/>
  <c r="L2130" i="7"/>
  <c r="K2131" i="7"/>
  <c r="L2131" i="7"/>
  <c r="L2126" i="7"/>
  <c r="L2125" i="7"/>
  <c r="K2130" i="7"/>
  <c r="K2126" i="7"/>
  <c r="K2125" i="7"/>
  <c r="K2118" i="7"/>
  <c r="K2100" i="7"/>
  <c r="L2008" i="7"/>
  <c r="L1957" i="7"/>
  <c r="L1935" i="7"/>
  <c r="L1876" i="7"/>
  <c r="L1875" i="7"/>
  <c r="L1874" i="7"/>
  <c r="L1830" i="7"/>
  <c r="L1831" i="7"/>
  <c r="L1751" i="7"/>
  <c r="L1752" i="7"/>
  <c r="L1750" i="7"/>
  <c r="L1703" i="7"/>
  <c r="L1702" i="7"/>
  <c r="L1701" i="7"/>
  <c r="L1700" i="7"/>
  <c r="K1700" i="7"/>
  <c r="K1629" i="7"/>
  <c r="L1556" i="7"/>
  <c r="K1514" i="7"/>
  <c r="L1514" i="7"/>
  <c r="L1513" i="7"/>
  <c r="K1513" i="7"/>
  <c r="K1512" i="7"/>
  <c r="L1512" i="7"/>
  <c r="K1511" i="7"/>
  <c r="L1511" i="7"/>
  <c r="K1451" i="7"/>
  <c r="L1444" i="7"/>
  <c r="L1408" i="7"/>
  <c r="L1385" i="7"/>
  <c r="K1385" i="7"/>
  <c r="L1384" i="7"/>
  <c r="K1384" i="7"/>
  <c r="L1256" i="7"/>
  <c r="L1009" i="7"/>
  <c r="K1010" i="7"/>
  <c r="K1009" i="7"/>
  <c r="L919" i="7"/>
  <c r="L918" i="7"/>
  <c r="L917" i="7"/>
  <c r="L916" i="7"/>
  <c r="L915" i="7"/>
  <c r="L891" i="7"/>
  <c r="L913" i="7"/>
  <c r="L914" i="7"/>
  <c r="L766" i="7"/>
  <c r="K766" i="7"/>
  <c r="L765" i="7"/>
  <c r="K765" i="7"/>
  <c r="L217" i="7"/>
  <c r="K217" i="7"/>
  <c r="L166" i="7"/>
  <c r="K166" i="7"/>
  <c r="L91" i="7"/>
  <c r="K91" i="7"/>
  <c r="L50" i="7"/>
  <c r="K50" i="7"/>
  <c r="L47" i="7"/>
  <c r="K47" i="7"/>
  <c r="L45" i="7"/>
  <c r="K45" i="7"/>
  <c r="L37" i="7"/>
  <c r="O1581" i="7" l="1"/>
  <c r="P1581" i="7" s="1"/>
  <c r="R1581" i="7" s="1"/>
  <c r="E1581" i="7" s="1"/>
  <c r="F1581" i="7" s="1"/>
  <c r="T1581" i="7"/>
  <c r="H1581" i="7" s="1"/>
  <c r="T1602" i="7"/>
  <c r="H1602" i="7" s="1"/>
  <c r="O1602" i="7"/>
  <c r="P1602" i="7" s="1"/>
  <c r="R1602" i="7" s="1"/>
  <c r="E1602" i="7" s="1"/>
  <c r="F1602" i="7" s="1"/>
  <c r="K2525" i="7" l="1"/>
  <c r="K1707" i="7" l="1"/>
  <c r="K1424" i="7" l="1"/>
  <c r="L201" i="7" l="1"/>
  <c r="K198" i="7"/>
  <c r="N198" i="7" s="1"/>
  <c r="K152" i="7"/>
  <c r="K130" i="7"/>
  <c r="L129" i="7"/>
  <c r="L128" i="7"/>
  <c r="L126" i="7"/>
  <c r="L127" i="7" s="1"/>
  <c r="K122" i="7"/>
  <c r="K120" i="7"/>
  <c r="K119" i="7"/>
  <c r="K118" i="7"/>
  <c r="K117" i="7"/>
  <c r="K113" i="7"/>
  <c r="K112" i="7"/>
  <c r="K111" i="7"/>
  <c r="K110" i="7"/>
  <c r="K108" i="7"/>
  <c r="K107" i="7"/>
  <c r="K106" i="7"/>
  <c r="L97" i="7"/>
  <c r="L92" i="7"/>
  <c r="L88" i="7"/>
  <c r="L89" i="7"/>
  <c r="K808" i="7" l="1"/>
  <c r="K172" i="7"/>
  <c r="L7" i="7"/>
  <c r="L3" i="7"/>
  <c r="L2" i="7"/>
  <c r="I56" i="3"/>
  <c r="I55" i="3"/>
  <c r="I54" i="3"/>
  <c r="I53" i="3"/>
  <c r="I52" i="3"/>
  <c r="I49" i="3"/>
  <c r="I48" i="3"/>
  <c r="I46" i="3"/>
  <c r="I43" i="3"/>
  <c r="I42" i="3"/>
  <c r="I41" i="3"/>
  <c r="I40" i="3"/>
  <c r="I38" i="3"/>
  <c r="I37" i="3"/>
  <c r="I35" i="3"/>
  <c r="I34" i="3"/>
  <c r="I33" i="3"/>
  <c r="I32" i="3"/>
  <c r="I31" i="3"/>
  <c r="I30" i="3"/>
  <c r="I29" i="3"/>
  <c r="I28" i="3"/>
  <c r="I27" i="3"/>
  <c r="I26" i="3"/>
  <c r="I24" i="3"/>
  <c r="I22" i="3"/>
  <c r="I21" i="3"/>
  <c r="I20" i="3"/>
  <c r="I18" i="3"/>
  <c r="I13" i="3"/>
  <c r="I11" i="3"/>
  <c r="I10" i="3"/>
  <c r="I8" i="3"/>
  <c r="O2602" i="7"/>
  <c r="P2602" i="7" s="1"/>
  <c r="R2602" i="7" s="1"/>
  <c r="E2602" i="7" s="1"/>
  <c r="F2602" i="7" s="1"/>
  <c r="T2602" i="7"/>
  <c r="H2602" i="7" s="1"/>
  <c r="G135" i="7" l="1"/>
  <c r="L43" i="7" l="1"/>
  <c r="K1932" i="7"/>
  <c r="O2092" i="7"/>
  <c r="P2092" i="7" s="1"/>
  <c r="R2092" i="7" s="1"/>
  <c r="E2092" i="7" s="1"/>
  <c r="F2092" i="7" s="1"/>
  <c r="O2091" i="7"/>
  <c r="P2091" i="7" s="1"/>
  <c r="R2091" i="7" s="1"/>
  <c r="E2091" i="7" s="1"/>
  <c r="F2091" i="7" s="1"/>
  <c r="T2092" i="7"/>
  <c r="H2092" i="7" s="1"/>
  <c r="T2091" i="7"/>
  <c r="H2091" i="7" s="1"/>
  <c r="K361" i="7" l="1"/>
  <c r="I51" i="3" l="1"/>
  <c r="T453" i="7" l="1"/>
  <c r="H453" i="7" s="1"/>
  <c r="O453" i="7"/>
  <c r="P453" i="7" s="1"/>
  <c r="R453" i="7" s="1"/>
  <c r="E453" i="7" s="1"/>
  <c r="F453" i="7" s="1"/>
  <c r="T2684" i="7" l="1"/>
  <c r="H2684" i="7" s="1"/>
  <c r="O2684" i="7"/>
  <c r="P2684" i="7" s="1"/>
  <c r="R2684" i="7" s="1"/>
  <c r="E2684" i="7" s="1"/>
  <c r="F2684" i="7" s="1"/>
  <c r="K2411" i="7"/>
  <c r="T1632" i="7" l="1"/>
  <c r="H1632" i="7" s="1"/>
  <c r="O1870" i="7"/>
  <c r="P1870" i="7" s="1"/>
  <c r="R1870" i="7" s="1"/>
  <c r="E1870" i="7" s="1"/>
  <c r="T1870" i="7"/>
  <c r="H1870" i="7" s="1"/>
  <c r="T162" i="7"/>
  <c r="H162" i="7" s="1"/>
  <c r="O162" i="7"/>
  <c r="P162" i="7" s="1"/>
  <c r="R162" i="7" s="1"/>
  <c r="E162" i="7" s="1"/>
  <c r="G162" i="7" s="1"/>
  <c r="T630" i="7"/>
  <c r="H630" i="7" s="1"/>
  <c r="O630" i="7"/>
  <c r="P630" i="7" s="1"/>
  <c r="R630" i="7" s="1"/>
  <c r="E630" i="7" s="1"/>
  <c r="F630" i="7" s="1"/>
  <c r="O1632" i="7" l="1"/>
  <c r="P1632" i="7" s="1"/>
  <c r="R1632" i="7" s="1"/>
  <c r="E1632" i="7" s="1"/>
  <c r="G1632" i="7" s="1"/>
  <c r="F1870" i="7"/>
  <c r="B1870" i="7"/>
  <c r="K1343" i="7" l="1"/>
  <c r="O1410" i="7" l="1"/>
  <c r="P1410" i="7" s="1"/>
  <c r="R1410" i="7" s="1"/>
  <c r="E1410" i="7" s="1"/>
  <c r="F1410" i="7" s="1"/>
  <c r="N1410" i="7" l="1"/>
  <c r="T1410" i="7" s="1"/>
  <c r="H1410" i="7" s="1"/>
  <c r="T1537" i="7" l="1"/>
  <c r="H1537" i="7" s="1"/>
  <c r="O1537" i="7"/>
  <c r="P1537" i="7" s="1"/>
  <c r="R1537" i="7" s="1"/>
  <c r="E1537" i="7" s="1"/>
  <c r="F1537" i="7" s="1"/>
  <c r="K471" i="7"/>
  <c r="T471" i="7"/>
  <c r="H471" i="7" s="1"/>
  <c r="O471" i="7"/>
  <c r="P471" i="7" s="1"/>
  <c r="R471" i="7" s="1"/>
  <c r="E471" i="7" s="1"/>
  <c r="F471" i="7" s="1"/>
  <c r="T2437" i="7"/>
  <c r="H2437" i="7" s="1"/>
  <c r="O2437" i="7"/>
  <c r="P2437" i="7" s="1"/>
  <c r="R2437" i="7" s="1"/>
  <c r="E2437" i="7" s="1"/>
  <c r="F2437" i="7" s="1"/>
  <c r="T2556" i="7" l="1"/>
  <c r="H2556" i="7" s="1"/>
  <c r="O2556" i="7"/>
  <c r="P2556" i="7" s="1"/>
  <c r="R2556" i="7" s="1"/>
  <c r="E2556" i="7" s="1"/>
  <c r="F2556" i="7" s="1"/>
  <c r="L161" i="7" l="1"/>
  <c r="K1155" i="7" l="1"/>
  <c r="K1927" i="7" l="1"/>
  <c r="K1926" i="7"/>
  <c r="K1925" i="7"/>
  <c r="K296" i="7"/>
  <c r="K311" i="7"/>
  <c r="K310" i="7"/>
  <c r="K309" i="7"/>
  <c r="K1509" i="7" l="1"/>
  <c r="K2866" i="7" l="1"/>
  <c r="K426" i="7"/>
  <c r="K429" i="7"/>
  <c r="K1019" i="7"/>
  <c r="K1020" i="7"/>
  <c r="K1031" i="7"/>
  <c r="K1032" i="7"/>
  <c r="L2732" i="7"/>
  <c r="K1251" i="7" l="1"/>
  <c r="T984" i="7" l="1"/>
  <c r="H984" i="7" s="1"/>
  <c r="O984" i="7"/>
  <c r="P984" i="7" s="1"/>
  <c r="R984" i="7" s="1"/>
  <c r="E984" i="7" s="1"/>
  <c r="G984" i="7" s="1"/>
  <c r="T2164" i="7"/>
  <c r="H2164" i="7" s="1"/>
  <c r="O2164" i="7"/>
  <c r="P2164" i="7" s="1"/>
  <c r="R2164" i="7" s="1"/>
  <c r="E2164" i="7" s="1"/>
  <c r="F2164" i="7" s="1"/>
  <c r="T2595" i="7"/>
  <c r="H2595" i="7" s="1"/>
  <c r="O2595" i="7"/>
  <c r="P2595" i="7" s="1"/>
  <c r="R2595" i="7" s="1"/>
  <c r="E2595" i="7" s="1"/>
  <c r="F2595" i="7" s="1"/>
  <c r="T2767" i="7" l="1"/>
  <c r="H2767" i="7" s="1"/>
  <c r="O2767" i="7"/>
  <c r="P2767" i="7" s="1"/>
  <c r="R2767" i="7" s="1"/>
  <c r="E2767" i="7" s="1"/>
  <c r="G2767" i="7" s="1"/>
  <c r="T2659" i="7" l="1"/>
  <c r="H2659" i="7" s="1"/>
  <c r="O2659" i="7"/>
  <c r="P2659" i="7" s="1"/>
  <c r="R2659" i="7" s="1"/>
  <c r="E2659" i="7" s="1"/>
  <c r="F2659" i="7" s="1"/>
  <c r="T2116" i="7"/>
  <c r="H2116" i="7" s="1"/>
  <c r="O2116" i="7"/>
  <c r="P2116" i="7" s="1"/>
  <c r="R2116" i="7" s="1"/>
  <c r="E2116" i="7" s="1"/>
  <c r="F2116" i="7" s="1"/>
  <c r="T2117" i="7"/>
  <c r="H2117" i="7" s="1"/>
  <c r="O2117" i="7"/>
  <c r="P2117" i="7" s="1"/>
  <c r="R2117" i="7" s="1"/>
  <c r="E2117" i="7" s="1"/>
  <c r="F2117" i="7" s="1"/>
  <c r="T800" i="7" l="1"/>
  <c r="H800" i="7" s="1"/>
  <c r="O800" i="7"/>
  <c r="P800" i="7" s="1"/>
  <c r="R800" i="7" s="1"/>
  <c r="E800" i="7" s="1"/>
  <c r="F800" i="7" s="1"/>
  <c r="T616" i="7"/>
  <c r="H616" i="7" s="1"/>
  <c r="O616" i="7"/>
  <c r="P616" i="7" s="1"/>
  <c r="R616" i="7" s="1"/>
  <c r="E616" i="7" s="1"/>
  <c r="F616" i="7" s="1"/>
  <c r="O907" i="7"/>
  <c r="P907" i="7" s="1"/>
  <c r="R907" i="7" s="1"/>
  <c r="E907" i="7" s="1"/>
  <c r="F907" i="7" s="1"/>
  <c r="T908" i="7"/>
  <c r="H908" i="7" s="1"/>
  <c r="O908" i="7"/>
  <c r="P908" i="7" s="1"/>
  <c r="R908" i="7" s="1"/>
  <c r="E908" i="7" s="1"/>
  <c r="F908" i="7" s="1"/>
  <c r="T907" i="7"/>
  <c r="H907" i="7" s="1"/>
  <c r="K2222" i="7" l="1"/>
  <c r="T2223" i="7"/>
  <c r="H2223" i="7" s="1"/>
  <c r="O2223" i="7"/>
  <c r="P2223" i="7" s="1"/>
  <c r="R2223" i="7" s="1"/>
  <c r="E2223" i="7" s="1"/>
  <c r="F2223" i="7" s="1"/>
  <c r="K1959" i="7" l="1"/>
  <c r="L579" i="7"/>
  <c r="K579" i="7"/>
  <c r="K1968" i="7" l="1"/>
  <c r="K2799" i="7" l="1"/>
  <c r="N2799" i="7" s="1"/>
  <c r="K1355" i="7" l="1"/>
  <c r="K642" i="7"/>
  <c r="T499" i="7" l="1"/>
  <c r="H499" i="7" s="1"/>
  <c r="O499" i="7"/>
  <c r="P499" i="7" s="1"/>
  <c r="R499" i="7" s="1"/>
  <c r="E499" i="7" s="1"/>
  <c r="F499" i="7" s="1"/>
  <c r="T1499" i="7"/>
  <c r="H1499" i="7" s="1"/>
  <c r="O1499" i="7"/>
  <c r="P1499" i="7" s="1"/>
  <c r="R1499" i="7" s="1"/>
  <c r="E1499" i="7" s="1"/>
  <c r="F1499" i="7" s="1"/>
  <c r="T2127" i="7"/>
  <c r="H2127" i="7" s="1"/>
  <c r="O2127" i="7"/>
  <c r="P2127" i="7" s="1"/>
  <c r="R2127" i="7" s="1"/>
  <c r="E2127" i="7" s="1"/>
  <c r="F2127" i="7" s="1"/>
  <c r="T927" i="7"/>
  <c r="H927" i="7" s="1"/>
  <c r="O927" i="7"/>
  <c r="P927" i="7" s="1"/>
  <c r="R927" i="7" s="1"/>
  <c r="E927" i="7" s="1"/>
  <c r="F927" i="7" s="1"/>
  <c r="T454" i="7"/>
  <c r="H454" i="7" s="1"/>
  <c r="O454" i="7"/>
  <c r="P454" i="7" s="1"/>
  <c r="R454" i="7" s="1"/>
  <c r="E454" i="7" s="1"/>
  <c r="F454" i="7" s="1"/>
  <c r="T41" i="7"/>
  <c r="H41" i="7" s="1"/>
  <c r="O41" i="7"/>
  <c r="P41" i="7" s="1"/>
  <c r="R41" i="7" s="1"/>
  <c r="E41" i="7" s="1"/>
  <c r="F41" i="7" s="1"/>
  <c r="K2237" i="7" l="1"/>
  <c r="K2236" i="7"/>
  <c r="L2236" i="7"/>
  <c r="L2235" i="7"/>
  <c r="T2237" i="7"/>
  <c r="L2238" i="7"/>
  <c r="L2237" i="7"/>
  <c r="K821" i="7"/>
  <c r="K2708" i="7" l="1"/>
  <c r="K2707" i="7"/>
  <c r="K2706" i="7"/>
  <c r="K2705" i="7"/>
  <c r="K2691" i="7"/>
  <c r="N2691" i="7" s="1"/>
  <c r="K2619" i="7"/>
  <c r="K2614" i="7"/>
  <c r="K2616" i="7"/>
  <c r="L2539" i="7"/>
  <c r="K2537" i="7"/>
  <c r="K2425" i="7"/>
  <c r="N2425" i="7" s="1"/>
  <c r="L2339" i="7"/>
  <c r="K2279" i="7"/>
  <c r="K2277" i="7"/>
  <c r="K2276" i="7"/>
  <c r="K2132" i="7"/>
  <c r="K1941" i="7" l="1"/>
  <c r="K1845" i="7"/>
  <c r="K1794" i="7"/>
  <c r="K1793" i="7"/>
  <c r="K1792" i="7"/>
  <c r="K1791" i="7"/>
  <c r="K1790" i="7"/>
  <c r="L1704" i="7"/>
  <c r="K1690" i="7"/>
  <c r="K1688" i="7"/>
  <c r="K1689" i="7"/>
  <c r="K1677" i="7"/>
  <c r="N1677" i="7" s="1"/>
  <c r="K1653" i="7"/>
  <c r="K1648" i="7"/>
  <c r="K1646" i="7"/>
  <c r="K1644" i="7"/>
  <c r="K1637" i="7"/>
  <c r="K1459" i="7"/>
  <c r="K1418" i="7"/>
  <c r="K1399" i="7"/>
  <c r="K1396" i="7"/>
  <c r="K1393" i="7"/>
  <c r="L1391" i="7"/>
  <c r="K1387" i="7"/>
  <c r="K1379" i="7"/>
  <c r="L1377" i="7"/>
  <c r="L1376" i="7"/>
  <c r="L1366" i="7"/>
  <c r="K1319" i="7"/>
  <c r="L1306" i="7"/>
  <c r="K1305" i="7"/>
  <c r="L1278" i="7"/>
  <c r="L1277" i="7"/>
  <c r="L1276" i="7"/>
  <c r="L1275" i="7"/>
  <c r="K1267" i="7"/>
  <c r="K1266" i="7"/>
  <c r="K926" i="7"/>
  <c r="K925" i="7"/>
  <c r="K845" i="7"/>
  <c r="K844" i="7"/>
  <c r="K789" i="7" l="1"/>
  <c r="K788" i="7"/>
  <c r="K577" i="7"/>
  <c r="K574" i="7"/>
  <c r="K403" i="7"/>
  <c r="K220" i="7"/>
  <c r="L219" i="7"/>
  <c r="K218" i="7"/>
  <c r="L216" i="7"/>
  <c r="K212" i="7"/>
  <c r="K211" i="7"/>
  <c r="K210" i="7"/>
  <c r="K209" i="7"/>
  <c r="K208" i="7"/>
  <c r="K184" i="7"/>
  <c r="K1444" i="7"/>
  <c r="I19" i="3" l="1"/>
  <c r="K2288" i="7" l="1"/>
  <c r="K2287" i="7"/>
  <c r="T2286" i="7"/>
  <c r="H2286" i="7" s="1"/>
  <c r="O2286" i="7"/>
  <c r="P2286" i="7" s="1"/>
  <c r="R2286" i="7" s="1"/>
  <c r="E2286" i="7" s="1"/>
  <c r="F2286" i="7" s="1"/>
  <c r="O2275" i="7" l="1"/>
  <c r="P2275" i="7" s="1"/>
  <c r="R2275" i="7" s="1"/>
  <c r="E2275" i="7" s="1"/>
  <c r="F2275" i="7" s="1"/>
  <c r="T2275" i="7"/>
  <c r="H2275" i="7" s="1"/>
  <c r="K2304" i="7"/>
  <c r="O2304" i="7" s="1"/>
  <c r="P2304" i="7" s="1"/>
  <c r="R2304" i="7" s="1"/>
  <c r="E2304" i="7" s="1"/>
  <c r="F2304" i="7" s="1"/>
  <c r="O2305" i="7"/>
  <c r="T2304" i="7"/>
  <c r="H2304" i="7" s="1"/>
  <c r="O169" i="7"/>
  <c r="P169" i="7" s="1"/>
  <c r="R169" i="7" s="1"/>
  <c r="E169" i="7" s="1"/>
  <c r="F169" i="7" s="1"/>
  <c r="K623" i="7"/>
  <c r="O623" i="7" s="1"/>
  <c r="P623" i="7" s="1"/>
  <c r="R623" i="7" s="1"/>
  <c r="E623" i="7" s="1"/>
  <c r="F623" i="7" s="1"/>
  <c r="O622" i="7"/>
  <c r="P622" i="7" s="1"/>
  <c r="R622" i="7" s="1"/>
  <c r="E622" i="7" s="1"/>
  <c r="F622" i="7" s="1"/>
  <c r="T623" i="7"/>
  <c r="H623" i="7" s="1"/>
  <c r="T622" i="7"/>
  <c r="H622" i="7" s="1"/>
  <c r="T169" i="7"/>
  <c r="H169" i="7" s="1"/>
  <c r="C37" i="3"/>
  <c r="D37" i="3" s="1"/>
  <c r="C38" i="3"/>
  <c r="D38" i="3" s="1"/>
  <c r="C33" i="3"/>
  <c r="D33" i="3" s="1"/>
  <c r="C54" i="3"/>
  <c r="D54" i="3" s="1"/>
  <c r="C53" i="3"/>
  <c r="D53" i="3" s="1"/>
  <c r="C21" i="3"/>
  <c r="E21" i="3" s="1"/>
  <c r="O2026" i="7" l="1"/>
  <c r="P2026" i="7" s="1"/>
  <c r="R2026" i="7" s="1"/>
  <c r="E2026" i="7" s="1"/>
  <c r="F2026" i="7" s="1"/>
  <c r="T2026" i="7"/>
  <c r="H2026" i="7" s="1"/>
  <c r="O618" i="7"/>
  <c r="P618" i="7" s="1"/>
  <c r="O617" i="7" l="1"/>
  <c r="P617" i="7" s="1"/>
  <c r="O391" i="7"/>
  <c r="P391" i="7" s="1"/>
  <c r="R391" i="7" s="1"/>
  <c r="E391" i="7" s="1"/>
  <c r="F391" i="7" s="1"/>
  <c r="T391" i="7"/>
  <c r="H391" i="7" s="1"/>
  <c r="T1027" i="7"/>
  <c r="H1027" i="7" s="1"/>
  <c r="O1027" i="7"/>
  <c r="P1027" i="7" s="1"/>
  <c r="R1027" i="7" s="1"/>
  <c r="E1027" i="7" s="1"/>
  <c r="F1027" i="7" s="1"/>
  <c r="K2383" i="7" l="1"/>
  <c r="K1685" i="7" l="1"/>
  <c r="K1116" i="7" l="1"/>
  <c r="K1722" i="7"/>
  <c r="K1726" i="7"/>
  <c r="M2324" i="7" l="1"/>
  <c r="K2228" i="7" l="1"/>
  <c r="C14" i="3" l="1"/>
  <c r="D14" i="3" s="1"/>
  <c r="O442" i="7"/>
  <c r="P442" i="7" s="1"/>
  <c r="R442" i="7" s="1"/>
  <c r="E442" i="7" s="1"/>
  <c r="F442" i="7" s="1"/>
  <c r="T447" i="7"/>
  <c r="H447" i="7" s="1"/>
  <c r="O447" i="7"/>
  <c r="P447" i="7" s="1"/>
  <c r="R447" i="7" s="1"/>
  <c r="E447" i="7" s="1"/>
  <c r="F447" i="7" s="1"/>
  <c r="T442" i="7"/>
  <c r="H442" i="7" s="1"/>
  <c r="O606" i="7"/>
  <c r="P606" i="7" s="1"/>
  <c r="R606" i="7" s="1"/>
  <c r="E606" i="7" s="1"/>
  <c r="F606" i="7" s="1"/>
  <c r="O605" i="7"/>
  <c r="P605" i="7" s="1"/>
  <c r="R605" i="7" s="1"/>
  <c r="E605" i="7" s="1"/>
  <c r="F605" i="7" s="1"/>
  <c r="T606" i="7"/>
  <c r="H606" i="7" s="1"/>
  <c r="T605" i="7"/>
  <c r="H605" i="7" s="1"/>
  <c r="K813" i="7"/>
  <c r="M2194" i="7"/>
  <c r="T1839" i="7" l="1"/>
  <c r="H1839" i="7" s="1"/>
  <c r="O1839" i="7"/>
  <c r="P1839" i="7" s="1"/>
  <c r="R1839" i="7" s="1"/>
  <c r="E1839" i="7" s="1"/>
  <c r="O2762" i="7"/>
  <c r="P2762" i="7" s="1"/>
  <c r="R2762" i="7" s="1"/>
  <c r="E2762" i="7" s="1"/>
  <c r="F2762" i="7" s="1"/>
  <c r="T576" i="7"/>
  <c r="H576" i="7" s="1"/>
  <c r="O1964" i="7"/>
  <c r="P1964" i="7" s="1"/>
  <c r="R1964" i="7" s="1"/>
  <c r="E1964" i="7" s="1"/>
  <c r="F1964" i="7" s="1"/>
  <c r="T1964" i="7"/>
  <c r="H1964" i="7" s="1"/>
  <c r="O1185" i="7"/>
  <c r="P1185" i="7" s="1"/>
  <c r="R1185" i="7" s="1"/>
  <c r="E1185" i="7" s="1"/>
  <c r="F1185" i="7" s="1"/>
  <c r="T1185" i="7"/>
  <c r="H1185" i="7" s="1"/>
  <c r="O576" i="7" l="1"/>
  <c r="P576" i="7" s="1"/>
  <c r="R576" i="7" s="1"/>
  <c r="E576" i="7" s="1"/>
  <c r="F576" i="7" s="1"/>
  <c r="G1839" i="7"/>
  <c r="B1839" i="7"/>
  <c r="T2762" i="7"/>
  <c r="H2762" i="7" s="1"/>
  <c r="T2557" i="7" l="1"/>
  <c r="H2557" i="7" s="1"/>
  <c r="O2557" i="7" l="1"/>
  <c r="P2557" i="7" s="1"/>
  <c r="R2557" i="7" s="1"/>
  <c r="E2557" i="7" s="1"/>
  <c r="F2557" i="7" s="1"/>
  <c r="P2541" i="7" l="1"/>
  <c r="R2541" i="7" s="1"/>
  <c r="E2541" i="7" s="1"/>
  <c r="F2541" i="7" s="1"/>
  <c r="T2541" i="7"/>
  <c r="H2541" i="7" s="1"/>
  <c r="T2804" i="7" l="1"/>
  <c r="H2804" i="7" s="1"/>
  <c r="O2804" i="7"/>
  <c r="P2804" i="7" s="1"/>
  <c r="R2804" i="7" s="1"/>
  <c r="E2804" i="7" s="1"/>
  <c r="G2804" i="7" s="1"/>
  <c r="K2101" i="7" l="1"/>
  <c r="T1818" i="7"/>
  <c r="K1706" i="7"/>
  <c r="K39" i="7"/>
  <c r="K2775" i="7"/>
  <c r="K2699" i="7"/>
  <c r="K2618" i="7"/>
  <c r="K2617" i="7"/>
  <c r="K2612" i="7"/>
  <c r="K2451" i="7"/>
  <c r="N2451" i="7" s="1"/>
  <c r="K2449" i="7"/>
  <c r="K2339" i="7"/>
  <c r="K2282" i="7"/>
  <c r="K2008" i="7"/>
  <c r="M2006" i="7"/>
  <c r="K2001" i="7"/>
  <c r="K1958" i="7"/>
  <c r="K1956" i="7"/>
  <c r="M1956" i="7"/>
  <c r="M1954" i="7"/>
  <c r="K1936" i="7"/>
  <c r="K1878" i="7"/>
  <c r="K1876" i="7"/>
  <c r="K1875" i="7"/>
  <c r="K1877" i="7"/>
  <c r="L1869" i="7"/>
  <c r="K1867" i="7"/>
  <c r="N1867" i="7" s="1"/>
  <c r="K1655" i="7"/>
  <c r="K1654" i="7"/>
  <c r="K1736" i="7"/>
  <c r="K1735" i="7"/>
  <c r="K1452" i="7"/>
  <c r="L1448" i="7"/>
  <c r="K1447" i="7"/>
  <c r="K1408" i="7"/>
  <c r="K1391" i="7"/>
  <c r="K1381" i="7"/>
  <c r="K1380" i="7"/>
  <c r="N1380" i="7" s="1"/>
  <c r="L1363" i="7"/>
  <c r="K1326" i="7"/>
  <c r="K1268" i="7"/>
  <c r="K1265" i="7"/>
  <c r="K1264" i="7"/>
  <c r="K856" i="7"/>
  <c r="L747" i="7"/>
  <c r="L745" i="7"/>
  <c r="L743" i="7"/>
  <c r="K635" i="7"/>
  <c r="K563" i="7"/>
  <c r="K215" i="7"/>
  <c r="L215" i="7"/>
  <c r="K165" i="7"/>
  <c r="K116" i="7"/>
  <c r="K2316" i="7"/>
  <c r="K2064" i="7"/>
  <c r="K1383" i="7"/>
  <c r="O615" i="7"/>
  <c r="K225" i="7"/>
  <c r="K12" i="7"/>
  <c r="K2085" i="7" l="1"/>
  <c r="K1122" i="7"/>
  <c r="K1119" i="7"/>
  <c r="K2337" i="7"/>
  <c r="K1562" i="7"/>
  <c r="K2839" i="7"/>
  <c r="K2840" i="7"/>
  <c r="K2842" i="7"/>
  <c r="K2155" i="7"/>
  <c r="K2298" i="7"/>
  <c r="K2290" i="7"/>
  <c r="K2172" i="7"/>
  <c r="K1358" i="7"/>
  <c r="K1236" i="7"/>
  <c r="K1228" i="7"/>
  <c r="K1230" i="7"/>
  <c r="K573" i="7"/>
  <c r="K1063" i="7"/>
  <c r="K1923" i="7"/>
  <c r="K1922" i="7"/>
  <c r="K1915" i="7"/>
  <c r="K1914" i="7"/>
  <c r="K1911" i="7"/>
  <c r="K1913" i="7"/>
  <c r="K179" i="7"/>
  <c r="K182" i="7"/>
  <c r="K181" i="7"/>
  <c r="K178" i="7"/>
  <c r="K176" i="7"/>
  <c r="K1982" i="7" l="1"/>
  <c r="K1983" i="7"/>
  <c r="K1984" i="7"/>
  <c r="K1850" i="7"/>
  <c r="K1849" i="7"/>
  <c r="L1645" i="7" l="1"/>
  <c r="O58" i="7" l="1"/>
  <c r="P58" i="7" s="1"/>
  <c r="R58" i="7" s="1"/>
  <c r="E58" i="7" s="1"/>
  <c r="T58" i="7"/>
  <c r="H58" i="7" s="1"/>
  <c r="F58" i="7" l="1"/>
  <c r="B58" i="7"/>
  <c r="K1120" i="7" l="1"/>
  <c r="K1123" i="7" l="1"/>
  <c r="K2010" i="7" l="1"/>
  <c r="K857" i="7" l="1"/>
  <c r="O857" i="7" s="1"/>
  <c r="P857" i="7" s="1"/>
  <c r="R857" i="7" s="1"/>
  <c r="E857" i="7" s="1"/>
  <c r="G857" i="7" s="1"/>
  <c r="T857" i="7"/>
  <c r="H857" i="7" s="1"/>
  <c r="T1447" i="7" l="1"/>
  <c r="H1447" i="7" s="1"/>
  <c r="O1447" i="7"/>
  <c r="P1447" i="7" s="1"/>
  <c r="R1447" i="7" s="1"/>
  <c r="E1447" i="7" s="1"/>
  <c r="F1447" i="7" s="1"/>
  <c r="O2282" i="7"/>
  <c r="P2282" i="7" s="1"/>
  <c r="R2282" i="7" s="1"/>
  <c r="E2282" i="7" s="1"/>
  <c r="F2282" i="7" s="1"/>
  <c r="T2282" i="7"/>
  <c r="H2282" i="7" s="1"/>
  <c r="O1327" i="7"/>
  <c r="P1327" i="7" s="1"/>
  <c r="R1327" i="7" s="1"/>
  <c r="E1327" i="7" s="1"/>
  <c r="F1327" i="7" s="1"/>
  <c r="T1327" i="7"/>
  <c r="H1327" i="7" s="1"/>
  <c r="T1310" i="7"/>
  <c r="H1310" i="7" s="1"/>
  <c r="O1310" i="7"/>
  <c r="P1310" i="7" s="1"/>
  <c r="R1310" i="7" s="1"/>
  <c r="E1310" i="7" s="1"/>
  <c r="F1310" i="7" s="1"/>
  <c r="O198" i="7"/>
  <c r="P198" i="7" s="1"/>
  <c r="R198" i="7" s="1"/>
  <c r="E198" i="7" s="1"/>
  <c r="T198" i="7"/>
  <c r="H198" i="7" s="1"/>
  <c r="F198" i="7" l="1"/>
  <c r="B198" i="7"/>
  <c r="K1271" i="7"/>
  <c r="K1270" i="7"/>
  <c r="K161" i="7" l="1"/>
  <c r="K1423" i="7" l="1"/>
  <c r="T923" i="7"/>
  <c r="H923" i="7" s="1"/>
  <c r="O923" i="7"/>
  <c r="P923" i="7" s="1"/>
  <c r="R923" i="7" s="1"/>
  <c r="E923" i="7" s="1"/>
  <c r="F923" i="7" s="1"/>
  <c r="T2628" i="7" l="1"/>
  <c r="H2628" i="7" s="1"/>
  <c r="O2628" i="7"/>
  <c r="P2628" i="7" s="1"/>
  <c r="R2628" i="7" s="1"/>
  <c r="E2628" i="7" s="1"/>
  <c r="F2628" i="7" l="1"/>
  <c r="B2628" i="7"/>
  <c r="K1214" i="7"/>
  <c r="K1215" i="7"/>
  <c r="K1357" i="7" l="1"/>
  <c r="K1356" i="7"/>
  <c r="T105" i="7"/>
  <c r="H105" i="7" s="1"/>
  <c r="O105" i="7"/>
  <c r="P105" i="7" s="1"/>
  <c r="R105" i="7" s="1"/>
  <c r="E105" i="7" s="1"/>
  <c r="F105" i="7" s="1"/>
  <c r="T104" i="7"/>
  <c r="H104" i="7" s="1"/>
  <c r="O104" i="7"/>
  <c r="P104" i="7" s="1"/>
  <c r="R104" i="7" s="1"/>
  <c r="E104" i="7" s="1"/>
  <c r="F104" i="7" s="1"/>
  <c r="K943" i="7"/>
  <c r="K823" i="7"/>
  <c r="B104" i="7" l="1"/>
  <c r="B105" i="7"/>
  <c r="O1102" i="7" l="1"/>
  <c r="P1102" i="7" s="1"/>
  <c r="R1102" i="7" s="1"/>
  <c r="E1102" i="7" s="1"/>
  <c r="F1102" i="7" s="1"/>
  <c r="T1102" i="7"/>
  <c r="H1102" i="7" s="1"/>
  <c r="T1094" i="7"/>
  <c r="H1094" i="7" s="1"/>
  <c r="O1094" i="7"/>
  <c r="P1094" i="7" s="1"/>
  <c r="R1094" i="7" s="1"/>
  <c r="E1094" i="7" s="1"/>
  <c r="F1094" i="7" s="1"/>
  <c r="K2532" i="7" l="1"/>
  <c r="T2775" i="7" l="1"/>
  <c r="H2775" i="7" s="1"/>
  <c r="T1380" i="7"/>
  <c r="H1380" i="7" s="1"/>
  <c r="O218" i="7"/>
  <c r="P218" i="7" s="1"/>
  <c r="R218" i="7" s="1"/>
  <c r="E218" i="7" s="1"/>
  <c r="T218" i="7"/>
  <c r="H218" i="7" s="1"/>
  <c r="O1381" i="7"/>
  <c r="P1381" i="7" s="1"/>
  <c r="R1381" i="7" s="1"/>
  <c r="E1381" i="7" s="1"/>
  <c r="F1381" i="7" s="1"/>
  <c r="T1381" i="7"/>
  <c r="H1381" i="7" s="1"/>
  <c r="O1380" i="7" l="1"/>
  <c r="P1380" i="7" s="1"/>
  <c r="R1380" i="7" s="1"/>
  <c r="E1380" i="7" s="1"/>
  <c r="F1380" i="7" s="1"/>
  <c r="O2775" i="7"/>
  <c r="P2775" i="7" s="1"/>
  <c r="R2775" i="7" s="1"/>
  <c r="E2775" i="7" s="1"/>
  <c r="F2775" i="7" s="1"/>
  <c r="F218" i="7"/>
  <c r="B218" i="7"/>
  <c r="O1478" i="7" l="1"/>
  <c r="P1478" i="7" s="1"/>
  <c r="R1478" i="7" s="1"/>
  <c r="E1478" i="7" s="1"/>
  <c r="F1478" i="7" s="1"/>
  <c r="O1481" i="7"/>
  <c r="P1481" i="7" s="1"/>
  <c r="R1481" i="7" s="1"/>
  <c r="E1481" i="7" s="1"/>
  <c r="F1481" i="7" s="1"/>
  <c r="T1481" i="7"/>
  <c r="H1481" i="7" s="1"/>
  <c r="T1478" i="7"/>
  <c r="H1478" i="7" s="1"/>
  <c r="K400" i="7" l="1"/>
  <c r="T600" i="7" l="1"/>
  <c r="H600" i="7" s="1"/>
  <c r="O600" i="7"/>
  <c r="P600" i="7" s="1"/>
  <c r="R600" i="7" s="1"/>
  <c r="E600" i="7" s="1"/>
  <c r="F600" i="7" s="1"/>
  <c r="T609" i="7"/>
  <c r="H609" i="7" s="1"/>
  <c r="O609" i="7"/>
  <c r="P609" i="7" s="1"/>
  <c r="R609" i="7" s="1"/>
  <c r="E609" i="7" s="1"/>
  <c r="F609" i="7" s="1"/>
  <c r="K1400" i="7" l="1"/>
  <c r="O2808" i="7"/>
  <c r="O2706" i="7"/>
  <c r="O2707" i="7"/>
  <c r="O2708" i="7"/>
  <c r="O2705" i="7"/>
  <c r="O2681" i="7"/>
  <c r="O2619" i="7"/>
  <c r="O2617" i="7"/>
  <c r="O2616" i="7"/>
  <c r="O2614" i="7"/>
  <c r="O2613" i="7"/>
  <c r="O2612" i="7"/>
  <c r="O2611" i="7"/>
  <c r="O2537" i="7"/>
  <c r="O2477" i="7"/>
  <c r="O2458" i="7"/>
  <c r="O2279" i="7"/>
  <c r="O2277" i="7"/>
  <c r="O2276" i="7"/>
  <c r="O2222" i="7"/>
  <c r="O2221" i="7"/>
  <c r="O2214" i="7"/>
  <c r="O1941" i="7"/>
  <c r="O1845" i="7"/>
  <c r="O1791" i="7"/>
  <c r="O1792" i="7"/>
  <c r="O1793" i="7"/>
  <c r="O1794" i="7"/>
  <c r="O1790" i="7"/>
  <c r="O1560" i="7"/>
  <c r="O1692" i="7"/>
  <c r="O1689" i="7"/>
  <c r="O1688" i="7"/>
  <c r="O1687" i="7"/>
  <c r="O1686" i="7"/>
  <c r="O1648" i="7"/>
  <c r="O1647" i="7"/>
  <c r="O1646" i="7"/>
  <c r="O1645" i="7"/>
  <c r="O1644" i="7"/>
  <c r="O1642" i="7"/>
  <c r="O1641" i="7"/>
  <c r="O1640" i="7"/>
  <c r="O1639" i="7"/>
  <c r="O1637" i="7"/>
  <c r="O1459" i="7"/>
  <c r="O1418" i="7"/>
  <c r="O1396" i="7"/>
  <c r="O1325" i="7"/>
  <c r="O1324" i="7"/>
  <c r="O1323" i="7"/>
  <c r="O1322" i="7"/>
  <c r="O1321" i="7"/>
  <c r="O1320" i="7"/>
  <c r="O1318" i="7"/>
  <c r="O973" i="7"/>
  <c r="O968" i="7"/>
  <c r="O951" i="7"/>
  <c r="O926" i="7"/>
  <c r="O925" i="7"/>
  <c r="O843" i="7"/>
  <c r="O789" i="7"/>
  <c r="O788" i="7"/>
  <c r="O587" i="7"/>
  <c r="O496" i="7"/>
  <c r="O286" i="7"/>
  <c r="O212" i="7"/>
  <c r="O211" i="7"/>
  <c r="O210" i="7"/>
  <c r="O209" i="7"/>
  <c r="O208" i="7"/>
  <c r="O122" i="7"/>
  <c r="O121" i="7"/>
  <c r="O120" i="7"/>
  <c r="O119" i="7"/>
  <c r="O118" i="7"/>
  <c r="O117" i="7"/>
  <c r="O116" i="7"/>
  <c r="O115" i="7"/>
  <c r="O114" i="7"/>
  <c r="O113" i="7"/>
  <c r="O112" i="7"/>
  <c r="O111" i="7"/>
  <c r="O110" i="7"/>
  <c r="O108" i="7"/>
  <c r="O107" i="7"/>
  <c r="O106" i="7"/>
  <c r="O16" i="7"/>
  <c r="O1480" i="7" l="1"/>
  <c r="P1480" i="7" s="1"/>
  <c r="R1480" i="7" s="1"/>
  <c r="T1695" i="7" l="1"/>
  <c r="H1695" i="7" s="1"/>
  <c r="O1695" i="7"/>
  <c r="P1695" i="7" s="1"/>
  <c r="R1695" i="7" s="1"/>
  <c r="E1695" i="7" s="1"/>
  <c r="G1695" i="7" s="1"/>
  <c r="R617" i="7" l="1"/>
  <c r="E617" i="7" s="1"/>
  <c r="F617" i="7" s="1"/>
  <c r="T617" i="7"/>
  <c r="H617" i="7" s="1"/>
  <c r="K2878" i="7" l="1"/>
  <c r="O2618" i="7" l="1"/>
  <c r="C32" i="3" l="1"/>
  <c r="D32" i="3" s="1"/>
  <c r="K157" i="7" l="1"/>
  <c r="K156" i="7"/>
  <c r="K155" i="7"/>
  <c r="P40" i="9" l="1"/>
  <c r="H466" i="7"/>
  <c r="T1475" i="7" l="1"/>
  <c r="H1475" i="7" s="1"/>
  <c r="O1475" i="7"/>
  <c r="P1475" i="7" l="1"/>
  <c r="R1475" i="7" s="1"/>
  <c r="E1475" i="7" s="1"/>
  <c r="F1475" i="7" s="1"/>
  <c r="O1638" i="7" l="1"/>
  <c r="O1691" i="7" l="1"/>
  <c r="O1690" i="7"/>
  <c r="K2496" i="7"/>
  <c r="T1496" i="7" l="1"/>
  <c r="H1496" i="7" s="1"/>
  <c r="T1495" i="7"/>
  <c r="H1495" i="7" s="1"/>
  <c r="O1496" i="7"/>
  <c r="O1495" i="7"/>
  <c r="T1669" i="7"/>
  <c r="H1669" i="7" s="1"/>
  <c r="O1669" i="7"/>
  <c r="T1463" i="7"/>
  <c r="H1463" i="7" s="1"/>
  <c r="O1463" i="7"/>
  <c r="T130" i="7"/>
  <c r="H130" i="7" s="1"/>
  <c r="O130" i="7"/>
  <c r="P1669" i="7" l="1"/>
  <c r="R1669" i="7" s="1"/>
  <c r="E1669" i="7" s="1"/>
  <c r="F1669" i="7" s="1"/>
  <c r="P130" i="7"/>
  <c r="R130" i="7" s="1"/>
  <c r="E130" i="7" s="1"/>
  <c r="F130" i="7" s="1"/>
  <c r="P1495" i="7"/>
  <c r="R1495" i="7" s="1"/>
  <c r="E1495" i="7" s="1"/>
  <c r="F1495" i="7" s="1"/>
  <c r="P1463" i="7"/>
  <c r="R1463" i="7" s="1"/>
  <c r="E1463" i="7" s="1"/>
  <c r="F1463" i="7" s="1"/>
  <c r="P1496" i="7"/>
  <c r="R1496" i="7" s="1"/>
  <c r="E1496" i="7" s="1"/>
  <c r="F1496" i="7" s="1"/>
  <c r="T1833" i="7" l="1"/>
  <c r="H1833" i="7" s="1"/>
  <c r="O1833" i="7"/>
  <c r="K339" i="7"/>
  <c r="P1833" i="7" l="1"/>
  <c r="R1833" i="7" s="1"/>
  <c r="E1833" i="7" s="1"/>
  <c r="G1833" i="7" s="1"/>
  <c r="K2429" i="7" l="1"/>
  <c r="N2429" i="7" s="1"/>
  <c r="K2428" i="7"/>
  <c r="N2428" i="7" s="1"/>
  <c r="L1492" i="7"/>
  <c r="L1472" i="7"/>
  <c r="K1468" i="7"/>
  <c r="L757" i="7"/>
  <c r="L755" i="7"/>
  <c r="L752" i="7"/>
  <c r="K2700" i="7"/>
  <c r="K2607" i="7"/>
  <c r="N2607" i="7" s="1"/>
  <c r="K2535" i="7"/>
  <c r="N2535" i="7" s="1"/>
  <c r="K1626" i="7"/>
  <c r="K1280" i="7"/>
  <c r="K2121" i="7"/>
  <c r="K401" i="7"/>
  <c r="K2099" i="7"/>
  <c r="K1516" i="7"/>
  <c r="K1515" i="7"/>
  <c r="K1395" i="7"/>
  <c r="K1394" i="7"/>
  <c r="K51" i="7"/>
  <c r="K2663" i="7"/>
  <c r="K2660" i="7"/>
  <c r="K1871" i="7"/>
  <c r="N1871" i="7" s="1"/>
  <c r="K2070" i="7"/>
  <c r="K2069" i="7"/>
  <c r="K2068" i="7"/>
  <c r="K2020" i="7"/>
  <c r="K1635" i="7"/>
  <c r="K1545" i="7"/>
  <c r="K1431" i="7"/>
  <c r="O2615" i="7"/>
  <c r="O109" i="7"/>
  <c r="K1312" i="7"/>
  <c r="K1311" i="7"/>
  <c r="K226" i="7"/>
  <c r="O2677" i="7"/>
  <c r="O2676" i="7"/>
  <c r="T2677" i="7"/>
  <c r="H2677" i="7" s="1"/>
  <c r="T2676" i="7"/>
  <c r="H2676" i="7" s="1"/>
  <c r="K2822" i="7"/>
  <c r="K180" i="7"/>
  <c r="K1421" i="7"/>
  <c r="K1121" i="7"/>
  <c r="K1117" i="7"/>
  <c r="O1326" i="7" l="1"/>
  <c r="P2676" i="7"/>
  <c r="R2676" i="7" s="1"/>
  <c r="E2676" i="7" s="1"/>
  <c r="F2676" i="7" s="1"/>
  <c r="P2677" i="7"/>
  <c r="R2677" i="7" s="1"/>
  <c r="E2677" i="7" s="1"/>
  <c r="F2677" i="7" s="1"/>
  <c r="T1866" i="7" l="1"/>
  <c r="H1866" i="7" s="1"/>
  <c r="O1866" i="7"/>
  <c r="P1866" i="7" l="1"/>
  <c r="R1866" i="7" s="1"/>
  <c r="E1866" i="7" s="1"/>
  <c r="F1866" i="7" s="1"/>
  <c r="K338" i="7" l="1"/>
  <c r="T586" i="7" l="1"/>
  <c r="H586" i="7" s="1"/>
  <c r="O586" i="7"/>
  <c r="O633" i="7"/>
  <c r="T633" i="7"/>
  <c r="H633" i="7" s="1"/>
  <c r="T632" i="7"/>
  <c r="H632" i="7" s="1"/>
  <c r="O632" i="7"/>
  <c r="K2002" i="7"/>
  <c r="P632" i="7" l="1"/>
  <c r="R632" i="7" s="1"/>
  <c r="E632" i="7" s="1"/>
  <c r="F632" i="7" s="1"/>
  <c r="P633" i="7"/>
  <c r="R633" i="7" s="1"/>
  <c r="E633" i="7" s="1"/>
  <c r="F633" i="7" s="1"/>
  <c r="P586" i="7"/>
  <c r="R586" i="7" s="1"/>
  <c r="E586" i="7" s="1"/>
  <c r="F586" i="7" s="1"/>
  <c r="O833" i="7"/>
  <c r="P833" i="7" s="1"/>
  <c r="R833" i="7" s="1"/>
  <c r="E833" i="7" s="1"/>
  <c r="K459" i="7" l="1"/>
  <c r="O2293" i="7" l="1"/>
  <c r="T2293" i="7"/>
  <c r="H2293" i="7" s="1"/>
  <c r="P2293" i="7" l="1"/>
  <c r="R2293" i="7" s="1"/>
  <c r="E2293" i="7" s="1"/>
  <c r="F2293" i="7" s="1"/>
  <c r="K2074" i="7" l="1"/>
  <c r="K1614" i="7"/>
  <c r="K2830" i="7" l="1"/>
  <c r="K2823" i="7"/>
  <c r="K1887" i="7"/>
  <c r="T2680" i="7" l="1"/>
  <c r="H2680" i="7" s="1"/>
  <c r="O2680" i="7"/>
  <c r="T833" i="7"/>
  <c r="P2680" i="7" l="1"/>
  <c r="R2680" i="7" s="1"/>
  <c r="E2680" i="7" s="1"/>
  <c r="F2680" i="7" s="1"/>
  <c r="O649" i="7" l="1"/>
  <c r="T649" i="7"/>
  <c r="H649" i="7" s="1"/>
  <c r="P649" i="7" l="1"/>
  <c r="R649" i="7" s="1"/>
  <c r="E649" i="7" s="1"/>
  <c r="F649" i="7" s="1"/>
  <c r="T2454" i="7" l="1"/>
  <c r="H2454" i="7" s="1"/>
  <c r="O2454" i="7"/>
  <c r="P2454" i="7" s="1"/>
  <c r="R2454" i="7" s="1"/>
  <c r="O1652" i="7"/>
  <c r="T1652" i="7"/>
  <c r="H1652" i="7" s="1"/>
  <c r="E2454" i="7" l="1"/>
  <c r="F2454" i="7" s="1"/>
  <c r="P1652" i="7"/>
  <c r="R1652" i="7" s="1"/>
  <c r="E1652" i="7" s="1"/>
  <c r="G1652" i="7" s="1"/>
  <c r="B1652" i="7" l="1"/>
  <c r="K314" i="7"/>
  <c r="K313" i="7"/>
  <c r="O1479" i="7" l="1"/>
  <c r="P1479" i="7" s="1"/>
  <c r="R1479" i="7" s="1"/>
  <c r="O1958" i="7" l="1"/>
  <c r="T1958" i="7"/>
  <c r="H1958" i="7" s="1"/>
  <c r="O1280" i="7"/>
  <c r="T1280" i="7"/>
  <c r="H1280" i="7" s="1"/>
  <c r="O1736" i="7"/>
  <c r="O1735" i="7"/>
  <c r="T1736" i="7"/>
  <c r="H1736" i="7" s="1"/>
  <c r="T1735" i="7"/>
  <c r="H1735" i="7" s="1"/>
  <c r="P1735" i="7" l="1"/>
  <c r="R1735" i="7" s="1"/>
  <c r="E1735" i="7" s="1"/>
  <c r="F1735" i="7" s="1"/>
  <c r="P1280" i="7"/>
  <c r="R1280" i="7" s="1"/>
  <c r="E1280" i="7" s="1"/>
  <c r="F1280" i="7" s="1"/>
  <c r="P1736" i="7"/>
  <c r="R1736" i="7" s="1"/>
  <c r="E1736" i="7" s="1"/>
  <c r="F1736" i="7" s="1"/>
  <c r="P1958" i="7"/>
  <c r="R1958" i="7" s="1"/>
  <c r="E1958" i="7" s="1"/>
  <c r="G1958" i="7" s="1"/>
  <c r="O1516" i="7"/>
  <c r="T1516" i="7"/>
  <c r="H1516" i="7" s="1"/>
  <c r="O1515" i="7"/>
  <c r="T1515" i="7"/>
  <c r="H1515" i="7" s="1"/>
  <c r="P1516" i="7" l="1"/>
  <c r="R1516" i="7" s="1"/>
  <c r="E1516" i="7" s="1"/>
  <c r="F1516" i="7" s="1"/>
  <c r="P1515" i="7"/>
  <c r="R1515" i="7" s="1"/>
  <c r="E1515" i="7" s="1"/>
  <c r="F1515" i="7" s="1"/>
  <c r="T139" i="7"/>
  <c r="H139" i="7" s="1"/>
  <c r="O139" i="7"/>
  <c r="P139" i="7" s="1"/>
  <c r="R139" i="7" s="1"/>
  <c r="E139" i="7" l="1"/>
  <c r="F139" i="7" s="1"/>
  <c r="O2427" i="7" l="1"/>
  <c r="T2427" i="7"/>
  <c r="H2427" i="7" s="1"/>
  <c r="P2427" i="7" l="1"/>
  <c r="R2427" i="7" s="1"/>
  <c r="E2427" i="7" s="1"/>
  <c r="F2427" i="7" s="1"/>
  <c r="T1896" i="7"/>
  <c r="H1896" i="7" s="1"/>
  <c r="T1893" i="7"/>
  <c r="H1893" i="7" s="1"/>
  <c r="T1926" i="7"/>
  <c r="H1926" i="7" s="1"/>
  <c r="L2824" i="7"/>
  <c r="O1926" i="7" l="1"/>
  <c r="P1926" i="7" s="1"/>
  <c r="R1926" i="7" s="1"/>
  <c r="E1926" i="7" l="1"/>
  <c r="G1926" i="7" s="1"/>
  <c r="T2047" i="7" l="1"/>
  <c r="H2047" i="7" s="1"/>
  <c r="O2047" i="7"/>
  <c r="P2047" i="7" l="1"/>
  <c r="R2047" i="7" s="1"/>
  <c r="E2047" i="7" s="1"/>
  <c r="F2047" i="7" s="1"/>
  <c r="T1052" i="7"/>
  <c r="H1052" i="7" s="1"/>
  <c r="O1052" i="7"/>
  <c r="T1880" i="7"/>
  <c r="H1880" i="7" s="1"/>
  <c r="O1880" i="7"/>
  <c r="O407" i="7"/>
  <c r="O406" i="7"/>
  <c r="T407" i="7"/>
  <c r="H407" i="7" s="1"/>
  <c r="T406" i="7"/>
  <c r="H406" i="7" s="1"/>
  <c r="K1575" i="7"/>
  <c r="O1575" i="7" s="1"/>
  <c r="K1574" i="7"/>
  <c r="O1574" i="7" s="1"/>
  <c r="T1575" i="7"/>
  <c r="H1575" i="7" s="1"/>
  <c r="T1574" i="7"/>
  <c r="H1574" i="7" s="1"/>
  <c r="O1716" i="7"/>
  <c r="O1718" i="7"/>
  <c r="T1718" i="7"/>
  <c r="H1718" i="7" s="1"/>
  <c r="T1716" i="7"/>
  <c r="H1716" i="7" s="1"/>
  <c r="K1252" i="7"/>
  <c r="O1252" i="7" s="1"/>
  <c r="T1253" i="7"/>
  <c r="T1252" i="7"/>
  <c r="H1252" i="7" s="1"/>
  <c r="K2089" i="7"/>
  <c r="P1252" i="7" l="1"/>
  <c r="R1252" i="7" s="1"/>
  <c r="E1252" i="7" s="1"/>
  <c r="F1252" i="7" s="1"/>
  <c r="P406" i="7"/>
  <c r="R406" i="7" s="1"/>
  <c r="E406" i="7" s="1"/>
  <c r="F406" i="7" s="1"/>
  <c r="P1575" i="7"/>
  <c r="R1575" i="7" s="1"/>
  <c r="E1575" i="7" s="1"/>
  <c r="P407" i="7"/>
  <c r="R407" i="7" s="1"/>
  <c r="E407" i="7" s="1"/>
  <c r="F407" i="7" s="1"/>
  <c r="P1716" i="7"/>
  <c r="R1716" i="7" s="1"/>
  <c r="E1716" i="7" s="1"/>
  <c r="F1716" i="7" s="1"/>
  <c r="P1718" i="7"/>
  <c r="R1718" i="7" s="1"/>
  <c r="E1718" i="7" s="1"/>
  <c r="F1718" i="7" s="1"/>
  <c r="P1052" i="7"/>
  <c r="R1052" i="7" s="1"/>
  <c r="E1052" i="7" s="1"/>
  <c r="F1052" i="7" s="1"/>
  <c r="P1574" i="7"/>
  <c r="R1574" i="7" s="1"/>
  <c r="E1574" i="7" s="1"/>
  <c r="P1880" i="7"/>
  <c r="R1880" i="7" s="1"/>
  <c r="E1880" i="7" s="1"/>
  <c r="F1880" i="7" s="1"/>
  <c r="T15" i="7"/>
  <c r="H15" i="7" s="1"/>
  <c r="O15" i="7"/>
  <c r="O2020" i="7"/>
  <c r="T2020" i="7"/>
  <c r="H2020" i="7" s="1"/>
  <c r="O2113" i="7"/>
  <c r="T2113" i="7"/>
  <c r="H2113" i="7" s="1"/>
  <c r="P15" i="7" l="1"/>
  <c r="R15" i="7" s="1"/>
  <c r="E15" i="7" s="1"/>
  <c r="F15" i="7" s="1"/>
  <c r="P2020" i="7"/>
  <c r="R2020" i="7" s="1"/>
  <c r="E2020" i="7" s="1"/>
  <c r="F2020" i="7" s="1"/>
  <c r="P2113" i="7"/>
  <c r="R2113" i="7" s="1"/>
  <c r="E2113" i="7" s="1"/>
  <c r="F2113" i="7" s="1"/>
  <c r="K2078" i="7" l="1"/>
  <c r="K2077" i="7"/>
  <c r="K364" i="7" l="1"/>
  <c r="K2722" i="7" l="1"/>
  <c r="O2722" i="7" s="1"/>
  <c r="T2722" i="7"/>
  <c r="H2722" i="7" s="1"/>
  <c r="T689" i="7"/>
  <c r="H689" i="7" s="1"/>
  <c r="O689" i="7"/>
  <c r="P689" i="7" s="1"/>
  <c r="R689" i="7" s="1"/>
  <c r="E689" i="7" l="1"/>
  <c r="F689" i="7" s="1"/>
  <c r="P2722" i="7"/>
  <c r="R2722" i="7" s="1"/>
  <c r="E2722" i="7" s="1"/>
  <c r="F2722" i="7" s="1"/>
  <c r="T937" i="7"/>
  <c r="H937" i="7" s="1"/>
  <c r="O937" i="7"/>
  <c r="P937" i="7" l="1"/>
  <c r="R937" i="7" s="1"/>
  <c r="E937" i="7" s="1"/>
  <c r="F937" i="7" s="1"/>
  <c r="K1576" i="7" l="1"/>
  <c r="O1319" i="7" l="1"/>
  <c r="O568" i="7"/>
  <c r="T568" i="7"/>
  <c r="H568" i="7" s="1"/>
  <c r="P568" i="7" l="1"/>
  <c r="R568" i="7" s="1"/>
  <c r="E568" i="7" s="1"/>
  <c r="F568" i="7" l="1"/>
  <c r="B568" i="7"/>
  <c r="K2355" i="7"/>
  <c r="K1397" i="7" l="1"/>
  <c r="T1985" i="7" l="1"/>
  <c r="H1985" i="7" s="1"/>
  <c r="O1847" i="7" l="1"/>
  <c r="T1847" i="7"/>
  <c r="H1847" i="7" s="1"/>
  <c r="T1846" i="7"/>
  <c r="H1846" i="7" s="1"/>
  <c r="O1846" i="7"/>
  <c r="O1649" i="7"/>
  <c r="T1649" i="7"/>
  <c r="H1649" i="7" s="1"/>
  <c r="T1561" i="7"/>
  <c r="H1561" i="7" s="1"/>
  <c r="O1561" i="7"/>
  <c r="P1561" i="7" l="1"/>
  <c r="R1561" i="7" s="1"/>
  <c r="E1561" i="7" s="1"/>
  <c r="F1561" i="7" s="1"/>
  <c r="P1649" i="7"/>
  <c r="R1649" i="7" s="1"/>
  <c r="E1649" i="7" s="1"/>
  <c r="G1649" i="7" s="1"/>
  <c r="P1846" i="7"/>
  <c r="R1846" i="7" s="1"/>
  <c r="E1846" i="7" s="1"/>
  <c r="P1847" i="7"/>
  <c r="R1847" i="7" s="1"/>
  <c r="E1847" i="7" s="1"/>
  <c r="B1847" i="7" s="1"/>
  <c r="G1846" i="7" l="1"/>
  <c r="B1846" i="7"/>
  <c r="G1847" i="7"/>
  <c r="K2133" i="7" l="1"/>
  <c r="O2573" i="7" l="1"/>
  <c r="T2573" i="7"/>
  <c r="H2573" i="7" s="1"/>
  <c r="L6" i="7"/>
  <c r="P2573" i="7" l="1"/>
  <c r="R2573" i="7" s="1"/>
  <c r="E2573" i="7" s="1"/>
  <c r="F2573" i="7" s="1"/>
  <c r="T1753" i="7" l="1"/>
  <c r="H1753" i="7" s="1"/>
  <c r="O1753" i="7"/>
  <c r="O1818" i="7"/>
  <c r="P1818" i="7" s="1"/>
  <c r="R1818" i="7" s="1"/>
  <c r="E1818" i="7" s="1"/>
  <c r="F1818" i="7" s="1"/>
  <c r="H1818" i="7"/>
  <c r="K2142" i="7"/>
  <c r="K690" i="7"/>
  <c r="P1753" i="7" l="1"/>
  <c r="R1753" i="7" s="1"/>
  <c r="E1753" i="7" s="1"/>
  <c r="F1753" i="7" s="1"/>
  <c r="L1742" i="7" l="1"/>
  <c r="K2000" i="7"/>
  <c r="K1999" i="7"/>
  <c r="T1626" i="7" l="1"/>
  <c r="H1626" i="7" s="1"/>
  <c r="O1626" i="7"/>
  <c r="O2535" i="7"/>
  <c r="H2535" i="7"/>
  <c r="T2700" i="7"/>
  <c r="H2700" i="7" s="1"/>
  <c r="O2700" i="7"/>
  <c r="T2607" i="7"/>
  <c r="H2607" i="7" s="1"/>
  <c r="G2607" i="7" s="1"/>
  <c r="O2607" i="7"/>
  <c r="P2700" i="7" l="1"/>
  <c r="R2700" i="7" s="1"/>
  <c r="E2700" i="7" s="1"/>
  <c r="P2607" i="7"/>
  <c r="R2607" i="7" s="1"/>
  <c r="E2607" i="7" s="1"/>
  <c r="F2607" i="7" s="1"/>
  <c r="P2535" i="7"/>
  <c r="R2535" i="7" s="1"/>
  <c r="E2535" i="7" s="1"/>
  <c r="F2535" i="7" s="1"/>
  <c r="P1626" i="7"/>
  <c r="R1626" i="7" s="1"/>
  <c r="E1626" i="7" s="1"/>
  <c r="B1626" i="7" s="1"/>
  <c r="B2700" i="7" l="1"/>
  <c r="F2700" i="7"/>
  <c r="G1626" i="7"/>
  <c r="B2535" i="7"/>
  <c r="B2607" i="7"/>
  <c r="T2696" i="7"/>
  <c r="H2696" i="7" s="1"/>
  <c r="O2696" i="7"/>
  <c r="P2696" i="7" s="1"/>
  <c r="R2696" i="7" s="1"/>
  <c r="K2649" i="7"/>
  <c r="E2696" i="7" l="1"/>
  <c r="F2696" i="7" s="1"/>
  <c r="B2696" i="7" l="1"/>
  <c r="T2054" i="7" l="1"/>
  <c r="H2054" i="7" s="1"/>
  <c r="O2054" i="7"/>
  <c r="T2228" i="7"/>
  <c r="H2228" i="7" s="1"/>
  <c r="O2228" i="7"/>
  <c r="T2227" i="7"/>
  <c r="H2227" i="7" s="1"/>
  <c r="O2227" i="7"/>
  <c r="P2227" i="7" l="1"/>
  <c r="R2227" i="7" s="1"/>
  <c r="E2227" i="7" s="1"/>
  <c r="F2227" i="7" s="1"/>
  <c r="P2228" i="7"/>
  <c r="R2228" i="7" s="1"/>
  <c r="E2228" i="7" s="1"/>
  <c r="F2228" i="7" s="1"/>
  <c r="P2054" i="7"/>
  <c r="R2054" i="7" s="1"/>
  <c r="E2054" i="7" s="1"/>
  <c r="F2054" i="7" s="1"/>
  <c r="K1976" i="7" l="1"/>
  <c r="K1835" i="7"/>
  <c r="T715" i="7" l="1"/>
  <c r="H715" i="7" s="1"/>
  <c r="O715" i="7" l="1"/>
  <c r="P715" i="7" l="1"/>
  <c r="R715" i="7" s="1"/>
  <c r="E715" i="7" s="1"/>
  <c r="F715" i="7" s="1"/>
  <c r="O752" i="7" l="1"/>
  <c r="T752" i="7"/>
  <c r="H752" i="7" s="1"/>
  <c r="P752" i="7" l="1"/>
  <c r="R752" i="7" s="1"/>
  <c r="E752" i="7" s="1"/>
  <c r="G752" i="7" s="1"/>
  <c r="B752" i="7" l="1"/>
  <c r="T2071" i="7"/>
  <c r="H2071" i="7" s="1"/>
  <c r="O2071" i="7"/>
  <c r="T2783" i="7"/>
  <c r="H2783" i="7" s="1"/>
  <c r="O2783" i="7"/>
  <c r="P2071" i="7" l="1"/>
  <c r="R2071" i="7" s="1"/>
  <c r="E2071" i="7" s="1"/>
  <c r="F2071" i="7" s="1"/>
  <c r="P2783" i="7"/>
  <c r="R2783" i="7" s="1"/>
  <c r="E2783" i="7" s="1"/>
  <c r="F2783" i="7" s="1"/>
  <c r="K2090" i="7" l="1"/>
  <c r="L2744" i="7"/>
  <c r="L2129" i="7"/>
  <c r="L2104" i="7"/>
  <c r="T1651" i="7" l="1"/>
  <c r="H1651" i="7" s="1"/>
  <c r="O1651" i="7"/>
  <c r="T2621" i="7"/>
  <c r="H2621" i="7" s="1"/>
  <c r="O2621" i="7"/>
  <c r="K394" i="7"/>
  <c r="T1454" i="7"/>
  <c r="H1454" i="7" s="1"/>
  <c r="O1454" i="7"/>
  <c r="P1454" i="7" s="1"/>
  <c r="R1454" i="7" s="1"/>
  <c r="T1455" i="7"/>
  <c r="H1455" i="7" s="1"/>
  <c r="O1455" i="7"/>
  <c r="P1455" i="7" s="1"/>
  <c r="R1455" i="7" s="1"/>
  <c r="E1455" i="7" l="1"/>
  <c r="F1455" i="7" s="1"/>
  <c r="E1454" i="7"/>
  <c r="F1454" i="7" s="1"/>
  <c r="P2621" i="7"/>
  <c r="R2621" i="7" s="1"/>
  <c r="E2621" i="7" s="1"/>
  <c r="F2621" i="7" s="1"/>
  <c r="P1651" i="7"/>
  <c r="R1651" i="7" s="1"/>
  <c r="E1651" i="7" s="1"/>
  <c r="G1651" i="7" s="1"/>
  <c r="K9" i="7" l="1"/>
  <c r="K643" i="7" l="1"/>
  <c r="T717" i="7" l="1"/>
  <c r="H717" i="7" s="1"/>
  <c r="O717" i="7" l="1"/>
  <c r="P717" i="7" l="1"/>
  <c r="R717" i="7" s="1"/>
  <c r="E717" i="7" s="1"/>
  <c r="F717" i="7" s="1"/>
  <c r="T1218" i="7"/>
  <c r="H1218" i="7" s="1"/>
  <c r="O1218" i="7"/>
  <c r="P1218" i="7" l="1"/>
  <c r="R1218" i="7" s="1"/>
  <c r="E1218" i="7" s="1"/>
  <c r="F1218" i="7" s="1"/>
  <c r="T1211" i="7"/>
  <c r="H1211" i="7" s="1"/>
  <c r="O1211" i="7"/>
  <c r="T1210" i="7"/>
  <c r="H1210" i="7" s="1"/>
  <c r="O1210" i="7"/>
  <c r="T320" i="7"/>
  <c r="H320" i="7" s="1"/>
  <c r="O320" i="7"/>
  <c r="P320" i="7" l="1"/>
  <c r="R320" i="7" s="1"/>
  <c r="E320" i="7" s="1"/>
  <c r="P1211" i="7"/>
  <c r="R1211" i="7" s="1"/>
  <c r="E1211" i="7" s="1"/>
  <c r="F1211" i="7" s="1"/>
  <c r="P1210" i="7"/>
  <c r="R1210" i="7" s="1"/>
  <c r="E1210" i="7" s="1"/>
  <c r="F1210" i="7" s="1"/>
  <c r="F320" i="7" l="1"/>
  <c r="O1655" i="7"/>
  <c r="T1655" i="7"/>
  <c r="H1655" i="7" s="1"/>
  <c r="P1655" i="7" l="1"/>
  <c r="R1655" i="7" s="1"/>
  <c r="E1655" i="7" s="1"/>
  <c r="G1655" i="7" s="1"/>
  <c r="O164" i="7"/>
  <c r="T164" i="7"/>
  <c r="H164" i="7" s="1"/>
  <c r="K1920" i="7"/>
  <c r="P164" i="7" l="1"/>
  <c r="R164" i="7" s="1"/>
  <c r="E164" i="7" s="1"/>
  <c r="F164" i="7" s="1"/>
  <c r="K656" i="7"/>
  <c r="O184" i="7" l="1"/>
  <c r="T184" i="7"/>
  <c r="H184" i="7" s="1"/>
  <c r="P184" i="7" l="1"/>
  <c r="R184" i="7" s="1"/>
  <c r="E184" i="7" s="1"/>
  <c r="F184" i="7" s="1"/>
  <c r="B184" i="7" l="1"/>
  <c r="T2842" i="7"/>
  <c r="H2842" i="7" s="1"/>
  <c r="O2842" i="7"/>
  <c r="P2842" i="7" l="1"/>
  <c r="R2842" i="7" s="1"/>
  <c r="E2842" i="7" s="1"/>
  <c r="G2842" i="7" s="1"/>
  <c r="T1399" i="7"/>
  <c r="H1399" i="7" s="1"/>
  <c r="O1399" i="7"/>
  <c r="T1396" i="7"/>
  <c r="H1396" i="7" s="1"/>
  <c r="O1656" i="7"/>
  <c r="T1656" i="7"/>
  <c r="H1656" i="7" s="1"/>
  <c r="P1396" i="7" l="1"/>
  <c r="R1396" i="7" s="1"/>
  <c r="E1396" i="7" s="1"/>
  <c r="F1396" i="7" s="1"/>
  <c r="P1656" i="7"/>
  <c r="R1656" i="7" s="1"/>
  <c r="E1656" i="7" s="1"/>
  <c r="F1656" i="7" s="1"/>
  <c r="P1399" i="7"/>
  <c r="R1399" i="7" s="1"/>
  <c r="E1399" i="7" s="1"/>
  <c r="F1399" i="7" s="1"/>
  <c r="T2168" i="7"/>
  <c r="H2168" i="7" s="1"/>
  <c r="O2168" i="7"/>
  <c r="P2168" i="7" l="1"/>
  <c r="R2168" i="7" s="1"/>
  <c r="E2168" i="7" s="1"/>
  <c r="F2168" i="7" s="1"/>
  <c r="K888" i="7"/>
  <c r="K885" i="7"/>
  <c r="K884" i="7"/>
  <c r="K883" i="7"/>
  <c r="K1195" i="7" l="1"/>
  <c r="K1194" i="7"/>
  <c r="K1862" i="7" l="1"/>
  <c r="O1446" i="7"/>
  <c r="P1446" i="7" l="1"/>
  <c r="R1446" i="7" s="1"/>
  <c r="E1446" i="7" s="1"/>
  <c r="K2188" i="7"/>
  <c r="K953" i="7" l="1"/>
  <c r="C52" i="3" l="1"/>
  <c r="C48" i="3"/>
  <c r="I47" i="3"/>
  <c r="C47" i="3" s="1"/>
  <c r="C46" i="3"/>
  <c r="I45" i="3"/>
  <c r="C45" i="3" s="1"/>
  <c r="I44" i="3"/>
  <c r="C44" i="3" s="1"/>
  <c r="C43" i="3"/>
  <c r="C34" i="3"/>
  <c r="C31" i="3"/>
  <c r="C30" i="3"/>
  <c r="C29" i="3"/>
  <c r="C28" i="3"/>
  <c r="C27" i="3"/>
  <c r="C26" i="3"/>
  <c r="C25" i="3"/>
  <c r="C24" i="3"/>
  <c r="C22" i="3"/>
  <c r="C20" i="3"/>
  <c r="C18" i="3"/>
  <c r="I17" i="3"/>
  <c r="C17" i="3" s="1"/>
  <c r="I9" i="3"/>
  <c r="C9" i="3" s="1"/>
  <c r="C13" i="3"/>
  <c r="I15" i="3"/>
  <c r="C15" i="3" s="1"/>
  <c r="I16" i="3"/>
  <c r="C16" i="3" s="1"/>
  <c r="C12" i="3"/>
  <c r="C10" i="3"/>
  <c r="C8" i="3"/>
  <c r="C11" i="3"/>
  <c r="C35" i="3"/>
  <c r="I36" i="3"/>
  <c r="C40" i="3"/>
  <c r="C41" i="3"/>
  <c r="C42" i="3"/>
  <c r="C49" i="3"/>
  <c r="I50" i="3"/>
  <c r="C50" i="3" s="1"/>
  <c r="C51" i="3"/>
  <c r="C55" i="3"/>
  <c r="C56" i="3"/>
  <c r="C6" i="3"/>
  <c r="O1893" i="7" l="1"/>
  <c r="O1896" i="7"/>
  <c r="P1896" i="7" l="1"/>
  <c r="R1896" i="7" s="1"/>
  <c r="E1896" i="7" s="1"/>
  <c r="F1896" i="7" s="1"/>
  <c r="P1893" i="7"/>
  <c r="R1893" i="7" s="1"/>
  <c r="E1893" i="7" s="1"/>
  <c r="F1893" i="7" s="1"/>
  <c r="K660" i="7" l="1"/>
  <c r="T2799" i="7" l="1"/>
  <c r="H2799" i="7" s="1"/>
  <c r="O2799" i="7"/>
  <c r="P2799" i="7" l="1"/>
  <c r="R2799" i="7" s="1"/>
  <c r="E2799" i="7" s="1"/>
  <c r="F2799" i="7" s="1"/>
  <c r="T1650" i="7"/>
  <c r="H1650" i="7" s="1"/>
  <c r="O1650" i="7"/>
  <c r="T1694" i="7"/>
  <c r="H1694" i="7" s="1"/>
  <c r="O1694" i="7"/>
  <c r="T775" i="7"/>
  <c r="H775" i="7" s="1"/>
  <c r="O775" i="7"/>
  <c r="T2620" i="7"/>
  <c r="H2620" i="7" s="1"/>
  <c r="O2620" i="7"/>
  <c r="T1272" i="7"/>
  <c r="H1272" i="7" s="1"/>
  <c r="O1272" i="7"/>
  <c r="T282" i="7"/>
  <c r="H282" i="7" s="1"/>
  <c r="O282" i="7"/>
  <c r="P282" i="7" s="1"/>
  <c r="R282" i="7" s="1"/>
  <c r="P1272" i="7" l="1"/>
  <c r="R1272" i="7" s="1"/>
  <c r="E1272" i="7" s="1"/>
  <c r="G1272" i="7" s="1"/>
  <c r="P1694" i="7"/>
  <c r="R1694" i="7" s="1"/>
  <c r="E1694" i="7" s="1"/>
  <c r="G1694" i="7" s="1"/>
  <c r="P1650" i="7"/>
  <c r="R1650" i="7" s="1"/>
  <c r="E1650" i="7" s="1"/>
  <c r="G1650" i="7" s="1"/>
  <c r="P2620" i="7"/>
  <c r="R2620" i="7" s="1"/>
  <c r="E2620" i="7" s="1"/>
  <c r="F2620" i="7" s="1"/>
  <c r="P775" i="7"/>
  <c r="R775" i="7" s="1"/>
  <c r="E775" i="7" s="1"/>
  <c r="F775" i="7" s="1"/>
  <c r="E282" i="7"/>
  <c r="F282" i="7" s="1"/>
  <c r="T1541" i="7" l="1"/>
  <c r="H1541" i="7" s="1"/>
  <c r="O1541" i="7"/>
  <c r="T207" i="7"/>
  <c r="H207" i="7" s="1"/>
  <c r="O207" i="7"/>
  <c r="T1389" i="7"/>
  <c r="H1389" i="7" s="1"/>
  <c r="O1389" i="7"/>
  <c r="T1065" i="7"/>
  <c r="H1065" i="7" s="1"/>
  <c r="O1065" i="7"/>
  <c r="P1065" i="7" l="1"/>
  <c r="R1065" i="7" s="1"/>
  <c r="E1065" i="7" s="1"/>
  <c r="F1065" i="7" s="1"/>
  <c r="P1541" i="7"/>
  <c r="R1541" i="7" s="1"/>
  <c r="E1541" i="7" s="1"/>
  <c r="F1541" i="7" s="1"/>
  <c r="P1389" i="7"/>
  <c r="R1389" i="7" s="1"/>
  <c r="E1389" i="7" s="1"/>
  <c r="F1389" i="7" s="1"/>
  <c r="P207" i="7"/>
  <c r="R207" i="7" s="1"/>
  <c r="E207" i="7" s="1"/>
  <c r="F207" i="7" s="1"/>
  <c r="B207" i="7" l="1"/>
  <c r="T618" i="7"/>
  <c r="H618" i="7" s="1"/>
  <c r="R618" i="7" l="1"/>
  <c r="E618" i="7" l="1"/>
  <c r="F618" i="7" s="1"/>
  <c r="K1000" i="7" l="1"/>
  <c r="O897" i="7" l="1"/>
  <c r="P897" i="7" s="1"/>
  <c r="R897" i="7" s="1"/>
  <c r="H897" i="7"/>
  <c r="E897" i="7" l="1"/>
  <c r="F897" i="7" s="1"/>
  <c r="L744" i="7"/>
  <c r="T1452" i="7" l="1"/>
  <c r="H1452" i="7" s="1"/>
  <c r="O1452" i="7"/>
  <c r="T1653" i="7"/>
  <c r="H1653" i="7" s="1"/>
  <c r="O1653" i="7"/>
  <c r="P1653" i="7" s="1"/>
  <c r="R1653" i="7" s="1"/>
  <c r="E1653" i="7" l="1"/>
  <c r="G1653" i="7" s="1"/>
  <c r="P1452" i="7"/>
  <c r="R1452" i="7" s="1"/>
  <c r="E1452" i="7" s="1"/>
  <c r="F1452" i="7" s="1"/>
  <c r="B1653" i="7" l="1"/>
  <c r="K2087" i="7"/>
  <c r="T2654" i="7"/>
  <c r="H2654" i="7" s="1"/>
  <c r="O2654" i="7"/>
  <c r="P2654" i="7" s="1"/>
  <c r="R2654" i="7" s="1"/>
  <c r="E2654" i="7" l="1"/>
  <c r="G2654" i="7" s="1"/>
  <c r="T459" i="7"/>
  <c r="H459" i="7" s="1"/>
  <c r="O459" i="7"/>
  <c r="P459" i="7" l="1"/>
  <c r="R459" i="7" s="1"/>
  <c r="E459" i="7" s="1"/>
  <c r="F459" i="7" s="1"/>
  <c r="O948" i="7"/>
  <c r="T948" i="7"/>
  <c r="H948" i="7" s="1"/>
  <c r="P948" i="7" l="1"/>
  <c r="R948" i="7" s="1"/>
  <c r="E948" i="7" s="1"/>
  <c r="F948" i="7" s="1"/>
  <c r="K1609" i="7"/>
  <c r="K1600" i="7"/>
  <c r="T461" i="7" l="1"/>
  <c r="H461" i="7" s="1"/>
  <c r="O461" i="7"/>
  <c r="T1150" i="7"/>
  <c r="H1150" i="7" s="1"/>
  <c r="O1150" i="7"/>
  <c r="T912" i="7"/>
  <c r="H912" i="7" s="1"/>
  <c r="O912" i="7"/>
  <c r="T2792" i="7"/>
  <c r="H2792" i="7" s="1"/>
  <c r="O2792" i="7"/>
  <c r="P2792" i="7" l="1"/>
  <c r="R2792" i="7" s="1"/>
  <c r="E2792" i="7" s="1"/>
  <c r="F2792" i="7" s="1"/>
  <c r="P1150" i="7"/>
  <c r="R1150" i="7" s="1"/>
  <c r="E1150" i="7" s="1"/>
  <c r="F1150" i="7" s="1"/>
  <c r="P912" i="7"/>
  <c r="R912" i="7" s="1"/>
  <c r="E912" i="7" s="1"/>
  <c r="F912" i="7" s="1"/>
  <c r="P461" i="7"/>
  <c r="R461" i="7" s="1"/>
  <c r="E461" i="7" s="1"/>
  <c r="F461" i="7" s="1"/>
  <c r="T220" i="7" l="1"/>
  <c r="H220" i="7" s="1"/>
  <c r="O220" i="7" l="1"/>
  <c r="P220" i="7" l="1"/>
  <c r="R220" i="7" s="1"/>
  <c r="E220" i="7" s="1"/>
  <c r="K1161" i="7"/>
  <c r="K1162" i="7"/>
  <c r="O1162" i="7" s="1"/>
  <c r="T1162" i="7"/>
  <c r="H1162" i="7" s="1"/>
  <c r="F220" i="7" l="1"/>
  <c r="B220" i="7"/>
  <c r="P1162" i="7"/>
  <c r="R1162" i="7" s="1"/>
  <c r="E1162" i="7" s="1"/>
  <c r="G1162" i="7" s="1"/>
  <c r="B1162" i="7" l="1"/>
  <c r="K25" i="7"/>
  <c r="T1446" i="7"/>
  <c r="H1446" i="7" s="1"/>
  <c r="F1446" i="7"/>
  <c r="K2882" i="7"/>
  <c r="I23" i="3" l="1"/>
  <c r="K987" i="7" l="1"/>
  <c r="K986" i="7"/>
  <c r="K1580" i="7" l="1"/>
  <c r="O51" i="7" l="1"/>
  <c r="T51" i="7"/>
  <c r="H51" i="7" s="1"/>
  <c r="T38" i="7"/>
  <c r="H38" i="7" s="1"/>
  <c r="O38" i="7"/>
  <c r="T1931" i="7"/>
  <c r="H1931" i="7" s="1"/>
  <c r="O1931" i="7"/>
  <c r="T1930" i="7"/>
  <c r="H1930" i="7" s="1"/>
  <c r="O1930" i="7"/>
  <c r="T449" i="7"/>
  <c r="H449" i="7" s="1"/>
  <c r="O449" i="7"/>
  <c r="T445" i="7"/>
  <c r="H445" i="7" s="1"/>
  <c r="O445" i="7"/>
  <c r="T1509" i="7"/>
  <c r="H1509" i="7" s="1"/>
  <c r="O1509" i="7"/>
  <c r="T1508" i="7"/>
  <c r="H1508" i="7" s="1"/>
  <c r="O1508" i="7"/>
  <c r="P449" i="7" l="1"/>
  <c r="R449" i="7" s="1"/>
  <c r="E449" i="7" s="1"/>
  <c r="F449" i="7" s="1"/>
  <c r="P1930" i="7"/>
  <c r="R1930" i="7" s="1"/>
  <c r="E1930" i="7" s="1"/>
  <c r="P38" i="7"/>
  <c r="R38" i="7" s="1"/>
  <c r="E38" i="7" s="1"/>
  <c r="F38" i="7" s="1"/>
  <c r="P445" i="7"/>
  <c r="R445" i="7" s="1"/>
  <c r="E445" i="7" s="1"/>
  <c r="F445" i="7" s="1"/>
  <c r="P1509" i="7"/>
  <c r="R1509" i="7" s="1"/>
  <c r="E1509" i="7" s="1"/>
  <c r="F1509" i="7" s="1"/>
  <c r="P1931" i="7"/>
  <c r="R1931" i="7" s="1"/>
  <c r="E1931" i="7" s="1"/>
  <c r="G1931" i="7" s="1"/>
  <c r="P1508" i="7"/>
  <c r="R1508" i="7" s="1"/>
  <c r="E1508" i="7" s="1"/>
  <c r="F1508" i="7" s="1"/>
  <c r="P51" i="7"/>
  <c r="R51" i="7" s="1"/>
  <c r="E51" i="7" s="1"/>
  <c r="F51" i="7" s="1"/>
  <c r="B1930" i="7" l="1"/>
  <c r="G1930" i="7"/>
  <c r="K2152" i="7"/>
  <c r="K2154" i="7"/>
  <c r="K2153" i="7"/>
  <c r="K2297" i="7"/>
  <c r="K2296" i="7"/>
  <c r="K2295" i="7"/>
  <c r="K1227" i="7"/>
  <c r="K1226" i="7"/>
  <c r="K177" i="7"/>
  <c r="K2312" i="7" l="1"/>
  <c r="T1074" i="7" l="1"/>
  <c r="H1074" i="7" s="1"/>
  <c r="K1074" i="7"/>
  <c r="O1074" i="7" s="1"/>
  <c r="P1074" i="7" l="1"/>
  <c r="R1074" i="7" s="1"/>
  <c r="E1074" i="7" s="1"/>
  <c r="F1074" i="7" s="1"/>
  <c r="K34" i="7"/>
  <c r="K36" i="7"/>
  <c r="T1816" i="7" l="1"/>
  <c r="H1816" i="7" s="1"/>
  <c r="T1815" i="7"/>
  <c r="H1815" i="7" s="1"/>
  <c r="O1816" i="7"/>
  <c r="O1815" i="7"/>
  <c r="P1816" i="7" l="1"/>
  <c r="R1816" i="7" s="1"/>
  <c r="E1816" i="7" s="1"/>
  <c r="F1816" i="7" s="1"/>
  <c r="P1815" i="7"/>
  <c r="R1815" i="7" s="1"/>
  <c r="E1815" i="7" s="1"/>
  <c r="F1815" i="7" s="1"/>
  <c r="K2249" i="7" l="1"/>
  <c r="K2726" i="7" l="1"/>
  <c r="T2872" i="7" l="1"/>
  <c r="H2872" i="7" s="1"/>
  <c r="O2872" i="7"/>
  <c r="K975" i="7"/>
  <c r="P2872" i="7" l="1"/>
  <c r="R2872" i="7" s="1"/>
  <c r="E2872" i="7" s="1"/>
  <c r="F2872" i="7" s="1"/>
  <c r="O1768" i="7" l="1"/>
  <c r="O1767" i="7"/>
  <c r="O1766" i="7"/>
  <c r="O1765" i="7"/>
  <c r="T1765" i="7"/>
  <c r="H1765" i="7" s="1"/>
  <c r="T1766" i="7"/>
  <c r="H1766" i="7" s="1"/>
  <c r="T1767" i="7"/>
  <c r="H1767" i="7" s="1"/>
  <c r="T1768" i="7"/>
  <c r="H1768" i="7" s="1"/>
  <c r="O1769" i="7"/>
  <c r="T1769" i="7"/>
  <c r="H1769" i="7" s="1"/>
  <c r="P1769" i="7" l="1"/>
  <c r="R1769" i="7" s="1"/>
  <c r="E1769" i="7" s="1"/>
  <c r="F1769" i="7" s="1"/>
  <c r="P1765" i="7"/>
  <c r="R1765" i="7" s="1"/>
  <c r="E1765" i="7" s="1"/>
  <c r="F1765" i="7" s="1"/>
  <c r="P1767" i="7"/>
  <c r="R1767" i="7" s="1"/>
  <c r="E1767" i="7" s="1"/>
  <c r="F1767" i="7" s="1"/>
  <c r="P1766" i="7"/>
  <c r="R1766" i="7" s="1"/>
  <c r="E1766" i="7" s="1"/>
  <c r="F1766" i="7" s="1"/>
  <c r="P1768" i="7"/>
  <c r="R1768" i="7" s="1"/>
  <c r="E1768" i="7" s="1"/>
  <c r="F1768" i="7" s="1"/>
  <c r="T1592" i="7" l="1"/>
  <c r="H1592" i="7" s="1"/>
  <c r="O1592" i="7"/>
  <c r="P1592" i="7" l="1"/>
  <c r="R1592" i="7" s="1"/>
  <c r="E1592" i="7" s="1"/>
  <c r="F1592" i="7" s="1"/>
  <c r="T2644" i="7"/>
  <c r="H2644" i="7" s="1"/>
  <c r="K2644" i="7"/>
  <c r="O2644" i="7" s="1"/>
  <c r="T2885" i="7"/>
  <c r="T2884" i="7"/>
  <c r="B66" i="7"/>
  <c r="B75" i="7"/>
  <c r="P2644" i="7" l="1"/>
  <c r="R2644" i="7" s="1"/>
  <c r="E2644" i="7" s="1"/>
  <c r="G2644" i="7" s="1"/>
  <c r="B2644" i="7" l="1"/>
  <c r="K1563" i="7"/>
  <c r="T491" i="7" l="1"/>
  <c r="O2416" i="7"/>
  <c r="P2416" i="7" l="1"/>
  <c r="R2416" i="7" s="1"/>
  <c r="E2416" i="7" s="1"/>
  <c r="B2416" i="7" s="1"/>
  <c r="K2120" i="7"/>
  <c r="T1209" i="7"/>
  <c r="K354" i="7"/>
  <c r="O354" i="7" s="1"/>
  <c r="T335" i="7"/>
  <c r="O1685" i="7"/>
  <c r="F2416" i="7" l="1"/>
  <c r="P1685" i="7"/>
  <c r="R1685" i="7" s="1"/>
  <c r="E1685" i="7" s="1"/>
  <c r="P354" i="7"/>
  <c r="R354" i="7" s="1"/>
  <c r="E354" i="7" s="1"/>
  <c r="F354" i="7" s="1"/>
  <c r="B1685" i="7" l="1"/>
  <c r="G1685" i="7"/>
  <c r="P893" i="9" l="1"/>
  <c r="P797" i="9"/>
  <c r="P725" i="9"/>
  <c r="P570" i="9"/>
  <c r="P474" i="9"/>
  <c r="P409" i="9"/>
  <c r="P408" i="9"/>
  <c r="P407" i="9"/>
  <c r="P406" i="9"/>
  <c r="P405" i="9"/>
  <c r="P404" i="9"/>
  <c r="P403" i="9"/>
  <c r="P402" i="9"/>
  <c r="P397" i="9"/>
  <c r="P396" i="9"/>
  <c r="P395" i="9"/>
  <c r="P394" i="9"/>
  <c r="P393" i="9"/>
  <c r="P392" i="9"/>
  <c r="P391" i="9"/>
  <c r="P390" i="9"/>
  <c r="P389" i="9"/>
  <c r="P387" i="9"/>
  <c r="P386" i="9"/>
  <c r="P382" i="9"/>
  <c r="P381" i="9"/>
  <c r="P380" i="9"/>
  <c r="P379" i="9"/>
  <c r="P378" i="9"/>
  <c r="P377" i="9"/>
  <c r="P376" i="9"/>
  <c r="P375" i="9"/>
  <c r="P374" i="9"/>
  <c r="P373" i="9"/>
  <c r="P371" i="9"/>
  <c r="P367" i="9"/>
  <c r="P366" i="9"/>
  <c r="P365" i="9"/>
  <c r="P364" i="9"/>
  <c r="P363" i="9"/>
  <c r="P362" i="9"/>
  <c r="P361" i="9"/>
  <c r="P360" i="9"/>
  <c r="P359" i="9"/>
  <c r="P358" i="9"/>
  <c r="P357" i="9"/>
  <c r="P355" i="9"/>
  <c r="P354" i="9"/>
  <c r="P353" i="9"/>
  <c r="P352" i="9"/>
  <c r="P351" i="9"/>
  <c r="P348" i="9"/>
  <c r="P347" i="9"/>
  <c r="P346" i="9"/>
  <c r="P345" i="9"/>
  <c r="P344" i="9"/>
  <c r="P343" i="9"/>
  <c r="P342" i="9"/>
  <c r="P341" i="9"/>
  <c r="P340" i="9"/>
  <c r="P339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P93" i="9"/>
  <c r="P92" i="9"/>
  <c r="P91" i="9"/>
  <c r="P90" i="9"/>
  <c r="P89" i="9"/>
  <c r="P88" i="9"/>
  <c r="P87" i="9"/>
  <c r="P86" i="9"/>
  <c r="P85" i="9"/>
  <c r="P84" i="9"/>
  <c r="P83" i="9"/>
  <c r="P82" i="9"/>
  <c r="P81" i="9"/>
  <c r="P80" i="9"/>
  <c r="P79" i="9"/>
  <c r="P78" i="9"/>
  <c r="P77" i="9"/>
  <c r="P76" i="9"/>
  <c r="P75" i="9"/>
  <c r="P74" i="9"/>
  <c r="P73" i="9"/>
  <c r="P72" i="9"/>
  <c r="P71" i="9"/>
  <c r="P70" i="9"/>
  <c r="P69" i="9"/>
  <c r="P68" i="9"/>
  <c r="P67" i="9"/>
  <c r="P66" i="9"/>
  <c r="P65" i="9"/>
  <c r="P64" i="9"/>
  <c r="P63" i="9"/>
  <c r="P62" i="9"/>
  <c r="P61" i="9"/>
  <c r="P60" i="9"/>
  <c r="P59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O39" i="9"/>
  <c r="P38" i="9"/>
  <c r="P37" i="9"/>
  <c r="P35" i="9"/>
  <c r="P34" i="9"/>
  <c r="P33" i="9"/>
  <c r="P32" i="9"/>
  <c r="P31" i="9"/>
  <c r="P30" i="9"/>
  <c r="P29" i="9"/>
  <c r="P28" i="9"/>
  <c r="P27" i="9"/>
  <c r="P26" i="9"/>
  <c r="P25" i="9"/>
  <c r="P23" i="9"/>
  <c r="P21" i="9"/>
  <c r="P20" i="9"/>
  <c r="P17" i="9"/>
  <c r="P16" i="9"/>
  <c r="P15" i="9"/>
  <c r="P14" i="9"/>
  <c r="P13" i="9"/>
  <c r="P12" i="9"/>
  <c r="P11" i="9"/>
  <c r="P10" i="9"/>
  <c r="P9" i="9"/>
  <c r="P8" i="9"/>
  <c r="P7" i="9"/>
  <c r="P399" i="9" l="1"/>
  <c r="P400" i="9"/>
  <c r="P401" i="9"/>
  <c r="P24" i="9"/>
  <c r="P398" i="9"/>
  <c r="P372" i="9"/>
  <c r="P368" i="9"/>
  <c r="P369" i="9"/>
  <c r="P370" i="9"/>
  <c r="P385" i="9"/>
  <c r="P653" i="9"/>
  <c r="P349" i="9"/>
  <c r="P350" i="9"/>
  <c r="P155" i="9"/>
  <c r="P337" i="9"/>
  <c r="P338" i="9"/>
  <c r="P39" i="9"/>
  <c r="P388" i="9"/>
  <c r="P18" i="9"/>
  <c r="P131" i="9"/>
  <c r="P132" i="9"/>
  <c r="P111" i="9"/>
  <c r="P356" i="9"/>
  <c r="P19" i="9"/>
  <c r="P22" i="9"/>
  <c r="P36" i="9"/>
  <c r="P384" i="9"/>
  <c r="P419" i="9"/>
  <c r="P431" i="9"/>
  <c r="P443" i="9"/>
  <c r="P455" i="9"/>
  <c r="P467" i="9"/>
  <c r="P479" i="9"/>
  <c r="P491" i="9"/>
  <c r="P503" i="9"/>
  <c r="P515" i="9"/>
  <c r="P527" i="9"/>
  <c r="P539" i="9"/>
  <c r="P551" i="9"/>
  <c r="P563" i="9"/>
  <c r="P575" i="9"/>
  <c r="P587" i="9"/>
  <c r="P599" i="9"/>
  <c r="P611" i="9"/>
  <c r="P623" i="9"/>
  <c r="P635" i="9"/>
  <c r="P647" i="9"/>
  <c r="P659" i="9"/>
  <c r="P671" i="9"/>
  <c r="P683" i="9"/>
  <c r="P695" i="9"/>
  <c r="P707" i="9"/>
  <c r="P719" i="9"/>
  <c r="P731" i="9"/>
  <c r="P743" i="9"/>
  <c r="P755" i="9"/>
  <c r="P767" i="9"/>
  <c r="P779" i="9"/>
  <c r="P791" i="9"/>
  <c r="P803" i="9"/>
  <c r="P815" i="9"/>
  <c r="P827" i="9"/>
  <c r="P839" i="9"/>
  <c r="P851" i="9"/>
  <c r="P863" i="9"/>
  <c r="P875" i="9"/>
  <c r="P887" i="9"/>
  <c r="P899" i="9"/>
  <c r="P911" i="9"/>
  <c r="P420" i="9"/>
  <c r="P432" i="9"/>
  <c r="P444" i="9"/>
  <c r="P456" i="9"/>
  <c r="P468" i="9"/>
  <c r="P480" i="9"/>
  <c r="P492" i="9"/>
  <c r="P504" i="9"/>
  <c r="P516" i="9"/>
  <c r="P528" i="9"/>
  <c r="P540" i="9"/>
  <c r="P552" i="9"/>
  <c r="P564" i="9"/>
  <c r="P576" i="9"/>
  <c r="P588" i="9"/>
  <c r="P600" i="9"/>
  <c r="P612" i="9"/>
  <c r="P624" i="9"/>
  <c r="P636" i="9"/>
  <c r="P648" i="9"/>
  <c r="P660" i="9"/>
  <c r="P684" i="9"/>
  <c r="P696" i="9"/>
  <c r="P708" i="9"/>
  <c r="P720" i="9"/>
  <c r="P732" i="9"/>
  <c r="P744" i="9"/>
  <c r="P756" i="9"/>
  <c r="P768" i="9"/>
  <c r="P780" i="9"/>
  <c r="P792" i="9"/>
  <c r="P804" i="9"/>
  <c r="P816" i="9"/>
  <c r="P828" i="9"/>
  <c r="P840" i="9"/>
  <c r="P852" i="9"/>
  <c r="P864" i="9"/>
  <c r="P876" i="9"/>
  <c r="P888" i="9"/>
  <c r="P900" i="9"/>
  <c r="P912" i="9"/>
  <c r="P421" i="9"/>
  <c r="P433" i="9"/>
  <c r="P445" i="9"/>
  <c r="P457" i="9"/>
  <c r="P469" i="9"/>
  <c r="P481" i="9"/>
  <c r="P493" i="9"/>
  <c r="P505" i="9"/>
  <c r="P517" i="9"/>
  <c r="P529" i="9"/>
  <c r="P541" i="9"/>
  <c r="P553" i="9"/>
  <c r="P565" i="9"/>
  <c r="P577" i="9"/>
  <c r="P589" i="9"/>
  <c r="P601" i="9"/>
  <c r="P613" i="9"/>
  <c r="P625" i="9"/>
  <c r="P637" i="9"/>
  <c r="P649" i="9"/>
  <c r="P661" i="9"/>
  <c r="P673" i="9"/>
  <c r="P685" i="9"/>
  <c r="P697" i="9"/>
  <c r="P709" i="9"/>
  <c r="P721" i="9"/>
  <c r="P733" i="9"/>
  <c r="P745" i="9"/>
  <c r="P757" i="9"/>
  <c r="P769" i="9"/>
  <c r="P781" i="9"/>
  <c r="P793" i="9"/>
  <c r="P805" i="9"/>
  <c r="P817" i="9"/>
  <c r="P829" i="9"/>
  <c r="P841" i="9"/>
  <c r="P853" i="9"/>
  <c r="P865" i="9"/>
  <c r="P877" i="9"/>
  <c r="P889" i="9"/>
  <c r="P901" i="9"/>
  <c r="P410" i="9"/>
  <c r="P422" i="9"/>
  <c r="P434" i="9"/>
  <c r="P446" i="9"/>
  <c r="P458" i="9"/>
  <c r="P470" i="9"/>
  <c r="P482" i="9"/>
  <c r="P494" i="9"/>
  <c r="P506" i="9"/>
  <c r="P518" i="9"/>
  <c r="P530" i="9"/>
  <c r="P542" i="9"/>
  <c r="P554" i="9"/>
  <c r="P566" i="9"/>
  <c r="P578" i="9"/>
  <c r="P590" i="9"/>
  <c r="P602" i="9"/>
  <c r="P614" i="9"/>
  <c r="P626" i="9"/>
  <c r="P638" i="9"/>
  <c r="P650" i="9"/>
  <c r="P662" i="9"/>
  <c r="P674" i="9"/>
  <c r="P686" i="9"/>
  <c r="P698" i="9"/>
  <c r="P710" i="9"/>
  <c r="P722" i="9"/>
  <c r="P734" i="9"/>
  <c r="P746" i="9"/>
  <c r="P758" i="9"/>
  <c r="P770" i="9"/>
  <c r="P782" i="9"/>
  <c r="P794" i="9"/>
  <c r="P806" i="9"/>
  <c r="P818" i="9"/>
  <c r="P830" i="9"/>
  <c r="P842" i="9"/>
  <c r="P854" i="9"/>
  <c r="P866" i="9"/>
  <c r="P878" i="9"/>
  <c r="P890" i="9"/>
  <c r="P902" i="9"/>
  <c r="P411" i="9"/>
  <c r="P423" i="9"/>
  <c r="P435" i="9"/>
  <c r="P447" i="9"/>
  <c r="P459" i="9"/>
  <c r="P471" i="9"/>
  <c r="P483" i="9"/>
  <c r="P495" i="9"/>
  <c r="P507" i="9"/>
  <c r="P519" i="9"/>
  <c r="P531" i="9"/>
  <c r="P543" i="9"/>
  <c r="P555" i="9"/>
  <c r="P567" i="9"/>
  <c r="P591" i="9"/>
  <c r="P603" i="9"/>
  <c r="P615" i="9"/>
  <c r="P627" i="9"/>
  <c r="P639" i="9"/>
  <c r="P651" i="9"/>
  <c r="P663" i="9"/>
  <c r="P675" i="9"/>
  <c r="P687" i="9"/>
  <c r="P699" i="9"/>
  <c r="P711" i="9"/>
  <c r="P723" i="9"/>
  <c r="P735" i="9"/>
  <c r="P747" i="9"/>
  <c r="P759" i="9"/>
  <c r="P771" i="9"/>
  <c r="P783" i="9"/>
  <c r="P795" i="9"/>
  <c r="P807" i="9"/>
  <c r="P819" i="9"/>
  <c r="P831" i="9"/>
  <c r="P843" i="9"/>
  <c r="P855" i="9"/>
  <c r="P867" i="9"/>
  <c r="P879" i="9"/>
  <c r="P903" i="9"/>
  <c r="P412" i="9"/>
  <c r="P424" i="9"/>
  <c r="P436" i="9"/>
  <c r="P448" i="9"/>
  <c r="P460" i="9"/>
  <c r="P472" i="9"/>
  <c r="P484" i="9"/>
  <c r="P496" i="9"/>
  <c r="P508" i="9"/>
  <c r="P520" i="9"/>
  <c r="P532" i="9"/>
  <c r="P544" i="9"/>
  <c r="P556" i="9"/>
  <c r="P568" i="9"/>
  <c r="P580" i="9"/>
  <c r="P592" i="9"/>
  <c r="P604" i="9"/>
  <c r="P616" i="9"/>
  <c r="P628" i="9"/>
  <c r="P640" i="9"/>
  <c r="P652" i="9"/>
  <c r="P664" i="9"/>
  <c r="P676" i="9"/>
  <c r="P688" i="9"/>
  <c r="P700" i="9"/>
  <c r="P712" i="9"/>
  <c r="P724" i="9"/>
  <c r="P736" i="9"/>
  <c r="P748" i="9"/>
  <c r="P760" i="9"/>
  <c r="P772" i="9"/>
  <c r="P784" i="9"/>
  <c r="P796" i="9"/>
  <c r="P808" i="9"/>
  <c r="P820" i="9"/>
  <c r="P832" i="9"/>
  <c r="P844" i="9"/>
  <c r="P856" i="9"/>
  <c r="P868" i="9"/>
  <c r="P880" i="9"/>
  <c r="P892" i="9"/>
  <c r="P904" i="9"/>
  <c r="P413" i="9"/>
  <c r="P425" i="9"/>
  <c r="P437" i="9"/>
  <c r="P449" i="9"/>
  <c r="P461" i="9"/>
  <c r="P473" i="9"/>
  <c r="P485" i="9"/>
  <c r="P497" i="9"/>
  <c r="P509" i="9"/>
  <c r="P521" i="9"/>
  <c r="P533" i="9"/>
  <c r="P545" i="9"/>
  <c r="P557" i="9"/>
  <c r="P569" i="9"/>
  <c r="P581" i="9"/>
  <c r="P593" i="9"/>
  <c r="P605" i="9"/>
  <c r="P617" i="9"/>
  <c r="P629" i="9"/>
  <c r="P641" i="9"/>
  <c r="P665" i="9"/>
  <c r="P677" i="9"/>
  <c r="P689" i="9"/>
  <c r="P701" i="9"/>
  <c r="P713" i="9"/>
  <c r="P737" i="9"/>
  <c r="P749" i="9"/>
  <c r="P761" i="9"/>
  <c r="P773" i="9"/>
  <c r="P785" i="9"/>
  <c r="P809" i="9"/>
  <c r="P821" i="9"/>
  <c r="P833" i="9"/>
  <c r="P845" i="9"/>
  <c r="P857" i="9"/>
  <c r="P869" i="9"/>
  <c r="P881" i="9"/>
  <c r="P905" i="9"/>
  <c r="P414" i="9"/>
  <c r="P426" i="9"/>
  <c r="P438" i="9"/>
  <c r="P450" i="9"/>
  <c r="P462" i="9"/>
  <c r="P486" i="9"/>
  <c r="P498" i="9"/>
  <c r="P510" i="9"/>
  <c r="P522" i="9"/>
  <c r="P534" i="9"/>
  <c r="P546" i="9"/>
  <c r="P558" i="9"/>
  <c r="P582" i="9"/>
  <c r="P594" i="9"/>
  <c r="P606" i="9"/>
  <c r="P618" i="9"/>
  <c r="P630" i="9"/>
  <c r="P642" i="9"/>
  <c r="P666" i="9"/>
  <c r="P678" i="9"/>
  <c r="P690" i="9"/>
  <c r="P702" i="9"/>
  <c r="P714" i="9"/>
  <c r="P726" i="9"/>
  <c r="P738" i="9"/>
  <c r="P750" i="9"/>
  <c r="P762" i="9"/>
  <c r="P774" i="9"/>
  <c r="P786" i="9"/>
  <c r="P798" i="9"/>
  <c r="P810" i="9"/>
  <c r="P822" i="9"/>
  <c r="P834" i="9"/>
  <c r="P846" i="9"/>
  <c r="P858" i="9"/>
  <c r="P870" i="9"/>
  <c r="P882" i="9"/>
  <c r="P894" i="9"/>
  <c r="P906" i="9"/>
  <c r="P415" i="9"/>
  <c r="P427" i="9"/>
  <c r="P439" i="9"/>
  <c r="P451" i="9"/>
  <c r="P463" i="9"/>
  <c r="P475" i="9"/>
  <c r="P487" i="9"/>
  <c r="P499" i="9"/>
  <c r="P511" i="9"/>
  <c r="P523" i="9"/>
  <c r="P535" i="9"/>
  <c r="P547" i="9"/>
  <c r="P559" i="9"/>
  <c r="P583" i="9"/>
  <c r="P595" i="9"/>
  <c r="P607" i="9"/>
  <c r="P619" i="9"/>
  <c r="P631" i="9"/>
  <c r="P643" i="9"/>
  <c r="P655" i="9"/>
  <c r="P667" i="9"/>
  <c r="P679" i="9"/>
  <c r="P691" i="9"/>
  <c r="P703" i="9"/>
  <c r="P715" i="9"/>
  <c r="P727" i="9"/>
  <c r="P739" i="9"/>
  <c r="P751" i="9"/>
  <c r="P763" i="9"/>
  <c r="P775" i="9"/>
  <c r="P787" i="9"/>
  <c r="P799" i="9"/>
  <c r="P811" i="9"/>
  <c r="P823" i="9"/>
  <c r="P835" i="9"/>
  <c r="P847" i="9"/>
  <c r="P859" i="9"/>
  <c r="P871" i="9"/>
  <c r="P883" i="9"/>
  <c r="P895" i="9"/>
  <c r="P907" i="9"/>
  <c r="P416" i="9"/>
  <c r="P428" i="9"/>
  <c r="P440" i="9"/>
  <c r="P452" i="9"/>
  <c r="P464" i="9"/>
  <c r="P476" i="9"/>
  <c r="P488" i="9"/>
  <c r="P500" i="9"/>
  <c r="P512" i="9"/>
  <c r="P524" i="9"/>
  <c r="P536" i="9"/>
  <c r="P548" i="9"/>
  <c r="P560" i="9"/>
  <c r="P572" i="9"/>
  <c r="P584" i="9"/>
  <c r="P596" i="9"/>
  <c r="P608" i="9"/>
  <c r="P620" i="9"/>
  <c r="P632" i="9"/>
  <c r="P644" i="9"/>
  <c r="P656" i="9"/>
  <c r="P668" i="9"/>
  <c r="P680" i="9"/>
  <c r="P692" i="9"/>
  <c r="P704" i="9"/>
  <c r="P716" i="9"/>
  <c r="P728" i="9"/>
  <c r="P740" i="9"/>
  <c r="P752" i="9"/>
  <c r="P764" i="9"/>
  <c r="P776" i="9"/>
  <c r="P788" i="9"/>
  <c r="P800" i="9"/>
  <c r="P812" i="9"/>
  <c r="P824" i="9"/>
  <c r="P836" i="9"/>
  <c r="P848" i="9"/>
  <c r="P860" i="9"/>
  <c r="P872" i="9"/>
  <c r="P884" i="9"/>
  <c r="P896" i="9"/>
  <c r="P908" i="9"/>
  <c r="P417" i="9"/>
  <c r="P429" i="9"/>
  <c r="P441" i="9"/>
  <c r="P453" i="9"/>
  <c r="P465" i="9"/>
  <c r="P477" i="9"/>
  <c r="P489" i="9"/>
  <c r="P501" i="9"/>
  <c r="P513" i="9"/>
  <c r="P525" i="9"/>
  <c r="P537" i="9"/>
  <c r="P549" i="9"/>
  <c r="P561" i="9"/>
  <c r="P573" i="9"/>
  <c r="P585" i="9"/>
  <c r="P597" i="9"/>
  <c r="P609" i="9"/>
  <c r="P621" i="9"/>
  <c r="P633" i="9"/>
  <c r="P645" i="9"/>
  <c r="P657" i="9"/>
  <c r="P669" i="9"/>
  <c r="P681" i="9"/>
  <c r="P693" i="9"/>
  <c r="P705" i="9"/>
  <c r="P717" i="9"/>
  <c r="P729" i="9"/>
  <c r="P741" i="9"/>
  <c r="P753" i="9"/>
  <c r="P765" i="9"/>
  <c r="P777" i="9"/>
  <c r="P789" i="9"/>
  <c r="P801" i="9"/>
  <c r="P813" i="9"/>
  <c r="P825" i="9"/>
  <c r="P837" i="9"/>
  <c r="P849" i="9"/>
  <c r="P861" i="9"/>
  <c r="P873" i="9"/>
  <c r="P885" i="9"/>
  <c r="P897" i="9"/>
  <c r="P909" i="9"/>
  <c r="P418" i="9"/>
  <c r="P430" i="9"/>
  <c r="P442" i="9"/>
  <c r="P454" i="9"/>
  <c r="P466" i="9"/>
  <c r="P478" i="9"/>
  <c r="P490" i="9"/>
  <c r="P502" i="9"/>
  <c r="P514" i="9"/>
  <c r="P526" i="9"/>
  <c r="P538" i="9"/>
  <c r="P550" i="9"/>
  <c r="P562" i="9"/>
  <c r="P574" i="9"/>
  <c r="P586" i="9"/>
  <c r="P598" i="9"/>
  <c r="P610" i="9"/>
  <c r="P622" i="9"/>
  <c r="P634" i="9"/>
  <c r="P646" i="9"/>
  <c r="P658" i="9"/>
  <c r="P670" i="9"/>
  <c r="P682" i="9"/>
  <c r="P694" i="9"/>
  <c r="P706" i="9"/>
  <c r="P718" i="9"/>
  <c r="P730" i="9"/>
  <c r="P742" i="9"/>
  <c r="P754" i="9"/>
  <c r="P766" i="9"/>
  <c r="P778" i="9"/>
  <c r="P790" i="9"/>
  <c r="P802" i="9"/>
  <c r="P814" i="9"/>
  <c r="P826" i="9"/>
  <c r="P838" i="9"/>
  <c r="P850" i="9"/>
  <c r="P862" i="9"/>
  <c r="P874" i="9"/>
  <c r="P886" i="9"/>
  <c r="P898" i="9"/>
  <c r="P910" i="9"/>
  <c r="P891" i="9" l="1"/>
  <c r="P672" i="9"/>
  <c r="P654" i="9"/>
  <c r="P383" i="9"/>
  <c r="P571" i="9"/>
  <c r="P579" i="9"/>
  <c r="T1568" i="7" l="1"/>
  <c r="O1195" i="7"/>
  <c r="T1567" i="7"/>
  <c r="O1194" i="7"/>
  <c r="P1194" i="7" l="1"/>
  <c r="R1194" i="7" s="1"/>
  <c r="E1194" i="7" s="1"/>
  <c r="F1194" i="7" s="1"/>
  <c r="P1195" i="7"/>
  <c r="R1195" i="7" s="1"/>
  <c r="E1195" i="7" s="1"/>
  <c r="F1195" i="7" s="1"/>
  <c r="O1215" i="7" l="1"/>
  <c r="T2076" i="7"/>
  <c r="P1215" i="7" l="1"/>
  <c r="R1215" i="7" s="1"/>
  <c r="E1215" i="7" s="1"/>
  <c r="F1215" i="7" s="1"/>
  <c r="T52" i="7" l="1"/>
  <c r="O1856" i="7"/>
  <c r="T2757" i="7"/>
  <c r="P106" i="7" l="1"/>
  <c r="R106" i="7" s="1"/>
  <c r="E106" i="7" s="1"/>
  <c r="P1856" i="7"/>
  <c r="R1856" i="7" s="1"/>
  <c r="E1856" i="7" s="1"/>
  <c r="F1856" i="7" s="1"/>
  <c r="O1844" i="7"/>
  <c r="T360" i="7"/>
  <c r="T1865" i="7"/>
  <c r="O2157" i="7"/>
  <c r="B106" i="7" l="1"/>
  <c r="F106" i="7"/>
  <c r="P2157" i="7"/>
  <c r="R2157" i="7" s="1"/>
  <c r="E2157" i="7" s="1"/>
  <c r="F2157" i="7" s="1"/>
  <c r="P1844" i="7"/>
  <c r="R1844" i="7" s="1"/>
  <c r="E1844" i="7" s="1"/>
  <c r="B1844" i="7" s="1"/>
  <c r="G1844" i="7" l="1"/>
  <c r="T2179" i="7" l="1"/>
  <c r="O468" i="7"/>
  <c r="P468" i="7" l="1"/>
  <c r="R468" i="7" s="1"/>
  <c r="E468" i="7" s="1"/>
  <c r="F468" i="7" s="1"/>
  <c r="L1888" i="7"/>
  <c r="L1886" i="7"/>
  <c r="K2513" i="7"/>
  <c r="K2082" i="7" l="1"/>
  <c r="L298" i="7"/>
  <c r="L299" i="7"/>
  <c r="L301" i="7"/>
  <c r="L300" i="7"/>
  <c r="T1111" i="7" l="1"/>
  <c r="O2563" i="7"/>
  <c r="D55" i="3"/>
  <c r="P2563" i="7" l="1"/>
  <c r="R2563" i="7" s="1"/>
  <c r="E2563" i="7" s="1"/>
  <c r="F2563" i="7" s="1"/>
  <c r="T1460" i="7"/>
  <c r="O902" i="7"/>
  <c r="P902" i="7" s="1"/>
  <c r="R902" i="7" s="1"/>
  <c r="T1378" i="7"/>
  <c r="O799" i="7"/>
  <c r="T402" i="7"/>
  <c r="O1986" i="7"/>
  <c r="T405" i="7"/>
  <c r="T409" i="7"/>
  <c r="P799" i="7" l="1"/>
  <c r="R799" i="7" s="1"/>
  <c r="E799" i="7" s="1"/>
  <c r="F799" i="7" s="1"/>
  <c r="E902" i="7"/>
  <c r="F902" i="7" s="1"/>
  <c r="P1986" i="7"/>
  <c r="R1986" i="7" s="1"/>
  <c r="E1986" i="7" s="1"/>
  <c r="B1986" i="7" s="1"/>
  <c r="G1986" i="7" l="1"/>
  <c r="T1277" i="7"/>
  <c r="O573" i="7"/>
  <c r="K2483" i="7"/>
  <c r="P573" i="7" l="1"/>
  <c r="R573" i="7" s="1"/>
  <c r="E573" i="7" s="1"/>
  <c r="F573" i="7" s="1"/>
  <c r="K2832" i="7" l="1"/>
  <c r="T2333" i="7" l="1"/>
  <c r="O1148" i="7"/>
  <c r="O1145" i="7"/>
  <c r="P1145" i="7" l="1"/>
  <c r="R1145" i="7" s="1"/>
  <c r="E1145" i="7" s="1"/>
  <c r="F1145" i="7" s="1"/>
  <c r="P1148" i="7"/>
  <c r="R1148" i="7" s="1"/>
  <c r="E1148" i="7" s="1"/>
  <c r="F1148" i="7" s="1"/>
  <c r="K2825" i="7" l="1"/>
  <c r="T2493" i="7" l="1"/>
  <c r="O2436" i="7"/>
  <c r="O1950" i="7"/>
  <c r="T2429" i="7"/>
  <c r="O1949" i="7"/>
  <c r="T2428" i="7"/>
  <c r="O1948" i="7"/>
  <c r="O1947" i="7"/>
  <c r="T1664" i="7"/>
  <c r="O1473" i="7"/>
  <c r="T1458" i="7"/>
  <c r="O924" i="7"/>
  <c r="T357" i="7"/>
  <c r="O1840" i="7"/>
  <c r="P1840" i="7" s="1"/>
  <c r="R1840" i="7" s="1"/>
  <c r="L2089" i="7"/>
  <c r="O697" i="7"/>
  <c r="T1357" i="7"/>
  <c r="T1715" i="7"/>
  <c r="O1582" i="7"/>
  <c r="K712" i="7"/>
  <c r="P1473" i="7" l="1"/>
  <c r="R1473" i="7" s="1"/>
  <c r="E1473" i="7" s="1"/>
  <c r="F1473" i="7" s="1"/>
  <c r="P1582" i="7"/>
  <c r="R1582" i="7" s="1"/>
  <c r="E1582" i="7" s="1"/>
  <c r="F1582" i="7" s="1"/>
  <c r="P1947" i="7"/>
  <c r="R1947" i="7" s="1"/>
  <c r="E1947" i="7" s="1"/>
  <c r="G1947" i="7" s="1"/>
  <c r="P1949" i="7"/>
  <c r="R1949" i="7" s="1"/>
  <c r="E1949" i="7" s="1"/>
  <c r="G1949" i="7" s="1"/>
  <c r="P697" i="7"/>
  <c r="R697" i="7" s="1"/>
  <c r="E697" i="7" s="1"/>
  <c r="F697" i="7" s="1"/>
  <c r="E1840" i="7"/>
  <c r="B1840" i="7" s="1"/>
  <c r="P924" i="7"/>
  <c r="R924" i="7" s="1"/>
  <c r="E924" i="7" s="1"/>
  <c r="F924" i="7" s="1"/>
  <c r="P2436" i="7"/>
  <c r="R2436" i="7" s="1"/>
  <c r="E2436" i="7" s="1"/>
  <c r="F2436" i="7" s="1"/>
  <c r="P1948" i="7"/>
  <c r="R1948" i="7" s="1"/>
  <c r="E1948" i="7" s="1"/>
  <c r="G1948" i="7" s="1"/>
  <c r="P1950" i="7"/>
  <c r="R1950" i="7" s="1"/>
  <c r="E1950" i="7" s="1"/>
  <c r="G1950" i="7" s="1"/>
  <c r="G1840" i="7" l="1"/>
  <c r="O1982" i="7"/>
  <c r="P1982" i="7" l="1"/>
  <c r="R1982" i="7" s="1"/>
  <c r="E1982" i="7" s="1"/>
  <c r="B1982" i="7" l="1"/>
  <c r="G1982" i="7"/>
  <c r="L2504" i="7" l="1"/>
  <c r="T2332" i="7" l="1"/>
  <c r="O2795" i="7"/>
  <c r="O2278" i="7"/>
  <c r="T2649" i="7"/>
  <c r="O1795" i="7"/>
  <c r="T2037" i="7"/>
  <c r="O2743" i="7"/>
  <c r="T1799" i="7"/>
  <c r="O2003" i="7"/>
  <c r="O801" i="7"/>
  <c r="P2743" i="7" l="1"/>
  <c r="R2743" i="7" s="1"/>
  <c r="E2743" i="7" s="1"/>
  <c r="F2743" i="7" s="1"/>
  <c r="P801" i="7"/>
  <c r="R801" i="7" s="1"/>
  <c r="E801" i="7" s="1"/>
  <c r="F801" i="7" s="1"/>
  <c r="P2795" i="7"/>
  <c r="R2795" i="7" s="1"/>
  <c r="E2795" i="7" s="1"/>
  <c r="F2795" i="7" s="1"/>
  <c r="P2003" i="7"/>
  <c r="R2003" i="7" s="1"/>
  <c r="E2003" i="7" s="1"/>
  <c r="G2003" i="7" s="1"/>
  <c r="P1795" i="7"/>
  <c r="R1795" i="7" s="1"/>
  <c r="E1795" i="7" s="1"/>
  <c r="F1795" i="7" s="1"/>
  <c r="P2278" i="7"/>
  <c r="R2278" i="7" s="1"/>
  <c r="E2278" i="7" s="1"/>
  <c r="F2278" i="7" s="1"/>
  <c r="K1189" i="7" l="1"/>
  <c r="K1180" i="7"/>
  <c r="K1181" i="7"/>
  <c r="K1442" i="7" l="1"/>
  <c r="T2236" i="7"/>
  <c r="K2203" i="7"/>
  <c r="O719" i="7" l="1"/>
  <c r="P719" i="7" l="1"/>
  <c r="R719" i="7" s="1"/>
  <c r="E719" i="7" s="1"/>
  <c r="F719" i="7" s="1"/>
  <c r="T403" i="7"/>
  <c r="L1848" i="7"/>
  <c r="K1470" i="7"/>
  <c r="L753" i="7"/>
  <c r="L763" i="7"/>
  <c r="L748" i="7"/>
  <c r="T1379" i="7"/>
  <c r="K812" i="7"/>
  <c r="K1359" i="7"/>
  <c r="K1425" i="7"/>
  <c r="K1279" i="7"/>
  <c r="K991" i="7"/>
  <c r="K183" i="7"/>
  <c r="K2187" i="7" l="1"/>
  <c r="T2391" i="7" l="1"/>
  <c r="O1611" i="7"/>
  <c r="T2387" i="7"/>
  <c r="O1599" i="7"/>
  <c r="P1611" i="7" l="1"/>
  <c r="R1611" i="7" s="1"/>
  <c r="E1611" i="7" s="1"/>
  <c r="F1611" i="7" s="1"/>
  <c r="P1599" i="7"/>
  <c r="R1599" i="7" s="1"/>
  <c r="E1599" i="7" s="1"/>
  <c r="F1599" i="7" s="1"/>
  <c r="L1449" i="7"/>
  <c r="T1422" i="7" l="1"/>
  <c r="T1419" i="7"/>
  <c r="T1421" i="7"/>
  <c r="T1423" i="7"/>
  <c r="T1425" i="7"/>
  <c r="T684" i="7"/>
  <c r="T848" i="7"/>
  <c r="T913" i="7"/>
  <c r="T914" i="7"/>
  <c r="O850" i="7"/>
  <c r="O851" i="7"/>
  <c r="O852" i="7"/>
  <c r="O853" i="7"/>
  <c r="O854" i="7"/>
  <c r="O855" i="7"/>
  <c r="P852" i="7" l="1"/>
  <c r="R852" i="7" s="1"/>
  <c r="E852" i="7" s="1"/>
  <c r="F852" i="7" s="1"/>
  <c r="P850" i="7"/>
  <c r="R850" i="7" s="1"/>
  <c r="E850" i="7" s="1"/>
  <c r="F850" i="7" s="1"/>
  <c r="P855" i="7"/>
  <c r="R855" i="7" s="1"/>
  <c r="E855" i="7" s="1"/>
  <c r="F855" i="7" s="1"/>
  <c r="P854" i="7"/>
  <c r="R854" i="7" s="1"/>
  <c r="E854" i="7" s="1"/>
  <c r="F854" i="7" s="1"/>
  <c r="P851" i="7"/>
  <c r="R851" i="7" s="1"/>
  <c r="E851" i="7" s="1"/>
  <c r="F851" i="7" s="1"/>
  <c r="P853" i="7"/>
  <c r="R853" i="7" s="1"/>
  <c r="E853" i="7" s="1"/>
  <c r="F853" i="7" s="1"/>
  <c r="O846" i="7"/>
  <c r="P846" i="7" s="1"/>
  <c r="R846" i="7" s="1"/>
  <c r="T2815" i="7" l="1"/>
  <c r="O2357" i="7"/>
  <c r="T2814" i="7"/>
  <c r="O2356" i="7"/>
  <c r="T2490" i="7"/>
  <c r="O2411" i="7"/>
  <c r="P2356" i="7" l="1"/>
  <c r="R2356" i="7" s="1"/>
  <c r="E2356" i="7" s="1"/>
  <c r="F2356" i="7" s="1"/>
  <c r="P2411" i="7"/>
  <c r="R2411" i="7" s="1"/>
  <c r="E2411" i="7" s="1"/>
  <c r="F2411" i="7" s="1"/>
  <c r="P2357" i="7"/>
  <c r="R2357" i="7" s="1"/>
  <c r="E2357" i="7" s="1"/>
  <c r="F2357" i="7" s="1"/>
  <c r="T1387" i="7"/>
  <c r="O812" i="7"/>
  <c r="T1082" i="7"/>
  <c r="O2120" i="7"/>
  <c r="P812" i="7" l="1"/>
  <c r="R812" i="7" s="1"/>
  <c r="E812" i="7" s="1"/>
  <c r="F812" i="7" s="1"/>
  <c r="P2120" i="7"/>
  <c r="R2120" i="7" s="1"/>
  <c r="E2120" i="7" s="1"/>
  <c r="F2120" i="7" s="1"/>
  <c r="L2287" i="7"/>
  <c r="K2765" i="7" l="1"/>
  <c r="K2764" i="7"/>
  <c r="O2213" i="7" l="1"/>
  <c r="O991" i="7"/>
  <c r="T1635" i="7"/>
  <c r="O1393" i="7"/>
  <c r="P1393" i="7" l="1"/>
  <c r="R1393" i="7" s="1"/>
  <c r="E1393" i="7" s="1"/>
  <c r="F1393" i="7" s="1"/>
  <c r="P991" i="7"/>
  <c r="R991" i="7" s="1"/>
  <c r="E991" i="7" s="1"/>
  <c r="F991" i="7" s="1"/>
  <c r="T810" i="7"/>
  <c r="O2881" i="7"/>
  <c r="T621" i="7"/>
  <c r="O2877" i="7"/>
  <c r="P2877" i="7" l="1"/>
  <c r="R2877" i="7" s="1"/>
  <c r="E2877" i="7" s="1"/>
  <c r="P2881" i="7"/>
  <c r="R2881" i="7" s="1"/>
  <c r="E2881" i="7" s="1"/>
  <c r="G2881" i="7" s="1"/>
  <c r="L1868" i="7"/>
  <c r="B2877" i="7" l="1"/>
  <c r="G2877" i="7"/>
  <c r="T176" i="7"/>
  <c r="T2516" i="7" l="1"/>
  <c r="O2469" i="7"/>
  <c r="P2469" i="7" s="1"/>
  <c r="R2469" i="7" s="1"/>
  <c r="E2469" i="7" l="1"/>
  <c r="F2469" i="7" s="1"/>
  <c r="K23" i="7"/>
  <c r="L260" i="7" l="1"/>
  <c r="K2105" i="7" l="1"/>
  <c r="K877" i="7"/>
  <c r="K2564" i="7"/>
  <c r="K312" i="7" l="1"/>
  <c r="K140" i="7" l="1"/>
  <c r="K2374" i="7" l="1"/>
  <c r="O904" i="7" l="1"/>
  <c r="P904" i="7" s="1"/>
  <c r="R904" i="7" s="1"/>
  <c r="T1468" i="7"/>
  <c r="O905" i="7"/>
  <c r="P905" i="7" s="1"/>
  <c r="R905" i="7" s="1"/>
  <c r="T1462" i="7"/>
  <c r="T1364" i="7"/>
  <c r="O781" i="7"/>
  <c r="P781" i="7" s="1"/>
  <c r="R781" i="7" s="1"/>
  <c r="E905" i="7" l="1"/>
  <c r="F905" i="7" s="1"/>
  <c r="E781" i="7"/>
  <c r="F781" i="7" s="1"/>
  <c r="E904" i="7"/>
  <c r="F904" i="7" s="1"/>
  <c r="T1924" i="7"/>
  <c r="O2266" i="7"/>
  <c r="P2266" i="7" s="1"/>
  <c r="R2266" i="7" s="1"/>
  <c r="K420" i="7"/>
  <c r="E2266" i="7" l="1"/>
  <c r="F2266" i="7" s="1"/>
  <c r="O1823" i="7"/>
  <c r="T2406" i="7"/>
  <c r="O2099" i="7"/>
  <c r="T1066" i="7"/>
  <c r="T1275" i="7"/>
  <c r="O562" i="7"/>
  <c r="T1271" i="7"/>
  <c r="O560" i="7"/>
  <c r="P2099" i="7" l="1"/>
  <c r="R2099" i="7" s="1"/>
  <c r="E2099" i="7" s="1"/>
  <c r="F2099" i="7" s="1"/>
  <c r="P562" i="7"/>
  <c r="R562" i="7" s="1"/>
  <c r="E562" i="7" s="1"/>
  <c r="F562" i="7" s="1"/>
  <c r="P1823" i="7"/>
  <c r="R1823" i="7" s="1"/>
  <c r="E1823" i="7" s="1"/>
  <c r="F1823" i="7" s="1"/>
  <c r="P560" i="7"/>
  <c r="R560" i="7" s="1"/>
  <c r="E560" i="7" s="1"/>
  <c r="F560" i="7" s="1"/>
  <c r="T2086" i="7" l="1"/>
  <c r="O1717" i="7"/>
  <c r="P1717" i="7" l="1"/>
  <c r="R1717" i="7" s="1"/>
  <c r="E1717" i="7" s="1"/>
  <c r="F1717" i="7" s="1"/>
  <c r="K1372" i="7"/>
  <c r="K1615" i="7"/>
  <c r="K359" i="7" l="1"/>
  <c r="K2204" i="7" l="1"/>
  <c r="L997" i="7" l="1"/>
  <c r="O1470" i="7"/>
  <c r="T1660" i="7"/>
  <c r="P1470" i="7" l="1"/>
  <c r="R1470" i="7" s="1"/>
  <c r="E1470" i="7" s="1"/>
  <c r="F1470" i="7" s="1"/>
  <c r="T1793" i="7"/>
  <c r="K2711" i="7" l="1"/>
  <c r="K2598" i="7"/>
  <c r="K1994" i="7"/>
  <c r="K1993" i="7"/>
  <c r="K570" i="7"/>
  <c r="K214" i="7"/>
  <c r="O1108" i="7" l="1"/>
  <c r="T1544" i="7"/>
  <c r="P1108" i="7" l="1"/>
  <c r="R1108" i="7" s="1"/>
  <c r="E1108" i="7" s="1"/>
  <c r="F1108" i="7" s="1"/>
  <c r="K1974" i="7"/>
  <c r="K1967" i="7"/>
  <c r="T270" i="7"/>
  <c r="O1429" i="7"/>
  <c r="P1429" i="7" s="1"/>
  <c r="R1429" i="7" s="1"/>
  <c r="K565" i="7"/>
  <c r="K76" i="7"/>
  <c r="K73" i="7"/>
  <c r="K71" i="7"/>
  <c r="K70" i="7"/>
  <c r="K68" i="7"/>
  <c r="K67" i="7"/>
  <c r="E1429" i="7" l="1"/>
  <c r="B1429" i="7" s="1"/>
  <c r="F1429" i="7" l="1"/>
  <c r="T2388" i="7" l="1"/>
  <c r="O1601" i="7"/>
  <c r="T2386" i="7"/>
  <c r="O1598" i="7"/>
  <c r="O1591" i="7"/>
  <c r="T2706" i="7"/>
  <c r="O2729" i="7"/>
  <c r="T1206" i="7"/>
  <c r="O345" i="7"/>
  <c r="P2729" i="7" l="1"/>
  <c r="R2729" i="7" s="1"/>
  <c r="E2729" i="7" s="1"/>
  <c r="F2729" i="7" s="1"/>
  <c r="P1591" i="7"/>
  <c r="R1591" i="7" s="1"/>
  <c r="E1591" i="7" s="1"/>
  <c r="F1591" i="7" s="1"/>
  <c r="P1598" i="7"/>
  <c r="R1598" i="7" s="1"/>
  <c r="E1598" i="7" s="1"/>
  <c r="F1598" i="7" s="1"/>
  <c r="P1601" i="7"/>
  <c r="R1601" i="7" s="1"/>
  <c r="E1601" i="7" s="1"/>
  <c r="F1601" i="7" s="1"/>
  <c r="P345" i="7"/>
  <c r="R345" i="7" s="1"/>
  <c r="E345" i="7" s="1"/>
  <c r="F345" i="7" s="1"/>
  <c r="T2276" i="7"/>
  <c r="L594" i="7" l="1"/>
  <c r="T813" i="7" l="1"/>
  <c r="O2882" i="7"/>
  <c r="P2882" i="7" l="1"/>
  <c r="R2882" i="7" s="1"/>
  <c r="E2882" i="7" s="1"/>
  <c r="G2882" i="7" s="1"/>
  <c r="D18" i="3"/>
  <c r="K1946" i="7"/>
  <c r="T696" i="7" l="1"/>
  <c r="O1023" i="7"/>
  <c r="T735" i="7"/>
  <c r="O1684" i="7"/>
  <c r="O465" i="7"/>
  <c r="T2176" i="7"/>
  <c r="K2574" i="7"/>
  <c r="P465" i="7" l="1"/>
  <c r="R465" i="7" s="1"/>
  <c r="E465" i="7" s="1"/>
  <c r="F465" i="7" s="1"/>
  <c r="P1684" i="7"/>
  <c r="R1684" i="7" s="1"/>
  <c r="E1684" i="7" s="1"/>
  <c r="G1684" i="7" s="1"/>
  <c r="P1023" i="7"/>
  <c r="R1023" i="7" s="1"/>
  <c r="E1023" i="7" s="1"/>
  <c r="F1023" i="7" s="1"/>
  <c r="T1311" i="7" l="1"/>
  <c r="O621" i="7"/>
  <c r="P621" i="7" l="1"/>
  <c r="R621" i="7" s="1"/>
  <c r="E621" i="7" s="1"/>
  <c r="F621" i="7" s="1"/>
  <c r="K28" i="7"/>
  <c r="K26" i="7"/>
  <c r="K22" i="7"/>
  <c r="T399" i="7" l="1"/>
  <c r="O1978" i="7"/>
  <c r="P1978" i="7" s="1"/>
  <c r="R1978" i="7" s="1"/>
  <c r="E1978" i="7" l="1"/>
  <c r="B1978" i="7" s="1"/>
  <c r="G1978" i="7" l="1"/>
  <c r="K2360" i="7"/>
  <c r="K436" i="7"/>
  <c r="K284" i="7"/>
  <c r="K2512" i="7" l="1"/>
  <c r="K2511" i="7"/>
  <c r="K2510" i="7"/>
  <c r="K2509" i="7"/>
  <c r="L1144" i="7" l="1"/>
  <c r="K1596" i="7"/>
  <c r="O1425" i="7" l="1"/>
  <c r="P1425" i="7" l="1"/>
  <c r="R1425" i="7" s="1"/>
  <c r="E1425" i="7" s="1"/>
  <c r="F1425" i="7" s="1"/>
  <c r="O2429" i="7"/>
  <c r="T770" i="7"/>
  <c r="P2429" i="7" l="1"/>
  <c r="R2429" i="7" s="1"/>
  <c r="E2429" i="7" s="1"/>
  <c r="F2429" i="7" s="1"/>
  <c r="K997" i="7"/>
  <c r="K1917" i="7" l="1"/>
  <c r="K1916" i="7"/>
  <c r="K2084" i="7" l="1"/>
  <c r="T2455" i="7"/>
  <c r="P2214" i="7" l="1"/>
  <c r="R2214" i="7" s="1"/>
  <c r="E2214" i="7" s="1"/>
  <c r="F2214" i="7" s="1"/>
  <c r="O1985" i="7"/>
  <c r="K1517" i="7"/>
  <c r="K1518" i="7"/>
  <c r="P1985" i="7" l="1"/>
  <c r="R1985" i="7" s="1"/>
  <c r="E1985" i="7" s="1"/>
  <c r="K2348" i="7"/>
  <c r="K2587" i="7"/>
  <c r="K2585" i="7"/>
  <c r="K2584" i="7"/>
  <c r="K2582" i="7"/>
  <c r="K2581" i="7"/>
  <c r="K1309" i="7"/>
  <c r="K1316" i="7"/>
  <c r="G1985" i="7" l="1"/>
  <c r="B1985" i="7"/>
  <c r="K1779" i="7"/>
  <c r="K1778" i="7"/>
  <c r="K1777" i="7"/>
  <c r="K1775" i="7"/>
  <c r="K1773" i="7"/>
  <c r="K1771" i="7"/>
  <c r="K1770" i="7"/>
  <c r="K1802" i="7"/>
  <c r="K1801" i="7"/>
  <c r="K1800" i="7"/>
  <c r="K1799" i="7"/>
  <c r="K1798" i="7"/>
  <c r="K1797" i="7"/>
  <c r="K1796" i="7"/>
  <c r="K1558" i="7"/>
  <c r="K14" i="7"/>
  <c r="K2645" i="7"/>
  <c r="K2608" i="7"/>
  <c r="N2608" i="7" s="1"/>
  <c r="K2583" i="7"/>
  <c r="K2344" i="7"/>
  <c r="K2019" i="7"/>
  <c r="K1734" i="7"/>
  <c r="K1627" i="7"/>
  <c r="K1416" i="7"/>
  <c r="K1411" i="7"/>
  <c r="K1409" i="7"/>
  <c r="K1403" i="7"/>
  <c r="K1077" i="7"/>
  <c r="K992" i="7"/>
  <c r="K840" i="7"/>
  <c r="K839" i="7"/>
  <c r="K836" i="7"/>
  <c r="K838" i="7"/>
  <c r="K837" i="7"/>
  <c r="L762" i="7"/>
  <c r="L761" i="7"/>
  <c r="L758" i="7"/>
  <c r="L754" i="7"/>
  <c r="L751" i="7"/>
  <c r="L750" i="7"/>
  <c r="L749" i="7"/>
  <c r="L741" i="7"/>
  <c r="M1999" i="7"/>
  <c r="K49" i="7"/>
  <c r="K48" i="7"/>
  <c r="N1627" i="7" l="1"/>
  <c r="T1627" i="7" s="1"/>
  <c r="K2232" i="7"/>
  <c r="K2824" i="7"/>
  <c r="E29" i="3" l="1"/>
  <c r="M2001" i="7" l="1"/>
  <c r="O2051" i="7" l="1"/>
  <c r="P2051" i="7" s="1"/>
  <c r="R2051" i="7" s="1"/>
  <c r="K393" i="7"/>
  <c r="K2745" i="7" l="1"/>
  <c r="K2199" i="7" l="1"/>
  <c r="K548" i="7" l="1"/>
  <c r="O548" i="7" s="1"/>
  <c r="K251" i="7"/>
  <c r="O251" i="7" s="1"/>
  <c r="T2126" i="7"/>
  <c r="T2205" i="7"/>
  <c r="P251" i="7" l="1"/>
  <c r="R251" i="7" s="1"/>
  <c r="E251" i="7" s="1"/>
  <c r="F251" i="7" s="1"/>
  <c r="P548" i="7"/>
  <c r="R548" i="7" s="1"/>
  <c r="E548" i="7" s="1"/>
  <c r="F548" i="7" s="1"/>
  <c r="T1415" i="7"/>
  <c r="T1637" i="7"/>
  <c r="O1415" i="7"/>
  <c r="P1415" i="7" l="1"/>
  <c r="R1415" i="7" s="1"/>
  <c r="E1415" i="7" s="1"/>
  <c r="F1415" i="7" s="1"/>
  <c r="T1699" i="7"/>
  <c r="O1550" i="7"/>
  <c r="P1550" i="7" l="1"/>
  <c r="R1550" i="7" s="1"/>
  <c r="E1550" i="7" s="1"/>
  <c r="F1550" i="7" s="1"/>
  <c r="K1534" i="7"/>
  <c r="T965" i="7" l="1"/>
  <c r="O1426" i="7"/>
  <c r="T1625" i="7"/>
  <c r="O1387" i="7"/>
  <c r="O1305" i="7"/>
  <c r="T573" i="7"/>
  <c r="O2699" i="7"/>
  <c r="T527" i="7"/>
  <c r="O2608" i="7"/>
  <c r="O1395" i="7"/>
  <c r="O2455" i="7"/>
  <c r="P2455" i="7" s="1"/>
  <c r="R2455" i="7" s="1"/>
  <c r="O1283" i="7"/>
  <c r="P1283" i="7" s="1"/>
  <c r="R1283" i="7" s="1"/>
  <c r="T1582" i="7"/>
  <c r="T1579" i="7"/>
  <c r="O1282" i="7"/>
  <c r="P1282" i="7" s="1"/>
  <c r="R1282" i="7" s="1"/>
  <c r="P2699" i="7" l="1"/>
  <c r="R2699" i="7" s="1"/>
  <c r="E2699" i="7" s="1"/>
  <c r="P1305" i="7"/>
  <c r="R1305" i="7" s="1"/>
  <c r="E1305" i="7" s="1"/>
  <c r="F1305" i="7" s="1"/>
  <c r="P1387" i="7"/>
  <c r="R1387" i="7" s="1"/>
  <c r="E1387" i="7" s="1"/>
  <c r="F1387" i="7" s="1"/>
  <c r="E2455" i="7"/>
  <c r="F2455" i="7" s="1"/>
  <c r="P1426" i="7"/>
  <c r="R1426" i="7" s="1"/>
  <c r="E1426" i="7" s="1"/>
  <c r="F1426" i="7" s="1"/>
  <c r="P2608" i="7"/>
  <c r="R2608" i="7" s="1"/>
  <c r="E2608" i="7" s="1"/>
  <c r="B2608" i="7" s="1"/>
  <c r="E1282" i="7"/>
  <c r="F1282" i="7" s="1"/>
  <c r="E1283" i="7"/>
  <c r="F1283" i="7" s="1"/>
  <c r="P1395" i="7"/>
  <c r="R1395" i="7" s="1"/>
  <c r="E1395" i="7" s="1"/>
  <c r="F1395" i="7" s="1"/>
  <c r="B2699" i="7" l="1"/>
  <c r="F2699" i="7"/>
  <c r="F2608" i="7"/>
  <c r="O2059" i="7"/>
  <c r="O2062" i="7"/>
  <c r="T1073" i="7"/>
  <c r="P2062" i="7" l="1"/>
  <c r="R2062" i="7" s="1"/>
  <c r="E2062" i="7" s="1"/>
  <c r="F2062" i="7" s="1"/>
  <c r="P2059" i="7"/>
  <c r="R2059" i="7" s="1"/>
  <c r="E2059" i="7" s="1"/>
  <c r="F2059" i="7" s="1"/>
  <c r="T2309" i="7"/>
  <c r="T2312" i="7"/>
  <c r="T2313" i="7"/>
  <c r="T966" i="7"/>
  <c r="T2315" i="7"/>
  <c r="T2316" i="7"/>
  <c r="T2317" i="7"/>
  <c r="T918" i="7"/>
  <c r="O963" i="7"/>
  <c r="O964" i="7"/>
  <c r="O965" i="7"/>
  <c r="P965" i="7" l="1"/>
  <c r="R965" i="7" s="1"/>
  <c r="E965" i="7" s="1"/>
  <c r="F965" i="7" s="1"/>
  <c r="P964" i="7"/>
  <c r="R964" i="7" s="1"/>
  <c r="E964" i="7" s="1"/>
  <c r="F964" i="7" s="1"/>
  <c r="P963" i="7"/>
  <c r="R963" i="7" s="1"/>
  <c r="E963" i="7" s="1"/>
  <c r="F963" i="7" s="1"/>
  <c r="K2487" i="7" l="1"/>
  <c r="O2487" i="7" s="1"/>
  <c r="T2536" i="7"/>
  <c r="O970" i="7"/>
  <c r="T1388" i="7"/>
  <c r="O813" i="7"/>
  <c r="P813" i="7" l="1"/>
  <c r="R813" i="7" s="1"/>
  <c r="E813" i="7" s="1"/>
  <c r="F813" i="7" s="1"/>
  <c r="P968" i="7"/>
  <c r="R968" i="7" s="1"/>
  <c r="E968" i="7" s="1"/>
  <c r="F968" i="7" s="1"/>
  <c r="P2487" i="7"/>
  <c r="R2487" i="7" s="1"/>
  <c r="E2487" i="7" s="1"/>
  <c r="F2487" i="7" s="1"/>
  <c r="T1663" i="7"/>
  <c r="O577" i="7"/>
  <c r="T1279" i="7"/>
  <c r="O839" i="7"/>
  <c r="T1411" i="7"/>
  <c r="O2344" i="7"/>
  <c r="T2693" i="7"/>
  <c r="O1882" i="7"/>
  <c r="P2344" i="7" l="1"/>
  <c r="R2344" i="7" s="1"/>
  <c r="E2344" i="7" s="1"/>
  <c r="F2344" i="7" s="1"/>
  <c r="P839" i="7"/>
  <c r="R839" i="7" s="1"/>
  <c r="E839" i="7" s="1"/>
  <c r="F839" i="7" s="1"/>
  <c r="P1882" i="7"/>
  <c r="R1882" i="7" s="1"/>
  <c r="E1882" i="7" s="1"/>
  <c r="F1882" i="7" s="1"/>
  <c r="P577" i="7"/>
  <c r="R577" i="7" s="1"/>
  <c r="E577" i="7" s="1"/>
  <c r="F577" i="7" s="1"/>
  <c r="O1472" i="7"/>
  <c r="O25" i="7"/>
  <c r="T25" i="7"/>
  <c r="P1472" i="7" l="1"/>
  <c r="R1472" i="7" s="1"/>
  <c r="E1472" i="7" s="1"/>
  <c r="F1472" i="7" s="1"/>
  <c r="P25" i="7"/>
  <c r="R25" i="7" s="1"/>
  <c r="E25" i="7" s="1"/>
  <c r="F25" i="7" s="1"/>
  <c r="O426" i="7"/>
  <c r="T1243" i="7"/>
  <c r="B25" i="7" l="1"/>
  <c r="P426" i="7"/>
  <c r="R426" i="7" s="1"/>
  <c r="E426" i="7" s="1"/>
  <c r="F426" i="7" s="1"/>
  <c r="K325" i="7"/>
  <c r="T1517" i="7" l="1"/>
  <c r="T1518" i="7"/>
  <c r="O1518" i="7"/>
  <c r="O1517" i="7"/>
  <c r="O1414" i="7"/>
  <c r="T1251" i="7"/>
  <c r="O1251" i="7"/>
  <c r="T1095" i="7"/>
  <c r="H1095" i="7" s="1"/>
  <c r="O2363" i="7"/>
  <c r="O2340" i="7"/>
  <c r="T1950" i="7"/>
  <c r="O2434" i="7"/>
  <c r="T1956" i="7"/>
  <c r="O772" i="7"/>
  <c r="T902" i="7"/>
  <c r="T2057" i="7"/>
  <c r="O2791" i="7"/>
  <c r="T2055" i="7"/>
  <c r="O2788" i="7"/>
  <c r="T1827" i="7"/>
  <c r="O2072" i="7"/>
  <c r="P2363" i="7" l="1"/>
  <c r="R2363" i="7" s="1"/>
  <c r="E2363" i="7" s="1"/>
  <c r="G2363" i="7" s="1"/>
  <c r="P2434" i="7"/>
  <c r="R2434" i="7" s="1"/>
  <c r="E2434" i="7" s="1"/>
  <c r="F2434" i="7" s="1"/>
  <c r="P2072" i="7"/>
  <c r="R2072" i="7" s="1"/>
  <c r="E2072" i="7" s="1"/>
  <c r="F2072" i="7" s="1"/>
  <c r="P1517" i="7"/>
  <c r="R1517" i="7" s="1"/>
  <c r="E1517" i="7" s="1"/>
  <c r="F1517" i="7" s="1"/>
  <c r="P1251" i="7"/>
  <c r="R1251" i="7" s="1"/>
  <c r="E1251" i="7" s="1"/>
  <c r="F1251" i="7" s="1"/>
  <c r="P1518" i="7"/>
  <c r="R1518" i="7" s="1"/>
  <c r="E1518" i="7" s="1"/>
  <c r="F1518" i="7" s="1"/>
  <c r="P2340" i="7"/>
  <c r="R2340" i="7" s="1"/>
  <c r="E2340" i="7" s="1"/>
  <c r="F2340" i="7" s="1"/>
  <c r="P2788" i="7"/>
  <c r="R2788" i="7" s="1"/>
  <c r="E2788" i="7" s="1"/>
  <c r="F2788" i="7" s="1"/>
  <c r="P2791" i="7"/>
  <c r="R2791" i="7" s="1"/>
  <c r="E2791" i="7" s="1"/>
  <c r="F2791" i="7" s="1"/>
  <c r="P772" i="7"/>
  <c r="R772" i="7" s="1"/>
  <c r="E772" i="7" s="1"/>
  <c r="G772" i="7" s="1"/>
  <c r="P1414" i="7"/>
  <c r="R1414" i="7" s="1"/>
  <c r="E1414" i="7" s="1"/>
  <c r="F1414" i="7" s="1"/>
  <c r="T903" i="7"/>
  <c r="O771" i="7"/>
  <c r="P771" i="7" l="1"/>
  <c r="R771" i="7" s="1"/>
  <c r="E771" i="7" s="1"/>
  <c r="G771" i="7" s="1"/>
  <c r="O1383" i="7" l="1"/>
  <c r="T960" i="7"/>
  <c r="P1383" i="7" l="1"/>
  <c r="R1383" i="7" s="1"/>
  <c r="E1383" i="7" s="1"/>
  <c r="F1383" i="7" s="1"/>
  <c r="O960" i="7"/>
  <c r="P960" i="7" s="1"/>
  <c r="R960" i="7" s="1"/>
  <c r="O961" i="7"/>
  <c r="P961" i="7" s="1"/>
  <c r="R961" i="7" s="1"/>
  <c r="O945" i="7" l="1"/>
  <c r="P945" i="7" s="1"/>
  <c r="R945" i="7" s="1"/>
  <c r="T213" i="7"/>
  <c r="O26" i="7"/>
  <c r="T26" i="7"/>
  <c r="P26" i="7" l="1"/>
  <c r="R26" i="7" s="1"/>
  <c r="E26" i="7" s="1"/>
  <c r="E945" i="7"/>
  <c r="B945" i="7" s="1"/>
  <c r="T1504" i="7"/>
  <c r="O1035" i="7"/>
  <c r="T1503" i="7"/>
  <c r="O1034" i="7"/>
  <c r="F26" i="7" l="1"/>
  <c r="B26" i="7"/>
  <c r="F945" i="7"/>
  <c r="P1035" i="7"/>
  <c r="R1035" i="7" s="1"/>
  <c r="E1035" i="7" s="1"/>
  <c r="F1035" i="7" s="1"/>
  <c r="P1034" i="7"/>
  <c r="R1034" i="7" s="1"/>
  <c r="E1034" i="7" s="1"/>
  <c r="F1034" i="7" s="1"/>
  <c r="T209" i="7"/>
  <c r="O892" i="7"/>
  <c r="P892" i="7" s="1"/>
  <c r="R892" i="7" s="1"/>
  <c r="E892" i="7" l="1"/>
  <c r="B892" i="7" s="1"/>
  <c r="L324" i="7"/>
  <c r="G892" i="7" l="1"/>
  <c r="D40" i="3" l="1"/>
  <c r="T1629" i="7"/>
  <c r="T1628" i="7"/>
  <c r="O1375" i="7"/>
  <c r="P1375" i="7" s="1"/>
  <c r="R1375" i="7" s="1"/>
  <c r="O1374" i="7"/>
  <c r="P1374" i="7" s="1"/>
  <c r="R1374" i="7" s="1"/>
  <c r="K695" i="7"/>
  <c r="E1375" i="7" l="1"/>
  <c r="F1375" i="7" s="1"/>
  <c r="E1374" i="7"/>
  <c r="F1374" i="7" s="1"/>
  <c r="T1485" i="7"/>
  <c r="O1031" i="7"/>
  <c r="T29" i="7"/>
  <c r="O83" i="7"/>
  <c r="P1031" i="7" l="1"/>
  <c r="R1031" i="7" s="1"/>
  <c r="E1031" i="7" s="1"/>
  <c r="F1031" i="7" s="1"/>
  <c r="P83" i="7"/>
  <c r="R83" i="7" s="1"/>
  <c r="E83" i="7" s="1"/>
  <c r="B83" i="7" s="1"/>
  <c r="K2790" i="7"/>
  <c r="F83" i="7" l="1"/>
  <c r="O350" i="7"/>
  <c r="P350" i="7" l="1"/>
  <c r="R350" i="7" s="1"/>
  <c r="E350" i="7" s="1"/>
  <c r="F350" i="7" s="1"/>
  <c r="T1204" i="7"/>
  <c r="O321" i="7"/>
  <c r="T1242" i="7"/>
  <c r="O425" i="7"/>
  <c r="K2055" i="7"/>
  <c r="T1805" i="7"/>
  <c r="E2051" i="7"/>
  <c r="F2051" i="7" s="1"/>
  <c r="K2794" i="7"/>
  <c r="K2789" i="7"/>
  <c r="K2777" i="7"/>
  <c r="K2766" i="7"/>
  <c r="K2748" i="7"/>
  <c r="K2679" i="7"/>
  <c r="K2647" i="7"/>
  <c r="K2646" i="7"/>
  <c r="K2562" i="7"/>
  <c r="K2530" i="7"/>
  <c r="K2440" i="7"/>
  <c r="N2440" i="7" s="1"/>
  <c r="K2439" i="7"/>
  <c r="N2439" i="7" s="1"/>
  <c r="K2438" i="7"/>
  <c r="N2438" i="7" s="1"/>
  <c r="K2426" i="7"/>
  <c r="K2430" i="7"/>
  <c r="K2423" i="7"/>
  <c r="N2423" i="7" s="1"/>
  <c r="K2424" i="7"/>
  <c r="N2424" i="7" s="1"/>
  <c r="K2420" i="7"/>
  <c r="N2420" i="7" s="1"/>
  <c r="K2421" i="7"/>
  <c r="N2421" i="7" s="1"/>
  <c r="K2422" i="7"/>
  <c r="N2422" i="7" s="1"/>
  <c r="K2419" i="7"/>
  <c r="N2419" i="7" s="1"/>
  <c r="K2349" i="7"/>
  <c r="K2346" i="7"/>
  <c r="K2283" i="7"/>
  <c r="K2262" i="7"/>
  <c r="K2261" i="7"/>
  <c r="K2258" i="7"/>
  <c r="K2111" i="7"/>
  <c r="K2098" i="7"/>
  <c r="M2007" i="7"/>
  <c r="M2005" i="7"/>
  <c r="K1885" i="7"/>
  <c r="N1885" i="7" s="1"/>
  <c r="K1879" i="7"/>
  <c r="K1789" i="7"/>
  <c r="K1788" i="7"/>
  <c r="K1787" i="7"/>
  <c r="K1786" i="7"/>
  <c r="K1785" i="7"/>
  <c r="K1784" i="7"/>
  <c r="T1784" i="7" s="1"/>
  <c r="K1783" i="7"/>
  <c r="K1782" i="7"/>
  <c r="K1733" i="7"/>
  <c r="K1732" i="7"/>
  <c r="N1732" i="7" s="1"/>
  <c r="K1708" i="7"/>
  <c r="N1708" i="7" s="1"/>
  <c r="K1636" i="7"/>
  <c r="T1636" i="7" s="1"/>
  <c r="K1559" i="7"/>
  <c r="K1525" i="7"/>
  <c r="K1427" i="7"/>
  <c r="K1428" i="7"/>
  <c r="N2430" i="7" l="1"/>
  <c r="T2430" i="7" s="1"/>
  <c r="N2426" i="7"/>
  <c r="T2426" i="7" s="1"/>
  <c r="P2618" i="7"/>
  <c r="R2618" i="7" s="1"/>
  <c r="E2618" i="7" s="1"/>
  <c r="P425" i="7"/>
  <c r="R425" i="7" s="1"/>
  <c r="E425" i="7" s="1"/>
  <c r="F425" i="7" s="1"/>
  <c r="P321" i="7"/>
  <c r="R321" i="7" s="1"/>
  <c r="E321" i="7" s="1"/>
  <c r="F321" i="7" s="1"/>
  <c r="L1112" i="7"/>
  <c r="B2618" i="7" l="1"/>
  <c r="F2618" i="7"/>
  <c r="O2568" i="7"/>
  <c r="T1112" i="7"/>
  <c r="M2000" i="7"/>
  <c r="M2002" i="7"/>
  <c r="K584" i="7"/>
  <c r="K583" i="7"/>
  <c r="K557" i="7"/>
  <c r="K416" i="7"/>
  <c r="K158" i="7"/>
  <c r="K153" i="7"/>
  <c r="K343" i="7"/>
  <c r="O343" i="7" s="1"/>
  <c r="T2138" i="7"/>
  <c r="P343" i="7" l="1"/>
  <c r="R343" i="7" s="1"/>
  <c r="E343" i="7" s="1"/>
  <c r="F343" i="7" s="1"/>
  <c r="P2568" i="7"/>
  <c r="R2568" i="7" s="1"/>
  <c r="E2568" i="7" s="1"/>
  <c r="F2568" i="7" s="1"/>
  <c r="O954" i="7" l="1"/>
  <c r="T2742" i="7"/>
  <c r="O1201" i="7"/>
  <c r="P1201" i="7" l="1"/>
  <c r="R1201" i="7" s="1"/>
  <c r="E1201" i="7" s="1"/>
  <c r="F1201" i="7" s="1"/>
  <c r="P954" i="7"/>
  <c r="R954" i="7" s="1"/>
  <c r="E954" i="7" s="1"/>
  <c r="F954" i="7" s="1"/>
  <c r="T1467" i="7"/>
  <c r="T2383" i="7"/>
  <c r="T2435" i="7" l="1"/>
  <c r="O2090" i="7"/>
  <c r="P2090" i="7" l="1"/>
  <c r="R2090" i="7" s="1"/>
  <c r="E2090" i="7" s="1"/>
  <c r="F2090" i="7" s="1"/>
  <c r="O749" i="7"/>
  <c r="T177" i="7"/>
  <c r="P749" i="7" l="1"/>
  <c r="R749" i="7" s="1"/>
  <c r="E749" i="7" s="1"/>
  <c r="O1428" i="7"/>
  <c r="T971" i="7"/>
  <c r="B749" i="7" l="1"/>
  <c r="G749" i="7"/>
  <c r="P1428" i="7"/>
  <c r="R1428" i="7" s="1"/>
  <c r="E1428" i="7" s="1"/>
  <c r="F1428" i="7" s="1"/>
  <c r="K1262" i="7"/>
  <c r="O346" i="7" l="1"/>
  <c r="T1207" i="7"/>
  <c r="O2711" i="7"/>
  <c r="P2711" i="7" s="1"/>
  <c r="R2711" i="7" s="1"/>
  <c r="T2711" i="7"/>
  <c r="E2711" i="7" l="1"/>
  <c r="F2711" i="7" s="1"/>
  <c r="P346" i="7"/>
  <c r="R346" i="7" s="1"/>
  <c r="E346" i="7" s="1"/>
  <c r="F346" i="7" s="1"/>
  <c r="T2324" i="7"/>
  <c r="T2298" i="7"/>
  <c r="T2466" i="7"/>
  <c r="B2711" i="7" l="1"/>
  <c r="P951" i="7"/>
  <c r="R951" i="7" s="1"/>
  <c r="E951" i="7" s="1"/>
  <c r="F951" i="7" s="1"/>
  <c r="P2222" i="7"/>
  <c r="R2222" i="7" s="1"/>
  <c r="E2222" i="7" s="1"/>
  <c r="F2222" i="7" s="1"/>
  <c r="P973" i="7"/>
  <c r="R973" i="7" s="1"/>
  <c r="E973" i="7" s="1"/>
  <c r="F973" i="7" s="1"/>
  <c r="O1405" i="7"/>
  <c r="K2358" i="7"/>
  <c r="K2359" i="7"/>
  <c r="T2208" i="7"/>
  <c r="O557" i="7"/>
  <c r="P557" i="7" l="1"/>
  <c r="R557" i="7" s="1"/>
  <c r="E557" i="7" s="1"/>
  <c r="F557" i="7" s="1"/>
  <c r="P1405" i="7"/>
  <c r="R1405" i="7" s="1"/>
  <c r="E1405" i="7" s="1"/>
  <c r="F1405" i="7" s="1"/>
  <c r="T739" i="7"/>
  <c r="K2718" i="7" l="1"/>
  <c r="O620" i="7"/>
  <c r="T1308" i="7"/>
  <c r="T1305" i="7"/>
  <c r="O619" i="7"/>
  <c r="O2034" i="7"/>
  <c r="T744" i="7"/>
  <c r="P2034" i="7" l="1"/>
  <c r="R2034" i="7" s="1"/>
  <c r="E2034" i="7" s="1"/>
  <c r="F2034" i="7" s="1"/>
  <c r="P620" i="7"/>
  <c r="R620" i="7" s="1"/>
  <c r="E620" i="7" s="1"/>
  <c r="P619" i="7"/>
  <c r="R619" i="7" s="1"/>
  <c r="E619" i="7" s="1"/>
  <c r="F619" i="7" s="1"/>
  <c r="T208" i="7"/>
  <c r="O859" i="7"/>
  <c r="F620" i="7" l="1"/>
  <c r="P859" i="7"/>
  <c r="R859" i="7" s="1"/>
  <c r="E859" i="7" s="1"/>
  <c r="T261" i="7"/>
  <c r="O1358" i="7"/>
  <c r="G859" i="7" l="1"/>
  <c r="B859" i="7"/>
  <c r="P1358" i="7"/>
  <c r="R1358" i="7" s="1"/>
  <c r="E1358" i="7" s="1"/>
  <c r="T1459" i="7"/>
  <c r="O901" i="7"/>
  <c r="P901" i="7" s="1"/>
  <c r="R901" i="7" s="1"/>
  <c r="B1358" i="7" l="1"/>
  <c r="G1358" i="7"/>
  <c r="E901" i="7"/>
  <c r="F901" i="7" s="1"/>
  <c r="T2040" i="7"/>
  <c r="T2038" i="7"/>
  <c r="O2748" i="7"/>
  <c r="O2749" i="7"/>
  <c r="P2749" i="7" s="1"/>
  <c r="R2749" i="7" s="1"/>
  <c r="K2057" i="7"/>
  <c r="T337" i="7"/>
  <c r="P1688" i="7" l="1"/>
  <c r="R1688" i="7" s="1"/>
  <c r="E1688" i="7" s="1"/>
  <c r="P2748" i="7"/>
  <c r="R2748" i="7" s="1"/>
  <c r="E2748" i="7" s="1"/>
  <c r="F2748" i="7" s="1"/>
  <c r="K75" i="7"/>
  <c r="F75" i="7"/>
  <c r="B1688" i="7" l="1"/>
  <c r="G1688" i="7"/>
  <c r="T1137" i="7"/>
  <c r="O2866" i="7"/>
  <c r="T1170" i="7"/>
  <c r="O44" i="7"/>
  <c r="T1682" i="7"/>
  <c r="O1510" i="7"/>
  <c r="P1510" i="7" l="1"/>
  <c r="R1510" i="7" s="1"/>
  <c r="E1510" i="7" s="1"/>
  <c r="F1510" i="7" s="1"/>
  <c r="P44" i="7"/>
  <c r="R44" i="7" s="1"/>
  <c r="E44" i="7" s="1"/>
  <c r="F44" i="7" s="1"/>
  <c r="P2866" i="7"/>
  <c r="R2866" i="7" s="1"/>
  <c r="E2866" i="7" s="1"/>
  <c r="F2866" i="7" s="1"/>
  <c r="O1388" i="7"/>
  <c r="T964" i="7"/>
  <c r="P1388" i="7" l="1"/>
  <c r="R1388" i="7" s="1"/>
  <c r="E1388" i="7" s="1"/>
  <c r="F1388" i="7" s="1"/>
  <c r="T269" i="7"/>
  <c r="O1430" i="7"/>
  <c r="P1430" i="7" s="1"/>
  <c r="R1430" i="7" s="1"/>
  <c r="T526" i="7"/>
  <c r="O2603" i="7"/>
  <c r="P2603" i="7" s="1"/>
  <c r="R2603" i="7" s="1"/>
  <c r="O190" i="7"/>
  <c r="P190" i="7" s="1"/>
  <c r="R190" i="7" s="1"/>
  <c r="T1362" i="7"/>
  <c r="O783" i="7"/>
  <c r="P783" i="7" s="1"/>
  <c r="R783" i="7" s="1"/>
  <c r="T1432" i="7"/>
  <c r="O869" i="7"/>
  <c r="T732" i="7"/>
  <c r="O1634" i="7"/>
  <c r="T1703" i="7"/>
  <c r="O1557" i="7"/>
  <c r="O441" i="7"/>
  <c r="O439" i="7"/>
  <c r="T1250" i="7"/>
  <c r="P869" i="7" l="1"/>
  <c r="R869" i="7" s="1"/>
  <c r="E869" i="7" s="1"/>
  <c r="F869" i="7" s="1"/>
  <c r="E190" i="7"/>
  <c r="B190" i="7" s="1"/>
  <c r="E1430" i="7"/>
  <c r="B1430" i="7" s="1"/>
  <c r="E783" i="7"/>
  <c r="F783" i="7" s="1"/>
  <c r="P439" i="7"/>
  <c r="R439" i="7" s="1"/>
  <c r="E439" i="7" s="1"/>
  <c r="F439" i="7" s="1"/>
  <c r="P1557" i="7"/>
  <c r="R1557" i="7" s="1"/>
  <c r="E1557" i="7" s="1"/>
  <c r="F1557" i="7" s="1"/>
  <c r="E2603" i="7"/>
  <c r="B2603" i="7" s="1"/>
  <c r="P441" i="7"/>
  <c r="R441" i="7" s="1"/>
  <c r="E441" i="7" s="1"/>
  <c r="F441" i="7" s="1"/>
  <c r="P1634" i="7"/>
  <c r="R1634" i="7" s="1"/>
  <c r="E1634" i="7" s="1"/>
  <c r="G1634" i="7" s="1"/>
  <c r="T93" i="7"/>
  <c r="F2603" i="7" l="1"/>
  <c r="F1430" i="7"/>
  <c r="F190" i="7"/>
  <c r="O2318" i="7"/>
  <c r="T1941" i="7"/>
  <c r="K1625" i="7"/>
  <c r="P2318" i="7" l="1"/>
  <c r="R2318" i="7" s="1"/>
  <c r="E2318" i="7" s="1"/>
  <c r="F2318" i="7" s="1"/>
  <c r="K1183" i="7"/>
  <c r="O747" i="7"/>
  <c r="T173" i="7"/>
  <c r="K2320" i="7"/>
  <c r="P747" i="7" l="1"/>
  <c r="R747" i="7" s="1"/>
  <c r="E747" i="7" s="1"/>
  <c r="O1620" i="7"/>
  <c r="P1620" i="7" s="1"/>
  <c r="R1620" i="7" s="1"/>
  <c r="B747" i="7" l="1"/>
  <c r="G747" i="7"/>
  <c r="E1620" i="7"/>
  <c r="B1620" i="7" s="1"/>
  <c r="T24" i="7"/>
  <c r="O81" i="7"/>
  <c r="G1620" i="7" l="1"/>
  <c r="P81" i="7"/>
  <c r="R81" i="7" s="1"/>
  <c r="E81" i="7" s="1"/>
  <c r="O2128" i="7"/>
  <c r="K2122" i="7"/>
  <c r="K2103" i="7"/>
  <c r="T1144" i="7"/>
  <c r="O14" i="7"/>
  <c r="T1702" i="7"/>
  <c r="O1558" i="7"/>
  <c r="O1696" i="7"/>
  <c r="T979" i="7"/>
  <c r="T986" i="7"/>
  <c r="T987" i="7"/>
  <c r="O1507" i="7"/>
  <c r="T1286" i="7"/>
  <c r="O599" i="7"/>
  <c r="T1083" i="7"/>
  <c r="B81" i="7" l="1"/>
  <c r="F81" i="7"/>
  <c r="P1696" i="7"/>
  <c r="R1696" i="7" s="1"/>
  <c r="E1696" i="7" s="1"/>
  <c r="P14" i="7"/>
  <c r="R14" i="7" s="1"/>
  <c r="E14" i="7" s="1"/>
  <c r="F14" i="7" s="1"/>
  <c r="P2128" i="7"/>
  <c r="R2128" i="7" s="1"/>
  <c r="E2128" i="7" s="1"/>
  <c r="F2128" i="7" s="1"/>
  <c r="P1558" i="7"/>
  <c r="R1558" i="7" s="1"/>
  <c r="E1558" i="7" s="1"/>
  <c r="F1558" i="7" s="1"/>
  <c r="P1507" i="7"/>
  <c r="R1507" i="7" s="1"/>
  <c r="E1507" i="7" s="1"/>
  <c r="F1507" i="7" s="1"/>
  <c r="P599" i="7"/>
  <c r="R599" i="7" s="1"/>
  <c r="E599" i="7" s="1"/>
  <c r="F599" i="7" s="1"/>
  <c r="O1984" i="7"/>
  <c r="O1983" i="7"/>
  <c r="T2061" i="7"/>
  <c r="T1848" i="7"/>
  <c r="O2123" i="7"/>
  <c r="O1704" i="7"/>
  <c r="T292" i="7"/>
  <c r="O1627" i="7"/>
  <c r="T2486" i="7"/>
  <c r="O2349" i="7"/>
  <c r="T1857" i="7"/>
  <c r="O2132" i="7"/>
  <c r="B1696" i="7" l="1"/>
  <c r="G1696" i="7"/>
  <c r="P2349" i="7"/>
  <c r="R2349" i="7" s="1"/>
  <c r="E2349" i="7" s="1"/>
  <c r="F2349" i="7" s="1"/>
  <c r="P2123" i="7"/>
  <c r="R2123" i="7" s="1"/>
  <c r="E2123" i="7" s="1"/>
  <c r="F2123" i="7" s="1"/>
  <c r="P1983" i="7"/>
  <c r="R1983" i="7" s="1"/>
  <c r="E1983" i="7" s="1"/>
  <c r="B1983" i="7" s="1"/>
  <c r="P1627" i="7"/>
  <c r="R1627" i="7" s="1"/>
  <c r="E1627" i="7" s="1"/>
  <c r="B1627" i="7" s="1"/>
  <c r="P1704" i="7"/>
  <c r="R1704" i="7" s="1"/>
  <c r="E1704" i="7" s="1"/>
  <c r="B1704" i="7" s="1"/>
  <c r="P2132" i="7"/>
  <c r="R2132" i="7" s="1"/>
  <c r="E2132" i="7" s="1"/>
  <c r="F2132" i="7" s="1"/>
  <c r="P1984" i="7"/>
  <c r="R1984" i="7" s="1"/>
  <c r="E1984" i="7" s="1"/>
  <c r="B1984" i="7" l="1"/>
  <c r="G1984" i="7"/>
  <c r="G1627" i="7"/>
  <c r="G1704" i="7"/>
  <c r="G1983" i="7"/>
  <c r="K2460" i="7"/>
  <c r="O1432" i="7"/>
  <c r="T2365" i="7"/>
  <c r="P1432" i="7" l="1"/>
  <c r="R1432" i="7" s="1"/>
  <c r="E1432" i="7" s="1"/>
  <c r="F1432" i="7" s="1"/>
  <c r="T1220" i="7"/>
  <c r="T1223" i="7"/>
  <c r="O379" i="7"/>
  <c r="P379" i="7" l="1"/>
  <c r="R379" i="7" s="1"/>
  <c r="E379" i="7" s="1"/>
  <c r="F379" i="7" s="1"/>
  <c r="O372" i="7"/>
  <c r="K998" i="7"/>
  <c r="P372" i="7" l="1"/>
  <c r="R372" i="7" s="1"/>
  <c r="E372" i="7" s="1"/>
  <c r="F372" i="7" s="1"/>
  <c r="T386" i="7"/>
  <c r="O1970" i="7" l="1"/>
  <c r="P1970" i="7" s="1"/>
  <c r="R1970" i="7" s="1"/>
  <c r="E1970" i="7" l="1"/>
  <c r="B1970" i="7" s="1"/>
  <c r="K769" i="7"/>
  <c r="G1970" i="7" l="1"/>
  <c r="T1035" i="7"/>
  <c r="O1927" i="7"/>
  <c r="P1927" i="7" s="1"/>
  <c r="R1927" i="7" s="1"/>
  <c r="T1826" i="7"/>
  <c r="O2073" i="7"/>
  <c r="T1276" i="7"/>
  <c r="O564" i="7"/>
  <c r="O40" i="7"/>
  <c r="O1406" i="7"/>
  <c r="P40" i="7" l="1"/>
  <c r="R40" i="7" s="1"/>
  <c r="E40" i="7" s="1"/>
  <c r="F40" i="7" s="1"/>
  <c r="E1927" i="7"/>
  <c r="G1927" i="7" s="1"/>
  <c r="P1406" i="7"/>
  <c r="R1406" i="7" s="1"/>
  <c r="E1406" i="7" s="1"/>
  <c r="F1406" i="7" s="1"/>
  <c r="P564" i="7"/>
  <c r="R564" i="7" s="1"/>
  <c r="E564" i="7" s="1"/>
  <c r="F564" i="7" s="1"/>
  <c r="P2073" i="7"/>
  <c r="R2073" i="7" s="1"/>
  <c r="E2073" i="7" s="1"/>
  <c r="F2073" i="7" s="1"/>
  <c r="T31" i="7"/>
  <c r="O84" i="7"/>
  <c r="P84" i="7" l="1"/>
  <c r="R84" i="7" s="1"/>
  <c r="E84" i="7" s="1"/>
  <c r="B84" i="7" l="1"/>
  <c r="F84" i="7"/>
  <c r="M1992" i="7"/>
  <c r="D51" i="3" l="1"/>
  <c r="T2279" i="7" l="1"/>
  <c r="O898" i="7"/>
  <c r="P898" i="7" s="1"/>
  <c r="R898" i="7" s="1"/>
  <c r="E898" i="7" l="1"/>
  <c r="F898" i="7" s="1"/>
  <c r="T392" i="7"/>
  <c r="O1973" i="7"/>
  <c r="P1973" i="7" s="1"/>
  <c r="R1973" i="7" s="1"/>
  <c r="O1271" i="7"/>
  <c r="O1937" i="7"/>
  <c r="O1938" i="7"/>
  <c r="T1040" i="7"/>
  <c r="T380" i="7"/>
  <c r="E1973" i="7" l="1"/>
  <c r="B1973" i="7" s="1"/>
  <c r="P1938" i="7"/>
  <c r="R1938" i="7" s="1"/>
  <c r="E1938" i="7" s="1"/>
  <c r="G1938" i="7" s="1"/>
  <c r="P1271" i="7"/>
  <c r="R1271" i="7" s="1"/>
  <c r="E1271" i="7" s="1"/>
  <c r="B1271" i="7" s="1"/>
  <c r="P1937" i="7"/>
  <c r="R1937" i="7" s="1"/>
  <c r="E1937" i="7" s="1"/>
  <c r="B1937" i="7" s="1"/>
  <c r="O2152" i="7"/>
  <c r="T443" i="7"/>
  <c r="G1973" i="7" l="1"/>
  <c r="G1271" i="7"/>
  <c r="G1937" i="7"/>
  <c r="P2152" i="7"/>
  <c r="R2152" i="7" s="1"/>
  <c r="E2152" i="7" s="1"/>
  <c r="B2152" i="7" s="1"/>
  <c r="T2330" i="7"/>
  <c r="O1144" i="7"/>
  <c r="T528" i="7"/>
  <c r="O582" i="7"/>
  <c r="P582" i="7" s="1"/>
  <c r="R582" i="7" s="1"/>
  <c r="T1297" i="7"/>
  <c r="G2152" i="7" l="1"/>
  <c r="P2615" i="7"/>
  <c r="R2615" i="7" s="1"/>
  <c r="E2615" i="7" s="1"/>
  <c r="P1144" i="7"/>
  <c r="R1144" i="7" s="1"/>
  <c r="E1144" i="7" s="1"/>
  <c r="F1144" i="7" s="1"/>
  <c r="E582" i="7"/>
  <c r="F582" i="7" s="1"/>
  <c r="B2615" i="7" l="1"/>
  <c r="F2615" i="7"/>
  <c r="O359" i="7"/>
  <c r="T2596" i="7"/>
  <c r="T2425" i="7"/>
  <c r="O1946" i="7"/>
  <c r="L1273" i="7"/>
  <c r="P1946" i="7" l="1"/>
  <c r="R1946" i="7" s="1"/>
  <c r="E1946" i="7" s="1"/>
  <c r="G1946" i="7" s="1"/>
  <c r="P359" i="7"/>
  <c r="R359" i="7" s="1"/>
  <c r="E359" i="7" s="1"/>
  <c r="F359" i="7" s="1"/>
  <c r="K2350" i="7" l="1"/>
  <c r="T2852" i="7" l="1"/>
  <c r="H2852" i="7" s="1"/>
  <c r="O2409" i="7"/>
  <c r="D30" i="3"/>
  <c r="P2409" i="7" l="1"/>
  <c r="R2409" i="7" s="1"/>
  <c r="E2409" i="7" s="1"/>
  <c r="F2409" i="7" s="1"/>
  <c r="T2417" i="7"/>
  <c r="T2563" i="7"/>
  <c r="O416" i="7" l="1"/>
  <c r="T274" i="7"/>
  <c r="O1391" i="7"/>
  <c r="P1391" i="7" l="1"/>
  <c r="R1391" i="7" s="1"/>
  <c r="E1391" i="7" s="1"/>
  <c r="F1391" i="7" s="1"/>
  <c r="P416" i="7"/>
  <c r="R416" i="7" s="1"/>
  <c r="E416" i="7" s="1"/>
  <c r="F416" i="7" s="1"/>
  <c r="K1921" i="7"/>
  <c r="T741" i="7" l="1"/>
  <c r="O2027" i="7"/>
  <c r="P2027" i="7" l="1"/>
  <c r="R2027" i="7" s="1"/>
  <c r="E2027" i="7" s="1"/>
  <c r="F2027" i="7" s="1"/>
  <c r="T2789" i="7"/>
  <c r="O8" i="7"/>
  <c r="O2156" i="7"/>
  <c r="T457" i="7"/>
  <c r="P2156" i="7" l="1"/>
  <c r="R2156" i="7" s="1"/>
  <c r="E2156" i="7" s="1"/>
  <c r="B2156" i="7" s="1"/>
  <c r="P8" i="7"/>
  <c r="R8" i="7" s="1"/>
  <c r="E8" i="7" s="1"/>
  <c r="F8" i="7" s="1"/>
  <c r="K1888" i="7"/>
  <c r="G2156" i="7" l="1"/>
  <c r="K2829" i="7"/>
  <c r="K866" i="7" l="1"/>
  <c r="O1131" i="7" l="1"/>
  <c r="P1131" i="7" l="1"/>
  <c r="R1131" i="7" s="1"/>
  <c r="E1131" i="7" s="1"/>
  <c r="F1131" i="7" s="1"/>
  <c r="K2250" i="7" l="1"/>
  <c r="N2769" i="7"/>
  <c r="T2370" i="7"/>
  <c r="O1439" i="7"/>
  <c r="T2366" i="7"/>
  <c r="P1439" i="7" l="1"/>
  <c r="R1439" i="7" s="1"/>
  <c r="E1439" i="7" s="1"/>
  <c r="F1439" i="7" s="1"/>
  <c r="O785" i="7"/>
  <c r="P785" i="7" s="1"/>
  <c r="R785" i="7" s="1"/>
  <c r="T1929" i="7"/>
  <c r="O2269" i="7"/>
  <c r="P2269" i="7" s="1"/>
  <c r="R2269" i="7" s="1"/>
  <c r="T2296" i="7"/>
  <c r="T2280" i="7"/>
  <c r="O894" i="7"/>
  <c r="P894" i="7" s="1"/>
  <c r="R894" i="7" s="1"/>
  <c r="T896" i="7"/>
  <c r="O896" i="7"/>
  <c r="P896" i="7" s="1"/>
  <c r="R896" i="7" s="1"/>
  <c r="E896" i="7" l="1"/>
  <c r="F896" i="7" s="1"/>
  <c r="E2269" i="7"/>
  <c r="F2269" i="7" s="1"/>
  <c r="E894" i="7"/>
  <c r="F894" i="7" s="1"/>
  <c r="E785" i="7"/>
  <c r="F785" i="7" s="1"/>
  <c r="T154" i="7"/>
  <c r="O525" i="7"/>
  <c r="P525" i="7" l="1"/>
  <c r="R525" i="7" s="1"/>
  <c r="E525" i="7" s="1"/>
  <c r="K243" i="5"/>
  <c r="J243" i="5"/>
  <c r="G14" i="4"/>
  <c r="G13" i="4"/>
  <c r="G12" i="4"/>
  <c r="G11" i="4"/>
  <c r="G10" i="4"/>
  <c r="G9" i="4"/>
  <c r="G8" i="4"/>
  <c r="G7" i="4"/>
  <c r="G6" i="4"/>
  <c r="E56" i="3"/>
  <c r="D52" i="3"/>
  <c r="D50" i="3"/>
  <c r="D49" i="3"/>
  <c r="D48" i="3"/>
  <c r="D47" i="3"/>
  <c r="D46" i="3"/>
  <c r="D45" i="3"/>
  <c r="D44" i="3"/>
  <c r="D43" i="3"/>
  <c r="D42" i="3"/>
  <c r="D41" i="3"/>
  <c r="D36" i="3"/>
  <c r="D35" i="3"/>
  <c r="D34" i="3"/>
  <c r="D31" i="3"/>
  <c r="E28" i="3"/>
  <c r="E27" i="3"/>
  <c r="E26" i="3"/>
  <c r="E25" i="3"/>
  <c r="E24" i="3"/>
  <c r="D22" i="3"/>
  <c r="E20" i="3"/>
  <c r="E19" i="3"/>
  <c r="D17" i="3"/>
  <c r="D16" i="3"/>
  <c r="D15" i="3"/>
  <c r="D13" i="3"/>
  <c r="D12" i="3"/>
  <c r="D11" i="3"/>
  <c r="D10" i="3"/>
  <c r="D9" i="3"/>
  <c r="D8" i="3"/>
  <c r="D6" i="3"/>
  <c r="T620" i="7"/>
  <c r="O2885" i="7"/>
  <c r="T619" i="7"/>
  <c r="O2884" i="7"/>
  <c r="T812" i="7"/>
  <c r="O2879" i="7"/>
  <c r="T811" i="7"/>
  <c r="O2878" i="7"/>
  <c r="T809" i="7"/>
  <c r="O2880" i="7"/>
  <c r="T615" i="7"/>
  <c r="O2876" i="7"/>
  <c r="T2064" i="7"/>
  <c r="O2875" i="7"/>
  <c r="T2874" i="7"/>
  <c r="K2874" i="7"/>
  <c r="O2874" i="7" s="1"/>
  <c r="T1139" i="7"/>
  <c r="O2873" i="7"/>
  <c r="T2871" i="7"/>
  <c r="K2871" i="7"/>
  <c r="O2871" i="7" s="1"/>
  <c r="T2869" i="7"/>
  <c r="O2869" i="7"/>
  <c r="T2868" i="7"/>
  <c r="K2868" i="7"/>
  <c r="O2868" i="7" s="1"/>
  <c r="T1138" i="7"/>
  <c r="O2870" i="7"/>
  <c r="T613" i="7"/>
  <c r="K2867" i="7"/>
  <c r="O2867" i="7" s="1"/>
  <c r="T2865" i="7"/>
  <c r="O2865" i="7"/>
  <c r="T2864" i="7"/>
  <c r="O2864" i="7"/>
  <c r="T2063" i="7"/>
  <c r="O2863" i="7"/>
  <c r="T2862" i="7"/>
  <c r="K2862" i="7"/>
  <c r="O2862" i="7" s="1"/>
  <c r="T2861" i="7"/>
  <c r="L2861" i="7"/>
  <c r="K2861" i="7"/>
  <c r="T2860" i="7"/>
  <c r="K2860" i="7"/>
  <c r="O2860" i="7" s="1"/>
  <c r="T2709" i="7"/>
  <c r="O2858" i="7"/>
  <c r="T2708" i="7"/>
  <c r="O2859" i="7"/>
  <c r="T2574" i="7"/>
  <c r="T2856" i="7"/>
  <c r="H2856" i="7" s="1"/>
  <c r="K2856" i="7"/>
  <c r="O2856" i="7" s="1"/>
  <c r="T612" i="7"/>
  <c r="K2855" i="7"/>
  <c r="O2855" i="7" s="1"/>
  <c r="T2854" i="7"/>
  <c r="H2854" i="7" s="1"/>
  <c r="K2854" i="7"/>
  <c r="T2853" i="7"/>
  <c r="H2853" i="7" s="1"/>
  <c r="M2853" i="7"/>
  <c r="M2854" i="7" s="1"/>
  <c r="L2853" i="7"/>
  <c r="K2853" i="7"/>
  <c r="T1136" i="7"/>
  <c r="O2852" i="7"/>
  <c r="T2851" i="7"/>
  <c r="H2851" i="7" s="1"/>
  <c r="L2851" i="7"/>
  <c r="K2851" i="7"/>
  <c r="T611" i="7"/>
  <c r="L2848" i="7"/>
  <c r="K2848" i="7"/>
  <c r="T2850" i="7"/>
  <c r="H2850" i="7" s="1"/>
  <c r="L2850" i="7"/>
  <c r="K2850" i="7"/>
  <c r="L2849" i="7"/>
  <c r="K2849" i="7"/>
  <c r="T2847" i="7"/>
  <c r="H2847" i="7" s="1"/>
  <c r="L2847" i="7"/>
  <c r="K2847" i="7"/>
  <c r="L2846" i="7"/>
  <c r="K2846" i="7"/>
  <c r="T2845" i="7"/>
  <c r="H2845" i="7" s="1"/>
  <c r="L2845" i="7"/>
  <c r="O2845" i="7" s="1"/>
  <c r="T2844" i="7"/>
  <c r="H2844" i="7" s="1"/>
  <c r="K2844" i="7"/>
  <c r="O2844" i="7" s="1"/>
  <c r="T808" i="7"/>
  <c r="O2843" i="7"/>
  <c r="T1135" i="7"/>
  <c r="O2841" i="7"/>
  <c r="T807" i="7"/>
  <c r="O2839" i="7"/>
  <c r="T806" i="7"/>
  <c r="O2840" i="7"/>
  <c r="T805" i="7"/>
  <c r="O2837" i="7"/>
  <c r="T804" i="7"/>
  <c r="O2838" i="7"/>
  <c r="T803" i="7"/>
  <c r="O2836" i="7"/>
  <c r="T802" i="7"/>
  <c r="O2835" i="7"/>
  <c r="T1134" i="7"/>
  <c r="O2834" i="7"/>
  <c r="T1133" i="7"/>
  <c r="O2833" i="7"/>
  <c r="T610" i="7"/>
  <c r="O2832" i="7"/>
  <c r="T614" i="7"/>
  <c r="O2831" i="7"/>
  <c r="P2831" i="7" s="1"/>
  <c r="R2831" i="7" s="1"/>
  <c r="T2569" i="7"/>
  <c r="T2568" i="7"/>
  <c r="T801" i="7"/>
  <c r="O2829" i="7"/>
  <c r="T2828" i="7"/>
  <c r="K2828" i="7"/>
  <c r="O2828" i="7" s="1"/>
  <c r="T2827" i="7"/>
  <c r="K2827" i="7"/>
  <c r="O2827" i="7" s="1"/>
  <c r="T2876" i="7"/>
  <c r="O2825" i="7"/>
  <c r="T2567" i="7"/>
  <c r="T2566" i="7"/>
  <c r="O2823" i="7"/>
  <c r="T2565" i="7"/>
  <c r="O2822" i="7"/>
  <c r="T2824" i="7"/>
  <c r="O2824" i="7"/>
  <c r="T799" i="7"/>
  <c r="O2821" i="7"/>
  <c r="O2820" i="7"/>
  <c r="T2562" i="7"/>
  <c r="T602" i="7"/>
  <c r="O2819" i="7"/>
  <c r="T2817" i="7"/>
  <c r="O2817" i="7"/>
  <c r="T599" i="7"/>
  <c r="O2818" i="7"/>
  <c r="O2816" i="7"/>
  <c r="T607" i="7"/>
  <c r="H607" i="7" s="1"/>
  <c r="T604" i="7"/>
  <c r="O2815" i="7"/>
  <c r="P2815" i="7" s="1"/>
  <c r="R2815" i="7" s="1"/>
  <c r="T598" i="7"/>
  <c r="O2814" i="7"/>
  <c r="P2814" i="7" s="1"/>
  <c r="R2814" i="7" s="1"/>
  <c r="O2813" i="7"/>
  <c r="T597" i="7"/>
  <c r="O2812" i="7"/>
  <c r="T2811" i="7"/>
  <c r="O2811" i="7"/>
  <c r="T596" i="7"/>
  <c r="O2810" i="7"/>
  <c r="O2809" i="7"/>
  <c r="T595" i="7"/>
  <c r="T2561" i="7"/>
  <c r="T2807" i="7"/>
  <c r="K2807" i="7"/>
  <c r="O2807" i="7" s="1"/>
  <c r="P2807" i="7" s="1"/>
  <c r="R2807" i="7" s="1"/>
  <c r="T2062" i="7"/>
  <c r="T593" i="7"/>
  <c r="O2806" i="7"/>
  <c r="T592" i="7"/>
  <c r="O2805" i="7"/>
  <c r="O2826" i="7"/>
  <c r="T2560" i="7"/>
  <c r="O2802" i="7"/>
  <c r="T2559" i="7"/>
  <c r="T2801" i="7"/>
  <c r="K2801" i="7"/>
  <c r="O2801" i="7" s="1"/>
  <c r="T2780" i="7"/>
  <c r="K2798" i="7"/>
  <c r="O2798" i="7" s="1"/>
  <c r="T2797" i="7"/>
  <c r="L2797" i="7"/>
  <c r="K2797" i="7"/>
  <c r="T797" i="7"/>
  <c r="O2796" i="7"/>
  <c r="O2790" i="7"/>
  <c r="T2059" i="7"/>
  <c r="O2794" i="7"/>
  <c r="T795" i="7"/>
  <c r="O2793" i="7"/>
  <c r="T2053" i="7"/>
  <c r="O2787" i="7"/>
  <c r="T2052" i="7"/>
  <c r="O2789" i="7"/>
  <c r="T794" i="7"/>
  <c r="O2786" i="7"/>
  <c r="K2785" i="7"/>
  <c r="O2785" i="7" s="1"/>
  <c r="T2049" i="7"/>
  <c r="O2784" i="7"/>
  <c r="T2050" i="7"/>
  <c r="K2781" i="7"/>
  <c r="O2781" i="7" s="1"/>
  <c r="T2782" i="7"/>
  <c r="O2782" i="7"/>
  <c r="T792" i="7"/>
  <c r="O2780" i="7"/>
  <c r="T791" i="7"/>
  <c r="O2779" i="7"/>
  <c r="T2046" i="7"/>
  <c r="O2777" i="7"/>
  <c r="T2045" i="7"/>
  <c r="O2778" i="7"/>
  <c r="T2044" i="7"/>
  <c r="O2776" i="7"/>
  <c r="T2043" i="7"/>
  <c r="O2774" i="7"/>
  <c r="T1132" i="7"/>
  <c r="O2773" i="7"/>
  <c r="T2772" i="7"/>
  <c r="K2772" i="7"/>
  <c r="O2772" i="7" s="1"/>
  <c r="T2771" i="7"/>
  <c r="K2771" i="7"/>
  <c r="O2771" i="7" s="1"/>
  <c r="T2770" i="7"/>
  <c r="K2770" i="7"/>
  <c r="O2770" i="7" s="1"/>
  <c r="T591" i="7"/>
  <c r="O2768" i="7"/>
  <c r="P2768" i="7" s="1"/>
  <c r="R2768" i="7" s="1"/>
  <c r="T590" i="7"/>
  <c r="O2766" i="7"/>
  <c r="T2552" i="7"/>
  <c r="O2765" i="7"/>
  <c r="T2555" i="7"/>
  <c r="O2764" i="7"/>
  <c r="T2042" i="7"/>
  <c r="O2761" i="7"/>
  <c r="T2758" i="7"/>
  <c r="K2758" i="7"/>
  <c r="O2758" i="7" s="1"/>
  <c r="T2760" i="7"/>
  <c r="K2760" i="7"/>
  <c r="O2760" i="7" s="1"/>
  <c r="T2759" i="7"/>
  <c r="K2759" i="7"/>
  <c r="O2759" i="7" s="1"/>
  <c r="O2757" i="7"/>
  <c r="T2041" i="7"/>
  <c r="T2756" i="7"/>
  <c r="K2756" i="7"/>
  <c r="O2756" i="7" s="1"/>
  <c r="T2707" i="7"/>
  <c r="O2755" i="7"/>
  <c r="T789" i="7"/>
  <c r="K2754" i="7"/>
  <c r="O2754" i="7" s="1"/>
  <c r="T788" i="7"/>
  <c r="K2753" i="7"/>
  <c r="O2753" i="7" s="1"/>
  <c r="T2779" i="7"/>
  <c r="K2752" i="7"/>
  <c r="O2752" i="7" s="1"/>
  <c r="T2778" i="7"/>
  <c r="K2751" i="7"/>
  <c r="O2751" i="7" s="1"/>
  <c r="T2750" i="7"/>
  <c r="K2750" i="7"/>
  <c r="O2750" i="7" s="1"/>
  <c r="O2744" i="7"/>
  <c r="T2039" i="7"/>
  <c r="E2749" i="7"/>
  <c r="F2749" i="7" s="1"/>
  <c r="T2747" i="7"/>
  <c r="K2747" i="7"/>
  <c r="O2747" i="7" s="1"/>
  <c r="T787" i="7"/>
  <c r="O2746" i="7"/>
  <c r="T2745" i="7"/>
  <c r="O2745" i="7"/>
  <c r="T2036" i="7"/>
  <c r="O2742" i="7"/>
  <c r="T2034" i="7"/>
  <c r="O2741" i="7"/>
  <c r="T2032" i="7"/>
  <c r="O2740" i="7"/>
  <c r="T2581" i="7"/>
  <c r="O2739" i="7"/>
  <c r="T2580" i="7"/>
  <c r="O2738" i="7"/>
  <c r="T2579" i="7"/>
  <c r="O2737" i="7"/>
  <c r="T2578" i="7"/>
  <c r="O2736" i="7"/>
  <c r="T1131" i="7"/>
  <c r="T1130" i="7"/>
  <c r="T1128" i="7"/>
  <c r="T1127" i="7"/>
  <c r="T1126" i="7"/>
  <c r="T2730" i="7"/>
  <c r="K2730" i="7"/>
  <c r="O2730" i="7" s="1"/>
  <c r="T2705" i="7"/>
  <c r="O2728" i="7"/>
  <c r="T2031" i="7"/>
  <c r="T2554" i="7"/>
  <c r="O2727" i="7"/>
  <c r="T2553" i="7"/>
  <c r="T785" i="7"/>
  <c r="O2726" i="7"/>
  <c r="T2551" i="7"/>
  <c r="O2725" i="7"/>
  <c r="T2548" i="7"/>
  <c r="T2030" i="7"/>
  <c r="K2723" i="7"/>
  <c r="O2723" i="7" s="1"/>
  <c r="T2721" i="7"/>
  <c r="K2721" i="7"/>
  <c r="O2721" i="7" s="1"/>
  <c r="T2720" i="7"/>
  <c r="K2720" i="7"/>
  <c r="O2720" i="7" s="1"/>
  <c r="T2719" i="7"/>
  <c r="K2719" i="7"/>
  <c r="O2719" i="7" s="1"/>
  <c r="T2547" i="7"/>
  <c r="O2718" i="7"/>
  <c r="T2546" i="7"/>
  <c r="O2717" i="7"/>
  <c r="T784" i="7"/>
  <c r="O2716" i="7"/>
  <c r="T2715" i="7"/>
  <c r="K2715" i="7"/>
  <c r="O2715" i="7" s="1"/>
  <c r="T783" i="7"/>
  <c r="O2714" i="7"/>
  <c r="O2713" i="7"/>
  <c r="P2713" i="7" s="1"/>
  <c r="R2713" i="7" s="1"/>
  <c r="O2712" i="7"/>
  <c r="P2712" i="7" s="1"/>
  <c r="R2712" i="7" s="1"/>
  <c r="T587" i="7"/>
  <c r="O2710" i="7"/>
  <c r="P2710" i="7" s="1"/>
  <c r="R2710" i="7" s="1"/>
  <c r="T585" i="7"/>
  <c r="O2709" i="7"/>
  <c r="P2709" i="7" s="1"/>
  <c r="R2709" i="7" s="1"/>
  <c r="T584" i="7"/>
  <c r="T583" i="7"/>
  <c r="T582" i="7"/>
  <c r="O2704" i="7"/>
  <c r="P2704" i="7" s="1"/>
  <c r="R2704" i="7" s="1"/>
  <c r="T577" i="7"/>
  <c r="O2702" i="7"/>
  <c r="P2702" i="7" s="1"/>
  <c r="R2702" i="7" s="1"/>
  <c r="T575" i="7"/>
  <c r="O2701" i="7"/>
  <c r="P2701" i="7" s="1"/>
  <c r="R2701" i="7" s="1"/>
  <c r="T574" i="7"/>
  <c r="O2703" i="7"/>
  <c r="P2703" i="7" s="1"/>
  <c r="R2703" i="7" s="1"/>
  <c r="T569" i="7"/>
  <c r="T2697" i="7"/>
  <c r="O2697" i="7"/>
  <c r="P2697" i="7" s="1"/>
  <c r="R2697" i="7" s="1"/>
  <c r="T567" i="7"/>
  <c r="O2695" i="7"/>
  <c r="P2695" i="7" s="1"/>
  <c r="R2695" i="7" s="1"/>
  <c r="T566" i="7"/>
  <c r="O2693" i="7"/>
  <c r="P2693" i="7" s="1"/>
  <c r="R2693" i="7" s="1"/>
  <c r="T564" i="7"/>
  <c r="T556" i="7"/>
  <c r="O2692" i="7"/>
  <c r="P2692" i="7" s="1"/>
  <c r="R2692" i="7" s="1"/>
  <c r="T2689" i="7"/>
  <c r="K2689" i="7"/>
  <c r="O2689" i="7" s="1"/>
  <c r="T2690" i="7"/>
  <c r="K2690" i="7"/>
  <c r="O2690" i="7" s="1"/>
  <c r="T563" i="7"/>
  <c r="O2691" i="7"/>
  <c r="T562" i="7"/>
  <c r="O2688" i="7"/>
  <c r="T560" i="7"/>
  <c r="K2687" i="7"/>
  <c r="O2687" i="7" s="1"/>
  <c r="T559" i="7"/>
  <c r="K2686" i="7"/>
  <c r="O2686" i="7" s="1"/>
  <c r="T816" i="7"/>
  <c r="O2685" i="7"/>
  <c r="T2545" i="7"/>
  <c r="T2544" i="7"/>
  <c r="T557" i="7"/>
  <c r="O2673" i="7"/>
  <c r="P2673" i="7" s="1"/>
  <c r="R2673" i="7" s="1"/>
  <c r="T782" i="7"/>
  <c r="O2674" i="7"/>
  <c r="P2674" i="7" s="1"/>
  <c r="R2674" i="7" s="1"/>
  <c r="T555" i="7"/>
  <c r="O2672" i="7"/>
  <c r="P2672" i="7" s="1"/>
  <c r="R2672" i="7" s="1"/>
  <c r="T2704" i="7"/>
  <c r="O2679" i="7"/>
  <c r="T1125" i="7"/>
  <c r="O2678" i="7"/>
  <c r="T1120" i="7"/>
  <c r="O2671" i="7"/>
  <c r="T1119" i="7"/>
  <c r="K2668" i="7"/>
  <c r="O2668" i="7" s="1"/>
  <c r="T1118" i="7"/>
  <c r="O2670" i="7"/>
  <c r="T1116" i="7"/>
  <c r="O2669" i="7"/>
  <c r="T1123" i="7"/>
  <c r="O2667" i="7"/>
  <c r="T1122" i="7"/>
  <c r="O2666" i="7"/>
  <c r="T553" i="7"/>
  <c r="O2665" i="7"/>
  <c r="T2029" i="7"/>
  <c r="O2662" i="7"/>
  <c r="T2028" i="7"/>
  <c r="O2663" i="7"/>
  <c r="T2027" i="7"/>
  <c r="O2661" i="7"/>
  <c r="T2025" i="7"/>
  <c r="O2658" i="7"/>
  <c r="O2660" i="7"/>
  <c r="T2657" i="7"/>
  <c r="K2657" i="7"/>
  <c r="O2657" i="7" s="1"/>
  <c r="T781" i="7"/>
  <c r="O2656" i="7"/>
  <c r="T780" i="7"/>
  <c r="O2655" i="7"/>
  <c r="T2651" i="7"/>
  <c r="O2651" i="7"/>
  <c r="T2024" i="7"/>
  <c r="O2650" i="7"/>
  <c r="T2647" i="7"/>
  <c r="O2647" i="7"/>
  <c r="T2646" i="7"/>
  <c r="O2646" i="7"/>
  <c r="T1115" i="7"/>
  <c r="H848" i="7" s="1"/>
  <c r="O2645" i="7"/>
  <c r="O2649" i="7"/>
  <c r="T551" i="7"/>
  <c r="K2648" i="7"/>
  <c r="O2648" i="7" s="1"/>
  <c r="T2577" i="7"/>
  <c r="O2643" i="7"/>
  <c r="T2703" i="7"/>
  <c r="O2642" i="7"/>
  <c r="T2702" i="7"/>
  <c r="O2641" i="7"/>
  <c r="T2701" i="7"/>
  <c r="O2640" i="7"/>
  <c r="T2582" i="7"/>
  <c r="O2639" i="7"/>
  <c r="T2699" i="7"/>
  <c r="O2638" i="7"/>
  <c r="T2698" i="7"/>
  <c r="O2637" i="7"/>
  <c r="T2695" i="7"/>
  <c r="O2636" i="7"/>
  <c r="T2023" i="7"/>
  <c r="O2635" i="7"/>
  <c r="T2634" i="7"/>
  <c r="O2634" i="7"/>
  <c r="O2633" i="7"/>
  <c r="T2019" i="7"/>
  <c r="O2632" i="7"/>
  <c r="T2018" i="7"/>
  <c r="T2533" i="7"/>
  <c r="O2533" i="7"/>
  <c r="T2630" i="7"/>
  <c r="K2630" i="7"/>
  <c r="O2630" i="7" s="1"/>
  <c r="T549" i="7"/>
  <c r="O2629" i="7"/>
  <c r="P2629" i="7" s="1"/>
  <c r="R2629" i="7" s="1"/>
  <c r="T2627" i="7"/>
  <c r="O2627" i="7"/>
  <c r="T548" i="7"/>
  <c r="O2626" i="7"/>
  <c r="P2626" i="7" s="1"/>
  <c r="R2626" i="7" s="1"/>
  <c r="T545" i="7"/>
  <c r="O2625" i="7"/>
  <c r="P2625" i="7" s="1"/>
  <c r="R2625" i="7" s="1"/>
  <c r="T543" i="7"/>
  <c r="O2624" i="7"/>
  <c r="P2624" i="7" s="1"/>
  <c r="R2624" i="7" s="1"/>
  <c r="O2623" i="7"/>
  <c r="P2623" i="7" s="1"/>
  <c r="R2623" i="7" s="1"/>
  <c r="T539" i="7"/>
  <c r="O2622" i="7"/>
  <c r="P2622" i="7" s="1"/>
  <c r="R2622" i="7" s="1"/>
  <c r="T534" i="7"/>
  <c r="T531" i="7"/>
  <c r="T529" i="7"/>
  <c r="T525" i="7"/>
  <c r="T523" i="7"/>
  <c r="T522" i="7"/>
  <c r="T2610" i="7"/>
  <c r="O2610" i="7"/>
  <c r="P2610" i="7" s="1"/>
  <c r="R2610" i="7" s="1"/>
  <c r="T521" i="7"/>
  <c r="O2609" i="7"/>
  <c r="P2609" i="7" s="1"/>
  <c r="R2609" i="7" s="1"/>
  <c r="T520" i="7"/>
  <c r="T519" i="7"/>
  <c r="O2605" i="7"/>
  <c r="P2605" i="7" s="1"/>
  <c r="R2605" i="7" s="1"/>
  <c r="T2600" i="7"/>
  <c r="K2600" i="7"/>
  <c r="O2600" i="7" s="1"/>
  <c r="P2600" i="7" s="1"/>
  <c r="R2600" i="7" s="1"/>
  <c r="T517" i="7"/>
  <c r="O2599" i="7"/>
  <c r="P2599" i="7" s="1"/>
  <c r="R2599" i="7" s="1"/>
  <c r="T2598" i="7"/>
  <c r="O2598" i="7"/>
  <c r="P2598" i="7" s="1"/>
  <c r="R2598" i="7" s="1"/>
  <c r="T516" i="7"/>
  <c r="O2597" i="7"/>
  <c r="P2597" i="7" s="1"/>
  <c r="R2597" i="7" s="1"/>
  <c r="T515" i="7"/>
  <c r="O2596" i="7"/>
  <c r="P2596" i="7" s="1"/>
  <c r="R2596" i="7" s="1"/>
  <c r="T514" i="7"/>
  <c r="O2594" i="7"/>
  <c r="P2594" i="7" s="1"/>
  <c r="R2594" i="7" s="1"/>
  <c r="T513" i="7"/>
  <c r="T512" i="7"/>
  <c r="O2591" i="7"/>
  <c r="P2591" i="7" s="1"/>
  <c r="R2591" i="7" s="1"/>
  <c r="T2543" i="7"/>
  <c r="O2588" i="7"/>
  <c r="P2588" i="7" s="1"/>
  <c r="R2588" i="7" s="1"/>
  <c r="T2542" i="7"/>
  <c r="O2590" i="7"/>
  <c r="P2590" i="7" s="1"/>
  <c r="R2590" i="7" s="1"/>
  <c r="T2550" i="7"/>
  <c r="O2589" i="7"/>
  <c r="P2589" i="7" s="1"/>
  <c r="R2589" i="7" s="1"/>
  <c r="T2017" i="7"/>
  <c r="O2587" i="7"/>
  <c r="T2586" i="7"/>
  <c r="O2586" i="7"/>
  <c r="T2014" i="7"/>
  <c r="O2585" i="7"/>
  <c r="T2012" i="7"/>
  <c r="O2584" i="7"/>
  <c r="O2583" i="7"/>
  <c r="O2582" i="7"/>
  <c r="T2007" i="7"/>
  <c r="O2581" i="7"/>
  <c r="T2005" i="7"/>
  <c r="O2580" i="7"/>
  <c r="T2003" i="7"/>
  <c r="H2003" i="7" s="1"/>
  <c r="O2578" i="7"/>
  <c r="T2002" i="7"/>
  <c r="O2579" i="7"/>
  <c r="T2001" i="7"/>
  <c r="O2577" i="7"/>
  <c r="T2000" i="7"/>
  <c r="O2576" i="7"/>
  <c r="T1999" i="7"/>
  <c r="O2575" i="7"/>
  <c r="T1998" i="7"/>
  <c r="O2574" i="7"/>
  <c r="T1114" i="7"/>
  <c r="T1113" i="7"/>
  <c r="O2569" i="7"/>
  <c r="T1109" i="7"/>
  <c r="O2567" i="7"/>
  <c r="T1108" i="7"/>
  <c r="O2566" i="7"/>
  <c r="T1107" i="7"/>
  <c r="O2565" i="7"/>
  <c r="T2564" i="7"/>
  <c r="O2564" i="7"/>
  <c r="T1995" i="7"/>
  <c r="O2562" i="7"/>
  <c r="T1992" i="7"/>
  <c r="O2561" i="7"/>
  <c r="T1990" i="7"/>
  <c r="O2560" i="7"/>
  <c r="T1989" i="7"/>
  <c r="O2559" i="7"/>
  <c r="T1988" i="7"/>
  <c r="O2558" i="7"/>
  <c r="T2875" i="7"/>
  <c r="O2552" i="7"/>
  <c r="T2873" i="7"/>
  <c r="O2555" i="7"/>
  <c r="T2870" i="7"/>
  <c r="O2554" i="7"/>
  <c r="T2867" i="7"/>
  <c r="O2553" i="7"/>
  <c r="T1987" i="7"/>
  <c r="O2551" i="7"/>
  <c r="T1984" i="7"/>
  <c r="H1984" i="7" s="1"/>
  <c r="O2550" i="7"/>
  <c r="T1986" i="7"/>
  <c r="O2549" i="7"/>
  <c r="T1983" i="7"/>
  <c r="O2548" i="7"/>
  <c r="T1982" i="7"/>
  <c r="O2547" i="7"/>
  <c r="T1981" i="7"/>
  <c r="O2546" i="7"/>
  <c r="T1980" i="7"/>
  <c r="O2545" i="7"/>
  <c r="T1979" i="7"/>
  <c r="O2544" i="7"/>
  <c r="T1978" i="7"/>
  <c r="O2543" i="7"/>
  <c r="T1977" i="7"/>
  <c r="O2542" i="7"/>
  <c r="T511" i="7"/>
  <c r="O2539" i="7"/>
  <c r="P2539" i="7" s="1"/>
  <c r="R2539" i="7" s="1"/>
  <c r="T510" i="7"/>
  <c r="O2540" i="7"/>
  <c r="P2540" i="7" s="1"/>
  <c r="R2540" i="7" s="1"/>
  <c r="K2538" i="7"/>
  <c r="O2538" i="7" s="1"/>
  <c r="P2538" i="7" s="1"/>
  <c r="R2538" i="7" s="1"/>
  <c r="T508" i="7"/>
  <c r="T507" i="7"/>
  <c r="O2536" i="7"/>
  <c r="P2536" i="7" s="1"/>
  <c r="R2536" i="7" s="1"/>
  <c r="T506" i="7"/>
  <c r="O2534" i="7"/>
  <c r="P2534" i="7" s="1"/>
  <c r="R2534" i="7" s="1"/>
  <c r="T2532" i="7"/>
  <c r="O2532" i="7"/>
  <c r="T2527" i="7"/>
  <c r="K2527" i="7"/>
  <c r="O2527" i="7" s="1"/>
  <c r="T1976" i="7"/>
  <c r="K2526" i="7"/>
  <c r="O2526" i="7" s="1"/>
  <c r="T1975" i="7"/>
  <c r="O2525" i="7"/>
  <c r="T2531" i="7"/>
  <c r="K2531" i="7"/>
  <c r="O2531" i="7" s="1"/>
  <c r="T1106" i="7"/>
  <c r="O2530" i="7"/>
  <c r="T2529" i="7"/>
  <c r="K2529" i="7"/>
  <c r="O2529" i="7" s="1"/>
  <c r="T2528" i="7"/>
  <c r="K2528" i="7"/>
  <c r="O2528" i="7" s="1"/>
  <c r="T2524" i="7"/>
  <c r="K2524" i="7"/>
  <c r="O2524" i="7" s="1"/>
  <c r="T2523" i="7"/>
  <c r="K2523" i="7"/>
  <c r="O2523" i="7" s="1"/>
  <c r="T2521" i="7"/>
  <c r="O2521" i="7"/>
  <c r="T779" i="7"/>
  <c r="K2522" i="7"/>
  <c r="O2522" i="7" s="1"/>
  <c r="T1105" i="7"/>
  <c r="O2520" i="7"/>
  <c r="T2519" i="7"/>
  <c r="K2519" i="7"/>
  <c r="O2519" i="7" s="1"/>
  <c r="T2518" i="7"/>
  <c r="K2518" i="7"/>
  <c r="O2518" i="7" s="1"/>
  <c r="T1973" i="7"/>
  <c r="O2517" i="7"/>
  <c r="T1972" i="7"/>
  <c r="O2516" i="7"/>
  <c r="T1971" i="7"/>
  <c r="O2514" i="7"/>
  <c r="T2549" i="7"/>
  <c r="O2515" i="7"/>
  <c r="T505" i="7"/>
  <c r="O2513" i="7"/>
  <c r="T2512" i="7"/>
  <c r="O2512" i="7"/>
  <c r="T2511" i="7"/>
  <c r="O2511" i="7"/>
  <c r="T2510" i="7"/>
  <c r="O2510" i="7"/>
  <c r="T2509" i="7"/>
  <c r="O2509" i="7"/>
  <c r="T2508" i="7"/>
  <c r="K2508" i="7"/>
  <c r="O2508" i="7" s="1"/>
  <c r="T2507" i="7"/>
  <c r="K2507" i="7"/>
  <c r="O2507" i="7" s="1"/>
  <c r="T2506" i="7"/>
  <c r="K2506" i="7"/>
  <c r="O2506" i="7" s="1"/>
  <c r="T2505" i="7"/>
  <c r="K2505" i="7"/>
  <c r="O2505" i="7" s="1"/>
  <c r="T2504" i="7"/>
  <c r="K2504" i="7"/>
  <c r="O2504" i="7" s="1"/>
  <c r="T1970" i="7"/>
  <c r="O2503" i="7"/>
  <c r="T504" i="7"/>
  <c r="O2502" i="7"/>
  <c r="T503" i="7"/>
  <c r="O2501" i="7"/>
  <c r="O2500" i="7"/>
  <c r="T498" i="7"/>
  <c r="O2499" i="7"/>
  <c r="O2497" i="7"/>
  <c r="T2540" i="7"/>
  <c r="O2498" i="7"/>
  <c r="T2496" i="7"/>
  <c r="O2496" i="7"/>
  <c r="T1968" i="7"/>
  <c r="O2495" i="7"/>
  <c r="O2494" i="7"/>
  <c r="T2494" i="7"/>
  <c r="T1104" i="7"/>
  <c r="O2493" i="7"/>
  <c r="T1103" i="7"/>
  <c r="O2492" i="7"/>
  <c r="T1101" i="7"/>
  <c r="O2491" i="7"/>
  <c r="T1100" i="7"/>
  <c r="O2490" i="7"/>
  <c r="T2539" i="7"/>
  <c r="O2489" i="7"/>
  <c r="P2489" i="7" s="1"/>
  <c r="R2489" i="7" s="1"/>
  <c r="T2526" i="7"/>
  <c r="O2486" i="7"/>
  <c r="P2486" i="7" s="1"/>
  <c r="R2486" i="7" s="1"/>
  <c r="T2537" i="7"/>
  <c r="O2488" i="7"/>
  <c r="P2488" i="7" s="1"/>
  <c r="R2488" i="7" s="1"/>
  <c r="T2534" i="7"/>
  <c r="O2484" i="7"/>
  <c r="P2484" i="7" s="1"/>
  <c r="R2484" i="7" s="1"/>
  <c r="T2530" i="7"/>
  <c r="O2485" i="7"/>
  <c r="P2485" i="7" s="1"/>
  <c r="R2485" i="7" s="1"/>
  <c r="T2478" i="7"/>
  <c r="O2478" i="7"/>
  <c r="T2525" i="7"/>
  <c r="T2476" i="7"/>
  <c r="K2476" i="7"/>
  <c r="O2476" i="7" s="1"/>
  <c r="T2475" i="7"/>
  <c r="K2475" i="7"/>
  <c r="O2475" i="7" s="1"/>
  <c r="T2474" i="7"/>
  <c r="O2474" i="7"/>
  <c r="P2474" i="7" s="1"/>
  <c r="R2474" i="7" s="1"/>
  <c r="T2473" i="7"/>
  <c r="O2473" i="7"/>
  <c r="P2473" i="7" s="1"/>
  <c r="R2473" i="7" s="1"/>
  <c r="T2472" i="7"/>
  <c r="K2472" i="7"/>
  <c r="O2472" i="7" s="1"/>
  <c r="P2472" i="7" s="1"/>
  <c r="R2472" i="7" s="1"/>
  <c r="T2522" i="7"/>
  <c r="O2466" i="7"/>
  <c r="P2466" i="7" s="1"/>
  <c r="R2466" i="7" s="1"/>
  <c r="T2520" i="7"/>
  <c r="O2465" i="7"/>
  <c r="P2465" i="7" s="1"/>
  <c r="R2465" i="7" s="1"/>
  <c r="T2517" i="7"/>
  <c r="O2464" i="7"/>
  <c r="P2464" i="7" s="1"/>
  <c r="R2464" i="7" s="1"/>
  <c r="T2515" i="7"/>
  <c r="O2468" i="7"/>
  <c r="P2468" i="7" s="1"/>
  <c r="R2468" i="7" s="1"/>
  <c r="T2514" i="7"/>
  <c r="O2463" i="7"/>
  <c r="P2463" i="7" s="1"/>
  <c r="R2463" i="7" s="1"/>
  <c r="T2513" i="7"/>
  <c r="O2470" i="7"/>
  <c r="P2470" i="7" s="1"/>
  <c r="R2470" i="7" s="1"/>
  <c r="T2503" i="7"/>
  <c r="O2471" i="7"/>
  <c r="P2471" i="7" s="1"/>
  <c r="R2471" i="7" s="1"/>
  <c r="T2502" i="7"/>
  <c r="O2467" i="7"/>
  <c r="P2467" i="7" s="1"/>
  <c r="R2467" i="7" s="1"/>
  <c r="T2501" i="7"/>
  <c r="O2482" i="7"/>
  <c r="P2482" i="7" s="1"/>
  <c r="R2482" i="7" s="1"/>
  <c r="T2500" i="7"/>
  <c r="O2481" i="7"/>
  <c r="P2481" i="7" s="1"/>
  <c r="R2481" i="7" s="1"/>
  <c r="T2480" i="7"/>
  <c r="O2480" i="7"/>
  <c r="P2480" i="7" s="1"/>
  <c r="R2480" i="7" s="1"/>
  <c r="T2499" i="7"/>
  <c r="O2479" i="7"/>
  <c r="P2479" i="7" s="1"/>
  <c r="R2479" i="7" s="1"/>
  <c r="T1965" i="7"/>
  <c r="O2483" i="7"/>
  <c r="O2460" i="7"/>
  <c r="T778" i="7"/>
  <c r="O2461" i="7"/>
  <c r="T776" i="7"/>
  <c r="O2462" i="7"/>
  <c r="T2498" i="7"/>
  <c r="K2459" i="7"/>
  <c r="O2459" i="7" s="1"/>
  <c r="K2457" i="7"/>
  <c r="O2457" i="7" s="1"/>
  <c r="P2457" i="7" s="1"/>
  <c r="R2457" i="7" s="1"/>
  <c r="T2456" i="7"/>
  <c r="K2456" i="7"/>
  <c r="O2456" i="7" s="1"/>
  <c r="P2456" i="7" s="1"/>
  <c r="R2456" i="7" s="1"/>
  <c r="T2495" i="7"/>
  <c r="O2453" i="7"/>
  <c r="P2453" i="7" s="1"/>
  <c r="R2453" i="7" s="1"/>
  <c r="T497" i="7"/>
  <c r="O2452" i="7"/>
  <c r="T496" i="7"/>
  <c r="O2450" i="7"/>
  <c r="T495" i="7"/>
  <c r="O2451" i="7"/>
  <c r="T493" i="7"/>
  <c r="O2449" i="7"/>
  <c r="O2448" i="7"/>
  <c r="T2448" i="7"/>
  <c r="O2447" i="7"/>
  <c r="T2447" i="7"/>
  <c r="T1959" i="7"/>
  <c r="O2445" i="7"/>
  <c r="T2443" i="7"/>
  <c r="O2443" i="7"/>
  <c r="T774" i="7"/>
  <c r="O2442" i="7"/>
  <c r="T773" i="7"/>
  <c r="O2441" i="7"/>
  <c r="T1099" i="7"/>
  <c r="O2440" i="7"/>
  <c r="T1097" i="7"/>
  <c r="O2439" i="7"/>
  <c r="T1096" i="7"/>
  <c r="O2438" i="7"/>
  <c r="T2492" i="7"/>
  <c r="O2435" i="7"/>
  <c r="T1963" i="7"/>
  <c r="O2431" i="7"/>
  <c r="T1962" i="7"/>
  <c r="O2433" i="7"/>
  <c r="T1957" i="7"/>
  <c r="O2432" i="7"/>
  <c r="T772" i="7"/>
  <c r="O2428" i="7"/>
  <c r="T771" i="7"/>
  <c r="O2426" i="7"/>
  <c r="T768" i="7"/>
  <c r="O2430" i="7"/>
  <c r="T767" i="7"/>
  <c r="O2425" i="7"/>
  <c r="T766" i="7"/>
  <c r="O2423" i="7"/>
  <c r="T765" i="7"/>
  <c r="O2424" i="7"/>
  <c r="T763" i="7"/>
  <c r="O2420" i="7"/>
  <c r="T762" i="7"/>
  <c r="O2421" i="7"/>
  <c r="T761" i="7"/>
  <c r="O2422" i="7"/>
  <c r="T758" i="7"/>
  <c r="O2419" i="7"/>
  <c r="T2418" i="7"/>
  <c r="K2418" i="7"/>
  <c r="O2418" i="7" s="1"/>
  <c r="T492" i="7"/>
  <c r="O2417" i="7"/>
  <c r="T2491" i="7"/>
  <c r="K2412" i="7"/>
  <c r="O2412" i="7" s="1"/>
  <c r="T2866" i="7"/>
  <c r="O2378" i="7"/>
  <c r="T2863" i="7"/>
  <c r="O2375" i="7"/>
  <c r="T2371" i="7"/>
  <c r="K2371" i="7"/>
  <c r="O2371" i="7" s="1"/>
  <c r="T2855" i="7"/>
  <c r="H2855" i="7" s="1"/>
  <c r="O2410" i="7"/>
  <c r="T2408" i="7"/>
  <c r="K2408" i="7"/>
  <c r="O2408" i="7" s="1"/>
  <c r="T2407" i="7"/>
  <c r="O2407" i="7"/>
  <c r="T2848" i="7"/>
  <c r="H2848" i="7" s="1"/>
  <c r="O2406" i="7"/>
  <c r="T2843" i="7"/>
  <c r="H2843" i="7" s="1"/>
  <c r="O2405" i="7"/>
  <c r="T2841" i="7"/>
  <c r="H2841" i="7" s="1"/>
  <c r="O2404" i="7"/>
  <c r="T2399" i="7"/>
  <c r="O2399" i="7"/>
  <c r="T2840" i="7"/>
  <c r="H2840" i="7" s="1"/>
  <c r="O2398" i="7"/>
  <c r="T2839" i="7"/>
  <c r="H2839" i="7" s="1"/>
  <c r="O2397" i="7"/>
  <c r="T2838" i="7"/>
  <c r="H2838" i="7" s="1"/>
  <c r="O2396" i="7"/>
  <c r="T2837" i="7"/>
  <c r="O2395" i="7"/>
  <c r="T2836" i="7"/>
  <c r="O2394" i="7"/>
  <c r="T2835" i="7"/>
  <c r="O2393" i="7"/>
  <c r="T2834" i="7"/>
  <c r="O2392" i="7"/>
  <c r="T2833" i="7"/>
  <c r="O2391" i="7"/>
  <c r="T2832" i="7"/>
  <c r="O2387" i="7"/>
  <c r="T2831" i="7"/>
  <c r="O2386" i="7"/>
  <c r="O2385" i="7"/>
  <c r="O2384" i="7"/>
  <c r="T2830" i="7"/>
  <c r="O2383" i="7"/>
  <c r="T2829" i="7"/>
  <c r="O2382" i="7"/>
  <c r="T2381" i="7"/>
  <c r="K2381" i="7"/>
  <c r="O2381" i="7" s="1"/>
  <c r="T2826" i="7"/>
  <c r="O2380" i="7"/>
  <c r="T2825" i="7"/>
  <c r="O2379" i="7"/>
  <c r="T2823" i="7"/>
  <c r="O2370" i="7"/>
  <c r="T2369" i="7"/>
  <c r="K2369" i="7"/>
  <c r="O2369" i="7" s="1"/>
  <c r="T2822" i="7"/>
  <c r="O2368" i="7"/>
  <c r="T2821" i="7"/>
  <c r="O2403" i="7"/>
  <c r="T2820" i="7"/>
  <c r="O2402" i="7"/>
  <c r="O2401" i="7"/>
  <c r="O2400" i="7"/>
  <c r="T2390" i="7"/>
  <c r="O2390" i="7"/>
  <c r="O2389" i="7"/>
  <c r="T2819" i="7"/>
  <c r="O2388" i="7"/>
  <c r="T2818" i="7"/>
  <c r="O2415" i="7"/>
  <c r="O2414" i="7"/>
  <c r="T2413" i="7"/>
  <c r="K2413" i="7"/>
  <c r="O2413" i="7" s="1"/>
  <c r="T2859" i="7"/>
  <c r="O2374" i="7"/>
  <c r="O2373" i="7"/>
  <c r="T2857" i="7"/>
  <c r="O2372" i="7"/>
  <c r="T2489" i="7"/>
  <c r="T2488" i="7"/>
  <c r="T489" i="7"/>
  <c r="O2367" i="7"/>
  <c r="T483" i="7"/>
  <c r="O2366" i="7"/>
  <c r="T482" i="7"/>
  <c r="O2365" i="7"/>
  <c r="T460" i="7"/>
  <c r="H460" i="7" s="1"/>
  <c r="O2364" i="7"/>
  <c r="T1093" i="7"/>
  <c r="O2362" i="7"/>
  <c r="T1954" i="7"/>
  <c r="O2359" i="7"/>
  <c r="T1955" i="7"/>
  <c r="O2360" i="7"/>
  <c r="T1953" i="7"/>
  <c r="O2358" i="7"/>
  <c r="T2361" i="7"/>
  <c r="K2361" i="7"/>
  <c r="O2361" i="7" s="1"/>
  <c r="T2102" i="7"/>
  <c r="O2355" i="7"/>
  <c r="O2354" i="7"/>
  <c r="T2694" i="7"/>
  <c r="T2353" i="7"/>
  <c r="K2353" i="7"/>
  <c r="O2353" i="7" s="1"/>
  <c r="T2352" i="7"/>
  <c r="K2352" i="7"/>
  <c r="O2352" i="7" s="1"/>
  <c r="T2350" i="7"/>
  <c r="O2350" i="7"/>
  <c r="T2487" i="7"/>
  <c r="O2351" i="7"/>
  <c r="T2485" i="7"/>
  <c r="H1950" i="7" s="1"/>
  <c r="O2348" i="7"/>
  <c r="T2484" i="7"/>
  <c r="O2347" i="7"/>
  <c r="P2347" i="7" s="1"/>
  <c r="R2347" i="7" s="1"/>
  <c r="T2483" i="7"/>
  <c r="O2346" i="7"/>
  <c r="T2881" i="7"/>
  <c r="T1952" i="7"/>
  <c r="O2343" i="7"/>
  <c r="T1947" i="7"/>
  <c r="O2342" i="7"/>
  <c r="T1949" i="7"/>
  <c r="O2339" i="7"/>
  <c r="T2482" i="7"/>
  <c r="K2338" i="7"/>
  <c r="O2338" i="7" s="1"/>
  <c r="T2481" i="7"/>
  <c r="T2336" i="7"/>
  <c r="K2336" i="7"/>
  <c r="O2336" i="7" s="1"/>
  <c r="T2335" i="7"/>
  <c r="K2335" i="7"/>
  <c r="O2335" i="7" s="1"/>
  <c r="T2334" i="7"/>
  <c r="K2334" i="7"/>
  <c r="O2334" i="7" s="1"/>
  <c r="T480" i="7"/>
  <c r="O2322" i="7"/>
  <c r="P2322" i="7" s="1"/>
  <c r="R2322" i="7" s="1"/>
  <c r="T2321" i="7"/>
  <c r="K2321" i="7"/>
  <c r="O2321" i="7" s="1"/>
  <c r="T479" i="7"/>
  <c r="O2333" i="7"/>
  <c r="O2332" i="7"/>
  <c r="T478" i="7"/>
  <c r="T2479" i="7"/>
  <c r="O2331" i="7"/>
  <c r="O2330" i="7"/>
  <c r="T2101" i="7"/>
  <c r="O2328" i="7"/>
  <c r="T2100" i="7"/>
  <c r="O2327" i="7"/>
  <c r="T1948" i="7"/>
  <c r="O2329" i="7"/>
  <c r="T1946" i="7"/>
  <c r="T1944" i="7"/>
  <c r="T1945" i="7"/>
  <c r="T2337" i="7"/>
  <c r="O2337" i="7"/>
  <c r="T1091" i="7"/>
  <c r="O2319" i="7"/>
  <c r="O2320" i="7"/>
  <c r="O2315" i="7"/>
  <c r="T1088" i="7"/>
  <c r="O2316" i="7"/>
  <c r="T1938" i="7"/>
  <c r="O2317" i="7"/>
  <c r="T1937" i="7"/>
  <c r="O2312" i="7"/>
  <c r="T2314" i="7"/>
  <c r="K2314" i="7"/>
  <c r="O2314" i="7" s="1"/>
  <c r="T1936" i="7"/>
  <c r="O2313" i="7"/>
  <c r="T2311" i="7"/>
  <c r="O2311" i="7"/>
  <c r="T2310" i="7"/>
  <c r="K2310" i="7"/>
  <c r="O2310" i="7" s="1"/>
  <c r="T2471" i="7"/>
  <c r="O2309" i="7"/>
  <c r="T2308" i="7"/>
  <c r="K2308" i="7"/>
  <c r="O2308" i="7" s="1"/>
  <c r="T2307" i="7"/>
  <c r="K2307" i="7"/>
  <c r="O2307" i="7" s="1"/>
  <c r="T757" i="7"/>
  <c r="T2306" i="7"/>
  <c r="K2306" i="7"/>
  <c r="O2306" i="7" s="1"/>
  <c r="T2303" i="7"/>
  <c r="K2303" i="7"/>
  <c r="O2303" i="7" s="1"/>
  <c r="K2302" i="7"/>
  <c r="O2302" i="7" s="1"/>
  <c r="T756" i="7"/>
  <c r="O2301" i="7"/>
  <c r="T2300" i="7"/>
  <c r="K2300" i="7"/>
  <c r="O2300" i="7" s="1"/>
  <c r="T755" i="7"/>
  <c r="O2299" i="7"/>
  <c r="T753" i="7"/>
  <c r="O2288" i="7"/>
  <c r="T751" i="7"/>
  <c r="O2287" i="7"/>
  <c r="T750" i="7"/>
  <c r="O2285" i="7"/>
  <c r="T749" i="7"/>
  <c r="O2284" i="7"/>
  <c r="T2292" i="7"/>
  <c r="O2292" i="7"/>
  <c r="T476" i="7"/>
  <c r="O2298" i="7"/>
  <c r="T475" i="7"/>
  <c r="T474" i="7"/>
  <c r="T2295" i="7"/>
  <c r="O2295" i="7"/>
  <c r="T473" i="7"/>
  <c r="O2290" i="7"/>
  <c r="T2294" i="7"/>
  <c r="K2294" i="7"/>
  <c r="O2294" i="7" s="1"/>
  <c r="T1935" i="7"/>
  <c r="O2289" i="7"/>
  <c r="T1932" i="7"/>
  <c r="O2283" i="7"/>
  <c r="T2281" i="7"/>
  <c r="O2281" i="7"/>
  <c r="P2281" i="7" s="1"/>
  <c r="R2281" i="7" s="1"/>
  <c r="T2470" i="7"/>
  <c r="O2280" i="7"/>
  <c r="T1934" i="7"/>
  <c r="T2274" i="7"/>
  <c r="K2274" i="7"/>
  <c r="O2274" i="7" s="1"/>
  <c r="T1933" i="7"/>
  <c r="T1928" i="7"/>
  <c r="T2273" i="7"/>
  <c r="K2273" i="7"/>
  <c r="O2273" i="7" s="1"/>
  <c r="T2272" i="7"/>
  <c r="K2272" i="7"/>
  <c r="O2272" i="7" s="1"/>
  <c r="T2271" i="7"/>
  <c r="K2271" i="7"/>
  <c r="O2271" i="7" s="1"/>
  <c r="T2270" i="7"/>
  <c r="K2270" i="7"/>
  <c r="O2270" i="7" s="1"/>
  <c r="T1927" i="7"/>
  <c r="O2268" i="7"/>
  <c r="P2268" i="7" s="1"/>
  <c r="R2268" i="7" s="1"/>
  <c r="T1925" i="7"/>
  <c r="O2267" i="7"/>
  <c r="P2267" i="7" s="1"/>
  <c r="R2267" i="7" s="1"/>
  <c r="T1922" i="7"/>
  <c r="O2265" i="7"/>
  <c r="P2265" i="7" s="1"/>
  <c r="R2265" i="7" s="1"/>
  <c r="T1923" i="7"/>
  <c r="O2264" i="7"/>
  <c r="P2264" i="7" s="1"/>
  <c r="R2264" i="7" s="1"/>
  <c r="T2469" i="7"/>
  <c r="O2263" i="7"/>
  <c r="T1917" i="7"/>
  <c r="O2256" i="7"/>
  <c r="T1916" i="7"/>
  <c r="O2262" i="7"/>
  <c r="T1915" i="7"/>
  <c r="O2261" i="7"/>
  <c r="T1911" i="7"/>
  <c r="K2260" i="7"/>
  <c r="O2260" i="7" s="1"/>
  <c r="T1913" i="7"/>
  <c r="K2259" i="7"/>
  <c r="O2259" i="7" s="1"/>
  <c r="T1904" i="7"/>
  <c r="O2258" i="7"/>
  <c r="T1906" i="7"/>
  <c r="L2257" i="7"/>
  <c r="K2257" i="7"/>
  <c r="T2255" i="7"/>
  <c r="O2255" i="7"/>
  <c r="T472" i="7"/>
  <c r="O2253" i="7"/>
  <c r="P2253" i="7" s="1"/>
  <c r="R2253" i="7" s="1"/>
  <c r="T470" i="7"/>
  <c r="O2254" i="7"/>
  <c r="P2254" i="7" s="1"/>
  <c r="R2254" i="7" s="1"/>
  <c r="T1905" i="7"/>
  <c r="O2252" i="7"/>
  <c r="T2251" i="7"/>
  <c r="K2251" i="7"/>
  <c r="O2251" i="7" s="1"/>
  <c r="T2250" i="7"/>
  <c r="O2250" i="7"/>
  <c r="T2249" i="7"/>
  <c r="H2249" i="7" s="1"/>
  <c r="O2249" i="7"/>
  <c r="T2248" i="7"/>
  <c r="K2248" i="7"/>
  <c r="O2248" i="7" s="1"/>
  <c r="T2247" i="7"/>
  <c r="K2247" i="7"/>
  <c r="O2247" i="7" s="1"/>
  <c r="T2246" i="7"/>
  <c r="O2246" i="7"/>
  <c r="T1895" i="7"/>
  <c r="O2244" i="7"/>
  <c r="T2245" i="7"/>
  <c r="K2245" i="7"/>
  <c r="O2245" i="7" s="1"/>
  <c r="T2243" i="7"/>
  <c r="K2243" i="7"/>
  <c r="O2243" i="7" s="1"/>
  <c r="T2242" i="7"/>
  <c r="K2242" i="7"/>
  <c r="O2242" i="7" s="1"/>
  <c r="T2468" i="7"/>
  <c r="T2240" i="7"/>
  <c r="H2240" i="7" s="1"/>
  <c r="K2240" i="7"/>
  <c r="O2240" i="7" s="1"/>
  <c r="T1086" i="7"/>
  <c r="O2239" i="7"/>
  <c r="T2777" i="7"/>
  <c r="T2776" i="7"/>
  <c r="T2810" i="7"/>
  <c r="T469" i="7"/>
  <c r="H469" i="7" s="1"/>
  <c r="O2234" i="7"/>
  <c r="T2233" i="7"/>
  <c r="O2233" i="7"/>
  <c r="T1894" i="7"/>
  <c r="O2232" i="7"/>
  <c r="O2231" i="7"/>
  <c r="T2467" i="7"/>
  <c r="T2220" i="7"/>
  <c r="K2220" i="7"/>
  <c r="O2220" i="7" s="1"/>
  <c r="P2220" i="7" s="1"/>
  <c r="R2220" i="7" s="1"/>
  <c r="T2774" i="7"/>
  <c r="T2465" i="7"/>
  <c r="T2464" i="7"/>
  <c r="T2463" i="7"/>
  <c r="T2462" i="7"/>
  <c r="T2230" i="7"/>
  <c r="H2230" i="7" s="1"/>
  <c r="O2230" i="7"/>
  <c r="T2229" i="7"/>
  <c r="K2229" i="7"/>
  <c r="O2229" i="7" s="1"/>
  <c r="T2226" i="7"/>
  <c r="O2226" i="7"/>
  <c r="T2225" i="7"/>
  <c r="H2225" i="7" s="1"/>
  <c r="O2225" i="7"/>
  <c r="T2461" i="7"/>
  <c r="O2224" i="7"/>
  <c r="T2218" i="7"/>
  <c r="H2218" i="7" s="1"/>
  <c r="K2218" i="7"/>
  <c r="O2218" i="7" s="1"/>
  <c r="T2217" i="7"/>
  <c r="H2217" i="7" s="1"/>
  <c r="K2217" i="7"/>
  <c r="O2217" i="7" s="1"/>
  <c r="T2216" i="7"/>
  <c r="H2216" i="7" s="1"/>
  <c r="K2216" i="7"/>
  <c r="O2216" i="7" s="1"/>
  <c r="T2692" i="7"/>
  <c r="O2219" i="7"/>
  <c r="T2458" i="7"/>
  <c r="O2215" i="7"/>
  <c r="T2453" i="7"/>
  <c r="T2452" i="7"/>
  <c r="T2451" i="7"/>
  <c r="T1891" i="7"/>
  <c r="O2212" i="7"/>
  <c r="T1888" i="7"/>
  <c r="O2211" i="7"/>
  <c r="T1887" i="7"/>
  <c r="K2210" i="7"/>
  <c r="O2210" i="7" s="1"/>
  <c r="T1886" i="7"/>
  <c r="O2209" i="7"/>
  <c r="T1885" i="7"/>
  <c r="O2208" i="7"/>
  <c r="T1882" i="7"/>
  <c r="O2207" i="7"/>
  <c r="T2206" i="7"/>
  <c r="K2206" i="7"/>
  <c r="O2206" i="7" s="1"/>
  <c r="O2196" i="7"/>
  <c r="T1881" i="7"/>
  <c r="O2197" i="7"/>
  <c r="T2197" i="7"/>
  <c r="T2201" i="7"/>
  <c r="K2201" i="7"/>
  <c r="O2201" i="7" s="1"/>
  <c r="T2773" i="7"/>
  <c r="O2204" i="7"/>
  <c r="T2882" i="7"/>
  <c r="H2205" i="7" s="1"/>
  <c r="K2205" i="7"/>
  <c r="O2205" i="7" s="1"/>
  <c r="T2769" i="7"/>
  <c r="K2198" i="7"/>
  <c r="O2198" i="7" s="1"/>
  <c r="T2761" i="7"/>
  <c r="O2202" i="7"/>
  <c r="T1878" i="7"/>
  <c r="O2203" i="7"/>
  <c r="T2200" i="7"/>
  <c r="K2200" i="7"/>
  <c r="O2200" i="7" s="1"/>
  <c r="T2450" i="7"/>
  <c r="O2199" i="7"/>
  <c r="T2193" i="7"/>
  <c r="K2193" i="7"/>
  <c r="T2194" i="7"/>
  <c r="K2194" i="7"/>
  <c r="O2194" i="7" s="1"/>
  <c r="T2192" i="7"/>
  <c r="K2192" i="7"/>
  <c r="O2192" i="7" s="1"/>
  <c r="T2809" i="7"/>
  <c r="O2195" i="7"/>
  <c r="T2191" i="7"/>
  <c r="K2191" i="7"/>
  <c r="O2191" i="7" s="1"/>
  <c r="T2190" i="7"/>
  <c r="K2190" i="7"/>
  <c r="O2190" i="7" s="1"/>
  <c r="T2449" i="7"/>
  <c r="T2188" i="7"/>
  <c r="T2187" i="7"/>
  <c r="H2187" i="7" s="1"/>
  <c r="O2187" i="7"/>
  <c r="T1877" i="7"/>
  <c r="O2186" i="7"/>
  <c r="T1876" i="7"/>
  <c r="O2185" i="7"/>
  <c r="T1875" i="7"/>
  <c r="O2184" i="7"/>
  <c r="T1874" i="7"/>
  <c r="O2183" i="7"/>
  <c r="T2182" i="7"/>
  <c r="K2182" i="7"/>
  <c r="O2182" i="7" s="1"/>
  <c r="T2181" i="7"/>
  <c r="O2181" i="7"/>
  <c r="T1869" i="7"/>
  <c r="T1868" i="7"/>
  <c r="T1867" i="7"/>
  <c r="O2178" i="7"/>
  <c r="T468" i="7"/>
  <c r="H468" i="7" s="1"/>
  <c r="O2177" i="7"/>
  <c r="O2176" i="7"/>
  <c r="T467" i="7"/>
  <c r="H467" i="7" s="1"/>
  <c r="T1085" i="7"/>
  <c r="O2175" i="7"/>
  <c r="T1084" i="7"/>
  <c r="O2174" i="7"/>
  <c r="O2173" i="7"/>
  <c r="T465" i="7"/>
  <c r="H465" i="7" s="1"/>
  <c r="T2691" i="7"/>
  <c r="K2169" i="7"/>
  <c r="O2169" i="7" s="1"/>
  <c r="P2169" i="7" s="1"/>
  <c r="R2169" i="7" s="1"/>
  <c r="T2688" i="7"/>
  <c r="T2170" i="7"/>
  <c r="K2170" i="7"/>
  <c r="O2170" i="7" s="1"/>
  <c r="T2446" i="7"/>
  <c r="T464" i="7"/>
  <c r="H464" i="7" s="1"/>
  <c r="O2167" i="7"/>
  <c r="T463" i="7"/>
  <c r="H463" i="7" s="1"/>
  <c r="O2166" i="7"/>
  <c r="P2166" i="7" s="1"/>
  <c r="R2166" i="7" s="1"/>
  <c r="T462" i="7"/>
  <c r="H462" i="7" s="1"/>
  <c r="O2165" i="7"/>
  <c r="P2165" i="7" s="1"/>
  <c r="R2165" i="7" s="1"/>
  <c r="T458" i="7"/>
  <c r="O2162" i="7"/>
  <c r="P2162" i="7" s="1"/>
  <c r="R2162" i="7" s="1"/>
  <c r="T2445" i="7"/>
  <c r="O2160" i="7"/>
  <c r="T2442" i="7"/>
  <c r="O2159" i="7"/>
  <c r="O2155" i="7"/>
  <c r="O2154" i="7"/>
  <c r="T450" i="7"/>
  <c r="T2151" i="7"/>
  <c r="O2151" i="7"/>
  <c r="T2768" i="7"/>
  <c r="L2148" i="7"/>
  <c r="O2148" i="7" s="1"/>
  <c r="T2766" i="7"/>
  <c r="T2765" i="7"/>
  <c r="O2146" i="7"/>
  <c r="T2441" i="7"/>
  <c r="O2144" i="7"/>
  <c r="T748" i="7"/>
  <c r="O2143" i="7"/>
  <c r="T2440" i="7"/>
  <c r="O2142" i="7"/>
  <c r="T2141" i="7"/>
  <c r="K2141" i="7"/>
  <c r="O2141" i="7" s="1"/>
  <c r="T1864" i="7"/>
  <c r="O2140" i="7"/>
  <c r="T1863" i="7"/>
  <c r="O2139" i="7"/>
  <c r="T1862" i="7"/>
  <c r="O2138" i="7"/>
  <c r="T2136" i="7"/>
  <c r="K2136" i="7"/>
  <c r="O2136" i="7" s="1"/>
  <c r="T1861" i="7"/>
  <c r="O2137" i="7"/>
  <c r="T2439" i="7"/>
  <c r="T2438" i="7"/>
  <c r="O2134" i="7"/>
  <c r="T1860" i="7"/>
  <c r="O2133" i="7"/>
  <c r="T1859" i="7"/>
  <c r="O2110" i="7"/>
  <c r="T1858" i="7"/>
  <c r="O2109" i="7"/>
  <c r="T1856" i="7"/>
  <c r="O2131" i="7"/>
  <c r="T1854" i="7"/>
  <c r="O2130" i="7"/>
  <c r="T1851" i="7"/>
  <c r="O2126" i="7"/>
  <c r="T1850" i="7"/>
  <c r="O2125" i="7"/>
  <c r="T1849" i="7"/>
  <c r="O2124" i="7"/>
  <c r="T1845" i="7"/>
  <c r="O2122" i="7"/>
  <c r="T1844" i="7"/>
  <c r="O2121" i="7"/>
  <c r="T1080" i="7"/>
  <c r="O2119" i="7"/>
  <c r="T1079" i="7"/>
  <c r="O2118" i="7"/>
  <c r="T1840" i="7"/>
  <c r="O2111" i="7"/>
  <c r="T1077" i="7"/>
  <c r="O2115" i="7"/>
  <c r="T1072" i="7"/>
  <c r="O2114" i="7"/>
  <c r="T1071" i="7"/>
  <c r="O2112" i="7"/>
  <c r="T2436" i="7"/>
  <c r="O2106" i="7"/>
  <c r="T1838" i="7"/>
  <c r="O2107" i="7"/>
  <c r="T2108" i="7"/>
  <c r="H2108" i="7" s="1"/>
  <c r="K2108" i="7"/>
  <c r="O2108" i="7" s="1"/>
  <c r="T1836" i="7"/>
  <c r="O2105" i="7"/>
  <c r="T1835" i="7"/>
  <c r="T1834" i="7"/>
  <c r="O2103" i="7"/>
  <c r="T1843" i="7"/>
  <c r="O2101" i="7"/>
  <c r="T1842" i="7"/>
  <c r="O2102" i="7"/>
  <c r="T1832" i="7"/>
  <c r="O2100" i="7"/>
  <c r="T1070" i="7"/>
  <c r="O2098" i="7"/>
  <c r="T2099" i="7"/>
  <c r="O2094" i="7"/>
  <c r="T2098" i="7"/>
  <c r="O2095" i="7"/>
  <c r="T2434" i="7"/>
  <c r="O2089" i="7"/>
  <c r="T2084" i="7"/>
  <c r="O2084" i="7"/>
  <c r="T1830" i="7"/>
  <c r="T1831" i="7"/>
  <c r="O2088" i="7"/>
  <c r="O2086" i="7"/>
  <c r="O2085" i="7"/>
  <c r="T2687" i="7"/>
  <c r="O2081" i="7"/>
  <c r="T2686" i="7"/>
  <c r="O2083" i="7"/>
  <c r="T2685" i="7"/>
  <c r="O2082" i="7"/>
  <c r="T441" i="7"/>
  <c r="O2080" i="7"/>
  <c r="T439" i="7"/>
  <c r="O2079" i="7"/>
  <c r="T1822" i="7"/>
  <c r="O2077" i="7"/>
  <c r="T1829" i="7"/>
  <c r="M2078" i="7"/>
  <c r="T2808" i="7"/>
  <c r="O2076" i="7"/>
  <c r="T2433" i="7"/>
  <c r="T2432" i="7"/>
  <c r="T2075" i="7"/>
  <c r="H2075" i="7" s="1"/>
  <c r="K2075" i="7"/>
  <c r="O2075" i="7" s="1"/>
  <c r="O2074" i="7"/>
  <c r="T1069" i="7"/>
  <c r="O2070" i="7"/>
  <c r="T1068" i="7"/>
  <c r="O2068" i="7"/>
  <c r="T1067" i="7"/>
  <c r="O2069" i="7"/>
  <c r="T1811" i="7"/>
  <c r="O2067" i="7"/>
  <c r="T1810" i="7"/>
  <c r="O2066" i="7"/>
  <c r="T1809" i="7"/>
  <c r="O2065" i="7"/>
  <c r="T1808" i="7"/>
  <c r="O2064" i="7"/>
  <c r="T747" i="7"/>
  <c r="K2063" i="7"/>
  <c r="O2063" i="7" s="1"/>
  <c r="O2061" i="7"/>
  <c r="T437" i="7"/>
  <c r="O2060" i="7"/>
  <c r="T746" i="7"/>
  <c r="T1807" i="7"/>
  <c r="O2057" i="7"/>
  <c r="T2058" i="7"/>
  <c r="K2058" i="7"/>
  <c r="O2058" i="7" s="1"/>
  <c r="T1804" i="7"/>
  <c r="O2056" i="7"/>
  <c r="T1803" i="7"/>
  <c r="O2055" i="7"/>
  <c r="T1806" i="7"/>
  <c r="O2053" i="7"/>
  <c r="T1813" i="7"/>
  <c r="O2052" i="7"/>
  <c r="T1812" i="7"/>
  <c r="O2050" i="7"/>
  <c r="T1798" i="7"/>
  <c r="O2049" i="7"/>
  <c r="T2048" i="7"/>
  <c r="K2048" i="7"/>
  <c r="O2048" i="7" s="1"/>
  <c r="T433" i="7"/>
  <c r="O2045" i="7"/>
  <c r="O2044" i="7"/>
  <c r="O2043" i="7"/>
  <c r="T429" i="7"/>
  <c r="O2042" i="7"/>
  <c r="T1064" i="7"/>
  <c r="O2040" i="7"/>
  <c r="T1063" i="7"/>
  <c r="O2039" i="7"/>
  <c r="O2038" i="7"/>
  <c r="T745" i="7"/>
  <c r="O2037" i="7"/>
  <c r="T1801" i="7"/>
  <c r="O2029" i="7"/>
  <c r="T426" i="7"/>
  <c r="O2031" i="7"/>
  <c r="T425" i="7"/>
  <c r="H425" i="7" s="1"/>
  <c r="O2032" i="7"/>
  <c r="T424" i="7"/>
  <c r="H424" i="7" s="1"/>
  <c r="O2030" i="7"/>
  <c r="T420" i="7"/>
  <c r="H420" i="7" s="1"/>
  <c r="O2028" i="7"/>
  <c r="T743" i="7"/>
  <c r="O2025" i="7"/>
  <c r="T738" i="7"/>
  <c r="O2024" i="7"/>
  <c r="T737" i="7"/>
  <c r="O2023" i="7"/>
  <c r="T2022" i="7"/>
  <c r="K2022" i="7"/>
  <c r="O2022" i="7" s="1"/>
  <c r="P2022" i="7" s="1"/>
  <c r="R2022" i="7" s="1"/>
  <c r="T2021" i="7"/>
  <c r="H2021" i="7" s="1"/>
  <c r="K2021" i="7"/>
  <c r="O2021" i="7" s="1"/>
  <c r="P2021" i="7" s="1"/>
  <c r="R2021" i="7" s="1"/>
  <c r="T2431" i="7"/>
  <c r="T2095" i="7"/>
  <c r="O2019" i="7"/>
  <c r="T419" i="7"/>
  <c r="H419" i="7" s="1"/>
  <c r="O2018" i="7"/>
  <c r="P2018" i="7" s="1"/>
  <c r="R2018" i="7" s="1"/>
  <c r="T1050" i="7"/>
  <c r="O2017" i="7"/>
  <c r="T2016" i="7"/>
  <c r="L2016" i="7"/>
  <c r="K2016" i="7"/>
  <c r="T1049" i="7"/>
  <c r="O2014" i="7"/>
  <c r="T2015" i="7"/>
  <c r="L2015" i="7"/>
  <c r="K2015" i="7"/>
  <c r="T2013" i="7"/>
  <c r="H2013" i="7" s="1"/>
  <c r="O2013" i="7"/>
  <c r="T2011" i="7"/>
  <c r="H2011" i="7" s="1"/>
  <c r="K2011" i="7"/>
  <c r="O2011" i="7" s="1"/>
  <c r="T2009" i="7"/>
  <c r="H2009" i="7" s="1"/>
  <c r="K2009" i="7"/>
  <c r="O2009" i="7" s="1"/>
  <c r="T1048" i="7"/>
  <c r="O2012" i="7"/>
  <c r="T1047" i="7"/>
  <c r="T2094" i="7"/>
  <c r="O2008" i="7"/>
  <c r="T1046" i="7"/>
  <c r="T2006" i="7"/>
  <c r="O2006" i="7"/>
  <c r="T1045" i="7"/>
  <c r="O2005" i="7"/>
  <c r="T2422" i="7"/>
  <c r="T2421" i="7"/>
  <c r="T2420" i="7"/>
  <c r="T2419" i="7"/>
  <c r="T1796" i="7"/>
  <c r="O1953" i="7"/>
  <c r="T1800" i="7"/>
  <c r="O1957" i="7"/>
  <c r="T1797" i="7"/>
  <c r="O1955" i="7"/>
  <c r="T1802" i="7"/>
  <c r="O1952" i="7"/>
  <c r="T1795" i="7"/>
  <c r="H1795" i="7" s="1"/>
  <c r="O1956" i="7"/>
  <c r="T1790" i="7"/>
  <c r="O1954" i="7"/>
  <c r="T1951" i="7"/>
  <c r="K1951" i="7"/>
  <c r="O1951" i="7" s="1"/>
  <c r="T418" i="7"/>
  <c r="H418" i="7" s="1"/>
  <c r="O1998" i="7"/>
  <c r="P1998" i="7" s="1"/>
  <c r="R1998" i="7" s="1"/>
  <c r="T1997" i="7"/>
  <c r="K1997" i="7"/>
  <c r="O1997" i="7" s="1"/>
  <c r="T417" i="7"/>
  <c r="H417" i="7" s="1"/>
  <c r="O1995" i="7"/>
  <c r="T1994" i="7"/>
  <c r="H1994" i="7" s="1"/>
  <c r="O1994" i="7"/>
  <c r="P1994" i="7" s="1"/>
  <c r="R1994" i="7" s="1"/>
  <c r="T1993" i="7"/>
  <c r="H1993" i="7" s="1"/>
  <c r="O1993" i="7"/>
  <c r="P1993" i="7" s="1"/>
  <c r="R1993" i="7" s="1"/>
  <c r="T416" i="7"/>
  <c r="H416" i="7" s="1"/>
  <c r="O1992" i="7"/>
  <c r="T1794" i="7"/>
  <c r="O1990" i="7"/>
  <c r="P1990" i="7" s="1"/>
  <c r="R1990" i="7" s="1"/>
  <c r="T415" i="7"/>
  <c r="H415" i="7" s="1"/>
  <c r="O1989" i="7"/>
  <c r="P1989" i="7" s="1"/>
  <c r="R1989" i="7" s="1"/>
  <c r="T414" i="7"/>
  <c r="H414" i="7" s="1"/>
  <c r="O1988" i="7"/>
  <c r="P1988" i="7" s="1"/>
  <c r="R1988" i="7" s="1"/>
  <c r="T410" i="7"/>
  <c r="O1987" i="7"/>
  <c r="P1987" i="7" s="1"/>
  <c r="R1987" i="7" s="1"/>
  <c r="O1981" i="7"/>
  <c r="P1981" i="7" s="1"/>
  <c r="R1981" i="7" s="1"/>
  <c r="T400" i="7"/>
  <c r="O1980" i="7"/>
  <c r="P1980" i="7" s="1"/>
  <c r="R1980" i="7" s="1"/>
  <c r="T398" i="7"/>
  <c r="O1979" i="7"/>
  <c r="P1979" i="7" s="1"/>
  <c r="R1979" i="7" s="1"/>
  <c r="T395" i="7"/>
  <c r="T394" i="7"/>
  <c r="O1976" i="7"/>
  <c r="P1976" i="7" s="1"/>
  <c r="R1976" i="7" s="1"/>
  <c r="T393" i="7"/>
  <c r="O1975" i="7"/>
  <c r="P1975" i="7" s="1"/>
  <c r="R1975" i="7" s="1"/>
  <c r="T1974" i="7"/>
  <c r="H1974" i="7" s="1"/>
  <c r="O1974" i="7"/>
  <c r="P1974" i="7" s="1"/>
  <c r="R1974" i="7" s="1"/>
  <c r="T390" i="7"/>
  <c r="O1972" i="7"/>
  <c r="P1972" i="7" s="1"/>
  <c r="R1972" i="7" s="1"/>
  <c r="T389" i="7"/>
  <c r="O1971" i="7"/>
  <c r="P1971" i="7" s="1"/>
  <c r="R1971" i="7" s="1"/>
  <c r="T1967" i="7"/>
  <c r="H1967" i="7" s="1"/>
  <c r="O1967" i="7"/>
  <c r="P1967" i="7" s="1"/>
  <c r="R1967" i="7" s="1"/>
  <c r="T384" i="7"/>
  <c r="O1966" i="7"/>
  <c r="P1966" i="7" s="1"/>
  <c r="R1966" i="7" s="1"/>
  <c r="T383" i="7"/>
  <c r="O1965" i="7"/>
  <c r="P1965" i="7" s="1"/>
  <c r="R1965" i="7" s="1"/>
  <c r="T388" i="7"/>
  <c r="O1969" i="7"/>
  <c r="P1969" i="7" s="1"/>
  <c r="R1969" i="7" s="1"/>
  <c r="T385" i="7"/>
  <c r="O1968" i="7"/>
  <c r="P1968" i="7" s="1"/>
  <c r="R1968" i="7" s="1"/>
  <c r="T382" i="7"/>
  <c r="O1963" i="7"/>
  <c r="T1044" i="7"/>
  <c r="O1962" i="7"/>
  <c r="T1043" i="7"/>
  <c r="O1961" i="7"/>
  <c r="T1042" i="7"/>
  <c r="T1789" i="7"/>
  <c r="O1959" i="7"/>
  <c r="T2424" i="7"/>
  <c r="O1945" i="7"/>
  <c r="T2423" i="7"/>
  <c r="O1944" i="7"/>
  <c r="O1943" i="7"/>
  <c r="T2477" i="7"/>
  <c r="T1942" i="7"/>
  <c r="K1942" i="7"/>
  <c r="O1942" i="7" s="1"/>
  <c r="T381" i="7"/>
  <c r="H1941" i="7" s="1"/>
  <c r="T1940" i="7"/>
  <c r="K1940" i="7"/>
  <c r="O1940" i="7" s="1"/>
  <c r="T379" i="7"/>
  <c r="O1936" i="7"/>
  <c r="T378" i="7"/>
  <c r="O1935" i="7"/>
  <c r="T1039" i="7"/>
  <c r="O1934" i="7"/>
  <c r="T1038" i="7"/>
  <c r="O1933" i="7"/>
  <c r="T1037" i="7"/>
  <c r="O1929" i="7"/>
  <c r="T1036" i="7"/>
  <c r="O1928" i="7"/>
  <c r="T1034" i="7"/>
  <c r="T1033" i="7"/>
  <c r="O1924" i="7"/>
  <c r="P1924" i="7" s="1"/>
  <c r="R1924" i="7" s="1"/>
  <c r="T1921" i="7"/>
  <c r="H1921" i="7" s="1"/>
  <c r="O1921" i="7"/>
  <c r="T1920" i="7"/>
  <c r="O1920" i="7"/>
  <c r="T1919" i="7"/>
  <c r="H1919" i="7" s="1"/>
  <c r="L1919" i="7"/>
  <c r="K1919" i="7"/>
  <c r="T1918" i="7"/>
  <c r="K1918" i="7"/>
  <c r="O1918" i="7" s="1"/>
  <c r="T1032" i="7"/>
  <c r="O1917" i="7"/>
  <c r="T1031" i="7"/>
  <c r="O1916" i="7"/>
  <c r="T1030" i="7"/>
  <c r="O1923" i="7"/>
  <c r="T1029" i="7"/>
  <c r="O1922" i="7"/>
  <c r="T1914" i="7"/>
  <c r="H1914" i="7" s="1"/>
  <c r="O1914" i="7"/>
  <c r="T736" i="7"/>
  <c r="O1915" i="7"/>
  <c r="T376" i="7"/>
  <c r="O1911" i="7"/>
  <c r="T372" i="7"/>
  <c r="O1913" i="7"/>
  <c r="T1912" i="7"/>
  <c r="H1912" i="7" s="1"/>
  <c r="K1912" i="7"/>
  <c r="O1912" i="7" s="1"/>
  <c r="T1910" i="7"/>
  <c r="K1910" i="7"/>
  <c r="O1910" i="7" s="1"/>
  <c r="T1909" i="7"/>
  <c r="H1909" i="7" s="1"/>
  <c r="K1909" i="7"/>
  <c r="O1909" i="7" s="1"/>
  <c r="T1908" i="7"/>
  <c r="H1908" i="7" s="1"/>
  <c r="K1908" i="7"/>
  <c r="O1908" i="7" s="1"/>
  <c r="T1907" i="7"/>
  <c r="H1907" i="7" s="1"/>
  <c r="O1907" i="7"/>
  <c r="T1028" i="7"/>
  <c r="O1906" i="7"/>
  <c r="T1026" i="7"/>
  <c r="O1905" i="7"/>
  <c r="T1024" i="7"/>
  <c r="O1904" i="7"/>
  <c r="T1903" i="7"/>
  <c r="H1903" i="7" s="1"/>
  <c r="K1903" i="7"/>
  <c r="O1903" i="7" s="1"/>
  <c r="T1902" i="7"/>
  <c r="H1902" i="7" s="1"/>
  <c r="K1902" i="7"/>
  <c r="O1902" i="7" s="1"/>
  <c r="T1901" i="7"/>
  <c r="H1901" i="7" s="1"/>
  <c r="K1901" i="7"/>
  <c r="T1899" i="7"/>
  <c r="H1899" i="7" s="1"/>
  <c r="K1899" i="7"/>
  <c r="O1899" i="7" s="1"/>
  <c r="T1900" i="7"/>
  <c r="H1900" i="7" s="1"/>
  <c r="K1900" i="7"/>
  <c r="O1900" i="7" s="1"/>
  <c r="T1898" i="7"/>
  <c r="H1898" i="7" s="1"/>
  <c r="K1898" i="7"/>
  <c r="T1897" i="7"/>
  <c r="H1897" i="7" s="1"/>
  <c r="K1897" i="7"/>
  <c r="O1897" i="7" s="1"/>
  <c r="T2090" i="7"/>
  <c r="O1894" i="7"/>
  <c r="T1788" i="7"/>
  <c r="T1787" i="7"/>
  <c r="O1892" i="7"/>
  <c r="T1786" i="7"/>
  <c r="O1891" i="7"/>
  <c r="T1890" i="7"/>
  <c r="K1890" i="7"/>
  <c r="O1890" i="7" s="1"/>
  <c r="T1889" i="7"/>
  <c r="K1889" i="7"/>
  <c r="O1889" i="7" s="1"/>
  <c r="T2764" i="7"/>
  <c r="K1886" i="7"/>
  <c r="T731" i="7"/>
  <c r="H573" i="7" s="1"/>
  <c r="T1785" i="7"/>
  <c r="O1885" i="7"/>
  <c r="T1884" i="7"/>
  <c r="K1884" i="7"/>
  <c r="O1884" i="7" s="1"/>
  <c r="T1883" i="7"/>
  <c r="K1883" i="7"/>
  <c r="O1883" i="7" s="1"/>
  <c r="T1792" i="7"/>
  <c r="O1881" i="7"/>
  <c r="T1783" i="7"/>
  <c r="O1878" i="7"/>
  <c r="T1791" i="7"/>
  <c r="O1879" i="7"/>
  <c r="T1782" i="7"/>
  <c r="O1877" i="7"/>
  <c r="T1778" i="7"/>
  <c r="O1876" i="7"/>
  <c r="T1776" i="7"/>
  <c r="O1875" i="7"/>
  <c r="T1775" i="7"/>
  <c r="O1874" i="7"/>
  <c r="T1873" i="7"/>
  <c r="K1873" i="7"/>
  <c r="O1873" i="7" s="1"/>
  <c r="T1872" i="7"/>
  <c r="K1872" i="7"/>
  <c r="O1872" i="7" s="1"/>
  <c r="T1871" i="7"/>
  <c r="O1871" i="7"/>
  <c r="T371" i="7"/>
  <c r="O1869" i="7"/>
  <c r="T370" i="7"/>
  <c r="O1868" i="7"/>
  <c r="T369" i="7"/>
  <c r="O1867" i="7"/>
  <c r="T2416" i="7"/>
  <c r="O1865" i="7"/>
  <c r="O1864" i="7"/>
  <c r="T2415" i="7"/>
  <c r="O1863" i="7"/>
  <c r="T2414" i="7"/>
  <c r="T2681" i="7"/>
  <c r="K1861" i="7"/>
  <c r="O1861" i="7" s="1"/>
  <c r="T2755" i="7"/>
  <c r="O1859" i="7"/>
  <c r="T2754" i="7"/>
  <c r="O1858" i="7"/>
  <c r="T2753" i="7"/>
  <c r="O1860" i="7"/>
  <c r="T1855" i="7"/>
  <c r="K1855" i="7"/>
  <c r="O1855" i="7" s="1"/>
  <c r="T366" i="7"/>
  <c r="T1853" i="7"/>
  <c r="K1853" i="7"/>
  <c r="T367" i="7"/>
  <c r="O1852" i="7"/>
  <c r="T730" i="7"/>
  <c r="K1851" i="7"/>
  <c r="O1851" i="7" s="1"/>
  <c r="T365" i="7"/>
  <c r="O1850" i="7"/>
  <c r="T368" i="7"/>
  <c r="O1849" i="7"/>
  <c r="T362" i="7"/>
  <c r="O1848" i="7"/>
  <c r="T361" i="7"/>
  <c r="T363" i="7"/>
  <c r="O1843" i="7"/>
  <c r="P1843" i="7" s="1"/>
  <c r="R1843" i="7" s="1"/>
  <c r="T359" i="7"/>
  <c r="O1842" i="7"/>
  <c r="P1842" i="7" s="1"/>
  <c r="R1842" i="7" s="1"/>
  <c r="T1841" i="7"/>
  <c r="O1841" i="7"/>
  <c r="P1841" i="7" s="1"/>
  <c r="R1841" i="7" s="1"/>
  <c r="T356" i="7"/>
  <c r="O1838" i="7"/>
  <c r="P1838" i="7" s="1"/>
  <c r="R1838" i="7" s="1"/>
  <c r="T1837" i="7"/>
  <c r="O1837" i="7"/>
  <c r="P1837" i="7" s="1"/>
  <c r="R1837" i="7" s="1"/>
  <c r="T355" i="7"/>
  <c r="O1836" i="7"/>
  <c r="P1836" i="7" s="1"/>
  <c r="R1836" i="7" s="1"/>
  <c r="T354" i="7"/>
  <c r="O1835" i="7"/>
  <c r="P1835" i="7" s="1"/>
  <c r="R1835" i="7" s="1"/>
  <c r="T353" i="7"/>
  <c r="O1834" i="7"/>
  <c r="P1834" i="7" s="1"/>
  <c r="R1834" i="7" s="1"/>
  <c r="O1832" i="7"/>
  <c r="P1832" i="7" s="1"/>
  <c r="R1832" i="7" s="1"/>
  <c r="T1770" i="7"/>
  <c r="O1831" i="7"/>
  <c r="P1831" i="7" s="1"/>
  <c r="R1831" i="7" s="1"/>
  <c r="T1772" i="7"/>
  <c r="O1830" i="7"/>
  <c r="P1830" i="7" s="1"/>
  <c r="R1830" i="7" s="1"/>
  <c r="T1814" i="7"/>
  <c r="O1814" i="7"/>
  <c r="T1023" i="7"/>
  <c r="O1806" i="7"/>
  <c r="P1806" i="7" s="1"/>
  <c r="R1806" i="7" s="1"/>
  <c r="T1022" i="7"/>
  <c r="O1805" i="7"/>
  <c r="P1805" i="7" s="1"/>
  <c r="R1805" i="7" s="1"/>
  <c r="T1021" i="7"/>
  <c r="O1804" i="7"/>
  <c r="P1804" i="7" s="1"/>
  <c r="R1804" i="7" s="1"/>
  <c r="T1016" i="7"/>
  <c r="O1803" i="7"/>
  <c r="P1803" i="7" s="1"/>
  <c r="R1803" i="7" s="1"/>
  <c r="T1771" i="7"/>
  <c r="O1813" i="7"/>
  <c r="P1813" i="7" s="1"/>
  <c r="R1813" i="7" s="1"/>
  <c r="T1777" i="7"/>
  <c r="O1812" i="7"/>
  <c r="P1812" i="7" s="1"/>
  <c r="R1812" i="7" s="1"/>
  <c r="T1774" i="7"/>
  <c r="O1811" i="7"/>
  <c r="P1811" i="7" s="1"/>
  <c r="R1811" i="7" s="1"/>
  <c r="T1773" i="7"/>
  <c r="O1810" i="7"/>
  <c r="P1810" i="7" s="1"/>
  <c r="R1810" i="7" s="1"/>
  <c r="T1780" i="7"/>
  <c r="O1809" i="7"/>
  <c r="P1809" i="7" s="1"/>
  <c r="R1809" i="7" s="1"/>
  <c r="T1779" i="7"/>
  <c r="O1808" i="7"/>
  <c r="P1808" i="7" s="1"/>
  <c r="R1808" i="7" s="1"/>
  <c r="T1764" i="7"/>
  <c r="O1807" i="7"/>
  <c r="P1807" i="7" s="1"/>
  <c r="R1807" i="7" s="1"/>
  <c r="T2679" i="7"/>
  <c r="O1789" i="7"/>
  <c r="T2678" i="7"/>
  <c r="O1788" i="7"/>
  <c r="T2674" i="7"/>
  <c r="O1787" i="7"/>
  <c r="T2673" i="7"/>
  <c r="O1786" i="7"/>
  <c r="T2672" i="7"/>
  <c r="O1785" i="7"/>
  <c r="T2671" i="7"/>
  <c r="H1784" i="7" s="1"/>
  <c r="O1784" i="7"/>
  <c r="T2670" i="7"/>
  <c r="O1783" i="7"/>
  <c r="T2669" i="7"/>
  <c r="O1782" i="7"/>
  <c r="T2668" i="7"/>
  <c r="T2667" i="7"/>
  <c r="H1793" i="7" s="1"/>
  <c r="T2666" i="7"/>
  <c r="T2665" i="7"/>
  <c r="T2663" i="7"/>
  <c r="T2662" i="7"/>
  <c r="O1802" i="7"/>
  <c r="T2661" i="7"/>
  <c r="O1801" i="7"/>
  <c r="T2660" i="7"/>
  <c r="O1800" i="7"/>
  <c r="T2658" i="7"/>
  <c r="O1799" i="7"/>
  <c r="T2656" i="7"/>
  <c r="O1798" i="7"/>
  <c r="T2655" i="7"/>
  <c r="O1797" i="7"/>
  <c r="T2650" i="7"/>
  <c r="O1796" i="7"/>
  <c r="T2648" i="7"/>
  <c r="K1780" i="7"/>
  <c r="O1780" i="7" s="1"/>
  <c r="T2645" i="7"/>
  <c r="O1779" i="7"/>
  <c r="T2638" i="7"/>
  <c r="O1778" i="7"/>
  <c r="T2637" i="7"/>
  <c r="O1777" i="7"/>
  <c r="T2636" i="7"/>
  <c r="K1776" i="7"/>
  <c r="O1776" i="7" s="1"/>
  <c r="T2643" i="7"/>
  <c r="O1775" i="7"/>
  <c r="T2642" i="7"/>
  <c r="K1774" i="7"/>
  <c r="O1774" i="7" s="1"/>
  <c r="T2641" i="7"/>
  <c r="O1773" i="7"/>
  <c r="T2640" i="7"/>
  <c r="K1772" i="7"/>
  <c r="O1772" i="7" s="1"/>
  <c r="T2635" i="7"/>
  <c r="O1771" i="7"/>
  <c r="T2639" i="7"/>
  <c r="O1770" i="7"/>
  <c r="T1762" i="7"/>
  <c r="O1764" i="7"/>
  <c r="T1763" i="7"/>
  <c r="O1762" i="7"/>
  <c r="T1755" i="7"/>
  <c r="O1763" i="7"/>
  <c r="O1829" i="7"/>
  <c r="T2411" i="7"/>
  <c r="O1827" i="7"/>
  <c r="T2410" i="7"/>
  <c r="O1826" i="7"/>
  <c r="T2409" i="7"/>
  <c r="O1825" i="7"/>
  <c r="T2405" i="7"/>
  <c r="O1822" i="7"/>
  <c r="T2404" i="7"/>
  <c r="O1757" i="7"/>
  <c r="O1756" i="7"/>
  <c r="T2402" i="7"/>
  <c r="O1755" i="7"/>
  <c r="O1754" i="7"/>
  <c r="T2400" i="7"/>
  <c r="O1752" i="7"/>
  <c r="P1752" i="7" s="1"/>
  <c r="R1752" i="7" s="1"/>
  <c r="T2398" i="7"/>
  <c r="O1751" i="7"/>
  <c r="P1751" i="7" s="1"/>
  <c r="R1751" i="7" s="1"/>
  <c r="T2397" i="7"/>
  <c r="O1750" i="7"/>
  <c r="P1750" i="7" s="1"/>
  <c r="R1750" i="7" s="1"/>
  <c r="T2396" i="7"/>
  <c r="O1744" i="7"/>
  <c r="T2395" i="7"/>
  <c r="O1743" i="7"/>
  <c r="T2394" i="7"/>
  <c r="O1746" i="7"/>
  <c r="T2393" i="7"/>
  <c r="O1745" i="7"/>
  <c r="T1742" i="7"/>
  <c r="K1742" i="7"/>
  <c r="O1742" i="7" s="1"/>
  <c r="T1741" i="7"/>
  <c r="K1741" i="7"/>
  <c r="O1741" i="7" s="1"/>
  <c r="T1740" i="7"/>
  <c r="K1740" i="7"/>
  <c r="O1740" i="7" s="1"/>
  <c r="T1738" i="7"/>
  <c r="O1738" i="7"/>
  <c r="T1737" i="7"/>
  <c r="O1737" i="7"/>
  <c r="T1015" i="7"/>
  <c r="O1734" i="7"/>
  <c r="O1733" i="7"/>
  <c r="T1013" i="7"/>
  <c r="O1732" i="7"/>
  <c r="T1739" i="7"/>
  <c r="K1739" i="7"/>
  <c r="O1739" i="7" s="1"/>
  <c r="T1754" i="7"/>
  <c r="O1731" i="7"/>
  <c r="T1757" i="7"/>
  <c r="O1730" i="7"/>
  <c r="T1756" i="7"/>
  <c r="O1729" i="7"/>
  <c r="T1751" i="7"/>
  <c r="O1728" i="7"/>
  <c r="T1750" i="7"/>
  <c r="O1727" i="7"/>
  <c r="T1752" i="7"/>
  <c r="O1725" i="7"/>
  <c r="T1744" i="7"/>
  <c r="O1724" i="7"/>
  <c r="T1743" i="7"/>
  <c r="O1726" i="7"/>
  <c r="T1746" i="7"/>
  <c r="O1723" i="7"/>
  <c r="T2089" i="7"/>
  <c r="O1722" i="7"/>
  <c r="T2088" i="7"/>
  <c r="O1721" i="7"/>
  <c r="T2087" i="7"/>
  <c r="O1719" i="7"/>
  <c r="T2085" i="7"/>
  <c r="T1745" i="7"/>
  <c r="T1714" i="7"/>
  <c r="K1714" i="7"/>
  <c r="O1714" i="7" s="1"/>
  <c r="T1712" i="7"/>
  <c r="O1712" i="7"/>
  <c r="T1711" i="7"/>
  <c r="K1711" i="7"/>
  <c r="O1711" i="7" s="1"/>
  <c r="T729" i="7"/>
  <c r="O1710" i="7"/>
  <c r="T1012" i="7"/>
  <c r="O1709" i="7"/>
  <c r="T1011" i="7"/>
  <c r="O1708" i="7"/>
  <c r="T1010" i="7"/>
  <c r="O1707" i="7"/>
  <c r="T1009" i="7"/>
  <c r="O1706" i="7"/>
  <c r="T2633" i="7"/>
  <c r="T1732" i="7"/>
  <c r="O1668" i="7"/>
  <c r="T2632" i="7"/>
  <c r="O1667" i="7"/>
  <c r="T1666" i="7"/>
  <c r="O1666" i="7"/>
  <c r="T1734" i="7"/>
  <c r="O1665" i="7"/>
  <c r="T1733" i="7"/>
  <c r="O1664" i="7"/>
  <c r="T1008" i="7"/>
  <c r="O1663" i="7"/>
  <c r="T1662" i="7"/>
  <c r="O1662" i="7"/>
  <c r="T1729" i="7"/>
  <c r="O1661" i="7"/>
  <c r="T1728" i="7"/>
  <c r="O1660" i="7"/>
  <c r="T1727" i="7"/>
  <c r="O1658" i="7"/>
  <c r="T333" i="7"/>
  <c r="O1677" i="7"/>
  <c r="T350" i="7"/>
  <c r="O1703" i="7"/>
  <c r="P1703" i="7" s="1"/>
  <c r="R1703" i="7" s="1"/>
  <c r="O1702" i="7"/>
  <c r="P1702" i="7" s="1"/>
  <c r="R1702" i="7" s="1"/>
  <c r="O1701" i="7"/>
  <c r="P1701" i="7" s="1"/>
  <c r="R1701" i="7" s="1"/>
  <c r="T347" i="7"/>
  <c r="O1700" i="7"/>
  <c r="P1700" i="7" s="1"/>
  <c r="R1700" i="7" s="1"/>
  <c r="T346" i="7"/>
  <c r="O1699" i="7"/>
  <c r="P1699" i="7" s="1"/>
  <c r="R1699" i="7" s="1"/>
  <c r="T345" i="7"/>
  <c r="T343" i="7"/>
  <c r="T342" i="7"/>
  <c r="T339" i="7"/>
  <c r="T338" i="7"/>
  <c r="T336" i="7"/>
  <c r="T334" i="7"/>
  <c r="O1683" i="7"/>
  <c r="P1683" i="7" s="1"/>
  <c r="R1683" i="7" s="1"/>
  <c r="T330" i="7"/>
  <c r="O1682" i="7"/>
  <c r="P1682" i="7" s="1"/>
  <c r="R1682" i="7" s="1"/>
  <c r="T329" i="7"/>
  <c r="O1681" i="7"/>
  <c r="P1681" i="7" s="1"/>
  <c r="R1681" i="7" s="1"/>
  <c r="T326" i="7"/>
  <c r="O1680" i="7"/>
  <c r="P1680" i="7" s="1"/>
  <c r="R1680" i="7" s="1"/>
  <c r="T323" i="7"/>
  <c r="O1679" i="7"/>
  <c r="P1679" i="7" s="1"/>
  <c r="R1679" i="7" s="1"/>
  <c r="T325" i="7"/>
  <c r="O1678" i="7"/>
  <c r="P1678" i="7" s="1"/>
  <c r="R1678" i="7" s="1"/>
  <c r="T322" i="7"/>
  <c r="T321" i="7"/>
  <c r="O1675" i="7"/>
  <c r="P1675" i="7" s="1"/>
  <c r="R1675" i="7" s="1"/>
  <c r="T318" i="7"/>
  <c r="T319" i="7"/>
  <c r="O1673" i="7"/>
  <c r="P1673" i="7" s="1"/>
  <c r="R1673" i="7" s="1"/>
  <c r="T317" i="7"/>
  <c r="O1672" i="7"/>
  <c r="P1672" i="7" s="1"/>
  <c r="R1672" i="7" s="1"/>
  <c r="T316" i="7"/>
  <c r="T314" i="7"/>
  <c r="O1654" i="7"/>
  <c r="T313" i="7"/>
  <c r="T1007" i="7"/>
  <c r="T310" i="7"/>
  <c r="T309" i="7"/>
  <c r="T303" i="7"/>
  <c r="T302" i="7"/>
  <c r="T301" i="7"/>
  <c r="T300" i="7"/>
  <c r="T299" i="7"/>
  <c r="T298" i="7"/>
  <c r="T734" i="7"/>
  <c r="O1636" i="7"/>
  <c r="T733" i="7"/>
  <c r="O1635" i="7"/>
  <c r="T296" i="7"/>
  <c r="O1631" i="7"/>
  <c r="P1631" i="7" s="1"/>
  <c r="R1631" i="7" s="1"/>
  <c r="T295" i="7"/>
  <c r="O1630" i="7"/>
  <c r="P1630" i="7" s="1"/>
  <c r="R1630" i="7" s="1"/>
  <c r="T294" i="7"/>
  <c r="O1629" i="7"/>
  <c r="P1629" i="7" s="1"/>
  <c r="R1629" i="7" s="1"/>
  <c r="T293" i="7"/>
  <c r="O1628" i="7"/>
  <c r="P1628" i="7" s="1"/>
  <c r="R1628" i="7" s="1"/>
  <c r="T1726" i="7"/>
  <c r="O1625" i="7"/>
  <c r="T288" i="7"/>
  <c r="T289" i="7"/>
  <c r="T286" i="7"/>
  <c r="O1622" i="7"/>
  <c r="P1622" i="7" s="1"/>
  <c r="R1622" i="7" s="1"/>
  <c r="O1621" i="7"/>
  <c r="P1621" i="7" s="1"/>
  <c r="R1621" i="7" s="1"/>
  <c r="O1619" i="7"/>
  <c r="P1619" i="7" s="1"/>
  <c r="R1619" i="7" s="1"/>
  <c r="T281" i="7"/>
  <c r="O1618" i="7"/>
  <c r="P1618" i="7" s="1"/>
  <c r="R1618" i="7" s="1"/>
  <c r="O1617" i="7"/>
  <c r="T1616" i="7"/>
  <c r="O1616" i="7"/>
  <c r="T2392" i="7"/>
  <c r="O1615" i="7"/>
  <c r="T1725" i="7"/>
  <c r="O1614" i="7"/>
  <c r="O1613" i="7"/>
  <c r="T2752" i="7"/>
  <c r="O1612" i="7"/>
  <c r="T2751" i="7"/>
  <c r="T2389" i="7"/>
  <c r="O1609" i="7"/>
  <c r="T1608" i="7"/>
  <c r="K1608" i="7"/>
  <c r="O1608" i="7" s="1"/>
  <c r="T1607" i="7"/>
  <c r="K1607" i="7"/>
  <c r="O1607" i="7" s="1"/>
  <c r="T1724" i="7"/>
  <c r="O1605" i="7"/>
  <c r="T1723" i="7"/>
  <c r="O1604" i="7"/>
  <c r="T1722" i="7"/>
  <c r="O1603" i="7"/>
  <c r="T2385" i="7"/>
  <c r="O1600" i="7"/>
  <c r="T1721" i="7"/>
  <c r="O1597" i="7"/>
  <c r="T2384" i="7"/>
  <c r="O1596" i="7"/>
  <c r="T1595" i="7"/>
  <c r="O1595" i="7"/>
  <c r="T1719" i="7"/>
  <c r="O1594" i="7"/>
  <c r="T1717" i="7"/>
  <c r="O1593" i="7"/>
  <c r="T2382" i="7"/>
  <c r="O1590" i="7"/>
  <c r="T1731" i="7"/>
  <c r="O1589" i="7"/>
  <c r="T1588" i="7"/>
  <c r="O1588" i="7"/>
  <c r="T1730" i="7"/>
  <c r="O1587" i="7"/>
  <c r="T1586" i="7"/>
  <c r="H1586" i="7" s="1"/>
  <c r="K1586" i="7"/>
  <c r="O1586" i="7" s="1"/>
  <c r="T1713" i="7"/>
  <c r="O1585" i="7"/>
  <c r="T1710" i="7"/>
  <c r="O1584" i="7"/>
  <c r="T1583" i="7"/>
  <c r="K1583" i="7"/>
  <c r="O1583" i="7" s="1"/>
  <c r="T1580" i="7"/>
  <c r="O1580" i="7"/>
  <c r="T1709" i="7"/>
  <c r="O1579" i="7"/>
  <c r="T2380" i="7"/>
  <c r="O1578" i="7"/>
  <c r="T2379" i="7"/>
  <c r="O1577" i="7"/>
  <c r="T1708" i="7"/>
  <c r="O1576" i="7"/>
  <c r="T1573" i="7"/>
  <c r="H1573" i="7" s="1"/>
  <c r="O1573" i="7"/>
  <c r="T2083" i="7"/>
  <c r="O1572" i="7"/>
  <c r="T1707" i="7"/>
  <c r="O1571" i="7"/>
  <c r="T1706" i="7"/>
  <c r="O1570" i="7"/>
  <c r="T1006" i="7"/>
  <c r="O1568" i="7"/>
  <c r="T1005" i="7"/>
  <c r="H1567" i="7" s="1"/>
  <c r="O1567" i="7"/>
  <c r="T1004" i="7"/>
  <c r="O1566" i="7"/>
  <c r="T1003" i="7"/>
  <c r="O1565" i="7"/>
  <c r="T280" i="7"/>
  <c r="O1564" i="7"/>
  <c r="P1564" i="7" s="1"/>
  <c r="R1564" i="7" s="1"/>
  <c r="T1705" i="7"/>
  <c r="O1563" i="7"/>
  <c r="T2378" i="7"/>
  <c r="O1562" i="7"/>
  <c r="T1704" i="7"/>
  <c r="T1000" i="7"/>
  <c r="O1559" i="7"/>
  <c r="T998" i="7"/>
  <c r="O1556" i="7"/>
  <c r="T1555" i="7"/>
  <c r="K1555" i="7"/>
  <c r="O1555" i="7" s="1"/>
  <c r="T1701" i="7"/>
  <c r="O1553" i="7"/>
  <c r="T1700" i="7"/>
  <c r="L1554" i="7"/>
  <c r="O1554" i="7" s="1"/>
  <c r="T1552" i="7"/>
  <c r="H1552" i="7" s="1"/>
  <c r="L1552" i="7"/>
  <c r="K1552" i="7"/>
  <c r="T997" i="7"/>
  <c r="T1696" i="7"/>
  <c r="O1546" i="7"/>
  <c r="T1692" i="7"/>
  <c r="O1548" i="7"/>
  <c r="T1691" i="7"/>
  <c r="O1547" i="7"/>
  <c r="T995" i="7"/>
  <c r="O1545" i="7"/>
  <c r="O1540" i="7"/>
  <c r="T1690" i="7"/>
  <c r="T1689" i="7"/>
  <c r="O1538" i="7"/>
  <c r="T1688" i="7"/>
  <c r="O1539" i="7"/>
  <c r="T1687" i="7"/>
  <c r="O1542" i="7"/>
  <c r="T1686" i="7"/>
  <c r="H1544" i="7" s="1"/>
  <c r="O1544" i="7"/>
  <c r="T1685" i="7"/>
  <c r="O1543" i="7"/>
  <c r="T1536" i="7"/>
  <c r="K1536" i="7"/>
  <c r="O1536" i="7" s="1"/>
  <c r="T1535" i="7"/>
  <c r="K1535" i="7"/>
  <c r="O1535" i="7" s="1"/>
  <c r="T992" i="7"/>
  <c r="O1534" i="7"/>
  <c r="T726" i="7"/>
  <c r="O1532" i="7"/>
  <c r="T991" i="7"/>
  <c r="K1533" i="7"/>
  <c r="O1533" i="7" s="1"/>
  <c r="T1531" i="7"/>
  <c r="H1531" i="7" s="1"/>
  <c r="K1531" i="7"/>
  <c r="O1531" i="7" s="1"/>
  <c r="T1530" i="7"/>
  <c r="O1530" i="7"/>
  <c r="T1529" i="7"/>
  <c r="K1529" i="7"/>
  <c r="O1529" i="7" s="1"/>
  <c r="T1528" i="7"/>
  <c r="K1528" i="7"/>
  <c r="O1528" i="7" s="1"/>
  <c r="T1527" i="7"/>
  <c r="K1527" i="7"/>
  <c r="O1527" i="7" s="1"/>
  <c r="T1526" i="7"/>
  <c r="K1526" i="7"/>
  <c r="O1526" i="7" s="1"/>
  <c r="T1525" i="7"/>
  <c r="H1525" i="7" s="1"/>
  <c r="O1525" i="7"/>
  <c r="T1524" i="7"/>
  <c r="K1524" i="7"/>
  <c r="T1684" i="7"/>
  <c r="T1683" i="7"/>
  <c r="O1522" i="7"/>
  <c r="T1521" i="7"/>
  <c r="K1521" i="7"/>
  <c r="T1520" i="7"/>
  <c r="K1520" i="7"/>
  <c r="O1520" i="7" s="1"/>
  <c r="T990" i="7"/>
  <c r="O1519" i="7"/>
  <c r="T1681" i="7"/>
  <c r="O1512" i="7"/>
  <c r="T1680" i="7"/>
  <c r="H1680" i="7" s="1"/>
  <c r="O1511" i="7"/>
  <c r="T1679" i="7"/>
  <c r="O1514" i="7"/>
  <c r="T1678" i="7"/>
  <c r="H1678" i="7" s="1"/>
  <c r="T1677" i="7"/>
  <c r="O1504" i="7"/>
  <c r="T1676" i="7"/>
  <c r="H1503" i="7" s="1"/>
  <c r="O1503" i="7"/>
  <c r="T1675" i="7"/>
  <c r="O1502" i="7"/>
  <c r="O1506" i="7"/>
  <c r="O1505" i="7"/>
  <c r="T1500" i="7"/>
  <c r="K1500" i="7"/>
  <c r="O1500" i="7" s="1"/>
  <c r="T725" i="7"/>
  <c r="O1498" i="7"/>
  <c r="T1497" i="7"/>
  <c r="K1497" i="7"/>
  <c r="O1497" i="7" s="1"/>
  <c r="T724" i="7"/>
  <c r="O1494" i="7"/>
  <c r="T1493" i="7"/>
  <c r="K1493" i="7"/>
  <c r="O1493" i="7" s="1"/>
  <c r="T1674" i="7"/>
  <c r="T1673" i="7"/>
  <c r="K1491" i="7"/>
  <c r="O1491" i="7" s="1"/>
  <c r="T1672" i="7"/>
  <c r="K1490" i="7"/>
  <c r="O1490" i="7" s="1"/>
  <c r="T978" i="7"/>
  <c r="O1489" i="7"/>
  <c r="T981" i="7"/>
  <c r="O1488" i="7"/>
  <c r="T980" i="7"/>
  <c r="O1487" i="7"/>
  <c r="T977" i="7"/>
  <c r="O1486" i="7"/>
  <c r="T1671" i="7"/>
  <c r="O1485" i="7"/>
  <c r="T1668" i="7"/>
  <c r="O1483" i="7"/>
  <c r="T1667" i="7"/>
  <c r="T2081" i="7"/>
  <c r="T2080" i="7"/>
  <c r="T2079" i="7"/>
  <c r="T2078" i="7"/>
  <c r="T1665" i="7"/>
  <c r="T1661" i="7"/>
  <c r="O1471" i="7"/>
  <c r="T1658" i="7"/>
  <c r="O1468" i="7"/>
  <c r="T1654" i="7"/>
  <c r="T1648" i="7"/>
  <c r="H1467" i="7" s="1"/>
  <c r="T1647" i="7"/>
  <c r="T1646" i="7"/>
  <c r="T975" i="7"/>
  <c r="K1462" i="7"/>
  <c r="O1462" i="7" s="1"/>
  <c r="T279" i="7"/>
  <c r="T277" i="7"/>
  <c r="H1460" i="7" s="1"/>
  <c r="O1460" i="7"/>
  <c r="P1460" i="7" s="1"/>
  <c r="R1460" i="7" s="1"/>
  <c r="T626" i="7"/>
  <c r="H1459" i="7" s="1"/>
  <c r="T278" i="7"/>
  <c r="H1458" i="7" s="1"/>
  <c r="O1458" i="7"/>
  <c r="P1458" i="7" s="1"/>
  <c r="R1458" i="7" s="1"/>
  <c r="T276" i="7"/>
  <c r="O1457" i="7"/>
  <c r="P1457" i="7" s="1"/>
  <c r="R1457" i="7" s="1"/>
  <c r="T275" i="7"/>
  <c r="O1456" i="7"/>
  <c r="P1456" i="7" s="1"/>
  <c r="R1456" i="7" s="1"/>
  <c r="T1645" i="7"/>
  <c r="O1453" i="7"/>
  <c r="T2375" i="7"/>
  <c r="O1451" i="7"/>
  <c r="T1644" i="7"/>
  <c r="T1642" i="7"/>
  <c r="T2374" i="7"/>
  <c r="O1444" i="7"/>
  <c r="T2373" i="7"/>
  <c r="T2631" i="7"/>
  <c r="O1443" i="7"/>
  <c r="T2629" i="7"/>
  <c r="L1442" i="7"/>
  <c r="T2372" i="7"/>
  <c r="O1440" i="7"/>
  <c r="T2368" i="7"/>
  <c r="T2367" i="7"/>
  <c r="T1436" i="7"/>
  <c r="K1436" i="7"/>
  <c r="O1436" i="7" s="1"/>
  <c r="T1435" i="7"/>
  <c r="K1435" i="7"/>
  <c r="O1435" i="7" s="1"/>
  <c r="T1434" i="7"/>
  <c r="K1434" i="7"/>
  <c r="O1434" i="7" s="1"/>
  <c r="T1433" i="7"/>
  <c r="K1433" i="7"/>
  <c r="O1433" i="7" s="1"/>
  <c r="T1641" i="7"/>
  <c r="O1431" i="7"/>
  <c r="T2364" i="7"/>
  <c r="O1424" i="7"/>
  <c r="T1892" i="7"/>
  <c r="T1639" i="7"/>
  <c r="T2363" i="7"/>
  <c r="T1638" i="7"/>
  <c r="T2362" i="7"/>
  <c r="T2360" i="7"/>
  <c r="T970" i="7"/>
  <c r="O1416" i="7"/>
  <c r="T973" i="7"/>
  <c r="O1427" i="7"/>
  <c r="T1413" i="7"/>
  <c r="H1413" i="7" s="1"/>
  <c r="O1413" i="7"/>
  <c r="T1412" i="7"/>
  <c r="H1412" i="7" s="1"/>
  <c r="O1412" i="7"/>
  <c r="H1411" i="7"/>
  <c r="O1411" i="7"/>
  <c r="O1394" i="7"/>
  <c r="T1634" i="7"/>
  <c r="O1409" i="7"/>
  <c r="T1631" i="7"/>
  <c r="O1408" i="7"/>
  <c r="T1407" i="7"/>
  <c r="H1407" i="7" s="1"/>
  <c r="L1407" i="7"/>
  <c r="K1407" i="7"/>
  <c r="T969" i="7"/>
  <c r="O1404" i="7"/>
  <c r="T1373" i="7"/>
  <c r="K1373" i="7"/>
  <c r="O1373" i="7" s="1"/>
  <c r="T968" i="7"/>
  <c r="O1403" i="7"/>
  <c r="T1402" i="7"/>
  <c r="H1402" i="7" s="1"/>
  <c r="O1402" i="7"/>
  <c r="T1401" i="7"/>
  <c r="K1401" i="7"/>
  <c r="O1401" i="7" s="1"/>
  <c r="T1400" i="7"/>
  <c r="H1400" i="7" s="1"/>
  <c r="O1400" i="7"/>
  <c r="O1397" i="7"/>
  <c r="P1397" i="7" s="1"/>
  <c r="R1397" i="7" s="1"/>
  <c r="O1398" i="7"/>
  <c r="P1398" i="7" s="1"/>
  <c r="R1398" i="7" s="1"/>
  <c r="T1386" i="7"/>
  <c r="K1386" i="7"/>
  <c r="O1386" i="7" s="1"/>
  <c r="T963" i="7"/>
  <c r="T961" i="7"/>
  <c r="T1382" i="7"/>
  <c r="H1382" i="7" s="1"/>
  <c r="K1382" i="7"/>
  <c r="O1382" i="7" s="1"/>
  <c r="T959" i="7"/>
  <c r="H1379" i="7" s="1"/>
  <c r="O1379" i="7"/>
  <c r="T955" i="7"/>
  <c r="H1378" i="7" s="1"/>
  <c r="O1378" i="7"/>
  <c r="T954" i="7"/>
  <c r="T953" i="7"/>
  <c r="T2806" i="7"/>
  <c r="O1372" i="7"/>
  <c r="T1371" i="7"/>
  <c r="K1371" i="7"/>
  <c r="O1371" i="7" s="1"/>
  <c r="T1368" i="7"/>
  <c r="K1368" i="7"/>
  <c r="O1368" i="7" s="1"/>
  <c r="P1368" i="7" s="1"/>
  <c r="R1368" i="7" s="1"/>
  <c r="K1369" i="7"/>
  <c r="O1369" i="7" s="1"/>
  <c r="P1369" i="7" s="1"/>
  <c r="R1369" i="7" s="1"/>
  <c r="T2358" i="7"/>
  <c r="T1367" i="7"/>
  <c r="K1367" i="7"/>
  <c r="O1367" i="7" s="1"/>
  <c r="T2357" i="7"/>
  <c r="T273" i="7"/>
  <c r="T272" i="7"/>
  <c r="O1365" i="7"/>
  <c r="P1365" i="7" s="1"/>
  <c r="R1365" i="7" s="1"/>
  <c r="T271" i="7"/>
  <c r="H1364" i="7" s="1"/>
  <c r="O1364" i="7"/>
  <c r="P1364" i="7" s="1"/>
  <c r="R1364" i="7" s="1"/>
  <c r="T1363" i="7"/>
  <c r="H1363" i="7" s="1"/>
  <c r="T268" i="7"/>
  <c r="H1362" i="7" s="1"/>
  <c r="O1362" i="7"/>
  <c r="P1362" i="7" s="1"/>
  <c r="R1362" i="7" s="1"/>
  <c r="T267" i="7"/>
  <c r="O1361" i="7"/>
  <c r="P1361" i="7" s="1"/>
  <c r="R1361" i="7" s="1"/>
  <c r="T266" i="7"/>
  <c r="O1359" i="7"/>
  <c r="T264" i="7"/>
  <c r="K1354" i="7"/>
  <c r="O1354" i="7" s="1"/>
  <c r="T263" i="7"/>
  <c r="O1355" i="7"/>
  <c r="T258" i="7"/>
  <c r="O1357" i="7"/>
  <c r="T723" i="7"/>
  <c r="O1356" i="7"/>
  <c r="T256" i="7"/>
  <c r="O1353" i="7"/>
  <c r="T1620" i="7"/>
  <c r="T255" i="7"/>
  <c r="T1349" i="7"/>
  <c r="K1349" i="7"/>
  <c r="O1349" i="7" s="1"/>
  <c r="T1347" i="7"/>
  <c r="H1347" i="7" s="1"/>
  <c r="K1347" i="7"/>
  <c r="O1347" i="7" s="1"/>
  <c r="T1348" i="7"/>
  <c r="K1348" i="7"/>
  <c r="O1348" i="7" s="1"/>
  <c r="T1346" i="7"/>
  <c r="H1346" i="7" s="1"/>
  <c r="K1346" i="7"/>
  <c r="O1346" i="7" s="1"/>
  <c r="T1343" i="7"/>
  <c r="H1343" i="7" s="1"/>
  <c r="L1343" i="7"/>
  <c r="M1343" i="7" s="1"/>
  <c r="T1342" i="7"/>
  <c r="L1342" i="7"/>
  <c r="M1342" i="7" s="1"/>
  <c r="K1342" i="7"/>
  <c r="O1345" i="7"/>
  <c r="T1619" i="7"/>
  <c r="T1340" i="7"/>
  <c r="H1340" i="7" s="1"/>
  <c r="O1340" i="7"/>
  <c r="T1338" i="7"/>
  <c r="H1338" i="7" s="1"/>
  <c r="O1338" i="7"/>
  <c r="T1339" i="7"/>
  <c r="H1339" i="7" s="1"/>
  <c r="O1339" i="7"/>
  <c r="O1337" i="7"/>
  <c r="T722" i="7"/>
  <c r="T951" i="7"/>
  <c r="T949" i="7"/>
  <c r="T2749" i="7"/>
  <c r="T2748" i="7"/>
  <c r="T2746" i="7"/>
  <c r="O1334" i="7"/>
  <c r="T2626" i="7"/>
  <c r="O1333" i="7"/>
  <c r="T2625" i="7"/>
  <c r="O1332" i="7"/>
  <c r="T2624" i="7"/>
  <c r="O1331" i="7"/>
  <c r="T2623" i="7"/>
  <c r="O1330" i="7"/>
  <c r="T2622" i="7"/>
  <c r="O1329" i="7"/>
  <c r="T2618" i="7"/>
  <c r="O1328" i="7"/>
  <c r="T1325" i="7"/>
  <c r="H1325" i="7" s="1"/>
  <c r="T1324" i="7"/>
  <c r="T1326" i="7"/>
  <c r="T1322" i="7"/>
  <c r="T1321" i="7"/>
  <c r="T1323" i="7"/>
  <c r="H1323" i="7" s="1"/>
  <c r="T1319" i="7"/>
  <c r="T1320" i="7"/>
  <c r="H1320" i="7" s="1"/>
  <c r="T1318" i="7"/>
  <c r="H1318" i="7" s="1"/>
  <c r="T1314" i="7"/>
  <c r="H1314" i="7" s="1"/>
  <c r="O1314" i="7"/>
  <c r="T1313" i="7"/>
  <c r="H1313" i="7" s="1"/>
  <c r="O1313" i="7"/>
  <c r="T1618" i="7"/>
  <c r="O1316" i="7"/>
  <c r="T1624" i="7"/>
  <c r="O1315" i="7"/>
  <c r="T1306" i="7"/>
  <c r="H1306" i="7" s="1"/>
  <c r="O1306" i="7"/>
  <c r="P1306" i="7" s="1"/>
  <c r="R1306" i="7" s="1"/>
  <c r="T1623" i="7"/>
  <c r="T1622" i="7"/>
  <c r="H1311" i="7" s="1"/>
  <c r="T1309" i="7"/>
  <c r="H1309" i="7" s="1"/>
  <c r="O1309" i="7"/>
  <c r="P1309" i="7" s="1"/>
  <c r="R1309" i="7" s="1"/>
  <c r="T1621" i="7"/>
  <c r="T1307" i="7"/>
  <c r="H1307" i="7" s="1"/>
  <c r="O1307" i="7"/>
  <c r="P1307" i="7" s="1"/>
  <c r="R1307" i="7" s="1"/>
  <c r="K1304" i="7"/>
  <c r="O1304" i="7" s="1"/>
  <c r="T1617" i="7"/>
  <c r="O1303" i="7"/>
  <c r="P1303" i="7" s="1"/>
  <c r="R1303" i="7" s="1"/>
  <c r="T1615" i="7"/>
  <c r="O1302" i="7"/>
  <c r="P1302" i="7" s="1"/>
  <c r="R1302" i="7" s="1"/>
  <c r="T1614" i="7"/>
  <c r="O1301" i="7"/>
  <c r="P1301" i="7" s="1"/>
  <c r="R1301" i="7" s="1"/>
  <c r="O1300" i="7"/>
  <c r="P1300" i="7" s="1"/>
  <c r="R1300" i="7" s="1"/>
  <c r="O1299" i="7"/>
  <c r="P1299" i="7" s="1"/>
  <c r="R1299" i="7" s="1"/>
  <c r="T1601" i="7"/>
  <c r="O1295" i="7"/>
  <c r="P1295" i="7" s="1"/>
  <c r="R1295" i="7" s="1"/>
  <c r="T1600" i="7"/>
  <c r="H1297" i="7" s="1"/>
  <c r="O1297" i="7"/>
  <c r="P1297" i="7" s="1"/>
  <c r="R1297" i="7" s="1"/>
  <c r="T1599" i="7"/>
  <c r="H1599" i="7" s="1"/>
  <c r="O1296" i="7"/>
  <c r="P1296" i="7" s="1"/>
  <c r="R1296" i="7" s="1"/>
  <c r="T1598" i="7"/>
  <c r="O1294" i="7"/>
  <c r="P1294" i="7" s="1"/>
  <c r="R1294" i="7" s="1"/>
  <c r="T1597" i="7"/>
  <c r="O1293" i="7"/>
  <c r="P1293" i="7" s="1"/>
  <c r="R1293" i="7" s="1"/>
  <c r="T1596" i="7"/>
  <c r="O1291" i="7"/>
  <c r="P1291" i="7" s="1"/>
  <c r="R1291" i="7" s="1"/>
  <c r="T1594" i="7"/>
  <c r="O1292" i="7"/>
  <c r="P1292" i="7" s="1"/>
  <c r="R1292" i="7" s="1"/>
  <c r="T1593" i="7"/>
  <c r="O1290" i="7"/>
  <c r="P1290" i="7" s="1"/>
  <c r="R1290" i="7" s="1"/>
  <c r="T1591" i="7"/>
  <c r="O1289" i="7"/>
  <c r="P1289" i="7" s="1"/>
  <c r="R1289" i="7" s="1"/>
  <c r="T1590" i="7"/>
  <c r="T1589" i="7"/>
  <c r="O1287" i="7"/>
  <c r="P1287" i="7" s="1"/>
  <c r="R1287" i="7" s="1"/>
  <c r="T1587" i="7"/>
  <c r="H1286" i="7" s="1"/>
  <c r="T1585" i="7"/>
  <c r="O1285" i="7"/>
  <c r="P1285" i="7" s="1"/>
  <c r="R1285" i="7" s="1"/>
  <c r="T1584" i="7"/>
  <c r="O1284" i="7"/>
  <c r="P1284" i="7" s="1"/>
  <c r="R1284" i="7" s="1"/>
  <c r="T1281" i="7"/>
  <c r="H1281" i="7" s="1"/>
  <c r="K1281" i="7"/>
  <c r="O1281" i="7" s="1"/>
  <c r="T2356" i="7"/>
  <c r="O1279" i="7"/>
  <c r="O1278" i="7"/>
  <c r="P1278" i="7" s="1"/>
  <c r="R1278" i="7" s="1"/>
  <c r="T1611" i="7"/>
  <c r="O1277" i="7"/>
  <c r="P1277" i="7" s="1"/>
  <c r="R1277" i="7" s="1"/>
  <c r="T1609" i="7"/>
  <c r="H1277" i="7" s="1"/>
  <c r="O1276" i="7"/>
  <c r="P1276" i="7" s="1"/>
  <c r="R1276" i="7" s="1"/>
  <c r="T1605" i="7"/>
  <c r="H1276" i="7" s="1"/>
  <c r="O1275" i="7"/>
  <c r="P1275" i="7" s="1"/>
  <c r="R1275" i="7" s="1"/>
  <c r="T1604" i="7"/>
  <c r="H1275" i="7" s="1"/>
  <c r="O1270" i="7"/>
  <c r="T1274" i="7"/>
  <c r="T1273" i="7"/>
  <c r="H1273" i="7" s="1"/>
  <c r="K1273" i="7"/>
  <c r="T945" i="7"/>
  <c r="O1269" i="7"/>
  <c r="T251" i="7"/>
  <c r="O1262" i="7"/>
  <c r="T250" i="7"/>
  <c r="O1268" i="7"/>
  <c r="T1267" i="7"/>
  <c r="O1267" i="7"/>
  <c r="T249" i="7"/>
  <c r="O1266" i="7"/>
  <c r="T247" i="7"/>
  <c r="O1265" i="7"/>
  <c r="O1264" i="7"/>
  <c r="T246" i="7"/>
  <c r="T245" i="7"/>
  <c r="O1263" i="7"/>
  <c r="T244" i="7"/>
  <c r="O1260" i="7"/>
  <c r="T243" i="7"/>
  <c r="O1259" i="7"/>
  <c r="T242" i="7"/>
  <c r="O1258" i="7"/>
  <c r="T1257" i="7"/>
  <c r="H1257" i="7" s="1"/>
  <c r="K1257" i="7"/>
  <c r="T241" i="7"/>
  <c r="O1256" i="7"/>
  <c r="T728" i="7"/>
  <c r="O1255" i="7"/>
  <c r="T1577" i="7"/>
  <c r="O1254" i="7"/>
  <c r="T1578" i="7"/>
  <c r="O1253" i="7"/>
  <c r="T1576" i="7"/>
  <c r="O1247" i="7"/>
  <c r="T727" i="7"/>
  <c r="O1250" i="7"/>
  <c r="O1249" i="7"/>
  <c r="K1246" i="7"/>
  <c r="O1246" i="7" s="1"/>
  <c r="T721" i="7"/>
  <c r="O1245" i="7"/>
  <c r="T720" i="7"/>
  <c r="O1244" i="7"/>
  <c r="T719" i="7"/>
  <c r="O1243" i="7"/>
  <c r="T718" i="7"/>
  <c r="H1242" i="7" s="1"/>
  <c r="O1242" i="7"/>
  <c r="T716" i="7"/>
  <c r="O1241" i="7"/>
  <c r="T1240" i="7"/>
  <c r="H1240" i="7" s="1"/>
  <c r="K1240" i="7"/>
  <c r="O1240" i="7" s="1"/>
  <c r="T714" i="7"/>
  <c r="T713" i="7"/>
  <c r="O1238" i="7"/>
  <c r="T712" i="7"/>
  <c r="O1237" i="7"/>
  <c r="T240" i="7"/>
  <c r="T711" i="7"/>
  <c r="O1235" i="7"/>
  <c r="T1234" i="7"/>
  <c r="H1234" i="7" s="1"/>
  <c r="K1234" i="7"/>
  <c r="T1233" i="7"/>
  <c r="K1233" i="7"/>
  <c r="O1233" i="7" s="1"/>
  <c r="T1232" i="7"/>
  <c r="K1232" i="7"/>
  <c r="O1232" i="7" s="1"/>
  <c r="T1231" i="7"/>
  <c r="K1231" i="7"/>
  <c r="O1231" i="7" s="1"/>
  <c r="T239" i="7"/>
  <c r="O1230" i="7"/>
  <c r="T1229" i="7"/>
  <c r="K1229" i="7"/>
  <c r="O1229" i="7" s="1"/>
  <c r="T1228" i="7"/>
  <c r="O1228" i="7"/>
  <c r="T710" i="7"/>
  <c r="O1227" i="7"/>
  <c r="O1226" i="7"/>
  <c r="T1225" i="7"/>
  <c r="H1225" i="7" s="1"/>
  <c r="K1225" i="7"/>
  <c r="O1225" i="7" s="1"/>
  <c r="T1224" i="7"/>
  <c r="H1224" i="7" s="1"/>
  <c r="K1224" i="7"/>
  <c r="O1224" i="7" s="1"/>
  <c r="T2805" i="7"/>
  <c r="H1223" i="7" s="1"/>
  <c r="O1223" i="7"/>
  <c r="T2802" i="7"/>
  <c r="T2800" i="7"/>
  <c r="O1221" i="7"/>
  <c r="T1219" i="7"/>
  <c r="H1219" i="7" s="1"/>
  <c r="O1219" i="7"/>
  <c r="T2355" i="7"/>
  <c r="O1220" i="7"/>
  <c r="O1212" i="7"/>
  <c r="T2351" i="7"/>
  <c r="O1213" i="7"/>
  <c r="T1572" i="7"/>
  <c r="O1207" i="7"/>
  <c r="T1571" i="7"/>
  <c r="O1206" i="7"/>
  <c r="T2744" i="7"/>
  <c r="H2744" i="7" s="1"/>
  <c r="O1217" i="7"/>
  <c r="T2077" i="7"/>
  <c r="O1214" i="7"/>
  <c r="O1216" i="7"/>
  <c r="T2349" i="7"/>
  <c r="T2348" i="7"/>
  <c r="H1209" i="7" s="1"/>
  <c r="O1209" i="7"/>
  <c r="T1570" i="7"/>
  <c r="H1570" i="7" s="1"/>
  <c r="O1205" i="7"/>
  <c r="T2347" i="7"/>
  <c r="H1204" i="7" s="1"/>
  <c r="O1204" i="7"/>
  <c r="T2346" i="7"/>
  <c r="O1203" i="7"/>
  <c r="T2743" i="7"/>
  <c r="O1202" i="7"/>
  <c r="T2345" i="7"/>
  <c r="O1200" i="7"/>
  <c r="T2344" i="7"/>
  <c r="O1199" i="7"/>
  <c r="T2343" i="7"/>
  <c r="O1198" i="7"/>
  <c r="T2342" i="7"/>
  <c r="O1197" i="7"/>
  <c r="T1196" i="7"/>
  <c r="H1196" i="7" s="1"/>
  <c r="K1196" i="7"/>
  <c r="O1196" i="7" s="1"/>
  <c r="T1566" i="7"/>
  <c r="O1189" i="7"/>
  <c r="T1565" i="7"/>
  <c r="O1183" i="7"/>
  <c r="T1190" i="7"/>
  <c r="K1190" i="7"/>
  <c r="O1190" i="7" s="1"/>
  <c r="T2340" i="7"/>
  <c r="O1193" i="7"/>
  <c r="T2339" i="7"/>
  <c r="O1192" i="7"/>
  <c r="T1184" i="7"/>
  <c r="O1184" i="7"/>
  <c r="T2338" i="7"/>
  <c r="O1186" i="7"/>
  <c r="O1187" i="7"/>
  <c r="T1564" i="7"/>
  <c r="T1563" i="7"/>
  <c r="O1188" i="7"/>
  <c r="T1562" i="7"/>
  <c r="O1182" i="7"/>
  <c r="T1560" i="7"/>
  <c r="O1181" i="7"/>
  <c r="T1559" i="7"/>
  <c r="O1180" i="7"/>
  <c r="O1179" i="7"/>
  <c r="K1178" i="7"/>
  <c r="O1178" i="7" s="1"/>
  <c r="T238" i="7"/>
  <c r="O1177" i="7"/>
  <c r="K1176" i="7"/>
  <c r="O1176" i="7" s="1"/>
  <c r="K1175" i="7"/>
  <c r="O1175" i="7" s="1"/>
  <c r="T236" i="7"/>
  <c r="O1173" i="7"/>
  <c r="T235" i="7"/>
  <c r="O1174" i="7"/>
  <c r="T234" i="7"/>
  <c r="O1172" i="7"/>
  <c r="T1171" i="7"/>
  <c r="K1171" i="7"/>
  <c r="O1171" i="7" s="1"/>
  <c r="T233" i="7"/>
  <c r="O1170" i="7"/>
  <c r="T1169" i="7"/>
  <c r="H1169" i="7" s="1"/>
  <c r="K1169" i="7"/>
  <c r="O1169" i="7" s="1"/>
  <c r="T1168" i="7"/>
  <c r="H1168" i="7" s="1"/>
  <c r="K1168" i="7"/>
  <c r="O1168" i="7" s="1"/>
  <c r="T1167" i="7"/>
  <c r="H1167" i="7" s="1"/>
  <c r="K1167" i="7"/>
  <c r="O1167" i="7" s="1"/>
  <c r="T1166" i="7"/>
  <c r="H1166" i="7" s="1"/>
  <c r="K1166" i="7"/>
  <c r="O1166" i="7" s="1"/>
  <c r="T1165" i="7"/>
  <c r="H1165" i="7" s="1"/>
  <c r="K1165" i="7"/>
  <c r="O1165" i="7" s="1"/>
  <c r="T1164" i="7"/>
  <c r="K1164" i="7"/>
  <c r="O1164" i="7" s="1"/>
  <c r="T1163" i="7"/>
  <c r="H1163" i="7" s="1"/>
  <c r="K1163" i="7"/>
  <c r="O1163" i="7" s="1"/>
  <c r="T231" i="7"/>
  <c r="O1161" i="7"/>
  <c r="T230" i="7"/>
  <c r="K1160" i="7"/>
  <c r="O1160" i="7" s="1"/>
  <c r="O1158" i="7"/>
  <c r="T1158" i="7"/>
  <c r="T1157" i="7"/>
  <c r="K1157" i="7"/>
  <c r="O1157" i="7" s="1"/>
  <c r="T1156" i="7"/>
  <c r="K1156" i="7"/>
  <c r="O1156" i="7" s="1"/>
  <c r="G1156" i="7"/>
  <c r="G1157" i="7" s="1"/>
  <c r="T2798" i="7"/>
  <c r="O1155" i="7"/>
  <c r="O1154" i="7"/>
  <c r="T1154" i="7"/>
  <c r="T2617" i="7"/>
  <c r="O1149" i="7"/>
  <c r="T2331" i="7"/>
  <c r="O1147" i="7"/>
  <c r="T1146" i="7"/>
  <c r="K1146" i="7"/>
  <c r="O1146" i="7" s="1"/>
  <c r="T1152" i="7"/>
  <c r="K1152" i="7"/>
  <c r="O1152" i="7" s="1"/>
  <c r="T1153" i="7"/>
  <c r="K1153" i="7"/>
  <c r="O1153" i="7" s="1"/>
  <c r="T1143" i="7"/>
  <c r="O1143" i="7"/>
  <c r="T1142" i="7"/>
  <c r="K1142" i="7"/>
  <c r="O1142" i="7" s="1"/>
  <c r="T229" i="7"/>
  <c r="O1141" i="7"/>
  <c r="P1141" i="7" s="1"/>
  <c r="R1141" i="7" s="1"/>
  <c r="T228" i="7"/>
  <c r="O1139" i="7"/>
  <c r="P1139" i="7" s="1"/>
  <c r="R1139" i="7" s="1"/>
  <c r="T227" i="7"/>
  <c r="O1140" i="7"/>
  <c r="P1140" i="7" s="1"/>
  <c r="R1140" i="7" s="1"/>
  <c r="T2576" i="7"/>
  <c r="T2712" i="7"/>
  <c r="T2616" i="7"/>
  <c r="T1557" i="7"/>
  <c r="O1135" i="7"/>
  <c r="T1556" i="7"/>
  <c r="K1134" i="7"/>
  <c r="O1134" i="7" s="1"/>
  <c r="T1554" i="7"/>
  <c r="O1133" i="7"/>
  <c r="T943" i="7"/>
  <c r="T941" i="7"/>
  <c r="O1130" i="7"/>
  <c r="T1553" i="7"/>
  <c r="T1129" i="7"/>
  <c r="O1129" i="7"/>
  <c r="T1551" i="7"/>
  <c r="O1127" i="7"/>
  <c r="T1550" i="7"/>
  <c r="O1126" i="7"/>
  <c r="T1548" i="7"/>
  <c r="T1124" i="7"/>
  <c r="K1124" i="7"/>
  <c r="O1124" i="7" s="1"/>
  <c r="T226" i="7"/>
  <c r="O1123" i="7"/>
  <c r="T708" i="7"/>
  <c r="O1122" i="7"/>
  <c r="T225" i="7"/>
  <c r="O1120" i="7"/>
  <c r="T1121" i="7"/>
  <c r="H1121" i="7" s="1"/>
  <c r="O1121" i="7"/>
  <c r="T224" i="7"/>
  <c r="H224" i="7" s="1"/>
  <c r="O1119" i="7"/>
  <c r="T223" i="7"/>
  <c r="O1118" i="7"/>
  <c r="T1117" i="7"/>
  <c r="O1117" i="7"/>
  <c r="T222" i="7"/>
  <c r="H222" i="7" s="1"/>
  <c r="O1116" i="7"/>
  <c r="T1547" i="7"/>
  <c r="O1115" i="7"/>
  <c r="T2328" i="7"/>
  <c r="O1114" i="7"/>
  <c r="T1546" i="7"/>
  <c r="O1705" i="7"/>
  <c r="T2741" i="7"/>
  <c r="K1112" i="7"/>
  <c r="O1112" i="7" s="1"/>
  <c r="T1110" i="7"/>
  <c r="K1110" i="7"/>
  <c r="O1110" i="7" s="1"/>
  <c r="T2740" i="7"/>
  <c r="O1111" i="7"/>
  <c r="T1545" i="7"/>
  <c r="O1109" i="7"/>
  <c r="T1543" i="7"/>
  <c r="O1107" i="7"/>
  <c r="T2739" i="7"/>
  <c r="O1106" i="7"/>
  <c r="T1542" i="7"/>
  <c r="O1105" i="7"/>
  <c r="T1540" i="7"/>
  <c r="O1104" i="7"/>
  <c r="T1539" i="7"/>
  <c r="O1103" i="7"/>
  <c r="T1538" i="7"/>
  <c r="O1101" i="7"/>
  <c r="T2738" i="7"/>
  <c r="O1100" i="7"/>
  <c r="T2737" i="7"/>
  <c r="O1099" i="7"/>
  <c r="T1523" i="7"/>
  <c r="O1097" i="7"/>
  <c r="T1534" i="7"/>
  <c r="O1096" i="7"/>
  <c r="T1533" i="7"/>
  <c r="O1095" i="7"/>
  <c r="T1532" i="7"/>
  <c r="O1093" i="7"/>
  <c r="T1092" i="7"/>
  <c r="K1092" i="7"/>
  <c r="O1092" i="7" s="1"/>
  <c r="T707" i="7"/>
  <c r="O1091" i="7"/>
  <c r="T1090" i="7"/>
  <c r="K1090" i="7"/>
  <c r="O1090" i="7" s="1"/>
  <c r="T1089" i="7"/>
  <c r="K1089" i="7"/>
  <c r="O1089" i="7" s="1"/>
  <c r="T706" i="7"/>
  <c r="O1088" i="7"/>
  <c r="T1087" i="7"/>
  <c r="K1087" i="7"/>
  <c r="O1087" i="7" s="1"/>
  <c r="T705" i="7"/>
  <c r="O1086" i="7"/>
  <c r="T703" i="7"/>
  <c r="O1085" i="7"/>
  <c r="T702" i="7"/>
  <c r="O1084" i="7"/>
  <c r="O1083" i="7"/>
  <c r="T700" i="7"/>
  <c r="O1082" i="7"/>
  <c r="T1081" i="7"/>
  <c r="K1081" i="7"/>
  <c r="O1081" i="7" s="1"/>
  <c r="T699" i="7"/>
  <c r="O1080" i="7"/>
  <c r="T1522" i="7"/>
  <c r="O1079" i="7"/>
  <c r="T1078" i="7"/>
  <c r="O1078" i="7"/>
  <c r="T940" i="7"/>
  <c r="O1077" i="7"/>
  <c r="T1076" i="7"/>
  <c r="O1076" i="7"/>
  <c r="T1075" i="7"/>
  <c r="H1075" i="7" s="1"/>
  <c r="K1075" i="7"/>
  <c r="O1075" i="7" s="1"/>
  <c r="T221" i="7"/>
  <c r="H221" i="7" s="1"/>
  <c r="O1071" i="7"/>
  <c r="T939" i="7"/>
  <c r="O1070" i="7"/>
  <c r="T1519" i="7"/>
  <c r="H1073" i="7" s="1"/>
  <c r="O1073" i="7"/>
  <c r="O1069" i="7"/>
  <c r="T934" i="7"/>
  <c r="O1068" i="7"/>
  <c r="O1067" i="7"/>
  <c r="T2074" i="7"/>
  <c r="O1066" i="7"/>
  <c r="T2329" i="7"/>
  <c r="O1072" i="7"/>
  <c r="T2326" i="7"/>
  <c r="T1514" i="7"/>
  <c r="O1064" i="7"/>
  <c r="T1513" i="7"/>
  <c r="O1063" i="7"/>
  <c r="T1062" i="7"/>
  <c r="H1062" i="7" s="1"/>
  <c r="O1062" i="7"/>
  <c r="T1061" i="7"/>
  <c r="O1061" i="7"/>
  <c r="T1060" i="7"/>
  <c r="O1060" i="7"/>
  <c r="T1059" i="7"/>
  <c r="O1059" i="7"/>
  <c r="T1058" i="7"/>
  <c r="O1058" i="7"/>
  <c r="T1057" i="7"/>
  <c r="H1057" i="7" s="1"/>
  <c r="O1057" i="7"/>
  <c r="T1056" i="7"/>
  <c r="O1056" i="7"/>
  <c r="T1055" i="7"/>
  <c r="O1055" i="7"/>
  <c r="T1054" i="7"/>
  <c r="O1054" i="7"/>
  <c r="T1053" i="7"/>
  <c r="O1053" i="7"/>
  <c r="T1051" i="7"/>
  <c r="O1051" i="7"/>
  <c r="T1512" i="7"/>
  <c r="O1050" i="7"/>
  <c r="T1511" i="7"/>
  <c r="O1049" i="7"/>
  <c r="T1510" i="7"/>
  <c r="O1048" i="7"/>
  <c r="T1505" i="7"/>
  <c r="H1505" i="7" s="1"/>
  <c r="O1047" i="7"/>
  <c r="T1507" i="7"/>
  <c r="O1046" i="7"/>
  <c r="T1506" i="7"/>
  <c r="H1506" i="7" s="1"/>
  <c r="O1045" i="7"/>
  <c r="T1502" i="7"/>
  <c r="O1044" i="7"/>
  <c r="T1498" i="7"/>
  <c r="T1494" i="7"/>
  <c r="T1492" i="7"/>
  <c r="T1491" i="7"/>
  <c r="T1490" i="7"/>
  <c r="T1489" i="7"/>
  <c r="T1488" i="7"/>
  <c r="T1487" i="7"/>
  <c r="T1486" i="7"/>
  <c r="T1484" i="7"/>
  <c r="O1032" i="7"/>
  <c r="T1483" i="7"/>
  <c r="O1030" i="7"/>
  <c r="T1482" i="7"/>
  <c r="O1029" i="7"/>
  <c r="T1480" i="7"/>
  <c r="H1480" i="7" s="1"/>
  <c r="O1028" i="7"/>
  <c r="T1479" i="7"/>
  <c r="H1479" i="7" s="1"/>
  <c r="T697" i="7"/>
  <c r="O1024" i="7"/>
  <c r="T695" i="7"/>
  <c r="O1022" i="7"/>
  <c r="T694" i="7"/>
  <c r="O1021" i="7"/>
  <c r="T1020" i="7"/>
  <c r="H1020" i="7" s="1"/>
  <c r="O1020" i="7"/>
  <c r="T1019" i="7"/>
  <c r="O1019" i="7"/>
  <c r="T1018" i="7"/>
  <c r="O1018" i="7"/>
  <c r="T1017" i="7"/>
  <c r="O1017" i="7"/>
  <c r="T933" i="7"/>
  <c r="T932" i="7"/>
  <c r="O1014" i="7"/>
  <c r="T1014" i="7"/>
  <c r="T931" i="7"/>
  <c r="T930" i="7"/>
  <c r="O1009" i="7"/>
  <c r="T929" i="7"/>
  <c r="O1013" i="7"/>
  <c r="T928" i="7"/>
  <c r="O1012" i="7"/>
  <c r="T936" i="7"/>
  <c r="O1011" i="7"/>
  <c r="T935" i="7"/>
  <c r="O1008" i="7"/>
  <c r="T926" i="7"/>
  <c r="O1007" i="7"/>
  <c r="T925" i="7"/>
  <c r="O1006" i="7"/>
  <c r="T1476" i="7"/>
  <c r="T2327" i="7"/>
  <c r="T2325" i="7"/>
  <c r="T1002" i="7"/>
  <c r="K1002" i="7"/>
  <c r="O1002" i="7" s="1"/>
  <c r="T1001" i="7"/>
  <c r="K1001" i="7"/>
  <c r="O1001" i="7" s="1"/>
  <c r="T999" i="7"/>
  <c r="K999" i="7"/>
  <c r="O999" i="7" s="1"/>
  <c r="T219" i="7"/>
  <c r="O998" i="7"/>
  <c r="T217" i="7"/>
  <c r="O1000" i="7"/>
  <c r="T996" i="7"/>
  <c r="H996" i="7" s="1"/>
  <c r="K996" i="7"/>
  <c r="O996" i="7" s="1"/>
  <c r="T1474" i="7"/>
  <c r="O997" i="7"/>
  <c r="T216" i="7"/>
  <c r="O995" i="7"/>
  <c r="T994" i="7"/>
  <c r="K994" i="7"/>
  <c r="O994" i="7" s="1"/>
  <c r="T993" i="7"/>
  <c r="O993" i="7"/>
  <c r="T693" i="7"/>
  <c r="O992" i="7"/>
  <c r="T691" i="7"/>
  <c r="K990" i="7"/>
  <c r="O990" i="7" s="1"/>
  <c r="T989" i="7"/>
  <c r="K989" i="7"/>
  <c r="O989" i="7" s="1"/>
  <c r="T988" i="7"/>
  <c r="K988" i="7"/>
  <c r="O988" i="7" s="1"/>
  <c r="T690" i="7"/>
  <c r="O987" i="7"/>
  <c r="T688" i="7"/>
  <c r="O986" i="7"/>
  <c r="T985" i="7"/>
  <c r="H985" i="7" s="1"/>
  <c r="K985" i="7"/>
  <c r="O985" i="7" s="1"/>
  <c r="T983" i="7"/>
  <c r="K983" i="7"/>
  <c r="O983" i="7" s="1"/>
  <c r="T982" i="7"/>
  <c r="K982" i="7"/>
  <c r="O982" i="7" s="1"/>
  <c r="T924" i="7"/>
  <c r="O981" i="7"/>
  <c r="T922" i="7"/>
  <c r="O980" i="7"/>
  <c r="T921" i="7"/>
  <c r="H979" i="7" s="1"/>
  <c r="O979" i="7"/>
  <c r="T920" i="7"/>
  <c r="O978" i="7"/>
  <c r="T919" i="7"/>
  <c r="O977" i="7"/>
  <c r="T976" i="7"/>
  <c r="K976" i="7"/>
  <c r="O976" i="7" s="1"/>
  <c r="T1473" i="7"/>
  <c r="O975" i="7"/>
  <c r="T972" i="7"/>
  <c r="K972" i="7"/>
  <c r="O972" i="7" s="1"/>
  <c r="T2880" i="7"/>
  <c r="H971" i="7" s="1"/>
  <c r="O971" i="7"/>
  <c r="T2322" i="7"/>
  <c r="T2320" i="7"/>
  <c r="T2319" i="7"/>
  <c r="T2318" i="7"/>
  <c r="O969" i="7"/>
  <c r="K966" i="7"/>
  <c r="T2305" i="7"/>
  <c r="E961" i="7"/>
  <c r="F961" i="7" s="1"/>
  <c r="T2301" i="7"/>
  <c r="E960" i="7"/>
  <c r="F960" i="7" s="1"/>
  <c r="T2299" i="7"/>
  <c r="O959" i="7"/>
  <c r="T958" i="7"/>
  <c r="K958" i="7"/>
  <c r="O958" i="7" s="1"/>
  <c r="T957" i="7"/>
  <c r="K957" i="7"/>
  <c r="O957" i="7" s="1"/>
  <c r="T956" i="7"/>
  <c r="K956" i="7"/>
  <c r="O956" i="7" s="1"/>
  <c r="T1472" i="7"/>
  <c r="O955" i="7"/>
  <c r="T2710" i="7"/>
  <c r="K946" i="7"/>
  <c r="O946" i="7" s="1"/>
  <c r="T947" i="7"/>
  <c r="K947" i="7"/>
  <c r="O947" i="7" s="1"/>
  <c r="T2615" i="7"/>
  <c r="O953" i="7"/>
  <c r="T952" i="7"/>
  <c r="K952" i="7"/>
  <c r="O952" i="7" s="1"/>
  <c r="T950" i="7"/>
  <c r="H950" i="7" s="1"/>
  <c r="K950" i="7"/>
  <c r="O950" i="7" s="1"/>
  <c r="T2796" i="7"/>
  <c r="O949" i="7"/>
  <c r="T212" i="7"/>
  <c r="O943" i="7"/>
  <c r="T211" i="7"/>
  <c r="O942" i="7"/>
  <c r="T210" i="7"/>
  <c r="O941" i="7"/>
  <c r="T944" i="7"/>
  <c r="K944" i="7"/>
  <c r="O944" i="7" s="1"/>
  <c r="T917" i="7"/>
  <c r="O940" i="7"/>
  <c r="T916" i="7"/>
  <c r="O939" i="7"/>
  <c r="T2297" i="7"/>
  <c r="T2290" i="7"/>
  <c r="O936" i="7"/>
  <c r="T2289" i="7"/>
  <c r="O935" i="7"/>
  <c r="T2073" i="7"/>
  <c r="O934" i="7"/>
  <c r="T2072" i="7"/>
  <c r="O932" i="7"/>
  <c r="T2070" i="7"/>
  <c r="O933" i="7"/>
  <c r="T2069" i="7"/>
  <c r="O931" i="7"/>
  <c r="T2288" i="7"/>
  <c r="O930" i="7"/>
  <c r="T2287" i="7"/>
  <c r="O929" i="7"/>
  <c r="T2285" i="7"/>
  <c r="O928" i="7"/>
  <c r="T1466" i="7"/>
  <c r="T1465" i="7"/>
  <c r="T1471" i="7"/>
  <c r="O922" i="7"/>
  <c r="T1470" i="7"/>
  <c r="O921" i="7"/>
  <c r="T1469" i="7"/>
  <c r="O920" i="7"/>
  <c r="T2284" i="7"/>
  <c r="O919" i="7"/>
  <c r="P919" i="7" s="1"/>
  <c r="R919" i="7" s="1"/>
  <c r="T2283" i="7"/>
  <c r="O918" i="7"/>
  <c r="P918" i="7" s="1"/>
  <c r="R918" i="7" s="1"/>
  <c r="T2736" i="7"/>
  <c r="O917" i="7"/>
  <c r="P917" i="7" s="1"/>
  <c r="R917" i="7" s="1"/>
  <c r="T2735" i="7"/>
  <c r="O916" i="7"/>
  <c r="P916" i="7" s="1"/>
  <c r="R916" i="7" s="1"/>
  <c r="T2734" i="7"/>
  <c r="O913" i="7"/>
  <c r="P913" i="7" s="1"/>
  <c r="R913" i="7" s="1"/>
  <c r="T2733" i="7"/>
  <c r="O915" i="7"/>
  <c r="P915" i="7" s="1"/>
  <c r="R915" i="7" s="1"/>
  <c r="T2732" i="7"/>
  <c r="O914" i="7"/>
  <c r="P914" i="7" s="1"/>
  <c r="R914" i="7" s="1"/>
  <c r="T2278" i="7"/>
  <c r="O895" i="7"/>
  <c r="P895" i="7" s="1"/>
  <c r="R895" i="7" s="1"/>
  <c r="T1461" i="7"/>
  <c r="O903" i="7"/>
  <c r="P903" i="7" s="1"/>
  <c r="R903" i="7" s="1"/>
  <c r="T1457" i="7"/>
  <c r="O899" i="7"/>
  <c r="P899" i="7" s="1"/>
  <c r="R899" i="7" s="1"/>
  <c r="T1456" i="7"/>
  <c r="O891" i="7"/>
  <c r="T874" i="7"/>
  <c r="H874" i="7" s="1"/>
  <c r="K874" i="7"/>
  <c r="O874" i="7" s="1"/>
  <c r="T873" i="7"/>
  <c r="K873" i="7"/>
  <c r="O873" i="7" s="1"/>
  <c r="T1453" i="7"/>
  <c r="O877" i="7"/>
  <c r="T876" i="7"/>
  <c r="K876" i="7"/>
  <c r="O876" i="7" s="1"/>
  <c r="T875" i="7"/>
  <c r="K875" i="7"/>
  <c r="O875" i="7" s="1"/>
  <c r="T872" i="7"/>
  <c r="K872" i="7"/>
  <c r="O872" i="7" s="1"/>
  <c r="T867" i="7"/>
  <c r="K867" i="7"/>
  <c r="O867" i="7" s="1"/>
  <c r="T868" i="7"/>
  <c r="K868" i="7"/>
  <c r="O868" i="7" s="1"/>
  <c r="T1451" i="7"/>
  <c r="O889" i="7"/>
  <c r="T1449" i="7"/>
  <c r="O888" i="7"/>
  <c r="T1448" i="7"/>
  <c r="O887" i="7"/>
  <c r="T1445" i="7"/>
  <c r="O886" i="7"/>
  <c r="T1444" i="7"/>
  <c r="O885" i="7"/>
  <c r="T1443" i="7"/>
  <c r="O884" i="7"/>
  <c r="T1442" i="7"/>
  <c r="O883" i="7"/>
  <c r="T1440" i="7"/>
  <c r="O890" i="7"/>
  <c r="T1439" i="7"/>
  <c r="O880" i="7"/>
  <c r="T1438" i="7"/>
  <c r="O879" i="7"/>
  <c r="T1437" i="7"/>
  <c r="O878" i="7"/>
  <c r="O866" i="7"/>
  <c r="T1431" i="7"/>
  <c r="O865" i="7"/>
  <c r="T1430" i="7"/>
  <c r="O864" i="7"/>
  <c r="T1429" i="7"/>
  <c r="O861" i="7"/>
  <c r="T1428" i="7"/>
  <c r="O863" i="7"/>
  <c r="T1427" i="7"/>
  <c r="O862" i="7"/>
  <c r="T1426" i="7"/>
  <c r="O860" i="7"/>
  <c r="T915" i="7"/>
  <c r="O858" i="7"/>
  <c r="P858" i="7" s="1"/>
  <c r="R858" i="7" s="1"/>
  <c r="O856" i="7"/>
  <c r="P856" i="7" s="1"/>
  <c r="R856" i="7" s="1"/>
  <c r="O849" i="7"/>
  <c r="P849" i="7" s="1"/>
  <c r="R849" i="7" s="1"/>
  <c r="M848" i="7"/>
  <c r="K848" i="7"/>
  <c r="T2277" i="7"/>
  <c r="E846" i="7"/>
  <c r="F846" i="7" s="1"/>
  <c r="T1420" i="7"/>
  <c r="O845" i="7"/>
  <c r="T1418" i="7"/>
  <c r="O844" i="7"/>
  <c r="T1416" i="7"/>
  <c r="T1414" i="7"/>
  <c r="O840" i="7"/>
  <c r="T1409" i="7"/>
  <c r="O838" i="7"/>
  <c r="T1408" i="7"/>
  <c r="O837" i="7"/>
  <c r="T1406" i="7"/>
  <c r="O836" i="7"/>
  <c r="T1405" i="7"/>
  <c r="O835" i="7"/>
  <c r="T1404" i="7"/>
  <c r="O834" i="7"/>
  <c r="T2614" i="7"/>
  <c r="F833" i="7"/>
  <c r="T205" i="7"/>
  <c r="O832" i="7"/>
  <c r="T2269" i="7"/>
  <c r="T204" i="7"/>
  <c r="O831" i="7"/>
  <c r="T203" i="7"/>
  <c r="O830" i="7"/>
  <c r="T202" i="7"/>
  <c r="O829" i="7"/>
  <c r="T828" i="7"/>
  <c r="H828" i="7" s="1"/>
  <c r="K828" i="7"/>
  <c r="O828" i="7" s="1"/>
  <c r="T905" i="7"/>
  <c r="O827" i="7"/>
  <c r="T682" i="7"/>
  <c r="O826" i="7"/>
  <c r="T1403" i="7"/>
  <c r="K820" i="7"/>
  <c r="O820" i="7" s="1"/>
  <c r="T1398" i="7"/>
  <c r="K819" i="7"/>
  <c r="O819" i="7" s="1"/>
  <c r="T1397" i="7"/>
  <c r="H1397" i="7" s="1"/>
  <c r="K818" i="7"/>
  <c r="O818" i="7" s="1"/>
  <c r="T1395" i="7"/>
  <c r="O825" i="7"/>
  <c r="T1394" i="7"/>
  <c r="O824" i="7"/>
  <c r="T823" i="7"/>
  <c r="O823" i="7"/>
  <c r="T1393" i="7"/>
  <c r="O821" i="7"/>
  <c r="T1391" i="7"/>
  <c r="O822" i="7"/>
  <c r="T678" i="7"/>
  <c r="O817" i="7"/>
  <c r="T675" i="7"/>
  <c r="O816" i="7"/>
  <c r="T815" i="7"/>
  <c r="K815" i="7"/>
  <c r="O815" i="7" s="1"/>
  <c r="T814" i="7"/>
  <c r="K814" i="7"/>
  <c r="O814" i="7" s="1"/>
  <c r="T674" i="7"/>
  <c r="O811" i="7"/>
  <c r="T672" i="7"/>
  <c r="O810" i="7"/>
  <c r="O809" i="7"/>
  <c r="T668" i="7"/>
  <c r="O808" i="7"/>
  <c r="O807" i="7"/>
  <c r="T669" i="7"/>
  <c r="O806" i="7"/>
  <c r="T1385" i="7"/>
  <c r="O803" i="7"/>
  <c r="T1384" i="7"/>
  <c r="O802" i="7"/>
  <c r="T1383" i="7"/>
  <c r="O805" i="7"/>
  <c r="T904" i="7"/>
  <c r="O804" i="7"/>
  <c r="O798" i="7"/>
  <c r="T798" i="7"/>
  <c r="T1377" i="7"/>
  <c r="K797" i="7"/>
  <c r="O797" i="7" s="1"/>
  <c r="T796" i="7"/>
  <c r="K796" i="7"/>
  <c r="O796" i="7" s="1"/>
  <c r="P796" i="7" s="1"/>
  <c r="R796" i="7" s="1"/>
  <c r="T793" i="7"/>
  <c r="K793" i="7"/>
  <c r="O793" i="7" s="1"/>
  <c r="T1376" i="7"/>
  <c r="O795" i="7"/>
  <c r="T1375" i="7"/>
  <c r="H1375" i="7" s="1"/>
  <c r="O794" i="7"/>
  <c r="T2613" i="7"/>
  <c r="O792" i="7"/>
  <c r="T2612" i="7"/>
  <c r="T790" i="7"/>
  <c r="H790" i="7" s="1"/>
  <c r="L790" i="7"/>
  <c r="O790" i="7" s="1"/>
  <c r="T1374" i="7"/>
  <c r="H1374" i="7" s="1"/>
  <c r="T1372" i="7"/>
  <c r="O787" i="7"/>
  <c r="P787" i="7" s="1"/>
  <c r="R787" i="7" s="1"/>
  <c r="T786" i="7"/>
  <c r="K786" i="7"/>
  <c r="O786" i="7" s="1"/>
  <c r="T1366" i="7"/>
  <c r="O784" i="7"/>
  <c r="P784" i="7" s="1"/>
  <c r="R784" i="7" s="1"/>
  <c r="T1365" i="7"/>
  <c r="O782" i="7"/>
  <c r="P782" i="7" s="1"/>
  <c r="R782" i="7" s="1"/>
  <c r="T1361" i="7"/>
  <c r="O780" i="7"/>
  <c r="T201" i="7"/>
  <c r="O779" i="7"/>
  <c r="T200" i="7"/>
  <c r="O778" i="7"/>
  <c r="T777" i="7"/>
  <c r="K777" i="7"/>
  <c r="O777" i="7" s="1"/>
  <c r="T195" i="7"/>
  <c r="O774" i="7"/>
  <c r="T901" i="7"/>
  <c r="O773" i="7"/>
  <c r="T194" i="7"/>
  <c r="H770" i="7" s="1"/>
  <c r="K770" i="7"/>
  <c r="T769" i="7"/>
  <c r="O769" i="7"/>
  <c r="P769" i="7" s="1"/>
  <c r="R769" i="7" s="1"/>
  <c r="T193" i="7"/>
  <c r="O768" i="7"/>
  <c r="P768" i="7" s="1"/>
  <c r="R768" i="7" s="1"/>
  <c r="T192" i="7"/>
  <c r="O753" i="7"/>
  <c r="T764" i="7"/>
  <c r="L764" i="7"/>
  <c r="O764" i="7" s="1"/>
  <c r="T190" i="7"/>
  <c r="O763" i="7"/>
  <c r="T189" i="7"/>
  <c r="O762" i="7"/>
  <c r="T188" i="7"/>
  <c r="O761" i="7"/>
  <c r="T759" i="7"/>
  <c r="H759" i="7" s="1"/>
  <c r="O759" i="7"/>
  <c r="T760" i="7"/>
  <c r="H760" i="7" s="1"/>
  <c r="O760" i="7"/>
  <c r="T187" i="7"/>
  <c r="T186" i="7"/>
  <c r="T182" i="7"/>
  <c r="O756" i="7"/>
  <c r="T181" i="7"/>
  <c r="O755" i="7"/>
  <c r="T754" i="7"/>
  <c r="H754" i="7" s="1"/>
  <c r="O754" i="7"/>
  <c r="T179" i="7"/>
  <c r="O751" i="7"/>
  <c r="T178" i="7"/>
  <c r="O750" i="7"/>
  <c r="T172" i="7"/>
  <c r="O746" i="7"/>
  <c r="T168" i="7"/>
  <c r="O745" i="7"/>
  <c r="T170" i="7"/>
  <c r="O744" i="7"/>
  <c r="T167" i="7"/>
  <c r="O743" i="7"/>
  <c r="T742" i="7"/>
  <c r="O742" i="7"/>
  <c r="T166" i="7"/>
  <c r="H741" i="7" s="1"/>
  <c r="O741" i="7"/>
  <c r="T666" i="7"/>
  <c r="K767" i="7"/>
  <c r="O767" i="7" s="1"/>
  <c r="T2268" i="7"/>
  <c r="T2267" i="7"/>
  <c r="T665" i="7"/>
  <c r="O739" i="7"/>
  <c r="T664" i="7"/>
  <c r="O738" i="7"/>
  <c r="T656" i="7"/>
  <c r="O737" i="7"/>
  <c r="T659" i="7"/>
  <c r="O736" i="7"/>
  <c r="T740" i="7"/>
  <c r="O740" i="7"/>
  <c r="T2266" i="7"/>
  <c r="H735" i="7" s="1"/>
  <c r="O735" i="7"/>
  <c r="T2265" i="7"/>
  <c r="O734" i="7"/>
  <c r="T2264" i="7"/>
  <c r="O733" i="7"/>
  <c r="T2263" i="7"/>
  <c r="O732" i="7"/>
  <c r="T2262" i="7"/>
  <c r="O731" i="7"/>
  <c r="T2261" i="7"/>
  <c r="O730" i="7"/>
  <c r="T2260" i="7"/>
  <c r="O729" i="7"/>
  <c r="T2259" i="7"/>
  <c r="O728" i="7"/>
  <c r="T2258" i="7"/>
  <c r="O727" i="7"/>
  <c r="T2257" i="7"/>
  <c r="O726" i="7"/>
  <c r="T2256" i="7"/>
  <c r="O725" i="7"/>
  <c r="T2254" i="7"/>
  <c r="O724" i="7"/>
  <c r="T2253" i="7"/>
  <c r="O723" i="7"/>
  <c r="T2252" i="7"/>
  <c r="O722" i="7"/>
  <c r="T2244" i="7"/>
  <c r="O721" i="7"/>
  <c r="T2241" i="7"/>
  <c r="O720" i="7"/>
  <c r="T2239" i="7"/>
  <c r="O718" i="7"/>
  <c r="O716" i="7"/>
  <c r="T2235" i="7"/>
  <c r="O714" i="7"/>
  <c r="T2238" i="7"/>
  <c r="O713" i="7"/>
  <c r="T2234" i="7"/>
  <c r="O712" i="7"/>
  <c r="T2232" i="7"/>
  <c r="O711" i="7"/>
  <c r="T2231" i="7"/>
  <c r="O710" i="7"/>
  <c r="T2224" i="7"/>
  <c r="O709" i="7"/>
  <c r="O708" i="7"/>
  <c r="O707" i="7"/>
  <c r="O706" i="7"/>
  <c r="O705" i="7"/>
  <c r="T704" i="7"/>
  <c r="K704" i="7"/>
  <c r="O704" i="7" s="1"/>
  <c r="T1359" i="7"/>
  <c r="H1359" i="7" s="1"/>
  <c r="T165" i="7"/>
  <c r="O702" i="7"/>
  <c r="O703" i="7"/>
  <c r="O701" i="7"/>
  <c r="O700" i="7"/>
  <c r="T1358" i="7"/>
  <c r="O699" i="7"/>
  <c r="T698" i="7"/>
  <c r="K698" i="7"/>
  <c r="O698" i="7" s="1"/>
  <c r="T1356" i="7"/>
  <c r="O696" i="7"/>
  <c r="T2731" i="7"/>
  <c r="O695" i="7"/>
  <c r="T1355" i="7"/>
  <c r="K694" i="7"/>
  <c r="O694" i="7" s="1"/>
  <c r="O693" i="7"/>
  <c r="T1354" i="7"/>
  <c r="T1353" i="7"/>
  <c r="O691" i="7"/>
  <c r="T2222" i="7"/>
  <c r="O690" i="7"/>
  <c r="T1351" i="7"/>
  <c r="O688" i="7"/>
  <c r="P688" i="7" s="1"/>
  <c r="R688" i="7" s="1"/>
  <c r="T687" i="7"/>
  <c r="K687" i="7"/>
  <c r="O687" i="7" s="1"/>
  <c r="T686" i="7"/>
  <c r="K686" i="7"/>
  <c r="O686" i="7" s="1"/>
  <c r="T685" i="7"/>
  <c r="K685" i="7"/>
  <c r="O685" i="7" s="1"/>
  <c r="T2221" i="7"/>
  <c r="O684" i="7"/>
  <c r="T683" i="7"/>
  <c r="O683" i="7"/>
  <c r="T899" i="7"/>
  <c r="O682" i="7"/>
  <c r="T681" i="7"/>
  <c r="K681" i="7"/>
  <c r="O681" i="7" s="1"/>
  <c r="T680" i="7"/>
  <c r="L680" i="7"/>
  <c r="K680" i="7"/>
  <c r="T679" i="7"/>
  <c r="O679" i="7"/>
  <c r="T1350" i="7"/>
  <c r="O678" i="7"/>
  <c r="T677" i="7"/>
  <c r="K677" i="7"/>
  <c r="O677" i="7" s="1"/>
  <c r="T676" i="7"/>
  <c r="K676" i="7"/>
  <c r="O676" i="7" s="1"/>
  <c r="T898" i="7"/>
  <c r="O675" i="7"/>
  <c r="T673" i="7"/>
  <c r="L673" i="7"/>
  <c r="K673" i="7"/>
  <c r="O674" i="7"/>
  <c r="T161" i="7"/>
  <c r="O672" i="7"/>
  <c r="T671" i="7"/>
  <c r="K671" i="7"/>
  <c r="O671" i="7" s="1"/>
  <c r="T2219" i="7"/>
  <c r="O670" i="7"/>
  <c r="T895" i="7"/>
  <c r="O668" i="7"/>
  <c r="T894" i="7"/>
  <c r="T892" i="7"/>
  <c r="O669" i="7"/>
  <c r="T891" i="7"/>
  <c r="O666" i="7"/>
  <c r="T890" i="7"/>
  <c r="O665" i="7"/>
  <c r="T1345" i="7"/>
  <c r="T1344" i="7"/>
  <c r="T1341" i="7"/>
  <c r="O662" i="7"/>
  <c r="T1337" i="7"/>
  <c r="T2215" i="7"/>
  <c r="T1336" i="7"/>
  <c r="T1335" i="7"/>
  <c r="O658" i="7"/>
  <c r="T1334" i="7"/>
  <c r="T2214" i="7"/>
  <c r="T1332" i="7"/>
  <c r="O655" i="7"/>
  <c r="T654" i="7"/>
  <c r="O654" i="7"/>
  <c r="T889" i="7"/>
  <c r="O653" i="7"/>
  <c r="T888" i="7"/>
  <c r="O652" i="7"/>
  <c r="T651" i="7"/>
  <c r="K651" i="7"/>
  <c r="O651" i="7" s="1"/>
  <c r="T650" i="7"/>
  <c r="H650" i="7" s="1"/>
  <c r="L650" i="7"/>
  <c r="K650" i="7"/>
  <c r="T887" i="7"/>
  <c r="O648" i="7"/>
  <c r="T886" i="7"/>
  <c r="O647" i="7"/>
  <c r="T646" i="7"/>
  <c r="H646" i="7" s="1"/>
  <c r="L646" i="7"/>
  <c r="K646" i="7"/>
  <c r="T1331" i="7"/>
  <c r="O644" i="7"/>
  <c r="T643" i="7"/>
  <c r="O643" i="7"/>
  <c r="T2068" i="7"/>
  <c r="O642" i="7"/>
  <c r="T1330" i="7"/>
  <c r="O641" i="7"/>
  <c r="T638" i="7"/>
  <c r="K638" i="7"/>
  <c r="O638" i="7" s="1"/>
  <c r="T637" i="7"/>
  <c r="K637" i="7"/>
  <c r="O637" i="7" s="1"/>
  <c r="T2611" i="7"/>
  <c r="O640" i="7"/>
  <c r="T639" i="7"/>
  <c r="H639" i="7" s="1"/>
  <c r="O639" i="7"/>
  <c r="T2575" i="7"/>
  <c r="O636" i="7"/>
  <c r="T1329" i="7"/>
  <c r="O635" i="7"/>
  <c r="T1328" i="7"/>
  <c r="O629" i="7"/>
  <c r="T1333" i="7"/>
  <c r="T1316" i="7"/>
  <c r="T1315" i="7"/>
  <c r="T2213" i="7"/>
  <c r="T1312" i="7"/>
  <c r="T1304" i="7"/>
  <c r="T1294" i="7"/>
  <c r="O614" i="7"/>
  <c r="T1293" i="7"/>
  <c r="K613" i="7"/>
  <c r="O613" i="7" s="1"/>
  <c r="T1292" i="7"/>
  <c r="O612" i="7"/>
  <c r="T1291" i="7"/>
  <c r="K611" i="7"/>
  <c r="O611" i="7" s="1"/>
  <c r="T1290" i="7"/>
  <c r="K610" i="7"/>
  <c r="O610" i="7" s="1"/>
  <c r="T1289" i="7"/>
  <c r="K590" i="7"/>
  <c r="O590" i="7" s="1"/>
  <c r="T1288" i="7"/>
  <c r="K592" i="7"/>
  <c r="O592" i="7" s="1"/>
  <c r="T1287" i="7"/>
  <c r="K591" i="7"/>
  <c r="O591" i="7" s="1"/>
  <c r="O602" i="7"/>
  <c r="T1285" i="7"/>
  <c r="O598" i="7"/>
  <c r="T1284" i="7"/>
  <c r="O597" i="7"/>
  <c r="O607" i="7"/>
  <c r="T1282" i="7"/>
  <c r="O604" i="7"/>
  <c r="T1303" i="7"/>
  <c r="O603" i="7"/>
  <c r="T2619" i="7"/>
  <c r="O596" i="7"/>
  <c r="O645" i="7"/>
  <c r="T1302" i="7"/>
  <c r="K595" i="7"/>
  <c r="O595" i="7" s="1"/>
  <c r="T594" i="7"/>
  <c r="K594" i="7"/>
  <c r="T2212" i="7"/>
  <c r="T589" i="7"/>
  <c r="O589" i="7"/>
  <c r="P589" i="7" s="1"/>
  <c r="R589" i="7" s="1"/>
  <c r="T588" i="7"/>
  <c r="K588" i="7"/>
  <c r="O588" i="7" s="1"/>
  <c r="P588" i="7" s="1"/>
  <c r="R588" i="7" s="1"/>
  <c r="T2211" i="7"/>
  <c r="T2210" i="7"/>
  <c r="F587" i="7"/>
  <c r="T2209" i="7"/>
  <c r="T1301" i="7"/>
  <c r="O585" i="7"/>
  <c r="T1300" i="7"/>
  <c r="O584" i="7"/>
  <c r="T1299" i="7"/>
  <c r="O583" i="7"/>
  <c r="T1296" i="7"/>
  <c r="O581" i="7"/>
  <c r="T1295" i="7"/>
  <c r="O580" i="7"/>
  <c r="T578" i="7"/>
  <c r="H578" i="7" s="1"/>
  <c r="K578" i="7"/>
  <c r="T579" i="7"/>
  <c r="H579" i="7" s="1"/>
  <c r="O579" i="7"/>
  <c r="T2609" i="7"/>
  <c r="T1278" i="7"/>
  <c r="O574" i="7"/>
  <c r="T572" i="7"/>
  <c r="K572" i="7"/>
  <c r="O572" i="7" s="1"/>
  <c r="T571" i="7"/>
  <c r="K571" i="7"/>
  <c r="O571" i="7" s="1"/>
  <c r="T570" i="7"/>
  <c r="H570" i="7" s="1"/>
  <c r="O570" i="7"/>
  <c r="P570" i="7" s="1"/>
  <c r="R570" i="7" s="1"/>
  <c r="T159" i="7"/>
  <c r="O569" i="7"/>
  <c r="P569" i="7" s="1"/>
  <c r="R569" i="7" s="1"/>
  <c r="T158" i="7"/>
  <c r="O567" i="7"/>
  <c r="P567" i="7" s="1"/>
  <c r="R567" i="7" s="1"/>
  <c r="T156" i="7"/>
  <c r="O566" i="7"/>
  <c r="P566" i="7" s="1"/>
  <c r="R566" i="7" s="1"/>
  <c r="T565" i="7"/>
  <c r="H565" i="7" s="1"/>
  <c r="O565" i="7"/>
  <c r="P565" i="7" s="1"/>
  <c r="R565" i="7" s="1"/>
  <c r="T2729" i="7"/>
  <c r="O556" i="7"/>
  <c r="T1270" i="7"/>
  <c r="O559" i="7"/>
  <c r="T558" i="7"/>
  <c r="K558" i="7"/>
  <c r="O558" i="7" s="1"/>
  <c r="T1269" i="7"/>
  <c r="O563" i="7"/>
  <c r="T2728" i="7"/>
  <c r="O555" i="7"/>
  <c r="T554" i="7"/>
  <c r="H554" i="7" s="1"/>
  <c r="K554" i="7"/>
  <c r="O554" i="7" s="1"/>
  <c r="T658" i="7"/>
  <c r="O553" i="7"/>
  <c r="T2207" i="7"/>
  <c r="T550" i="7"/>
  <c r="H550" i="7" s="1"/>
  <c r="O550" i="7"/>
  <c r="T1268" i="7"/>
  <c r="O551" i="7"/>
  <c r="T1266" i="7"/>
  <c r="O549" i="7"/>
  <c r="T547" i="7"/>
  <c r="H547" i="7" s="1"/>
  <c r="K547" i="7"/>
  <c r="O547" i="7" s="1"/>
  <c r="T546" i="7"/>
  <c r="H546" i="7" s="1"/>
  <c r="O546" i="7"/>
  <c r="T1265" i="7"/>
  <c r="H966" i="7" s="1"/>
  <c r="O545" i="7"/>
  <c r="T544" i="7"/>
  <c r="H544" i="7" s="1"/>
  <c r="K544" i="7"/>
  <c r="O544" i="7" s="1"/>
  <c r="T1264" i="7"/>
  <c r="T2608" i="7"/>
  <c r="O542" i="7"/>
  <c r="T541" i="7"/>
  <c r="K541" i="7"/>
  <c r="O541" i="7" s="1"/>
  <c r="T540" i="7"/>
  <c r="H540" i="7" s="1"/>
  <c r="O540" i="7"/>
  <c r="O539" i="7"/>
  <c r="T538" i="7"/>
  <c r="H538" i="7" s="1"/>
  <c r="K538" i="7"/>
  <c r="O538" i="7" s="1"/>
  <c r="T537" i="7"/>
  <c r="H537" i="7" s="1"/>
  <c r="K537" i="7"/>
  <c r="O537" i="7" s="1"/>
  <c r="K536" i="7"/>
  <c r="O536" i="7" s="1"/>
  <c r="T535" i="7"/>
  <c r="K535" i="7"/>
  <c r="O535" i="7" s="1"/>
  <c r="T657" i="7"/>
  <c r="O534" i="7"/>
  <c r="O533" i="7"/>
  <c r="T532" i="7"/>
  <c r="K532" i="7"/>
  <c r="O532" i="7" s="1"/>
  <c r="T530" i="7"/>
  <c r="K530" i="7"/>
  <c r="O530" i="7" s="1"/>
  <c r="T1263" i="7"/>
  <c r="H964" i="7" s="1"/>
  <c r="O531" i="7"/>
  <c r="T1262" i="7"/>
  <c r="O529" i="7"/>
  <c r="T2067" i="7"/>
  <c r="O528" i="7"/>
  <c r="T157" i="7"/>
  <c r="O524" i="7"/>
  <c r="T153" i="7"/>
  <c r="O523" i="7"/>
  <c r="O522" i="7"/>
  <c r="T152" i="7"/>
  <c r="O521" i="7"/>
  <c r="T660" i="7"/>
  <c r="T149" i="7"/>
  <c r="H527" i="7" s="1"/>
  <c r="O527" i="7"/>
  <c r="T146" i="7"/>
  <c r="O526" i="7"/>
  <c r="T663" i="7"/>
  <c r="O520" i="7"/>
  <c r="T662" i="7"/>
  <c r="O519" i="7"/>
  <c r="T661" i="7"/>
  <c r="O518" i="7"/>
  <c r="T655" i="7"/>
  <c r="O517" i="7"/>
  <c r="O505" i="7"/>
  <c r="T145" i="7"/>
  <c r="T653" i="7"/>
  <c r="O516" i="7"/>
  <c r="T652" i="7"/>
  <c r="O515" i="7"/>
  <c r="T648" i="7"/>
  <c r="O514" i="7"/>
  <c r="O507" i="7"/>
  <c r="T647" i="7"/>
  <c r="O513" i="7"/>
  <c r="T645" i="7"/>
  <c r="O512" i="7"/>
  <c r="T644" i="7"/>
  <c r="O511" i="7"/>
  <c r="T642" i="7"/>
  <c r="O510" i="7"/>
  <c r="T509" i="7"/>
  <c r="O509" i="7"/>
  <c r="O508" i="7"/>
  <c r="T641" i="7"/>
  <c r="O506" i="7"/>
  <c r="T143" i="7"/>
  <c r="T142" i="7"/>
  <c r="O504" i="7"/>
  <c r="T1260" i="7"/>
  <c r="K503" i="7"/>
  <c r="O503" i="7" s="1"/>
  <c r="T502" i="7"/>
  <c r="H502" i="7" s="1"/>
  <c r="K502" i="7"/>
  <c r="O502" i="7" s="1"/>
  <c r="P502" i="7" s="1"/>
  <c r="R502" i="7" s="1"/>
  <c r="T501" i="7"/>
  <c r="K501" i="7"/>
  <c r="O501" i="7" s="1"/>
  <c r="P501" i="7" s="1"/>
  <c r="R501" i="7" s="1"/>
  <c r="T1259" i="7"/>
  <c r="O500" i="7"/>
  <c r="P500" i="7" s="1"/>
  <c r="R500" i="7" s="1"/>
  <c r="T2606" i="7"/>
  <c r="O498" i="7"/>
  <c r="P498" i="7" s="1"/>
  <c r="R498" i="7" s="1"/>
  <c r="T2204" i="7"/>
  <c r="K497" i="7"/>
  <c r="O497" i="7" s="1"/>
  <c r="T2605" i="7"/>
  <c r="T2603" i="7"/>
  <c r="O495" i="7"/>
  <c r="P495" i="7" s="1"/>
  <c r="R495" i="7" s="1"/>
  <c r="T2601" i="7"/>
  <c r="O493" i="7"/>
  <c r="P493" i="7" s="1"/>
  <c r="R493" i="7" s="1"/>
  <c r="T494" i="7"/>
  <c r="K494" i="7"/>
  <c r="O494" i="7" s="1"/>
  <c r="T2599" i="7"/>
  <c r="O492" i="7"/>
  <c r="P492" i="7" s="1"/>
  <c r="R492" i="7" s="1"/>
  <c r="T2203" i="7"/>
  <c r="O491" i="7"/>
  <c r="P491" i="7" s="1"/>
  <c r="R491" i="7" s="1"/>
  <c r="T490" i="7"/>
  <c r="H490" i="7" s="1"/>
  <c r="K490" i="7"/>
  <c r="O490" i="7" s="1"/>
  <c r="P490" i="7" s="1"/>
  <c r="R490" i="7" s="1"/>
  <c r="T2597" i="7"/>
  <c r="O489" i="7"/>
  <c r="T488" i="7"/>
  <c r="H488" i="7" s="1"/>
  <c r="K488" i="7"/>
  <c r="O488" i="7" s="1"/>
  <c r="T487" i="7"/>
  <c r="K487" i="7"/>
  <c r="O487" i="7" s="1"/>
  <c r="P487" i="7" s="1"/>
  <c r="R487" i="7" s="1"/>
  <c r="T486" i="7"/>
  <c r="K486" i="7"/>
  <c r="O486" i="7" s="1"/>
  <c r="P486" i="7" s="1"/>
  <c r="R486" i="7" s="1"/>
  <c r="T485" i="7"/>
  <c r="K485" i="7"/>
  <c r="O485" i="7" s="1"/>
  <c r="P485" i="7" s="1"/>
  <c r="R485" i="7" s="1"/>
  <c r="T484" i="7"/>
  <c r="K484" i="7"/>
  <c r="O484" i="7" s="1"/>
  <c r="P484" i="7" s="1"/>
  <c r="R484" i="7" s="1"/>
  <c r="T2202" i="7"/>
  <c r="O483" i="7"/>
  <c r="P483" i="7" s="1"/>
  <c r="R483" i="7" s="1"/>
  <c r="T2199" i="7"/>
  <c r="O482" i="7"/>
  <c r="P482" i="7" s="1"/>
  <c r="R482" i="7" s="1"/>
  <c r="T481" i="7"/>
  <c r="H481" i="7" s="1"/>
  <c r="K481" i="7"/>
  <c r="O481" i="7" s="1"/>
  <c r="O480" i="7"/>
  <c r="T2198" i="7"/>
  <c r="O479" i="7"/>
  <c r="O478" i="7"/>
  <c r="T2195" i="7"/>
  <c r="O476" i="7"/>
  <c r="T2189" i="7"/>
  <c r="O475" i="7"/>
  <c r="O474" i="7"/>
  <c r="T2185" i="7"/>
  <c r="O473" i="7"/>
  <c r="T2184" i="7"/>
  <c r="O472" i="7"/>
  <c r="T2183" i="7"/>
  <c r="O470" i="7"/>
  <c r="T2186" i="7"/>
  <c r="O469" i="7"/>
  <c r="T2180" i="7"/>
  <c r="O467" i="7"/>
  <c r="T2178" i="7"/>
  <c r="T2177" i="7"/>
  <c r="O466" i="7"/>
  <c r="T2175" i="7"/>
  <c r="O464" i="7"/>
  <c r="O463" i="7"/>
  <c r="T2174" i="7"/>
  <c r="T2172" i="7"/>
  <c r="O462" i="7"/>
  <c r="O460" i="7"/>
  <c r="T2879" i="7"/>
  <c r="T1258" i="7"/>
  <c r="T1256" i="7"/>
  <c r="O457" i="7"/>
  <c r="O456" i="7"/>
  <c r="T141" i="7"/>
  <c r="O455" i="7"/>
  <c r="T140" i="7"/>
  <c r="T451" i="7"/>
  <c r="O451" i="7"/>
  <c r="T1255" i="7"/>
  <c r="O450" i="7"/>
  <c r="T448" i="7"/>
  <c r="K448" i="7"/>
  <c r="O448" i="7" s="1"/>
  <c r="T446" i="7"/>
  <c r="O446" i="7"/>
  <c r="T1254" i="7"/>
  <c r="O443" i="7"/>
  <c r="T444" i="7"/>
  <c r="H444" i="7" s="1"/>
  <c r="K444" i="7"/>
  <c r="O444" i="7" s="1"/>
  <c r="T440" i="7"/>
  <c r="K440" i="7"/>
  <c r="O440" i="7" s="1"/>
  <c r="T438" i="7"/>
  <c r="O438" i="7"/>
  <c r="T435" i="7"/>
  <c r="L435" i="7"/>
  <c r="K435" i="7"/>
  <c r="T436" i="7"/>
  <c r="L436" i="7"/>
  <c r="T1247" i="7"/>
  <c r="O437" i="7"/>
  <c r="T434" i="7"/>
  <c r="H434" i="7" s="1"/>
  <c r="K434" i="7"/>
  <c r="O434" i="7" s="1"/>
  <c r="O433" i="7"/>
  <c r="T432" i="7"/>
  <c r="K432" i="7"/>
  <c r="O432" i="7" s="1"/>
  <c r="T2173" i="7"/>
  <c r="T2171" i="7"/>
  <c r="T1245" i="7"/>
  <c r="O431" i="7"/>
  <c r="T1237" i="7"/>
  <c r="O429" i="7"/>
  <c r="T1244" i="7"/>
  <c r="O428" i="7"/>
  <c r="T1241" i="7"/>
  <c r="O427" i="7"/>
  <c r="T1239" i="7"/>
  <c r="O430" i="7"/>
  <c r="T1238" i="7"/>
  <c r="O424" i="7"/>
  <c r="T423" i="7"/>
  <c r="H423" i="7" s="1"/>
  <c r="K423" i="7"/>
  <c r="O423" i="7" s="1"/>
  <c r="T422" i="7"/>
  <c r="H422" i="7" s="1"/>
  <c r="K422" i="7"/>
  <c r="O422" i="7" s="1"/>
  <c r="T1236" i="7"/>
  <c r="O420" i="7"/>
  <c r="T1235" i="7"/>
  <c r="O419" i="7"/>
  <c r="T2169" i="7"/>
  <c r="K418" i="7"/>
  <c r="O418" i="7" s="1"/>
  <c r="O417" i="7"/>
  <c r="O415" i="7"/>
  <c r="T2167" i="7"/>
  <c r="O414" i="7"/>
  <c r="T413" i="7"/>
  <c r="H413" i="7" s="1"/>
  <c r="K413" i="7"/>
  <c r="O413" i="7" s="1"/>
  <c r="T412" i="7"/>
  <c r="H412" i="7" s="1"/>
  <c r="O412" i="7"/>
  <c r="T411" i="7"/>
  <c r="H411" i="7" s="1"/>
  <c r="K411" i="7"/>
  <c r="O411" i="7" s="1"/>
  <c r="T885" i="7"/>
  <c r="O410" i="7"/>
  <c r="T884" i="7"/>
  <c r="H409" i="7" s="1"/>
  <c r="O409" i="7"/>
  <c r="T883" i="7"/>
  <c r="H405" i="7" s="1"/>
  <c r="O405" i="7"/>
  <c r="T404" i="7"/>
  <c r="K404" i="7"/>
  <c r="O404" i="7" s="1"/>
  <c r="T640" i="7"/>
  <c r="H403" i="7" s="1"/>
  <c r="O403" i="7"/>
  <c r="T1230" i="7"/>
  <c r="H402" i="7" s="1"/>
  <c r="O402" i="7"/>
  <c r="T1227" i="7"/>
  <c r="O401" i="7"/>
  <c r="T1226" i="7"/>
  <c r="O400" i="7"/>
  <c r="T882" i="7"/>
  <c r="H399" i="7" s="1"/>
  <c r="O399" i="7"/>
  <c r="T2166" i="7"/>
  <c r="T397" i="7"/>
  <c r="O397" i="7"/>
  <c r="T2165" i="7"/>
  <c r="O395" i="7"/>
  <c r="T396" i="7"/>
  <c r="K396" i="7"/>
  <c r="O396" i="7" s="1"/>
  <c r="T2162" i="7"/>
  <c r="O394" i="7"/>
  <c r="T2160" i="7"/>
  <c r="H380" i="7" s="1"/>
  <c r="O380" i="7"/>
  <c r="T2159" i="7"/>
  <c r="O393" i="7"/>
  <c r="T2157" i="7"/>
  <c r="T2156" i="7"/>
  <c r="T2155" i="7"/>
  <c r="T2154" i="7"/>
  <c r="O388" i="7"/>
  <c r="T387" i="7"/>
  <c r="H387" i="7" s="1"/>
  <c r="K387" i="7"/>
  <c r="O387" i="7" s="1"/>
  <c r="T2153" i="7"/>
  <c r="H386" i="7" s="1"/>
  <c r="O386" i="7"/>
  <c r="T2152" i="7"/>
  <c r="O385" i="7"/>
  <c r="T2148" i="7"/>
  <c r="T2147" i="7"/>
  <c r="O383" i="7"/>
  <c r="T2146" i="7"/>
  <c r="O382" i="7"/>
  <c r="T1222" i="7"/>
  <c r="T1221" i="7"/>
  <c r="T880" i="7"/>
  <c r="O376" i="7"/>
  <c r="T377" i="7"/>
  <c r="K377" i="7"/>
  <c r="O377" i="7" s="1"/>
  <c r="T375" i="7"/>
  <c r="H375" i="7" s="1"/>
  <c r="L375" i="7"/>
  <c r="K375" i="7"/>
  <c r="T374" i="7"/>
  <c r="K374" i="7"/>
  <c r="O374" i="7" s="1"/>
  <c r="T373" i="7"/>
  <c r="K373" i="7"/>
  <c r="O373" i="7" s="1"/>
  <c r="T1217" i="7"/>
  <c r="T1216" i="7"/>
  <c r="O370" i="7"/>
  <c r="T1215" i="7"/>
  <c r="O369" i="7"/>
  <c r="T2144" i="7"/>
  <c r="O368" i="7"/>
  <c r="T2143" i="7"/>
  <c r="O367" i="7"/>
  <c r="T2142" i="7"/>
  <c r="T2140" i="7"/>
  <c r="T364" i="7"/>
  <c r="O364" i="7"/>
  <c r="T879" i="7"/>
  <c r="O363" i="7"/>
  <c r="T878" i="7"/>
  <c r="O362" i="7"/>
  <c r="T877" i="7"/>
  <c r="O361" i="7"/>
  <c r="O360" i="7"/>
  <c r="T869" i="7"/>
  <c r="T358" i="7"/>
  <c r="K358" i="7"/>
  <c r="O358" i="7" s="1"/>
  <c r="T1214" i="7"/>
  <c r="H357" i="7" s="1"/>
  <c r="O357" i="7"/>
  <c r="T1213" i="7"/>
  <c r="O356" i="7"/>
  <c r="T1212" i="7"/>
  <c r="K355" i="7"/>
  <c r="O355" i="7" s="1"/>
  <c r="O353" i="7"/>
  <c r="T136" i="7"/>
  <c r="O352" i="7"/>
  <c r="T135" i="7"/>
  <c r="O351" i="7"/>
  <c r="T430" i="7"/>
  <c r="O349" i="7"/>
  <c r="O348" i="7"/>
  <c r="T1208" i="7"/>
  <c r="O347" i="7"/>
  <c r="T2139" i="7"/>
  <c r="T344" i="7"/>
  <c r="K344" i="7"/>
  <c r="O344" i="7" s="1"/>
  <c r="T636" i="7"/>
  <c r="O339" i="7"/>
  <c r="T2137" i="7"/>
  <c r="O342" i="7"/>
  <c r="T340" i="7"/>
  <c r="H340" i="7" s="1"/>
  <c r="K340" i="7"/>
  <c r="O340" i="7" s="1"/>
  <c r="T341" i="7"/>
  <c r="H341" i="7" s="1"/>
  <c r="K341" i="7"/>
  <c r="O341" i="7" s="1"/>
  <c r="T1205" i="7"/>
  <c r="O338" i="7"/>
  <c r="O337" i="7"/>
  <c r="T865" i="7"/>
  <c r="O336" i="7"/>
  <c r="T864" i="7"/>
  <c r="H335" i="7" s="1"/>
  <c r="O335" i="7"/>
  <c r="T863" i="7"/>
  <c r="O334" i="7"/>
  <c r="T2727" i="7"/>
  <c r="O333" i="7"/>
  <c r="T332" i="7"/>
  <c r="K332" i="7"/>
  <c r="O332" i="7" s="1"/>
  <c r="T331" i="7"/>
  <c r="K331" i="7"/>
  <c r="O331" i="7" s="1"/>
  <c r="T2878" i="7"/>
  <c r="L330" i="7"/>
  <c r="K330" i="7"/>
  <c r="T1198" i="7"/>
  <c r="O322" i="7"/>
  <c r="T1197" i="7"/>
  <c r="T1203" i="7"/>
  <c r="O326" i="7"/>
  <c r="T328" i="7"/>
  <c r="H328" i="7" s="1"/>
  <c r="K328" i="7"/>
  <c r="O328" i="7" s="1"/>
  <c r="T327" i="7"/>
  <c r="H327" i="7" s="1"/>
  <c r="O327" i="7"/>
  <c r="T324" i="7"/>
  <c r="H324" i="7" s="1"/>
  <c r="O324" i="7"/>
  <c r="T2135" i="7"/>
  <c r="O323" i="7"/>
  <c r="T1202" i="7"/>
  <c r="O325" i="7"/>
  <c r="T1201" i="7"/>
  <c r="O319" i="7"/>
  <c r="T1200" i="7"/>
  <c r="T1199" i="7"/>
  <c r="O317" i="7"/>
  <c r="T862" i="7"/>
  <c r="O316" i="7"/>
  <c r="T1195" i="7"/>
  <c r="O314" i="7"/>
  <c r="P314" i="7" s="1"/>
  <c r="R314" i="7" s="1"/>
  <c r="T1194" i="7"/>
  <c r="T312" i="7"/>
  <c r="H312" i="7" s="1"/>
  <c r="O312" i="7"/>
  <c r="P312" i="7" s="1"/>
  <c r="R312" i="7" s="1"/>
  <c r="T1192" i="7"/>
  <c r="T1193" i="7"/>
  <c r="T1189" i="7"/>
  <c r="T308" i="7"/>
  <c r="L308" i="7"/>
  <c r="K308" i="7"/>
  <c r="T307" i="7"/>
  <c r="H307" i="7" s="1"/>
  <c r="L307" i="7"/>
  <c r="K307" i="7"/>
  <c r="T306" i="7"/>
  <c r="H306" i="7" s="1"/>
  <c r="L306" i="7"/>
  <c r="K306" i="7"/>
  <c r="T305" i="7"/>
  <c r="H305" i="7" s="1"/>
  <c r="K305" i="7"/>
  <c r="O305" i="7" s="1"/>
  <c r="T304" i="7"/>
  <c r="L304" i="7"/>
  <c r="K304" i="7"/>
  <c r="T635" i="7"/>
  <c r="O303" i="7"/>
  <c r="T625" i="7"/>
  <c r="O302" i="7"/>
  <c r="O299" i="7"/>
  <c r="T131" i="7"/>
  <c r="T129" i="7"/>
  <c r="T297" i="7"/>
  <c r="L297" i="7"/>
  <c r="K297" i="7"/>
  <c r="T628" i="7"/>
  <c r="T2794" i="7"/>
  <c r="O295" i="7"/>
  <c r="T2134" i="7"/>
  <c r="O293" i="7"/>
  <c r="T128" i="7"/>
  <c r="O292" i="7"/>
  <c r="T291" i="7"/>
  <c r="K291" i="7"/>
  <c r="O291" i="7" s="1"/>
  <c r="T290" i="7"/>
  <c r="K290" i="7"/>
  <c r="O290" i="7" s="1"/>
  <c r="T2066" i="7"/>
  <c r="O289" i="7"/>
  <c r="T2065" i="7"/>
  <c r="O288" i="7"/>
  <c r="T287" i="7"/>
  <c r="H287" i="7" s="1"/>
  <c r="K287" i="7"/>
  <c r="O287" i="7" s="1"/>
  <c r="T2133" i="7"/>
  <c r="T285" i="7"/>
  <c r="H285" i="7" s="1"/>
  <c r="K285" i="7"/>
  <c r="O285" i="7" s="1"/>
  <c r="T2132" i="7"/>
  <c r="T2131" i="7"/>
  <c r="T2130" i="7"/>
  <c r="T284" i="7"/>
  <c r="H284" i="7" s="1"/>
  <c r="O284" i="7"/>
  <c r="T861" i="7"/>
  <c r="O281" i="7"/>
  <c r="T1188" i="7"/>
  <c r="O277" i="7"/>
  <c r="T1187" i="7"/>
  <c r="O278" i="7"/>
  <c r="T127" i="7"/>
  <c r="O280" i="7"/>
  <c r="O279" i="7"/>
  <c r="T2726" i="7"/>
  <c r="O276" i="7"/>
  <c r="T2725" i="7"/>
  <c r="O275" i="7"/>
  <c r="T2724" i="7"/>
  <c r="H274" i="7" s="1"/>
  <c r="O274" i="7"/>
  <c r="T2723" i="7"/>
  <c r="O273" i="7"/>
  <c r="T2718" i="7"/>
  <c r="O272" i="7"/>
  <c r="T2717" i="7"/>
  <c r="O271" i="7"/>
  <c r="T2716" i="7"/>
  <c r="H270" i="7" s="1"/>
  <c r="O270" i="7"/>
  <c r="T2714" i="7"/>
  <c r="H269" i="7" s="1"/>
  <c r="O269" i="7"/>
  <c r="T1186" i="7"/>
  <c r="O268" i="7"/>
  <c r="T2793" i="7"/>
  <c r="O267" i="7"/>
  <c r="T624" i="7"/>
  <c r="H261" i="7" s="1"/>
  <c r="K261" i="7"/>
  <c r="O261" i="7" s="1"/>
  <c r="T1183" i="7"/>
  <c r="O264" i="7"/>
  <c r="T265" i="7"/>
  <c r="H265" i="7" s="1"/>
  <c r="O265" i="7"/>
  <c r="T262" i="7"/>
  <c r="K262" i="7"/>
  <c r="O262" i="7" s="1"/>
  <c r="T2129" i="7"/>
  <c r="O263" i="7"/>
  <c r="T260" i="7"/>
  <c r="H260" i="7" s="1"/>
  <c r="K260" i="7"/>
  <c r="T259" i="7"/>
  <c r="H259" i="7" s="1"/>
  <c r="K259" i="7"/>
  <c r="O259" i="7" s="1"/>
  <c r="T2128" i="7"/>
  <c r="K266" i="7"/>
  <c r="O266" i="7" s="1"/>
  <c r="T257" i="7"/>
  <c r="H257" i="7" s="1"/>
  <c r="K257" i="7"/>
  <c r="O257" i="7" s="1"/>
  <c r="T860" i="7"/>
  <c r="O256" i="7"/>
  <c r="T859" i="7"/>
  <c r="O255" i="7"/>
  <c r="T1182" i="7"/>
  <c r="H896" i="7" s="1"/>
  <c r="L258" i="7"/>
  <c r="K258" i="7"/>
  <c r="T254" i="7"/>
  <c r="H254" i="7" s="1"/>
  <c r="K254" i="7"/>
  <c r="O254" i="7" s="1"/>
  <c r="T253" i="7"/>
  <c r="L253" i="7"/>
  <c r="K253" i="7"/>
  <c r="T1181" i="7"/>
  <c r="O252" i="7"/>
  <c r="T858" i="7"/>
  <c r="O250" i="7"/>
  <c r="T2125" i="7"/>
  <c r="T248" i="7"/>
  <c r="H248" i="7" s="1"/>
  <c r="K248" i="7"/>
  <c r="O248" i="7" s="1"/>
  <c r="T125" i="7"/>
  <c r="O247" i="7"/>
  <c r="T124" i="7"/>
  <c r="O246" i="7"/>
  <c r="T856" i="7"/>
  <c r="O226" i="7"/>
  <c r="T855" i="7"/>
  <c r="O225" i="7"/>
  <c r="T854" i="7"/>
  <c r="O239" i="7"/>
  <c r="T853" i="7"/>
  <c r="O243" i="7"/>
  <c r="T852" i="7"/>
  <c r="O242" i="7"/>
  <c r="T851" i="7"/>
  <c r="O241" i="7"/>
  <c r="T850" i="7"/>
  <c r="O223" i="7"/>
  <c r="O224" i="7"/>
  <c r="O222" i="7"/>
  <c r="T849" i="7"/>
  <c r="O240" i="7"/>
  <c r="T847" i="7"/>
  <c r="T846" i="7"/>
  <c r="O233" i="7"/>
  <c r="T845" i="7"/>
  <c r="O232" i="7"/>
  <c r="T844" i="7"/>
  <c r="O231" i="7"/>
  <c r="T843" i="7"/>
  <c r="O230" i="7"/>
  <c r="T840" i="7"/>
  <c r="O229" i="7"/>
  <c r="T839" i="7"/>
  <c r="O228" i="7"/>
  <c r="T838" i="7"/>
  <c r="O227" i="7"/>
  <c r="T837" i="7"/>
  <c r="O244" i="7"/>
  <c r="T836" i="7"/>
  <c r="O245" i="7"/>
  <c r="T835" i="7"/>
  <c r="O238" i="7"/>
  <c r="O237" i="7"/>
  <c r="T834" i="7"/>
  <c r="O236" i="7"/>
  <c r="T832" i="7"/>
  <c r="O235" i="7"/>
  <c r="O234" i="7"/>
  <c r="O221" i="7"/>
  <c r="T123" i="7"/>
  <c r="T122" i="7"/>
  <c r="T121" i="7"/>
  <c r="T215" i="7"/>
  <c r="H215" i="7" s="1"/>
  <c r="T214" i="7"/>
  <c r="H214" i="7" s="1"/>
  <c r="O214" i="7"/>
  <c r="P214" i="7" s="1"/>
  <c r="R214" i="7" s="1"/>
  <c r="T120" i="7"/>
  <c r="H213" i="7" s="1"/>
  <c r="O213" i="7"/>
  <c r="P213" i="7" s="1"/>
  <c r="R213" i="7" s="1"/>
  <c r="T119" i="7"/>
  <c r="T118" i="7"/>
  <c r="T117" i="7"/>
  <c r="T116" i="7"/>
  <c r="H208" i="7" s="1"/>
  <c r="T115" i="7"/>
  <c r="H209" i="7" s="1"/>
  <c r="T114" i="7"/>
  <c r="T113" i="7"/>
  <c r="T112" i="7"/>
  <c r="T111" i="7"/>
  <c r="T110" i="7"/>
  <c r="T108" i="7"/>
  <c r="O200" i="7"/>
  <c r="P200" i="7" s="1"/>
  <c r="R200" i="7" s="1"/>
  <c r="T107" i="7"/>
  <c r="O196" i="7"/>
  <c r="P196" i="7" s="1"/>
  <c r="R196" i="7" s="1"/>
  <c r="T106" i="7"/>
  <c r="T100" i="7"/>
  <c r="T98" i="7"/>
  <c r="O188" i="7"/>
  <c r="P188" i="7" s="1"/>
  <c r="R188" i="7" s="1"/>
  <c r="T101" i="7"/>
  <c r="T99" i="7"/>
  <c r="O193" i="7"/>
  <c r="P193" i="7" s="1"/>
  <c r="R193" i="7" s="1"/>
  <c r="T97" i="7"/>
  <c r="O187" i="7"/>
  <c r="P187" i="7" s="1"/>
  <c r="R187" i="7" s="1"/>
  <c r="T96" i="7"/>
  <c r="O186" i="7"/>
  <c r="P186" i="7" s="1"/>
  <c r="R186" i="7" s="1"/>
  <c r="T185" i="7"/>
  <c r="H185" i="7" s="1"/>
  <c r="K185" i="7"/>
  <c r="O185" i="7" s="1"/>
  <c r="T183" i="7"/>
  <c r="H183" i="7" s="1"/>
  <c r="O183" i="7"/>
  <c r="T94" i="7"/>
  <c r="O182" i="7"/>
  <c r="T92" i="7"/>
  <c r="O179" i="7"/>
  <c r="T180" i="7"/>
  <c r="H180" i="7" s="1"/>
  <c r="O180" i="7"/>
  <c r="T85" i="7"/>
  <c r="O181" i="7"/>
  <c r="T90" i="7"/>
  <c r="H177" i="7" s="1"/>
  <c r="O177" i="7"/>
  <c r="T89" i="7"/>
  <c r="O178" i="7"/>
  <c r="T87" i="7"/>
  <c r="H176" i="7" s="1"/>
  <c r="O176" i="7"/>
  <c r="T175" i="7"/>
  <c r="H175" i="7" s="1"/>
  <c r="K175" i="7"/>
  <c r="O175" i="7" s="1"/>
  <c r="T174" i="7"/>
  <c r="H174" i="7" s="1"/>
  <c r="K174" i="7"/>
  <c r="O174" i="7" s="1"/>
  <c r="T1180" i="7"/>
  <c r="H173" i="7" s="1"/>
  <c r="K173" i="7"/>
  <c r="O173" i="7" s="1"/>
  <c r="O172" i="7"/>
  <c r="T171" i="7"/>
  <c r="K171" i="7"/>
  <c r="O171" i="7" s="1"/>
  <c r="T1179" i="7"/>
  <c r="H1179" i="7" s="1"/>
  <c r="O170" i="7"/>
  <c r="T2124" i="7"/>
  <c r="O168" i="7"/>
  <c r="T1177" i="7"/>
  <c r="O167" i="7"/>
  <c r="T831" i="7"/>
  <c r="T1176" i="7"/>
  <c r="O165" i="7"/>
  <c r="T2123" i="7"/>
  <c r="T2122" i="7"/>
  <c r="T2121" i="7"/>
  <c r="T2120" i="7"/>
  <c r="T88" i="7"/>
  <c r="O161" i="7"/>
  <c r="T2713" i="7"/>
  <c r="O159" i="7"/>
  <c r="T160" i="7"/>
  <c r="K160" i="7"/>
  <c r="O160" i="7" s="1"/>
  <c r="G160" i="7"/>
  <c r="T86" i="7"/>
  <c r="O158" i="7"/>
  <c r="T830" i="7"/>
  <c r="O157" i="7"/>
  <c r="T829" i="7"/>
  <c r="O156" i="7"/>
  <c r="T827" i="7"/>
  <c r="O155" i="7"/>
  <c r="T826" i="7"/>
  <c r="H154" i="7" s="1"/>
  <c r="K154" i="7"/>
  <c r="O154" i="7" s="1"/>
  <c r="T1174" i="7"/>
  <c r="O153" i="7"/>
  <c r="T1172" i="7"/>
  <c r="O152" i="7"/>
  <c r="T151" i="7"/>
  <c r="H151" i="7" s="1"/>
  <c r="K151" i="7"/>
  <c r="O151" i="7" s="1"/>
  <c r="T148" i="7"/>
  <c r="H148" i="7" s="1"/>
  <c r="K148" i="7"/>
  <c r="O148" i="7" s="1"/>
  <c r="O149" i="7"/>
  <c r="T2594" i="7"/>
  <c r="T629" i="7"/>
  <c r="O138" i="7"/>
  <c r="P138" i="7" s="1"/>
  <c r="R138" i="7" s="1"/>
  <c r="T2592" i="7"/>
  <c r="O145" i="7"/>
  <c r="T137" i="7"/>
  <c r="H137" i="7" s="1"/>
  <c r="O137" i="7"/>
  <c r="T2591" i="7"/>
  <c r="O146" i="7"/>
  <c r="T147" i="7"/>
  <c r="H147" i="7" s="1"/>
  <c r="O147" i="7"/>
  <c r="T2590" i="7"/>
  <c r="O144" i="7"/>
  <c r="T2589" i="7"/>
  <c r="O143" i="7"/>
  <c r="T2588" i="7"/>
  <c r="O142" i="7"/>
  <c r="T2587" i="7"/>
  <c r="O141" i="7"/>
  <c r="T2585" i="7"/>
  <c r="O140" i="7"/>
  <c r="T2119" i="7"/>
  <c r="K136" i="7"/>
  <c r="O136" i="7" s="1"/>
  <c r="T2118" i="7"/>
  <c r="L135" i="7"/>
  <c r="K135" i="7"/>
  <c r="T2115" i="7"/>
  <c r="T133" i="7"/>
  <c r="O133" i="7"/>
  <c r="T2114" i="7"/>
  <c r="T2112" i="7"/>
  <c r="T2111" i="7"/>
  <c r="T2110" i="7"/>
  <c r="T2109" i="7"/>
  <c r="T2107" i="7"/>
  <c r="O131" i="7"/>
  <c r="T91" i="7"/>
  <c r="O129" i="7"/>
  <c r="T84" i="7"/>
  <c r="O128" i="7"/>
  <c r="T83" i="7"/>
  <c r="T81" i="7"/>
  <c r="T82" i="7"/>
  <c r="T80" i="7"/>
  <c r="O124" i="7"/>
  <c r="P124" i="7" s="1"/>
  <c r="R124" i="7" s="1"/>
  <c r="T78" i="7"/>
  <c r="O123" i="7"/>
  <c r="P123" i="7" s="1"/>
  <c r="R123" i="7" s="1"/>
  <c r="T75" i="7"/>
  <c r="T74" i="7"/>
  <c r="T72" i="7"/>
  <c r="T71" i="7"/>
  <c r="T69" i="7"/>
  <c r="T66" i="7"/>
  <c r="T65" i="7"/>
  <c r="T56" i="7"/>
  <c r="T55" i="7"/>
  <c r="T54" i="7"/>
  <c r="T62" i="7"/>
  <c r="T61" i="7"/>
  <c r="T60" i="7"/>
  <c r="T59" i="7"/>
  <c r="H109" i="7" s="1"/>
  <c r="T57" i="7"/>
  <c r="T53" i="7"/>
  <c r="T50" i="7"/>
  <c r="T49" i="7"/>
  <c r="T48" i="7"/>
  <c r="O97" i="7"/>
  <c r="P97" i="7" s="1"/>
  <c r="R97" i="7" s="1"/>
  <c r="T47" i="7"/>
  <c r="O100" i="7"/>
  <c r="P100" i="7" s="1"/>
  <c r="R100" i="7" s="1"/>
  <c r="T46" i="7"/>
  <c r="T45" i="7"/>
  <c r="T44" i="7"/>
  <c r="H44" i="7" s="1"/>
  <c r="T43" i="7"/>
  <c r="O92" i="7"/>
  <c r="P92" i="7" s="1"/>
  <c r="R92" i="7" s="1"/>
  <c r="T40" i="7"/>
  <c r="H93" i="7" s="1"/>
  <c r="T39" i="7"/>
  <c r="T37" i="7"/>
  <c r="T36" i="7"/>
  <c r="T35" i="7"/>
  <c r="T34" i="7"/>
  <c r="T33" i="7"/>
  <c r="T30" i="7"/>
  <c r="T27" i="7"/>
  <c r="O82" i="7"/>
  <c r="T21" i="7"/>
  <c r="O80" i="7"/>
  <c r="P80" i="7" s="1"/>
  <c r="R80" i="7" s="1"/>
  <c r="T79" i="7"/>
  <c r="H79" i="7" s="1"/>
  <c r="O79" i="7"/>
  <c r="P79" i="7" s="1"/>
  <c r="R79" i="7" s="1"/>
  <c r="T20" i="7"/>
  <c r="O78" i="7"/>
  <c r="P78" i="7" s="1"/>
  <c r="R78" i="7" s="1"/>
  <c r="T77" i="7"/>
  <c r="H77" i="7" s="1"/>
  <c r="O77" i="7"/>
  <c r="P77" i="7" s="1"/>
  <c r="R77" i="7" s="1"/>
  <c r="T76" i="7"/>
  <c r="H76" i="7" s="1"/>
  <c r="O76" i="7"/>
  <c r="P76" i="7" s="1"/>
  <c r="R76" i="7" s="1"/>
  <c r="T19" i="7"/>
  <c r="O75" i="7"/>
  <c r="P75" i="7" s="1"/>
  <c r="R75" i="7" s="1"/>
  <c r="T16" i="7"/>
  <c r="O74" i="7"/>
  <c r="P74" i="7" s="1"/>
  <c r="R74" i="7" s="1"/>
  <c r="T73" i="7"/>
  <c r="H73" i="7" s="1"/>
  <c r="O73" i="7"/>
  <c r="P73" i="7" s="1"/>
  <c r="R73" i="7" s="1"/>
  <c r="T14" i="7"/>
  <c r="O72" i="7"/>
  <c r="P72" i="7" s="1"/>
  <c r="R72" i="7" s="1"/>
  <c r="T13" i="7"/>
  <c r="O71" i="7"/>
  <c r="P71" i="7" s="1"/>
  <c r="R71" i="7" s="1"/>
  <c r="T70" i="7"/>
  <c r="H70" i="7" s="1"/>
  <c r="O70" i="7"/>
  <c r="P70" i="7" s="1"/>
  <c r="R70" i="7" s="1"/>
  <c r="T12" i="7"/>
  <c r="O69" i="7"/>
  <c r="P69" i="7" s="1"/>
  <c r="R69" i="7" s="1"/>
  <c r="T68" i="7"/>
  <c r="H68" i="7" s="1"/>
  <c r="O68" i="7"/>
  <c r="P68" i="7" s="1"/>
  <c r="R68" i="7" s="1"/>
  <c r="T67" i="7"/>
  <c r="H67" i="7" s="1"/>
  <c r="T11" i="7"/>
  <c r="K66" i="7"/>
  <c r="O66" i="7" s="1"/>
  <c r="P66" i="7" s="1"/>
  <c r="R66" i="7" s="1"/>
  <c r="F66" i="7"/>
  <c r="T10" i="7"/>
  <c r="O65" i="7"/>
  <c r="P65" i="7" s="1"/>
  <c r="R65" i="7" s="1"/>
  <c r="T64" i="7"/>
  <c r="H64" i="7" s="1"/>
  <c r="O64" i="7"/>
  <c r="P64" i="7" s="1"/>
  <c r="R64" i="7" s="1"/>
  <c r="O62" i="7"/>
  <c r="P62" i="7" s="1"/>
  <c r="R62" i="7" s="1"/>
  <c r="T9" i="7"/>
  <c r="O61" i="7"/>
  <c r="P61" i="7" s="1"/>
  <c r="R61" i="7" s="1"/>
  <c r="T8" i="7"/>
  <c r="O60" i="7"/>
  <c r="P60" i="7" s="1"/>
  <c r="R60" i="7" s="1"/>
  <c r="T7" i="7"/>
  <c r="O59" i="7"/>
  <c r="P59" i="7" s="1"/>
  <c r="R59" i="7" s="1"/>
  <c r="T6" i="7"/>
  <c r="O57" i="7"/>
  <c r="P57" i="7" s="1"/>
  <c r="R57" i="7" s="1"/>
  <c r="T5" i="7"/>
  <c r="O55" i="7"/>
  <c r="P55" i="7" s="1"/>
  <c r="R55" i="7" s="1"/>
  <c r="T4" i="7"/>
  <c r="O56" i="7"/>
  <c r="P56" i="7" s="1"/>
  <c r="R56" i="7" s="1"/>
  <c r="T3" i="7"/>
  <c r="T2" i="7"/>
  <c r="O53" i="7"/>
  <c r="P53" i="7" s="1"/>
  <c r="R53" i="7" s="1"/>
  <c r="T825" i="7"/>
  <c r="H52" i="7" s="1"/>
  <c r="O52" i="7"/>
  <c r="T824" i="7"/>
  <c r="T822" i="7"/>
  <c r="O49" i="7"/>
  <c r="T821" i="7"/>
  <c r="O48" i="7"/>
  <c r="T820" i="7"/>
  <c r="T819" i="7"/>
  <c r="O46" i="7"/>
  <c r="T818" i="7"/>
  <c r="T1173" i="7"/>
  <c r="O43" i="7"/>
  <c r="T1161" i="7"/>
  <c r="O39" i="7"/>
  <c r="T1160" i="7"/>
  <c r="O37" i="7"/>
  <c r="T2106" i="7"/>
  <c r="O35" i="7"/>
  <c r="O36" i="7"/>
  <c r="T1155" i="7"/>
  <c r="O34" i="7"/>
  <c r="K33" i="7"/>
  <c r="O33" i="7" s="1"/>
  <c r="T1149" i="7"/>
  <c r="H31" i="7" s="1"/>
  <c r="O31" i="7"/>
  <c r="T32" i="7"/>
  <c r="H32" i="7" s="1"/>
  <c r="O32" i="7"/>
  <c r="T1148" i="7"/>
  <c r="O30" i="7"/>
  <c r="T817" i="7"/>
  <c r="H29" i="7" s="1"/>
  <c r="O29" i="7"/>
  <c r="T28" i="7"/>
  <c r="H28" i="7" s="1"/>
  <c r="L28" i="7"/>
  <c r="T1147" i="7"/>
  <c r="T1145" i="7"/>
  <c r="O24" i="7"/>
  <c r="T22" i="7"/>
  <c r="H22" i="7" s="1"/>
  <c r="O22" i="7"/>
  <c r="T23" i="7"/>
  <c r="H23" i="7" s="1"/>
  <c r="O23" i="7"/>
  <c r="T2791" i="7"/>
  <c r="O20" i="7"/>
  <c r="T2877" i="7"/>
  <c r="O19" i="7"/>
  <c r="O21" i="7"/>
  <c r="T18" i="7"/>
  <c r="O18" i="7"/>
  <c r="T17" i="7"/>
  <c r="O17" i="7"/>
  <c r="T1141" i="7"/>
  <c r="T2584" i="7"/>
  <c r="O12" i="7"/>
  <c r="T2583" i="7"/>
  <c r="O10" i="7"/>
  <c r="T2105" i="7"/>
  <c r="O11" i="7"/>
  <c r="T2104" i="7"/>
  <c r="O13" i="7"/>
  <c r="T2103" i="7"/>
  <c r="T1140" i="7"/>
  <c r="O9" i="7"/>
  <c r="T2788" i="7"/>
  <c r="O7" i="7"/>
  <c r="T2787" i="7"/>
  <c r="T2786" i="7"/>
  <c r="T2785" i="7"/>
  <c r="O4" i="7"/>
  <c r="T2784" i="7"/>
  <c r="T2781" i="7"/>
  <c r="H596" i="7" l="1"/>
  <c r="H598" i="7"/>
  <c r="H512" i="7"/>
  <c r="H1485" i="7"/>
  <c r="H1671" i="7"/>
  <c r="H1206" i="7"/>
  <c r="H1571" i="7"/>
  <c r="H1207" i="7"/>
  <c r="H1572" i="7"/>
  <c r="T2816" i="7"/>
  <c r="H483" i="7"/>
  <c r="H765" i="7"/>
  <c r="H492" i="7"/>
  <c r="H791" i="7"/>
  <c r="H583" i="7"/>
  <c r="H567" i="7"/>
  <c r="H519" i="7"/>
  <c r="B525" i="7"/>
  <c r="F525" i="7"/>
  <c r="P11" i="7"/>
  <c r="R11" i="7" s="1"/>
  <c r="E11" i="7" s="1"/>
  <c r="F11" i="7" s="1"/>
  <c r="P238" i="7"/>
  <c r="R238" i="7" s="1"/>
  <c r="E238" i="7" s="1"/>
  <c r="F238" i="7" s="1"/>
  <c r="P400" i="7"/>
  <c r="R400" i="7" s="1"/>
  <c r="E400" i="7" s="1"/>
  <c r="F400" i="7" s="1"/>
  <c r="P537" i="7"/>
  <c r="R537" i="7" s="1"/>
  <c r="E537" i="7" s="1"/>
  <c r="F537" i="7" s="1"/>
  <c r="P612" i="7"/>
  <c r="R612" i="7" s="1"/>
  <c r="E612" i="7" s="1"/>
  <c r="F612" i="7" s="1"/>
  <c r="P887" i="7"/>
  <c r="R887" i="7" s="1"/>
  <c r="E887" i="7" s="1"/>
  <c r="F887" i="7" s="1"/>
  <c r="P1153" i="7"/>
  <c r="R1153" i="7" s="1"/>
  <c r="E1153" i="7" s="1"/>
  <c r="F1153" i="7" s="1"/>
  <c r="P1279" i="7"/>
  <c r="R1279" i="7" s="1"/>
  <c r="E1279" i="7" s="1"/>
  <c r="F1279" i="7" s="1"/>
  <c r="P1356" i="7"/>
  <c r="R1356" i="7" s="1"/>
  <c r="E1356" i="7" s="1"/>
  <c r="G1356" i="7" s="1"/>
  <c r="P1563" i="7"/>
  <c r="R1563" i="7" s="1"/>
  <c r="E1563" i="7" s="1"/>
  <c r="F1563" i="7" s="1"/>
  <c r="P1727" i="7"/>
  <c r="R1727" i="7" s="1"/>
  <c r="E1727" i="7" s="1"/>
  <c r="F1727" i="7" s="1"/>
  <c r="P2053" i="7"/>
  <c r="R2053" i="7" s="1"/>
  <c r="E2053" i="7" s="1"/>
  <c r="F2053" i="7" s="1"/>
  <c r="P19" i="7"/>
  <c r="R19" i="7" s="1"/>
  <c r="E19" i="7" s="1"/>
  <c r="F19" i="7" s="1"/>
  <c r="P36" i="7"/>
  <c r="R36" i="7" s="1"/>
  <c r="E36" i="7" s="1"/>
  <c r="F36" i="7" s="1"/>
  <c r="E53" i="7"/>
  <c r="B53" i="7" s="1"/>
  <c r="P108" i="7"/>
  <c r="R108" i="7" s="1"/>
  <c r="E108" i="7" s="1"/>
  <c r="P113" i="7"/>
  <c r="R113" i="7" s="1"/>
  <c r="E113" i="7" s="1"/>
  <c r="B113" i="7" s="1"/>
  <c r="P118" i="7"/>
  <c r="R118" i="7" s="1"/>
  <c r="E118" i="7" s="1"/>
  <c r="B118" i="7" s="1"/>
  <c r="P149" i="7"/>
  <c r="R149" i="7" s="1"/>
  <c r="E149" i="7" s="1"/>
  <c r="F149" i="7" s="1"/>
  <c r="P161" i="7"/>
  <c r="R161" i="7" s="1"/>
  <c r="E161" i="7" s="1"/>
  <c r="G161" i="7" s="1"/>
  <c r="P165" i="7"/>
  <c r="R165" i="7" s="1"/>
  <c r="E165" i="7" s="1"/>
  <c r="F165" i="7" s="1"/>
  <c r="E196" i="7"/>
  <c r="B196" i="7" s="1"/>
  <c r="P224" i="7"/>
  <c r="R224" i="7" s="1"/>
  <c r="E224" i="7" s="1"/>
  <c r="F224" i="7" s="1"/>
  <c r="P252" i="7"/>
  <c r="R252" i="7" s="1"/>
  <c r="E252" i="7" s="1"/>
  <c r="F252" i="7" s="1"/>
  <c r="P256" i="7"/>
  <c r="R256" i="7" s="1"/>
  <c r="E256" i="7" s="1"/>
  <c r="F256" i="7" s="1"/>
  <c r="P262" i="7"/>
  <c r="R262" i="7" s="1"/>
  <c r="E262" i="7" s="1"/>
  <c r="F262" i="7" s="1"/>
  <c r="P269" i="7"/>
  <c r="R269" i="7" s="1"/>
  <c r="E269" i="7" s="1"/>
  <c r="F269" i="7" s="1"/>
  <c r="P275" i="7"/>
  <c r="R275" i="7" s="1"/>
  <c r="E275" i="7" s="1"/>
  <c r="F275" i="7" s="1"/>
  <c r="P299" i="7"/>
  <c r="R299" i="7" s="1"/>
  <c r="E299" i="7" s="1"/>
  <c r="B299" i="7" s="1"/>
  <c r="E312" i="7"/>
  <c r="F312" i="7" s="1"/>
  <c r="P325" i="7"/>
  <c r="R325" i="7" s="1"/>
  <c r="E325" i="7" s="1"/>
  <c r="F325" i="7" s="1"/>
  <c r="P340" i="7"/>
  <c r="R340" i="7" s="1"/>
  <c r="E340" i="7" s="1"/>
  <c r="F340" i="7" s="1"/>
  <c r="P356" i="7"/>
  <c r="R356" i="7" s="1"/>
  <c r="E356" i="7" s="1"/>
  <c r="F356" i="7" s="1"/>
  <c r="P363" i="7"/>
  <c r="R363" i="7" s="1"/>
  <c r="E363" i="7" s="1"/>
  <c r="F363" i="7" s="1"/>
  <c r="P370" i="7"/>
  <c r="R370" i="7" s="1"/>
  <c r="E370" i="7" s="1"/>
  <c r="F370" i="7" s="1"/>
  <c r="P376" i="7"/>
  <c r="R376" i="7" s="1"/>
  <c r="E376" i="7" s="1"/>
  <c r="F376" i="7" s="1"/>
  <c r="P394" i="7"/>
  <c r="R394" i="7" s="1"/>
  <c r="E394" i="7" s="1"/>
  <c r="F394" i="7" s="1"/>
  <c r="P444" i="7"/>
  <c r="R444" i="7" s="1"/>
  <c r="E444" i="7" s="1"/>
  <c r="F444" i="7" s="1"/>
  <c r="P463" i="7"/>
  <c r="R463" i="7" s="1"/>
  <c r="E463" i="7" s="1"/>
  <c r="F463" i="7" s="1"/>
  <c r="P472" i="7"/>
  <c r="R472" i="7" s="1"/>
  <c r="E472" i="7" s="1"/>
  <c r="F472" i="7" s="1"/>
  <c r="P480" i="7"/>
  <c r="R480" i="7" s="1"/>
  <c r="E480" i="7" s="1"/>
  <c r="F480" i="7" s="1"/>
  <c r="P506" i="7"/>
  <c r="R506" i="7" s="1"/>
  <c r="E506" i="7" s="1"/>
  <c r="F506" i="7" s="1"/>
  <c r="P518" i="7"/>
  <c r="R518" i="7" s="1"/>
  <c r="E518" i="7" s="1"/>
  <c r="F518" i="7" s="1"/>
  <c r="P530" i="7"/>
  <c r="R530" i="7" s="1"/>
  <c r="E530" i="7" s="1"/>
  <c r="F530" i="7" s="1"/>
  <c r="P544" i="7"/>
  <c r="R544" i="7" s="1"/>
  <c r="E544" i="7" s="1"/>
  <c r="F544" i="7" s="1"/>
  <c r="P550" i="7"/>
  <c r="R550" i="7" s="1"/>
  <c r="E550" i="7" s="1"/>
  <c r="F550" i="7" s="1"/>
  <c r="P563" i="7"/>
  <c r="R563" i="7" s="1"/>
  <c r="E563" i="7" s="1"/>
  <c r="F563" i="7" s="1"/>
  <c r="E567" i="7"/>
  <c r="B567" i="7" s="1"/>
  <c r="E588" i="7"/>
  <c r="F588" i="7" s="1"/>
  <c r="P629" i="7"/>
  <c r="R629" i="7" s="1"/>
  <c r="E629" i="7" s="1"/>
  <c r="F629" i="7" s="1"/>
  <c r="P638" i="7"/>
  <c r="R638" i="7" s="1"/>
  <c r="E638" i="7" s="1"/>
  <c r="F638" i="7" s="1"/>
  <c r="P653" i="7"/>
  <c r="R653" i="7" s="1"/>
  <c r="E653" i="7" s="1"/>
  <c r="F653" i="7" s="1"/>
  <c r="P679" i="7"/>
  <c r="R679" i="7" s="1"/>
  <c r="E679" i="7" s="1"/>
  <c r="F679" i="7" s="1"/>
  <c r="P699" i="7"/>
  <c r="R699" i="7" s="1"/>
  <c r="E699" i="7" s="1"/>
  <c r="F699" i="7" s="1"/>
  <c r="P705" i="7"/>
  <c r="R705" i="7" s="1"/>
  <c r="E705" i="7" s="1"/>
  <c r="F705" i="7" s="1"/>
  <c r="P711" i="7"/>
  <c r="R711" i="7" s="1"/>
  <c r="E711" i="7" s="1"/>
  <c r="F711" i="7" s="1"/>
  <c r="P720" i="7"/>
  <c r="R720" i="7" s="1"/>
  <c r="E720" i="7" s="1"/>
  <c r="F720" i="7" s="1"/>
  <c r="P726" i="7"/>
  <c r="R726" i="7" s="1"/>
  <c r="E726" i="7" s="1"/>
  <c r="F726" i="7" s="1"/>
  <c r="P732" i="7"/>
  <c r="R732" i="7" s="1"/>
  <c r="E732" i="7" s="1"/>
  <c r="F732" i="7" s="1"/>
  <c r="P736" i="7"/>
  <c r="R736" i="7" s="1"/>
  <c r="E736" i="7" s="1"/>
  <c r="G736" i="7" s="1"/>
  <c r="P741" i="7"/>
  <c r="R741" i="7" s="1"/>
  <c r="E741" i="7" s="1"/>
  <c r="B741" i="7" s="1"/>
  <c r="P750" i="7"/>
  <c r="R750" i="7" s="1"/>
  <c r="E750" i="7" s="1"/>
  <c r="B750" i="7" s="1"/>
  <c r="P760" i="7"/>
  <c r="R760" i="7" s="1"/>
  <c r="E760" i="7" s="1"/>
  <c r="G760" i="7" s="1"/>
  <c r="P753" i="7"/>
  <c r="R753" i="7" s="1"/>
  <c r="E753" i="7" s="1"/>
  <c r="B753" i="7" s="1"/>
  <c r="P777" i="7"/>
  <c r="R777" i="7" s="1"/>
  <c r="E777" i="7" s="1"/>
  <c r="G777" i="7" s="1"/>
  <c r="P786" i="7"/>
  <c r="R786" i="7" s="1"/>
  <c r="E786" i="7" s="1"/>
  <c r="P798" i="7"/>
  <c r="R798" i="7" s="1"/>
  <c r="E798" i="7" s="1"/>
  <c r="F798" i="7" s="1"/>
  <c r="P816" i="7"/>
  <c r="R816" i="7" s="1"/>
  <c r="E816" i="7" s="1"/>
  <c r="F816" i="7" s="1"/>
  <c r="P825" i="7"/>
  <c r="R825" i="7" s="1"/>
  <c r="E825" i="7" s="1"/>
  <c r="F825" i="7" s="1"/>
  <c r="P828" i="7"/>
  <c r="R828" i="7" s="1"/>
  <c r="E828" i="7" s="1"/>
  <c r="F828" i="7" s="1"/>
  <c r="P840" i="7"/>
  <c r="R840" i="7" s="1"/>
  <c r="E840" i="7" s="1"/>
  <c r="F840" i="7" s="1"/>
  <c r="P976" i="7"/>
  <c r="R976" i="7" s="1"/>
  <c r="E976" i="7" s="1"/>
  <c r="F976" i="7" s="1"/>
  <c r="P982" i="7"/>
  <c r="R982" i="7" s="1"/>
  <c r="E982" i="7" s="1"/>
  <c r="G982" i="7" s="1"/>
  <c r="P989" i="7"/>
  <c r="R989" i="7" s="1"/>
  <c r="E989" i="7" s="1"/>
  <c r="F989" i="7" s="1"/>
  <c r="P997" i="7"/>
  <c r="R997" i="7" s="1"/>
  <c r="E997" i="7" s="1"/>
  <c r="F997" i="7" s="1"/>
  <c r="P1002" i="7"/>
  <c r="R1002" i="7" s="1"/>
  <c r="E1002" i="7" s="1"/>
  <c r="F1002" i="7" s="1"/>
  <c r="P1011" i="7"/>
  <c r="R1011" i="7" s="1"/>
  <c r="E1011" i="7" s="1"/>
  <c r="F1011" i="7" s="1"/>
  <c r="P1022" i="7"/>
  <c r="R1022" i="7" s="1"/>
  <c r="E1022" i="7" s="1"/>
  <c r="F1022" i="7" s="1"/>
  <c r="P1045" i="7"/>
  <c r="R1045" i="7" s="1"/>
  <c r="E1045" i="7" s="1"/>
  <c r="F1045" i="7" s="1"/>
  <c r="P1051" i="7"/>
  <c r="R1051" i="7" s="1"/>
  <c r="E1051" i="7" s="1"/>
  <c r="F1051" i="7" s="1"/>
  <c r="P1058" i="7"/>
  <c r="R1058" i="7" s="1"/>
  <c r="E1058" i="7" s="1"/>
  <c r="F1058" i="7" s="1"/>
  <c r="P1064" i="7"/>
  <c r="R1064" i="7" s="1"/>
  <c r="E1064" i="7" s="1"/>
  <c r="F1064" i="7" s="1"/>
  <c r="P1068" i="7"/>
  <c r="R1068" i="7" s="1"/>
  <c r="E1068" i="7" s="1"/>
  <c r="F1068" i="7" s="1"/>
  <c r="P1076" i="7"/>
  <c r="R1076" i="7" s="1"/>
  <c r="E1076" i="7" s="1"/>
  <c r="F1076" i="7" s="1"/>
  <c r="P1082" i="7"/>
  <c r="R1082" i="7" s="1"/>
  <c r="E1082" i="7" s="1"/>
  <c r="F1082" i="7" s="1"/>
  <c r="P1163" i="7"/>
  <c r="R1163" i="7" s="1"/>
  <c r="E1163" i="7" s="1"/>
  <c r="G1163" i="7" s="1"/>
  <c r="P1169" i="7"/>
  <c r="R1169" i="7" s="1"/>
  <c r="E1169" i="7" s="1"/>
  <c r="G1169" i="7" s="1"/>
  <c r="P1175" i="7"/>
  <c r="R1175" i="7" s="1"/>
  <c r="E1175" i="7" s="1"/>
  <c r="P1188" i="7"/>
  <c r="R1188" i="7" s="1"/>
  <c r="E1188" i="7" s="1"/>
  <c r="F1188" i="7" s="1"/>
  <c r="P1190" i="7"/>
  <c r="R1190" i="7" s="1"/>
  <c r="E1190" i="7" s="1"/>
  <c r="F1190" i="7" s="1"/>
  <c r="P1199" i="7"/>
  <c r="R1199" i="7" s="1"/>
  <c r="E1199" i="7" s="1"/>
  <c r="F1199" i="7" s="1"/>
  <c r="P1209" i="7"/>
  <c r="R1209" i="7" s="1"/>
  <c r="E1209" i="7" s="1"/>
  <c r="F1209" i="7" s="1"/>
  <c r="P1223" i="7"/>
  <c r="R1223" i="7" s="1"/>
  <c r="E1223" i="7" s="1"/>
  <c r="F1223" i="7" s="1"/>
  <c r="P1229" i="7"/>
  <c r="R1229" i="7" s="1"/>
  <c r="E1229" i="7" s="1"/>
  <c r="G1229" i="7" s="1"/>
  <c r="P1235" i="7"/>
  <c r="R1235" i="7" s="1"/>
  <c r="E1235" i="7" s="1"/>
  <c r="G1235" i="7" s="1"/>
  <c r="P1242" i="7"/>
  <c r="R1242" i="7" s="1"/>
  <c r="E1242" i="7" s="1"/>
  <c r="F1242" i="7" s="1"/>
  <c r="P1247" i="7"/>
  <c r="R1247" i="7" s="1"/>
  <c r="E1247" i="7" s="1"/>
  <c r="F1247" i="7" s="1"/>
  <c r="P1258" i="7"/>
  <c r="R1258" i="7" s="1"/>
  <c r="E1258" i="7" s="1"/>
  <c r="B1258" i="7" s="1"/>
  <c r="P1266" i="7"/>
  <c r="R1266" i="7" s="1"/>
  <c r="E1266" i="7" s="1"/>
  <c r="B1266" i="7" s="1"/>
  <c r="E1456" i="7"/>
  <c r="B1456" i="7" s="1"/>
  <c r="P1488" i="7"/>
  <c r="R1488" i="7" s="1"/>
  <c r="E1488" i="7" s="1"/>
  <c r="F1488" i="7" s="1"/>
  <c r="P1520" i="7"/>
  <c r="R1520" i="7" s="1"/>
  <c r="E1520" i="7" s="1"/>
  <c r="F1520" i="7" s="1"/>
  <c r="P1613" i="7"/>
  <c r="R1613" i="7" s="1"/>
  <c r="E1613" i="7" s="1"/>
  <c r="F1613" i="7" s="1"/>
  <c r="E1629" i="7"/>
  <c r="B1629" i="7" s="1"/>
  <c r="P1638" i="7"/>
  <c r="R1638" i="7" s="1"/>
  <c r="E1638" i="7" s="1"/>
  <c r="B1638" i="7" s="1"/>
  <c r="P1645" i="7"/>
  <c r="R1645" i="7" s="1"/>
  <c r="E1645" i="7" s="1"/>
  <c r="B1645" i="7" s="1"/>
  <c r="E1673" i="7"/>
  <c r="B1673" i="7" s="1"/>
  <c r="E1681" i="7"/>
  <c r="B1681" i="7" s="1"/>
  <c r="P1687" i="7"/>
  <c r="R1687" i="7" s="1"/>
  <c r="E1687" i="7" s="1"/>
  <c r="B1687" i="7" s="1"/>
  <c r="E1701" i="7"/>
  <c r="B1701" i="7" s="1"/>
  <c r="P1662" i="7"/>
  <c r="R1662" i="7" s="1"/>
  <c r="E1662" i="7" s="1"/>
  <c r="F1662" i="7" s="1"/>
  <c r="P1668" i="7"/>
  <c r="R1668" i="7" s="1"/>
  <c r="E1668" i="7" s="1"/>
  <c r="F1668" i="7" s="1"/>
  <c r="P1742" i="7"/>
  <c r="R1742" i="7" s="1"/>
  <c r="E1742" i="7" s="1"/>
  <c r="F1742" i="7" s="1"/>
  <c r="E1751" i="7"/>
  <c r="F1751" i="7" s="1"/>
  <c r="P1825" i="7"/>
  <c r="R1825" i="7" s="1"/>
  <c r="E1825" i="7" s="1"/>
  <c r="F1825" i="7" s="1"/>
  <c r="P1764" i="7"/>
  <c r="R1764" i="7" s="1"/>
  <c r="E1764" i="7" s="1"/>
  <c r="F1764" i="7" s="1"/>
  <c r="P1775" i="7"/>
  <c r="R1775" i="7" s="1"/>
  <c r="E1775" i="7" s="1"/>
  <c r="F1775" i="7" s="1"/>
  <c r="P1796" i="7"/>
  <c r="R1796" i="7" s="1"/>
  <c r="E1796" i="7" s="1"/>
  <c r="F1796" i="7" s="1"/>
  <c r="P1802" i="7"/>
  <c r="R1802" i="7" s="1"/>
  <c r="E1802" i="7" s="1"/>
  <c r="F1802" i="7" s="1"/>
  <c r="P1782" i="7"/>
  <c r="R1782" i="7" s="1"/>
  <c r="E1782" i="7" s="1"/>
  <c r="F1782" i="7" s="1"/>
  <c r="P1788" i="7"/>
  <c r="R1788" i="7" s="1"/>
  <c r="E1788" i="7" s="1"/>
  <c r="F1788" i="7" s="1"/>
  <c r="E1811" i="7"/>
  <c r="F1811" i="7" s="1"/>
  <c r="E1806" i="7"/>
  <c r="F1806" i="7" s="1"/>
  <c r="P1868" i="7"/>
  <c r="R1868" i="7" s="1"/>
  <c r="E1868" i="7" s="1"/>
  <c r="B1868" i="7" s="1"/>
  <c r="P1875" i="7"/>
  <c r="R1875" i="7" s="1"/>
  <c r="E1875" i="7" s="1"/>
  <c r="F1875" i="7" s="1"/>
  <c r="P1883" i="7"/>
  <c r="R1883" i="7" s="1"/>
  <c r="E1883" i="7" s="1"/>
  <c r="F1883" i="7" s="1"/>
  <c r="P1900" i="7"/>
  <c r="R1900" i="7" s="1"/>
  <c r="E1900" i="7" s="1"/>
  <c r="G1900" i="7" s="1"/>
  <c r="P1905" i="7"/>
  <c r="R1905" i="7" s="1"/>
  <c r="E1905" i="7" s="1"/>
  <c r="F1905" i="7" s="1"/>
  <c r="P1912" i="7"/>
  <c r="R1912" i="7" s="1"/>
  <c r="E1912" i="7" s="1"/>
  <c r="G1912" i="7" s="1"/>
  <c r="P1923" i="7"/>
  <c r="R1923" i="7" s="1"/>
  <c r="E1923" i="7" s="1"/>
  <c r="G1923" i="7" s="1"/>
  <c r="P1934" i="7"/>
  <c r="R1934" i="7" s="1"/>
  <c r="E1934" i="7" s="1"/>
  <c r="G1934" i="7" s="1"/>
  <c r="E1979" i="7"/>
  <c r="B1979" i="7" s="1"/>
  <c r="P2019" i="7"/>
  <c r="R2019" i="7" s="1"/>
  <c r="E2019" i="7" s="1"/>
  <c r="F2019" i="7" s="1"/>
  <c r="P2025" i="7"/>
  <c r="R2025" i="7" s="1"/>
  <c r="E2025" i="7" s="1"/>
  <c r="F2025" i="7" s="1"/>
  <c r="P2037" i="7"/>
  <c r="R2037" i="7" s="1"/>
  <c r="E2037" i="7" s="1"/>
  <c r="F2037" i="7" s="1"/>
  <c r="P2061" i="7"/>
  <c r="R2061" i="7" s="1"/>
  <c r="E2061" i="7" s="1"/>
  <c r="F2061" i="7" s="1"/>
  <c r="P2089" i="7"/>
  <c r="R2089" i="7" s="1"/>
  <c r="E2089" i="7" s="1"/>
  <c r="F2089" i="7" s="1"/>
  <c r="P2101" i="7"/>
  <c r="R2101" i="7" s="1"/>
  <c r="E2101" i="7" s="1"/>
  <c r="F2101" i="7" s="1"/>
  <c r="P2137" i="7"/>
  <c r="R2137" i="7" s="1"/>
  <c r="E2137" i="7" s="1"/>
  <c r="F2137" i="7" s="1"/>
  <c r="P2142" i="7"/>
  <c r="R2142" i="7" s="1"/>
  <c r="E2142" i="7" s="1"/>
  <c r="F2142" i="7" s="1"/>
  <c r="P2151" i="7"/>
  <c r="R2151" i="7" s="1"/>
  <c r="E2151" i="7" s="1"/>
  <c r="G2151" i="7" s="1"/>
  <c r="P2176" i="7"/>
  <c r="R2176" i="7" s="1"/>
  <c r="E2176" i="7" s="1"/>
  <c r="E2220" i="7"/>
  <c r="F2220" i="7" s="1"/>
  <c r="P2261" i="7"/>
  <c r="R2261" i="7" s="1"/>
  <c r="E2261" i="7" s="1"/>
  <c r="F2261" i="7" s="1"/>
  <c r="E2267" i="7"/>
  <c r="F2267" i="7" s="1"/>
  <c r="P2276" i="7"/>
  <c r="R2276" i="7" s="1"/>
  <c r="E2276" i="7" s="1"/>
  <c r="F2276" i="7" s="1"/>
  <c r="P2288" i="7"/>
  <c r="R2288" i="7" s="1"/>
  <c r="E2288" i="7" s="1"/>
  <c r="F2288" i="7" s="1"/>
  <c r="E2322" i="7"/>
  <c r="B2322" i="7" s="1"/>
  <c r="P2339" i="7"/>
  <c r="R2339" i="7" s="1"/>
  <c r="E2339" i="7" s="1"/>
  <c r="F2339" i="7" s="1"/>
  <c r="P2388" i="7"/>
  <c r="R2388" i="7" s="1"/>
  <c r="E2388" i="7" s="1"/>
  <c r="F2388" i="7" s="1"/>
  <c r="P2403" i="7"/>
  <c r="R2403" i="7" s="1"/>
  <c r="E2403" i="7" s="1"/>
  <c r="F2403" i="7" s="1"/>
  <c r="P2381" i="7"/>
  <c r="R2381" i="7" s="1"/>
  <c r="E2381" i="7" s="1"/>
  <c r="F2381" i="7" s="1"/>
  <c r="P2387" i="7"/>
  <c r="R2387" i="7" s="1"/>
  <c r="E2387" i="7" s="1"/>
  <c r="F2387" i="7" s="1"/>
  <c r="P2396" i="7"/>
  <c r="R2396" i="7" s="1"/>
  <c r="E2396" i="7" s="1"/>
  <c r="F2396" i="7" s="1"/>
  <c r="P2406" i="7"/>
  <c r="R2406" i="7" s="1"/>
  <c r="E2406" i="7" s="1"/>
  <c r="F2406" i="7" s="1"/>
  <c r="P2378" i="7"/>
  <c r="R2378" i="7" s="1"/>
  <c r="E2378" i="7" s="1"/>
  <c r="F2378" i="7" s="1"/>
  <c r="E2482" i="7"/>
  <c r="F2482" i="7" s="1"/>
  <c r="E2464" i="7"/>
  <c r="F2464" i="7" s="1"/>
  <c r="P2475" i="7"/>
  <c r="R2475" i="7" s="1"/>
  <c r="E2475" i="7" s="1"/>
  <c r="F2475" i="7" s="1"/>
  <c r="E2488" i="7"/>
  <c r="F2488" i="7" s="1"/>
  <c r="P2493" i="7"/>
  <c r="R2493" i="7" s="1"/>
  <c r="E2493" i="7" s="1"/>
  <c r="F2493" i="7" s="1"/>
  <c r="P2499" i="7"/>
  <c r="R2499" i="7" s="1"/>
  <c r="E2499" i="7" s="1"/>
  <c r="B2499" i="7" s="1"/>
  <c r="P2545" i="7"/>
  <c r="R2545" i="7" s="1"/>
  <c r="E2545" i="7" s="1"/>
  <c r="F2545" i="7" s="1"/>
  <c r="P2551" i="7"/>
  <c r="R2551" i="7" s="1"/>
  <c r="E2551" i="7" s="1"/>
  <c r="F2551" i="7" s="1"/>
  <c r="P2559" i="7"/>
  <c r="R2559" i="7" s="1"/>
  <c r="E2559" i="7" s="1"/>
  <c r="F2559" i="7" s="1"/>
  <c r="P2566" i="7"/>
  <c r="R2566" i="7" s="1"/>
  <c r="E2566" i="7" s="1"/>
  <c r="F2566" i="7" s="1"/>
  <c r="P2576" i="7"/>
  <c r="R2576" i="7" s="1"/>
  <c r="E2576" i="7" s="1"/>
  <c r="F2576" i="7" s="1"/>
  <c r="P2582" i="7"/>
  <c r="R2582" i="7" s="1"/>
  <c r="E2582" i="7" s="1"/>
  <c r="F2582" i="7" s="1"/>
  <c r="E2590" i="7"/>
  <c r="F2590" i="7" s="1"/>
  <c r="E2610" i="7"/>
  <c r="B2610" i="7" s="1"/>
  <c r="P2617" i="7"/>
  <c r="R2617" i="7" s="1"/>
  <c r="E2617" i="7" s="1"/>
  <c r="B2617" i="7" s="1"/>
  <c r="P2633" i="7"/>
  <c r="R2633" i="7" s="1"/>
  <c r="E2633" i="7" s="1"/>
  <c r="F2633" i="7" s="1"/>
  <c r="P2639" i="7"/>
  <c r="R2639" i="7" s="1"/>
  <c r="E2639" i="7" s="1"/>
  <c r="F2639" i="7" s="1"/>
  <c r="P2649" i="7"/>
  <c r="R2649" i="7" s="1"/>
  <c r="E2649" i="7" s="1"/>
  <c r="P2655" i="7"/>
  <c r="R2655" i="7" s="1"/>
  <c r="E2655" i="7" s="1"/>
  <c r="F2655" i="7" s="1"/>
  <c r="P2663" i="7"/>
  <c r="R2663" i="7" s="1"/>
  <c r="E2663" i="7" s="1"/>
  <c r="F2663" i="7" s="1"/>
  <c r="P2670" i="7"/>
  <c r="R2670" i="7" s="1"/>
  <c r="E2670" i="7" s="1"/>
  <c r="F2670" i="7" s="1"/>
  <c r="P2687" i="7"/>
  <c r="R2687" i="7" s="1"/>
  <c r="E2687" i="7" s="1"/>
  <c r="B2687" i="7" s="1"/>
  <c r="E2702" i="7"/>
  <c r="B2702" i="7" s="1"/>
  <c r="E2710" i="7"/>
  <c r="B2710" i="7" s="1"/>
  <c r="P2717" i="7"/>
  <c r="R2717" i="7" s="1"/>
  <c r="E2717" i="7" s="1"/>
  <c r="F2717" i="7" s="1"/>
  <c r="P2738" i="7"/>
  <c r="R2738" i="7" s="1"/>
  <c r="E2738" i="7" s="1"/>
  <c r="F2738" i="7" s="1"/>
  <c r="P2746" i="7"/>
  <c r="R2746" i="7" s="1"/>
  <c r="E2746" i="7" s="1"/>
  <c r="F2746" i="7" s="1"/>
  <c r="P2793" i="7"/>
  <c r="R2793" i="7" s="1"/>
  <c r="E2793" i="7" s="1"/>
  <c r="F2793" i="7" s="1"/>
  <c r="P2801" i="7"/>
  <c r="R2801" i="7" s="1"/>
  <c r="E2801" i="7" s="1"/>
  <c r="F2801" i="7" s="1"/>
  <c r="E2807" i="7"/>
  <c r="F2807" i="7" s="1"/>
  <c r="P2819" i="7"/>
  <c r="R2819" i="7" s="1"/>
  <c r="E2819" i="7" s="1"/>
  <c r="B2819" i="7" s="1"/>
  <c r="P2835" i="7"/>
  <c r="R2835" i="7" s="1"/>
  <c r="E2835" i="7" s="1"/>
  <c r="G2835" i="7" s="1"/>
  <c r="P2841" i="7"/>
  <c r="R2841" i="7" s="1"/>
  <c r="E2841" i="7" s="1"/>
  <c r="G2841" i="7" s="1"/>
  <c r="P2852" i="7"/>
  <c r="R2852" i="7" s="1"/>
  <c r="E2852" i="7" s="1"/>
  <c r="F2852" i="7" s="1"/>
  <c r="P2863" i="7"/>
  <c r="R2863" i="7" s="1"/>
  <c r="E2863" i="7" s="1"/>
  <c r="F2863" i="7" s="1"/>
  <c r="P2869" i="7"/>
  <c r="R2869" i="7" s="1"/>
  <c r="E2869" i="7" s="1"/>
  <c r="F2869" i="7" s="1"/>
  <c r="P2880" i="7"/>
  <c r="R2880" i="7" s="1"/>
  <c r="E2880" i="7" s="1"/>
  <c r="G2880" i="7" s="1"/>
  <c r="P172" i="7"/>
  <c r="R172" i="7" s="1"/>
  <c r="E172" i="7" s="1"/>
  <c r="F172" i="7" s="1"/>
  <c r="E492" i="7"/>
  <c r="F492" i="7" s="1"/>
  <c r="P922" i="7"/>
  <c r="R922" i="7" s="1"/>
  <c r="E922" i="7" s="1"/>
  <c r="F922" i="7" s="1"/>
  <c r="P1014" i="7"/>
  <c r="R1014" i="7" s="1"/>
  <c r="E1014" i="7" s="1"/>
  <c r="F1014" i="7" s="1"/>
  <c r="P1103" i="7"/>
  <c r="R1103" i="7" s="1"/>
  <c r="E1103" i="7" s="1"/>
  <c r="F1103" i="7" s="1"/>
  <c r="P1333" i="7"/>
  <c r="R1333" i="7" s="1"/>
  <c r="E1333" i="7" s="1"/>
  <c r="F1333" i="7" s="1"/>
  <c r="P1503" i="7"/>
  <c r="R1503" i="7" s="1"/>
  <c r="E1503" i="7" s="1"/>
  <c r="F1503" i="7" s="1"/>
  <c r="P1570" i="7"/>
  <c r="R1570" i="7" s="1"/>
  <c r="E1570" i="7" s="1"/>
  <c r="F1570" i="7" s="1"/>
  <c r="P1710" i="7"/>
  <c r="R1710" i="7" s="1"/>
  <c r="E1710" i="7" s="1"/>
  <c r="F1710" i="7" s="1"/>
  <c r="E1998" i="7"/>
  <c r="B1998" i="7" s="1"/>
  <c r="P2069" i="7"/>
  <c r="R2069" i="7" s="1"/>
  <c r="E2069" i="7" s="1"/>
  <c r="F2069" i="7" s="1"/>
  <c r="P2119" i="7"/>
  <c r="R2119" i="7" s="1"/>
  <c r="E2119" i="7" s="1"/>
  <c r="F2119" i="7" s="1"/>
  <c r="P2199" i="7"/>
  <c r="R2199" i="7" s="1"/>
  <c r="E2199" i="7" s="1"/>
  <c r="F2199" i="7" s="1"/>
  <c r="P2248" i="7"/>
  <c r="R2248" i="7" s="1"/>
  <c r="E2248" i="7" s="1"/>
  <c r="F2248" i="7" s="1"/>
  <c r="P2327" i="7"/>
  <c r="R2327" i="7" s="1"/>
  <c r="E2327" i="7" s="1"/>
  <c r="F2327" i="7" s="1"/>
  <c r="P2362" i="7"/>
  <c r="R2362" i="7" s="1"/>
  <c r="E2362" i="7" s="1"/>
  <c r="G2362" i="7" s="1"/>
  <c r="P2430" i="7"/>
  <c r="R2430" i="7" s="1"/>
  <c r="E2430" i="7" s="1"/>
  <c r="F2430" i="7" s="1"/>
  <c r="P2443" i="7"/>
  <c r="R2443" i="7" s="1"/>
  <c r="E2443" i="7" s="1"/>
  <c r="F2443" i="7" s="1"/>
  <c r="P2462" i="7"/>
  <c r="R2462" i="7" s="1"/>
  <c r="E2462" i="7" s="1"/>
  <c r="F2462" i="7" s="1"/>
  <c r="P2505" i="7"/>
  <c r="R2505" i="7" s="1"/>
  <c r="E2505" i="7" s="1"/>
  <c r="F2505" i="7" s="1"/>
  <c r="P2523" i="7"/>
  <c r="R2523" i="7" s="1"/>
  <c r="E2523" i="7" s="1"/>
  <c r="F2523" i="7" s="1"/>
  <c r="P2537" i="7"/>
  <c r="R2537" i="7" s="1"/>
  <c r="E2537" i="7" s="1"/>
  <c r="B2537" i="7" s="1"/>
  <c r="P2728" i="7"/>
  <c r="R2728" i="7" s="1"/>
  <c r="E2728" i="7" s="1"/>
  <c r="F2728" i="7" s="1"/>
  <c r="P2752" i="7"/>
  <c r="R2752" i="7" s="1"/>
  <c r="E2752" i="7" s="1"/>
  <c r="F2752" i="7" s="1"/>
  <c r="P2766" i="7"/>
  <c r="R2766" i="7" s="1"/>
  <c r="E2766" i="7" s="1"/>
  <c r="B2766" i="7" s="1"/>
  <c r="P2782" i="7"/>
  <c r="R2782" i="7" s="1"/>
  <c r="E2782" i="7" s="1"/>
  <c r="F2782" i="7" s="1"/>
  <c r="P2823" i="7"/>
  <c r="R2823" i="7" s="1"/>
  <c r="E2823" i="7" s="1"/>
  <c r="F2823" i="7" s="1"/>
  <c r="P10" i="7"/>
  <c r="R10" i="7" s="1"/>
  <c r="E10" i="7" s="1"/>
  <c r="F10" i="7" s="1"/>
  <c r="P29" i="7"/>
  <c r="R29" i="7" s="1"/>
  <c r="E29" i="7" s="1"/>
  <c r="P35" i="7"/>
  <c r="R35" i="7" s="1"/>
  <c r="E35" i="7" s="1"/>
  <c r="F35" i="7" s="1"/>
  <c r="P48" i="7"/>
  <c r="R48" i="7" s="1"/>
  <c r="E48" i="7" s="1"/>
  <c r="F48" i="7" s="1"/>
  <c r="E61" i="7"/>
  <c r="B61" i="7" s="1"/>
  <c r="E68" i="7"/>
  <c r="F68" i="7" s="1"/>
  <c r="E74" i="7"/>
  <c r="B74" i="7" s="1"/>
  <c r="E80" i="7"/>
  <c r="B80" i="7" s="1"/>
  <c r="E92" i="7"/>
  <c r="B92" i="7" s="1"/>
  <c r="P136" i="7"/>
  <c r="R136" i="7" s="1"/>
  <c r="E136" i="7" s="1"/>
  <c r="F136" i="7" s="1"/>
  <c r="P147" i="7"/>
  <c r="R147" i="7" s="1"/>
  <c r="E147" i="7" s="1"/>
  <c r="F147" i="7" s="1"/>
  <c r="P148" i="7"/>
  <c r="R148" i="7" s="1"/>
  <c r="E148" i="7" s="1"/>
  <c r="F148" i="7" s="1"/>
  <c r="P156" i="7"/>
  <c r="R156" i="7" s="1"/>
  <c r="E156" i="7" s="1"/>
  <c r="G156" i="7" s="1"/>
  <c r="P173" i="7"/>
  <c r="R173" i="7" s="1"/>
  <c r="E173" i="7" s="1"/>
  <c r="F173" i="7" s="1"/>
  <c r="P181" i="7"/>
  <c r="R181" i="7" s="1"/>
  <c r="E181" i="7" s="1"/>
  <c r="B181" i="7" s="1"/>
  <c r="E186" i="7"/>
  <c r="B186" i="7" s="1"/>
  <c r="P210" i="7"/>
  <c r="R210" i="7" s="1"/>
  <c r="E210" i="7" s="1"/>
  <c r="P245" i="7"/>
  <c r="R245" i="7" s="1"/>
  <c r="E245" i="7" s="1"/>
  <c r="F245" i="7" s="1"/>
  <c r="P231" i="7"/>
  <c r="R231" i="7" s="1"/>
  <c r="E231" i="7" s="1"/>
  <c r="F231" i="7" s="1"/>
  <c r="P223" i="7"/>
  <c r="R223" i="7" s="1"/>
  <c r="E223" i="7" s="1"/>
  <c r="F223" i="7" s="1"/>
  <c r="P226" i="7"/>
  <c r="R226" i="7" s="1"/>
  <c r="E226" i="7" s="1"/>
  <c r="F226" i="7" s="1"/>
  <c r="P284" i="7"/>
  <c r="R284" i="7" s="1"/>
  <c r="E284" i="7" s="1"/>
  <c r="F284" i="7" s="1"/>
  <c r="P287" i="7"/>
  <c r="R287" i="7" s="1"/>
  <c r="E287" i="7" s="1"/>
  <c r="F287" i="7" s="1"/>
  <c r="P293" i="7"/>
  <c r="R293" i="7" s="1"/>
  <c r="E293" i="7" s="1"/>
  <c r="F293" i="7" s="1"/>
  <c r="P334" i="7"/>
  <c r="R334" i="7" s="1"/>
  <c r="E334" i="7" s="1"/>
  <c r="F334" i="7" s="1"/>
  <c r="P348" i="7"/>
  <c r="R348" i="7" s="1"/>
  <c r="E348" i="7" s="1"/>
  <c r="F348" i="7" s="1"/>
  <c r="P387" i="7"/>
  <c r="R387" i="7" s="1"/>
  <c r="E387" i="7" s="1"/>
  <c r="F387" i="7" s="1"/>
  <c r="P401" i="7"/>
  <c r="R401" i="7" s="1"/>
  <c r="E401" i="7" s="1"/>
  <c r="F401" i="7" s="1"/>
  <c r="P410" i="7"/>
  <c r="R410" i="7" s="1"/>
  <c r="E410" i="7" s="1"/>
  <c r="F410" i="7" s="1"/>
  <c r="P417" i="7"/>
  <c r="R417" i="7" s="1"/>
  <c r="E417" i="7" s="1"/>
  <c r="F417" i="7" s="1"/>
  <c r="P424" i="7"/>
  <c r="R424" i="7" s="1"/>
  <c r="E424" i="7" s="1"/>
  <c r="F424" i="7" s="1"/>
  <c r="P437" i="7"/>
  <c r="R437" i="7" s="1"/>
  <c r="E437" i="7" s="1"/>
  <c r="F437" i="7" s="1"/>
  <c r="P455" i="7"/>
  <c r="R455" i="7" s="1"/>
  <c r="E455" i="7" s="1"/>
  <c r="F455" i="7" s="1"/>
  <c r="P464" i="7"/>
  <c r="R464" i="7" s="1"/>
  <c r="E464" i="7" s="1"/>
  <c r="F464" i="7" s="1"/>
  <c r="P481" i="7"/>
  <c r="R481" i="7" s="1"/>
  <c r="E481" i="7" s="1"/>
  <c r="F481" i="7" s="1"/>
  <c r="E487" i="7"/>
  <c r="F487" i="7" s="1"/>
  <c r="P494" i="7"/>
  <c r="R494" i="7" s="1"/>
  <c r="E494" i="7" s="1"/>
  <c r="F494" i="7" s="1"/>
  <c r="E500" i="7"/>
  <c r="F500" i="7" s="1"/>
  <c r="P507" i="7"/>
  <c r="R507" i="7" s="1"/>
  <c r="E507" i="7" s="1"/>
  <c r="F507" i="7" s="1"/>
  <c r="P522" i="7"/>
  <c r="R522" i="7" s="1"/>
  <c r="E522" i="7" s="1"/>
  <c r="F522" i="7" s="1"/>
  <c r="P538" i="7"/>
  <c r="R538" i="7" s="1"/>
  <c r="E538" i="7" s="1"/>
  <c r="F538" i="7" s="1"/>
  <c r="P579" i="7"/>
  <c r="R579" i="7" s="1"/>
  <c r="E579" i="7" s="1"/>
  <c r="G579" i="7" s="1"/>
  <c r="P585" i="7"/>
  <c r="R585" i="7" s="1"/>
  <c r="E585" i="7" s="1"/>
  <c r="F585" i="7" s="1"/>
  <c r="P603" i="7"/>
  <c r="R603" i="7" s="1"/>
  <c r="E603" i="7" s="1"/>
  <c r="F603" i="7" s="1"/>
  <c r="P591" i="7"/>
  <c r="R591" i="7" s="1"/>
  <c r="E591" i="7" s="1"/>
  <c r="F591" i="7" s="1"/>
  <c r="P613" i="7"/>
  <c r="R613" i="7" s="1"/>
  <c r="E613" i="7" s="1"/>
  <c r="F613" i="7" s="1"/>
  <c r="P647" i="7"/>
  <c r="R647" i="7" s="1"/>
  <c r="E647" i="7" s="1"/>
  <c r="F647" i="7" s="1"/>
  <c r="P662" i="7"/>
  <c r="R662" i="7" s="1"/>
  <c r="E662" i="7" s="1"/>
  <c r="B662" i="7" s="1"/>
  <c r="P685" i="7"/>
  <c r="R685" i="7" s="1"/>
  <c r="E685" i="7" s="1"/>
  <c r="F685" i="7" s="1"/>
  <c r="P794" i="7"/>
  <c r="R794" i="7" s="1"/>
  <c r="E794" i="7" s="1"/>
  <c r="F794" i="7" s="1"/>
  <c r="P804" i="7"/>
  <c r="R804" i="7" s="1"/>
  <c r="E804" i="7" s="1"/>
  <c r="F804" i="7" s="1"/>
  <c r="P808" i="7"/>
  <c r="R808" i="7" s="1"/>
  <c r="E808" i="7" s="1"/>
  <c r="F808" i="7" s="1"/>
  <c r="P864" i="7"/>
  <c r="R864" i="7" s="1"/>
  <c r="E864" i="7" s="1"/>
  <c r="F864" i="7" s="1"/>
  <c r="P890" i="7"/>
  <c r="R890" i="7" s="1"/>
  <c r="E890" i="7" s="1"/>
  <c r="F890" i="7" s="1"/>
  <c r="P888" i="7"/>
  <c r="R888" i="7" s="1"/>
  <c r="E888" i="7" s="1"/>
  <c r="F888" i="7" s="1"/>
  <c r="P876" i="7"/>
  <c r="R876" i="7" s="1"/>
  <c r="E876" i="7" s="1"/>
  <c r="F876" i="7" s="1"/>
  <c r="E903" i="7"/>
  <c r="F903" i="7" s="1"/>
  <c r="E917" i="7"/>
  <c r="F917" i="7" s="1"/>
  <c r="P925" i="7"/>
  <c r="R925" i="7" s="1"/>
  <c r="E925" i="7" s="1"/>
  <c r="F925" i="7" s="1"/>
  <c r="P933" i="7"/>
  <c r="R933" i="7" s="1"/>
  <c r="E933" i="7" s="1"/>
  <c r="F933" i="7" s="1"/>
  <c r="P939" i="7"/>
  <c r="R939" i="7" s="1"/>
  <c r="E939" i="7" s="1"/>
  <c r="G939" i="7" s="1"/>
  <c r="P949" i="7"/>
  <c r="R949" i="7" s="1"/>
  <c r="E949" i="7" s="1"/>
  <c r="F949" i="7" s="1"/>
  <c r="P946" i="7"/>
  <c r="R946" i="7" s="1"/>
  <c r="E946" i="7" s="1"/>
  <c r="F946" i="7" s="1"/>
  <c r="P1089" i="7"/>
  <c r="R1089" i="7" s="1"/>
  <c r="E1089" i="7" s="1"/>
  <c r="F1089" i="7" s="1"/>
  <c r="P1096" i="7"/>
  <c r="R1096" i="7" s="1"/>
  <c r="E1096" i="7" s="1"/>
  <c r="F1096" i="7" s="1"/>
  <c r="P1104" i="7"/>
  <c r="R1104" i="7" s="1"/>
  <c r="E1104" i="7" s="1"/>
  <c r="F1104" i="7" s="1"/>
  <c r="P1110" i="7"/>
  <c r="R1110" i="7" s="1"/>
  <c r="E1110" i="7" s="1"/>
  <c r="F1110" i="7" s="1"/>
  <c r="P1117" i="7"/>
  <c r="R1117" i="7" s="1"/>
  <c r="E1117" i="7" s="1"/>
  <c r="G1117" i="7" s="1"/>
  <c r="P1123" i="7"/>
  <c r="R1123" i="7" s="1"/>
  <c r="E1123" i="7" s="1"/>
  <c r="B1123" i="7" s="1"/>
  <c r="P1130" i="7"/>
  <c r="R1130" i="7" s="1"/>
  <c r="E1130" i="7" s="1"/>
  <c r="F1130" i="7" s="1"/>
  <c r="E1140" i="7"/>
  <c r="B1140" i="7" s="1"/>
  <c r="P1152" i="7"/>
  <c r="R1152" i="7" s="1"/>
  <c r="E1152" i="7" s="1"/>
  <c r="F1152" i="7" s="1"/>
  <c r="P1176" i="7"/>
  <c r="R1176" i="7" s="1"/>
  <c r="E1176" i="7" s="1"/>
  <c r="P1213" i="7"/>
  <c r="R1213" i="7" s="1"/>
  <c r="E1213" i="7" s="1"/>
  <c r="F1213" i="7" s="1"/>
  <c r="P1281" i="7"/>
  <c r="R1281" i="7" s="1"/>
  <c r="E1281" i="7" s="1"/>
  <c r="F1281" i="7" s="1"/>
  <c r="E1290" i="7"/>
  <c r="F1290" i="7" s="1"/>
  <c r="E1297" i="7"/>
  <c r="F1297" i="7" s="1"/>
  <c r="P1304" i="7"/>
  <c r="R1304" i="7" s="1"/>
  <c r="E1304" i="7" s="1"/>
  <c r="F1304" i="7" s="1"/>
  <c r="P1316" i="7"/>
  <c r="R1316" i="7" s="1"/>
  <c r="E1316" i="7" s="1"/>
  <c r="F1316" i="7" s="1"/>
  <c r="P1323" i="7"/>
  <c r="R1323" i="7" s="1"/>
  <c r="E1323" i="7" s="1"/>
  <c r="F1323" i="7" s="1"/>
  <c r="P1328" i="7"/>
  <c r="R1328" i="7" s="1"/>
  <c r="E1328" i="7" s="1"/>
  <c r="F1328" i="7" s="1"/>
  <c r="P1334" i="7"/>
  <c r="R1334" i="7" s="1"/>
  <c r="E1334" i="7" s="1"/>
  <c r="F1334" i="7" s="1"/>
  <c r="P1340" i="7"/>
  <c r="R1340" i="7" s="1"/>
  <c r="E1340" i="7" s="1"/>
  <c r="G1340" i="7" s="1"/>
  <c r="P1348" i="7"/>
  <c r="R1348" i="7" s="1"/>
  <c r="E1348" i="7" s="1"/>
  <c r="G1348" i="7" s="1"/>
  <c r="P1357" i="7"/>
  <c r="R1357" i="7" s="1"/>
  <c r="E1357" i="7" s="1"/>
  <c r="E1369" i="7"/>
  <c r="F1369" i="7" s="1"/>
  <c r="P1379" i="7"/>
  <c r="R1379" i="7" s="1"/>
  <c r="E1379" i="7" s="1"/>
  <c r="F1379" i="7" s="1"/>
  <c r="P1401" i="7"/>
  <c r="R1401" i="7" s="1"/>
  <c r="E1401" i="7" s="1"/>
  <c r="F1401" i="7" s="1"/>
  <c r="P1427" i="7"/>
  <c r="R1427" i="7" s="1"/>
  <c r="E1427" i="7" s="1"/>
  <c r="F1427" i="7" s="1"/>
  <c r="P1434" i="7"/>
  <c r="R1434" i="7" s="1"/>
  <c r="E1434" i="7" s="1"/>
  <c r="F1434" i="7" s="1"/>
  <c r="P1443" i="7"/>
  <c r="R1443" i="7" s="1"/>
  <c r="E1443" i="7" s="1"/>
  <c r="F1443" i="7" s="1"/>
  <c r="P1497" i="7"/>
  <c r="R1497" i="7" s="1"/>
  <c r="E1497" i="7" s="1"/>
  <c r="F1497" i="7" s="1"/>
  <c r="P1504" i="7"/>
  <c r="R1504" i="7" s="1"/>
  <c r="E1504" i="7" s="1"/>
  <c r="F1504" i="7" s="1"/>
  <c r="P1527" i="7"/>
  <c r="R1527" i="7" s="1"/>
  <c r="E1527" i="7" s="1"/>
  <c r="F1527" i="7" s="1"/>
  <c r="P1532" i="7"/>
  <c r="R1532" i="7" s="1"/>
  <c r="E1532" i="7" s="1"/>
  <c r="F1532" i="7" s="1"/>
  <c r="P1542" i="7"/>
  <c r="R1542" i="7" s="1"/>
  <c r="E1542" i="7" s="1"/>
  <c r="F1542" i="7" s="1"/>
  <c r="P1548" i="7"/>
  <c r="R1548" i="7" s="1"/>
  <c r="E1548" i="7" s="1"/>
  <c r="F1548" i="7" s="1"/>
  <c r="P1555" i="7"/>
  <c r="R1555" i="7" s="1"/>
  <c r="E1555" i="7" s="1"/>
  <c r="F1555" i="7" s="1"/>
  <c r="E1564" i="7"/>
  <c r="F1564" i="7" s="1"/>
  <c r="P1571" i="7"/>
  <c r="R1571" i="7" s="1"/>
  <c r="E1571" i="7" s="1"/>
  <c r="F1571" i="7" s="1"/>
  <c r="P1579" i="7"/>
  <c r="R1579" i="7" s="1"/>
  <c r="E1579" i="7" s="1"/>
  <c r="F1579" i="7" s="1"/>
  <c r="P1587" i="7"/>
  <c r="R1587" i="7" s="1"/>
  <c r="E1587" i="7" s="1"/>
  <c r="F1587" i="7" s="1"/>
  <c r="P1595" i="7"/>
  <c r="R1595" i="7" s="1"/>
  <c r="E1595" i="7" s="1"/>
  <c r="F1595" i="7" s="1"/>
  <c r="P1605" i="7"/>
  <c r="R1605" i="7" s="1"/>
  <c r="E1605" i="7" s="1"/>
  <c r="F1605" i="7" s="1"/>
  <c r="P1614" i="7"/>
  <c r="R1614" i="7" s="1"/>
  <c r="E1614" i="7" s="1"/>
  <c r="F1614" i="7" s="1"/>
  <c r="E1702" i="7"/>
  <c r="B1702" i="7" s="1"/>
  <c r="P1711" i="7"/>
  <c r="R1711" i="7" s="1"/>
  <c r="E1711" i="7" s="1"/>
  <c r="F1711" i="7" s="1"/>
  <c r="P1722" i="7"/>
  <c r="R1722" i="7" s="1"/>
  <c r="E1722" i="7" s="1"/>
  <c r="F1722" i="7" s="1"/>
  <c r="P1728" i="7"/>
  <c r="R1728" i="7" s="1"/>
  <c r="E1728" i="7" s="1"/>
  <c r="F1728" i="7" s="1"/>
  <c r="P1733" i="7"/>
  <c r="R1733" i="7" s="1"/>
  <c r="E1733" i="7" s="1"/>
  <c r="F1733" i="7" s="1"/>
  <c r="E1836" i="7"/>
  <c r="B1836" i="7" s="1"/>
  <c r="P1845" i="7"/>
  <c r="R1845" i="7" s="1"/>
  <c r="E1845" i="7" s="1"/>
  <c r="P1861" i="7"/>
  <c r="R1861" i="7" s="1"/>
  <c r="E1861" i="7" s="1"/>
  <c r="F1861" i="7" s="1"/>
  <c r="P1891" i="7"/>
  <c r="R1891" i="7" s="1"/>
  <c r="E1891" i="7" s="1"/>
  <c r="F1891" i="7" s="1"/>
  <c r="P1921" i="7"/>
  <c r="R1921" i="7" s="1"/>
  <c r="E1921" i="7" s="1"/>
  <c r="P1943" i="7"/>
  <c r="R1943" i="7" s="1"/>
  <c r="E1943" i="7" s="1"/>
  <c r="F1943" i="7" s="1"/>
  <c r="P1963" i="7"/>
  <c r="R1963" i="7" s="1"/>
  <c r="E1963" i="7" s="1"/>
  <c r="G1963" i="7" s="1"/>
  <c r="E1971" i="7"/>
  <c r="B1971" i="7" s="1"/>
  <c r="P1992" i="7"/>
  <c r="R1992" i="7" s="1"/>
  <c r="E1992" i="7" s="1"/>
  <c r="B1992" i="7" s="1"/>
  <c r="P1951" i="7"/>
  <c r="R1951" i="7" s="1"/>
  <c r="E1951" i="7" s="1"/>
  <c r="G1951" i="7" s="1"/>
  <c r="P1953" i="7"/>
  <c r="R1953" i="7" s="1"/>
  <c r="E1953" i="7" s="1"/>
  <c r="G1953" i="7" s="1"/>
  <c r="P2008" i="7"/>
  <c r="R2008" i="7" s="1"/>
  <c r="E2008" i="7" s="1"/>
  <c r="F2008" i="7" s="1"/>
  <c r="P2045" i="7"/>
  <c r="R2045" i="7" s="1"/>
  <c r="E2045" i="7" s="1"/>
  <c r="P2055" i="7"/>
  <c r="R2055" i="7" s="1"/>
  <c r="E2055" i="7" s="1"/>
  <c r="F2055" i="7" s="1"/>
  <c r="P2063" i="7"/>
  <c r="R2063" i="7" s="1"/>
  <c r="E2063" i="7" s="1"/>
  <c r="F2063" i="7" s="1"/>
  <c r="P2068" i="7"/>
  <c r="R2068" i="7" s="1"/>
  <c r="E2068" i="7" s="1"/>
  <c r="F2068" i="7" s="1"/>
  <c r="P2076" i="7"/>
  <c r="R2076" i="7" s="1"/>
  <c r="E2076" i="7" s="1"/>
  <c r="F2076" i="7" s="1"/>
  <c r="P2083" i="7"/>
  <c r="R2083" i="7" s="1"/>
  <c r="E2083" i="7" s="1"/>
  <c r="P2112" i="7"/>
  <c r="R2112" i="7" s="1"/>
  <c r="E2112" i="7" s="1"/>
  <c r="F2112" i="7" s="1"/>
  <c r="P2121" i="7"/>
  <c r="R2121" i="7" s="1"/>
  <c r="E2121" i="7" s="1"/>
  <c r="F2121" i="7" s="1"/>
  <c r="P2131" i="7"/>
  <c r="R2131" i="7" s="1"/>
  <c r="E2131" i="7" s="1"/>
  <c r="F2131" i="7" s="1"/>
  <c r="E2166" i="7"/>
  <c r="B2166" i="7" s="1"/>
  <c r="P2177" i="7"/>
  <c r="R2177" i="7" s="1"/>
  <c r="E2177" i="7" s="1"/>
  <c r="F2177" i="7" s="1"/>
  <c r="P2184" i="7"/>
  <c r="R2184" i="7" s="1"/>
  <c r="E2184" i="7" s="1"/>
  <c r="F2184" i="7" s="1"/>
  <c r="P2191" i="7"/>
  <c r="R2191" i="7" s="1"/>
  <c r="E2191" i="7" s="1"/>
  <c r="P2200" i="7"/>
  <c r="R2200" i="7" s="1"/>
  <c r="E2200" i="7" s="1"/>
  <c r="F2200" i="7" s="1"/>
  <c r="P2201" i="7"/>
  <c r="R2201" i="7" s="1"/>
  <c r="E2201" i="7" s="1"/>
  <c r="F2201" i="7" s="1"/>
  <c r="P2209" i="7"/>
  <c r="R2209" i="7" s="1"/>
  <c r="E2209" i="7" s="1"/>
  <c r="F2209" i="7" s="1"/>
  <c r="P2218" i="7"/>
  <c r="R2218" i="7" s="1"/>
  <c r="E2218" i="7" s="1"/>
  <c r="F2218" i="7" s="1"/>
  <c r="P2243" i="7"/>
  <c r="R2243" i="7" s="1"/>
  <c r="E2243" i="7" s="1"/>
  <c r="F2243" i="7" s="1"/>
  <c r="P2249" i="7"/>
  <c r="R2249" i="7" s="1"/>
  <c r="E2249" i="7" s="1"/>
  <c r="F2249" i="7" s="1"/>
  <c r="P2255" i="7"/>
  <c r="R2255" i="7" s="1"/>
  <c r="E2255" i="7" s="1"/>
  <c r="F2255" i="7" s="1"/>
  <c r="P2305" i="7"/>
  <c r="R2305" i="7" s="1"/>
  <c r="E2305" i="7" s="1"/>
  <c r="F2305" i="7" s="1"/>
  <c r="P2313" i="7"/>
  <c r="R2313" i="7" s="1"/>
  <c r="E2313" i="7" s="1"/>
  <c r="F2313" i="7" s="1"/>
  <c r="P2320" i="7"/>
  <c r="R2320" i="7" s="1"/>
  <c r="E2320" i="7" s="1"/>
  <c r="F2320" i="7" s="1"/>
  <c r="P2328" i="7"/>
  <c r="R2328" i="7" s="1"/>
  <c r="E2328" i="7" s="1"/>
  <c r="F2328" i="7" s="1"/>
  <c r="P2351" i="7"/>
  <c r="R2351" i="7" s="1"/>
  <c r="E2351" i="7" s="1"/>
  <c r="F2351" i="7" s="1"/>
  <c r="P2364" i="7"/>
  <c r="R2364" i="7" s="1"/>
  <c r="E2364" i="7" s="1"/>
  <c r="G2364" i="7" s="1"/>
  <c r="P2372" i="7"/>
  <c r="R2372" i="7" s="1"/>
  <c r="E2372" i="7" s="1"/>
  <c r="F2372" i="7" s="1"/>
  <c r="P2421" i="7"/>
  <c r="R2421" i="7" s="1"/>
  <c r="E2421" i="7" s="1"/>
  <c r="F2421" i="7" s="1"/>
  <c r="P2426" i="7"/>
  <c r="R2426" i="7" s="1"/>
  <c r="E2426" i="7" s="1"/>
  <c r="F2426" i="7" s="1"/>
  <c r="P2438" i="7"/>
  <c r="R2438" i="7" s="1"/>
  <c r="E2438" i="7" s="1"/>
  <c r="F2438" i="7" s="1"/>
  <c r="P2445" i="7"/>
  <c r="R2445" i="7" s="1"/>
  <c r="E2445" i="7" s="1"/>
  <c r="F2445" i="7" s="1"/>
  <c r="P2452" i="7"/>
  <c r="R2452" i="7" s="1"/>
  <c r="E2452" i="7" s="1"/>
  <c r="B2452" i="7" s="1"/>
  <c r="P2461" i="7"/>
  <c r="R2461" i="7" s="1"/>
  <c r="E2461" i="7" s="1"/>
  <c r="F2461" i="7" s="1"/>
  <c r="P2506" i="7"/>
  <c r="R2506" i="7" s="1"/>
  <c r="E2506" i="7" s="1"/>
  <c r="F2506" i="7" s="1"/>
  <c r="P2512" i="7"/>
  <c r="R2512" i="7" s="1"/>
  <c r="E2512" i="7" s="1"/>
  <c r="B2512" i="7" s="1"/>
  <c r="P2518" i="7"/>
  <c r="R2518" i="7" s="1"/>
  <c r="E2518" i="7" s="1"/>
  <c r="F2518" i="7" s="1"/>
  <c r="P2524" i="7"/>
  <c r="R2524" i="7" s="1"/>
  <c r="E2524" i="7" s="1"/>
  <c r="F2524" i="7" s="1"/>
  <c r="P2526" i="7"/>
  <c r="R2526" i="7" s="1"/>
  <c r="E2526" i="7" s="1"/>
  <c r="F2526" i="7" s="1"/>
  <c r="E2538" i="7"/>
  <c r="G2538" i="7" s="1"/>
  <c r="P2583" i="7"/>
  <c r="R2583" i="7" s="1"/>
  <c r="E2583" i="7" s="1"/>
  <c r="F2583" i="7" s="1"/>
  <c r="E2598" i="7"/>
  <c r="F2598" i="7" s="1"/>
  <c r="P2627" i="7"/>
  <c r="R2627" i="7" s="1"/>
  <c r="E2627" i="7" s="1"/>
  <c r="F2627" i="7" s="1"/>
  <c r="E2693" i="7"/>
  <c r="B2693" i="7" s="1"/>
  <c r="P2725" i="7"/>
  <c r="R2725" i="7" s="1"/>
  <c r="E2725" i="7" s="1"/>
  <c r="F2725" i="7" s="1"/>
  <c r="P2730" i="7"/>
  <c r="R2730" i="7" s="1"/>
  <c r="E2730" i="7" s="1"/>
  <c r="F2730" i="7" s="1"/>
  <c r="P2753" i="7"/>
  <c r="R2753" i="7" s="1"/>
  <c r="E2753" i="7" s="1"/>
  <c r="F2753" i="7" s="1"/>
  <c r="P2760" i="7"/>
  <c r="R2760" i="7" s="1"/>
  <c r="E2760" i="7" s="1"/>
  <c r="F2760" i="7" s="1"/>
  <c r="E2768" i="7"/>
  <c r="B2768" i="7" s="1"/>
  <c r="P2776" i="7"/>
  <c r="R2776" i="7" s="1"/>
  <c r="E2776" i="7" s="1"/>
  <c r="F2776" i="7" s="1"/>
  <c r="P2781" i="7"/>
  <c r="R2781" i="7" s="1"/>
  <c r="E2781" i="7" s="1"/>
  <c r="F2781" i="7" s="1"/>
  <c r="P2813" i="7"/>
  <c r="R2813" i="7" s="1"/>
  <c r="E2813" i="7" s="1"/>
  <c r="F2813" i="7" s="1"/>
  <c r="P2859" i="7"/>
  <c r="R2859" i="7" s="1"/>
  <c r="E2859" i="7" s="1"/>
  <c r="F2859" i="7" s="1"/>
  <c r="E1967" i="7"/>
  <c r="G1967" i="7" s="1"/>
  <c r="P20" i="7"/>
  <c r="R20" i="7" s="1"/>
  <c r="E20" i="7" s="1"/>
  <c r="F20" i="7" s="1"/>
  <c r="P107" i="7"/>
  <c r="R107" i="7" s="1"/>
  <c r="E107" i="7" s="1"/>
  <c r="B107" i="7" s="1"/>
  <c r="P114" i="7"/>
  <c r="R114" i="7" s="1"/>
  <c r="E114" i="7" s="1"/>
  <c r="P119" i="7"/>
  <c r="R119" i="7" s="1"/>
  <c r="E119" i="7" s="1"/>
  <c r="B119" i="7" s="1"/>
  <c r="E200" i="7"/>
  <c r="B200" i="7" s="1"/>
  <c r="P257" i="7"/>
  <c r="R257" i="7" s="1"/>
  <c r="E257" i="7" s="1"/>
  <c r="F257" i="7" s="1"/>
  <c r="P265" i="7"/>
  <c r="R265" i="7" s="1"/>
  <c r="E265" i="7" s="1"/>
  <c r="F265" i="7" s="1"/>
  <c r="P270" i="7"/>
  <c r="R270" i="7" s="1"/>
  <c r="E270" i="7" s="1"/>
  <c r="F270" i="7" s="1"/>
  <c r="P276" i="7"/>
  <c r="R276" i="7" s="1"/>
  <c r="E276" i="7" s="1"/>
  <c r="F276" i="7" s="1"/>
  <c r="P323" i="7"/>
  <c r="R323" i="7" s="1"/>
  <c r="E323" i="7" s="1"/>
  <c r="F323" i="7" s="1"/>
  <c r="P322" i="7"/>
  <c r="R322" i="7" s="1"/>
  <c r="E322" i="7" s="1"/>
  <c r="F322" i="7" s="1"/>
  <c r="P342" i="7"/>
  <c r="R342" i="7" s="1"/>
  <c r="E342" i="7" s="1"/>
  <c r="F342" i="7" s="1"/>
  <c r="P357" i="7"/>
  <c r="R357" i="7" s="1"/>
  <c r="E357" i="7" s="1"/>
  <c r="F357" i="7" s="1"/>
  <c r="P364" i="7"/>
  <c r="R364" i="7" s="1"/>
  <c r="E364" i="7" s="1"/>
  <c r="F364" i="7" s="1"/>
  <c r="P396" i="7"/>
  <c r="R396" i="7" s="1"/>
  <c r="E396" i="7" s="1"/>
  <c r="F396" i="7" s="1"/>
  <c r="P443" i="7"/>
  <c r="R443" i="7" s="1"/>
  <c r="E443" i="7" s="1"/>
  <c r="F443" i="7" s="1"/>
  <c r="P473" i="7"/>
  <c r="R473" i="7" s="1"/>
  <c r="E473" i="7" s="1"/>
  <c r="F473" i="7" s="1"/>
  <c r="P508" i="7"/>
  <c r="R508" i="7" s="1"/>
  <c r="E508" i="7" s="1"/>
  <c r="F508" i="7" s="1"/>
  <c r="P514" i="7"/>
  <c r="R514" i="7" s="1"/>
  <c r="E514" i="7" s="1"/>
  <c r="F514" i="7" s="1"/>
  <c r="P519" i="7"/>
  <c r="R519" i="7" s="1"/>
  <c r="E519" i="7" s="1"/>
  <c r="P523" i="7"/>
  <c r="R523" i="7" s="1"/>
  <c r="E523" i="7" s="1"/>
  <c r="B523" i="7" s="1"/>
  <c r="P532" i="7"/>
  <c r="R532" i="7" s="1"/>
  <c r="E532" i="7" s="1"/>
  <c r="F532" i="7" s="1"/>
  <c r="P545" i="7"/>
  <c r="R545" i="7" s="1"/>
  <c r="E545" i="7" s="1"/>
  <c r="F545" i="7" s="1"/>
  <c r="P558" i="7"/>
  <c r="R558" i="7" s="1"/>
  <c r="E558" i="7" s="1"/>
  <c r="F558" i="7" s="1"/>
  <c r="E569" i="7"/>
  <c r="B569" i="7" s="1"/>
  <c r="E589" i="7"/>
  <c r="F589" i="7" s="1"/>
  <c r="P635" i="7"/>
  <c r="R635" i="7" s="1"/>
  <c r="E635" i="7" s="1"/>
  <c r="F635" i="7" s="1"/>
  <c r="P641" i="7"/>
  <c r="R641" i="7" s="1"/>
  <c r="E641" i="7" s="1"/>
  <c r="F641" i="7" s="1"/>
  <c r="P654" i="7"/>
  <c r="R654" i="7" s="1"/>
  <c r="E654" i="7" s="1"/>
  <c r="F654" i="7" s="1"/>
  <c r="P693" i="7"/>
  <c r="R693" i="7" s="1"/>
  <c r="E693" i="7" s="1"/>
  <c r="F693" i="7" s="1"/>
  <c r="P700" i="7"/>
  <c r="R700" i="7" s="1"/>
  <c r="E700" i="7" s="1"/>
  <c r="B700" i="7" s="1"/>
  <c r="P706" i="7"/>
  <c r="R706" i="7" s="1"/>
  <c r="E706" i="7" s="1"/>
  <c r="F706" i="7" s="1"/>
  <c r="P712" i="7"/>
  <c r="R712" i="7" s="1"/>
  <c r="E712" i="7" s="1"/>
  <c r="F712" i="7" s="1"/>
  <c r="P721" i="7"/>
  <c r="R721" i="7" s="1"/>
  <c r="E721" i="7" s="1"/>
  <c r="F721" i="7" s="1"/>
  <c r="P727" i="7"/>
  <c r="R727" i="7" s="1"/>
  <c r="E727" i="7" s="1"/>
  <c r="F727" i="7" s="1"/>
  <c r="P733" i="7"/>
  <c r="R733" i="7" s="1"/>
  <c r="E733" i="7" s="1"/>
  <c r="F733" i="7" s="1"/>
  <c r="P737" i="7"/>
  <c r="R737" i="7" s="1"/>
  <c r="E737" i="7" s="1"/>
  <c r="G737" i="7" s="1"/>
  <c r="P742" i="7"/>
  <c r="R742" i="7" s="1"/>
  <c r="E742" i="7" s="1"/>
  <c r="G742" i="7" s="1"/>
  <c r="P751" i="7"/>
  <c r="R751" i="7" s="1"/>
  <c r="E751" i="7" s="1"/>
  <c r="B751" i="7" s="1"/>
  <c r="P759" i="7"/>
  <c r="R759" i="7" s="1"/>
  <c r="E759" i="7" s="1"/>
  <c r="E768" i="7"/>
  <c r="B768" i="7" s="1"/>
  <c r="P778" i="7"/>
  <c r="R778" i="7" s="1"/>
  <c r="E778" i="7" s="1"/>
  <c r="B778" i="7" s="1"/>
  <c r="E787" i="7"/>
  <c r="F787" i="7" s="1"/>
  <c r="P817" i="7"/>
  <c r="R817" i="7" s="1"/>
  <c r="E817" i="7" s="1"/>
  <c r="F817" i="7" s="1"/>
  <c r="P818" i="7"/>
  <c r="R818" i="7" s="1"/>
  <c r="E818" i="7" s="1"/>
  <c r="F818" i="7" s="1"/>
  <c r="P829" i="7"/>
  <c r="R829" i="7" s="1"/>
  <c r="E829" i="7" s="1"/>
  <c r="B829" i="7" s="1"/>
  <c r="P834" i="7"/>
  <c r="R834" i="7" s="1"/>
  <c r="E834" i="7" s="1"/>
  <c r="F834" i="7" s="1"/>
  <c r="P843" i="7"/>
  <c r="R843" i="7" s="1"/>
  <c r="E843" i="7" s="1"/>
  <c r="F843" i="7" s="1"/>
  <c r="P977" i="7"/>
  <c r="R977" i="7" s="1"/>
  <c r="E977" i="7" s="1"/>
  <c r="F977" i="7" s="1"/>
  <c r="P983" i="7"/>
  <c r="R983" i="7" s="1"/>
  <c r="E983" i="7" s="1"/>
  <c r="G983" i="7" s="1"/>
  <c r="P990" i="7"/>
  <c r="R990" i="7" s="1"/>
  <c r="E990" i="7" s="1"/>
  <c r="F990" i="7" s="1"/>
  <c r="P996" i="7"/>
  <c r="R996" i="7" s="1"/>
  <c r="E996" i="7" s="1"/>
  <c r="F996" i="7" s="1"/>
  <c r="P1012" i="7"/>
  <c r="R1012" i="7" s="1"/>
  <c r="E1012" i="7" s="1"/>
  <c r="F1012" i="7" s="1"/>
  <c r="P1017" i="7"/>
  <c r="R1017" i="7" s="1"/>
  <c r="E1017" i="7" s="1"/>
  <c r="F1017" i="7" s="1"/>
  <c r="P1024" i="7"/>
  <c r="R1024" i="7" s="1"/>
  <c r="E1024" i="7" s="1"/>
  <c r="F1024" i="7" s="1"/>
  <c r="P1046" i="7"/>
  <c r="R1046" i="7" s="1"/>
  <c r="E1046" i="7" s="1"/>
  <c r="F1046" i="7" s="1"/>
  <c r="P1053" i="7"/>
  <c r="R1053" i="7" s="1"/>
  <c r="E1053" i="7" s="1"/>
  <c r="F1053" i="7" s="1"/>
  <c r="P1059" i="7"/>
  <c r="R1059" i="7" s="1"/>
  <c r="E1059" i="7" s="1"/>
  <c r="F1059" i="7" s="1"/>
  <c r="P1069" i="7"/>
  <c r="R1069" i="7" s="1"/>
  <c r="E1069" i="7" s="1"/>
  <c r="P1077" i="7"/>
  <c r="R1077" i="7" s="1"/>
  <c r="E1077" i="7" s="1"/>
  <c r="F1077" i="7" s="1"/>
  <c r="P1083" i="7"/>
  <c r="R1083" i="7" s="1"/>
  <c r="E1083" i="7" s="1"/>
  <c r="F1083" i="7" s="1"/>
  <c r="P1156" i="7"/>
  <c r="R1156" i="7" s="1"/>
  <c r="E1156" i="7" s="1"/>
  <c r="F1156" i="7" s="1"/>
  <c r="P1164" i="7"/>
  <c r="R1164" i="7" s="1"/>
  <c r="E1164" i="7" s="1"/>
  <c r="G1164" i="7" s="1"/>
  <c r="P1170" i="7"/>
  <c r="R1170" i="7" s="1"/>
  <c r="E1170" i="7" s="1"/>
  <c r="P1177" i="7"/>
  <c r="R1177" i="7" s="1"/>
  <c r="E1177" i="7" s="1"/>
  <c r="P1183" i="7"/>
  <c r="R1183" i="7" s="1"/>
  <c r="E1183" i="7" s="1"/>
  <c r="F1183" i="7" s="1"/>
  <c r="P1200" i="7"/>
  <c r="R1200" i="7" s="1"/>
  <c r="E1200" i="7" s="1"/>
  <c r="F1200" i="7" s="1"/>
  <c r="P1224" i="7"/>
  <c r="R1224" i="7" s="1"/>
  <c r="E1224" i="7" s="1"/>
  <c r="F1224" i="7" s="1"/>
  <c r="P1230" i="7"/>
  <c r="R1230" i="7" s="1"/>
  <c r="E1230" i="7" s="1"/>
  <c r="B1230" i="7" s="1"/>
  <c r="P1243" i="7"/>
  <c r="R1243" i="7" s="1"/>
  <c r="E1243" i="7" s="1"/>
  <c r="F1243" i="7" s="1"/>
  <c r="P1253" i="7"/>
  <c r="R1253" i="7" s="1"/>
  <c r="E1253" i="7" s="1"/>
  <c r="F1253" i="7" s="1"/>
  <c r="P1259" i="7"/>
  <c r="R1259" i="7" s="1"/>
  <c r="E1259" i="7" s="1"/>
  <c r="B1259" i="7" s="1"/>
  <c r="P1267" i="7"/>
  <c r="R1267" i="7" s="1"/>
  <c r="E1267" i="7" s="1"/>
  <c r="G1267" i="7" s="1"/>
  <c r="P1270" i="7"/>
  <c r="R1270" i="7" s="1"/>
  <c r="E1270" i="7" s="1"/>
  <c r="G1270" i="7" s="1"/>
  <c r="E1307" i="7"/>
  <c r="F1307" i="7" s="1"/>
  <c r="E1364" i="7"/>
  <c r="B1364" i="7" s="1"/>
  <c r="E1368" i="7"/>
  <c r="P1408" i="7"/>
  <c r="R1408" i="7" s="1"/>
  <c r="E1408" i="7" s="1"/>
  <c r="F1408" i="7" s="1"/>
  <c r="E1457" i="7"/>
  <c r="B1457" i="7" s="1"/>
  <c r="E1480" i="7"/>
  <c r="F1480" i="7" s="1"/>
  <c r="P1489" i="7"/>
  <c r="R1489" i="7" s="1"/>
  <c r="E1489" i="7" s="1"/>
  <c r="F1489" i="7" s="1"/>
  <c r="E1630" i="7"/>
  <c r="B1630" i="7" s="1"/>
  <c r="P1639" i="7"/>
  <c r="R1639" i="7" s="1"/>
  <c r="E1639" i="7" s="1"/>
  <c r="B1639" i="7" s="1"/>
  <c r="P1646" i="7"/>
  <c r="R1646" i="7" s="1"/>
  <c r="E1646" i="7" s="1"/>
  <c r="E1682" i="7"/>
  <c r="B1682" i="7" s="1"/>
  <c r="P1691" i="7"/>
  <c r="R1691" i="7" s="1"/>
  <c r="E1691" i="7" s="1"/>
  <c r="B1691" i="7" s="1"/>
  <c r="E1703" i="7"/>
  <c r="B1703" i="7" s="1"/>
  <c r="P1663" i="7"/>
  <c r="R1663" i="7" s="1"/>
  <c r="E1663" i="7" s="1"/>
  <c r="F1663" i="7" s="1"/>
  <c r="P1734" i="7"/>
  <c r="R1734" i="7" s="1"/>
  <c r="E1734" i="7" s="1"/>
  <c r="F1734" i="7" s="1"/>
  <c r="P1745" i="7"/>
  <c r="R1745" i="7" s="1"/>
  <c r="E1745" i="7" s="1"/>
  <c r="F1745" i="7" s="1"/>
  <c r="E1752" i="7"/>
  <c r="F1752" i="7" s="1"/>
  <c r="P1826" i="7"/>
  <c r="R1826" i="7" s="1"/>
  <c r="E1826" i="7" s="1"/>
  <c r="F1826" i="7" s="1"/>
  <c r="P1770" i="7"/>
  <c r="R1770" i="7" s="1"/>
  <c r="E1770" i="7" s="1"/>
  <c r="F1770" i="7" s="1"/>
  <c r="P1776" i="7"/>
  <c r="R1776" i="7" s="1"/>
  <c r="E1776" i="7" s="1"/>
  <c r="F1776" i="7" s="1"/>
  <c r="P1797" i="7"/>
  <c r="R1797" i="7" s="1"/>
  <c r="E1797" i="7" s="1"/>
  <c r="F1797" i="7" s="1"/>
  <c r="P1790" i="7"/>
  <c r="R1790" i="7" s="1"/>
  <c r="E1790" i="7" s="1"/>
  <c r="F1790" i="7" s="1"/>
  <c r="P1783" i="7"/>
  <c r="R1783" i="7" s="1"/>
  <c r="E1783" i="7" s="1"/>
  <c r="F1783" i="7" s="1"/>
  <c r="P1789" i="7"/>
  <c r="R1789" i="7" s="1"/>
  <c r="E1789" i="7" s="1"/>
  <c r="F1789" i="7" s="1"/>
  <c r="E1812" i="7"/>
  <c r="F1812" i="7" s="1"/>
  <c r="P1814" i="7"/>
  <c r="R1814" i="7" s="1"/>
  <c r="E1814" i="7" s="1"/>
  <c r="F1814" i="7" s="1"/>
  <c r="P1869" i="7"/>
  <c r="R1869" i="7" s="1"/>
  <c r="E1869" i="7" s="1"/>
  <c r="B1869" i="7" s="1"/>
  <c r="P1876" i="7"/>
  <c r="R1876" i="7" s="1"/>
  <c r="E1876" i="7" s="1"/>
  <c r="F1876" i="7" s="1"/>
  <c r="P1884" i="7"/>
  <c r="R1884" i="7" s="1"/>
  <c r="E1884" i="7" s="1"/>
  <c r="P1899" i="7"/>
  <c r="R1899" i="7" s="1"/>
  <c r="E1899" i="7" s="1"/>
  <c r="P1906" i="7"/>
  <c r="R1906" i="7" s="1"/>
  <c r="E1906" i="7" s="1"/>
  <c r="F1906" i="7" s="1"/>
  <c r="P1913" i="7"/>
  <c r="R1913" i="7" s="1"/>
  <c r="E1913" i="7" s="1"/>
  <c r="B1913" i="7" s="1"/>
  <c r="P1916" i="7"/>
  <c r="R1916" i="7" s="1"/>
  <c r="E1916" i="7" s="1"/>
  <c r="F1916" i="7" s="1"/>
  <c r="P1935" i="7"/>
  <c r="R1935" i="7" s="1"/>
  <c r="E1935" i="7" s="1"/>
  <c r="P1944" i="7"/>
  <c r="R1944" i="7" s="1"/>
  <c r="E1944" i="7" s="1"/>
  <c r="F1944" i="7" s="1"/>
  <c r="E1980" i="7"/>
  <c r="B1980" i="7" s="1"/>
  <c r="P2028" i="7"/>
  <c r="R2028" i="7" s="1"/>
  <c r="E2028" i="7" s="1"/>
  <c r="B2028" i="7" s="1"/>
  <c r="P2038" i="7"/>
  <c r="R2038" i="7" s="1"/>
  <c r="E2038" i="7" s="1"/>
  <c r="B2038" i="7" s="1"/>
  <c r="P2095" i="7"/>
  <c r="R2095" i="7" s="1"/>
  <c r="E2095" i="7" s="1"/>
  <c r="F2095" i="7" s="1"/>
  <c r="P2103" i="7"/>
  <c r="R2103" i="7" s="1"/>
  <c r="E2103" i="7" s="1"/>
  <c r="F2103" i="7" s="1"/>
  <c r="P2136" i="7"/>
  <c r="R2136" i="7" s="1"/>
  <c r="E2136" i="7" s="1"/>
  <c r="F2136" i="7" s="1"/>
  <c r="P2143" i="7"/>
  <c r="R2143" i="7" s="1"/>
  <c r="E2143" i="7" s="1"/>
  <c r="F2143" i="7" s="1"/>
  <c r="P2221" i="7"/>
  <c r="R2221" i="7" s="1"/>
  <c r="E2221" i="7" s="1"/>
  <c r="F2221" i="7" s="1"/>
  <c r="P2262" i="7"/>
  <c r="R2262" i="7" s="1"/>
  <c r="E2262" i="7" s="1"/>
  <c r="F2262" i="7" s="1"/>
  <c r="E2268" i="7"/>
  <c r="F2268" i="7" s="1"/>
  <c r="P2277" i="7"/>
  <c r="R2277" i="7" s="1"/>
  <c r="E2277" i="7" s="1"/>
  <c r="F2277" i="7" s="1"/>
  <c r="P2283" i="7"/>
  <c r="R2283" i="7" s="1"/>
  <c r="E2283" i="7" s="1"/>
  <c r="F2283" i="7" s="1"/>
  <c r="P2298" i="7"/>
  <c r="R2298" i="7" s="1"/>
  <c r="E2298" i="7" s="1"/>
  <c r="B2298" i="7" s="1"/>
  <c r="P2299" i="7"/>
  <c r="R2299" i="7" s="1"/>
  <c r="E2299" i="7" s="1"/>
  <c r="F2299" i="7" s="1"/>
  <c r="P2319" i="7"/>
  <c r="R2319" i="7" s="1"/>
  <c r="E2319" i="7" s="1"/>
  <c r="F2319" i="7" s="1"/>
  <c r="P2334" i="7"/>
  <c r="R2334" i="7" s="1"/>
  <c r="E2334" i="7" s="1"/>
  <c r="P2342" i="7"/>
  <c r="R2342" i="7" s="1"/>
  <c r="E2342" i="7" s="1"/>
  <c r="F2342" i="7" s="1"/>
  <c r="P2389" i="7"/>
  <c r="R2389" i="7" s="1"/>
  <c r="E2389" i="7" s="1"/>
  <c r="F2389" i="7" s="1"/>
  <c r="P2368" i="7"/>
  <c r="R2368" i="7" s="1"/>
  <c r="E2368" i="7" s="1"/>
  <c r="F2368" i="7" s="1"/>
  <c r="P2382" i="7"/>
  <c r="R2382" i="7" s="1"/>
  <c r="E2382" i="7" s="1"/>
  <c r="F2382" i="7" s="1"/>
  <c r="P2391" i="7"/>
  <c r="R2391" i="7" s="1"/>
  <c r="E2391" i="7" s="1"/>
  <c r="F2391" i="7" s="1"/>
  <c r="P2397" i="7"/>
  <c r="R2397" i="7" s="1"/>
  <c r="E2397" i="7" s="1"/>
  <c r="F2397" i="7" s="1"/>
  <c r="P2407" i="7"/>
  <c r="R2407" i="7" s="1"/>
  <c r="E2407" i="7" s="1"/>
  <c r="F2407" i="7" s="1"/>
  <c r="P2412" i="7"/>
  <c r="R2412" i="7" s="1"/>
  <c r="E2412" i="7" s="1"/>
  <c r="F2412" i="7" s="1"/>
  <c r="E2467" i="7"/>
  <c r="F2467" i="7" s="1"/>
  <c r="E2465" i="7"/>
  <c r="F2465" i="7" s="1"/>
  <c r="P2476" i="7"/>
  <c r="R2476" i="7" s="1"/>
  <c r="E2476" i="7" s="1"/>
  <c r="F2476" i="7" s="1"/>
  <c r="E2486" i="7"/>
  <c r="F2486" i="7" s="1"/>
  <c r="P2500" i="7"/>
  <c r="R2500" i="7" s="1"/>
  <c r="E2500" i="7" s="1"/>
  <c r="B2500" i="7" s="1"/>
  <c r="E2540" i="7"/>
  <c r="B2540" i="7" s="1"/>
  <c r="P2546" i="7"/>
  <c r="R2546" i="7" s="1"/>
  <c r="E2546" i="7" s="1"/>
  <c r="F2546" i="7" s="1"/>
  <c r="P2553" i="7"/>
  <c r="R2553" i="7" s="1"/>
  <c r="E2553" i="7" s="1"/>
  <c r="F2553" i="7" s="1"/>
  <c r="P2560" i="7"/>
  <c r="R2560" i="7" s="1"/>
  <c r="E2560" i="7" s="1"/>
  <c r="F2560" i="7" s="1"/>
  <c r="P2567" i="7"/>
  <c r="R2567" i="7" s="1"/>
  <c r="E2567" i="7" s="1"/>
  <c r="F2567" i="7" s="1"/>
  <c r="P2577" i="7"/>
  <c r="R2577" i="7" s="1"/>
  <c r="E2577" i="7" s="1"/>
  <c r="F2577" i="7" s="1"/>
  <c r="P2584" i="7"/>
  <c r="R2584" i="7" s="1"/>
  <c r="E2584" i="7" s="1"/>
  <c r="F2584" i="7" s="1"/>
  <c r="E2588" i="7"/>
  <c r="F2588" i="7" s="1"/>
  <c r="P2611" i="7"/>
  <c r="R2611" i="7" s="1"/>
  <c r="E2611" i="7" s="1"/>
  <c r="B2611" i="7" s="1"/>
  <c r="P2619" i="7"/>
  <c r="R2619" i="7" s="1"/>
  <c r="E2619" i="7" s="1"/>
  <c r="B2619" i="7" s="1"/>
  <c r="P2634" i="7"/>
  <c r="R2634" i="7" s="1"/>
  <c r="E2634" i="7" s="1"/>
  <c r="F2634" i="7" s="1"/>
  <c r="P2640" i="7"/>
  <c r="R2640" i="7" s="1"/>
  <c r="E2640" i="7" s="1"/>
  <c r="F2640" i="7" s="1"/>
  <c r="P2645" i="7"/>
  <c r="R2645" i="7" s="1"/>
  <c r="E2645" i="7" s="1"/>
  <c r="G2645" i="7" s="1"/>
  <c r="P2656" i="7"/>
  <c r="R2656" i="7" s="1"/>
  <c r="E2656" i="7" s="1"/>
  <c r="F2656" i="7" s="1"/>
  <c r="P2662" i="7"/>
  <c r="R2662" i="7" s="1"/>
  <c r="E2662" i="7" s="1"/>
  <c r="F2662" i="7" s="1"/>
  <c r="P2668" i="7"/>
  <c r="R2668" i="7" s="1"/>
  <c r="E2668" i="7" s="1"/>
  <c r="F2668" i="7" s="1"/>
  <c r="E2673" i="7"/>
  <c r="B2673" i="7" s="1"/>
  <c r="P2688" i="7"/>
  <c r="R2688" i="7" s="1"/>
  <c r="E2688" i="7" s="1"/>
  <c r="E2704" i="7"/>
  <c r="B2704" i="7" s="1"/>
  <c r="E2712" i="7"/>
  <c r="B2712" i="7" s="1"/>
  <c r="P2718" i="7"/>
  <c r="R2718" i="7" s="1"/>
  <c r="E2718" i="7" s="1"/>
  <c r="F2718" i="7" s="1"/>
  <c r="P2739" i="7"/>
  <c r="R2739" i="7" s="1"/>
  <c r="E2739" i="7" s="1"/>
  <c r="F2739" i="7" s="1"/>
  <c r="P2747" i="7"/>
  <c r="R2747" i="7" s="1"/>
  <c r="E2747" i="7" s="1"/>
  <c r="F2747" i="7" s="1"/>
  <c r="P2794" i="7"/>
  <c r="R2794" i="7" s="1"/>
  <c r="E2794" i="7" s="1"/>
  <c r="F2794" i="7" s="1"/>
  <c r="P2808" i="7"/>
  <c r="R2808" i="7" s="1"/>
  <c r="E2808" i="7" s="1"/>
  <c r="F2808" i="7" s="1"/>
  <c r="E2814" i="7"/>
  <c r="B2814" i="7" s="1"/>
  <c r="P2836" i="7"/>
  <c r="R2836" i="7" s="1"/>
  <c r="E2836" i="7" s="1"/>
  <c r="G2836" i="7" s="1"/>
  <c r="P2843" i="7"/>
  <c r="R2843" i="7" s="1"/>
  <c r="E2843" i="7" s="1"/>
  <c r="G2843" i="7" s="1"/>
  <c r="P2864" i="7"/>
  <c r="R2864" i="7" s="1"/>
  <c r="E2864" i="7" s="1"/>
  <c r="F2864" i="7" s="1"/>
  <c r="P2871" i="7"/>
  <c r="R2871" i="7" s="1"/>
  <c r="E2871" i="7" s="1"/>
  <c r="F2871" i="7" s="1"/>
  <c r="P2878" i="7"/>
  <c r="R2878" i="7" s="1"/>
  <c r="E2878" i="7" s="1"/>
  <c r="G2878" i="7" s="1"/>
  <c r="P185" i="7"/>
  <c r="R185" i="7" s="1"/>
  <c r="E185" i="7" s="1"/>
  <c r="F185" i="7" s="1"/>
  <c r="P415" i="7"/>
  <c r="R415" i="7" s="1"/>
  <c r="E415" i="7" s="1"/>
  <c r="F415" i="7" s="1"/>
  <c r="E486" i="7"/>
  <c r="F486" i="7" s="1"/>
  <c r="P596" i="7"/>
  <c r="R596" i="7" s="1"/>
  <c r="E596" i="7" s="1"/>
  <c r="F596" i="7" s="1"/>
  <c r="E899" i="7"/>
  <c r="F899" i="7" s="1"/>
  <c r="P1346" i="7"/>
  <c r="R1346" i="7" s="1"/>
  <c r="E1346" i="7" s="1"/>
  <c r="G1346" i="7" s="1"/>
  <c r="P1494" i="7"/>
  <c r="R1494" i="7" s="1"/>
  <c r="E1494" i="7" s="1"/>
  <c r="F1494" i="7" s="1"/>
  <c r="P2306" i="7"/>
  <c r="R2306" i="7" s="1"/>
  <c r="E2306" i="7" s="1"/>
  <c r="F2306" i="7" s="1"/>
  <c r="P7" i="7"/>
  <c r="R7" i="7" s="1"/>
  <c r="E7" i="7" s="1"/>
  <c r="F7" i="7" s="1"/>
  <c r="P12" i="7"/>
  <c r="R12" i="7" s="1"/>
  <c r="E12" i="7" s="1"/>
  <c r="F12" i="7" s="1"/>
  <c r="P30" i="7"/>
  <c r="R30" i="7" s="1"/>
  <c r="E30" i="7" s="1"/>
  <c r="B30" i="7" s="1"/>
  <c r="P37" i="7"/>
  <c r="R37" i="7" s="1"/>
  <c r="E37" i="7" s="1"/>
  <c r="F37" i="7" s="1"/>
  <c r="P49" i="7"/>
  <c r="R49" i="7" s="1"/>
  <c r="E49" i="7" s="1"/>
  <c r="F49" i="7" s="1"/>
  <c r="E56" i="7"/>
  <c r="B56" i="7" s="1"/>
  <c r="E62" i="7"/>
  <c r="B62" i="7" s="1"/>
  <c r="E69" i="7"/>
  <c r="B69" i="7" s="1"/>
  <c r="P82" i="7"/>
  <c r="R82" i="7" s="1"/>
  <c r="E82" i="7" s="1"/>
  <c r="B82" i="7" s="1"/>
  <c r="P128" i="7"/>
  <c r="R128" i="7" s="1"/>
  <c r="E128" i="7" s="1"/>
  <c r="B128" i="7" s="1"/>
  <c r="P140" i="7"/>
  <c r="R140" i="7" s="1"/>
  <c r="E140" i="7" s="1"/>
  <c r="F140" i="7" s="1"/>
  <c r="P146" i="7"/>
  <c r="R146" i="7" s="1"/>
  <c r="E146" i="7" s="1"/>
  <c r="F146" i="7" s="1"/>
  <c r="P151" i="7"/>
  <c r="R151" i="7" s="1"/>
  <c r="E151" i="7" s="1"/>
  <c r="F151" i="7" s="1"/>
  <c r="P157" i="7"/>
  <c r="R157" i="7" s="1"/>
  <c r="E157" i="7" s="1"/>
  <c r="G157" i="7" s="1"/>
  <c r="P167" i="7"/>
  <c r="R167" i="7" s="1"/>
  <c r="E167" i="7" s="1"/>
  <c r="F167" i="7" s="1"/>
  <c r="P174" i="7"/>
  <c r="R174" i="7" s="1"/>
  <c r="E174" i="7" s="1"/>
  <c r="F174" i="7" s="1"/>
  <c r="P180" i="7"/>
  <c r="R180" i="7" s="1"/>
  <c r="E180" i="7" s="1"/>
  <c r="E187" i="7"/>
  <c r="B187" i="7" s="1"/>
  <c r="P211" i="7"/>
  <c r="R211" i="7" s="1"/>
  <c r="E211" i="7" s="1"/>
  <c r="B211" i="7" s="1"/>
  <c r="P221" i="7"/>
  <c r="R221" i="7" s="1"/>
  <c r="E221" i="7" s="1"/>
  <c r="F221" i="7" s="1"/>
  <c r="P244" i="7"/>
  <c r="R244" i="7" s="1"/>
  <c r="E244" i="7" s="1"/>
  <c r="F244" i="7" s="1"/>
  <c r="P232" i="7"/>
  <c r="R232" i="7" s="1"/>
  <c r="E232" i="7" s="1"/>
  <c r="F232" i="7" s="1"/>
  <c r="P241" i="7"/>
  <c r="R241" i="7" s="1"/>
  <c r="E241" i="7" s="1"/>
  <c r="F241" i="7" s="1"/>
  <c r="P246" i="7"/>
  <c r="R246" i="7" s="1"/>
  <c r="E246" i="7" s="1"/>
  <c r="B246" i="7" s="1"/>
  <c r="P288" i="7"/>
  <c r="R288" i="7" s="1"/>
  <c r="E288" i="7" s="1"/>
  <c r="F288" i="7" s="1"/>
  <c r="P302" i="7"/>
  <c r="R302" i="7" s="1"/>
  <c r="E302" i="7" s="1"/>
  <c r="F302" i="7" s="1"/>
  <c r="E314" i="7"/>
  <c r="F314" i="7" s="1"/>
  <c r="P335" i="7"/>
  <c r="R335" i="7" s="1"/>
  <c r="E335" i="7" s="1"/>
  <c r="F335" i="7" s="1"/>
  <c r="P349" i="7"/>
  <c r="R349" i="7" s="1"/>
  <c r="E349" i="7" s="1"/>
  <c r="F349" i="7" s="1"/>
  <c r="P373" i="7"/>
  <c r="R373" i="7" s="1"/>
  <c r="E373" i="7" s="1"/>
  <c r="F373" i="7" s="1"/>
  <c r="P388" i="7"/>
  <c r="R388" i="7" s="1"/>
  <c r="E388" i="7" s="1"/>
  <c r="F388" i="7" s="1"/>
  <c r="P402" i="7"/>
  <c r="R402" i="7" s="1"/>
  <c r="E402" i="7" s="1"/>
  <c r="F402" i="7" s="1"/>
  <c r="P411" i="7"/>
  <c r="R411" i="7" s="1"/>
  <c r="E411" i="7" s="1"/>
  <c r="F411" i="7" s="1"/>
  <c r="P418" i="7"/>
  <c r="R418" i="7" s="1"/>
  <c r="E418" i="7" s="1"/>
  <c r="F418" i="7" s="1"/>
  <c r="P430" i="7"/>
  <c r="R430" i="7" s="1"/>
  <c r="E430" i="7" s="1"/>
  <c r="F430" i="7" s="1"/>
  <c r="P456" i="7"/>
  <c r="R456" i="7" s="1"/>
  <c r="E456" i="7" s="1"/>
  <c r="F456" i="7" s="1"/>
  <c r="P466" i="7"/>
  <c r="R466" i="7" s="1"/>
  <c r="E466" i="7" s="1"/>
  <c r="F466" i="7" s="1"/>
  <c r="E482" i="7"/>
  <c r="F482" i="7" s="1"/>
  <c r="P488" i="7"/>
  <c r="R488" i="7" s="1"/>
  <c r="E488" i="7" s="1"/>
  <c r="F488" i="7" s="1"/>
  <c r="E493" i="7"/>
  <c r="F493" i="7" s="1"/>
  <c r="E501" i="7"/>
  <c r="F501" i="7" s="1"/>
  <c r="P509" i="7"/>
  <c r="R509" i="7" s="1"/>
  <c r="E509" i="7" s="1"/>
  <c r="G509" i="7" s="1"/>
  <c r="P539" i="7"/>
  <c r="R539" i="7" s="1"/>
  <c r="E539" i="7" s="1"/>
  <c r="F539" i="7" s="1"/>
  <c r="P604" i="7"/>
  <c r="R604" i="7" s="1"/>
  <c r="E604" i="7" s="1"/>
  <c r="F604" i="7" s="1"/>
  <c r="P592" i="7"/>
  <c r="R592" i="7" s="1"/>
  <c r="E592" i="7" s="1"/>
  <c r="F592" i="7" s="1"/>
  <c r="P614" i="7"/>
  <c r="R614" i="7" s="1"/>
  <c r="E614" i="7" s="1"/>
  <c r="F614" i="7" s="1"/>
  <c r="P648" i="7"/>
  <c r="R648" i="7" s="1"/>
  <c r="E648" i="7" s="1"/>
  <c r="F648" i="7" s="1"/>
  <c r="P668" i="7"/>
  <c r="R668" i="7" s="1"/>
  <c r="E668" i="7" s="1"/>
  <c r="F668" i="7" s="1"/>
  <c r="P686" i="7"/>
  <c r="R686" i="7" s="1"/>
  <c r="E686" i="7" s="1"/>
  <c r="F686" i="7" s="1"/>
  <c r="P795" i="7"/>
  <c r="R795" i="7" s="1"/>
  <c r="E795" i="7" s="1"/>
  <c r="F795" i="7" s="1"/>
  <c r="P805" i="7"/>
  <c r="R805" i="7" s="1"/>
  <c r="E805" i="7" s="1"/>
  <c r="F805" i="7" s="1"/>
  <c r="P809" i="7"/>
  <c r="R809" i="7" s="1"/>
  <c r="E809" i="7" s="1"/>
  <c r="F809" i="7" s="1"/>
  <c r="P865" i="7"/>
  <c r="R865" i="7" s="1"/>
  <c r="E865" i="7" s="1"/>
  <c r="F865" i="7" s="1"/>
  <c r="P883" i="7"/>
  <c r="R883" i="7" s="1"/>
  <c r="E883" i="7" s="1"/>
  <c r="F883" i="7" s="1"/>
  <c r="P889" i="7"/>
  <c r="R889" i="7" s="1"/>
  <c r="E889" i="7" s="1"/>
  <c r="F889" i="7" s="1"/>
  <c r="P877" i="7"/>
  <c r="R877" i="7" s="1"/>
  <c r="E877" i="7" s="1"/>
  <c r="F877" i="7" s="1"/>
  <c r="E895" i="7"/>
  <c r="F895" i="7" s="1"/>
  <c r="E918" i="7"/>
  <c r="F918" i="7" s="1"/>
  <c r="P926" i="7"/>
  <c r="R926" i="7" s="1"/>
  <c r="E926" i="7" s="1"/>
  <c r="F926" i="7" s="1"/>
  <c r="P932" i="7"/>
  <c r="R932" i="7" s="1"/>
  <c r="E932" i="7" s="1"/>
  <c r="F932" i="7" s="1"/>
  <c r="P940" i="7"/>
  <c r="R940" i="7" s="1"/>
  <c r="E940" i="7" s="1"/>
  <c r="G940" i="7" s="1"/>
  <c r="P950" i="7"/>
  <c r="R950" i="7" s="1"/>
  <c r="E950" i="7" s="1"/>
  <c r="F950" i="7" s="1"/>
  <c r="P955" i="7"/>
  <c r="R955" i="7" s="1"/>
  <c r="E955" i="7" s="1"/>
  <c r="F955" i="7" s="1"/>
  <c r="P1084" i="7"/>
  <c r="R1084" i="7" s="1"/>
  <c r="E1084" i="7" s="1"/>
  <c r="F1084" i="7" s="1"/>
  <c r="P1090" i="7"/>
  <c r="R1090" i="7" s="1"/>
  <c r="E1090" i="7" s="1"/>
  <c r="F1090" i="7" s="1"/>
  <c r="P1097" i="7"/>
  <c r="R1097" i="7" s="1"/>
  <c r="E1097" i="7" s="1"/>
  <c r="F1097" i="7" s="1"/>
  <c r="P1105" i="7"/>
  <c r="R1105" i="7" s="1"/>
  <c r="E1105" i="7" s="1"/>
  <c r="F1105" i="7" s="1"/>
  <c r="P1112" i="7"/>
  <c r="R1112" i="7" s="1"/>
  <c r="E1112" i="7" s="1"/>
  <c r="F1112" i="7" s="1"/>
  <c r="P1118" i="7"/>
  <c r="R1118" i="7" s="1"/>
  <c r="E1118" i="7" s="1"/>
  <c r="B1118" i="7" s="1"/>
  <c r="P1124" i="7"/>
  <c r="R1124" i="7" s="1"/>
  <c r="E1124" i="7" s="1"/>
  <c r="E1139" i="7"/>
  <c r="B1139" i="7" s="1"/>
  <c r="P1146" i="7"/>
  <c r="R1146" i="7" s="1"/>
  <c r="E1146" i="7" s="1"/>
  <c r="F1146" i="7" s="1"/>
  <c r="P1187" i="7"/>
  <c r="R1187" i="7" s="1"/>
  <c r="E1187" i="7" s="1"/>
  <c r="F1187" i="7" s="1"/>
  <c r="P1216" i="7"/>
  <c r="R1216" i="7" s="1"/>
  <c r="E1216" i="7" s="1"/>
  <c r="F1216" i="7" s="1"/>
  <c r="P1212" i="7"/>
  <c r="R1212" i="7" s="1"/>
  <c r="E1212" i="7" s="1"/>
  <c r="F1212" i="7" s="1"/>
  <c r="P1237" i="7"/>
  <c r="R1237" i="7" s="1"/>
  <c r="E1237" i="7" s="1"/>
  <c r="F1237" i="7" s="1"/>
  <c r="E1284" i="7"/>
  <c r="F1284" i="7" s="1"/>
  <c r="E1292" i="7"/>
  <c r="F1292" i="7" s="1"/>
  <c r="E1295" i="7"/>
  <c r="F1295" i="7" s="1"/>
  <c r="P1313" i="7"/>
  <c r="R1313" i="7" s="1"/>
  <c r="E1313" i="7" s="1"/>
  <c r="F1313" i="7" s="1"/>
  <c r="P1321" i="7"/>
  <c r="R1321" i="7" s="1"/>
  <c r="E1321" i="7" s="1"/>
  <c r="F1321" i="7" s="1"/>
  <c r="P1329" i="7"/>
  <c r="R1329" i="7" s="1"/>
  <c r="E1329" i="7" s="1"/>
  <c r="F1329" i="7" s="1"/>
  <c r="P1347" i="7"/>
  <c r="R1347" i="7" s="1"/>
  <c r="E1347" i="7" s="1"/>
  <c r="P1355" i="7"/>
  <c r="R1355" i="7" s="1"/>
  <c r="E1355" i="7" s="1"/>
  <c r="B1355" i="7" s="1"/>
  <c r="P1382" i="7"/>
  <c r="R1382" i="7" s="1"/>
  <c r="E1382" i="7" s="1"/>
  <c r="F1382" i="7" s="1"/>
  <c r="P1402" i="7"/>
  <c r="R1402" i="7" s="1"/>
  <c r="E1402" i="7" s="1"/>
  <c r="F1402" i="7" s="1"/>
  <c r="P1416" i="7"/>
  <c r="R1416" i="7" s="1"/>
  <c r="E1416" i="7" s="1"/>
  <c r="F1416" i="7" s="1"/>
  <c r="P1435" i="7"/>
  <c r="R1435" i="7" s="1"/>
  <c r="E1435" i="7" s="1"/>
  <c r="F1435" i="7" s="1"/>
  <c r="P1498" i="7"/>
  <c r="R1498" i="7" s="1"/>
  <c r="E1498" i="7" s="1"/>
  <c r="F1498" i="7" s="1"/>
  <c r="P1528" i="7"/>
  <c r="R1528" i="7" s="1"/>
  <c r="E1528" i="7" s="1"/>
  <c r="F1528" i="7" s="1"/>
  <c r="P1534" i="7"/>
  <c r="R1534" i="7" s="1"/>
  <c r="E1534" i="7" s="1"/>
  <c r="F1534" i="7" s="1"/>
  <c r="P1539" i="7"/>
  <c r="R1539" i="7" s="1"/>
  <c r="E1539" i="7" s="1"/>
  <c r="F1539" i="7" s="1"/>
  <c r="P1546" i="7"/>
  <c r="R1546" i="7" s="1"/>
  <c r="E1546" i="7" s="1"/>
  <c r="F1546" i="7" s="1"/>
  <c r="P1556" i="7"/>
  <c r="R1556" i="7" s="1"/>
  <c r="E1556" i="7" s="1"/>
  <c r="F1556" i="7" s="1"/>
  <c r="P1565" i="7"/>
  <c r="R1565" i="7" s="1"/>
  <c r="E1565" i="7" s="1"/>
  <c r="F1565" i="7" s="1"/>
  <c r="P1572" i="7"/>
  <c r="R1572" i="7" s="1"/>
  <c r="E1572" i="7" s="1"/>
  <c r="F1572" i="7" s="1"/>
  <c r="P1580" i="7"/>
  <c r="R1580" i="7" s="1"/>
  <c r="E1580" i="7" s="1"/>
  <c r="F1580" i="7" s="1"/>
  <c r="P1588" i="7"/>
  <c r="R1588" i="7" s="1"/>
  <c r="E1588" i="7" s="1"/>
  <c r="F1588" i="7" s="1"/>
  <c r="P1596" i="7"/>
  <c r="R1596" i="7" s="1"/>
  <c r="E1596" i="7" s="1"/>
  <c r="P1607" i="7"/>
  <c r="R1607" i="7" s="1"/>
  <c r="E1607" i="7" s="1"/>
  <c r="F1607" i="7" s="1"/>
  <c r="P1615" i="7"/>
  <c r="R1615" i="7" s="1"/>
  <c r="E1615" i="7" s="1"/>
  <c r="F1615" i="7" s="1"/>
  <c r="E1622" i="7"/>
  <c r="B1622" i="7" s="1"/>
  <c r="P1647" i="7"/>
  <c r="R1647" i="7" s="1"/>
  <c r="E1647" i="7" s="1"/>
  <c r="B1647" i="7" s="1"/>
  <c r="E1675" i="7"/>
  <c r="B1675" i="7" s="1"/>
  <c r="P1706" i="7"/>
  <c r="R1706" i="7" s="1"/>
  <c r="E1706" i="7" s="1"/>
  <c r="G1706" i="7" s="1"/>
  <c r="P1712" i="7"/>
  <c r="R1712" i="7" s="1"/>
  <c r="E1712" i="7" s="1"/>
  <c r="F1712" i="7" s="1"/>
  <c r="P1723" i="7"/>
  <c r="R1723" i="7" s="1"/>
  <c r="E1723" i="7" s="1"/>
  <c r="F1723" i="7" s="1"/>
  <c r="P1729" i="7"/>
  <c r="R1729" i="7" s="1"/>
  <c r="E1729" i="7" s="1"/>
  <c r="F1729" i="7" s="1"/>
  <c r="E1837" i="7"/>
  <c r="B1837" i="7" s="1"/>
  <c r="P1848" i="7"/>
  <c r="R1848" i="7" s="1"/>
  <c r="E1848" i="7" s="1"/>
  <c r="B1848" i="7" s="1"/>
  <c r="P1892" i="7"/>
  <c r="R1892" i="7" s="1"/>
  <c r="E1892" i="7" s="1"/>
  <c r="F1892" i="7" s="1"/>
  <c r="E1924" i="7"/>
  <c r="E1968" i="7"/>
  <c r="B1968" i="7" s="1"/>
  <c r="E1972" i="7"/>
  <c r="B1972" i="7" s="1"/>
  <c r="E1993" i="7"/>
  <c r="G1993" i="7" s="1"/>
  <c r="P1954" i="7"/>
  <c r="R1954" i="7" s="1"/>
  <c r="E1954" i="7" s="1"/>
  <c r="G1954" i="7" s="1"/>
  <c r="P2014" i="7"/>
  <c r="R2014" i="7" s="1"/>
  <c r="E2014" i="7" s="1"/>
  <c r="F2014" i="7" s="1"/>
  <c r="P2039" i="7"/>
  <c r="R2039" i="7" s="1"/>
  <c r="E2039" i="7" s="1"/>
  <c r="F2039" i="7" s="1"/>
  <c r="P2048" i="7"/>
  <c r="R2048" i="7" s="1"/>
  <c r="E2048" i="7" s="1"/>
  <c r="F2048" i="7" s="1"/>
  <c r="P2056" i="7"/>
  <c r="R2056" i="7" s="1"/>
  <c r="E2056" i="7" s="1"/>
  <c r="F2056" i="7" s="1"/>
  <c r="P2064" i="7"/>
  <c r="R2064" i="7" s="1"/>
  <c r="E2064" i="7" s="1"/>
  <c r="F2064" i="7" s="1"/>
  <c r="P2070" i="7"/>
  <c r="R2070" i="7" s="1"/>
  <c r="E2070" i="7" s="1"/>
  <c r="F2070" i="7" s="1"/>
  <c r="P2081" i="7"/>
  <c r="R2081" i="7" s="1"/>
  <c r="E2081" i="7" s="1"/>
  <c r="F2081" i="7" s="1"/>
  <c r="P2114" i="7"/>
  <c r="R2114" i="7" s="1"/>
  <c r="E2114" i="7" s="1"/>
  <c r="F2114" i="7" s="1"/>
  <c r="P2122" i="7"/>
  <c r="R2122" i="7" s="1"/>
  <c r="E2122" i="7" s="1"/>
  <c r="F2122" i="7" s="1"/>
  <c r="P2109" i="7"/>
  <c r="R2109" i="7" s="1"/>
  <c r="E2109" i="7" s="1"/>
  <c r="F2109" i="7" s="1"/>
  <c r="P2154" i="7"/>
  <c r="R2154" i="7" s="1"/>
  <c r="E2154" i="7" s="1"/>
  <c r="B2154" i="7" s="1"/>
  <c r="P2167" i="7"/>
  <c r="R2167" i="7" s="1"/>
  <c r="E2167" i="7" s="1"/>
  <c r="B2167" i="7" s="1"/>
  <c r="E2169" i="7"/>
  <c r="F2169" i="7" s="1"/>
  <c r="P2178" i="7"/>
  <c r="R2178" i="7" s="1"/>
  <c r="E2178" i="7" s="1"/>
  <c r="F2178" i="7" s="1"/>
  <c r="P2185" i="7"/>
  <c r="R2185" i="7" s="1"/>
  <c r="E2185" i="7" s="1"/>
  <c r="F2185" i="7" s="1"/>
  <c r="P2195" i="7"/>
  <c r="R2195" i="7" s="1"/>
  <c r="E2195" i="7" s="1"/>
  <c r="F2195" i="7" s="1"/>
  <c r="P2203" i="7"/>
  <c r="R2203" i="7" s="1"/>
  <c r="E2203" i="7" s="1"/>
  <c r="F2203" i="7" s="1"/>
  <c r="P2210" i="7"/>
  <c r="R2210" i="7" s="1"/>
  <c r="E2210" i="7" s="1"/>
  <c r="F2210" i="7" s="1"/>
  <c r="P2213" i="7"/>
  <c r="R2213" i="7" s="1"/>
  <c r="E2213" i="7" s="1"/>
  <c r="F2213" i="7" s="1"/>
  <c r="P2224" i="7"/>
  <c r="R2224" i="7" s="1"/>
  <c r="E2224" i="7" s="1"/>
  <c r="F2224" i="7" s="1"/>
  <c r="P2245" i="7"/>
  <c r="R2245" i="7" s="1"/>
  <c r="E2245" i="7" s="1"/>
  <c r="F2245" i="7" s="1"/>
  <c r="P2250" i="7"/>
  <c r="R2250" i="7" s="1"/>
  <c r="E2250" i="7" s="1"/>
  <c r="F2250" i="7" s="1"/>
  <c r="P2307" i="7"/>
  <c r="R2307" i="7" s="1"/>
  <c r="E2307" i="7" s="1"/>
  <c r="F2307" i="7" s="1"/>
  <c r="P2314" i="7"/>
  <c r="R2314" i="7" s="1"/>
  <c r="E2314" i="7" s="1"/>
  <c r="F2314" i="7" s="1"/>
  <c r="P2330" i="7"/>
  <c r="R2330" i="7" s="1"/>
  <c r="E2330" i="7" s="1"/>
  <c r="F2330" i="7" s="1"/>
  <c r="P2350" i="7"/>
  <c r="R2350" i="7" s="1"/>
  <c r="E2350" i="7" s="1"/>
  <c r="F2350" i="7" s="1"/>
  <c r="P2361" i="7"/>
  <c r="R2361" i="7" s="1"/>
  <c r="E2361" i="7" s="1"/>
  <c r="F2361" i="7" s="1"/>
  <c r="P2365" i="7"/>
  <c r="R2365" i="7" s="1"/>
  <c r="E2365" i="7" s="1"/>
  <c r="B2365" i="7" s="1"/>
  <c r="P2373" i="7"/>
  <c r="R2373" i="7" s="1"/>
  <c r="E2373" i="7" s="1"/>
  <c r="F2373" i="7" s="1"/>
  <c r="P2420" i="7"/>
  <c r="R2420" i="7" s="1"/>
  <c r="E2420" i="7" s="1"/>
  <c r="F2420" i="7" s="1"/>
  <c r="P2428" i="7"/>
  <c r="R2428" i="7" s="1"/>
  <c r="E2428" i="7" s="1"/>
  <c r="F2428" i="7" s="1"/>
  <c r="P2439" i="7"/>
  <c r="R2439" i="7" s="1"/>
  <c r="E2439" i="7" s="1"/>
  <c r="F2439" i="7" s="1"/>
  <c r="E2453" i="7"/>
  <c r="F2453" i="7" s="1"/>
  <c r="P2460" i="7"/>
  <c r="R2460" i="7" s="1"/>
  <c r="E2460" i="7" s="1"/>
  <c r="F2460" i="7" s="1"/>
  <c r="P2494" i="7"/>
  <c r="R2494" i="7" s="1"/>
  <c r="E2494" i="7" s="1"/>
  <c r="F2494" i="7" s="1"/>
  <c r="P2501" i="7"/>
  <c r="R2501" i="7" s="1"/>
  <c r="E2501" i="7" s="1"/>
  <c r="B2501" i="7" s="1"/>
  <c r="P2507" i="7"/>
  <c r="R2507" i="7" s="1"/>
  <c r="E2507" i="7" s="1"/>
  <c r="P2513" i="7"/>
  <c r="R2513" i="7" s="1"/>
  <c r="E2513" i="7" s="1"/>
  <c r="B2513" i="7" s="1"/>
  <c r="P2519" i="7"/>
  <c r="R2519" i="7" s="1"/>
  <c r="E2519" i="7" s="1"/>
  <c r="F2519" i="7" s="1"/>
  <c r="P2528" i="7"/>
  <c r="R2528" i="7" s="1"/>
  <c r="E2528" i="7" s="1"/>
  <c r="F2528" i="7" s="1"/>
  <c r="P2527" i="7"/>
  <c r="R2527" i="7" s="1"/>
  <c r="E2527" i="7" s="1"/>
  <c r="F2527" i="7" s="1"/>
  <c r="E2599" i="7"/>
  <c r="B2599" i="7" s="1"/>
  <c r="E2629" i="7"/>
  <c r="B2629" i="7" s="1"/>
  <c r="E2695" i="7"/>
  <c r="B2695" i="7" s="1"/>
  <c r="P2705" i="7"/>
  <c r="R2705" i="7" s="1"/>
  <c r="E2705" i="7" s="1"/>
  <c r="B2705" i="7" s="1"/>
  <c r="P2726" i="7"/>
  <c r="R2726" i="7" s="1"/>
  <c r="E2726" i="7" s="1"/>
  <c r="F2726" i="7" s="1"/>
  <c r="P2754" i="7"/>
  <c r="R2754" i="7" s="1"/>
  <c r="E2754" i="7" s="1"/>
  <c r="F2754" i="7" s="1"/>
  <c r="P2758" i="7"/>
  <c r="R2758" i="7" s="1"/>
  <c r="E2758" i="7" s="1"/>
  <c r="F2758" i="7" s="1"/>
  <c r="P2770" i="7"/>
  <c r="R2770" i="7" s="1"/>
  <c r="E2770" i="7" s="1"/>
  <c r="F2770" i="7" s="1"/>
  <c r="P2778" i="7"/>
  <c r="R2778" i="7" s="1"/>
  <c r="E2778" i="7" s="1"/>
  <c r="F2778" i="7" s="1"/>
  <c r="P2784" i="7"/>
  <c r="R2784" i="7" s="1"/>
  <c r="E2784" i="7" s="1"/>
  <c r="F2784" i="7" s="1"/>
  <c r="P2802" i="7"/>
  <c r="R2802" i="7" s="1"/>
  <c r="E2802" i="7" s="1"/>
  <c r="F2802" i="7" s="1"/>
  <c r="P2825" i="7"/>
  <c r="R2825" i="7" s="1"/>
  <c r="E2825" i="7" s="1"/>
  <c r="F2825" i="7" s="1"/>
  <c r="P2858" i="7"/>
  <c r="R2858" i="7" s="1"/>
  <c r="E2858" i="7" s="1"/>
  <c r="F2858" i="7" s="1"/>
  <c r="P155" i="7"/>
  <c r="R155" i="7" s="1"/>
  <c r="E155" i="7" s="1"/>
  <c r="G155" i="7" s="1"/>
  <c r="P208" i="7"/>
  <c r="R208" i="7" s="1"/>
  <c r="E208" i="7" s="1"/>
  <c r="B208" i="7" s="1"/>
  <c r="P602" i="7"/>
  <c r="R602" i="7" s="1"/>
  <c r="E602" i="7" s="1"/>
  <c r="F602" i="7" s="1"/>
  <c r="P684" i="7"/>
  <c r="R684" i="7" s="1"/>
  <c r="E684" i="7" s="1"/>
  <c r="F684" i="7" s="1"/>
  <c r="E916" i="7"/>
  <c r="F916" i="7" s="1"/>
  <c r="P1155" i="7"/>
  <c r="R1155" i="7" s="1"/>
  <c r="E1155" i="7" s="1"/>
  <c r="F1155" i="7" s="1"/>
  <c r="P1315" i="7"/>
  <c r="R1315" i="7" s="1"/>
  <c r="E1315" i="7" s="1"/>
  <c r="F1315" i="7" s="1"/>
  <c r="P1413" i="7"/>
  <c r="R1413" i="7" s="1"/>
  <c r="E1413" i="7" s="1"/>
  <c r="F1413" i="7" s="1"/>
  <c r="P1526" i="7"/>
  <c r="R1526" i="7" s="1"/>
  <c r="E1526" i="7" s="1"/>
  <c r="F1526" i="7" s="1"/>
  <c r="P1578" i="7"/>
  <c r="R1578" i="7" s="1"/>
  <c r="E1578" i="7" s="1"/>
  <c r="F1578" i="7" s="1"/>
  <c r="P2217" i="7"/>
  <c r="R2217" i="7" s="1"/>
  <c r="E2217" i="7" s="1"/>
  <c r="F2217" i="7" s="1"/>
  <c r="P23" i="7"/>
  <c r="R23" i="7" s="1"/>
  <c r="E23" i="7" s="1"/>
  <c r="F23" i="7" s="1"/>
  <c r="P109" i="7"/>
  <c r="R109" i="7" s="1"/>
  <c r="E109" i="7" s="1"/>
  <c r="B109" i="7" s="1"/>
  <c r="P115" i="7"/>
  <c r="R115" i="7" s="1"/>
  <c r="E115" i="7" s="1"/>
  <c r="P121" i="7"/>
  <c r="R121" i="7" s="1"/>
  <c r="E121" i="7" s="1"/>
  <c r="P234" i="7"/>
  <c r="R234" i="7" s="1"/>
  <c r="E234" i="7" s="1"/>
  <c r="F234" i="7" s="1"/>
  <c r="P266" i="7"/>
  <c r="R266" i="7" s="1"/>
  <c r="E266" i="7" s="1"/>
  <c r="F266" i="7" s="1"/>
  <c r="P264" i="7"/>
  <c r="R264" i="7" s="1"/>
  <c r="E264" i="7" s="1"/>
  <c r="F264" i="7" s="1"/>
  <c r="P271" i="7"/>
  <c r="R271" i="7" s="1"/>
  <c r="E271" i="7" s="1"/>
  <c r="F271" i="7" s="1"/>
  <c r="P279" i="7"/>
  <c r="R279" i="7" s="1"/>
  <c r="E279" i="7" s="1"/>
  <c r="F279" i="7" s="1"/>
  <c r="P295" i="7"/>
  <c r="R295" i="7" s="1"/>
  <c r="E295" i="7" s="1"/>
  <c r="F295" i="7" s="1"/>
  <c r="P324" i="7"/>
  <c r="R324" i="7" s="1"/>
  <c r="E324" i="7" s="1"/>
  <c r="F324" i="7" s="1"/>
  <c r="P339" i="7"/>
  <c r="R339" i="7" s="1"/>
  <c r="E339" i="7" s="1"/>
  <c r="F339" i="7" s="1"/>
  <c r="P358" i="7"/>
  <c r="R358" i="7" s="1"/>
  <c r="E358" i="7" s="1"/>
  <c r="F358" i="7" s="1"/>
  <c r="P382" i="7"/>
  <c r="R382" i="7" s="1"/>
  <c r="E382" i="7" s="1"/>
  <c r="F382" i="7" s="1"/>
  <c r="P395" i="7"/>
  <c r="R395" i="7" s="1"/>
  <c r="E395" i="7" s="1"/>
  <c r="F395" i="7" s="1"/>
  <c r="P446" i="7"/>
  <c r="R446" i="7" s="1"/>
  <c r="E446" i="7" s="1"/>
  <c r="F446" i="7" s="1"/>
  <c r="P457" i="7"/>
  <c r="R457" i="7" s="1"/>
  <c r="E457" i="7" s="1"/>
  <c r="F457" i="7" s="1"/>
  <c r="P474" i="7"/>
  <c r="R474" i="7" s="1"/>
  <c r="E474" i="7" s="1"/>
  <c r="F474" i="7" s="1"/>
  <c r="P515" i="7"/>
  <c r="R515" i="7" s="1"/>
  <c r="E515" i="7" s="1"/>
  <c r="F515" i="7" s="1"/>
  <c r="P520" i="7"/>
  <c r="R520" i="7" s="1"/>
  <c r="E520" i="7" s="1"/>
  <c r="F520" i="7" s="1"/>
  <c r="P524" i="7"/>
  <c r="R524" i="7" s="1"/>
  <c r="E524" i="7" s="1"/>
  <c r="B524" i="7" s="1"/>
  <c r="P546" i="7"/>
  <c r="R546" i="7" s="1"/>
  <c r="E546" i="7" s="1"/>
  <c r="F546" i="7" s="1"/>
  <c r="P559" i="7"/>
  <c r="R559" i="7" s="1"/>
  <c r="E559" i="7" s="1"/>
  <c r="F559" i="7" s="1"/>
  <c r="E570" i="7"/>
  <c r="F570" i="7" s="1"/>
  <c r="P636" i="7"/>
  <c r="R636" i="7" s="1"/>
  <c r="E636" i="7" s="1"/>
  <c r="F636" i="7" s="1"/>
  <c r="P642" i="7"/>
  <c r="R642" i="7" s="1"/>
  <c r="E642" i="7" s="1"/>
  <c r="F642" i="7" s="1"/>
  <c r="P655" i="7"/>
  <c r="R655" i="7" s="1"/>
  <c r="E655" i="7" s="1"/>
  <c r="F655" i="7" s="1"/>
  <c r="P675" i="7"/>
  <c r="R675" i="7" s="1"/>
  <c r="E675" i="7" s="1"/>
  <c r="G675" i="7" s="1"/>
  <c r="P694" i="7"/>
  <c r="R694" i="7" s="1"/>
  <c r="E694" i="7" s="1"/>
  <c r="F694" i="7" s="1"/>
  <c r="P701" i="7"/>
  <c r="R701" i="7" s="1"/>
  <c r="E701" i="7" s="1"/>
  <c r="F701" i="7" s="1"/>
  <c r="P707" i="7"/>
  <c r="R707" i="7" s="1"/>
  <c r="E707" i="7" s="1"/>
  <c r="F707" i="7" s="1"/>
  <c r="P713" i="7"/>
  <c r="R713" i="7" s="1"/>
  <c r="E713" i="7" s="1"/>
  <c r="F713" i="7" s="1"/>
  <c r="P722" i="7"/>
  <c r="R722" i="7" s="1"/>
  <c r="E722" i="7" s="1"/>
  <c r="F722" i="7" s="1"/>
  <c r="P728" i="7"/>
  <c r="R728" i="7" s="1"/>
  <c r="E728" i="7" s="1"/>
  <c r="F728" i="7" s="1"/>
  <c r="P734" i="7"/>
  <c r="R734" i="7" s="1"/>
  <c r="E734" i="7" s="1"/>
  <c r="F734" i="7" s="1"/>
  <c r="P738" i="7"/>
  <c r="R738" i="7" s="1"/>
  <c r="E738" i="7" s="1"/>
  <c r="G738" i="7" s="1"/>
  <c r="P743" i="7"/>
  <c r="R743" i="7" s="1"/>
  <c r="E743" i="7" s="1"/>
  <c r="B743" i="7" s="1"/>
  <c r="P754" i="7"/>
  <c r="R754" i="7" s="1"/>
  <c r="E754" i="7" s="1"/>
  <c r="G754" i="7" s="1"/>
  <c r="P761" i="7"/>
  <c r="R761" i="7" s="1"/>
  <c r="E761" i="7" s="1"/>
  <c r="B761" i="7" s="1"/>
  <c r="E769" i="7"/>
  <c r="G769" i="7" s="1"/>
  <c r="P779" i="7"/>
  <c r="R779" i="7" s="1"/>
  <c r="E779" i="7" s="1"/>
  <c r="B779" i="7" s="1"/>
  <c r="P788" i="7"/>
  <c r="R788" i="7" s="1"/>
  <c r="E788" i="7" s="1"/>
  <c r="F788" i="7" s="1"/>
  <c r="P810" i="7"/>
  <c r="R810" i="7" s="1"/>
  <c r="E810" i="7" s="1"/>
  <c r="F810" i="7" s="1"/>
  <c r="P822" i="7"/>
  <c r="R822" i="7" s="1"/>
  <c r="E822" i="7" s="1"/>
  <c r="F822" i="7" s="1"/>
  <c r="P819" i="7"/>
  <c r="R819" i="7" s="1"/>
  <c r="E819" i="7" s="1"/>
  <c r="F819" i="7" s="1"/>
  <c r="P830" i="7"/>
  <c r="R830" i="7" s="1"/>
  <c r="E830" i="7" s="1"/>
  <c r="P835" i="7"/>
  <c r="R835" i="7" s="1"/>
  <c r="E835" i="7" s="1"/>
  <c r="F835" i="7" s="1"/>
  <c r="P844" i="7"/>
  <c r="R844" i="7" s="1"/>
  <c r="E844" i="7" s="1"/>
  <c r="F844" i="7" s="1"/>
  <c r="P970" i="7"/>
  <c r="R970" i="7" s="1"/>
  <c r="E970" i="7" s="1"/>
  <c r="F970" i="7" s="1"/>
  <c r="P978" i="7"/>
  <c r="R978" i="7" s="1"/>
  <c r="E978" i="7" s="1"/>
  <c r="G978" i="7" s="1"/>
  <c r="P985" i="7"/>
  <c r="R985" i="7" s="1"/>
  <c r="E985" i="7" s="1"/>
  <c r="G985" i="7" s="1"/>
  <c r="P992" i="7"/>
  <c r="R992" i="7" s="1"/>
  <c r="E992" i="7" s="1"/>
  <c r="F992" i="7" s="1"/>
  <c r="P1000" i="7"/>
  <c r="R1000" i="7" s="1"/>
  <c r="E1000" i="7" s="1"/>
  <c r="B1000" i="7" s="1"/>
  <c r="P1013" i="7"/>
  <c r="R1013" i="7" s="1"/>
  <c r="E1013" i="7" s="1"/>
  <c r="F1013" i="7" s="1"/>
  <c r="P1018" i="7"/>
  <c r="R1018" i="7" s="1"/>
  <c r="E1018" i="7" s="1"/>
  <c r="F1018" i="7" s="1"/>
  <c r="P1047" i="7"/>
  <c r="R1047" i="7" s="1"/>
  <c r="E1047" i="7" s="1"/>
  <c r="F1047" i="7" s="1"/>
  <c r="P1054" i="7"/>
  <c r="R1054" i="7" s="1"/>
  <c r="E1054" i="7" s="1"/>
  <c r="F1054" i="7" s="1"/>
  <c r="P1060" i="7"/>
  <c r="R1060" i="7" s="1"/>
  <c r="E1060" i="7" s="1"/>
  <c r="F1060" i="7" s="1"/>
  <c r="P1073" i="7"/>
  <c r="R1073" i="7" s="1"/>
  <c r="E1073" i="7" s="1"/>
  <c r="F1073" i="7" s="1"/>
  <c r="P1078" i="7"/>
  <c r="R1078" i="7" s="1"/>
  <c r="E1078" i="7" s="1"/>
  <c r="F1078" i="7" s="1"/>
  <c r="P1133" i="7"/>
  <c r="R1133" i="7" s="1"/>
  <c r="E1133" i="7" s="1"/>
  <c r="F1133" i="7" s="1"/>
  <c r="P1157" i="7"/>
  <c r="R1157" i="7" s="1"/>
  <c r="E1157" i="7" s="1"/>
  <c r="F1157" i="7" s="1"/>
  <c r="P1165" i="7"/>
  <c r="R1165" i="7" s="1"/>
  <c r="E1165" i="7" s="1"/>
  <c r="G1165" i="7" s="1"/>
  <c r="P1171" i="7"/>
  <c r="R1171" i="7" s="1"/>
  <c r="E1171" i="7" s="1"/>
  <c r="G1171" i="7" s="1"/>
  <c r="P1178" i="7"/>
  <c r="R1178" i="7" s="1"/>
  <c r="E1178" i="7" s="1"/>
  <c r="P1186" i="7"/>
  <c r="R1186" i="7" s="1"/>
  <c r="E1186" i="7" s="1"/>
  <c r="F1186" i="7" s="1"/>
  <c r="P1189" i="7"/>
  <c r="R1189" i="7" s="1"/>
  <c r="E1189" i="7" s="1"/>
  <c r="F1189" i="7" s="1"/>
  <c r="P1202" i="7"/>
  <c r="R1202" i="7" s="1"/>
  <c r="E1202" i="7" s="1"/>
  <c r="F1202" i="7" s="1"/>
  <c r="P1220" i="7"/>
  <c r="R1220" i="7" s="1"/>
  <c r="E1220" i="7" s="1"/>
  <c r="F1220" i="7" s="1"/>
  <c r="P1225" i="7"/>
  <c r="R1225" i="7" s="1"/>
  <c r="E1225" i="7" s="1"/>
  <c r="G1225" i="7" s="1"/>
  <c r="P1231" i="7"/>
  <c r="R1231" i="7" s="1"/>
  <c r="E1231" i="7" s="1"/>
  <c r="G1231" i="7" s="1"/>
  <c r="P1244" i="7"/>
  <c r="R1244" i="7" s="1"/>
  <c r="E1244" i="7" s="1"/>
  <c r="F1244" i="7" s="1"/>
  <c r="P1254" i="7"/>
  <c r="R1254" i="7" s="1"/>
  <c r="E1254" i="7" s="1"/>
  <c r="F1254" i="7" s="1"/>
  <c r="P1260" i="7"/>
  <c r="R1260" i="7" s="1"/>
  <c r="E1260" i="7" s="1"/>
  <c r="B1260" i="7" s="1"/>
  <c r="P1268" i="7"/>
  <c r="R1268" i="7" s="1"/>
  <c r="E1268" i="7" s="1"/>
  <c r="B1268" i="7" s="1"/>
  <c r="E1275" i="7"/>
  <c r="F1275" i="7" s="1"/>
  <c r="P1345" i="7"/>
  <c r="R1345" i="7" s="1"/>
  <c r="E1345" i="7" s="1"/>
  <c r="G1345" i="7" s="1"/>
  <c r="E1365" i="7"/>
  <c r="B1365" i="7" s="1"/>
  <c r="P1371" i="7"/>
  <c r="R1371" i="7" s="1"/>
  <c r="E1371" i="7" s="1"/>
  <c r="P1409" i="7"/>
  <c r="R1409" i="7" s="1"/>
  <c r="E1409" i="7" s="1"/>
  <c r="F1409" i="7" s="1"/>
  <c r="P1424" i="7"/>
  <c r="R1424" i="7" s="1"/>
  <c r="E1424" i="7" s="1"/>
  <c r="F1424" i="7" s="1"/>
  <c r="P1444" i="7"/>
  <c r="R1444" i="7" s="1"/>
  <c r="E1444" i="7" s="1"/>
  <c r="F1444" i="7" s="1"/>
  <c r="E1458" i="7"/>
  <c r="B1458" i="7" s="1"/>
  <c r="P1483" i="7"/>
  <c r="R1483" i="7" s="1"/>
  <c r="E1483" i="7" s="1"/>
  <c r="F1483" i="7" s="1"/>
  <c r="P1490" i="7"/>
  <c r="R1490" i="7" s="1"/>
  <c r="E1490" i="7" s="1"/>
  <c r="F1490" i="7" s="1"/>
  <c r="P1514" i="7"/>
  <c r="R1514" i="7" s="1"/>
  <c r="E1514" i="7" s="1"/>
  <c r="F1514" i="7" s="1"/>
  <c r="P1522" i="7"/>
  <c r="R1522" i="7" s="1"/>
  <c r="E1522" i="7" s="1"/>
  <c r="F1522" i="7" s="1"/>
  <c r="E1631" i="7"/>
  <c r="B1631" i="7" s="1"/>
  <c r="P1640" i="7"/>
  <c r="R1640" i="7" s="1"/>
  <c r="E1640" i="7" s="1"/>
  <c r="B1640" i="7" s="1"/>
  <c r="E1683" i="7"/>
  <c r="B1683" i="7" s="1"/>
  <c r="P1692" i="7"/>
  <c r="R1692" i="7" s="1"/>
  <c r="E1692" i="7" s="1"/>
  <c r="P1677" i="7"/>
  <c r="R1677" i="7" s="1"/>
  <c r="E1677" i="7" s="1"/>
  <c r="B1677" i="7" s="1"/>
  <c r="P1664" i="7"/>
  <c r="R1664" i="7" s="1"/>
  <c r="E1664" i="7" s="1"/>
  <c r="F1664" i="7" s="1"/>
  <c r="P1737" i="7"/>
  <c r="R1737" i="7" s="1"/>
  <c r="E1737" i="7" s="1"/>
  <c r="F1737" i="7" s="1"/>
  <c r="P1746" i="7"/>
  <c r="R1746" i="7" s="1"/>
  <c r="E1746" i="7" s="1"/>
  <c r="F1746" i="7" s="1"/>
  <c r="P1754" i="7"/>
  <c r="R1754" i="7" s="1"/>
  <c r="E1754" i="7" s="1"/>
  <c r="F1754" i="7" s="1"/>
  <c r="P1827" i="7"/>
  <c r="R1827" i="7" s="1"/>
  <c r="E1827" i="7" s="1"/>
  <c r="F1827" i="7" s="1"/>
  <c r="P1771" i="7"/>
  <c r="R1771" i="7" s="1"/>
  <c r="E1771" i="7" s="1"/>
  <c r="F1771" i="7" s="1"/>
  <c r="P1777" i="7"/>
  <c r="R1777" i="7" s="1"/>
  <c r="E1777" i="7" s="1"/>
  <c r="F1777" i="7" s="1"/>
  <c r="P1798" i="7"/>
  <c r="R1798" i="7" s="1"/>
  <c r="E1798" i="7" s="1"/>
  <c r="F1798" i="7" s="1"/>
  <c r="P1791" i="7"/>
  <c r="R1791" i="7" s="1"/>
  <c r="E1791" i="7" s="1"/>
  <c r="F1791" i="7" s="1"/>
  <c r="P1784" i="7"/>
  <c r="R1784" i="7" s="1"/>
  <c r="E1784" i="7" s="1"/>
  <c r="F1784" i="7" s="1"/>
  <c r="E1807" i="7"/>
  <c r="F1807" i="7" s="1"/>
  <c r="E1813" i="7"/>
  <c r="F1813" i="7" s="1"/>
  <c r="E1830" i="7"/>
  <c r="F1830" i="7" s="1"/>
  <c r="P1855" i="7"/>
  <c r="R1855" i="7" s="1"/>
  <c r="E1855" i="7" s="1"/>
  <c r="F1855" i="7" s="1"/>
  <c r="P1863" i="7"/>
  <c r="R1863" i="7" s="1"/>
  <c r="E1863" i="7" s="1"/>
  <c r="F1863" i="7" s="1"/>
  <c r="P1871" i="7"/>
  <c r="R1871" i="7" s="1"/>
  <c r="E1871" i="7" s="1"/>
  <c r="F1871" i="7" s="1"/>
  <c r="P1877" i="7"/>
  <c r="R1877" i="7" s="1"/>
  <c r="E1877" i="7" s="1"/>
  <c r="F1877" i="7" s="1"/>
  <c r="P1885" i="7"/>
  <c r="R1885" i="7" s="1"/>
  <c r="E1885" i="7" s="1"/>
  <c r="G1885" i="7" s="1"/>
  <c r="P1907" i="7"/>
  <c r="R1907" i="7" s="1"/>
  <c r="E1907" i="7" s="1"/>
  <c r="P1911" i="7"/>
  <c r="R1911" i="7" s="1"/>
  <c r="E1911" i="7" s="1"/>
  <c r="P1917" i="7"/>
  <c r="R1917" i="7" s="1"/>
  <c r="E1917" i="7" s="1"/>
  <c r="F1917" i="7" s="1"/>
  <c r="P1936" i="7"/>
  <c r="R1936" i="7" s="1"/>
  <c r="E1936" i="7" s="1"/>
  <c r="B1936" i="7" s="1"/>
  <c r="P1945" i="7"/>
  <c r="R1945" i="7" s="1"/>
  <c r="E1945" i="7" s="1"/>
  <c r="F1945" i="7" s="1"/>
  <c r="E1981" i="7"/>
  <c r="B1981" i="7" s="1"/>
  <c r="P2012" i="7"/>
  <c r="R2012" i="7" s="1"/>
  <c r="E2012" i="7" s="1"/>
  <c r="F2012" i="7" s="1"/>
  <c r="E2021" i="7"/>
  <c r="F2021" i="7" s="1"/>
  <c r="P2030" i="7"/>
  <c r="R2030" i="7" s="1"/>
  <c r="E2030" i="7" s="1"/>
  <c r="B2030" i="7" s="1"/>
  <c r="P2094" i="7"/>
  <c r="R2094" i="7" s="1"/>
  <c r="E2094" i="7" s="1"/>
  <c r="F2094" i="7" s="1"/>
  <c r="P2138" i="7"/>
  <c r="R2138" i="7" s="1"/>
  <c r="E2138" i="7" s="1"/>
  <c r="F2138" i="7" s="1"/>
  <c r="P2144" i="7"/>
  <c r="R2144" i="7" s="1"/>
  <c r="E2144" i="7" s="1"/>
  <c r="P2155" i="7"/>
  <c r="R2155" i="7" s="1"/>
  <c r="E2155" i="7" s="1"/>
  <c r="B2155" i="7" s="1"/>
  <c r="P2197" i="7"/>
  <c r="R2197" i="7" s="1"/>
  <c r="E2197" i="7" s="1"/>
  <c r="F2197" i="7" s="1"/>
  <c r="P2231" i="7"/>
  <c r="R2231" i="7" s="1"/>
  <c r="E2231" i="7" s="1"/>
  <c r="F2231" i="7" s="1"/>
  <c r="P2256" i="7"/>
  <c r="R2256" i="7" s="1"/>
  <c r="E2256" i="7" s="1"/>
  <c r="F2256" i="7" s="1"/>
  <c r="P2270" i="7"/>
  <c r="R2270" i="7" s="1"/>
  <c r="E2270" i="7" s="1"/>
  <c r="F2270" i="7" s="1"/>
  <c r="P2274" i="7"/>
  <c r="R2274" i="7" s="1"/>
  <c r="E2274" i="7" s="1"/>
  <c r="F2274" i="7" s="1"/>
  <c r="P2289" i="7"/>
  <c r="R2289" i="7" s="1"/>
  <c r="E2289" i="7" s="1"/>
  <c r="F2289" i="7" s="1"/>
  <c r="P2292" i="7"/>
  <c r="R2292" i="7" s="1"/>
  <c r="E2292" i="7" s="1"/>
  <c r="F2292" i="7" s="1"/>
  <c r="P2300" i="7"/>
  <c r="R2300" i="7" s="1"/>
  <c r="E2300" i="7" s="1"/>
  <c r="F2300" i="7" s="1"/>
  <c r="P2337" i="7"/>
  <c r="R2337" i="7" s="1"/>
  <c r="E2337" i="7" s="1"/>
  <c r="G2337" i="7" s="1"/>
  <c r="P2331" i="7"/>
  <c r="R2331" i="7" s="1"/>
  <c r="E2331" i="7" s="1"/>
  <c r="F2331" i="7" s="1"/>
  <c r="P2335" i="7"/>
  <c r="R2335" i="7" s="1"/>
  <c r="E2335" i="7" s="1"/>
  <c r="P2343" i="7"/>
  <c r="R2343" i="7" s="1"/>
  <c r="E2343" i="7" s="1"/>
  <c r="F2343" i="7" s="1"/>
  <c r="P2374" i="7"/>
  <c r="R2374" i="7" s="1"/>
  <c r="E2374" i="7" s="1"/>
  <c r="F2374" i="7" s="1"/>
  <c r="P2390" i="7"/>
  <c r="R2390" i="7" s="1"/>
  <c r="E2390" i="7" s="1"/>
  <c r="F2390" i="7" s="1"/>
  <c r="P2369" i="7"/>
  <c r="R2369" i="7" s="1"/>
  <c r="E2369" i="7" s="1"/>
  <c r="F2369" i="7" s="1"/>
  <c r="P2383" i="7"/>
  <c r="R2383" i="7" s="1"/>
  <c r="E2383" i="7" s="1"/>
  <c r="F2383" i="7" s="1"/>
  <c r="P2392" i="7"/>
  <c r="R2392" i="7" s="1"/>
  <c r="E2392" i="7" s="1"/>
  <c r="F2392" i="7" s="1"/>
  <c r="P2398" i="7"/>
  <c r="R2398" i="7" s="1"/>
  <c r="E2398" i="7" s="1"/>
  <c r="F2398" i="7" s="1"/>
  <c r="P2408" i="7"/>
  <c r="R2408" i="7" s="1"/>
  <c r="E2408" i="7" s="1"/>
  <c r="F2408" i="7" s="1"/>
  <c r="P2447" i="7"/>
  <c r="R2447" i="7" s="1"/>
  <c r="E2447" i="7" s="1"/>
  <c r="F2447" i="7" s="1"/>
  <c r="P2483" i="7"/>
  <c r="R2483" i="7" s="1"/>
  <c r="E2483" i="7" s="1"/>
  <c r="F2483" i="7" s="1"/>
  <c r="E2471" i="7"/>
  <c r="F2471" i="7" s="1"/>
  <c r="E2466" i="7"/>
  <c r="F2466" i="7" s="1"/>
  <c r="P2477" i="7"/>
  <c r="R2477" i="7" s="1"/>
  <c r="E2477" i="7" s="1"/>
  <c r="F2477" i="7" s="1"/>
  <c r="E2489" i="7"/>
  <c r="F2489" i="7" s="1"/>
  <c r="P2495" i="7"/>
  <c r="R2495" i="7" s="1"/>
  <c r="E2495" i="7" s="1"/>
  <c r="F2495" i="7" s="1"/>
  <c r="E2539" i="7"/>
  <c r="B2539" i="7" s="1"/>
  <c r="P2547" i="7"/>
  <c r="R2547" i="7" s="1"/>
  <c r="E2547" i="7" s="1"/>
  <c r="F2547" i="7" s="1"/>
  <c r="P2554" i="7"/>
  <c r="R2554" i="7" s="1"/>
  <c r="E2554" i="7" s="1"/>
  <c r="F2554" i="7" s="1"/>
  <c r="P2561" i="7"/>
  <c r="R2561" i="7" s="1"/>
  <c r="E2561" i="7" s="1"/>
  <c r="F2561" i="7" s="1"/>
  <c r="P2569" i="7"/>
  <c r="R2569" i="7" s="1"/>
  <c r="E2569" i="7" s="1"/>
  <c r="F2569" i="7" s="1"/>
  <c r="P2579" i="7"/>
  <c r="R2579" i="7" s="1"/>
  <c r="E2579" i="7" s="1"/>
  <c r="F2579" i="7" s="1"/>
  <c r="P2585" i="7"/>
  <c r="R2585" i="7" s="1"/>
  <c r="E2585" i="7" s="1"/>
  <c r="F2585" i="7" s="1"/>
  <c r="E2591" i="7"/>
  <c r="B2591" i="7" s="1"/>
  <c r="P2612" i="7"/>
  <c r="R2612" i="7" s="1"/>
  <c r="E2612" i="7" s="1"/>
  <c r="B2612" i="7" s="1"/>
  <c r="P2635" i="7"/>
  <c r="R2635" i="7" s="1"/>
  <c r="E2635" i="7" s="1"/>
  <c r="F2635" i="7" s="1"/>
  <c r="P2641" i="7"/>
  <c r="R2641" i="7" s="1"/>
  <c r="E2641" i="7" s="1"/>
  <c r="F2641" i="7" s="1"/>
  <c r="P2646" i="7"/>
  <c r="R2646" i="7" s="1"/>
  <c r="E2646" i="7" s="1"/>
  <c r="G2646" i="7" s="1"/>
  <c r="P2657" i="7"/>
  <c r="R2657" i="7" s="1"/>
  <c r="E2657" i="7" s="1"/>
  <c r="P2665" i="7"/>
  <c r="R2665" i="7" s="1"/>
  <c r="E2665" i="7" s="1"/>
  <c r="B2665" i="7" s="1"/>
  <c r="P2671" i="7"/>
  <c r="R2671" i="7" s="1"/>
  <c r="E2671" i="7" s="1"/>
  <c r="F2671" i="7" s="1"/>
  <c r="P2681" i="7"/>
  <c r="R2681" i="7" s="1"/>
  <c r="E2681" i="7" s="1"/>
  <c r="F2681" i="7" s="1"/>
  <c r="P2691" i="7"/>
  <c r="R2691" i="7" s="1"/>
  <c r="E2691" i="7" s="1"/>
  <c r="B2691" i="7" s="1"/>
  <c r="P2706" i="7"/>
  <c r="R2706" i="7" s="1"/>
  <c r="E2706" i="7" s="1"/>
  <c r="B2706" i="7" s="1"/>
  <c r="E2713" i="7"/>
  <c r="B2713" i="7" s="1"/>
  <c r="P2719" i="7"/>
  <c r="R2719" i="7" s="1"/>
  <c r="E2719" i="7" s="1"/>
  <c r="F2719" i="7" s="1"/>
  <c r="P2740" i="7"/>
  <c r="R2740" i="7" s="1"/>
  <c r="E2740" i="7" s="1"/>
  <c r="F2740" i="7" s="1"/>
  <c r="P2790" i="7"/>
  <c r="R2790" i="7" s="1"/>
  <c r="E2790" i="7" s="1"/>
  <c r="F2790" i="7" s="1"/>
  <c r="E2815" i="7"/>
  <c r="B2815" i="7" s="1"/>
  <c r="P2820" i="7"/>
  <c r="R2820" i="7" s="1"/>
  <c r="E2820" i="7" s="1"/>
  <c r="F2820" i="7" s="1"/>
  <c r="E2831" i="7"/>
  <c r="B2831" i="7" s="1"/>
  <c r="P2838" i="7"/>
  <c r="R2838" i="7" s="1"/>
  <c r="E2838" i="7" s="1"/>
  <c r="G2838" i="7" s="1"/>
  <c r="P2844" i="7"/>
  <c r="R2844" i="7" s="1"/>
  <c r="E2844" i="7" s="1"/>
  <c r="F2844" i="7" s="1"/>
  <c r="P2865" i="7"/>
  <c r="R2865" i="7" s="1"/>
  <c r="E2865" i="7" s="1"/>
  <c r="F2865" i="7" s="1"/>
  <c r="P2873" i="7"/>
  <c r="R2873" i="7" s="1"/>
  <c r="E2873" i="7" s="1"/>
  <c r="F2873" i="7" s="1"/>
  <c r="P2879" i="7"/>
  <c r="R2879" i="7" s="1"/>
  <c r="E2879" i="7" s="1"/>
  <c r="G2879" i="7" s="1"/>
  <c r="P144" i="7"/>
  <c r="R144" i="7" s="1"/>
  <c r="E144" i="7" s="1"/>
  <c r="F144" i="7" s="1"/>
  <c r="P386" i="7"/>
  <c r="R386" i="7" s="1"/>
  <c r="E386" i="7" s="1"/>
  <c r="F386" i="7" s="1"/>
  <c r="P513" i="7"/>
  <c r="R513" i="7" s="1"/>
  <c r="E513" i="7" s="1"/>
  <c r="F513" i="7" s="1"/>
  <c r="P880" i="7"/>
  <c r="R880" i="7" s="1"/>
  <c r="E880" i="7" s="1"/>
  <c r="F880" i="7" s="1"/>
  <c r="E1303" i="7"/>
  <c r="F1303" i="7" s="1"/>
  <c r="P1433" i="7"/>
  <c r="R1433" i="7" s="1"/>
  <c r="E1433" i="7" s="1"/>
  <c r="F1433" i="7" s="1"/>
  <c r="P1594" i="7"/>
  <c r="R1594" i="7" s="1"/>
  <c r="E1594" i="7" s="1"/>
  <c r="F1594" i="7" s="1"/>
  <c r="P9" i="7"/>
  <c r="R9" i="7" s="1"/>
  <c r="E9" i="7" s="1"/>
  <c r="F9" i="7" s="1"/>
  <c r="P16" i="7"/>
  <c r="R16" i="7" s="1"/>
  <c r="E16" i="7" s="1"/>
  <c r="F16" i="7" s="1"/>
  <c r="P32" i="7"/>
  <c r="R32" i="7" s="1"/>
  <c r="E32" i="7" s="1"/>
  <c r="B32" i="7" s="1"/>
  <c r="P39" i="7"/>
  <c r="R39" i="7" s="1"/>
  <c r="E39" i="7" s="1"/>
  <c r="F39" i="7" s="1"/>
  <c r="E55" i="7"/>
  <c r="B55" i="7" s="1"/>
  <c r="E64" i="7"/>
  <c r="F64" i="7" s="1"/>
  <c r="E70" i="7"/>
  <c r="B70" i="7" s="1"/>
  <c r="E76" i="7"/>
  <c r="B76" i="7" s="1"/>
  <c r="P129" i="7"/>
  <c r="R129" i="7" s="1"/>
  <c r="E129" i="7" s="1"/>
  <c r="B129" i="7" s="1"/>
  <c r="P141" i="7"/>
  <c r="R141" i="7" s="1"/>
  <c r="E141" i="7" s="1"/>
  <c r="F141" i="7" s="1"/>
  <c r="P137" i="7"/>
  <c r="R137" i="7" s="1"/>
  <c r="E137" i="7" s="1"/>
  <c r="F137" i="7" s="1"/>
  <c r="P152" i="7"/>
  <c r="R152" i="7" s="1"/>
  <c r="E152" i="7" s="1"/>
  <c r="F152" i="7" s="1"/>
  <c r="P158" i="7"/>
  <c r="R158" i="7" s="1"/>
  <c r="E158" i="7" s="1"/>
  <c r="B158" i="7" s="1"/>
  <c r="P168" i="7"/>
  <c r="R168" i="7" s="1"/>
  <c r="E168" i="7" s="1"/>
  <c r="F168" i="7" s="1"/>
  <c r="P175" i="7"/>
  <c r="R175" i="7" s="1"/>
  <c r="E175" i="7" s="1"/>
  <c r="F175" i="7" s="1"/>
  <c r="P179" i="7"/>
  <c r="R179" i="7" s="1"/>
  <c r="E179" i="7" s="1"/>
  <c r="B179" i="7" s="1"/>
  <c r="E193" i="7"/>
  <c r="B193" i="7" s="1"/>
  <c r="P212" i="7"/>
  <c r="R212" i="7" s="1"/>
  <c r="E212" i="7" s="1"/>
  <c r="P227" i="7"/>
  <c r="R227" i="7" s="1"/>
  <c r="E227" i="7" s="1"/>
  <c r="F227" i="7" s="1"/>
  <c r="P233" i="7"/>
  <c r="R233" i="7" s="1"/>
  <c r="E233" i="7" s="1"/>
  <c r="F233" i="7" s="1"/>
  <c r="P242" i="7"/>
  <c r="R242" i="7" s="1"/>
  <c r="E242" i="7" s="1"/>
  <c r="F242" i="7" s="1"/>
  <c r="P247" i="7"/>
  <c r="R247" i="7" s="1"/>
  <c r="E247" i="7" s="1"/>
  <c r="B247" i="7" s="1"/>
  <c r="P254" i="7"/>
  <c r="R254" i="7" s="1"/>
  <c r="E254" i="7" s="1"/>
  <c r="F254" i="7" s="1"/>
  <c r="P280" i="7"/>
  <c r="R280" i="7" s="1"/>
  <c r="E280" i="7" s="1"/>
  <c r="P289" i="7"/>
  <c r="R289" i="7" s="1"/>
  <c r="E289" i="7" s="1"/>
  <c r="F289" i="7" s="1"/>
  <c r="P303" i="7"/>
  <c r="R303" i="7" s="1"/>
  <c r="E303" i="7" s="1"/>
  <c r="F303" i="7" s="1"/>
  <c r="P316" i="7"/>
  <c r="R316" i="7" s="1"/>
  <c r="E316" i="7" s="1"/>
  <c r="F316" i="7" s="1"/>
  <c r="P336" i="7"/>
  <c r="R336" i="7" s="1"/>
  <c r="E336" i="7" s="1"/>
  <c r="F336" i="7" s="1"/>
  <c r="P351" i="7"/>
  <c r="R351" i="7" s="1"/>
  <c r="E351" i="7" s="1"/>
  <c r="F351" i="7" s="1"/>
  <c r="P374" i="7"/>
  <c r="R374" i="7" s="1"/>
  <c r="E374" i="7" s="1"/>
  <c r="F374" i="7" s="1"/>
  <c r="P403" i="7"/>
  <c r="R403" i="7" s="1"/>
  <c r="E403" i="7" s="1"/>
  <c r="F403" i="7" s="1"/>
  <c r="P412" i="7"/>
  <c r="R412" i="7" s="1"/>
  <c r="E412" i="7" s="1"/>
  <c r="F412" i="7" s="1"/>
  <c r="P419" i="7"/>
  <c r="R419" i="7" s="1"/>
  <c r="E419" i="7" s="1"/>
  <c r="F419" i="7" s="1"/>
  <c r="P427" i="7"/>
  <c r="R427" i="7" s="1"/>
  <c r="E427" i="7" s="1"/>
  <c r="F427" i="7" s="1"/>
  <c r="P475" i="7"/>
  <c r="R475" i="7" s="1"/>
  <c r="E475" i="7" s="1"/>
  <c r="F475" i="7" s="1"/>
  <c r="E483" i="7"/>
  <c r="F483" i="7" s="1"/>
  <c r="P489" i="7"/>
  <c r="R489" i="7" s="1"/>
  <c r="E489" i="7" s="1"/>
  <c r="F489" i="7" s="1"/>
  <c r="E495" i="7"/>
  <c r="F495" i="7" s="1"/>
  <c r="E502" i="7"/>
  <c r="F502" i="7" s="1"/>
  <c r="P510" i="7"/>
  <c r="R510" i="7" s="1"/>
  <c r="E510" i="7" s="1"/>
  <c r="F510" i="7" s="1"/>
  <c r="P533" i="7"/>
  <c r="R533" i="7" s="1"/>
  <c r="E533" i="7" s="1"/>
  <c r="F533" i="7" s="1"/>
  <c r="P540" i="7"/>
  <c r="R540" i="7" s="1"/>
  <c r="E540" i="7" s="1"/>
  <c r="F540" i="7" s="1"/>
  <c r="P580" i="7"/>
  <c r="R580" i="7" s="1"/>
  <c r="E580" i="7" s="1"/>
  <c r="F580" i="7" s="1"/>
  <c r="P590" i="7"/>
  <c r="R590" i="7" s="1"/>
  <c r="E590" i="7" s="1"/>
  <c r="F590" i="7" s="1"/>
  <c r="P615" i="7"/>
  <c r="R615" i="7" s="1"/>
  <c r="E615" i="7" s="1"/>
  <c r="F615" i="7" s="1"/>
  <c r="P670" i="7"/>
  <c r="R670" i="7" s="1"/>
  <c r="E670" i="7" s="1"/>
  <c r="F670" i="7" s="1"/>
  <c r="P681" i="7"/>
  <c r="R681" i="7" s="1"/>
  <c r="E681" i="7" s="1"/>
  <c r="F681" i="7" s="1"/>
  <c r="P687" i="7"/>
  <c r="R687" i="7" s="1"/>
  <c r="E687" i="7" s="1"/>
  <c r="F687" i="7" s="1"/>
  <c r="P793" i="7"/>
  <c r="R793" i="7" s="1"/>
  <c r="E793" i="7" s="1"/>
  <c r="F793" i="7" s="1"/>
  <c r="P802" i="7"/>
  <c r="R802" i="7" s="1"/>
  <c r="E802" i="7" s="1"/>
  <c r="F802" i="7" s="1"/>
  <c r="P860" i="7"/>
  <c r="R860" i="7" s="1"/>
  <c r="E860" i="7" s="1"/>
  <c r="F860" i="7" s="1"/>
  <c r="P866" i="7"/>
  <c r="R866" i="7" s="1"/>
  <c r="E866" i="7" s="1"/>
  <c r="F866" i="7" s="1"/>
  <c r="P884" i="7"/>
  <c r="R884" i="7" s="1"/>
  <c r="E884" i="7" s="1"/>
  <c r="F884" i="7" s="1"/>
  <c r="P868" i="7"/>
  <c r="R868" i="7" s="1"/>
  <c r="E868" i="7" s="1"/>
  <c r="F868" i="7" s="1"/>
  <c r="P873" i="7"/>
  <c r="R873" i="7" s="1"/>
  <c r="E873" i="7" s="1"/>
  <c r="F873" i="7" s="1"/>
  <c r="E914" i="7"/>
  <c r="F914" i="7" s="1"/>
  <c r="E919" i="7"/>
  <c r="F919" i="7" s="1"/>
  <c r="P928" i="7"/>
  <c r="R928" i="7" s="1"/>
  <c r="E928" i="7" s="1"/>
  <c r="F928" i="7" s="1"/>
  <c r="P934" i="7"/>
  <c r="R934" i="7" s="1"/>
  <c r="E934" i="7" s="1"/>
  <c r="F934" i="7" s="1"/>
  <c r="P944" i="7"/>
  <c r="R944" i="7" s="1"/>
  <c r="E944" i="7" s="1"/>
  <c r="G944" i="7" s="1"/>
  <c r="P956" i="7"/>
  <c r="R956" i="7" s="1"/>
  <c r="E956" i="7" s="1"/>
  <c r="F956" i="7" s="1"/>
  <c r="P1028" i="7"/>
  <c r="R1028" i="7" s="1"/>
  <c r="E1028" i="7" s="1"/>
  <c r="F1028" i="7" s="1"/>
  <c r="P1085" i="7"/>
  <c r="R1085" i="7" s="1"/>
  <c r="E1085" i="7" s="1"/>
  <c r="F1085" i="7" s="1"/>
  <c r="P1091" i="7"/>
  <c r="R1091" i="7" s="1"/>
  <c r="E1091" i="7" s="1"/>
  <c r="F1091" i="7" s="1"/>
  <c r="P1099" i="7"/>
  <c r="R1099" i="7" s="1"/>
  <c r="E1099" i="7" s="1"/>
  <c r="F1099" i="7" s="1"/>
  <c r="P1106" i="7"/>
  <c r="R1106" i="7" s="1"/>
  <c r="E1106" i="7" s="1"/>
  <c r="F1106" i="7" s="1"/>
  <c r="P1705" i="7"/>
  <c r="R1705" i="7" s="1"/>
  <c r="E1705" i="7" s="1"/>
  <c r="F1705" i="7" s="1"/>
  <c r="P1119" i="7"/>
  <c r="R1119" i="7" s="1"/>
  <c r="E1119" i="7" s="1"/>
  <c r="B1119" i="7" s="1"/>
  <c r="E1141" i="7"/>
  <c r="B1141" i="7" s="1"/>
  <c r="P1147" i="7"/>
  <c r="R1147" i="7" s="1"/>
  <c r="E1147" i="7" s="1"/>
  <c r="F1147" i="7" s="1"/>
  <c r="P1179" i="7"/>
  <c r="R1179" i="7" s="1"/>
  <c r="E1179" i="7" s="1"/>
  <c r="F1179" i="7" s="1"/>
  <c r="P1214" i="7"/>
  <c r="R1214" i="7" s="1"/>
  <c r="E1214" i="7" s="1"/>
  <c r="F1214" i="7" s="1"/>
  <c r="P1238" i="7"/>
  <c r="R1238" i="7" s="1"/>
  <c r="E1238" i="7" s="1"/>
  <c r="F1238" i="7" s="1"/>
  <c r="E1285" i="7"/>
  <c r="F1285" i="7" s="1"/>
  <c r="E1291" i="7"/>
  <c r="F1291" i="7" s="1"/>
  <c r="E1299" i="7"/>
  <c r="F1299" i="7" s="1"/>
  <c r="E1309" i="7"/>
  <c r="F1309" i="7" s="1"/>
  <c r="P1314" i="7"/>
  <c r="R1314" i="7" s="1"/>
  <c r="E1314" i="7" s="1"/>
  <c r="F1314" i="7" s="1"/>
  <c r="P1322" i="7"/>
  <c r="R1322" i="7" s="1"/>
  <c r="E1322" i="7" s="1"/>
  <c r="F1322" i="7" s="1"/>
  <c r="P1330" i="7"/>
  <c r="R1330" i="7" s="1"/>
  <c r="E1330" i="7" s="1"/>
  <c r="F1330" i="7" s="1"/>
  <c r="P1349" i="7"/>
  <c r="R1349" i="7" s="1"/>
  <c r="E1349" i="7" s="1"/>
  <c r="P1354" i="7"/>
  <c r="R1354" i="7" s="1"/>
  <c r="E1354" i="7" s="1"/>
  <c r="B1354" i="7" s="1"/>
  <c r="P1403" i="7"/>
  <c r="R1403" i="7" s="1"/>
  <c r="E1403" i="7" s="1"/>
  <c r="F1403" i="7" s="1"/>
  <c r="P1418" i="7"/>
  <c r="R1418" i="7" s="1"/>
  <c r="E1418" i="7" s="1"/>
  <c r="F1418" i="7" s="1"/>
  <c r="P1436" i="7"/>
  <c r="R1436" i="7" s="1"/>
  <c r="E1436" i="7" s="1"/>
  <c r="F1436" i="7" s="1"/>
  <c r="P1468" i="7"/>
  <c r="R1468" i="7" s="1"/>
  <c r="E1468" i="7" s="1"/>
  <c r="F1468" i="7" s="1"/>
  <c r="P1500" i="7"/>
  <c r="R1500" i="7" s="1"/>
  <c r="E1500" i="7" s="1"/>
  <c r="F1500" i="7" s="1"/>
  <c r="P1529" i="7"/>
  <c r="R1529" i="7" s="1"/>
  <c r="E1529" i="7" s="1"/>
  <c r="F1529" i="7" s="1"/>
  <c r="P1535" i="7"/>
  <c r="R1535" i="7" s="1"/>
  <c r="E1535" i="7" s="1"/>
  <c r="F1535" i="7" s="1"/>
  <c r="P1538" i="7"/>
  <c r="R1538" i="7" s="1"/>
  <c r="E1538" i="7" s="1"/>
  <c r="F1538" i="7" s="1"/>
  <c r="P1559" i="7"/>
  <c r="R1559" i="7" s="1"/>
  <c r="E1559" i="7" s="1"/>
  <c r="F1559" i="7" s="1"/>
  <c r="P1566" i="7"/>
  <c r="R1566" i="7" s="1"/>
  <c r="E1566" i="7" s="1"/>
  <c r="F1566" i="7" s="1"/>
  <c r="P1573" i="7"/>
  <c r="R1573" i="7" s="1"/>
  <c r="E1573" i="7" s="1"/>
  <c r="F1573" i="7" s="1"/>
  <c r="P1583" i="7"/>
  <c r="R1583" i="7" s="1"/>
  <c r="E1583" i="7" s="1"/>
  <c r="F1583" i="7" s="1"/>
  <c r="P1589" i="7"/>
  <c r="R1589" i="7" s="1"/>
  <c r="E1589" i="7" s="1"/>
  <c r="F1589" i="7" s="1"/>
  <c r="P1597" i="7"/>
  <c r="R1597" i="7" s="1"/>
  <c r="E1597" i="7" s="1"/>
  <c r="F1597" i="7" s="1"/>
  <c r="P1608" i="7"/>
  <c r="R1608" i="7" s="1"/>
  <c r="E1608" i="7" s="1"/>
  <c r="F1608" i="7" s="1"/>
  <c r="P1616" i="7"/>
  <c r="R1616" i="7" s="1"/>
  <c r="E1616" i="7" s="1"/>
  <c r="F1616" i="7" s="1"/>
  <c r="P1648" i="7"/>
  <c r="R1648" i="7" s="1"/>
  <c r="E1648" i="7" s="1"/>
  <c r="B1648" i="7" s="1"/>
  <c r="P1707" i="7"/>
  <c r="R1707" i="7" s="1"/>
  <c r="E1707" i="7" s="1"/>
  <c r="G1707" i="7" s="1"/>
  <c r="P1714" i="7"/>
  <c r="R1714" i="7" s="1"/>
  <c r="E1714" i="7" s="1"/>
  <c r="F1714" i="7" s="1"/>
  <c r="P1726" i="7"/>
  <c r="R1726" i="7" s="1"/>
  <c r="E1726" i="7" s="1"/>
  <c r="F1726" i="7" s="1"/>
  <c r="P1730" i="7"/>
  <c r="R1730" i="7" s="1"/>
  <c r="E1730" i="7" s="1"/>
  <c r="F1730" i="7" s="1"/>
  <c r="P1755" i="7"/>
  <c r="R1755" i="7" s="1"/>
  <c r="E1755" i="7" s="1"/>
  <c r="F1755" i="7" s="1"/>
  <c r="E1838" i="7"/>
  <c r="B1838" i="7" s="1"/>
  <c r="P1849" i="7"/>
  <c r="R1849" i="7" s="1"/>
  <c r="E1849" i="7" s="1"/>
  <c r="E1969" i="7"/>
  <c r="B1969" i="7" s="1"/>
  <c r="E1974" i="7"/>
  <c r="B1974" i="7" s="1"/>
  <c r="E1987" i="7"/>
  <c r="B1987" i="7" s="1"/>
  <c r="E1994" i="7"/>
  <c r="G1994" i="7" s="1"/>
  <c r="P1956" i="7"/>
  <c r="R1956" i="7" s="1"/>
  <c r="E1956" i="7" s="1"/>
  <c r="G1956" i="7" s="1"/>
  <c r="P2040" i="7"/>
  <c r="R2040" i="7" s="1"/>
  <c r="E2040" i="7" s="1"/>
  <c r="F2040" i="7" s="1"/>
  <c r="P2049" i="7"/>
  <c r="R2049" i="7" s="1"/>
  <c r="E2049" i="7" s="1"/>
  <c r="F2049" i="7" s="1"/>
  <c r="P2058" i="7"/>
  <c r="R2058" i="7" s="1"/>
  <c r="E2058" i="7" s="1"/>
  <c r="F2058" i="7" s="1"/>
  <c r="P2065" i="7"/>
  <c r="R2065" i="7" s="1"/>
  <c r="E2065" i="7" s="1"/>
  <c r="F2065" i="7" s="1"/>
  <c r="P2074" i="7"/>
  <c r="R2074" i="7" s="1"/>
  <c r="E2074" i="7" s="1"/>
  <c r="F2074" i="7" s="1"/>
  <c r="P2077" i="7"/>
  <c r="R2077" i="7" s="1"/>
  <c r="E2077" i="7" s="1"/>
  <c r="F2077" i="7" s="1"/>
  <c r="P2085" i="7"/>
  <c r="R2085" i="7" s="1"/>
  <c r="E2085" i="7" s="1"/>
  <c r="F2085" i="7" s="1"/>
  <c r="P2105" i="7"/>
  <c r="R2105" i="7" s="1"/>
  <c r="E2105" i="7" s="1"/>
  <c r="F2105" i="7" s="1"/>
  <c r="P2115" i="7"/>
  <c r="R2115" i="7" s="1"/>
  <c r="E2115" i="7" s="1"/>
  <c r="F2115" i="7" s="1"/>
  <c r="P2124" i="7"/>
  <c r="R2124" i="7" s="1"/>
  <c r="E2124" i="7" s="1"/>
  <c r="F2124" i="7" s="1"/>
  <c r="P2110" i="7"/>
  <c r="R2110" i="7" s="1"/>
  <c r="E2110" i="7" s="1"/>
  <c r="F2110" i="7" s="1"/>
  <c r="P2159" i="7"/>
  <c r="R2159" i="7" s="1"/>
  <c r="E2159" i="7" s="1"/>
  <c r="F2159" i="7" s="1"/>
  <c r="P2186" i="7"/>
  <c r="R2186" i="7" s="1"/>
  <c r="E2186" i="7" s="1"/>
  <c r="F2186" i="7" s="1"/>
  <c r="P2192" i="7"/>
  <c r="R2192" i="7" s="1"/>
  <c r="E2192" i="7" s="1"/>
  <c r="F2192" i="7" s="1"/>
  <c r="R2202" i="7"/>
  <c r="E2202" i="7" s="1"/>
  <c r="F2202" i="7" s="1"/>
  <c r="P2211" i="7"/>
  <c r="R2211" i="7" s="1"/>
  <c r="E2211" i="7" s="1"/>
  <c r="F2211" i="7" s="1"/>
  <c r="P2215" i="7"/>
  <c r="R2215" i="7" s="1"/>
  <c r="E2215" i="7" s="1"/>
  <c r="F2215" i="7" s="1"/>
  <c r="P2225" i="7"/>
  <c r="R2225" i="7" s="1"/>
  <c r="E2225" i="7" s="1"/>
  <c r="F2225" i="7" s="1"/>
  <c r="P2232" i="7"/>
  <c r="R2232" i="7" s="1"/>
  <c r="E2232" i="7" s="1"/>
  <c r="F2232" i="7" s="1"/>
  <c r="P2244" i="7"/>
  <c r="R2244" i="7" s="1"/>
  <c r="E2244" i="7" s="1"/>
  <c r="F2244" i="7" s="1"/>
  <c r="P2251" i="7"/>
  <c r="R2251" i="7" s="1"/>
  <c r="E2251" i="7" s="1"/>
  <c r="F2251" i="7" s="1"/>
  <c r="P2308" i="7"/>
  <c r="R2308" i="7" s="1"/>
  <c r="E2308" i="7" s="1"/>
  <c r="F2308" i="7" s="1"/>
  <c r="P2312" i="7"/>
  <c r="R2312" i="7" s="1"/>
  <c r="E2312" i="7" s="1"/>
  <c r="F2312" i="7" s="1"/>
  <c r="P2352" i="7"/>
  <c r="R2352" i="7" s="1"/>
  <c r="E2352" i="7" s="1"/>
  <c r="F2352" i="7" s="1"/>
  <c r="P2358" i="7"/>
  <c r="R2358" i="7" s="1"/>
  <c r="E2358" i="7" s="1"/>
  <c r="F2358" i="7" s="1"/>
  <c r="P2366" i="7"/>
  <c r="R2366" i="7" s="1"/>
  <c r="E2366" i="7" s="1"/>
  <c r="B2366" i="7" s="1"/>
  <c r="P2417" i="7"/>
  <c r="R2417" i="7" s="1"/>
  <c r="E2417" i="7" s="1"/>
  <c r="B2417" i="7" s="1"/>
  <c r="P2424" i="7"/>
  <c r="R2424" i="7" s="1"/>
  <c r="E2424" i="7" s="1"/>
  <c r="F2424" i="7" s="1"/>
  <c r="P2432" i="7"/>
  <c r="R2432" i="7" s="1"/>
  <c r="E2432" i="7" s="1"/>
  <c r="F2432" i="7" s="1"/>
  <c r="P2440" i="7"/>
  <c r="R2440" i="7" s="1"/>
  <c r="E2440" i="7" s="1"/>
  <c r="F2440" i="7" s="1"/>
  <c r="E2456" i="7"/>
  <c r="F2456" i="7" s="1"/>
  <c r="P2502" i="7"/>
  <c r="R2502" i="7" s="1"/>
  <c r="E2502" i="7" s="1"/>
  <c r="B2502" i="7" s="1"/>
  <c r="P2508" i="7"/>
  <c r="R2508" i="7" s="1"/>
  <c r="E2508" i="7" s="1"/>
  <c r="P2515" i="7"/>
  <c r="R2515" i="7" s="1"/>
  <c r="E2515" i="7" s="1"/>
  <c r="F2515" i="7" s="1"/>
  <c r="P2520" i="7"/>
  <c r="R2520" i="7" s="1"/>
  <c r="E2520" i="7" s="1"/>
  <c r="F2520" i="7" s="1"/>
  <c r="P2529" i="7"/>
  <c r="R2529" i="7" s="1"/>
  <c r="E2529" i="7" s="1"/>
  <c r="F2529" i="7" s="1"/>
  <c r="P2532" i="7"/>
  <c r="R2532" i="7" s="1"/>
  <c r="E2532" i="7" s="1"/>
  <c r="F2532" i="7" s="1"/>
  <c r="E2600" i="7"/>
  <c r="B2600" i="7" s="1"/>
  <c r="P2630" i="7"/>
  <c r="R2630" i="7" s="1"/>
  <c r="E2630" i="7" s="1"/>
  <c r="G2630" i="7" s="1"/>
  <c r="E2697" i="7"/>
  <c r="F2697" i="7" s="1"/>
  <c r="P2755" i="7"/>
  <c r="R2755" i="7" s="1"/>
  <c r="E2755" i="7" s="1"/>
  <c r="F2755" i="7" s="1"/>
  <c r="P2761" i="7"/>
  <c r="R2761" i="7" s="1"/>
  <c r="E2761" i="7" s="1"/>
  <c r="F2761" i="7" s="1"/>
  <c r="P2771" i="7"/>
  <c r="R2771" i="7" s="1"/>
  <c r="E2771" i="7" s="1"/>
  <c r="F2771" i="7" s="1"/>
  <c r="P2777" i="7"/>
  <c r="R2777" i="7" s="1"/>
  <c r="E2777" i="7" s="1"/>
  <c r="F2777" i="7" s="1"/>
  <c r="P2785" i="7"/>
  <c r="R2785" i="7" s="1"/>
  <c r="E2785" i="7" s="1"/>
  <c r="F2785" i="7" s="1"/>
  <c r="P2796" i="7"/>
  <c r="R2796" i="7" s="1"/>
  <c r="E2796" i="7" s="1"/>
  <c r="F2796" i="7" s="1"/>
  <c r="P2826" i="7"/>
  <c r="R2826" i="7" s="1"/>
  <c r="E2826" i="7" s="1"/>
  <c r="F2826" i="7" s="1"/>
  <c r="P2809" i="7"/>
  <c r="R2809" i="7" s="1"/>
  <c r="E2809" i="7" s="1"/>
  <c r="P2821" i="7"/>
  <c r="R2821" i="7" s="1"/>
  <c r="E2821" i="7" s="1"/>
  <c r="F2821" i="7" s="1"/>
  <c r="P2827" i="7"/>
  <c r="R2827" i="7" s="1"/>
  <c r="E2827" i="7" s="1"/>
  <c r="F2827" i="7" s="1"/>
  <c r="P2860" i="7"/>
  <c r="R2860" i="7" s="1"/>
  <c r="E2860" i="7" s="1"/>
  <c r="F2860" i="7" s="1"/>
  <c r="P225" i="7"/>
  <c r="R225" i="7" s="1"/>
  <c r="E225" i="7" s="1"/>
  <c r="F225" i="7" s="1"/>
  <c r="P292" i="7"/>
  <c r="R292" i="7" s="1"/>
  <c r="E292" i="7" s="1"/>
  <c r="P423" i="7"/>
  <c r="R423" i="7" s="1"/>
  <c r="E423" i="7" s="1"/>
  <c r="F423" i="7" s="1"/>
  <c r="P807" i="7"/>
  <c r="R807" i="7" s="1"/>
  <c r="E807" i="7" s="1"/>
  <c r="F807" i="7" s="1"/>
  <c r="P861" i="7"/>
  <c r="R861" i="7" s="1"/>
  <c r="E861" i="7" s="1"/>
  <c r="F861" i="7" s="1"/>
  <c r="P943" i="7"/>
  <c r="R943" i="7" s="1"/>
  <c r="E943" i="7" s="1"/>
  <c r="B943" i="7" s="1"/>
  <c r="P1088" i="7"/>
  <c r="R1088" i="7" s="1"/>
  <c r="E1088" i="7" s="1"/>
  <c r="F1088" i="7" s="1"/>
  <c r="P1338" i="7"/>
  <c r="R1338" i="7" s="1"/>
  <c r="E1338" i="7" s="1"/>
  <c r="G1338" i="7" s="1"/>
  <c r="P1462" i="7"/>
  <c r="R1462" i="7" s="1"/>
  <c r="E1462" i="7" s="1"/>
  <c r="F1462" i="7" s="1"/>
  <c r="P1586" i="7"/>
  <c r="R1586" i="7" s="1"/>
  <c r="E1586" i="7" s="1"/>
  <c r="F1586" i="7" s="1"/>
  <c r="P1721" i="7"/>
  <c r="R1721" i="7" s="1"/>
  <c r="E1721" i="7" s="1"/>
  <c r="F1721" i="7" s="1"/>
  <c r="P1859" i="7"/>
  <c r="R1859" i="7" s="1"/>
  <c r="E1859" i="7" s="1"/>
  <c r="F1859" i="7" s="1"/>
  <c r="E1990" i="7"/>
  <c r="B1990" i="7" s="1"/>
  <c r="P2170" i="7"/>
  <c r="R2170" i="7" s="1"/>
  <c r="E2170" i="7" s="1"/>
  <c r="F2170" i="7" s="1"/>
  <c r="P2355" i="7"/>
  <c r="R2355" i="7" s="1"/>
  <c r="E2355" i="7" s="1"/>
  <c r="F2355" i="7" s="1"/>
  <c r="P22" i="7"/>
  <c r="R22" i="7" s="1"/>
  <c r="E22" i="7" s="1"/>
  <c r="B22" i="7" s="1"/>
  <c r="P52" i="7"/>
  <c r="R52" i="7" s="1"/>
  <c r="E52" i="7" s="1"/>
  <c r="F52" i="7" s="1"/>
  <c r="E100" i="7"/>
  <c r="B100" i="7" s="1"/>
  <c r="P110" i="7"/>
  <c r="R110" i="7" s="1"/>
  <c r="E110" i="7" s="1"/>
  <c r="P116" i="7"/>
  <c r="R116" i="7" s="1"/>
  <c r="E116" i="7" s="1"/>
  <c r="B116" i="7" s="1"/>
  <c r="P122" i="7"/>
  <c r="R122" i="7" s="1"/>
  <c r="E122" i="7" s="1"/>
  <c r="P235" i="7"/>
  <c r="R235" i="7" s="1"/>
  <c r="E235" i="7" s="1"/>
  <c r="F235" i="7" s="1"/>
  <c r="P259" i="7"/>
  <c r="R259" i="7" s="1"/>
  <c r="E259" i="7" s="1"/>
  <c r="F259" i="7" s="1"/>
  <c r="P261" i="7"/>
  <c r="R261" i="7" s="1"/>
  <c r="E261" i="7" s="1"/>
  <c r="F261" i="7" s="1"/>
  <c r="P272" i="7"/>
  <c r="R272" i="7" s="1"/>
  <c r="E272" i="7" s="1"/>
  <c r="F272" i="7" s="1"/>
  <c r="P327" i="7"/>
  <c r="R327" i="7" s="1"/>
  <c r="E327" i="7" s="1"/>
  <c r="F327" i="7" s="1"/>
  <c r="P344" i="7"/>
  <c r="R344" i="7" s="1"/>
  <c r="E344" i="7" s="1"/>
  <c r="F344" i="7" s="1"/>
  <c r="P367" i="7"/>
  <c r="R367" i="7" s="1"/>
  <c r="E367" i="7" s="1"/>
  <c r="P383" i="7"/>
  <c r="R383" i="7" s="1"/>
  <c r="E383" i="7" s="1"/>
  <c r="F383" i="7" s="1"/>
  <c r="P397" i="7"/>
  <c r="R397" i="7" s="1"/>
  <c r="E397" i="7" s="1"/>
  <c r="F397" i="7" s="1"/>
  <c r="P448" i="7"/>
  <c r="R448" i="7" s="1"/>
  <c r="E448" i="7" s="1"/>
  <c r="F448" i="7" s="1"/>
  <c r="P467" i="7"/>
  <c r="R467" i="7" s="1"/>
  <c r="E467" i="7" s="1"/>
  <c r="F467" i="7" s="1"/>
  <c r="P516" i="7"/>
  <c r="R516" i="7" s="1"/>
  <c r="E516" i="7" s="1"/>
  <c r="P526" i="7"/>
  <c r="R526" i="7" s="1"/>
  <c r="E526" i="7" s="1"/>
  <c r="B526" i="7" s="1"/>
  <c r="P528" i="7"/>
  <c r="R528" i="7" s="1"/>
  <c r="E528" i="7" s="1"/>
  <c r="F528" i="7" s="1"/>
  <c r="P534" i="7"/>
  <c r="R534" i="7" s="1"/>
  <c r="E534" i="7" s="1"/>
  <c r="F534" i="7" s="1"/>
  <c r="P547" i="7"/>
  <c r="R547" i="7" s="1"/>
  <c r="E547" i="7" s="1"/>
  <c r="F547" i="7" s="1"/>
  <c r="P553" i="7"/>
  <c r="R553" i="7" s="1"/>
  <c r="E553" i="7" s="1"/>
  <c r="F553" i="7" s="1"/>
  <c r="P556" i="7"/>
  <c r="R556" i="7" s="1"/>
  <c r="E556" i="7" s="1"/>
  <c r="F556" i="7" s="1"/>
  <c r="P571" i="7"/>
  <c r="R571" i="7" s="1"/>
  <c r="E571" i="7" s="1"/>
  <c r="F571" i="7" s="1"/>
  <c r="P607" i="7"/>
  <c r="R607" i="7" s="1"/>
  <c r="E607" i="7" s="1"/>
  <c r="F607" i="7" s="1"/>
  <c r="P639" i="7"/>
  <c r="R639" i="7" s="1"/>
  <c r="E639" i="7" s="1"/>
  <c r="F639" i="7" s="1"/>
  <c r="P643" i="7"/>
  <c r="R643" i="7" s="1"/>
  <c r="E643" i="7" s="1"/>
  <c r="F643" i="7" s="1"/>
  <c r="P676" i="7"/>
  <c r="R676" i="7" s="1"/>
  <c r="E676" i="7" s="1"/>
  <c r="G676" i="7" s="1"/>
  <c r="P695" i="7"/>
  <c r="R695" i="7" s="1"/>
  <c r="E695" i="7" s="1"/>
  <c r="F695" i="7" s="1"/>
  <c r="P703" i="7"/>
  <c r="R703" i="7" s="1"/>
  <c r="E703" i="7" s="1"/>
  <c r="F703" i="7" s="1"/>
  <c r="P708" i="7"/>
  <c r="R708" i="7" s="1"/>
  <c r="E708" i="7" s="1"/>
  <c r="F708" i="7" s="1"/>
  <c r="P714" i="7"/>
  <c r="R714" i="7" s="1"/>
  <c r="E714" i="7" s="1"/>
  <c r="F714" i="7" s="1"/>
  <c r="P723" i="7"/>
  <c r="R723" i="7" s="1"/>
  <c r="E723" i="7" s="1"/>
  <c r="F723" i="7" s="1"/>
  <c r="P729" i="7"/>
  <c r="R729" i="7" s="1"/>
  <c r="E729" i="7" s="1"/>
  <c r="F729" i="7" s="1"/>
  <c r="P735" i="7"/>
  <c r="R735" i="7" s="1"/>
  <c r="E735" i="7" s="1"/>
  <c r="F735" i="7" s="1"/>
  <c r="P739" i="7"/>
  <c r="R739" i="7" s="1"/>
  <c r="E739" i="7" s="1"/>
  <c r="G739" i="7" s="1"/>
  <c r="P744" i="7"/>
  <c r="R744" i="7" s="1"/>
  <c r="E744" i="7" s="1"/>
  <c r="B744" i="7" s="1"/>
  <c r="P755" i="7"/>
  <c r="R755" i="7" s="1"/>
  <c r="E755" i="7" s="1"/>
  <c r="B755" i="7" s="1"/>
  <c r="P762" i="7"/>
  <c r="R762" i="7" s="1"/>
  <c r="E762" i="7" s="1"/>
  <c r="B762" i="7" s="1"/>
  <c r="P780" i="7"/>
  <c r="R780" i="7" s="1"/>
  <c r="E780" i="7" s="1"/>
  <c r="F780" i="7" s="1"/>
  <c r="P789" i="7"/>
  <c r="R789" i="7" s="1"/>
  <c r="E789" i="7" s="1"/>
  <c r="F789" i="7" s="1"/>
  <c r="P811" i="7"/>
  <c r="R811" i="7" s="1"/>
  <c r="E811" i="7" s="1"/>
  <c r="F811" i="7" s="1"/>
  <c r="P821" i="7"/>
  <c r="R821" i="7" s="1"/>
  <c r="E821" i="7" s="1"/>
  <c r="F821" i="7" s="1"/>
  <c r="P820" i="7"/>
  <c r="R820" i="7" s="1"/>
  <c r="E820" i="7" s="1"/>
  <c r="F820" i="7" s="1"/>
  <c r="P831" i="7"/>
  <c r="R831" i="7" s="1"/>
  <c r="E831" i="7" s="1"/>
  <c r="B831" i="7" s="1"/>
  <c r="P836" i="7"/>
  <c r="R836" i="7" s="1"/>
  <c r="E836" i="7" s="1"/>
  <c r="F836" i="7" s="1"/>
  <c r="P845" i="7"/>
  <c r="R845" i="7" s="1"/>
  <c r="E845" i="7" s="1"/>
  <c r="F845" i="7" s="1"/>
  <c r="P971" i="7"/>
  <c r="R971" i="7" s="1"/>
  <c r="E971" i="7" s="1"/>
  <c r="F971" i="7" s="1"/>
  <c r="P979" i="7"/>
  <c r="R979" i="7" s="1"/>
  <c r="E979" i="7" s="1"/>
  <c r="G979" i="7" s="1"/>
  <c r="P986" i="7"/>
  <c r="R986" i="7" s="1"/>
  <c r="E986" i="7" s="1"/>
  <c r="F986" i="7" s="1"/>
  <c r="P993" i="7"/>
  <c r="R993" i="7" s="1"/>
  <c r="E993" i="7" s="1"/>
  <c r="F993" i="7" s="1"/>
  <c r="P998" i="7"/>
  <c r="R998" i="7" s="1"/>
  <c r="E998" i="7" s="1"/>
  <c r="B998" i="7" s="1"/>
  <c r="P1006" i="7"/>
  <c r="R1006" i="7" s="1"/>
  <c r="E1006" i="7" s="1"/>
  <c r="F1006" i="7" s="1"/>
  <c r="P1009" i="7"/>
  <c r="R1009" i="7" s="1"/>
  <c r="E1009" i="7" s="1"/>
  <c r="F1009" i="7" s="1"/>
  <c r="P1019" i="7"/>
  <c r="R1019" i="7" s="1"/>
  <c r="E1019" i="7" s="1"/>
  <c r="P1048" i="7"/>
  <c r="R1048" i="7" s="1"/>
  <c r="E1048" i="7" s="1"/>
  <c r="F1048" i="7" s="1"/>
  <c r="P1055" i="7"/>
  <c r="R1055" i="7" s="1"/>
  <c r="E1055" i="7" s="1"/>
  <c r="F1055" i="7" s="1"/>
  <c r="P1061" i="7"/>
  <c r="R1061" i="7" s="1"/>
  <c r="E1061" i="7" s="1"/>
  <c r="F1061" i="7" s="1"/>
  <c r="P1072" i="7"/>
  <c r="R1072" i="7" s="1"/>
  <c r="E1072" i="7" s="1"/>
  <c r="F1072" i="7" s="1"/>
  <c r="P1070" i="7"/>
  <c r="R1070" i="7" s="1"/>
  <c r="E1070" i="7" s="1"/>
  <c r="F1070" i="7" s="1"/>
  <c r="P1079" i="7"/>
  <c r="R1079" i="7" s="1"/>
  <c r="E1079" i="7" s="1"/>
  <c r="F1079" i="7" s="1"/>
  <c r="P1126" i="7"/>
  <c r="R1126" i="7" s="1"/>
  <c r="E1126" i="7" s="1"/>
  <c r="F1126" i="7" s="1"/>
  <c r="P1134" i="7"/>
  <c r="R1134" i="7" s="1"/>
  <c r="E1134" i="7" s="1"/>
  <c r="F1134" i="7" s="1"/>
  <c r="P1166" i="7"/>
  <c r="R1166" i="7" s="1"/>
  <c r="E1166" i="7" s="1"/>
  <c r="G1166" i="7" s="1"/>
  <c r="P1172" i="7"/>
  <c r="R1172" i="7" s="1"/>
  <c r="E1172" i="7" s="1"/>
  <c r="B1172" i="7" s="1"/>
  <c r="P1180" i="7"/>
  <c r="R1180" i="7" s="1"/>
  <c r="E1180" i="7" s="1"/>
  <c r="F1180" i="7" s="1"/>
  <c r="P1184" i="7"/>
  <c r="R1184" i="7" s="1"/>
  <c r="E1184" i="7" s="1"/>
  <c r="F1184" i="7" s="1"/>
  <c r="P1196" i="7"/>
  <c r="R1196" i="7" s="1"/>
  <c r="E1196" i="7" s="1"/>
  <c r="F1196" i="7" s="1"/>
  <c r="P1203" i="7"/>
  <c r="R1203" i="7" s="1"/>
  <c r="E1203" i="7" s="1"/>
  <c r="F1203" i="7" s="1"/>
  <c r="P1219" i="7"/>
  <c r="R1219" i="7" s="1"/>
  <c r="E1219" i="7" s="1"/>
  <c r="F1219" i="7" s="1"/>
  <c r="P1226" i="7"/>
  <c r="R1226" i="7" s="1"/>
  <c r="E1226" i="7" s="1"/>
  <c r="B1226" i="7" s="1"/>
  <c r="P1232" i="7"/>
  <c r="R1232" i="7" s="1"/>
  <c r="E1232" i="7" s="1"/>
  <c r="G1232" i="7" s="1"/>
  <c r="P1245" i="7"/>
  <c r="R1245" i="7" s="1"/>
  <c r="E1245" i="7" s="1"/>
  <c r="F1245" i="7" s="1"/>
  <c r="P1255" i="7"/>
  <c r="R1255" i="7" s="1"/>
  <c r="E1255" i="7" s="1"/>
  <c r="F1255" i="7" s="1"/>
  <c r="P1263" i="7"/>
  <c r="R1263" i="7" s="1"/>
  <c r="E1263" i="7" s="1"/>
  <c r="B1263" i="7" s="1"/>
  <c r="P1262" i="7"/>
  <c r="R1262" i="7" s="1"/>
  <c r="E1262" i="7" s="1"/>
  <c r="B1262" i="7" s="1"/>
  <c r="E1276" i="7"/>
  <c r="F1276" i="7" s="1"/>
  <c r="E1300" i="7"/>
  <c r="F1300" i="7" s="1"/>
  <c r="P1372" i="7"/>
  <c r="R1372" i="7" s="1"/>
  <c r="E1372" i="7" s="1"/>
  <c r="F1372" i="7" s="1"/>
  <c r="P1394" i="7"/>
  <c r="R1394" i="7" s="1"/>
  <c r="E1394" i="7" s="1"/>
  <c r="F1394" i="7" s="1"/>
  <c r="P1459" i="7"/>
  <c r="R1459" i="7" s="1"/>
  <c r="E1459" i="7" s="1"/>
  <c r="B1459" i="7" s="1"/>
  <c r="P1485" i="7"/>
  <c r="R1485" i="7" s="1"/>
  <c r="E1485" i="7" s="1"/>
  <c r="F1485" i="7" s="1"/>
  <c r="P1491" i="7"/>
  <c r="R1491" i="7" s="1"/>
  <c r="E1491" i="7" s="1"/>
  <c r="F1491" i="7" s="1"/>
  <c r="P1511" i="7"/>
  <c r="R1511" i="7" s="1"/>
  <c r="E1511" i="7" s="1"/>
  <c r="F1511" i="7" s="1"/>
  <c r="P1635" i="7"/>
  <c r="R1635" i="7" s="1"/>
  <c r="E1635" i="7" s="1"/>
  <c r="G1635" i="7" s="1"/>
  <c r="P1641" i="7"/>
  <c r="R1641" i="7" s="1"/>
  <c r="E1641" i="7" s="1"/>
  <c r="B1641" i="7" s="1"/>
  <c r="E1678" i="7"/>
  <c r="B1678" i="7" s="1"/>
  <c r="P1686" i="7"/>
  <c r="R1686" i="7" s="1"/>
  <c r="E1686" i="7" s="1"/>
  <c r="B1686" i="7" s="1"/>
  <c r="P1658" i="7"/>
  <c r="R1658" i="7" s="1"/>
  <c r="E1658" i="7" s="1"/>
  <c r="F1658" i="7" s="1"/>
  <c r="P1665" i="7"/>
  <c r="R1665" i="7" s="1"/>
  <c r="E1665" i="7" s="1"/>
  <c r="F1665" i="7" s="1"/>
  <c r="P1738" i="7"/>
  <c r="R1738" i="7" s="1"/>
  <c r="E1738" i="7" s="1"/>
  <c r="F1738" i="7" s="1"/>
  <c r="P1743" i="7"/>
  <c r="R1743" i="7" s="1"/>
  <c r="E1743" i="7" s="1"/>
  <c r="F1743" i="7" s="1"/>
  <c r="P1829" i="7"/>
  <c r="R1829" i="7" s="1"/>
  <c r="E1829" i="7" s="1"/>
  <c r="F1829" i="7" s="1"/>
  <c r="P1772" i="7"/>
  <c r="R1772" i="7" s="1"/>
  <c r="E1772" i="7" s="1"/>
  <c r="F1772" i="7" s="1"/>
  <c r="P1778" i="7"/>
  <c r="R1778" i="7" s="1"/>
  <c r="E1778" i="7" s="1"/>
  <c r="F1778" i="7" s="1"/>
  <c r="P1799" i="7"/>
  <c r="R1799" i="7" s="1"/>
  <c r="E1799" i="7" s="1"/>
  <c r="F1799" i="7" s="1"/>
  <c r="P1792" i="7"/>
  <c r="R1792" i="7" s="1"/>
  <c r="E1792" i="7" s="1"/>
  <c r="F1792" i="7" s="1"/>
  <c r="P1785" i="7"/>
  <c r="R1785" i="7" s="1"/>
  <c r="E1785" i="7" s="1"/>
  <c r="F1785" i="7" s="1"/>
  <c r="E1808" i="7"/>
  <c r="F1808" i="7" s="1"/>
  <c r="E1803" i="7"/>
  <c r="F1803" i="7" s="1"/>
  <c r="E1831" i="7"/>
  <c r="F1831" i="7" s="1"/>
  <c r="P1864" i="7"/>
  <c r="R1864" i="7" s="1"/>
  <c r="E1864" i="7" s="1"/>
  <c r="F1864" i="7" s="1"/>
  <c r="P1872" i="7"/>
  <c r="R1872" i="7" s="1"/>
  <c r="E1872" i="7" s="1"/>
  <c r="F1872" i="7" s="1"/>
  <c r="P1879" i="7"/>
  <c r="R1879" i="7" s="1"/>
  <c r="E1879" i="7" s="1"/>
  <c r="F1879" i="7" s="1"/>
  <c r="P1894" i="7"/>
  <c r="R1894" i="7" s="1"/>
  <c r="E1894" i="7" s="1"/>
  <c r="F1894" i="7" s="1"/>
  <c r="P1902" i="7"/>
  <c r="R1902" i="7" s="1"/>
  <c r="E1902" i="7" s="1"/>
  <c r="G1902" i="7" s="1"/>
  <c r="P1908" i="7"/>
  <c r="R1908" i="7" s="1"/>
  <c r="E1908" i="7" s="1"/>
  <c r="F1908" i="7" s="1"/>
  <c r="P1915" i="7"/>
  <c r="R1915" i="7" s="1"/>
  <c r="E1915" i="7" s="1"/>
  <c r="G1915" i="7" s="1"/>
  <c r="P1918" i="7"/>
  <c r="R1918" i="7" s="1"/>
  <c r="E1918" i="7" s="1"/>
  <c r="F1918" i="7" s="1"/>
  <c r="P1928" i="7"/>
  <c r="R1928" i="7" s="1"/>
  <c r="E1928" i="7" s="1"/>
  <c r="F1928" i="7" s="1"/>
  <c r="P1940" i="7"/>
  <c r="R1940" i="7" s="1"/>
  <c r="E1940" i="7" s="1"/>
  <c r="F1940" i="7" s="1"/>
  <c r="P1959" i="7"/>
  <c r="R1959" i="7" s="1"/>
  <c r="E1959" i="7" s="1"/>
  <c r="G1959" i="7" s="1"/>
  <c r="P2009" i="7"/>
  <c r="R2009" i="7" s="1"/>
  <c r="E2009" i="7" s="1"/>
  <c r="E2022" i="7"/>
  <c r="F2022" i="7" s="1"/>
  <c r="P2032" i="7"/>
  <c r="R2032" i="7" s="1"/>
  <c r="E2032" i="7" s="1"/>
  <c r="B2032" i="7" s="1"/>
  <c r="P2086" i="7"/>
  <c r="R2086" i="7" s="1"/>
  <c r="E2086" i="7" s="1"/>
  <c r="F2086" i="7" s="1"/>
  <c r="P2098" i="7"/>
  <c r="R2098" i="7" s="1"/>
  <c r="E2098" i="7" s="1"/>
  <c r="G2098" i="7" s="1"/>
  <c r="P2139" i="7"/>
  <c r="R2139" i="7" s="1"/>
  <c r="E2139" i="7" s="1"/>
  <c r="F2139" i="7" s="1"/>
  <c r="P2146" i="7"/>
  <c r="R2146" i="7" s="1"/>
  <c r="E2146" i="7" s="1"/>
  <c r="F2146" i="7" s="1"/>
  <c r="P2173" i="7"/>
  <c r="R2173" i="7" s="1"/>
  <c r="E2173" i="7" s="1"/>
  <c r="B2173" i="7" s="1"/>
  <c r="P2196" i="7"/>
  <c r="R2196" i="7" s="1"/>
  <c r="E2196" i="7" s="1"/>
  <c r="F2196" i="7" s="1"/>
  <c r="P2239" i="7"/>
  <c r="R2239" i="7" s="1"/>
  <c r="E2239" i="7" s="1"/>
  <c r="F2239" i="7" s="1"/>
  <c r="P2258" i="7"/>
  <c r="R2258" i="7" s="1"/>
  <c r="E2258" i="7" s="1"/>
  <c r="F2258" i="7" s="1"/>
  <c r="P2263" i="7"/>
  <c r="R2263" i="7" s="1"/>
  <c r="E2263" i="7" s="1"/>
  <c r="F2263" i="7" s="1"/>
  <c r="P2271" i="7"/>
  <c r="R2271" i="7" s="1"/>
  <c r="E2271" i="7" s="1"/>
  <c r="F2271" i="7" s="1"/>
  <c r="P2279" i="7"/>
  <c r="R2279" i="7" s="1"/>
  <c r="E2279" i="7" s="1"/>
  <c r="F2279" i="7" s="1"/>
  <c r="P2294" i="7"/>
  <c r="R2294" i="7" s="1"/>
  <c r="E2294" i="7" s="1"/>
  <c r="F2294" i="7" s="1"/>
  <c r="P2284" i="7"/>
  <c r="R2284" i="7" s="1"/>
  <c r="E2284" i="7" s="1"/>
  <c r="F2284" i="7" s="1"/>
  <c r="P2301" i="7"/>
  <c r="R2301" i="7" s="1"/>
  <c r="E2301" i="7" s="1"/>
  <c r="F2301" i="7" s="1"/>
  <c r="P2336" i="7"/>
  <c r="R2336" i="7" s="1"/>
  <c r="E2336" i="7" s="1"/>
  <c r="P2413" i="7"/>
  <c r="R2413" i="7" s="1"/>
  <c r="E2413" i="7" s="1"/>
  <c r="F2413" i="7" s="1"/>
  <c r="P2400" i="7"/>
  <c r="R2400" i="7" s="1"/>
  <c r="E2400" i="7" s="1"/>
  <c r="F2400" i="7" s="1"/>
  <c r="P2370" i="7"/>
  <c r="R2370" i="7" s="1"/>
  <c r="E2370" i="7" s="1"/>
  <c r="F2370" i="7" s="1"/>
  <c r="P2384" i="7"/>
  <c r="R2384" i="7" s="1"/>
  <c r="E2384" i="7" s="1"/>
  <c r="F2384" i="7" s="1"/>
  <c r="P2393" i="7"/>
  <c r="R2393" i="7" s="1"/>
  <c r="E2393" i="7" s="1"/>
  <c r="F2393" i="7" s="1"/>
  <c r="P2399" i="7"/>
  <c r="R2399" i="7" s="1"/>
  <c r="E2399" i="7" s="1"/>
  <c r="F2399" i="7" s="1"/>
  <c r="P2410" i="7"/>
  <c r="R2410" i="7" s="1"/>
  <c r="E2410" i="7" s="1"/>
  <c r="F2410" i="7" s="1"/>
  <c r="P2448" i="7"/>
  <c r="R2448" i="7" s="1"/>
  <c r="E2448" i="7" s="1"/>
  <c r="F2448" i="7" s="1"/>
  <c r="E2479" i="7"/>
  <c r="F2479" i="7" s="1"/>
  <c r="E2470" i="7"/>
  <c r="F2470" i="7" s="1"/>
  <c r="E2472" i="7"/>
  <c r="F2472" i="7" s="1"/>
  <c r="P2478" i="7"/>
  <c r="R2478" i="7" s="1"/>
  <c r="E2478" i="7" s="1"/>
  <c r="F2478" i="7" s="1"/>
  <c r="P2490" i="7"/>
  <c r="R2490" i="7" s="1"/>
  <c r="E2490" i="7" s="1"/>
  <c r="F2490" i="7" s="1"/>
  <c r="P2496" i="7"/>
  <c r="R2496" i="7" s="1"/>
  <c r="E2496" i="7" s="1"/>
  <c r="F2496" i="7" s="1"/>
  <c r="P2542" i="7"/>
  <c r="R2542" i="7" s="1"/>
  <c r="E2542" i="7" s="1"/>
  <c r="F2542" i="7" s="1"/>
  <c r="P2548" i="7"/>
  <c r="R2548" i="7" s="1"/>
  <c r="E2548" i="7" s="1"/>
  <c r="F2548" i="7" s="1"/>
  <c r="P2555" i="7"/>
  <c r="R2555" i="7" s="1"/>
  <c r="E2555" i="7" s="1"/>
  <c r="F2555" i="7" s="1"/>
  <c r="P2562" i="7"/>
  <c r="R2562" i="7" s="1"/>
  <c r="E2562" i="7" s="1"/>
  <c r="F2562" i="7" s="1"/>
  <c r="P2578" i="7"/>
  <c r="R2578" i="7" s="1"/>
  <c r="E2578" i="7" s="1"/>
  <c r="F2578" i="7" s="1"/>
  <c r="P2586" i="7"/>
  <c r="R2586" i="7" s="1"/>
  <c r="E2586" i="7" s="1"/>
  <c r="F2586" i="7" s="1"/>
  <c r="P2613" i="7"/>
  <c r="R2613" i="7" s="1"/>
  <c r="E2613" i="7" s="1"/>
  <c r="E2623" i="7"/>
  <c r="B2623" i="7" s="1"/>
  <c r="P2636" i="7"/>
  <c r="R2636" i="7" s="1"/>
  <c r="E2636" i="7" s="1"/>
  <c r="F2636" i="7" s="1"/>
  <c r="P2642" i="7"/>
  <c r="R2642" i="7" s="1"/>
  <c r="E2642" i="7" s="1"/>
  <c r="F2642" i="7" s="1"/>
  <c r="P2647" i="7"/>
  <c r="R2647" i="7" s="1"/>
  <c r="E2647" i="7" s="1"/>
  <c r="G2647" i="7" s="1"/>
  <c r="P2660" i="7"/>
  <c r="R2660" i="7" s="1"/>
  <c r="E2660" i="7" s="1"/>
  <c r="F2660" i="7" s="1"/>
  <c r="P2666" i="7"/>
  <c r="R2666" i="7" s="1"/>
  <c r="E2666" i="7" s="1"/>
  <c r="F2666" i="7" s="1"/>
  <c r="P2678" i="7"/>
  <c r="R2678" i="7" s="1"/>
  <c r="E2678" i="7" s="1"/>
  <c r="F2678" i="7" s="1"/>
  <c r="P2690" i="7"/>
  <c r="R2690" i="7" s="1"/>
  <c r="E2690" i="7" s="1"/>
  <c r="F2690" i="7" s="1"/>
  <c r="P2707" i="7"/>
  <c r="R2707" i="7" s="1"/>
  <c r="E2707" i="7" s="1"/>
  <c r="B2707" i="7" s="1"/>
  <c r="P2714" i="7"/>
  <c r="R2714" i="7" s="1"/>
  <c r="E2714" i="7" s="1"/>
  <c r="F2714" i="7" s="1"/>
  <c r="P2720" i="7"/>
  <c r="R2720" i="7" s="1"/>
  <c r="E2720" i="7" s="1"/>
  <c r="F2720" i="7" s="1"/>
  <c r="P2741" i="7"/>
  <c r="R2741" i="7" s="1"/>
  <c r="E2741" i="7" s="1"/>
  <c r="F2741" i="7" s="1"/>
  <c r="P2744" i="7"/>
  <c r="R2744" i="7" s="1"/>
  <c r="E2744" i="7" s="1"/>
  <c r="F2744" i="7" s="1"/>
  <c r="P2786" i="7"/>
  <c r="R2786" i="7" s="1"/>
  <c r="E2786" i="7" s="1"/>
  <c r="F2786" i="7" s="1"/>
  <c r="P2805" i="7"/>
  <c r="R2805" i="7" s="1"/>
  <c r="E2805" i="7" s="1"/>
  <c r="B2805" i="7" s="1"/>
  <c r="P2810" i="7"/>
  <c r="R2810" i="7" s="1"/>
  <c r="E2810" i="7" s="1"/>
  <c r="P2832" i="7"/>
  <c r="R2832" i="7" s="1"/>
  <c r="E2832" i="7" s="1"/>
  <c r="P2837" i="7"/>
  <c r="R2837" i="7" s="1"/>
  <c r="E2837" i="7" s="1"/>
  <c r="G2837" i="7" s="1"/>
  <c r="P2845" i="7"/>
  <c r="R2845" i="7" s="1"/>
  <c r="E2845" i="7" s="1"/>
  <c r="F2845" i="7" s="1"/>
  <c r="P2867" i="7"/>
  <c r="R2867" i="7" s="1"/>
  <c r="E2867" i="7" s="1"/>
  <c r="F2867" i="7" s="1"/>
  <c r="P2874" i="7"/>
  <c r="R2874" i="7" s="1"/>
  <c r="E2874" i="7" s="1"/>
  <c r="F2874" i="7" s="1"/>
  <c r="P2884" i="7"/>
  <c r="R2884" i="7" s="1"/>
  <c r="E2884" i="7" s="1"/>
  <c r="B2884" i="7" s="1"/>
  <c r="P230" i="7"/>
  <c r="R230" i="7" s="1"/>
  <c r="E230" i="7" s="1"/>
  <c r="F230" i="7" s="1"/>
  <c r="P521" i="7"/>
  <c r="R521" i="7" s="1"/>
  <c r="E521" i="7" s="1"/>
  <c r="F521" i="7" s="1"/>
  <c r="P1032" i="7"/>
  <c r="R1032" i="7" s="1"/>
  <c r="E1032" i="7" s="1"/>
  <c r="F1032" i="7" s="1"/>
  <c r="P1116" i="7"/>
  <c r="R1116" i="7" s="1"/>
  <c r="E1116" i="7" s="1"/>
  <c r="B1116" i="7" s="1"/>
  <c r="E1289" i="7"/>
  <c r="F1289" i="7" s="1"/>
  <c r="E1362" i="7"/>
  <c r="B1362" i="7" s="1"/>
  <c r="P1547" i="7"/>
  <c r="R1547" i="7" s="1"/>
  <c r="E1547" i="7" s="1"/>
  <c r="F1547" i="7" s="1"/>
  <c r="P1852" i="7"/>
  <c r="R1852" i="7" s="1"/>
  <c r="E1852" i="7" s="1"/>
  <c r="B1852" i="7" s="1"/>
  <c r="P1920" i="7"/>
  <c r="R1920" i="7" s="1"/>
  <c r="E1920" i="7" s="1"/>
  <c r="P2130" i="7"/>
  <c r="R2130" i="7" s="1"/>
  <c r="E2130" i="7" s="1"/>
  <c r="F2130" i="7" s="1"/>
  <c r="E2165" i="7"/>
  <c r="B2165" i="7" s="1"/>
  <c r="P2183" i="7"/>
  <c r="R2183" i="7" s="1"/>
  <c r="E2183" i="7" s="1"/>
  <c r="F2183" i="7" s="1"/>
  <c r="P2208" i="7"/>
  <c r="R2208" i="7" s="1"/>
  <c r="E2208" i="7" s="1"/>
  <c r="F2208" i="7" s="1"/>
  <c r="P2230" i="7"/>
  <c r="R2230" i="7" s="1"/>
  <c r="E2230" i="7" s="1"/>
  <c r="F2230" i="7" s="1"/>
  <c r="P2242" i="7"/>
  <c r="R2242" i="7" s="1"/>
  <c r="E2242" i="7" s="1"/>
  <c r="F2242" i="7" s="1"/>
  <c r="P2311" i="7"/>
  <c r="R2311" i="7" s="1"/>
  <c r="E2311" i="7" s="1"/>
  <c r="F2311" i="7" s="1"/>
  <c r="P2348" i="7"/>
  <c r="R2348" i="7" s="1"/>
  <c r="E2348" i="7" s="1"/>
  <c r="F2348" i="7" s="1"/>
  <c r="P2435" i="7"/>
  <c r="R2435" i="7" s="1"/>
  <c r="E2435" i="7" s="1"/>
  <c r="F2435" i="7" s="1"/>
  <c r="P2450" i="7"/>
  <c r="R2450" i="7" s="1"/>
  <c r="E2450" i="7" s="1"/>
  <c r="B2450" i="7" s="1"/>
  <c r="P2497" i="7"/>
  <c r="R2497" i="7" s="1"/>
  <c r="E2497" i="7" s="1"/>
  <c r="F2497" i="7" s="1"/>
  <c r="P2511" i="7"/>
  <c r="R2511" i="7" s="1"/>
  <c r="E2511" i="7" s="1"/>
  <c r="B2511" i="7" s="1"/>
  <c r="P2517" i="7"/>
  <c r="R2517" i="7" s="1"/>
  <c r="E2517" i="7" s="1"/>
  <c r="F2517" i="7" s="1"/>
  <c r="P2525" i="7"/>
  <c r="R2525" i="7" s="1"/>
  <c r="E2525" i="7" s="1"/>
  <c r="F2525" i="7" s="1"/>
  <c r="E2597" i="7"/>
  <c r="B2597" i="7" s="1"/>
  <c r="E2626" i="7"/>
  <c r="B2626" i="7" s="1"/>
  <c r="P2759" i="7"/>
  <c r="R2759" i="7" s="1"/>
  <c r="E2759" i="7" s="1"/>
  <c r="F2759" i="7" s="1"/>
  <c r="P2774" i="7"/>
  <c r="R2774" i="7" s="1"/>
  <c r="E2774" i="7" s="1"/>
  <c r="F2774" i="7" s="1"/>
  <c r="P2812" i="7"/>
  <c r="R2812" i="7" s="1"/>
  <c r="E2812" i="7" s="1"/>
  <c r="F2812" i="7" s="1"/>
  <c r="P17" i="7"/>
  <c r="R17" i="7" s="1"/>
  <c r="E17" i="7" s="1"/>
  <c r="B17" i="7" s="1"/>
  <c r="P31" i="7"/>
  <c r="R31" i="7" s="1"/>
  <c r="E31" i="7" s="1"/>
  <c r="B31" i="7" s="1"/>
  <c r="P43" i="7"/>
  <c r="R43" i="7" s="1"/>
  <c r="E43" i="7" s="1"/>
  <c r="F43" i="7" s="1"/>
  <c r="E57" i="7"/>
  <c r="B57" i="7" s="1"/>
  <c r="E65" i="7"/>
  <c r="B65" i="7" s="1"/>
  <c r="E77" i="7"/>
  <c r="B77" i="7" s="1"/>
  <c r="P131" i="7"/>
  <c r="R131" i="7" s="1"/>
  <c r="E131" i="7" s="1"/>
  <c r="F131" i="7" s="1"/>
  <c r="P133" i="7"/>
  <c r="R133" i="7" s="1"/>
  <c r="E133" i="7" s="1"/>
  <c r="F133" i="7" s="1"/>
  <c r="P142" i="7"/>
  <c r="R142" i="7" s="1"/>
  <c r="E142" i="7" s="1"/>
  <c r="F142" i="7" s="1"/>
  <c r="P145" i="7"/>
  <c r="R145" i="7" s="1"/>
  <c r="E145" i="7" s="1"/>
  <c r="F145" i="7" s="1"/>
  <c r="P153" i="7"/>
  <c r="R153" i="7" s="1"/>
  <c r="E153" i="7" s="1"/>
  <c r="F153" i="7" s="1"/>
  <c r="P170" i="7"/>
  <c r="R170" i="7" s="1"/>
  <c r="E170" i="7" s="1"/>
  <c r="F170" i="7" s="1"/>
  <c r="P176" i="7"/>
  <c r="R176" i="7" s="1"/>
  <c r="E176" i="7" s="1"/>
  <c r="B176" i="7" s="1"/>
  <c r="P182" i="7"/>
  <c r="R182" i="7" s="1"/>
  <c r="E182" i="7" s="1"/>
  <c r="B182" i="7" s="1"/>
  <c r="E213" i="7"/>
  <c r="B213" i="7" s="1"/>
  <c r="P228" i="7"/>
  <c r="R228" i="7" s="1"/>
  <c r="E228" i="7" s="1"/>
  <c r="F228" i="7" s="1"/>
  <c r="P243" i="7"/>
  <c r="R243" i="7" s="1"/>
  <c r="E243" i="7" s="1"/>
  <c r="F243" i="7" s="1"/>
  <c r="P248" i="7"/>
  <c r="R248" i="7" s="1"/>
  <c r="E248" i="7" s="1"/>
  <c r="F248" i="7" s="1"/>
  <c r="P278" i="7"/>
  <c r="R278" i="7" s="1"/>
  <c r="E278" i="7" s="1"/>
  <c r="F278" i="7" s="1"/>
  <c r="P290" i="7"/>
  <c r="R290" i="7" s="1"/>
  <c r="E290" i="7" s="1"/>
  <c r="F290" i="7" s="1"/>
  <c r="P317" i="7"/>
  <c r="R317" i="7" s="1"/>
  <c r="E317" i="7" s="1"/>
  <c r="F317" i="7" s="1"/>
  <c r="P331" i="7"/>
  <c r="R331" i="7" s="1"/>
  <c r="E331" i="7" s="1"/>
  <c r="F331" i="7" s="1"/>
  <c r="P337" i="7"/>
  <c r="R337" i="7" s="1"/>
  <c r="E337" i="7" s="1"/>
  <c r="F337" i="7" s="1"/>
  <c r="P352" i="7"/>
  <c r="R352" i="7" s="1"/>
  <c r="E352" i="7" s="1"/>
  <c r="F352" i="7" s="1"/>
  <c r="P360" i="7"/>
  <c r="R360" i="7" s="1"/>
  <c r="E360" i="7" s="1"/>
  <c r="F360" i="7" s="1"/>
  <c r="P404" i="7"/>
  <c r="R404" i="7" s="1"/>
  <c r="E404" i="7" s="1"/>
  <c r="F404" i="7" s="1"/>
  <c r="P413" i="7"/>
  <c r="R413" i="7" s="1"/>
  <c r="E413" i="7" s="1"/>
  <c r="F413" i="7" s="1"/>
  <c r="P420" i="7"/>
  <c r="R420" i="7" s="1"/>
  <c r="E420" i="7" s="1"/>
  <c r="F420" i="7" s="1"/>
  <c r="P428" i="7"/>
  <c r="R428" i="7" s="1"/>
  <c r="E428" i="7" s="1"/>
  <c r="F428" i="7" s="1"/>
  <c r="P432" i="7"/>
  <c r="R432" i="7" s="1"/>
  <c r="E432" i="7" s="1"/>
  <c r="F432" i="7" s="1"/>
  <c r="P476" i="7"/>
  <c r="R476" i="7" s="1"/>
  <c r="E476" i="7" s="1"/>
  <c r="F476" i="7" s="1"/>
  <c r="E484" i="7"/>
  <c r="F484" i="7" s="1"/>
  <c r="E490" i="7"/>
  <c r="F490" i="7" s="1"/>
  <c r="P496" i="7"/>
  <c r="R496" i="7" s="1"/>
  <c r="E496" i="7" s="1"/>
  <c r="F496" i="7" s="1"/>
  <c r="P503" i="7"/>
  <c r="R503" i="7" s="1"/>
  <c r="E503" i="7" s="1"/>
  <c r="F503" i="7" s="1"/>
  <c r="P511" i="7"/>
  <c r="R511" i="7" s="1"/>
  <c r="E511" i="7" s="1"/>
  <c r="F511" i="7" s="1"/>
  <c r="P541" i="7"/>
  <c r="R541" i="7" s="1"/>
  <c r="E541" i="7" s="1"/>
  <c r="F541" i="7" s="1"/>
  <c r="P581" i="7"/>
  <c r="R581" i="7" s="1"/>
  <c r="E581" i="7" s="1"/>
  <c r="F581" i="7" s="1"/>
  <c r="P595" i="7"/>
  <c r="R595" i="7" s="1"/>
  <c r="E595" i="7" s="1"/>
  <c r="F595" i="7" s="1"/>
  <c r="P597" i="7"/>
  <c r="R597" i="7" s="1"/>
  <c r="E597" i="7" s="1"/>
  <c r="F597" i="7" s="1"/>
  <c r="P610" i="7"/>
  <c r="R610" i="7" s="1"/>
  <c r="E610" i="7" s="1"/>
  <c r="F610" i="7" s="1"/>
  <c r="P665" i="7"/>
  <c r="R665" i="7" s="1"/>
  <c r="E665" i="7" s="1"/>
  <c r="F665" i="7" s="1"/>
  <c r="P671" i="7"/>
  <c r="R671" i="7" s="1"/>
  <c r="E671" i="7" s="1"/>
  <c r="F671" i="7" s="1"/>
  <c r="P682" i="7"/>
  <c r="R682" i="7" s="1"/>
  <c r="E682" i="7" s="1"/>
  <c r="F682" i="7" s="1"/>
  <c r="E688" i="7"/>
  <c r="F688" i="7" s="1"/>
  <c r="P702" i="7"/>
  <c r="R702" i="7" s="1"/>
  <c r="E702" i="7" s="1"/>
  <c r="B702" i="7" s="1"/>
  <c r="E796" i="7"/>
  <c r="F796" i="7" s="1"/>
  <c r="P803" i="7"/>
  <c r="R803" i="7" s="1"/>
  <c r="E803" i="7" s="1"/>
  <c r="F803" i="7" s="1"/>
  <c r="P862" i="7"/>
  <c r="R862" i="7" s="1"/>
  <c r="E862" i="7" s="1"/>
  <c r="F862" i="7" s="1"/>
  <c r="P878" i="7"/>
  <c r="R878" i="7" s="1"/>
  <c r="E878" i="7" s="1"/>
  <c r="F878" i="7" s="1"/>
  <c r="P885" i="7"/>
  <c r="R885" i="7" s="1"/>
  <c r="E885" i="7" s="1"/>
  <c r="F885" i="7" s="1"/>
  <c r="P867" i="7"/>
  <c r="R867" i="7" s="1"/>
  <c r="E867" i="7" s="1"/>
  <c r="F867" i="7" s="1"/>
  <c r="P874" i="7"/>
  <c r="R874" i="7" s="1"/>
  <c r="E874" i="7" s="1"/>
  <c r="F874" i="7" s="1"/>
  <c r="E915" i="7"/>
  <c r="F915" i="7" s="1"/>
  <c r="P920" i="7"/>
  <c r="R920" i="7" s="1"/>
  <c r="E920" i="7" s="1"/>
  <c r="F920" i="7" s="1"/>
  <c r="P929" i="7"/>
  <c r="R929" i="7" s="1"/>
  <c r="E929" i="7" s="1"/>
  <c r="F929" i="7" s="1"/>
  <c r="P935" i="7"/>
  <c r="R935" i="7" s="1"/>
  <c r="E935" i="7" s="1"/>
  <c r="F935" i="7" s="1"/>
  <c r="P941" i="7"/>
  <c r="R941" i="7" s="1"/>
  <c r="E941" i="7" s="1"/>
  <c r="P952" i="7"/>
  <c r="R952" i="7" s="1"/>
  <c r="E952" i="7" s="1"/>
  <c r="F952" i="7" s="1"/>
  <c r="P957" i="7"/>
  <c r="R957" i="7" s="1"/>
  <c r="E957" i="7" s="1"/>
  <c r="F957" i="7" s="1"/>
  <c r="P969" i="7"/>
  <c r="R969" i="7" s="1"/>
  <c r="E969" i="7" s="1"/>
  <c r="F969" i="7" s="1"/>
  <c r="P1029" i="7"/>
  <c r="R1029" i="7" s="1"/>
  <c r="E1029" i="7" s="1"/>
  <c r="F1029" i="7" s="1"/>
  <c r="P1086" i="7"/>
  <c r="R1086" i="7" s="1"/>
  <c r="E1086" i="7" s="1"/>
  <c r="F1086" i="7" s="1"/>
  <c r="P1092" i="7"/>
  <c r="R1092" i="7" s="1"/>
  <c r="E1092" i="7" s="1"/>
  <c r="F1092" i="7" s="1"/>
  <c r="P1100" i="7"/>
  <c r="R1100" i="7" s="1"/>
  <c r="E1100" i="7" s="1"/>
  <c r="F1100" i="7" s="1"/>
  <c r="P1107" i="7"/>
  <c r="R1107" i="7" s="1"/>
  <c r="E1107" i="7" s="1"/>
  <c r="F1107" i="7" s="1"/>
  <c r="P1114" i="7"/>
  <c r="R1114" i="7" s="1"/>
  <c r="E1114" i="7" s="1"/>
  <c r="F1114" i="7" s="1"/>
  <c r="P1121" i="7"/>
  <c r="R1121" i="7" s="1"/>
  <c r="E1121" i="7" s="1"/>
  <c r="P1142" i="7"/>
  <c r="R1142" i="7" s="1"/>
  <c r="E1142" i="7" s="1"/>
  <c r="F1142" i="7" s="1"/>
  <c r="P1149" i="7"/>
  <c r="R1149" i="7" s="1"/>
  <c r="E1149" i="7" s="1"/>
  <c r="F1149" i="7" s="1"/>
  <c r="P1158" i="7"/>
  <c r="R1158" i="7" s="1"/>
  <c r="E1158" i="7" s="1"/>
  <c r="F1158" i="7" s="1"/>
  <c r="P1217" i="7"/>
  <c r="R1217" i="7" s="1"/>
  <c r="E1217" i="7" s="1"/>
  <c r="F1217" i="7" s="1"/>
  <c r="E1293" i="7"/>
  <c r="F1293" i="7" s="1"/>
  <c r="E1301" i="7"/>
  <c r="F1301" i="7" s="1"/>
  <c r="P1318" i="7"/>
  <c r="R1318" i="7" s="1"/>
  <c r="E1318" i="7" s="1"/>
  <c r="F1318" i="7" s="1"/>
  <c r="P1326" i="7"/>
  <c r="R1326" i="7" s="1"/>
  <c r="E1326" i="7" s="1"/>
  <c r="F1326" i="7" s="1"/>
  <c r="P1331" i="7"/>
  <c r="R1331" i="7" s="1"/>
  <c r="E1331" i="7" s="1"/>
  <c r="F1331" i="7" s="1"/>
  <c r="P1359" i="7"/>
  <c r="R1359" i="7" s="1"/>
  <c r="E1359" i="7" s="1"/>
  <c r="B1359" i="7" s="1"/>
  <c r="P1386" i="7"/>
  <c r="R1386" i="7" s="1"/>
  <c r="E1386" i="7" s="1"/>
  <c r="F1386" i="7" s="1"/>
  <c r="P1373" i="7"/>
  <c r="R1373" i="7" s="1"/>
  <c r="E1373" i="7" s="1"/>
  <c r="F1373" i="7" s="1"/>
  <c r="P1411" i="7"/>
  <c r="R1411" i="7" s="1"/>
  <c r="E1411" i="7" s="1"/>
  <c r="F1411" i="7" s="1"/>
  <c r="P1471" i="7"/>
  <c r="R1471" i="7" s="1"/>
  <c r="E1471" i="7" s="1"/>
  <c r="F1471" i="7" s="1"/>
  <c r="P1505" i="7"/>
  <c r="R1505" i="7" s="1"/>
  <c r="E1505" i="7" s="1"/>
  <c r="F1505" i="7" s="1"/>
  <c r="P1530" i="7"/>
  <c r="R1530" i="7" s="1"/>
  <c r="E1530" i="7" s="1"/>
  <c r="F1530" i="7" s="1"/>
  <c r="P1536" i="7"/>
  <c r="R1536" i="7" s="1"/>
  <c r="E1536" i="7" s="1"/>
  <c r="F1536" i="7" s="1"/>
  <c r="P1560" i="7"/>
  <c r="R1560" i="7" s="1"/>
  <c r="E1560" i="7" s="1"/>
  <c r="F1560" i="7" s="1"/>
  <c r="P1567" i="7"/>
  <c r="R1567" i="7" s="1"/>
  <c r="E1567" i="7" s="1"/>
  <c r="F1567" i="7" s="1"/>
  <c r="P1576" i="7"/>
  <c r="R1576" i="7" s="1"/>
  <c r="E1576" i="7" s="1"/>
  <c r="F1576" i="7" s="1"/>
  <c r="P1584" i="7"/>
  <c r="R1584" i="7" s="1"/>
  <c r="E1584" i="7" s="1"/>
  <c r="F1584" i="7" s="1"/>
  <c r="P1590" i="7"/>
  <c r="R1590" i="7" s="1"/>
  <c r="E1590" i="7" s="1"/>
  <c r="F1590" i="7" s="1"/>
  <c r="P1600" i="7"/>
  <c r="R1600" i="7" s="1"/>
  <c r="E1600" i="7" s="1"/>
  <c r="F1600" i="7" s="1"/>
  <c r="P1609" i="7"/>
  <c r="R1609" i="7" s="1"/>
  <c r="E1609" i="7" s="1"/>
  <c r="F1609" i="7" s="1"/>
  <c r="P1617" i="7"/>
  <c r="R1617" i="7" s="1"/>
  <c r="E1617" i="7" s="1"/>
  <c r="F1617" i="7" s="1"/>
  <c r="P1654" i="7"/>
  <c r="R1654" i="7" s="1"/>
  <c r="E1654" i="7" s="1"/>
  <c r="B1654" i="7" s="1"/>
  <c r="P1708" i="7"/>
  <c r="R1708" i="7" s="1"/>
  <c r="E1708" i="7" s="1"/>
  <c r="G1708" i="7" s="1"/>
  <c r="P1724" i="7"/>
  <c r="R1724" i="7" s="1"/>
  <c r="E1724" i="7" s="1"/>
  <c r="F1724" i="7" s="1"/>
  <c r="P1731" i="7"/>
  <c r="R1731" i="7" s="1"/>
  <c r="E1731" i="7" s="1"/>
  <c r="P1756" i="7"/>
  <c r="R1756" i="7" s="1"/>
  <c r="E1756" i="7" s="1"/>
  <c r="F1756" i="7" s="1"/>
  <c r="P1850" i="7"/>
  <c r="R1850" i="7" s="1"/>
  <c r="E1850" i="7" s="1"/>
  <c r="B1850" i="7" s="1"/>
  <c r="P1860" i="7"/>
  <c r="R1860" i="7" s="1"/>
  <c r="E1860" i="7" s="1"/>
  <c r="F1860" i="7" s="1"/>
  <c r="E1965" i="7"/>
  <c r="B1965" i="7" s="1"/>
  <c r="E1975" i="7"/>
  <c r="B1975" i="7" s="1"/>
  <c r="E1988" i="7"/>
  <c r="B1988" i="7" s="1"/>
  <c r="P1995" i="7"/>
  <c r="R1995" i="7" s="1"/>
  <c r="E1995" i="7" s="1"/>
  <c r="B1995" i="7" s="1"/>
  <c r="P1952" i="7"/>
  <c r="R1952" i="7" s="1"/>
  <c r="E1952" i="7" s="1"/>
  <c r="G1952" i="7" s="1"/>
  <c r="P2005" i="7"/>
  <c r="R2005" i="7" s="1"/>
  <c r="E2005" i="7" s="1"/>
  <c r="F2005" i="7" s="1"/>
  <c r="P2042" i="7"/>
  <c r="R2042" i="7" s="1"/>
  <c r="E2042" i="7" s="1"/>
  <c r="B2042" i="7" s="1"/>
  <c r="P2050" i="7"/>
  <c r="R2050" i="7" s="1"/>
  <c r="E2050" i="7" s="1"/>
  <c r="F2050" i="7" s="1"/>
  <c r="P2057" i="7"/>
  <c r="R2057" i="7" s="1"/>
  <c r="E2057" i="7" s="1"/>
  <c r="F2057" i="7" s="1"/>
  <c r="P2066" i="7"/>
  <c r="R2066" i="7" s="1"/>
  <c r="E2066" i="7" s="1"/>
  <c r="F2066" i="7" s="1"/>
  <c r="P2075" i="7"/>
  <c r="R2075" i="7" s="1"/>
  <c r="E2075" i="7" s="1"/>
  <c r="F2075" i="7" s="1"/>
  <c r="P2079" i="7"/>
  <c r="R2079" i="7" s="1"/>
  <c r="E2079" i="7" s="1"/>
  <c r="B2079" i="7" s="1"/>
  <c r="P2088" i="7"/>
  <c r="R2088" i="7" s="1"/>
  <c r="E2088" i="7" s="1"/>
  <c r="F2088" i="7" s="1"/>
  <c r="P2108" i="7"/>
  <c r="R2108" i="7" s="1"/>
  <c r="E2108" i="7" s="1"/>
  <c r="F2108" i="7" s="1"/>
  <c r="P2111" i="7"/>
  <c r="R2111" i="7" s="1"/>
  <c r="E2111" i="7" s="1"/>
  <c r="F2111" i="7" s="1"/>
  <c r="P2125" i="7"/>
  <c r="R2125" i="7" s="1"/>
  <c r="E2125" i="7" s="1"/>
  <c r="F2125" i="7" s="1"/>
  <c r="P2133" i="7"/>
  <c r="R2133" i="7" s="1"/>
  <c r="E2133" i="7" s="1"/>
  <c r="F2133" i="7" s="1"/>
  <c r="P2160" i="7"/>
  <c r="R2160" i="7" s="1"/>
  <c r="E2160" i="7" s="1"/>
  <c r="F2160" i="7" s="1"/>
  <c r="P2174" i="7"/>
  <c r="R2174" i="7" s="1"/>
  <c r="E2174" i="7" s="1"/>
  <c r="F2174" i="7" s="1"/>
  <c r="P2181" i="7"/>
  <c r="R2181" i="7" s="1"/>
  <c r="E2181" i="7" s="1"/>
  <c r="F2181" i="7" s="1"/>
  <c r="P2187" i="7"/>
  <c r="R2187" i="7" s="1"/>
  <c r="E2187" i="7" s="1"/>
  <c r="P2194" i="7"/>
  <c r="R2194" i="7" s="1"/>
  <c r="E2194" i="7" s="1"/>
  <c r="F2194" i="7" s="1"/>
  <c r="P2198" i="7"/>
  <c r="R2198" i="7" s="1"/>
  <c r="E2198" i="7" s="1"/>
  <c r="F2198" i="7" s="1"/>
  <c r="P2206" i="7"/>
  <c r="R2206" i="7" s="1"/>
  <c r="E2206" i="7" s="1"/>
  <c r="F2206" i="7" s="1"/>
  <c r="P2212" i="7"/>
  <c r="R2212" i="7" s="1"/>
  <c r="E2212" i="7" s="1"/>
  <c r="F2212" i="7" s="1"/>
  <c r="P2219" i="7"/>
  <c r="R2219" i="7" s="1"/>
  <c r="E2219" i="7" s="1"/>
  <c r="F2219" i="7" s="1"/>
  <c r="P2226" i="7"/>
  <c r="R2226" i="7" s="1"/>
  <c r="E2226" i="7" s="1"/>
  <c r="F2226" i="7" s="1"/>
  <c r="P2233" i="7"/>
  <c r="R2233" i="7" s="1"/>
  <c r="E2233" i="7" s="1"/>
  <c r="F2233" i="7" s="1"/>
  <c r="P2246" i="7"/>
  <c r="R2246" i="7" s="1"/>
  <c r="E2246" i="7" s="1"/>
  <c r="F2246" i="7" s="1"/>
  <c r="P2252" i="7"/>
  <c r="R2252" i="7" s="1"/>
  <c r="E2252" i="7" s="1"/>
  <c r="F2252" i="7" s="1"/>
  <c r="P2309" i="7"/>
  <c r="R2309" i="7" s="1"/>
  <c r="E2309" i="7" s="1"/>
  <c r="F2309" i="7" s="1"/>
  <c r="P2317" i="7"/>
  <c r="R2317" i="7" s="1"/>
  <c r="E2317" i="7" s="1"/>
  <c r="F2317" i="7" s="1"/>
  <c r="P2332" i="7"/>
  <c r="R2332" i="7" s="1"/>
  <c r="E2332" i="7" s="1"/>
  <c r="F2332" i="7" s="1"/>
  <c r="P2346" i="7"/>
  <c r="R2346" i="7" s="1"/>
  <c r="E2346" i="7" s="1"/>
  <c r="F2346" i="7" s="1"/>
  <c r="P2353" i="7"/>
  <c r="R2353" i="7" s="1"/>
  <c r="E2353" i="7" s="1"/>
  <c r="F2353" i="7" s="1"/>
  <c r="P2360" i="7"/>
  <c r="R2360" i="7" s="1"/>
  <c r="E2360" i="7" s="1"/>
  <c r="F2360" i="7" s="1"/>
  <c r="P2367" i="7"/>
  <c r="R2367" i="7" s="1"/>
  <c r="E2367" i="7" s="1"/>
  <c r="P2418" i="7"/>
  <c r="R2418" i="7" s="1"/>
  <c r="E2418" i="7" s="1"/>
  <c r="F2418" i="7" s="1"/>
  <c r="P2423" i="7"/>
  <c r="R2423" i="7" s="1"/>
  <c r="E2423" i="7" s="1"/>
  <c r="F2423" i="7" s="1"/>
  <c r="P2433" i="7"/>
  <c r="R2433" i="7" s="1"/>
  <c r="E2433" i="7" s="1"/>
  <c r="F2433" i="7" s="1"/>
  <c r="P2441" i="7"/>
  <c r="R2441" i="7" s="1"/>
  <c r="E2441" i="7" s="1"/>
  <c r="F2441" i="7" s="1"/>
  <c r="P2449" i="7"/>
  <c r="R2449" i="7" s="1"/>
  <c r="E2449" i="7" s="1"/>
  <c r="B2449" i="7" s="1"/>
  <c r="E2457" i="7"/>
  <c r="F2457" i="7" s="1"/>
  <c r="P2503" i="7"/>
  <c r="R2503" i="7" s="1"/>
  <c r="E2503" i="7" s="1"/>
  <c r="B2503" i="7" s="1"/>
  <c r="P2509" i="7"/>
  <c r="R2509" i="7" s="1"/>
  <c r="E2509" i="7" s="1"/>
  <c r="B2509" i="7" s="1"/>
  <c r="P2514" i="7"/>
  <c r="R2514" i="7" s="1"/>
  <c r="E2514" i="7" s="1"/>
  <c r="F2514" i="7" s="1"/>
  <c r="P2522" i="7"/>
  <c r="R2522" i="7" s="1"/>
  <c r="E2522" i="7" s="1"/>
  <c r="F2522" i="7" s="1"/>
  <c r="P2530" i="7"/>
  <c r="R2530" i="7" s="1"/>
  <c r="E2530" i="7" s="1"/>
  <c r="F2530" i="7" s="1"/>
  <c r="E2534" i="7"/>
  <c r="B2534" i="7" s="1"/>
  <c r="E2594" i="7"/>
  <c r="B2594" i="7" s="1"/>
  <c r="E2605" i="7"/>
  <c r="B2605" i="7" s="1"/>
  <c r="E2624" i="7"/>
  <c r="B2624" i="7" s="1"/>
  <c r="P2533" i="7"/>
  <c r="R2533" i="7" s="1"/>
  <c r="E2533" i="7" s="1"/>
  <c r="F2533" i="7" s="1"/>
  <c r="P2727" i="7"/>
  <c r="R2727" i="7" s="1"/>
  <c r="E2727" i="7" s="1"/>
  <c r="F2727" i="7" s="1"/>
  <c r="P2750" i="7"/>
  <c r="R2750" i="7" s="1"/>
  <c r="E2750" i="7" s="1"/>
  <c r="F2750" i="7" s="1"/>
  <c r="P2756" i="7"/>
  <c r="R2756" i="7" s="1"/>
  <c r="E2756" i="7" s="1"/>
  <c r="F2756" i="7" s="1"/>
  <c r="P2764" i="7"/>
  <c r="R2764" i="7" s="1"/>
  <c r="E2764" i="7" s="1"/>
  <c r="F2764" i="7" s="1"/>
  <c r="P2772" i="7"/>
  <c r="R2772" i="7" s="1"/>
  <c r="E2772" i="7" s="1"/>
  <c r="F2772" i="7" s="1"/>
  <c r="P2779" i="7"/>
  <c r="R2779" i="7" s="1"/>
  <c r="E2779" i="7" s="1"/>
  <c r="F2779" i="7" s="1"/>
  <c r="P2816" i="7"/>
  <c r="R2816" i="7" s="1"/>
  <c r="E2816" i="7" s="1"/>
  <c r="F2816" i="7" s="1"/>
  <c r="P2824" i="7"/>
  <c r="R2824" i="7" s="1"/>
  <c r="E2824" i="7" s="1"/>
  <c r="F2824" i="7" s="1"/>
  <c r="P2828" i="7"/>
  <c r="R2828" i="7" s="1"/>
  <c r="E2828" i="7" s="1"/>
  <c r="F2828" i="7" s="1"/>
  <c r="E73" i="7"/>
  <c r="B73" i="7" s="1"/>
  <c r="P281" i="7"/>
  <c r="R281" i="7" s="1"/>
  <c r="E281" i="7" s="1"/>
  <c r="F281" i="7" s="1"/>
  <c r="P333" i="7"/>
  <c r="R333" i="7" s="1"/>
  <c r="E333" i="7" s="1"/>
  <c r="F333" i="7" s="1"/>
  <c r="P409" i="7"/>
  <c r="R409" i="7" s="1"/>
  <c r="E409" i="7" s="1"/>
  <c r="F409" i="7" s="1"/>
  <c r="P669" i="7"/>
  <c r="R669" i="7" s="1"/>
  <c r="E669" i="7" s="1"/>
  <c r="F669" i="7" s="1"/>
  <c r="P947" i="7"/>
  <c r="R947" i="7" s="1"/>
  <c r="E947" i="7" s="1"/>
  <c r="F947" i="7" s="1"/>
  <c r="P1111" i="7"/>
  <c r="R1111" i="7" s="1"/>
  <c r="E1111" i="7" s="1"/>
  <c r="F1111" i="7" s="1"/>
  <c r="E1296" i="7"/>
  <c r="F1296" i="7" s="1"/>
  <c r="P1378" i="7"/>
  <c r="R1378" i="7" s="1"/>
  <c r="E1378" i="7" s="1"/>
  <c r="F1378" i="7" s="1"/>
  <c r="P2106" i="7"/>
  <c r="R2106" i="7" s="1"/>
  <c r="E2106" i="7" s="1"/>
  <c r="F2106" i="7" s="1"/>
  <c r="P2315" i="7"/>
  <c r="R2315" i="7" s="1"/>
  <c r="E2315" i="7" s="1"/>
  <c r="F2315" i="7" s="1"/>
  <c r="P24" i="7"/>
  <c r="R24" i="7" s="1"/>
  <c r="E24" i="7" s="1"/>
  <c r="B24" i="7" s="1"/>
  <c r="E97" i="7"/>
  <c r="B97" i="7" s="1"/>
  <c r="P112" i="7"/>
  <c r="R112" i="7" s="1"/>
  <c r="E112" i="7" s="1"/>
  <c r="B112" i="7" s="1"/>
  <c r="P117" i="7"/>
  <c r="R117" i="7" s="1"/>
  <c r="E117" i="7" s="1"/>
  <c r="B117" i="7" s="1"/>
  <c r="E123" i="7"/>
  <c r="B123" i="7" s="1"/>
  <c r="P160" i="7"/>
  <c r="R160" i="7" s="1"/>
  <c r="E188" i="7"/>
  <c r="B188" i="7" s="1"/>
  <c r="P236" i="7"/>
  <c r="R236" i="7" s="1"/>
  <c r="E236" i="7" s="1"/>
  <c r="F236" i="7" s="1"/>
  <c r="P267" i="7"/>
  <c r="R267" i="7" s="1"/>
  <c r="E267" i="7" s="1"/>
  <c r="F267" i="7" s="1"/>
  <c r="P273" i="7"/>
  <c r="R273" i="7" s="1"/>
  <c r="E273" i="7" s="1"/>
  <c r="F273" i="7" s="1"/>
  <c r="P328" i="7"/>
  <c r="R328" i="7" s="1"/>
  <c r="E328" i="7" s="1"/>
  <c r="F328" i="7" s="1"/>
  <c r="P338" i="7"/>
  <c r="R338" i="7" s="1"/>
  <c r="E338" i="7" s="1"/>
  <c r="F338" i="7" s="1"/>
  <c r="P361" i="7"/>
  <c r="R361" i="7" s="1"/>
  <c r="E361" i="7" s="1"/>
  <c r="F361" i="7" s="1"/>
  <c r="P368" i="7"/>
  <c r="R368" i="7" s="1"/>
  <c r="E368" i="7" s="1"/>
  <c r="F368" i="7" s="1"/>
  <c r="P393" i="7"/>
  <c r="R393" i="7" s="1"/>
  <c r="E393" i="7" s="1"/>
  <c r="F393" i="7" s="1"/>
  <c r="P438" i="7"/>
  <c r="R438" i="7" s="1"/>
  <c r="E438" i="7" s="1"/>
  <c r="F438" i="7" s="1"/>
  <c r="P450" i="7"/>
  <c r="R450" i="7" s="1"/>
  <c r="E450" i="7" s="1"/>
  <c r="F450" i="7" s="1"/>
  <c r="P460" i="7"/>
  <c r="R460" i="7" s="1"/>
  <c r="E460" i="7" s="1"/>
  <c r="F460" i="7" s="1"/>
  <c r="P469" i="7"/>
  <c r="R469" i="7" s="1"/>
  <c r="E469" i="7" s="1"/>
  <c r="F469" i="7" s="1"/>
  <c r="P527" i="7"/>
  <c r="R527" i="7" s="1"/>
  <c r="E527" i="7" s="1"/>
  <c r="B527" i="7" s="1"/>
  <c r="P529" i="7"/>
  <c r="R529" i="7" s="1"/>
  <c r="E529" i="7" s="1"/>
  <c r="F529" i="7" s="1"/>
  <c r="P535" i="7"/>
  <c r="R535" i="7" s="1"/>
  <c r="E535" i="7" s="1"/>
  <c r="F535" i="7" s="1"/>
  <c r="P549" i="7"/>
  <c r="R549" i="7" s="1"/>
  <c r="E549" i="7" s="1"/>
  <c r="F549" i="7" s="1"/>
  <c r="P554" i="7"/>
  <c r="R554" i="7" s="1"/>
  <c r="E554" i="7" s="1"/>
  <c r="F554" i="7" s="1"/>
  <c r="E565" i="7"/>
  <c r="F565" i="7" s="1"/>
  <c r="P572" i="7"/>
  <c r="R572" i="7" s="1"/>
  <c r="E572" i="7" s="1"/>
  <c r="F572" i="7" s="1"/>
  <c r="P587" i="7"/>
  <c r="R587" i="7" s="1"/>
  <c r="P640" i="7"/>
  <c r="R640" i="7" s="1"/>
  <c r="E640" i="7" s="1"/>
  <c r="F640" i="7" s="1"/>
  <c r="P644" i="7"/>
  <c r="R644" i="7" s="1"/>
  <c r="E644" i="7" s="1"/>
  <c r="F644" i="7" s="1"/>
  <c r="P651" i="7"/>
  <c r="R651" i="7" s="1"/>
  <c r="E651" i="7" s="1"/>
  <c r="F651" i="7" s="1"/>
  <c r="P658" i="7"/>
  <c r="R658" i="7" s="1"/>
  <c r="E658" i="7" s="1"/>
  <c r="P677" i="7"/>
  <c r="R677" i="7" s="1"/>
  <c r="E677" i="7" s="1"/>
  <c r="F677" i="7" s="1"/>
  <c r="P696" i="7"/>
  <c r="R696" i="7" s="1"/>
  <c r="E696" i="7" s="1"/>
  <c r="F696" i="7" s="1"/>
  <c r="P709" i="7"/>
  <c r="R709" i="7" s="1"/>
  <c r="E709" i="7" s="1"/>
  <c r="F709" i="7" s="1"/>
  <c r="P716" i="7"/>
  <c r="R716" i="7" s="1"/>
  <c r="E716" i="7" s="1"/>
  <c r="F716" i="7" s="1"/>
  <c r="P724" i="7"/>
  <c r="R724" i="7" s="1"/>
  <c r="E724" i="7" s="1"/>
  <c r="F724" i="7" s="1"/>
  <c r="P730" i="7"/>
  <c r="R730" i="7" s="1"/>
  <c r="E730" i="7" s="1"/>
  <c r="F730" i="7" s="1"/>
  <c r="P745" i="7"/>
  <c r="R745" i="7" s="1"/>
  <c r="E745" i="7" s="1"/>
  <c r="B745" i="7" s="1"/>
  <c r="P756" i="7"/>
  <c r="R756" i="7" s="1"/>
  <c r="E756" i="7" s="1"/>
  <c r="B756" i="7" s="1"/>
  <c r="P763" i="7"/>
  <c r="R763" i="7" s="1"/>
  <c r="E763" i="7" s="1"/>
  <c r="B763" i="7" s="1"/>
  <c r="P773" i="7"/>
  <c r="R773" i="7" s="1"/>
  <c r="E773" i="7" s="1"/>
  <c r="G773" i="7" s="1"/>
  <c r="E782" i="7"/>
  <c r="F782" i="7" s="1"/>
  <c r="P790" i="7"/>
  <c r="R790" i="7" s="1"/>
  <c r="E790" i="7" s="1"/>
  <c r="F790" i="7" s="1"/>
  <c r="P814" i="7"/>
  <c r="R814" i="7" s="1"/>
  <c r="E814" i="7" s="1"/>
  <c r="F814" i="7" s="1"/>
  <c r="P823" i="7"/>
  <c r="R823" i="7" s="1"/>
  <c r="E823" i="7" s="1"/>
  <c r="F823" i="7" s="1"/>
  <c r="P826" i="7"/>
  <c r="R826" i="7" s="1"/>
  <c r="E826" i="7" s="1"/>
  <c r="F826" i="7" s="1"/>
  <c r="P837" i="7"/>
  <c r="R837" i="7" s="1"/>
  <c r="E837" i="7" s="1"/>
  <c r="F837" i="7" s="1"/>
  <c r="P972" i="7"/>
  <c r="R972" i="7" s="1"/>
  <c r="E972" i="7" s="1"/>
  <c r="F972" i="7" s="1"/>
  <c r="P980" i="7"/>
  <c r="R980" i="7" s="1"/>
  <c r="E980" i="7" s="1"/>
  <c r="G980" i="7" s="1"/>
  <c r="P987" i="7"/>
  <c r="R987" i="7" s="1"/>
  <c r="E987" i="7" s="1"/>
  <c r="F987" i="7" s="1"/>
  <c r="P994" i="7"/>
  <c r="R994" i="7" s="1"/>
  <c r="E994" i="7" s="1"/>
  <c r="F994" i="7" s="1"/>
  <c r="P999" i="7"/>
  <c r="R999" i="7" s="1"/>
  <c r="E999" i="7" s="1"/>
  <c r="F999" i="7" s="1"/>
  <c r="P1007" i="7"/>
  <c r="R1007" i="7" s="1"/>
  <c r="E1007" i="7" s="1"/>
  <c r="F1007" i="7" s="1"/>
  <c r="P1020" i="7"/>
  <c r="R1020" i="7" s="1"/>
  <c r="E1020" i="7" s="1"/>
  <c r="P1049" i="7"/>
  <c r="R1049" i="7" s="1"/>
  <c r="E1049" i="7" s="1"/>
  <c r="F1049" i="7" s="1"/>
  <c r="P1056" i="7"/>
  <c r="R1056" i="7" s="1"/>
  <c r="E1056" i="7" s="1"/>
  <c r="F1056" i="7" s="1"/>
  <c r="P1062" i="7"/>
  <c r="R1062" i="7" s="1"/>
  <c r="E1062" i="7" s="1"/>
  <c r="F1062" i="7" s="1"/>
  <c r="P1066" i="7"/>
  <c r="R1066" i="7" s="1"/>
  <c r="E1066" i="7" s="1"/>
  <c r="F1066" i="7" s="1"/>
  <c r="P1071" i="7"/>
  <c r="R1071" i="7" s="1"/>
  <c r="E1071" i="7" s="1"/>
  <c r="B1071" i="7" s="1"/>
  <c r="P1080" i="7"/>
  <c r="R1080" i="7" s="1"/>
  <c r="E1080" i="7" s="1"/>
  <c r="F1080" i="7" s="1"/>
  <c r="P1127" i="7"/>
  <c r="R1127" i="7" s="1"/>
  <c r="E1127" i="7" s="1"/>
  <c r="F1127" i="7" s="1"/>
  <c r="P1135" i="7"/>
  <c r="R1135" i="7" s="1"/>
  <c r="E1135" i="7" s="1"/>
  <c r="F1135" i="7" s="1"/>
  <c r="P1160" i="7"/>
  <c r="R1160" i="7" s="1"/>
  <c r="E1160" i="7" s="1"/>
  <c r="P1167" i="7"/>
  <c r="R1167" i="7" s="1"/>
  <c r="E1167" i="7" s="1"/>
  <c r="G1167" i="7" s="1"/>
  <c r="P1174" i="7"/>
  <c r="R1174" i="7" s="1"/>
  <c r="E1174" i="7" s="1"/>
  <c r="B1174" i="7" s="1"/>
  <c r="P1181" i="7"/>
  <c r="R1181" i="7" s="1"/>
  <c r="E1181" i="7" s="1"/>
  <c r="F1181" i="7" s="1"/>
  <c r="P1192" i="7"/>
  <c r="R1192" i="7" s="1"/>
  <c r="E1192" i="7" s="1"/>
  <c r="F1192" i="7" s="1"/>
  <c r="P1197" i="7"/>
  <c r="R1197" i="7" s="1"/>
  <c r="E1197" i="7" s="1"/>
  <c r="F1197" i="7" s="1"/>
  <c r="P1204" i="7"/>
  <c r="R1204" i="7" s="1"/>
  <c r="E1204" i="7" s="1"/>
  <c r="F1204" i="7" s="1"/>
  <c r="P1221" i="7"/>
  <c r="R1221" i="7" s="1"/>
  <c r="E1221" i="7" s="1"/>
  <c r="F1221" i="7" s="1"/>
  <c r="P1227" i="7"/>
  <c r="R1227" i="7" s="1"/>
  <c r="E1227" i="7" s="1"/>
  <c r="G1227" i="7" s="1"/>
  <c r="P1233" i="7"/>
  <c r="R1233" i="7" s="1"/>
  <c r="E1233" i="7" s="1"/>
  <c r="G1233" i="7" s="1"/>
  <c r="P1240" i="7"/>
  <c r="R1240" i="7" s="1"/>
  <c r="E1240" i="7" s="1"/>
  <c r="F1240" i="7" s="1"/>
  <c r="P1246" i="7"/>
  <c r="R1246" i="7" s="1"/>
  <c r="E1246" i="7" s="1"/>
  <c r="F1246" i="7" s="1"/>
  <c r="P1256" i="7"/>
  <c r="R1256" i="7" s="1"/>
  <c r="E1256" i="7" s="1"/>
  <c r="P1269" i="7"/>
  <c r="R1269" i="7" s="1"/>
  <c r="E1269" i="7" s="1"/>
  <c r="G1269" i="7" s="1"/>
  <c r="E1277" i="7"/>
  <c r="F1277" i="7" s="1"/>
  <c r="E1287" i="7"/>
  <c r="F1287" i="7" s="1"/>
  <c r="P1337" i="7"/>
  <c r="R1337" i="7" s="1"/>
  <c r="E1337" i="7" s="1"/>
  <c r="G1337" i="7" s="1"/>
  <c r="P1451" i="7"/>
  <c r="R1451" i="7" s="1"/>
  <c r="E1451" i="7" s="1"/>
  <c r="F1451" i="7" s="1"/>
  <c r="E1460" i="7"/>
  <c r="B1460" i="7" s="1"/>
  <c r="P1486" i="7"/>
  <c r="R1486" i="7" s="1"/>
  <c r="E1486" i="7" s="1"/>
  <c r="F1486" i="7" s="1"/>
  <c r="P1506" i="7"/>
  <c r="R1506" i="7" s="1"/>
  <c r="E1506" i="7" s="1"/>
  <c r="F1506" i="7" s="1"/>
  <c r="P1512" i="7"/>
  <c r="R1512" i="7" s="1"/>
  <c r="E1512" i="7" s="1"/>
  <c r="F1512" i="7" s="1"/>
  <c r="P1540" i="7"/>
  <c r="R1540" i="7" s="1"/>
  <c r="E1540" i="7" s="1"/>
  <c r="F1540" i="7" s="1"/>
  <c r="P1625" i="7"/>
  <c r="R1625" i="7" s="1"/>
  <c r="E1625" i="7" s="1"/>
  <c r="G1625" i="7" s="1"/>
  <c r="P1636" i="7"/>
  <c r="R1636" i="7" s="1"/>
  <c r="E1636" i="7" s="1"/>
  <c r="G1636" i="7" s="1"/>
  <c r="P1642" i="7"/>
  <c r="R1642" i="7" s="1"/>
  <c r="E1642" i="7" s="1"/>
  <c r="B1642" i="7" s="1"/>
  <c r="E1679" i="7"/>
  <c r="B1679" i="7" s="1"/>
  <c r="P1689" i="7"/>
  <c r="R1689" i="7" s="1"/>
  <c r="E1689" i="7" s="1"/>
  <c r="B1689" i="7" s="1"/>
  <c r="E1699" i="7"/>
  <c r="B1699" i="7" s="1"/>
  <c r="P1660" i="7"/>
  <c r="R1660" i="7" s="1"/>
  <c r="E1660" i="7" s="1"/>
  <c r="F1660" i="7" s="1"/>
  <c r="P1666" i="7"/>
  <c r="R1666" i="7" s="1"/>
  <c r="E1666" i="7" s="1"/>
  <c r="F1666" i="7" s="1"/>
  <c r="P1740" i="7"/>
  <c r="R1740" i="7" s="1"/>
  <c r="E1740" i="7" s="1"/>
  <c r="F1740" i="7" s="1"/>
  <c r="P1744" i="7"/>
  <c r="R1744" i="7" s="1"/>
  <c r="E1744" i="7" s="1"/>
  <c r="F1744" i="7" s="1"/>
  <c r="P1757" i="7"/>
  <c r="R1757" i="7" s="1"/>
  <c r="E1757" i="7" s="1"/>
  <c r="F1757" i="7" s="1"/>
  <c r="P1763" i="7"/>
  <c r="R1763" i="7" s="1"/>
  <c r="E1763" i="7" s="1"/>
  <c r="F1763" i="7" s="1"/>
  <c r="P1773" i="7"/>
  <c r="R1773" i="7" s="1"/>
  <c r="E1773" i="7" s="1"/>
  <c r="F1773" i="7" s="1"/>
  <c r="P1779" i="7"/>
  <c r="R1779" i="7" s="1"/>
  <c r="E1779" i="7" s="1"/>
  <c r="F1779" i="7" s="1"/>
  <c r="P1800" i="7"/>
  <c r="R1800" i="7" s="1"/>
  <c r="E1800" i="7" s="1"/>
  <c r="F1800" i="7" s="1"/>
  <c r="P1793" i="7"/>
  <c r="R1793" i="7" s="1"/>
  <c r="E1793" i="7" s="1"/>
  <c r="F1793" i="7" s="1"/>
  <c r="P1786" i="7"/>
  <c r="R1786" i="7" s="1"/>
  <c r="E1786" i="7" s="1"/>
  <c r="F1786" i="7" s="1"/>
  <c r="E1809" i="7"/>
  <c r="F1809" i="7" s="1"/>
  <c r="E1804" i="7"/>
  <c r="F1804" i="7" s="1"/>
  <c r="E1832" i="7"/>
  <c r="B1832" i="7" s="1"/>
  <c r="P1865" i="7"/>
  <c r="R1865" i="7" s="1"/>
  <c r="E1865" i="7" s="1"/>
  <c r="F1865" i="7" s="1"/>
  <c r="P1873" i="7"/>
  <c r="R1873" i="7" s="1"/>
  <c r="E1873" i="7" s="1"/>
  <c r="F1873" i="7" s="1"/>
  <c r="P1878" i="7"/>
  <c r="R1878" i="7" s="1"/>
  <c r="E1878" i="7" s="1"/>
  <c r="F1878" i="7" s="1"/>
  <c r="P1897" i="7"/>
  <c r="R1897" i="7" s="1"/>
  <c r="E1897" i="7" s="1"/>
  <c r="P1903" i="7"/>
  <c r="R1903" i="7" s="1"/>
  <c r="E1903" i="7" s="1"/>
  <c r="G1903" i="7" s="1"/>
  <c r="P1909" i="7"/>
  <c r="R1909" i="7" s="1"/>
  <c r="E1909" i="7" s="1"/>
  <c r="F1909" i="7" s="1"/>
  <c r="P1914" i="7"/>
  <c r="R1914" i="7" s="1"/>
  <c r="E1914" i="7" s="1"/>
  <c r="G1914" i="7" s="1"/>
  <c r="P1929" i="7"/>
  <c r="R1929" i="7" s="1"/>
  <c r="E1929" i="7" s="1"/>
  <c r="F1929" i="7" s="1"/>
  <c r="P1941" i="7"/>
  <c r="R1941" i="7" s="1"/>
  <c r="E1941" i="7" s="1"/>
  <c r="B1941" i="7" s="1"/>
  <c r="P2011" i="7"/>
  <c r="R2011" i="7" s="1"/>
  <c r="E2011" i="7" s="1"/>
  <c r="F2011" i="7" s="1"/>
  <c r="P2017" i="7"/>
  <c r="R2017" i="7" s="1"/>
  <c r="E2017" i="7" s="1"/>
  <c r="F2017" i="7" s="1"/>
  <c r="P2023" i="7"/>
  <c r="R2023" i="7" s="1"/>
  <c r="E2023" i="7" s="1"/>
  <c r="F2023" i="7" s="1"/>
  <c r="P2031" i="7"/>
  <c r="R2031" i="7" s="1"/>
  <c r="E2031" i="7" s="1"/>
  <c r="B2031" i="7" s="1"/>
  <c r="P2100" i="7"/>
  <c r="R2100" i="7" s="1"/>
  <c r="E2100" i="7" s="1"/>
  <c r="F2100" i="7" s="1"/>
  <c r="P2140" i="7"/>
  <c r="R2140" i="7" s="1"/>
  <c r="E2140" i="7" s="1"/>
  <c r="F2140" i="7" s="1"/>
  <c r="P2240" i="7"/>
  <c r="R2240" i="7" s="1"/>
  <c r="E2240" i="7" s="1"/>
  <c r="F2240" i="7" s="1"/>
  <c r="P2259" i="7"/>
  <c r="R2259" i="7" s="1"/>
  <c r="E2259" i="7" s="1"/>
  <c r="F2259" i="7" s="1"/>
  <c r="E2264" i="7"/>
  <c r="F2264" i="7" s="1"/>
  <c r="P2272" i="7"/>
  <c r="R2272" i="7" s="1"/>
  <c r="E2272" i="7" s="1"/>
  <c r="F2272" i="7" s="1"/>
  <c r="P2280" i="7"/>
  <c r="R2280" i="7" s="1"/>
  <c r="E2280" i="7" s="1"/>
  <c r="F2280" i="7" s="1"/>
  <c r="P2290" i="7"/>
  <c r="R2290" i="7" s="1"/>
  <c r="E2290" i="7" s="1"/>
  <c r="B2290" i="7" s="1"/>
  <c r="P2285" i="7"/>
  <c r="R2285" i="7" s="1"/>
  <c r="E2285" i="7" s="1"/>
  <c r="F2285" i="7" s="1"/>
  <c r="P2302" i="7"/>
  <c r="R2302" i="7" s="1"/>
  <c r="E2302" i="7" s="1"/>
  <c r="F2302" i="7" s="1"/>
  <c r="P2333" i="7"/>
  <c r="R2333" i="7" s="1"/>
  <c r="E2333" i="7" s="1"/>
  <c r="B2333" i="7" s="1"/>
  <c r="P2414" i="7"/>
  <c r="R2414" i="7" s="1"/>
  <c r="E2414" i="7" s="1"/>
  <c r="F2414" i="7" s="1"/>
  <c r="P2401" i="7"/>
  <c r="R2401" i="7" s="1"/>
  <c r="E2401" i="7" s="1"/>
  <c r="F2401" i="7" s="1"/>
  <c r="P2379" i="7"/>
  <c r="R2379" i="7" s="1"/>
  <c r="E2379" i="7" s="1"/>
  <c r="F2379" i="7" s="1"/>
  <c r="P2385" i="7"/>
  <c r="R2385" i="7" s="1"/>
  <c r="E2385" i="7" s="1"/>
  <c r="F2385" i="7" s="1"/>
  <c r="P2394" i="7"/>
  <c r="R2394" i="7" s="1"/>
  <c r="E2394" i="7" s="1"/>
  <c r="F2394" i="7" s="1"/>
  <c r="P2404" i="7"/>
  <c r="R2404" i="7" s="1"/>
  <c r="E2404" i="7" s="1"/>
  <c r="F2404" i="7" s="1"/>
  <c r="P2371" i="7"/>
  <c r="R2371" i="7" s="1"/>
  <c r="E2371" i="7" s="1"/>
  <c r="F2371" i="7" s="1"/>
  <c r="P2459" i="7"/>
  <c r="R2459" i="7" s="1"/>
  <c r="E2459" i="7" s="1"/>
  <c r="F2459" i="7" s="1"/>
  <c r="E2480" i="7"/>
  <c r="F2480" i="7" s="1"/>
  <c r="E2463" i="7"/>
  <c r="F2463" i="7" s="1"/>
  <c r="E2473" i="7"/>
  <c r="F2473" i="7" s="1"/>
  <c r="E2485" i="7"/>
  <c r="F2485" i="7" s="1"/>
  <c r="P2491" i="7"/>
  <c r="R2491" i="7" s="1"/>
  <c r="E2491" i="7" s="1"/>
  <c r="F2491" i="7" s="1"/>
  <c r="P2498" i="7"/>
  <c r="R2498" i="7" s="1"/>
  <c r="E2498" i="7" s="1"/>
  <c r="F2498" i="7" s="1"/>
  <c r="P2543" i="7"/>
  <c r="R2543" i="7" s="1"/>
  <c r="E2543" i="7" s="1"/>
  <c r="F2543" i="7" s="1"/>
  <c r="P2549" i="7"/>
  <c r="R2549" i="7" s="1"/>
  <c r="E2549" i="7" s="1"/>
  <c r="F2549" i="7" s="1"/>
  <c r="P2552" i="7"/>
  <c r="R2552" i="7" s="1"/>
  <c r="E2552" i="7" s="1"/>
  <c r="F2552" i="7" s="1"/>
  <c r="P2564" i="7"/>
  <c r="R2564" i="7" s="1"/>
  <c r="E2564" i="7" s="1"/>
  <c r="F2564" i="7" s="1"/>
  <c r="P2574" i="7"/>
  <c r="R2574" i="7" s="1"/>
  <c r="E2574" i="7" s="1"/>
  <c r="F2574" i="7" s="1"/>
  <c r="P2580" i="7"/>
  <c r="R2580" i="7" s="1"/>
  <c r="E2580" i="7" s="1"/>
  <c r="F2580" i="7" s="1"/>
  <c r="P2587" i="7"/>
  <c r="R2587" i="7" s="1"/>
  <c r="E2587" i="7" s="1"/>
  <c r="F2587" i="7" s="1"/>
  <c r="P2614" i="7"/>
  <c r="R2614" i="7" s="1"/>
  <c r="E2614" i="7" s="1"/>
  <c r="B2614" i="7" s="1"/>
  <c r="P2637" i="7"/>
  <c r="R2637" i="7" s="1"/>
  <c r="E2637" i="7" s="1"/>
  <c r="F2637" i="7" s="1"/>
  <c r="P2643" i="7"/>
  <c r="R2643" i="7" s="1"/>
  <c r="E2643" i="7" s="1"/>
  <c r="F2643" i="7" s="1"/>
  <c r="P2650" i="7"/>
  <c r="R2650" i="7" s="1"/>
  <c r="E2650" i="7" s="1"/>
  <c r="G2650" i="7" s="1"/>
  <c r="P2658" i="7"/>
  <c r="R2658" i="7" s="1"/>
  <c r="E2658" i="7" s="1"/>
  <c r="F2658" i="7" s="1"/>
  <c r="P2667" i="7"/>
  <c r="R2667" i="7" s="1"/>
  <c r="E2667" i="7" s="1"/>
  <c r="F2667" i="7" s="1"/>
  <c r="P2679" i="7"/>
  <c r="R2679" i="7" s="1"/>
  <c r="E2679" i="7" s="1"/>
  <c r="F2679" i="7" s="1"/>
  <c r="P2685" i="7"/>
  <c r="R2685" i="7" s="1"/>
  <c r="E2685" i="7" s="1"/>
  <c r="F2685" i="7" s="1"/>
  <c r="P2689" i="7"/>
  <c r="R2689" i="7" s="1"/>
  <c r="E2689" i="7" s="1"/>
  <c r="F2689" i="7" s="1"/>
  <c r="E2703" i="7"/>
  <c r="B2703" i="7" s="1"/>
  <c r="P2708" i="7"/>
  <c r="R2708" i="7" s="1"/>
  <c r="E2708" i="7" s="1"/>
  <c r="B2708" i="7" s="1"/>
  <c r="P2715" i="7"/>
  <c r="R2715" i="7" s="1"/>
  <c r="E2715" i="7" s="1"/>
  <c r="F2715" i="7" s="1"/>
  <c r="P2721" i="7"/>
  <c r="R2721" i="7" s="1"/>
  <c r="E2721" i="7" s="1"/>
  <c r="F2721" i="7" s="1"/>
  <c r="P2736" i="7"/>
  <c r="R2736" i="7" s="1"/>
  <c r="E2736" i="7" s="1"/>
  <c r="F2736" i="7" s="1"/>
  <c r="P2742" i="7"/>
  <c r="R2742" i="7" s="1"/>
  <c r="E2742" i="7" s="1"/>
  <c r="F2742" i="7" s="1"/>
  <c r="P2789" i="7"/>
  <c r="R2789" i="7" s="1"/>
  <c r="E2789" i="7" s="1"/>
  <c r="F2789" i="7" s="1"/>
  <c r="P2806" i="7"/>
  <c r="R2806" i="7" s="1"/>
  <c r="E2806" i="7" s="1"/>
  <c r="B2806" i="7" s="1"/>
  <c r="P2811" i="7"/>
  <c r="R2811" i="7" s="1"/>
  <c r="E2811" i="7" s="1"/>
  <c r="F2811" i="7" s="1"/>
  <c r="P2818" i="7"/>
  <c r="R2818" i="7" s="1"/>
  <c r="E2818" i="7" s="1"/>
  <c r="F2818" i="7" s="1"/>
  <c r="P2833" i="7"/>
  <c r="R2833" i="7" s="1"/>
  <c r="E2833" i="7" s="1"/>
  <c r="G2833" i="7" s="1"/>
  <c r="P2840" i="7"/>
  <c r="R2840" i="7" s="1"/>
  <c r="E2840" i="7" s="1"/>
  <c r="G2840" i="7" s="1"/>
  <c r="P2855" i="7"/>
  <c r="R2855" i="7" s="1"/>
  <c r="E2855" i="7" s="1"/>
  <c r="P2870" i="7"/>
  <c r="R2870" i="7" s="1"/>
  <c r="E2870" i="7" s="1"/>
  <c r="F2870" i="7" s="1"/>
  <c r="P2875" i="7"/>
  <c r="R2875" i="7" s="1"/>
  <c r="E2875" i="7" s="1"/>
  <c r="F2875" i="7" s="1"/>
  <c r="P2885" i="7"/>
  <c r="R2885" i="7" s="1"/>
  <c r="E2885" i="7" s="1"/>
  <c r="B2885" i="7" s="1"/>
  <c r="P21" i="7"/>
  <c r="R21" i="7" s="1"/>
  <c r="E21" i="7" s="1"/>
  <c r="E79" i="7"/>
  <c r="F79" i="7" s="1"/>
  <c r="P222" i="7"/>
  <c r="R222" i="7" s="1"/>
  <c r="E222" i="7" s="1"/>
  <c r="F222" i="7" s="1"/>
  <c r="P286" i="7"/>
  <c r="R286" i="7" s="1"/>
  <c r="E286" i="7" s="1"/>
  <c r="F286" i="7" s="1"/>
  <c r="P431" i="7"/>
  <c r="R431" i="7" s="1"/>
  <c r="E431" i="7" s="1"/>
  <c r="F431" i="7" s="1"/>
  <c r="P584" i="7"/>
  <c r="R584" i="7" s="1"/>
  <c r="E584" i="7" s="1"/>
  <c r="F584" i="7" s="1"/>
  <c r="P674" i="7"/>
  <c r="R674" i="7" s="1"/>
  <c r="E674" i="7" s="1"/>
  <c r="B674" i="7" s="1"/>
  <c r="P792" i="7"/>
  <c r="R792" i="7" s="1"/>
  <c r="E792" i="7" s="1"/>
  <c r="F792" i="7" s="1"/>
  <c r="P931" i="7"/>
  <c r="R931" i="7" s="1"/>
  <c r="E931" i="7" s="1"/>
  <c r="F931" i="7" s="1"/>
  <c r="P959" i="7"/>
  <c r="R959" i="7" s="1"/>
  <c r="E959" i="7" s="1"/>
  <c r="F959" i="7" s="1"/>
  <c r="P1122" i="7"/>
  <c r="R1122" i="7" s="1"/>
  <c r="E1122" i="7" s="1"/>
  <c r="G1122" i="7" s="1"/>
  <c r="P1207" i="7"/>
  <c r="R1207" i="7" s="1"/>
  <c r="E1207" i="7" s="1"/>
  <c r="F1207" i="7" s="1"/>
  <c r="P1325" i="7"/>
  <c r="R1325" i="7" s="1"/>
  <c r="E1325" i="7" s="1"/>
  <c r="F1325" i="7" s="1"/>
  <c r="P1533" i="7"/>
  <c r="R1533" i="7" s="1"/>
  <c r="E1533" i="7" s="1"/>
  <c r="F1533" i="7" s="1"/>
  <c r="P1553" i="7"/>
  <c r="R1553" i="7" s="1"/>
  <c r="E1553" i="7" s="1"/>
  <c r="F1553" i="7" s="1"/>
  <c r="E1619" i="7"/>
  <c r="B1619" i="7" s="1"/>
  <c r="P1732" i="7"/>
  <c r="R1732" i="7" s="1"/>
  <c r="E1732" i="7" s="1"/>
  <c r="F1732" i="7" s="1"/>
  <c r="E1835" i="7"/>
  <c r="B1835" i="7" s="1"/>
  <c r="P1962" i="7"/>
  <c r="R1962" i="7" s="1"/>
  <c r="E1962" i="7" s="1"/>
  <c r="G1962" i="7" s="1"/>
  <c r="P1957" i="7"/>
  <c r="R1957" i="7" s="1"/>
  <c r="E1957" i="7" s="1"/>
  <c r="G1957" i="7" s="1"/>
  <c r="P2082" i="7"/>
  <c r="R2082" i="7" s="1"/>
  <c r="E2082" i="7" s="1"/>
  <c r="F2082" i="7" s="1"/>
  <c r="P2190" i="7"/>
  <c r="R2190" i="7" s="1"/>
  <c r="E2190" i="7" s="1"/>
  <c r="E2253" i="7"/>
  <c r="B2253" i="7" s="1"/>
  <c r="P2422" i="7"/>
  <c r="R2422" i="7" s="1"/>
  <c r="E2422" i="7" s="1"/>
  <c r="F2422" i="7" s="1"/>
  <c r="P13" i="7"/>
  <c r="R13" i="7" s="1"/>
  <c r="E13" i="7" s="1"/>
  <c r="F13" i="7" s="1"/>
  <c r="P18" i="7"/>
  <c r="R18" i="7" s="1"/>
  <c r="E18" i="7" s="1"/>
  <c r="B18" i="7" s="1"/>
  <c r="P33" i="7"/>
  <c r="R33" i="7" s="1"/>
  <c r="E33" i="7" s="1"/>
  <c r="F33" i="7" s="1"/>
  <c r="E59" i="7"/>
  <c r="B59" i="7" s="1"/>
  <c r="E72" i="7"/>
  <c r="B72" i="7" s="1"/>
  <c r="E78" i="7"/>
  <c r="B78" i="7" s="1"/>
  <c r="P143" i="7"/>
  <c r="R143" i="7" s="1"/>
  <c r="E143" i="7" s="1"/>
  <c r="F143" i="7" s="1"/>
  <c r="E138" i="7"/>
  <c r="F138" i="7" s="1"/>
  <c r="P154" i="7"/>
  <c r="R154" i="7" s="1"/>
  <c r="E154" i="7" s="1"/>
  <c r="G154" i="7" s="1"/>
  <c r="P171" i="7"/>
  <c r="R171" i="7" s="1"/>
  <c r="E171" i="7" s="1"/>
  <c r="F171" i="7" s="1"/>
  <c r="P178" i="7"/>
  <c r="R178" i="7" s="1"/>
  <c r="E178" i="7" s="1"/>
  <c r="B178" i="7" s="1"/>
  <c r="P183" i="7"/>
  <c r="R183" i="7" s="1"/>
  <c r="E183" i="7" s="1"/>
  <c r="B183" i="7" s="1"/>
  <c r="P209" i="7"/>
  <c r="R209" i="7" s="1"/>
  <c r="E209" i="7" s="1"/>
  <c r="B209" i="7" s="1"/>
  <c r="E214" i="7"/>
  <c r="B214" i="7" s="1"/>
  <c r="P229" i="7"/>
  <c r="R229" i="7" s="1"/>
  <c r="E229" i="7" s="1"/>
  <c r="F229" i="7" s="1"/>
  <c r="P240" i="7"/>
  <c r="R240" i="7" s="1"/>
  <c r="E240" i="7" s="1"/>
  <c r="F240" i="7" s="1"/>
  <c r="P239" i="7"/>
  <c r="R239" i="7" s="1"/>
  <c r="E239" i="7" s="1"/>
  <c r="F239" i="7" s="1"/>
  <c r="P277" i="7"/>
  <c r="R277" i="7" s="1"/>
  <c r="E277" i="7" s="1"/>
  <c r="F277" i="7" s="1"/>
  <c r="P285" i="7"/>
  <c r="R285" i="7" s="1"/>
  <c r="E285" i="7" s="1"/>
  <c r="F285" i="7" s="1"/>
  <c r="P291" i="7"/>
  <c r="R291" i="7" s="1"/>
  <c r="E291" i="7" s="1"/>
  <c r="F291" i="7" s="1"/>
  <c r="P332" i="7"/>
  <c r="R332" i="7" s="1"/>
  <c r="E332" i="7" s="1"/>
  <c r="F332" i="7" s="1"/>
  <c r="P353" i="7"/>
  <c r="R353" i="7" s="1"/>
  <c r="E353" i="7" s="1"/>
  <c r="P385" i="7"/>
  <c r="R385" i="7" s="1"/>
  <c r="E385" i="7" s="1"/>
  <c r="F385" i="7" s="1"/>
  <c r="P399" i="7"/>
  <c r="R399" i="7" s="1"/>
  <c r="E399" i="7" s="1"/>
  <c r="F399" i="7" s="1"/>
  <c r="P405" i="7"/>
  <c r="R405" i="7" s="1"/>
  <c r="E405" i="7" s="1"/>
  <c r="F405" i="7" s="1"/>
  <c r="P414" i="7"/>
  <c r="R414" i="7" s="1"/>
  <c r="E414" i="7" s="1"/>
  <c r="F414" i="7" s="1"/>
  <c r="P422" i="7"/>
  <c r="R422" i="7" s="1"/>
  <c r="E422" i="7" s="1"/>
  <c r="F422" i="7" s="1"/>
  <c r="P429" i="7"/>
  <c r="R429" i="7" s="1"/>
  <c r="E429" i="7" s="1"/>
  <c r="F429" i="7" s="1"/>
  <c r="P462" i="7"/>
  <c r="R462" i="7" s="1"/>
  <c r="E462" i="7" s="1"/>
  <c r="F462" i="7" s="1"/>
  <c r="P478" i="7"/>
  <c r="R478" i="7" s="1"/>
  <c r="E478" i="7" s="1"/>
  <c r="F478" i="7" s="1"/>
  <c r="E485" i="7"/>
  <c r="F485" i="7" s="1"/>
  <c r="E491" i="7"/>
  <c r="F491" i="7" s="1"/>
  <c r="P497" i="7"/>
  <c r="R497" i="7" s="1"/>
  <c r="E497" i="7" s="1"/>
  <c r="F497" i="7" s="1"/>
  <c r="P504" i="7"/>
  <c r="R504" i="7" s="1"/>
  <c r="E504" i="7" s="1"/>
  <c r="B504" i="7" s="1"/>
  <c r="P512" i="7"/>
  <c r="R512" i="7" s="1"/>
  <c r="P505" i="7"/>
  <c r="R505" i="7" s="1"/>
  <c r="E505" i="7" s="1"/>
  <c r="F505" i="7" s="1"/>
  <c r="P542" i="7"/>
  <c r="R542" i="7" s="1"/>
  <c r="E542" i="7" s="1"/>
  <c r="F542" i="7" s="1"/>
  <c r="P583" i="7"/>
  <c r="R583" i="7" s="1"/>
  <c r="E583" i="7" s="1"/>
  <c r="F583" i="7" s="1"/>
  <c r="P645" i="7"/>
  <c r="R645" i="7" s="1"/>
  <c r="E645" i="7" s="1"/>
  <c r="F645" i="7" s="1"/>
  <c r="P598" i="7"/>
  <c r="R598" i="7" s="1"/>
  <c r="E598" i="7" s="1"/>
  <c r="F598" i="7" s="1"/>
  <c r="P611" i="7"/>
  <c r="R611" i="7" s="1"/>
  <c r="E611" i="7" s="1"/>
  <c r="F611" i="7" s="1"/>
  <c r="P666" i="7"/>
  <c r="R666" i="7" s="1"/>
  <c r="E666" i="7" s="1"/>
  <c r="F666" i="7" s="1"/>
  <c r="P672" i="7"/>
  <c r="R672" i="7" s="1"/>
  <c r="E672" i="7" s="1"/>
  <c r="B672" i="7" s="1"/>
  <c r="P683" i="7"/>
  <c r="R683" i="7" s="1"/>
  <c r="E683" i="7" s="1"/>
  <c r="F683" i="7" s="1"/>
  <c r="P690" i="7"/>
  <c r="R690" i="7" s="1"/>
  <c r="E690" i="7" s="1"/>
  <c r="F690" i="7" s="1"/>
  <c r="P797" i="7"/>
  <c r="R797" i="7" s="1"/>
  <c r="E797" i="7" s="1"/>
  <c r="F797" i="7" s="1"/>
  <c r="P806" i="7"/>
  <c r="R806" i="7" s="1"/>
  <c r="E806" i="7" s="1"/>
  <c r="F806" i="7" s="1"/>
  <c r="P863" i="7"/>
  <c r="R863" i="7" s="1"/>
  <c r="E863" i="7" s="1"/>
  <c r="F863" i="7" s="1"/>
  <c r="P879" i="7"/>
  <c r="R879" i="7" s="1"/>
  <c r="E879" i="7" s="1"/>
  <c r="F879" i="7" s="1"/>
  <c r="P886" i="7"/>
  <c r="R886" i="7" s="1"/>
  <c r="E886" i="7" s="1"/>
  <c r="F886" i="7" s="1"/>
  <c r="P872" i="7"/>
  <c r="R872" i="7" s="1"/>
  <c r="E872" i="7" s="1"/>
  <c r="F872" i="7" s="1"/>
  <c r="P891" i="7"/>
  <c r="R891" i="7" s="1"/>
  <c r="E891" i="7" s="1"/>
  <c r="F891" i="7" s="1"/>
  <c r="E913" i="7"/>
  <c r="F913" i="7" s="1"/>
  <c r="P921" i="7"/>
  <c r="R921" i="7" s="1"/>
  <c r="E921" i="7" s="1"/>
  <c r="F921" i="7" s="1"/>
  <c r="P930" i="7"/>
  <c r="R930" i="7" s="1"/>
  <c r="E930" i="7" s="1"/>
  <c r="F930" i="7" s="1"/>
  <c r="P936" i="7"/>
  <c r="R936" i="7" s="1"/>
  <c r="E936" i="7" s="1"/>
  <c r="F936" i="7" s="1"/>
  <c r="P942" i="7"/>
  <c r="R942" i="7" s="1"/>
  <c r="E942" i="7" s="1"/>
  <c r="B942" i="7" s="1"/>
  <c r="P953" i="7"/>
  <c r="R953" i="7" s="1"/>
  <c r="E953" i="7" s="1"/>
  <c r="F953" i="7" s="1"/>
  <c r="P958" i="7"/>
  <c r="R958" i="7" s="1"/>
  <c r="E958" i="7" s="1"/>
  <c r="F958" i="7" s="1"/>
  <c r="P1030" i="7"/>
  <c r="R1030" i="7" s="1"/>
  <c r="E1030" i="7" s="1"/>
  <c r="F1030" i="7" s="1"/>
  <c r="P1087" i="7"/>
  <c r="R1087" i="7" s="1"/>
  <c r="E1087" i="7" s="1"/>
  <c r="F1087" i="7" s="1"/>
  <c r="P1093" i="7"/>
  <c r="R1093" i="7" s="1"/>
  <c r="E1093" i="7" s="1"/>
  <c r="F1093" i="7" s="1"/>
  <c r="P1101" i="7"/>
  <c r="R1101" i="7" s="1"/>
  <c r="E1101" i="7" s="1"/>
  <c r="F1101" i="7" s="1"/>
  <c r="P1109" i="7"/>
  <c r="R1109" i="7" s="1"/>
  <c r="E1109" i="7" s="1"/>
  <c r="F1109" i="7" s="1"/>
  <c r="P1115" i="7"/>
  <c r="R1115" i="7" s="1"/>
  <c r="E1115" i="7" s="1"/>
  <c r="G1115" i="7" s="1"/>
  <c r="P1120" i="7"/>
  <c r="R1120" i="7" s="1"/>
  <c r="E1120" i="7" s="1"/>
  <c r="B1120" i="7" s="1"/>
  <c r="P1143" i="7"/>
  <c r="R1143" i="7" s="1"/>
  <c r="E1143" i="7" s="1"/>
  <c r="F1143" i="7" s="1"/>
  <c r="P1206" i="7"/>
  <c r="R1206" i="7" s="1"/>
  <c r="E1206" i="7" s="1"/>
  <c r="F1206" i="7" s="1"/>
  <c r="P1249" i="7"/>
  <c r="R1249" i="7" s="1"/>
  <c r="E1249" i="7" s="1"/>
  <c r="F1249" i="7" s="1"/>
  <c r="P1264" i="7"/>
  <c r="R1264" i="7" s="1"/>
  <c r="E1264" i="7" s="1"/>
  <c r="B1264" i="7" s="1"/>
  <c r="E1294" i="7"/>
  <c r="F1294" i="7" s="1"/>
  <c r="E1302" i="7"/>
  <c r="F1302" i="7" s="1"/>
  <c r="E1306" i="7"/>
  <c r="F1306" i="7" s="1"/>
  <c r="P1320" i="7"/>
  <c r="R1320" i="7" s="1"/>
  <c r="E1320" i="7" s="1"/>
  <c r="F1320" i="7" s="1"/>
  <c r="P1324" i="7"/>
  <c r="R1324" i="7" s="1"/>
  <c r="E1324" i="7" s="1"/>
  <c r="F1324" i="7" s="1"/>
  <c r="P1332" i="7"/>
  <c r="R1332" i="7" s="1"/>
  <c r="E1332" i="7" s="1"/>
  <c r="F1332" i="7" s="1"/>
  <c r="P1339" i="7"/>
  <c r="R1339" i="7" s="1"/>
  <c r="E1339" i="7" s="1"/>
  <c r="G1339" i="7" s="1"/>
  <c r="P1353" i="7"/>
  <c r="R1353" i="7" s="1"/>
  <c r="E1353" i="7" s="1"/>
  <c r="B1353" i="7" s="1"/>
  <c r="E1361" i="7"/>
  <c r="B1361" i="7" s="1"/>
  <c r="P1367" i="7"/>
  <c r="R1367" i="7" s="1"/>
  <c r="E1367" i="7" s="1"/>
  <c r="F1367" i="7" s="1"/>
  <c r="E1398" i="7"/>
  <c r="F1398" i="7" s="1"/>
  <c r="P1404" i="7"/>
  <c r="R1404" i="7" s="1"/>
  <c r="E1404" i="7" s="1"/>
  <c r="F1404" i="7" s="1"/>
  <c r="P1412" i="7"/>
  <c r="R1412" i="7" s="1"/>
  <c r="E1412" i="7" s="1"/>
  <c r="F1412" i="7" s="1"/>
  <c r="P1431" i="7"/>
  <c r="R1431" i="7" s="1"/>
  <c r="E1431" i="7" s="1"/>
  <c r="F1431" i="7" s="1"/>
  <c r="P1440" i="7"/>
  <c r="R1440" i="7" s="1"/>
  <c r="E1440" i="7" s="1"/>
  <c r="F1440" i="7" s="1"/>
  <c r="P1493" i="7"/>
  <c r="R1493" i="7" s="1"/>
  <c r="E1493" i="7" s="1"/>
  <c r="F1493" i="7" s="1"/>
  <c r="P1502" i="7"/>
  <c r="R1502" i="7" s="1"/>
  <c r="E1502" i="7" s="1"/>
  <c r="F1502" i="7" s="1"/>
  <c r="P1525" i="7"/>
  <c r="R1525" i="7" s="1"/>
  <c r="E1525" i="7" s="1"/>
  <c r="F1525" i="7" s="1"/>
  <c r="P1531" i="7"/>
  <c r="R1531" i="7" s="1"/>
  <c r="E1531" i="7" s="1"/>
  <c r="F1531" i="7" s="1"/>
  <c r="P1543" i="7"/>
  <c r="R1543" i="7" s="1"/>
  <c r="E1543" i="7" s="1"/>
  <c r="F1543" i="7" s="1"/>
  <c r="P1545" i="7"/>
  <c r="R1545" i="7" s="1"/>
  <c r="E1545" i="7" s="1"/>
  <c r="F1545" i="7" s="1"/>
  <c r="P1554" i="7"/>
  <c r="R1554" i="7" s="1"/>
  <c r="E1554" i="7" s="1"/>
  <c r="F1554" i="7" s="1"/>
  <c r="P1562" i="7"/>
  <c r="R1562" i="7" s="1"/>
  <c r="E1562" i="7" s="1"/>
  <c r="F1562" i="7" s="1"/>
  <c r="P1568" i="7"/>
  <c r="R1568" i="7" s="1"/>
  <c r="E1568" i="7" s="1"/>
  <c r="F1568" i="7" s="1"/>
  <c r="P1577" i="7"/>
  <c r="R1577" i="7" s="1"/>
  <c r="E1577" i="7" s="1"/>
  <c r="F1577" i="7" s="1"/>
  <c r="P1585" i="7"/>
  <c r="R1585" i="7" s="1"/>
  <c r="E1585" i="7" s="1"/>
  <c r="F1585" i="7" s="1"/>
  <c r="P1593" i="7"/>
  <c r="R1593" i="7" s="1"/>
  <c r="E1593" i="7" s="1"/>
  <c r="F1593" i="7" s="1"/>
  <c r="P1603" i="7"/>
  <c r="R1603" i="7" s="1"/>
  <c r="E1603" i="7" s="1"/>
  <c r="F1603" i="7" s="1"/>
  <c r="E1618" i="7"/>
  <c r="B1618" i="7" s="1"/>
  <c r="P1709" i="7"/>
  <c r="R1709" i="7" s="1"/>
  <c r="E1709" i="7" s="1"/>
  <c r="F1709" i="7" s="1"/>
  <c r="P1719" i="7"/>
  <c r="R1719" i="7" s="1"/>
  <c r="E1719" i="7" s="1"/>
  <c r="F1719" i="7" s="1"/>
  <c r="P1725" i="7"/>
  <c r="R1725" i="7" s="1"/>
  <c r="E1725" i="7" s="1"/>
  <c r="F1725" i="7" s="1"/>
  <c r="P1739" i="7"/>
  <c r="R1739" i="7" s="1"/>
  <c r="E1739" i="7" s="1"/>
  <c r="F1739" i="7" s="1"/>
  <c r="E1834" i="7"/>
  <c r="B1834" i="7" s="1"/>
  <c r="E1842" i="7"/>
  <c r="P1851" i="7"/>
  <c r="R1851" i="7" s="1"/>
  <c r="E1851" i="7" s="1"/>
  <c r="F1851" i="7" s="1"/>
  <c r="P1858" i="7"/>
  <c r="R1858" i="7" s="1"/>
  <c r="E1858" i="7" s="1"/>
  <c r="F1858" i="7" s="1"/>
  <c r="P1889" i="7"/>
  <c r="R1889" i="7" s="1"/>
  <c r="E1889" i="7" s="1"/>
  <c r="P1961" i="7"/>
  <c r="R1961" i="7" s="1"/>
  <c r="E1961" i="7" s="1"/>
  <c r="G1961" i="7" s="1"/>
  <c r="E1966" i="7"/>
  <c r="B1966" i="7" s="1"/>
  <c r="E1976" i="7"/>
  <c r="B1976" i="7" s="1"/>
  <c r="E1989" i="7"/>
  <c r="B1989" i="7" s="1"/>
  <c r="P1997" i="7"/>
  <c r="R1997" i="7" s="1"/>
  <c r="E1997" i="7" s="1"/>
  <c r="G1997" i="7" s="1"/>
  <c r="P1955" i="7"/>
  <c r="R1955" i="7" s="1"/>
  <c r="E1955" i="7" s="1"/>
  <c r="G1955" i="7" s="1"/>
  <c r="P2006" i="7"/>
  <c r="R2006" i="7" s="1"/>
  <c r="E2006" i="7" s="1"/>
  <c r="F2006" i="7" s="1"/>
  <c r="P2043" i="7"/>
  <c r="R2043" i="7" s="1"/>
  <c r="E2043" i="7" s="1"/>
  <c r="B2043" i="7" s="1"/>
  <c r="P2052" i="7"/>
  <c r="R2052" i="7" s="1"/>
  <c r="E2052" i="7" s="1"/>
  <c r="F2052" i="7" s="1"/>
  <c r="P2067" i="7"/>
  <c r="R2067" i="7" s="1"/>
  <c r="E2067" i="7" s="1"/>
  <c r="F2067" i="7" s="1"/>
  <c r="P2080" i="7"/>
  <c r="R2080" i="7" s="1"/>
  <c r="E2080" i="7" s="1"/>
  <c r="B2080" i="7" s="1"/>
  <c r="P2107" i="7"/>
  <c r="R2107" i="7" s="1"/>
  <c r="E2107" i="7" s="1"/>
  <c r="F2107" i="7" s="1"/>
  <c r="P2118" i="7"/>
  <c r="R2118" i="7" s="1"/>
  <c r="E2118" i="7" s="1"/>
  <c r="F2118" i="7" s="1"/>
  <c r="P2126" i="7"/>
  <c r="R2126" i="7" s="1"/>
  <c r="E2126" i="7" s="1"/>
  <c r="F2126" i="7" s="1"/>
  <c r="P2134" i="7"/>
  <c r="R2134" i="7" s="1"/>
  <c r="E2134" i="7" s="1"/>
  <c r="F2134" i="7" s="1"/>
  <c r="E2162" i="7"/>
  <c r="B2162" i="7" s="1"/>
  <c r="P2175" i="7"/>
  <c r="R2175" i="7" s="1"/>
  <c r="E2175" i="7" s="1"/>
  <c r="F2175" i="7" s="1"/>
  <c r="P2182" i="7"/>
  <c r="R2182" i="7" s="1"/>
  <c r="E2182" i="7" s="1"/>
  <c r="F2182" i="7" s="1"/>
  <c r="P2205" i="7"/>
  <c r="R2205" i="7" s="1"/>
  <c r="E2205" i="7" s="1"/>
  <c r="F2205" i="7" s="1"/>
  <c r="P2207" i="7"/>
  <c r="R2207" i="7" s="1"/>
  <c r="E2207" i="7" s="1"/>
  <c r="F2207" i="7" s="1"/>
  <c r="P2216" i="7"/>
  <c r="R2216" i="7" s="1"/>
  <c r="E2216" i="7" s="1"/>
  <c r="F2216" i="7" s="1"/>
  <c r="P2229" i="7"/>
  <c r="R2229" i="7" s="1"/>
  <c r="E2229" i="7" s="1"/>
  <c r="F2229" i="7" s="1"/>
  <c r="P2234" i="7"/>
  <c r="R2234" i="7" s="1"/>
  <c r="E2234" i="7" s="1"/>
  <c r="F2234" i="7" s="1"/>
  <c r="P2247" i="7"/>
  <c r="R2247" i="7" s="1"/>
  <c r="E2247" i="7" s="1"/>
  <c r="F2247" i="7" s="1"/>
  <c r="E2254" i="7"/>
  <c r="B2254" i="7" s="1"/>
  <c r="P2303" i="7"/>
  <c r="R2303" i="7" s="1"/>
  <c r="E2303" i="7" s="1"/>
  <c r="F2303" i="7" s="1"/>
  <c r="P2310" i="7"/>
  <c r="R2310" i="7" s="1"/>
  <c r="E2310" i="7" s="1"/>
  <c r="F2310" i="7" s="1"/>
  <c r="P2316" i="7"/>
  <c r="R2316" i="7" s="1"/>
  <c r="E2316" i="7" s="1"/>
  <c r="F2316" i="7" s="1"/>
  <c r="P2329" i="7"/>
  <c r="R2329" i="7" s="1"/>
  <c r="E2329" i="7" s="1"/>
  <c r="F2329" i="7" s="1"/>
  <c r="E2347" i="7"/>
  <c r="F2347" i="7" s="1"/>
  <c r="P2359" i="7"/>
  <c r="R2359" i="7" s="1"/>
  <c r="E2359" i="7" s="1"/>
  <c r="F2359" i="7" s="1"/>
  <c r="P2419" i="7"/>
  <c r="R2419" i="7" s="1"/>
  <c r="E2419" i="7" s="1"/>
  <c r="F2419" i="7" s="1"/>
  <c r="P2425" i="7"/>
  <c r="R2425" i="7" s="1"/>
  <c r="E2425" i="7" s="1"/>
  <c r="F2425" i="7" s="1"/>
  <c r="P2431" i="7"/>
  <c r="R2431" i="7" s="1"/>
  <c r="E2431" i="7" s="1"/>
  <c r="F2431" i="7" s="1"/>
  <c r="P2442" i="7"/>
  <c r="R2442" i="7" s="1"/>
  <c r="E2442" i="7" s="1"/>
  <c r="F2442" i="7" s="1"/>
  <c r="P2451" i="7"/>
  <c r="R2451" i="7" s="1"/>
  <c r="E2451" i="7" s="1"/>
  <c r="B2451" i="7" s="1"/>
  <c r="P2458" i="7"/>
  <c r="R2458" i="7" s="1"/>
  <c r="E2458" i="7" s="1"/>
  <c r="F2458" i="7" s="1"/>
  <c r="P2504" i="7"/>
  <c r="R2504" i="7" s="1"/>
  <c r="E2504" i="7" s="1"/>
  <c r="P2510" i="7"/>
  <c r="R2510" i="7" s="1"/>
  <c r="E2510" i="7" s="1"/>
  <c r="B2510" i="7" s="1"/>
  <c r="P2516" i="7"/>
  <c r="R2516" i="7" s="1"/>
  <c r="E2516" i="7" s="1"/>
  <c r="F2516" i="7" s="1"/>
  <c r="P2521" i="7"/>
  <c r="R2521" i="7" s="1"/>
  <c r="E2521" i="7" s="1"/>
  <c r="F2521" i="7" s="1"/>
  <c r="P2531" i="7"/>
  <c r="R2531" i="7" s="1"/>
  <c r="E2531" i="7" s="1"/>
  <c r="F2531" i="7" s="1"/>
  <c r="E2536" i="7"/>
  <c r="B2536" i="7" s="1"/>
  <c r="E2596" i="7"/>
  <c r="B2596" i="7" s="1"/>
  <c r="E2625" i="7"/>
  <c r="B2625" i="7" s="1"/>
  <c r="P2751" i="7"/>
  <c r="R2751" i="7" s="1"/>
  <c r="E2751" i="7" s="1"/>
  <c r="F2751" i="7" s="1"/>
  <c r="P2765" i="7"/>
  <c r="R2765" i="7" s="1"/>
  <c r="E2765" i="7" s="1"/>
  <c r="F2765" i="7" s="1"/>
  <c r="P2773" i="7"/>
  <c r="R2773" i="7" s="1"/>
  <c r="E2773" i="7" s="1"/>
  <c r="F2773" i="7" s="1"/>
  <c r="P2780" i="7"/>
  <c r="R2780" i="7" s="1"/>
  <c r="E2780" i="7" s="1"/>
  <c r="F2780" i="7" s="1"/>
  <c r="P2822" i="7"/>
  <c r="R2822" i="7" s="1"/>
  <c r="E2822" i="7" s="1"/>
  <c r="F2822" i="7" s="1"/>
  <c r="P2829" i="7"/>
  <c r="R2829" i="7" s="1"/>
  <c r="E2829" i="7" s="1"/>
  <c r="F2829" i="7" s="1"/>
  <c r="P4" i="7"/>
  <c r="R4" i="7" s="1"/>
  <c r="E4" i="7" s="1"/>
  <c r="F4" i="7" s="1"/>
  <c r="E60" i="7"/>
  <c r="B60" i="7" s="1"/>
  <c r="P177" i="7"/>
  <c r="R177" i="7" s="1"/>
  <c r="E177" i="7" s="1"/>
  <c r="B177" i="7" s="1"/>
  <c r="P434" i="7"/>
  <c r="R434" i="7" s="1"/>
  <c r="E434" i="7" s="1"/>
  <c r="F434" i="7" s="1"/>
  <c r="E498" i="7"/>
  <c r="F498" i="7" s="1"/>
  <c r="P691" i="7"/>
  <c r="R691" i="7" s="1"/>
  <c r="E691" i="7" s="1"/>
  <c r="F691" i="7" s="1"/>
  <c r="P875" i="7"/>
  <c r="R875" i="7" s="1"/>
  <c r="E875" i="7" s="1"/>
  <c r="F875" i="7" s="1"/>
  <c r="P1095" i="7"/>
  <c r="R1095" i="7" s="1"/>
  <c r="E1095" i="7" s="1"/>
  <c r="F1095" i="7" s="1"/>
  <c r="P1319" i="7"/>
  <c r="R1319" i="7" s="1"/>
  <c r="E1319" i="7" s="1"/>
  <c r="F1319" i="7" s="1"/>
  <c r="P1400" i="7"/>
  <c r="R1400" i="7" s="1"/>
  <c r="E1400" i="7" s="1"/>
  <c r="F1400" i="7" s="1"/>
  <c r="P1544" i="7"/>
  <c r="R1544" i="7" s="1"/>
  <c r="E1544" i="7" s="1"/>
  <c r="F1544" i="7" s="1"/>
  <c r="P1604" i="7"/>
  <c r="R1604" i="7" s="1"/>
  <c r="E1604" i="7" s="1"/>
  <c r="F1604" i="7" s="1"/>
  <c r="E1843" i="7"/>
  <c r="B1843" i="7" s="1"/>
  <c r="P1890" i="7"/>
  <c r="R1890" i="7" s="1"/>
  <c r="E1890" i="7" s="1"/>
  <c r="F1890" i="7" s="1"/>
  <c r="P2204" i="7"/>
  <c r="R2204" i="7" s="1"/>
  <c r="E2204" i="7" s="1"/>
  <c r="F2204" i="7" s="1"/>
  <c r="P34" i="7"/>
  <c r="R34" i="7" s="1"/>
  <c r="E34" i="7" s="1"/>
  <c r="F34" i="7" s="1"/>
  <c r="P46" i="7"/>
  <c r="R46" i="7" s="1"/>
  <c r="E46" i="7" s="1"/>
  <c r="F46" i="7" s="1"/>
  <c r="P111" i="7"/>
  <c r="R111" i="7" s="1"/>
  <c r="E111" i="7" s="1"/>
  <c r="B111" i="7" s="1"/>
  <c r="P120" i="7"/>
  <c r="R120" i="7" s="1"/>
  <c r="E120" i="7" s="1"/>
  <c r="B120" i="7" s="1"/>
  <c r="E124" i="7"/>
  <c r="B124" i="7" s="1"/>
  <c r="P159" i="7"/>
  <c r="R159" i="7" s="1"/>
  <c r="E159" i="7" s="1"/>
  <c r="G159" i="7" s="1"/>
  <c r="P237" i="7"/>
  <c r="R237" i="7" s="1"/>
  <c r="E237" i="7" s="1"/>
  <c r="F237" i="7" s="1"/>
  <c r="P250" i="7"/>
  <c r="R250" i="7" s="1"/>
  <c r="E250" i="7" s="1"/>
  <c r="F250" i="7" s="1"/>
  <c r="P255" i="7"/>
  <c r="R255" i="7" s="1"/>
  <c r="E255" i="7" s="1"/>
  <c r="F255" i="7" s="1"/>
  <c r="P263" i="7"/>
  <c r="R263" i="7" s="1"/>
  <c r="E263" i="7" s="1"/>
  <c r="F263" i="7" s="1"/>
  <c r="P268" i="7"/>
  <c r="R268" i="7" s="1"/>
  <c r="E268" i="7" s="1"/>
  <c r="F268" i="7" s="1"/>
  <c r="P274" i="7"/>
  <c r="R274" i="7" s="1"/>
  <c r="E274" i="7" s="1"/>
  <c r="F274" i="7" s="1"/>
  <c r="P305" i="7"/>
  <c r="R305" i="7" s="1"/>
  <c r="E305" i="7" s="1"/>
  <c r="F305" i="7" s="1"/>
  <c r="P319" i="7"/>
  <c r="R319" i="7" s="1"/>
  <c r="E319" i="7" s="1"/>
  <c r="F319" i="7" s="1"/>
  <c r="P326" i="7"/>
  <c r="R326" i="7" s="1"/>
  <c r="E326" i="7" s="1"/>
  <c r="F326" i="7" s="1"/>
  <c r="P341" i="7"/>
  <c r="R341" i="7" s="1"/>
  <c r="E341" i="7" s="1"/>
  <c r="F341" i="7" s="1"/>
  <c r="P347" i="7"/>
  <c r="R347" i="7" s="1"/>
  <c r="E347" i="7" s="1"/>
  <c r="F347" i="7" s="1"/>
  <c r="P355" i="7"/>
  <c r="R355" i="7" s="1"/>
  <c r="E355" i="7" s="1"/>
  <c r="F355" i="7" s="1"/>
  <c r="P362" i="7"/>
  <c r="R362" i="7" s="1"/>
  <c r="E362" i="7" s="1"/>
  <c r="F362" i="7" s="1"/>
  <c r="P369" i="7"/>
  <c r="R369" i="7" s="1"/>
  <c r="E369" i="7" s="1"/>
  <c r="F369" i="7" s="1"/>
  <c r="P377" i="7"/>
  <c r="R377" i="7" s="1"/>
  <c r="E377" i="7" s="1"/>
  <c r="F377" i="7" s="1"/>
  <c r="P380" i="7"/>
  <c r="R380" i="7" s="1"/>
  <c r="E380" i="7" s="1"/>
  <c r="F380" i="7" s="1"/>
  <c r="P433" i="7"/>
  <c r="R433" i="7" s="1"/>
  <c r="E433" i="7" s="1"/>
  <c r="B433" i="7" s="1"/>
  <c r="P440" i="7"/>
  <c r="R440" i="7" s="1"/>
  <c r="E440" i="7" s="1"/>
  <c r="F440" i="7" s="1"/>
  <c r="P451" i="7"/>
  <c r="R451" i="7" s="1"/>
  <c r="E451" i="7" s="1"/>
  <c r="F451" i="7" s="1"/>
  <c r="P470" i="7"/>
  <c r="R470" i="7" s="1"/>
  <c r="E470" i="7" s="1"/>
  <c r="F470" i="7" s="1"/>
  <c r="P479" i="7"/>
  <c r="R479" i="7" s="1"/>
  <c r="E479" i="7" s="1"/>
  <c r="F479" i="7" s="1"/>
  <c r="P517" i="7"/>
  <c r="R517" i="7" s="1"/>
  <c r="E517" i="7" s="1"/>
  <c r="F517" i="7" s="1"/>
  <c r="P531" i="7"/>
  <c r="R531" i="7" s="1"/>
  <c r="E531" i="7" s="1"/>
  <c r="G531" i="7" s="1"/>
  <c r="P536" i="7"/>
  <c r="R536" i="7" s="1"/>
  <c r="E536" i="7" s="1"/>
  <c r="F536" i="7" s="1"/>
  <c r="P551" i="7"/>
  <c r="R551" i="7" s="1"/>
  <c r="E551" i="7" s="1"/>
  <c r="F551" i="7" s="1"/>
  <c r="P555" i="7"/>
  <c r="R555" i="7" s="1"/>
  <c r="E555" i="7" s="1"/>
  <c r="F555" i="7" s="1"/>
  <c r="E566" i="7"/>
  <c r="B566" i="7" s="1"/>
  <c r="P574" i="7"/>
  <c r="R574" i="7" s="1"/>
  <c r="E574" i="7" s="1"/>
  <c r="F574" i="7" s="1"/>
  <c r="P637" i="7"/>
  <c r="R637" i="7" s="1"/>
  <c r="E637" i="7" s="1"/>
  <c r="F637" i="7" s="1"/>
  <c r="P652" i="7"/>
  <c r="R652" i="7" s="1"/>
  <c r="E652" i="7" s="1"/>
  <c r="F652" i="7" s="1"/>
  <c r="P678" i="7"/>
  <c r="R678" i="7" s="1"/>
  <c r="E678" i="7" s="1"/>
  <c r="P698" i="7"/>
  <c r="R698" i="7" s="1"/>
  <c r="E698" i="7" s="1"/>
  <c r="F698" i="7" s="1"/>
  <c r="P704" i="7"/>
  <c r="R704" i="7" s="1"/>
  <c r="E704" i="7" s="1"/>
  <c r="F704" i="7" s="1"/>
  <c r="P710" i="7"/>
  <c r="R710" i="7" s="1"/>
  <c r="E710" i="7" s="1"/>
  <c r="F710" i="7" s="1"/>
  <c r="P718" i="7"/>
  <c r="R718" i="7" s="1"/>
  <c r="E718" i="7" s="1"/>
  <c r="F718" i="7" s="1"/>
  <c r="P725" i="7"/>
  <c r="R725" i="7" s="1"/>
  <c r="E725" i="7" s="1"/>
  <c r="F725" i="7" s="1"/>
  <c r="P731" i="7"/>
  <c r="R731" i="7" s="1"/>
  <c r="E731" i="7" s="1"/>
  <c r="F731" i="7" s="1"/>
  <c r="P740" i="7"/>
  <c r="R740" i="7" s="1"/>
  <c r="E740" i="7" s="1"/>
  <c r="F740" i="7" s="1"/>
  <c r="P767" i="7"/>
  <c r="R767" i="7" s="1"/>
  <c r="E767" i="7" s="1"/>
  <c r="G767" i="7" s="1"/>
  <c r="P746" i="7"/>
  <c r="R746" i="7" s="1"/>
  <c r="E746" i="7" s="1"/>
  <c r="B746" i="7" s="1"/>
  <c r="P764" i="7"/>
  <c r="R764" i="7" s="1"/>
  <c r="E764" i="7" s="1"/>
  <c r="B764" i="7" s="1"/>
  <c r="P774" i="7"/>
  <c r="R774" i="7" s="1"/>
  <c r="E774" i="7" s="1"/>
  <c r="B774" i="7" s="1"/>
  <c r="E784" i="7"/>
  <c r="F784" i="7" s="1"/>
  <c r="P815" i="7"/>
  <c r="R815" i="7" s="1"/>
  <c r="E815" i="7" s="1"/>
  <c r="F815" i="7" s="1"/>
  <c r="P824" i="7"/>
  <c r="R824" i="7" s="1"/>
  <c r="E824" i="7" s="1"/>
  <c r="F824" i="7" s="1"/>
  <c r="P827" i="7"/>
  <c r="R827" i="7" s="1"/>
  <c r="E827" i="7" s="1"/>
  <c r="F827" i="7" s="1"/>
  <c r="P832" i="7"/>
  <c r="R832" i="7" s="1"/>
  <c r="E832" i="7" s="1"/>
  <c r="B832" i="7" s="1"/>
  <c r="P838" i="7"/>
  <c r="R838" i="7" s="1"/>
  <c r="E838" i="7" s="1"/>
  <c r="F838" i="7" s="1"/>
  <c r="P975" i="7"/>
  <c r="R975" i="7" s="1"/>
  <c r="E975" i="7" s="1"/>
  <c r="F975" i="7" s="1"/>
  <c r="P981" i="7"/>
  <c r="R981" i="7" s="1"/>
  <c r="E981" i="7" s="1"/>
  <c r="G981" i="7" s="1"/>
  <c r="P988" i="7"/>
  <c r="R988" i="7" s="1"/>
  <c r="E988" i="7" s="1"/>
  <c r="F988" i="7" s="1"/>
  <c r="P995" i="7"/>
  <c r="R995" i="7" s="1"/>
  <c r="E995" i="7" s="1"/>
  <c r="B995" i="7" s="1"/>
  <c r="P1001" i="7"/>
  <c r="R1001" i="7" s="1"/>
  <c r="E1001" i="7" s="1"/>
  <c r="F1001" i="7" s="1"/>
  <c r="P1008" i="7"/>
  <c r="R1008" i="7" s="1"/>
  <c r="E1008" i="7" s="1"/>
  <c r="F1008" i="7" s="1"/>
  <c r="P1021" i="7"/>
  <c r="R1021" i="7" s="1"/>
  <c r="E1021" i="7" s="1"/>
  <c r="F1021" i="7" s="1"/>
  <c r="P1044" i="7"/>
  <c r="R1044" i="7" s="1"/>
  <c r="E1044" i="7" s="1"/>
  <c r="F1044" i="7" s="1"/>
  <c r="P1050" i="7"/>
  <c r="R1050" i="7" s="1"/>
  <c r="E1050" i="7" s="1"/>
  <c r="F1050" i="7" s="1"/>
  <c r="P1057" i="7"/>
  <c r="R1057" i="7" s="1"/>
  <c r="E1057" i="7" s="1"/>
  <c r="F1057" i="7" s="1"/>
  <c r="P1063" i="7"/>
  <c r="R1063" i="7" s="1"/>
  <c r="E1063" i="7" s="1"/>
  <c r="F1063" i="7" s="1"/>
  <c r="P1067" i="7"/>
  <c r="R1067" i="7" s="1"/>
  <c r="E1067" i="7" s="1"/>
  <c r="F1067" i="7" s="1"/>
  <c r="P1075" i="7"/>
  <c r="R1075" i="7" s="1"/>
  <c r="E1075" i="7" s="1"/>
  <c r="F1075" i="7" s="1"/>
  <c r="P1081" i="7"/>
  <c r="R1081" i="7" s="1"/>
  <c r="E1081" i="7" s="1"/>
  <c r="F1081" i="7" s="1"/>
  <c r="P1129" i="7"/>
  <c r="R1129" i="7" s="1"/>
  <c r="E1129" i="7" s="1"/>
  <c r="F1129" i="7" s="1"/>
  <c r="P1154" i="7"/>
  <c r="R1154" i="7" s="1"/>
  <c r="E1154" i="7" s="1"/>
  <c r="F1154" i="7" s="1"/>
  <c r="P1161" i="7"/>
  <c r="R1161" i="7" s="1"/>
  <c r="E1161" i="7" s="1"/>
  <c r="B1161" i="7" s="1"/>
  <c r="P1168" i="7"/>
  <c r="R1168" i="7" s="1"/>
  <c r="E1168" i="7" s="1"/>
  <c r="G1168" i="7" s="1"/>
  <c r="P1173" i="7"/>
  <c r="R1173" i="7" s="1"/>
  <c r="E1173" i="7" s="1"/>
  <c r="B1173" i="7" s="1"/>
  <c r="P1182" i="7"/>
  <c r="R1182" i="7" s="1"/>
  <c r="E1182" i="7" s="1"/>
  <c r="F1182" i="7" s="1"/>
  <c r="P1193" i="7"/>
  <c r="R1193" i="7" s="1"/>
  <c r="E1193" i="7" s="1"/>
  <c r="F1193" i="7" s="1"/>
  <c r="P1198" i="7"/>
  <c r="R1198" i="7" s="1"/>
  <c r="E1198" i="7" s="1"/>
  <c r="F1198" i="7" s="1"/>
  <c r="P1205" i="7"/>
  <c r="R1205" i="7" s="1"/>
  <c r="E1205" i="7" s="1"/>
  <c r="F1205" i="7" s="1"/>
  <c r="P1228" i="7"/>
  <c r="R1228" i="7" s="1"/>
  <c r="E1228" i="7" s="1"/>
  <c r="G1228" i="7" s="1"/>
  <c r="P1241" i="7"/>
  <c r="R1241" i="7" s="1"/>
  <c r="E1241" i="7" s="1"/>
  <c r="F1241" i="7" s="1"/>
  <c r="P1250" i="7"/>
  <c r="R1250" i="7" s="1"/>
  <c r="E1250" i="7" s="1"/>
  <c r="F1250" i="7" s="1"/>
  <c r="P1265" i="7"/>
  <c r="R1265" i="7" s="1"/>
  <c r="E1265" i="7" s="1"/>
  <c r="B1265" i="7" s="1"/>
  <c r="E1278" i="7"/>
  <c r="F1278" i="7" s="1"/>
  <c r="E1397" i="7"/>
  <c r="F1397" i="7" s="1"/>
  <c r="P1453" i="7"/>
  <c r="R1453" i="7" s="1"/>
  <c r="E1453" i="7" s="1"/>
  <c r="F1453" i="7" s="1"/>
  <c r="P1487" i="7"/>
  <c r="R1487" i="7" s="1"/>
  <c r="E1487" i="7" s="1"/>
  <c r="F1487" i="7" s="1"/>
  <c r="P1519" i="7"/>
  <c r="R1519" i="7" s="1"/>
  <c r="E1519" i="7" s="1"/>
  <c r="F1519" i="7" s="1"/>
  <c r="P1612" i="7"/>
  <c r="R1612" i="7" s="1"/>
  <c r="E1612" i="7" s="1"/>
  <c r="F1612" i="7" s="1"/>
  <c r="E1628" i="7"/>
  <c r="B1628" i="7" s="1"/>
  <c r="P1637" i="7"/>
  <c r="R1637" i="7" s="1"/>
  <c r="E1637" i="7" s="1"/>
  <c r="B1637" i="7" s="1"/>
  <c r="P1644" i="7"/>
  <c r="R1644" i="7" s="1"/>
  <c r="E1644" i="7" s="1"/>
  <c r="B1644" i="7" s="1"/>
  <c r="E1672" i="7"/>
  <c r="B1672" i="7" s="1"/>
  <c r="E1680" i="7"/>
  <c r="B1680" i="7" s="1"/>
  <c r="P1690" i="7"/>
  <c r="R1690" i="7" s="1"/>
  <c r="E1690" i="7" s="1"/>
  <c r="B1690" i="7" s="1"/>
  <c r="E1700" i="7"/>
  <c r="B1700" i="7" s="1"/>
  <c r="P1661" i="7"/>
  <c r="R1661" i="7" s="1"/>
  <c r="E1661" i="7" s="1"/>
  <c r="F1661" i="7" s="1"/>
  <c r="P1667" i="7"/>
  <c r="R1667" i="7" s="1"/>
  <c r="E1667" i="7" s="1"/>
  <c r="F1667" i="7" s="1"/>
  <c r="P1741" i="7"/>
  <c r="R1741" i="7" s="1"/>
  <c r="E1741" i="7" s="1"/>
  <c r="F1741" i="7" s="1"/>
  <c r="E1750" i="7"/>
  <c r="F1750" i="7" s="1"/>
  <c r="P1822" i="7"/>
  <c r="R1822" i="7" s="1"/>
  <c r="E1822" i="7" s="1"/>
  <c r="F1822" i="7" s="1"/>
  <c r="P1762" i="7"/>
  <c r="R1762" i="7" s="1"/>
  <c r="E1762" i="7" s="1"/>
  <c r="F1762" i="7" s="1"/>
  <c r="P1774" i="7"/>
  <c r="R1774" i="7" s="1"/>
  <c r="E1774" i="7" s="1"/>
  <c r="F1774" i="7" s="1"/>
  <c r="P1780" i="7"/>
  <c r="R1780" i="7" s="1"/>
  <c r="E1780" i="7" s="1"/>
  <c r="F1780" i="7" s="1"/>
  <c r="P1801" i="7"/>
  <c r="R1801" i="7" s="1"/>
  <c r="E1801" i="7" s="1"/>
  <c r="F1801" i="7" s="1"/>
  <c r="P1794" i="7"/>
  <c r="R1794" i="7" s="1"/>
  <c r="E1794" i="7" s="1"/>
  <c r="F1794" i="7" s="1"/>
  <c r="P1787" i="7"/>
  <c r="R1787" i="7" s="1"/>
  <c r="E1787" i="7" s="1"/>
  <c r="F1787" i="7" s="1"/>
  <c r="E1810" i="7"/>
  <c r="F1810" i="7" s="1"/>
  <c r="E1805" i="7"/>
  <c r="F1805" i="7" s="1"/>
  <c r="P1867" i="7"/>
  <c r="R1867" i="7" s="1"/>
  <c r="E1867" i="7" s="1"/>
  <c r="P1874" i="7"/>
  <c r="R1874" i="7" s="1"/>
  <c r="E1874" i="7" s="1"/>
  <c r="F1874" i="7" s="1"/>
  <c r="P1881" i="7"/>
  <c r="R1881" i="7" s="1"/>
  <c r="E1881" i="7" s="1"/>
  <c r="F1881" i="7" s="1"/>
  <c r="P1904" i="7"/>
  <c r="R1904" i="7" s="1"/>
  <c r="E1904" i="7" s="1"/>
  <c r="F1904" i="7" s="1"/>
  <c r="P1910" i="7"/>
  <c r="R1910" i="7" s="1"/>
  <c r="E1910" i="7" s="1"/>
  <c r="G1910" i="7" s="1"/>
  <c r="P1922" i="7"/>
  <c r="R1922" i="7" s="1"/>
  <c r="E1922" i="7" s="1"/>
  <c r="G1922" i="7" s="1"/>
  <c r="P1933" i="7"/>
  <c r="R1933" i="7" s="1"/>
  <c r="E1933" i="7" s="1"/>
  <c r="F1933" i="7" s="1"/>
  <c r="P1942" i="7"/>
  <c r="R1942" i="7" s="1"/>
  <c r="E1942" i="7" s="1"/>
  <c r="F1942" i="7" s="1"/>
  <c r="P2013" i="7"/>
  <c r="R2013" i="7" s="1"/>
  <c r="E2013" i="7" s="1"/>
  <c r="E2018" i="7"/>
  <c r="B2018" i="7" s="1"/>
  <c r="P2024" i="7"/>
  <c r="R2024" i="7" s="1"/>
  <c r="E2024" i="7" s="1"/>
  <c r="F2024" i="7" s="1"/>
  <c r="P2029" i="7"/>
  <c r="R2029" i="7" s="1"/>
  <c r="E2029" i="7" s="1"/>
  <c r="F2029" i="7" s="1"/>
  <c r="P2044" i="7"/>
  <c r="R2044" i="7" s="1"/>
  <c r="E2044" i="7" s="1"/>
  <c r="P2060" i="7"/>
  <c r="R2060" i="7" s="1"/>
  <c r="E2060" i="7" s="1"/>
  <c r="F2060" i="7" s="1"/>
  <c r="P2084" i="7"/>
  <c r="R2084" i="7" s="1"/>
  <c r="E2084" i="7" s="1"/>
  <c r="F2084" i="7" s="1"/>
  <c r="P2102" i="7"/>
  <c r="R2102" i="7" s="1"/>
  <c r="E2102" i="7" s="1"/>
  <c r="F2102" i="7" s="1"/>
  <c r="P2141" i="7"/>
  <c r="R2141" i="7" s="1"/>
  <c r="E2141" i="7" s="1"/>
  <c r="F2141" i="7" s="1"/>
  <c r="P2148" i="7"/>
  <c r="R2148" i="7" s="1"/>
  <c r="E2148" i="7" s="1"/>
  <c r="F2148" i="7" s="1"/>
  <c r="P2260" i="7"/>
  <c r="R2260" i="7" s="1"/>
  <c r="E2260" i="7" s="1"/>
  <c r="F2260" i="7" s="1"/>
  <c r="E2265" i="7"/>
  <c r="F2265" i="7" s="1"/>
  <c r="P2273" i="7"/>
  <c r="R2273" i="7" s="1"/>
  <c r="E2273" i="7" s="1"/>
  <c r="F2273" i="7" s="1"/>
  <c r="E2281" i="7"/>
  <c r="F2281" i="7" s="1"/>
  <c r="P2295" i="7"/>
  <c r="R2295" i="7" s="1"/>
  <c r="E2295" i="7" s="1"/>
  <c r="F2295" i="7" s="1"/>
  <c r="P2287" i="7"/>
  <c r="R2287" i="7" s="1"/>
  <c r="E2287" i="7" s="1"/>
  <c r="F2287" i="7" s="1"/>
  <c r="P2321" i="7"/>
  <c r="R2321" i="7" s="1"/>
  <c r="E2321" i="7" s="1"/>
  <c r="P2338" i="7"/>
  <c r="R2338" i="7" s="1"/>
  <c r="E2338" i="7" s="1"/>
  <c r="F2338" i="7" s="1"/>
  <c r="P2354" i="7"/>
  <c r="R2354" i="7" s="1"/>
  <c r="E2354" i="7" s="1"/>
  <c r="F2354" i="7" s="1"/>
  <c r="P2415" i="7"/>
  <c r="R2415" i="7" s="1"/>
  <c r="E2415" i="7" s="1"/>
  <c r="F2415" i="7" s="1"/>
  <c r="P2402" i="7"/>
  <c r="R2402" i="7" s="1"/>
  <c r="E2402" i="7" s="1"/>
  <c r="F2402" i="7" s="1"/>
  <c r="P2380" i="7"/>
  <c r="R2380" i="7" s="1"/>
  <c r="E2380" i="7" s="1"/>
  <c r="F2380" i="7" s="1"/>
  <c r="P2386" i="7"/>
  <c r="R2386" i="7" s="1"/>
  <c r="E2386" i="7" s="1"/>
  <c r="F2386" i="7" s="1"/>
  <c r="P2395" i="7"/>
  <c r="R2395" i="7" s="1"/>
  <c r="E2395" i="7" s="1"/>
  <c r="F2395" i="7" s="1"/>
  <c r="P2405" i="7"/>
  <c r="R2405" i="7" s="1"/>
  <c r="E2405" i="7" s="1"/>
  <c r="F2405" i="7" s="1"/>
  <c r="P2375" i="7"/>
  <c r="R2375" i="7" s="1"/>
  <c r="E2375" i="7" s="1"/>
  <c r="F2375" i="7" s="1"/>
  <c r="E2481" i="7"/>
  <c r="F2481" i="7" s="1"/>
  <c r="E2468" i="7"/>
  <c r="F2468" i="7" s="1"/>
  <c r="E2474" i="7"/>
  <c r="F2474" i="7" s="1"/>
  <c r="E2484" i="7"/>
  <c r="F2484" i="7" s="1"/>
  <c r="P2492" i="7"/>
  <c r="R2492" i="7" s="1"/>
  <c r="E2492" i="7" s="1"/>
  <c r="F2492" i="7" s="1"/>
  <c r="P2544" i="7"/>
  <c r="R2544" i="7" s="1"/>
  <c r="E2544" i="7" s="1"/>
  <c r="F2544" i="7" s="1"/>
  <c r="P2550" i="7"/>
  <c r="R2550" i="7" s="1"/>
  <c r="E2550" i="7" s="1"/>
  <c r="F2550" i="7" s="1"/>
  <c r="P2558" i="7"/>
  <c r="R2558" i="7" s="1"/>
  <c r="E2558" i="7" s="1"/>
  <c r="F2558" i="7" s="1"/>
  <c r="P2565" i="7"/>
  <c r="R2565" i="7" s="1"/>
  <c r="E2565" i="7" s="1"/>
  <c r="F2565" i="7" s="1"/>
  <c r="P2575" i="7"/>
  <c r="R2575" i="7" s="1"/>
  <c r="E2575" i="7" s="1"/>
  <c r="F2575" i="7" s="1"/>
  <c r="P2581" i="7"/>
  <c r="R2581" i="7" s="1"/>
  <c r="E2581" i="7" s="1"/>
  <c r="F2581" i="7" s="1"/>
  <c r="E2589" i="7"/>
  <c r="F2589" i="7" s="1"/>
  <c r="E2609" i="7"/>
  <c r="B2609" i="7" s="1"/>
  <c r="P2616" i="7"/>
  <c r="R2616" i="7" s="1"/>
  <c r="E2616" i="7" s="1"/>
  <c r="B2616" i="7" s="1"/>
  <c r="P2632" i="7"/>
  <c r="R2632" i="7" s="1"/>
  <c r="E2632" i="7" s="1"/>
  <c r="P2638" i="7"/>
  <c r="R2638" i="7" s="1"/>
  <c r="E2638" i="7" s="1"/>
  <c r="F2638" i="7" s="1"/>
  <c r="P2648" i="7"/>
  <c r="R2648" i="7" s="1"/>
  <c r="E2648" i="7" s="1"/>
  <c r="B2648" i="7" s="1"/>
  <c r="P2651" i="7"/>
  <c r="R2651" i="7" s="1"/>
  <c r="E2651" i="7" s="1"/>
  <c r="G2651" i="7" s="1"/>
  <c r="P2661" i="7"/>
  <c r="R2661" i="7" s="1"/>
  <c r="E2661" i="7" s="1"/>
  <c r="F2661" i="7" s="1"/>
  <c r="P2669" i="7"/>
  <c r="R2669" i="7" s="1"/>
  <c r="E2669" i="7" s="1"/>
  <c r="F2669" i="7" s="1"/>
  <c r="E2672" i="7"/>
  <c r="B2672" i="7" s="1"/>
  <c r="P2686" i="7"/>
  <c r="R2686" i="7" s="1"/>
  <c r="E2686" i="7" s="1"/>
  <c r="B2686" i="7" s="1"/>
  <c r="E2692" i="7"/>
  <c r="B2692" i="7" s="1"/>
  <c r="E2701" i="7"/>
  <c r="B2701" i="7" s="1"/>
  <c r="E2709" i="7"/>
  <c r="B2709" i="7" s="1"/>
  <c r="P2716" i="7"/>
  <c r="R2716" i="7" s="1"/>
  <c r="E2716" i="7" s="1"/>
  <c r="F2716" i="7" s="1"/>
  <c r="P2723" i="7"/>
  <c r="R2723" i="7" s="1"/>
  <c r="E2723" i="7" s="1"/>
  <c r="F2723" i="7" s="1"/>
  <c r="P2737" i="7"/>
  <c r="R2737" i="7" s="1"/>
  <c r="E2737" i="7" s="1"/>
  <c r="F2737" i="7" s="1"/>
  <c r="P2745" i="7"/>
  <c r="R2745" i="7" s="1"/>
  <c r="E2745" i="7" s="1"/>
  <c r="F2745" i="7" s="1"/>
  <c r="P2757" i="7"/>
  <c r="R2757" i="7" s="1"/>
  <c r="E2757" i="7" s="1"/>
  <c r="F2757" i="7" s="1"/>
  <c r="P2787" i="7"/>
  <c r="R2787" i="7" s="1"/>
  <c r="E2787" i="7" s="1"/>
  <c r="F2787" i="7" s="1"/>
  <c r="P2798" i="7"/>
  <c r="R2798" i="7" s="1"/>
  <c r="E2798" i="7" s="1"/>
  <c r="F2798" i="7" s="1"/>
  <c r="P2817" i="7"/>
  <c r="R2817" i="7" s="1"/>
  <c r="E2817" i="7" s="1"/>
  <c r="F2817" i="7" s="1"/>
  <c r="P2834" i="7"/>
  <c r="R2834" i="7" s="1"/>
  <c r="E2834" i="7" s="1"/>
  <c r="G2834" i="7" s="1"/>
  <c r="P2839" i="7"/>
  <c r="R2839" i="7" s="1"/>
  <c r="E2839" i="7" s="1"/>
  <c r="G2839" i="7" s="1"/>
  <c r="P2856" i="7"/>
  <c r="R2856" i="7" s="1"/>
  <c r="E2856" i="7" s="1"/>
  <c r="F2856" i="7" s="1"/>
  <c r="P2862" i="7"/>
  <c r="R2862" i="7" s="1"/>
  <c r="E2862" i="7" s="1"/>
  <c r="F2862" i="7" s="1"/>
  <c r="P2868" i="7"/>
  <c r="R2868" i="7" s="1"/>
  <c r="E2868" i="7" s="1"/>
  <c r="F2868" i="7" s="1"/>
  <c r="P2876" i="7"/>
  <c r="R2876" i="7" s="1"/>
  <c r="E2876" i="7" s="1"/>
  <c r="B2876" i="7" s="1"/>
  <c r="O2171" i="7"/>
  <c r="P2171" i="7" s="1"/>
  <c r="R2171" i="7" s="1"/>
  <c r="E2674" i="7"/>
  <c r="B2674" i="7" s="1"/>
  <c r="H355" i="7"/>
  <c r="H523" i="7"/>
  <c r="H569" i="7"/>
  <c r="H780" i="7"/>
  <c r="H788" i="7"/>
  <c r="H53" i="7"/>
  <c r="H211" i="7"/>
  <c r="H2043" i="7"/>
  <c r="H286" i="7"/>
  <c r="E2622" i="7"/>
  <c r="B2622" i="7" s="1"/>
  <c r="H1895" i="7"/>
  <c r="H210" i="7"/>
  <c r="H474" i="7"/>
  <c r="H774" i="7"/>
  <c r="H2005" i="7"/>
  <c r="H1998" i="7"/>
  <c r="H112" i="7"/>
  <c r="H553" i="7"/>
  <c r="H504" i="7"/>
  <c r="H750" i="7"/>
  <c r="H515" i="7"/>
  <c r="H475" i="7"/>
  <c r="H2018" i="7"/>
  <c r="H1850" i="7"/>
  <c r="H753" i="7"/>
  <c r="H816" i="7"/>
  <c r="H1962" i="7"/>
  <c r="H382" i="7"/>
  <c r="H389" i="7"/>
  <c r="H400" i="7"/>
  <c r="H1771" i="7"/>
  <c r="H230" i="7"/>
  <c r="H234" i="7"/>
  <c r="H205" i="7"/>
  <c r="H1917" i="7"/>
  <c r="H1936" i="7"/>
  <c r="H1906" i="7"/>
  <c r="H1935" i="7"/>
  <c r="H129" i="7"/>
  <c r="H325" i="7"/>
  <c r="H388" i="7"/>
  <c r="H410" i="7"/>
  <c r="H161" i="7"/>
  <c r="T2196" i="7"/>
  <c r="H478" i="7" s="1"/>
  <c r="H766" i="7"/>
  <c r="H773" i="7"/>
  <c r="H489" i="7"/>
  <c r="H356" i="7"/>
  <c r="H368" i="7"/>
  <c r="H737" i="7"/>
  <c r="H146" i="7"/>
  <c r="H153" i="7"/>
  <c r="H736" i="7"/>
  <c r="H745" i="7"/>
  <c r="H1963" i="7"/>
  <c r="H1992" i="7"/>
  <c r="H1789" i="7"/>
  <c r="H334" i="7"/>
  <c r="H385" i="7"/>
  <c r="H390" i="7"/>
  <c r="H514" i="7"/>
  <c r="H517" i="7"/>
  <c r="H804" i="7"/>
  <c r="H1064" i="7"/>
  <c r="T2354" i="7"/>
  <c r="H2354" i="7" s="1"/>
  <c r="H1862" i="7"/>
  <c r="H268" i="7"/>
  <c r="H322" i="7"/>
  <c r="H503" i="7"/>
  <c r="H522" i="7"/>
  <c r="B522" i="7" s="1"/>
  <c r="H604" i="7"/>
  <c r="H602" i="7"/>
  <c r="H723" i="7"/>
  <c r="H787" i="7"/>
  <c r="H1894" i="7"/>
  <c r="O2179" i="7"/>
  <c r="O1932" i="7"/>
  <c r="H159" i="7"/>
  <c r="H216" i="7"/>
  <c r="H178" i="7"/>
  <c r="T1613" i="7"/>
  <c r="H1613" i="7" s="1"/>
  <c r="H383" i="7"/>
  <c r="H949" i="7"/>
  <c r="H309" i="7"/>
  <c r="H338" i="7"/>
  <c r="H393" i="7"/>
  <c r="H166" i="7"/>
  <c r="H1042" i="7"/>
  <c r="H1934" i="7"/>
  <c r="H263" i="7"/>
  <c r="H275" i="7"/>
  <c r="H293" i="7"/>
  <c r="H298" i="7"/>
  <c r="H192" i="7"/>
  <c r="H212" i="7"/>
  <c r="H997" i="7"/>
  <c r="H319" i="7"/>
  <c r="H470" i="7"/>
  <c r="H1038" i="7"/>
  <c r="H227" i="7"/>
  <c r="H353" i="7"/>
  <c r="H730" i="7"/>
  <c r="H229" i="7"/>
  <c r="H1968" i="7"/>
  <c r="H1965" i="7"/>
  <c r="H156" i="7"/>
  <c r="H182" i="7"/>
  <c r="H157" i="7"/>
  <c r="H3" i="7"/>
  <c r="H479" i="7"/>
  <c r="H141" i="7"/>
  <c r="H1790" i="7"/>
  <c r="H1864" i="7"/>
  <c r="H1863" i="7"/>
  <c r="H1925" i="7"/>
  <c r="H1915" i="7"/>
  <c r="H1928" i="7"/>
  <c r="H219" i="7"/>
  <c r="H57" i="7"/>
  <c r="H246" i="7"/>
  <c r="H193" i="7"/>
  <c r="H143" i="7"/>
  <c r="H236" i="7"/>
  <c r="H179" i="7"/>
  <c r="H117" i="7"/>
  <c r="H136" i="7"/>
  <c r="H2" i="7"/>
  <c r="H115" i="7"/>
  <c r="H124" i="7"/>
  <c r="H121" i="7"/>
  <c r="H1794" i="7"/>
  <c r="H12" i="7"/>
  <c r="H107" i="7"/>
  <c r="O661" i="7"/>
  <c r="O657" i="7"/>
  <c r="H1976" i="7"/>
  <c r="H11" i="7"/>
  <c r="H1845" i="7"/>
  <c r="H204" i="7"/>
  <c r="H342" i="7"/>
  <c r="H763" i="7"/>
  <c r="H782" i="7"/>
  <c r="H266" i="7"/>
  <c r="H295" i="7"/>
  <c r="H395" i="7"/>
  <c r="H1807" i="7"/>
  <c r="H111" i="7"/>
  <c r="H233" i="7"/>
  <c r="H278" i="7"/>
  <c r="H181" i="7"/>
  <c r="H238" i="7"/>
  <c r="H300" i="7"/>
  <c r="H62" i="7"/>
  <c r="H65" i="7"/>
  <c r="H299" i="7"/>
  <c r="H394" i="7"/>
  <c r="H729" i="7"/>
  <c r="H762" i="7"/>
  <c r="C8" i="4"/>
  <c r="D8" i="4" s="1"/>
  <c r="C7" i="4"/>
  <c r="D7" i="4" s="1"/>
  <c r="H145" i="7"/>
  <c r="H203" i="7"/>
  <c r="C9" i="4"/>
  <c r="E9" i="4" s="1"/>
  <c r="E18" i="4" s="1"/>
  <c r="H5" i="7"/>
  <c r="H473" i="7"/>
  <c r="H1043" i="7"/>
  <c r="H1905" i="7"/>
  <c r="H1923" i="7"/>
  <c r="C10" i="4"/>
  <c r="E10" i="4" s="1"/>
  <c r="H188" i="7"/>
  <c r="H508" i="7"/>
  <c r="B508" i="7" s="1"/>
  <c r="H806" i="7"/>
  <c r="C11" i="4"/>
  <c r="E11" i="4" s="1"/>
  <c r="C6" i="4"/>
  <c r="D6" i="4" s="1"/>
  <c r="H60" i="7"/>
  <c r="H339" i="7"/>
  <c r="H585" i="7"/>
  <c r="H784" i="7"/>
  <c r="H1980" i="7"/>
  <c r="C12" i="4"/>
  <c r="E12" i="4" s="1"/>
  <c r="H792" i="7"/>
  <c r="C13" i="4"/>
  <c r="D13" i="4" s="1"/>
  <c r="H201" i="7"/>
  <c r="C14" i="4"/>
  <c r="D14" i="4" s="1"/>
  <c r="H384" i="7"/>
  <c r="H559" i="7"/>
  <c r="H1804" i="7"/>
  <c r="H2019" i="7"/>
  <c r="H516" i="7"/>
  <c r="H1975" i="7"/>
  <c r="T603" i="7"/>
  <c r="H603" i="7" s="1"/>
  <c r="T2812" i="7"/>
  <c r="H2812" i="7" s="1"/>
  <c r="B2812" i="7" s="1"/>
  <c r="H247" i="7"/>
  <c r="H303" i="7"/>
  <c r="H310" i="7"/>
  <c r="H330" i="7"/>
  <c r="H336" i="7"/>
  <c r="H398" i="7"/>
  <c r="H476" i="7"/>
  <c r="H751" i="7"/>
  <c r="H755" i="7"/>
  <c r="H789" i="7"/>
  <c r="H149" i="7"/>
  <c r="H186" i="7"/>
  <c r="H245" i="7"/>
  <c r="H584" i="7"/>
  <c r="H756" i="7"/>
  <c r="T1612" i="7"/>
  <c r="H1612" i="7" s="1"/>
  <c r="H119" i="7"/>
  <c r="H122" i="7"/>
  <c r="H255" i="7"/>
  <c r="H276" i="7"/>
  <c r="H301" i="7"/>
  <c r="H347" i="7"/>
  <c r="H480" i="7"/>
  <c r="H1777" i="7"/>
  <c r="H1788" i="7"/>
  <c r="H1904" i="7"/>
  <c r="H1922" i="7"/>
  <c r="H1916" i="7"/>
  <c r="O1524" i="7"/>
  <c r="O1898" i="7"/>
  <c r="O1521" i="7"/>
  <c r="H69" i="7"/>
  <c r="H75" i="7"/>
  <c r="O1901" i="7"/>
  <c r="O2193" i="7"/>
  <c r="H36" i="7"/>
  <c r="H56" i="7"/>
  <c r="H82" i="7"/>
  <c r="G82" i="7" s="1"/>
  <c r="H46" i="7"/>
  <c r="H54" i="7"/>
  <c r="H59" i="7"/>
  <c r="H61" i="7"/>
  <c r="H74" i="7"/>
  <c r="H78" i="7"/>
  <c r="H430" i="7"/>
  <c r="H277" i="7"/>
  <c r="H902" i="7"/>
  <c r="H1324" i="7"/>
  <c r="H2563" i="7"/>
  <c r="H673" i="7"/>
  <c r="H676" i="7"/>
  <c r="H698" i="7"/>
  <c r="H1015" i="7"/>
  <c r="H1029" i="7"/>
  <c r="H1084" i="7"/>
  <c r="H1086" i="7"/>
  <c r="H1088" i="7"/>
  <c r="H1090" i="7"/>
  <c r="H1100" i="7"/>
  <c r="H1114" i="7"/>
  <c r="H1118" i="7"/>
  <c r="H1124" i="7"/>
  <c r="H1568" i="7"/>
  <c r="H1579" i="7"/>
  <c r="H1616" i="7"/>
  <c r="H1837" i="7"/>
  <c r="H1843" i="7"/>
  <c r="H1848" i="7"/>
  <c r="H1852" i="7"/>
  <c r="H1854" i="7"/>
  <c r="H1869" i="7"/>
  <c r="H1874" i="7"/>
  <c r="H1876" i="7"/>
  <c r="H1881" i="7"/>
  <c r="H1884" i="7"/>
  <c r="H1891" i="7"/>
  <c r="H2024" i="7"/>
  <c r="H2061" i="7"/>
  <c r="B2061" i="7" s="1"/>
  <c r="H2126" i="7"/>
  <c r="H2243" i="7"/>
  <c r="H2247" i="7"/>
  <c r="H2321" i="7"/>
  <c r="H2417" i="7"/>
  <c r="H2425" i="7"/>
  <c r="H2426" i="7"/>
  <c r="H2476" i="7"/>
  <c r="H2486" i="7"/>
  <c r="H2496" i="7"/>
  <c r="T500" i="7"/>
  <c r="H500" i="7" s="1"/>
  <c r="H2504" i="7"/>
  <c r="H2508" i="7"/>
  <c r="H2510" i="7"/>
  <c r="H2512" i="7"/>
  <c r="H2516" i="7"/>
  <c r="H2518" i="7"/>
  <c r="H2521" i="7"/>
  <c r="H2536" i="7"/>
  <c r="H2596" i="7"/>
  <c r="H2598" i="7"/>
  <c r="H2600" i="7"/>
  <c r="H2610" i="7"/>
  <c r="H2646" i="7"/>
  <c r="H2689" i="7"/>
  <c r="H2789" i="7"/>
  <c r="H2801" i="7"/>
  <c r="H2815" i="7"/>
  <c r="H2885" i="7"/>
  <c r="T155" i="7"/>
  <c r="H155" i="7" s="1"/>
  <c r="T692" i="7"/>
  <c r="H692" i="7" s="1"/>
  <c r="H17" i="7"/>
  <c r="H133" i="7"/>
  <c r="H493" i="7"/>
  <c r="H511" i="7"/>
  <c r="H505" i="7"/>
  <c r="B505" i="7" s="1"/>
  <c r="H664" i="7"/>
  <c r="H672" i="7"/>
  <c r="H681" i="7"/>
  <c r="H683" i="7"/>
  <c r="H707" i="7"/>
  <c r="H713" i="7"/>
  <c r="H728" i="7"/>
  <c r="H875" i="7"/>
  <c r="H918" i="7"/>
  <c r="H932" i="7"/>
  <c r="H935" i="7"/>
  <c r="H940" i="7"/>
  <c r="H947" i="7"/>
  <c r="H957" i="7"/>
  <c r="H961" i="7"/>
  <c r="H983" i="7"/>
  <c r="H988" i="7"/>
  <c r="H998" i="7"/>
  <c r="H1001" i="7"/>
  <c r="H1008" i="7"/>
  <c r="H1019" i="7"/>
  <c r="H1040" i="7"/>
  <c r="H1046" i="7"/>
  <c r="H1048" i="7"/>
  <c r="H1050" i="7"/>
  <c r="H1053" i="7"/>
  <c r="H1055" i="7"/>
  <c r="H1061" i="7"/>
  <c r="H1069" i="7"/>
  <c r="H1070" i="7"/>
  <c r="H1081" i="7"/>
  <c r="H1129" i="7"/>
  <c r="H1132" i="7"/>
  <c r="H1137" i="7"/>
  <c r="H1143" i="7"/>
  <c r="H1629" i="7"/>
  <c r="H1636" i="7"/>
  <c r="H1682" i="7"/>
  <c r="H1703" i="7"/>
  <c r="H1741" i="7"/>
  <c r="H1829" i="7"/>
  <c r="H1770" i="7"/>
  <c r="H1776" i="7"/>
  <c r="H1797" i="7"/>
  <c r="H1783" i="7"/>
  <c r="H1785" i="7"/>
  <c r="H1787" i="7"/>
  <c r="H1810" i="7"/>
  <c r="H1812" i="7"/>
  <c r="H1803" i="7"/>
  <c r="H1805" i="7"/>
  <c r="H1814" i="7"/>
  <c r="H1857" i="7"/>
  <c r="T1041" i="7"/>
  <c r="H1041" i="7" s="1"/>
  <c r="H2037" i="7"/>
  <c r="H2045" i="7"/>
  <c r="H2049" i="7"/>
  <c r="H2055" i="7"/>
  <c r="H2076" i="7"/>
  <c r="H2434" i="7"/>
  <c r="H2100" i="7"/>
  <c r="H2138" i="7"/>
  <c r="H2191" i="7"/>
  <c r="H2200" i="7"/>
  <c r="H2272" i="7"/>
  <c r="H2276" i="7"/>
  <c r="H2274" i="7"/>
  <c r="H2280" i="7"/>
  <c r="H2332" i="7"/>
  <c r="B2332" i="7" s="1"/>
  <c r="H2359" i="7"/>
  <c r="H2460" i="7"/>
  <c r="H2545" i="7"/>
  <c r="H2554" i="7"/>
  <c r="H2552" i="7"/>
  <c r="H2569" i="7"/>
  <c r="H2580" i="7"/>
  <c r="H2533" i="7"/>
  <c r="T580" i="7"/>
  <c r="H580" i="7" s="1"/>
  <c r="H2708" i="7"/>
  <c r="H2715" i="7"/>
  <c r="H2721" i="7"/>
  <c r="H2770" i="7"/>
  <c r="H2782" i="7"/>
  <c r="H27" i="7"/>
  <c r="H71" i="7"/>
  <c r="H506" i="7"/>
  <c r="B506" i="7" s="1"/>
  <c r="H898" i="7"/>
  <c r="H696" i="7"/>
  <c r="H1733" i="7"/>
  <c r="H1028" i="7"/>
  <c r="H1085" i="7"/>
  <c r="H1115" i="7"/>
  <c r="H1117" i="7"/>
  <c r="H2356" i="7"/>
  <c r="H1580" i="7"/>
  <c r="H1714" i="7"/>
  <c r="H1834" i="7"/>
  <c r="H1842" i="7"/>
  <c r="H1855" i="7"/>
  <c r="H1878" i="7"/>
  <c r="H1885" i="7"/>
  <c r="H1892" i="7"/>
  <c r="H2023" i="7"/>
  <c r="T431" i="7"/>
  <c r="H431" i="7" s="1"/>
  <c r="H2176" i="7"/>
  <c r="H2242" i="7"/>
  <c r="H2250" i="7"/>
  <c r="H2333" i="7"/>
  <c r="H2335" i="7"/>
  <c r="H2428" i="7"/>
  <c r="H2435" i="7"/>
  <c r="H2443" i="7"/>
  <c r="H2480" i="7"/>
  <c r="H2507" i="7"/>
  <c r="H2509" i="7"/>
  <c r="H2511" i="7"/>
  <c r="H2528" i="7"/>
  <c r="H2527" i="7"/>
  <c r="H2634" i="7"/>
  <c r="H2690" i="7"/>
  <c r="H2693" i="7"/>
  <c r="H2697" i="7"/>
  <c r="H2745" i="7"/>
  <c r="H2884" i="7"/>
  <c r="H18" i="7"/>
  <c r="H66" i="7"/>
  <c r="H491" i="7"/>
  <c r="H494" i="7"/>
  <c r="H495" i="7"/>
  <c r="H510" i="7"/>
  <c r="H665" i="7"/>
  <c r="H671" i="7"/>
  <c r="H674" i="7"/>
  <c r="H686" i="7"/>
  <c r="H688" i="7"/>
  <c r="H691" i="7"/>
  <c r="H702" i="7"/>
  <c r="H706" i="7"/>
  <c r="H708" i="7"/>
  <c r="H710" i="7"/>
  <c r="H712" i="7"/>
  <c r="H714" i="7"/>
  <c r="H718" i="7"/>
  <c r="H727" i="7"/>
  <c r="H872" i="7"/>
  <c r="H876" i="7"/>
  <c r="H873" i="7"/>
  <c r="H903" i="7"/>
  <c r="H913" i="7"/>
  <c r="H919" i="7"/>
  <c r="H928" i="7"/>
  <c r="H930" i="7"/>
  <c r="H939" i="7"/>
  <c r="H956" i="7"/>
  <c r="H960" i="7"/>
  <c r="H972" i="7"/>
  <c r="H978" i="7"/>
  <c r="H980" i="7"/>
  <c r="H987" i="7"/>
  <c r="H992" i="7"/>
  <c r="H1000" i="7"/>
  <c r="H999" i="7"/>
  <c r="H1005" i="7"/>
  <c r="H1007" i="7"/>
  <c r="H1011" i="7"/>
  <c r="H1016" i="7"/>
  <c r="H1022" i="7"/>
  <c r="H1036" i="7"/>
  <c r="H1033" i="7"/>
  <c r="H1049" i="7"/>
  <c r="H1051" i="7"/>
  <c r="H1054" i="7"/>
  <c r="H1056" i="7"/>
  <c r="H1058" i="7"/>
  <c r="H1060" i="7"/>
  <c r="H1068" i="7"/>
  <c r="H1076" i="7"/>
  <c r="H1080" i="7"/>
  <c r="H1082" i="7"/>
  <c r="H1125" i="7"/>
  <c r="H1133" i="7"/>
  <c r="H1139" i="7"/>
  <c r="H1153" i="7"/>
  <c r="H1146" i="7"/>
  <c r="H719" i="7"/>
  <c r="H1630" i="7"/>
  <c r="H1635" i="7"/>
  <c r="H1637" i="7"/>
  <c r="H1699" i="7"/>
  <c r="H1660" i="7"/>
  <c r="H1662" i="7"/>
  <c r="H1666" i="7"/>
  <c r="H2411" i="7"/>
  <c r="H1763" i="7"/>
  <c r="H1764" i="7"/>
  <c r="H1773" i="7"/>
  <c r="H1775" i="7"/>
  <c r="H1779" i="7"/>
  <c r="H1796" i="7"/>
  <c r="H1798" i="7"/>
  <c r="H1802" i="7"/>
  <c r="H1791" i="7"/>
  <c r="H1782" i="7"/>
  <c r="H1786" i="7"/>
  <c r="H1809" i="7"/>
  <c r="H1811" i="7"/>
  <c r="H1813" i="7"/>
  <c r="H1830" i="7"/>
  <c r="H1860" i="7"/>
  <c r="T427" i="7"/>
  <c r="H2036" i="7" s="1"/>
  <c r="T428" i="7"/>
  <c r="H428" i="7" s="1"/>
  <c r="H2040" i="7"/>
  <c r="H2046" i="7"/>
  <c r="H2050" i="7"/>
  <c r="H2053" i="7"/>
  <c r="H2057" i="7"/>
  <c r="H2084" i="7"/>
  <c r="H2136" i="7"/>
  <c r="H2181" i="7"/>
  <c r="H2190" i="7"/>
  <c r="H2194" i="7"/>
  <c r="H2353" i="7"/>
  <c r="H2361" i="7"/>
  <c r="H2365" i="7"/>
  <c r="H1983" i="7"/>
  <c r="H2560" i="7"/>
  <c r="H2562" i="7"/>
  <c r="H2567" i="7"/>
  <c r="H2577" i="7"/>
  <c r="H2586" i="7"/>
  <c r="H2627" i="7"/>
  <c r="T581" i="7"/>
  <c r="H2705" i="7" s="1"/>
  <c r="H2707" i="7"/>
  <c r="H2720" i="7"/>
  <c r="H2780" i="7"/>
  <c r="H799" i="7"/>
  <c r="H801" i="7"/>
  <c r="H669" i="7"/>
  <c r="H7" i="7"/>
  <c r="H33" i="7"/>
  <c r="H37" i="7"/>
  <c r="H43" i="7"/>
  <c r="H1728" i="7"/>
  <c r="H9" i="7"/>
  <c r="H16" i="7"/>
  <c r="H90" i="7"/>
  <c r="H668" i="7"/>
  <c r="H1746" i="7"/>
  <c r="H1744" i="7"/>
  <c r="H1466" i="7"/>
  <c r="H1492" i="7"/>
  <c r="H1494" i="7"/>
  <c r="H1726" i="7"/>
  <c r="H2319" i="7"/>
  <c r="H2348" i="7"/>
  <c r="H2360" i="7"/>
  <c r="H2362" i="7"/>
  <c r="H2575" i="7"/>
  <c r="H2589" i="7"/>
  <c r="H2588" i="7"/>
  <c r="H2702" i="7"/>
  <c r="H2712" i="7"/>
  <c r="H2793" i="7"/>
  <c r="H2083" i="7"/>
  <c r="H2107" i="7"/>
  <c r="H2112" i="7"/>
  <c r="H2115" i="7"/>
  <c r="H2118" i="7"/>
  <c r="H2172" i="7"/>
  <c r="H2826" i="7"/>
  <c r="H2809" i="7"/>
  <c r="H661" i="7"/>
  <c r="H1502" i="7"/>
  <c r="H1532" i="7"/>
  <c r="H1538" i="7"/>
  <c r="H1545" i="7"/>
  <c r="H1548" i="7"/>
  <c r="H1566" i="7"/>
  <c r="H1585" i="7"/>
  <c r="H1593" i="7"/>
  <c r="H1597" i="7"/>
  <c r="H1618" i="7"/>
  <c r="H1621" i="7"/>
  <c r="H1623" i="7"/>
  <c r="H1648" i="7"/>
  <c r="H1673" i="7"/>
  <c r="H2142" i="7"/>
  <c r="H2147" i="7"/>
  <c r="H2174" i="7"/>
  <c r="H2210" i="7"/>
  <c r="H2213" i="7"/>
  <c r="H2219" i="7"/>
  <c r="H2832" i="7"/>
  <c r="H2834" i="7"/>
  <c r="H2836" i="7"/>
  <c r="H2837" i="7"/>
  <c r="H2876" i="7"/>
  <c r="H860" i="7"/>
  <c r="H863" i="7"/>
  <c r="H864" i="7"/>
  <c r="H879" i="7"/>
  <c r="H1182" i="7"/>
  <c r="H1193" i="7"/>
  <c r="H1200" i="7"/>
  <c r="H1208" i="7"/>
  <c r="H1213" i="7"/>
  <c r="H1235" i="7"/>
  <c r="H1247" i="7"/>
  <c r="H1254" i="7"/>
  <c r="H1256" i="7"/>
  <c r="H1258" i="7"/>
  <c r="H1260" i="7"/>
  <c r="H1266" i="7"/>
  <c r="H1268" i="7"/>
  <c r="H1269" i="7"/>
  <c r="H1345" i="7"/>
  <c r="H1350" i="7"/>
  <c r="H1403" i="7"/>
  <c r="H1404" i="7"/>
  <c r="H2252" i="7"/>
  <c r="H20" i="7"/>
  <c r="H2791" i="7"/>
  <c r="H1384" i="7"/>
  <c r="H963" i="7"/>
  <c r="T1640" i="7"/>
  <c r="H1640" i="7" s="1"/>
  <c r="T1424" i="7"/>
  <c r="H1424" i="7" s="1"/>
  <c r="H1543" i="7"/>
  <c r="H1685" i="7"/>
  <c r="H1806" i="7"/>
  <c r="H1023" i="7"/>
  <c r="H228" i="7"/>
  <c r="H839" i="7"/>
  <c r="H847" i="7"/>
  <c r="H24" i="7"/>
  <c r="H1145" i="7"/>
  <c r="H30" i="7"/>
  <c r="G30" i="7" s="1"/>
  <c r="H1148" i="7"/>
  <c r="T134" i="7"/>
  <c r="H134" i="7" s="1"/>
  <c r="T351" i="7"/>
  <c r="H291" i="7" s="1"/>
  <c r="F567" i="7"/>
  <c r="H975" i="7"/>
  <c r="H1473" i="7"/>
  <c r="H981" i="7"/>
  <c r="H924" i="7"/>
  <c r="H1024" i="7"/>
  <c r="H697" i="7"/>
  <c r="T232" i="7"/>
  <c r="H232" i="7" s="1"/>
  <c r="H40" i="7"/>
  <c r="H1202" i="7"/>
  <c r="H2743" i="7"/>
  <c r="H2357" i="7"/>
  <c r="H1865" i="7"/>
  <c r="H2416" i="7"/>
  <c r="H2106" i="7"/>
  <c r="H2436" i="7"/>
  <c r="H2111" i="7"/>
  <c r="H1840" i="7"/>
  <c r="H2177" i="7"/>
  <c r="T1969" i="7"/>
  <c r="H1482" i="7" s="1"/>
  <c r="T2497" i="7"/>
  <c r="H1959" i="7" s="1"/>
  <c r="H2547" i="7"/>
  <c r="H1982" i="7"/>
  <c r="H1986" i="7"/>
  <c r="H1198" i="7"/>
  <c r="H1203" i="7"/>
  <c r="H1287" i="7"/>
  <c r="H1361" i="7"/>
  <c r="H1438" i="7"/>
  <c r="H1486" i="7"/>
  <c r="H1498" i="7"/>
  <c r="H1589" i="7"/>
  <c r="H1730" i="7"/>
  <c r="H1751" i="7"/>
  <c r="H1757" i="7"/>
  <c r="T352" i="7"/>
  <c r="H1832" i="7" s="1"/>
  <c r="H2077" i="7"/>
  <c r="H2346" i="7"/>
  <c r="H2367" i="7"/>
  <c r="H116" i="7"/>
  <c r="H200" i="7"/>
  <c r="H244" i="7"/>
  <c r="H6" i="7"/>
  <c r="H13" i="7"/>
  <c r="H10" i="7"/>
  <c r="H19" i="7"/>
  <c r="H34" i="7"/>
  <c r="H35" i="7"/>
  <c r="H39" i="7"/>
  <c r="H55" i="7"/>
  <c r="H72" i="7"/>
  <c r="H80" i="7"/>
  <c r="H170" i="7"/>
  <c r="H187" i="7"/>
  <c r="H194" i="7"/>
  <c r="H258" i="7"/>
  <c r="H264" i="7"/>
  <c r="H267" i="7"/>
  <c r="H273" i="7"/>
  <c r="H365" i="7"/>
  <c r="H437" i="7"/>
  <c r="H482" i="7"/>
  <c r="H2785" i="7"/>
  <c r="H597" i="7"/>
  <c r="H657" i="7"/>
  <c r="H666" i="7"/>
  <c r="H690" i="7"/>
  <c r="H705" i="7"/>
  <c r="H711" i="7"/>
  <c r="H720" i="7"/>
  <c r="H722" i="7"/>
  <c r="H726" i="7"/>
  <c r="H738" i="7"/>
  <c r="H862" i="7"/>
  <c r="H861" i="7"/>
  <c r="H865" i="7"/>
  <c r="H969" i="7"/>
  <c r="H977" i="7"/>
  <c r="H995" i="7"/>
  <c r="H1006" i="7"/>
  <c r="H1012" i="7"/>
  <c r="H1021" i="7"/>
  <c r="H1039" i="7"/>
  <c r="H1077" i="7"/>
  <c r="H1079" i="7"/>
  <c r="H1091" i="7"/>
  <c r="H1130" i="7"/>
  <c r="H1181" i="7"/>
  <c r="H1186" i="7"/>
  <c r="H1189" i="7"/>
  <c r="H1197" i="7"/>
  <c r="H1199" i="7"/>
  <c r="H1217" i="7"/>
  <c r="H1212" i="7"/>
  <c r="H1222" i="7"/>
  <c r="H1239" i="7"/>
  <c r="H1245" i="7"/>
  <c r="H1255" i="7"/>
  <c r="H1259" i="7"/>
  <c r="H1263" i="7"/>
  <c r="H1265" i="7"/>
  <c r="H1351" i="7"/>
  <c r="H1355" i="7"/>
  <c r="H1376" i="7"/>
  <c r="H1444" i="7"/>
  <c r="H1487" i="7"/>
  <c r="H1491" i="7"/>
  <c r="H1539" i="7"/>
  <c r="H1547" i="7"/>
  <c r="H1546" i="7"/>
  <c r="H1553" i="7"/>
  <c r="H1556" i="7"/>
  <c r="H1563" i="7"/>
  <c r="H1594" i="7"/>
  <c r="H1600" i="7"/>
  <c r="H1604" i="7"/>
  <c r="H1609" i="7"/>
  <c r="H1619" i="7"/>
  <c r="H1622" i="7"/>
  <c r="H1647" i="7"/>
  <c r="H1672" i="7"/>
  <c r="H1710" i="7"/>
  <c r="H1723" i="7"/>
  <c r="H1724" i="7"/>
  <c r="H1734" i="7"/>
  <c r="H1745" i="7"/>
  <c r="H1743" i="7"/>
  <c r="H1750" i="7"/>
  <c r="H1752" i="7"/>
  <c r="H1762" i="7"/>
  <c r="H1772" i="7"/>
  <c r="H1774" i="7"/>
  <c r="H1778" i="7"/>
  <c r="H1780" i="7"/>
  <c r="H1801" i="7"/>
  <c r="H1792" i="7"/>
  <c r="H1836" i="7"/>
  <c r="H1838" i="7"/>
  <c r="H1849" i="7"/>
  <c r="H1875" i="7"/>
  <c r="H2007" i="7"/>
  <c r="H2041" i="7"/>
  <c r="H2078" i="7"/>
  <c r="H2087" i="7"/>
  <c r="H2104" i="7"/>
  <c r="H2114" i="7"/>
  <c r="H2119" i="7"/>
  <c r="H2122" i="7"/>
  <c r="H2125" i="7"/>
  <c r="H2143" i="7"/>
  <c r="H2148" i="7"/>
  <c r="H2175" i="7"/>
  <c r="H2185" i="7"/>
  <c r="H2254" i="7"/>
  <c r="H2305" i="7"/>
  <c r="T1943" i="7"/>
  <c r="H2358" i="7"/>
  <c r="H2372" i="7"/>
  <c r="H2539" i="7"/>
  <c r="H2543" i="7"/>
  <c r="H2551" i="7"/>
  <c r="H2585" i="7"/>
  <c r="H2587" i="7"/>
  <c r="H2591" i="7"/>
  <c r="H2605" i="7"/>
  <c r="H2624" i="7"/>
  <c r="H2626" i="7"/>
  <c r="H2629" i="7"/>
  <c r="H2698" i="7"/>
  <c r="H2701" i="7"/>
  <c r="H2710" i="7"/>
  <c r="H2713" i="7"/>
  <c r="H2615" i="7"/>
  <c r="H2727" i="7"/>
  <c r="H2732" i="7"/>
  <c r="H2794" i="7"/>
  <c r="T2060" i="7"/>
  <c r="H1564" i="7" s="1"/>
  <c r="H2831" i="7"/>
  <c r="H2833" i="7"/>
  <c r="H2879" i="7"/>
  <c r="H2120" i="7"/>
  <c r="H1278" i="7"/>
  <c r="H1611" i="7"/>
  <c r="H1377" i="7"/>
  <c r="H954" i="7"/>
  <c r="H1835" i="7"/>
  <c r="H354" i="7"/>
  <c r="H2121" i="7"/>
  <c r="H1844" i="7"/>
  <c r="H195" i="7"/>
  <c r="H106" i="7"/>
  <c r="H240" i="7"/>
  <c r="H849" i="7"/>
  <c r="H241" i="7"/>
  <c r="H851" i="7"/>
  <c r="H243" i="7"/>
  <c r="H853" i="7"/>
  <c r="H225" i="7"/>
  <c r="H855" i="7"/>
  <c r="H314" i="7"/>
  <c r="H1195" i="7"/>
  <c r="H392" i="7"/>
  <c r="H2157" i="7"/>
  <c r="H805" i="7"/>
  <c r="H1383" i="7"/>
  <c r="H1135" i="7"/>
  <c r="H1557" i="7"/>
  <c r="H2131" i="7"/>
  <c r="H1856" i="7"/>
  <c r="H2329" i="7"/>
  <c r="H1948" i="7"/>
  <c r="H2339" i="7"/>
  <c r="H1949" i="7"/>
  <c r="H2517" i="7"/>
  <c r="H1973" i="7"/>
  <c r="H1180" i="7"/>
  <c r="H1221" i="7"/>
  <c r="H1244" i="7"/>
  <c r="H1337" i="7"/>
  <c r="H1366" i="7"/>
  <c r="H1490" i="7"/>
  <c r="H1542" i="7"/>
  <c r="H1605" i="7"/>
  <c r="H1707" i="7"/>
  <c r="H1722" i="7"/>
  <c r="H2105" i="7"/>
  <c r="H2253" i="7"/>
  <c r="H2584" i="7"/>
  <c r="H2716" i="7"/>
  <c r="H4" i="7"/>
  <c r="H114" i="7"/>
  <c r="H120" i="7"/>
  <c r="H108" i="7"/>
  <c r="H113" i="7"/>
  <c r="H118" i="7"/>
  <c r="H131" i="7"/>
  <c r="H135" i="7"/>
  <c r="H140" i="7"/>
  <c r="H189" i="7"/>
  <c r="H217" i="7"/>
  <c r="H235" i="7"/>
  <c r="H231" i="7"/>
  <c r="H281" i="7"/>
  <c r="H367" i="7"/>
  <c r="H381" i="7"/>
  <c r="H574" i="7"/>
  <c r="H628" i="7"/>
  <c r="H635" i="7"/>
  <c r="H652" i="7"/>
  <c r="T670" i="7"/>
  <c r="H809" i="7" s="1"/>
  <c r="H817" i="7"/>
  <c r="H821" i="7"/>
  <c r="H824" i="7"/>
  <c r="H827" i="7"/>
  <c r="H829" i="7"/>
  <c r="H831" i="7"/>
  <c r="H832" i="7"/>
  <c r="H834" i="7"/>
  <c r="H836" i="7"/>
  <c r="H838" i="7"/>
  <c r="H843" i="7"/>
  <c r="H845" i="7"/>
  <c r="H890" i="7"/>
  <c r="H884" i="7"/>
  <c r="H886" i="7"/>
  <c r="H888" i="7"/>
  <c r="H891" i="7"/>
  <c r="H933" i="7"/>
  <c r="H934" i="7"/>
  <c r="H1030" i="7"/>
  <c r="H1037" i="7"/>
  <c r="H1149" i="7"/>
  <c r="H1155" i="7"/>
  <c r="H1238" i="7"/>
  <c r="H1285" i="7"/>
  <c r="H1288" i="7"/>
  <c r="H1290" i="7"/>
  <c r="H1291" i="7"/>
  <c r="H1294" i="7"/>
  <c r="H1299" i="7"/>
  <c r="H1301" i="7"/>
  <c r="H1316" i="7"/>
  <c r="H1330" i="7"/>
  <c r="H1334" i="7"/>
  <c r="H1341" i="7"/>
  <c r="H1408" i="7"/>
  <c r="H1394" i="7"/>
  <c r="H1427" i="7"/>
  <c r="H1418" i="7"/>
  <c r="H1453" i="7"/>
  <c r="H1457" i="7"/>
  <c r="H1513" i="7"/>
  <c r="H1511" i="7"/>
  <c r="H1519" i="7"/>
  <c r="H1540" i="7"/>
  <c r="H1624" i="7"/>
  <c r="H1639" i="7"/>
  <c r="H1641" i="7"/>
  <c r="H1644" i="7"/>
  <c r="H1674" i="7"/>
  <c r="H1676" i="7"/>
  <c r="H1679" i="7"/>
  <c r="H1681" i="7"/>
  <c r="H1683" i="7"/>
  <c r="H1689" i="7"/>
  <c r="H1692" i="7"/>
  <c r="T348" i="7"/>
  <c r="H1701" i="7" s="1"/>
  <c r="H1658" i="7"/>
  <c r="H1661" i="7"/>
  <c r="H1665" i="7"/>
  <c r="H1667" i="7"/>
  <c r="H1713" i="7"/>
  <c r="H1755" i="7"/>
  <c r="H2098" i="7"/>
  <c r="H2129" i="7"/>
  <c r="H2110" i="7"/>
  <c r="T455" i="7"/>
  <c r="H455" i="7" s="1"/>
  <c r="B455" i="7" s="1"/>
  <c r="H2160" i="7"/>
  <c r="H2165" i="7"/>
  <c r="H2167" i="7"/>
  <c r="H2173" i="7"/>
  <c r="H2209" i="7"/>
  <c r="T2813" i="7"/>
  <c r="H2203" i="7" s="1"/>
  <c r="H2257" i="7"/>
  <c r="H2261" i="7"/>
  <c r="H2267" i="7"/>
  <c r="H2289" i="7"/>
  <c r="H2285" i="7"/>
  <c r="H2288" i="7"/>
  <c r="H2322" i="7"/>
  <c r="H2420" i="7"/>
  <c r="H2433" i="7"/>
  <c r="H2439" i="7"/>
  <c r="H2441" i="7"/>
  <c r="H2482" i="7"/>
  <c r="H2471" i="7"/>
  <c r="H2464" i="7"/>
  <c r="H2513" i="7"/>
  <c r="H2594" i="7"/>
  <c r="H2597" i="7"/>
  <c r="H2599" i="7"/>
  <c r="H2609" i="7"/>
  <c r="H2611" i="7"/>
  <c r="H2613" i="7"/>
  <c r="H2616" i="7"/>
  <c r="H2619" i="7"/>
  <c r="H2632" i="7"/>
  <c r="H2636" i="7"/>
  <c r="H2638" i="7"/>
  <c r="H2640" i="7"/>
  <c r="H2642" i="7"/>
  <c r="H2645" i="7"/>
  <c r="H2656" i="7"/>
  <c r="H2660" i="7"/>
  <c r="H2661" i="7"/>
  <c r="H2662" i="7"/>
  <c r="H2666" i="7"/>
  <c r="H2669" i="7"/>
  <c r="H2668" i="7"/>
  <c r="H2678" i="7"/>
  <c r="H2672" i="7"/>
  <c r="H2673" i="7"/>
  <c r="H2688" i="7"/>
  <c r="H2692" i="7"/>
  <c r="H2735" i="7"/>
  <c r="H2737" i="7"/>
  <c r="H2739" i="7"/>
  <c r="H2753" i="7"/>
  <c r="H2761" i="7"/>
  <c r="H2765" i="7"/>
  <c r="H2768" i="7"/>
  <c r="H2773" i="7"/>
  <c r="H2776" i="7"/>
  <c r="H2781" i="7"/>
  <c r="H2806" i="7"/>
  <c r="H2819" i="7"/>
  <c r="H223" i="7"/>
  <c r="H850" i="7"/>
  <c r="H242" i="7"/>
  <c r="H852" i="7"/>
  <c r="H239" i="7"/>
  <c r="H854" i="7"/>
  <c r="H226" i="7"/>
  <c r="H856" i="7"/>
  <c r="H313" i="7"/>
  <c r="H1194" i="7"/>
  <c r="H835" i="7"/>
  <c r="H1405" i="7"/>
  <c r="H895" i="7"/>
  <c r="H2278" i="7"/>
  <c r="H1296" i="7"/>
  <c r="G1673" i="7"/>
  <c r="H2342" i="7"/>
  <c r="H1947" i="7"/>
  <c r="H280" i="7"/>
  <c r="H289" i="7"/>
  <c r="H316" i="7"/>
  <c r="H366" i="7"/>
  <c r="H376" i="7"/>
  <c r="H629" i="7"/>
  <c r="H640" i="7"/>
  <c r="H644" i="7"/>
  <c r="H653" i="7"/>
  <c r="H693" i="7"/>
  <c r="H695" i="7"/>
  <c r="H700" i="7"/>
  <c r="H808" i="7"/>
  <c r="H822" i="7"/>
  <c r="H825" i="7"/>
  <c r="H826" i="7"/>
  <c r="H830" i="7"/>
  <c r="H840" i="7"/>
  <c r="H844" i="7"/>
  <c r="H883" i="7"/>
  <c r="H885" i="7"/>
  <c r="H887" i="7"/>
  <c r="H889" i="7"/>
  <c r="H877" i="7"/>
  <c r="H899" i="7"/>
  <c r="H915" i="7"/>
  <c r="H916" i="7"/>
  <c r="H959" i="7"/>
  <c r="H1026" i="7"/>
  <c r="H1032" i="7"/>
  <c r="H1134" i="7"/>
  <c r="H1140" i="7"/>
  <c r="H1141" i="7"/>
  <c r="H1187" i="7"/>
  <c r="H1237" i="7"/>
  <c r="H1264" i="7"/>
  <c r="H1284" i="7"/>
  <c r="H1289" i="7"/>
  <c r="H1292" i="7"/>
  <c r="H1293" i="7"/>
  <c r="H1295" i="7"/>
  <c r="H1300" i="7"/>
  <c r="H1302" i="7"/>
  <c r="H1312" i="7"/>
  <c r="H1315" i="7"/>
  <c r="H1331" i="7"/>
  <c r="H1336" i="7"/>
  <c r="H1344" i="7"/>
  <c r="H1365" i="7"/>
  <c r="H1385" i="7"/>
  <c r="H1409" i="7"/>
  <c r="H1416" i="7"/>
  <c r="H1431" i="7"/>
  <c r="H1443" i="7"/>
  <c r="H1448" i="7"/>
  <c r="H1456" i="7"/>
  <c r="H1465" i="7"/>
  <c r="H1514" i="7"/>
  <c r="H1512" i="7"/>
  <c r="H1631" i="7"/>
  <c r="H1638" i="7"/>
  <c r="H1642" i="7"/>
  <c r="H1645" i="7"/>
  <c r="H1675" i="7"/>
  <c r="H1686" i="7"/>
  <c r="H1690" i="7"/>
  <c r="H1700" i="7"/>
  <c r="T349" i="7"/>
  <c r="H1702" i="7" s="1"/>
  <c r="H1668" i="7"/>
  <c r="H1861" i="7"/>
  <c r="H1988" i="7"/>
  <c r="H2052" i="7"/>
  <c r="H2074" i="7"/>
  <c r="H2088" i="7"/>
  <c r="H2130" i="7"/>
  <c r="H2109" i="7"/>
  <c r="T456" i="7"/>
  <c r="H360" i="7" s="1"/>
  <c r="H2159" i="7"/>
  <c r="H2162" i="7"/>
  <c r="H2166" i="7"/>
  <c r="H2239" i="7"/>
  <c r="H2258" i="7"/>
  <c r="H2262" i="7"/>
  <c r="H2287" i="7"/>
  <c r="H2299" i="7"/>
  <c r="H2415" i="7"/>
  <c r="H2395" i="7"/>
  <c r="H2421" i="7"/>
  <c r="H2432" i="7"/>
  <c r="H2431" i="7"/>
  <c r="H2438" i="7"/>
  <c r="H2440" i="7"/>
  <c r="H2442" i="7"/>
  <c r="H2479" i="7"/>
  <c r="H2481" i="7"/>
  <c r="H2467" i="7"/>
  <c r="H2470" i="7"/>
  <c r="H2468" i="7"/>
  <c r="H2465" i="7"/>
  <c r="H2484" i="7"/>
  <c r="H2500" i="7"/>
  <c r="H2502" i="7"/>
  <c r="H2520" i="7"/>
  <c r="H2526" i="7"/>
  <c r="H2592" i="7"/>
  <c r="H2612" i="7"/>
  <c r="H2614" i="7"/>
  <c r="H2617" i="7"/>
  <c r="H2622" i="7"/>
  <c r="H2633" i="7"/>
  <c r="H2635" i="7"/>
  <c r="H2637" i="7"/>
  <c r="H2639" i="7"/>
  <c r="H2641" i="7"/>
  <c r="H2655" i="7"/>
  <c r="H2663" i="7"/>
  <c r="H2674" i="7"/>
  <c r="H2691" i="7"/>
  <c r="H2694" i="7"/>
  <c r="H2695" i="7"/>
  <c r="H2736" i="7"/>
  <c r="H2738" i="7"/>
  <c r="H2746" i="7"/>
  <c r="H2749" i="7"/>
  <c r="H2764" i="7"/>
  <c r="H2766" i="7"/>
  <c r="H2778" i="7"/>
  <c r="H2779" i="7"/>
  <c r="H2784" i="7"/>
  <c r="H2810" i="7"/>
  <c r="O848" i="7"/>
  <c r="O847" i="7"/>
  <c r="E849" i="7"/>
  <c r="F849" i="7" s="1"/>
  <c r="E856" i="7"/>
  <c r="G856" i="7" s="1"/>
  <c r="E858" i="7"/>
  <c r="G858" i="7" s="1"/>
  <c r="H47" i="7"/>
  <c r="H49" i="7"/>
  <c r="H85" i="7"/>
  <c r="H87" i="7"/>
  <c r="G87" i="7" s="1"/>
  <c r="H96" i="7"/>
  <c r="H168" i="7"/>
  <c r="H323" i="7"/>
  <c r="H326" i="7"/>
  <c r="H371" i="7"/>
  <c r="H378" i="7"/>
  <c r="H443" i="7"/>
  <c r="H472" i="7"/>
  <c r="H543" i="7"/>
  <c r="H545" i="7"/>
  <c r="H555" i="7"/>
  <c r="H556" i="7"/>
  <c r="H626" i="7"/>
  <c r="H663" i="7"/>
  <c r="H678" i="7"/>
  <c r="H757" i="7"/>
  <c r="H833" i="7"/>
  <c r="H1004" i="7"/>
  <c r="H1142" i="7"/>
  <c r="H1356" i="7"/>
  <c r="H1386" i="7"/>
  <c r="H2139" i="7"/>
  <c r="H2195" i="7"/>
  <c r="H2199" i="7"/>
  <c r="H2204" i="7"/>
  <c r="H2559" i="7"/>
  <c r="H2561" i="7"/>
  <c r="H2564" i="7"/>
  <c r="H2566" i="7"/>
  <c r="H2576" i="7"/>
  <c r="H2723" i="7"/>
  <c r="H2822" i="7"/>
  <c r="H2829" i="7"/>
  <c r="H45" i="7"/>
  <c r="H50" i="7"/>
  <c r="H86" i="7"/>
  <c r="H98" i="7"/>
  <c r="H97" i="7"/>
  <c r="H249" i="7"/>
  <c r="H252" i="7"/>
  <c r="H256" i="7"/>
  <c r="H271" i="7"/>
  <c r="H288" i="7"/>
  <c r="H362" i="7"/>
  <c r="H369" i="7"/>
  <c r="H436" i="7"/>
  <c r="H529" i="7"/>
  <c r="H539" i="7"/>
  <c r="H575" i="7"/>
  <c r="H594" i="7"/>
  <c r="H627" i="7"/>
  <c r="H647" i="7"/>
  <c r="H682" i="7"/>
  <c r="H744" i="7"/>
  <c r="H758" i="7"/>
  <c r="H1226" i="7"/>
  <c r="H2388" i="7"/>
  <c r="H48" i="7"/>
  <c r="H89" i="7"/>
  <c r="H92" i="7"/>
  <c r="H99" i="7"/>
  <c r="H127" i="7"/>
  <c r="H165" i="7"/>
  <c r="H318" i="7"/>
  <c r="H329" i="7"/>
  <c r="H457" i="7"/>
  <c r="H563" i="7"/>
  <c r="H624" i="7"/>
  <c r="H659" i="7"/>
  <c r="H675" i="7"/>
  <c r="H807" i="7"/>
  <c r="H1367" i="7"/>
  <c r="H1533" i="7"/>
  <c r="H1534" i="7"/>
  <c r="H2006" i="7"/>
  <c r="H2022" i="7"/>
  <c r="H2029" i="7"/>
  <c r="H2137" i="7"/>
  <c r="H2144" i="7"/>
  <c r="H2303" i="7"/>
  <c r="H2316" i="7"/>
  <c r="H2345" i="7"/>
  <c r="H2352" i="7"/>
  <c r="H2825" i="7"/>
  <c r="H91" i="7"/>
  <c r="H88" i="7"/>
  <c r="H94" i="7"/>
  <c r="H100" i="7"/>
  <c r="H101" i="7"/>
  <c r="H125" i="7"/>
  <c r="H152" i="7"/>
  <c r="H158" i="7"/>
  <c r="H250" i="7"/>
  <c r="H272" i="7"/>
  <c r="H361" i="7"/>
  <c r="H370" i="7"/>
  <c r="H458" i="7"/>
  <c r="H531" i="7"/>
  <c r="T536" i="7"/>
  <c r="H536" i="7" s="1"/>
  <c r="H625" i="7"/>
  <c r="H648" i="7"/>
  <c r="H662" i="7"/>
  <c r="H761" i="7"/>
  <c r="H1664" i="7"/>
  <c r="H1890" i="7"/>
  <c r="H2232" i="7"/>
  <c r="H2263" i="7"/>
  <c r="H2268" i="7"/>
  <c r="H2271" i="7"/>
  <c r="H2273" i="7"/>
  <c r="H2277" i="7"/>
  <c r="H2279" i="7"/>
  <c r="H2283" i="7"/>
  <c r="H2294" i="7"/>
  <c r="H2301" i="7"/>
  <c r="H2382" i="7"/>
  <c r="H2407" i="7"/>
  <c r="H2423" i="7"/>
  <c r="H2430" i="7"/>
  <c r="H2446" i="7"/>
  <c r="H2451" i="7"/>
  <c r="H2452" i="7"/>
  <c r="H2483" i="7"/>
  <c r="H2466" i="7"/>
  <c r="H2475" i="7"/>
  <c r="H2488" i="7"/>
  <c r="H2495" i="7"/>
  <c r="H2505" i="7"/>
  <c r="H2519" i="7"/>
  <c r="H2798" i="7"/>
  <c r="H2861" i="7"/>
  <c r="H2870" i="7"/>
  <c r="H2875" i="7"/>
  <c r="H1358" i="7"/>
  <c r="H290" i="7"/>
  <c r="H296" i="7"/>
  <c r="H302" i="7"/>
  <c r="H308" i="7"/>
  <c r="H331" i="7"/>
  <c r="H344" i="7"/>
  <c r="H364" i="7"/>
  <c r="H377" i="7"/>
  <c r="H404" i="7"/>
  <c r="H432" i="7"/>
  <c r="H8" i="7"/>
  <c r="H484" i="7"/>
  <c r="H486" i="7"/>
  <c r="H496" i="7"/>
  <c r="H2318" i="7"/>
  <c r="H498" i="7"/>
  <c r="H1388" i="7"/>
  <c r="H501" i="7"/>
  <c r="H509" i="7"/>
  <c r="H513" i="7"/>
  <c r="H343" i="7"/>
  <c r="H526" i="7"/>
  <c r="H528" i="7"/>
  <c r="H2487" i="7"/>
  <c r="H532" i="7"/>
  <c r="H534" i="7"/>
  <c r="H945" i="7"/>
  <c r="H2090" i="7"/>
  <c r="H593" i="7"/>
  <c r="H595" i="7"/>
  <c r="H620" i="7"/>
  <c r="H592" i="7"/>
  <c r="H610" i="7"/>
  <c r="H345" i="7"/>
  <c r="H612" i="7"/>
  <c r="H1598" i="7"/>
  <c r="H614" i="7"/>
  <c r="H660" i="7"/>
  <c r="H685" i="7"/>
  <c r="H687" i="7"/>
  <c r="H1591" i="7"/>
  <c r="H716" i="7"/>
  <c r="H14" i="7"/>
  <c r="H724" i="7"/>
  <c r="H732" i="7"/>
  <c r="H904" i="7"/>
  <c r="H734" i="7"/>
  <c r="H2266" i="7"/>
  <c r="H743" i="7"/>
  <c r="H1510" i="7"/>
  <c r="H769" i="7"/>
  <c r="H777" i="7"/>
  <c r="H779" i="7"/>
  <c r="H786" i="7"/>
  <c r="H858" i="7"/>
  <c r="H878" i="7"/>
  <c r="H81" i="7"/>
  <c r="G81" i="7" s="1"/>
  <c r="H880" i="7"/>
  <c r="H83" i="7"/>
  <c r="G83" i="7" s="1"/>
  <c r="H1003" i="7"/>
  <c r="T1477" i="7"/>
  <c r="H1477" i="7" s="1"/>
  <c r="T311" i="7"/>
  <c r="H1646" i="7" s="1"/>
  <c r="H1127" i="7"/>
  <c r="H1152" i="7"/>
  <c r="H1147" i="7"/>
  <c r="T2403" i="7"/>
  <c r="H1756" i="7" s="1"/>
  <c r="H1184" i="7"/>
  <c r="H1183" i="7"/>
  <c r="H1205" i="7"/>
  <c r="H1214" i="7"/>
  <c r="H1220" i="7"/>
  <c r="H1227" i="7"/>
  <c r="H1229" i="7"/>
  <c r="H1231" i="7"/>
  <c r="H1233" i="7"/>
  <c r="H1270" i="7"/>
  <c r="H1319" i="7"/>
  <c r="H557" i="7"/>
  <c r="H1321" i="7"/>
  <c r="H560" i="7"/>
  <c r="H1326" i="7"/>
  <c r="H564" i="7"/>
  <c r="H1329" i="7"/>
  <c r="H1333" i="7"/>
  <c r="H1348" i="7"/>
  <c r="H599" i="7"/>
  <c r="H1349" i="7"/>
  <c r="H1353" i="7"/>
  <c r="H1357" i="7"/>
  <c r="H1354" i="7"/>
  <c r="T1369" i="7"/>
  <c r="H1371" i="7"/>
  <c r="H172" i="7"/>
  <c r="H304" i="7"/>
  <c r="H373" i="7"/>
  <c r="H396" i="7"/>
  <c r="H397" i="7"/>
  <c r="H435" i="7"/>
  <c r="H440" i="7"/>
  <c r="H2409" i="7"/>
  <c r="H448" i="7"/>
  <c r="H1937" i="7"/>
  <c r="H451" i="7"/>
  <c r="H2152" i="7"/>
  <c r="H2222" i="7"/>
  <c r="H619" i="7"/>
  <c r="H551" i="7"/>
  <c r="H558" i="7"/>
  <c r="H566" i="7"/>
  <c r="H2214" i="7"/>
  <c r="H571" i="7"/>
  <c r="H1144" i="7"/>
  <c r="H589" i="7"/>
  <c r="H26" i="7"/>
  <c r="H636" i="7"/>
  <c r="H638" i="7"/>
  <c r="H642" i="7"/>
  <c r="H651" i="7"/>
  <c r="H655" i="7"/>
  <c r="H794" i="7"/>
  <c r="H1271" i="7"/>
  <c r="H793" i="7"/>
  <c r="H797" i="7"/>
  <c r="H802" i="7"/>
  <c r="H810" i="7"/>
  <c r="H814" i="7"/>
  <c r="H823" i="7"/>
  <c r="H819" i="7"/>
  <c r="H837" i="7"/>
  <c r="H846" i="7"/>
  <c r="H882" i="7"/>
  <c r="H84" i="7"/>
  <c r="G84" i="7" s="1"/>
  <c r="H867" i="7"/>
  <c r="H920" i="7"/>
  <c r="H922" i="7"/>
  <c r="H926" i="7"/>
  <c r="H1305" i="7"/>
  <c r="H929" i="7"/>
  <c r="H1627" i="7"/>
  <c r="H931" i="7"/>
  <c r="H1704" i="7"/>
  <c r="H941" i="7"/>
  <c r="H943" i="7"/>
  <c r="H2788" i="7"/>
  <c r="H952" i="7"/>
  <c r="H955" i="7"/>
  <c r="H986" i="7"/>
  <c r="H990" i="7"/>
  <c r="H993" i="7"/>
  <c r="H1009" i="7"/>
  <c r="H1017" i="7"/>
  <c r="H1044" i="7"/>
  <c r="H1059" i="7"/>
  <c r="H190" i="7"/>
  <c r="H1063" i="7"/>
  <c r="H1072" i="7"/>
  <c r="H1067" i="7"/>
  <c r="H1087" i="7"/>
  <c r="H1089" i="7"/>
  <c r="H1093" i="7"/>
  <c r="H1096" i="7"/>
  <c r="H1099" i="7"/>
  <c r="H1104" i="7"/>
  <c r="H1106" i="7"/>
  <c r="H1109" i="7"/>
  <c r="H1113" i="7"/>
  <c r="H1119" i="7"/>
  <c r="H1120" i="7"/>
  <c r="H1123" i="7"/>
  <c r="H1156" i="7"/>
  <c r="H1161" i="7"/>
  <c r="H1171" i="7"/>
  <c r="H1174" i="7"/>
  <c r="H346" i="7"/>
  <c r="T1175" i="7"/>
  <c r="H1175" i="7" s="1"/>
  <c r="H1177" i="7"/>
  <c r="H350" i="7"/>
  <c r="B350" i="7" s="1"/>
  <c r="O1234" i="7"/>
  <c r="L1239" i="7"/>
  <c r="O1239" i="7" s="1"/>
  <c r="H1236" i="7"/>
  <c r="T1246" i="7"/>
  <c r="H1246" i="7" s="1"/>
  <c r="H1250" i="7"/>
  <c r="H1253" i="7"/>
  <c r="H1267" i="7"/>
  <c r="H1262" i="7"/>
  <c r="H1303" i="7"/>
  <c r="H525" i="7"/>
  <c r="H1342" i="7"/>
  <c r="H1419" i="7"/>
  <c r="H1421" i="7"/>
  <c r="H1423" i="7"/>
  <c r="H332" i="7"/>
  <c r="H358" i="7"/>
  <c r="H363" i="7"/>
  <c r="H951" i="7"/>
  <c r="H485" i="7"/>
  <c r="H2156" i="7"/>
  <c r="H487" i="7"/>
  <c r="H497" i="7"/>
  <c r="H520" i="7"/>
  <c r="H524" i="7"/>
  <c r="H25" i="7"/>
  <c r="H530" i="7"/>
  <c r="H968" i="7"/>
  <c r="H535" i="7"/>
  <c r="H645" i="7"/>
  <c r="H621" i="7"/>
  <c r="H591" i="7"/>
  <c r="H590" i="7"/>
  <c r="H611" i="7"/>
  <c r="H613" i="7"/>
  <c r="H1601" i="7"/>
  <c r="H615" i="7"/>
  <c r="H2729" i="7"/>
  <c r="H656" i="7"/>
  <c r="H658" i="7"/>
  <c r="H680" i="7"/>
  <c r="H684" i="7"/>
  <c r="H2034" i="7"/>
  <c r="H1717" i="7"/>
  <c r="H704" i="7"/>
  <c r="H2363" i="7"/>
  <c r="H721" i="7"/>
  <c r="H1558" i="7"/>
  <c r="H725" i="7"/>
  <c r="H2123" i="7"/>
  <c r="H731" i="7"/>
  <c r="H781" i="7"/>
  <c r="H733" i="7"/>
  <c r="H905" i="7"/>
  <c r="H767" i="7"/>
  <c r="H742" i="7"/>
  <c r="H764" i="7"/>
  <c r="H768" i="7"/>
  <c r="H778" i="7"/>
  <c r="T2795" i="7"/>
  <c r="H2192" i="7" s="1"/>
  <c r="T2082" i="7"/>
  <c r="H2748" i="7"/>
  <c r="H1126" i="7"/>
  <c r="H1136" i="7"/>
  <c r="H1138" i="7"/>
  <c r="H1188" i="7"/>
  <c r="H359" i="7"/>
  <c r="H1192" i="7"/>
  <c r="H372" i="7"/>
  <c r="H1190" i="7"/>
  <c r="H379" i="7"/>
  <c r="H1216" i="7"/>
  <c r="H1228" i="7"/>
  <c r="H1230" i="7"/>
  <c r="H1232" i="7"/>
  <c r="H1308" i="7"/>
  <c r="H1322" i="7"/>
  <c r="H562" i="7"/>
  <c r="H1328" i="7"/>
  <c r="H1332" i="7"/>
  <c r="H1368" i="7"/>
  <c r="H1372" i="7"/>
  <c r="H740" i="7"/>
  <c r="H1401" i="7"/>
  <c r="H171" i="7"/>
  <c r="H253" i="7"/>
  <c r="T126" i="7"/>
  <c r="H279" i="7" s="1"/>
  <c r="T942" i="7"/>
  <c r="H1131" i="7" s="1"/>
  <c r="H294" i="7"/>
  <c r="H297" i="7"/>
  <c r="H374" i="7"/>
  <c r="H438" i="7"/>
  <c r="H1946" i="7"/>
  <c r="H446" i="7"/>
  <c r="H450" i="7"/>
  <c r="H1938" i="7"/>
  <c r="H549" i="7"/>
  <c r="H251" i="7"/>
  <c r="H572" i="7"/>
  <c r="H587" i="7"/>
  <c r="H588" i="7"/>
  <c r="H637" i="7"/>
  <c r="H641" i="7"/>
  <c r="H1108" i="7"/>
  <c r="H643" i="7"/>
  <c r="H654" i="7"/>
  <c r="H677" i="7"/>
  <c r="H679" i="7"/>
  <c r="H694" i="7"/>
  <c r="H699" i="7"/>
  <c r="H795" i="7"/>
  <c r="H796" i="7"/>
  <c r="H803" i="7"/>
  <c r="H811" i="7"/>
  <c r="H815" i="7"/>
  <c r="H818" i="7"/>
  <c r="H820" i="7"/>
  <c r="H868" i="7"/>
  <c r="H914" i="7"/>
  <c r="H577" i="7"/>
  <c r="H917" i="7"/>
  <c r="H749" i="7"/>
  <c r="H921" i="7"/>
  <c r="H925" i="7"/>
  <c r="H1031" i="7"/>
  <c r="H936" i="7"/>
  <c r="H2699" i="7"/>
  <c r="H944" i="7"/>
  <c r="H953" i="7"/>
  <c r="H958" i="7"/>
  <c r="H970" i="7"/>
  <c r="H976" i="7"/>
  <c r="H982" i="7"/>
  <c r="H989" i="7"/>
  <c r="H994" i="7"/>
  <c r="H1002" i="7"/>
  <c r="H1013" i="7"/>
  <c r="H1010" i="7"/>
  <c r="H1018" i="7"/>
  <c r="H1045" i="7"/>
  <c r="H1047" i="7"/>
  <c r="H1066" i="7"/>
  <c r="H1071" i="7"/>
  <c r="H1078" i="7"/>
  <c r="H1097" i="7"/>
  <c r="H1103" i="7"/>
  <c r="H1105" i="7"/>
  <c r="H1107" i="7"/>
  <c r="H1111" i="7"/>
  <c r="H1112" i="7"/>
  <c r="H1116" i="7"/>
  <c r="H1122" i="7"/>
  <c r="H1128" i="7"/>
  <c r="T709" i="7"/>
  <c r="H1154" i="7" s="1"/>
  <c r="T2401" i="7"/>
  <c r="H1754" i="7" s="1"/>
  <c r="H1157" i="7"/>
  <c r="H1160" i="7"/>
  <c r="H1164" i="7"/>
  <c r="H321" i="7"/>
  <c r="H1170" i="7"/>
  <c r="H1172" i="7"/>
  <c r="H1173" i="7"/>
  <c r="T237" i="7"/>
  <c r="H1176" i="7" s="1"/>
  <c r="T1178" i="7"/>
  <c r="H1178" i="7" s="1"/>
  <c r="H1241" i="7"/>
  <c r="H439" i="7"/>
  <c r="H1243" i="7"/>
  <c r="H441" i="7"/>
  <c r="T1249" i="7"/>
  <c r="H1249" i="7" s="1"/>
  <c r="H1274" i="7"/>
  <c r="H1279" i="7"/>
  <c r="T946" i="7"/>
  <c r="H1304" i="7" s="1"/>
  <c r="H1335" i="7"/>
  <c r="H582" i="7"/>
  <c r="H1420" i="7"/>
  <c r="H1422" i="7"/>
  <c r="H1433" i="7"/>
  <c r="H1435" i="7"/>
  <c r="H1451" i="7"/>
  <c r="H1489" i="7"/>
  <c r="H813" i="7"/>
  <c r="H1493" i="7"/>
  <c r="H1497" i="7"/>
  <c r="H1500" i="7"/>
  <c r="H1524" i="7"/>
  <c r="H1526" i="7"/>
  <c r="H1528" i="7"/>
  <c r="H1530" i="7"/>
  <c r="H869" i="7"/>
  <c r="H1536" i="7"/>
  <c r="H1560" i="7"/>
  <c r="H894" i="7"/>
  <c r="H1565" i="7"/>
  <c r="H1576" i="7"/>
  <c r="H1578" i="7"/>
  <c r="H1584" i="7"/>
  <c r="H1588" i="7"/>
  <c r="H1590" i="7"/>
  <c r="H1596" i="7"/>
  <c r="H1607" i="7"/>
  <c r="H1615" i="7"/>
  <c r="H1617" i="7"/>
  <c r="H1687" i="7"/>
  <c r="H1034" i="7"/>
  <c r="H1663" i="7"/>
  <c r="H1853" i="7"/>
  <c r="H1858" i="7"/>
  <c r="H1282" i="7"/>
  <c r="H1888" i="7"/>
  <c r="H1887" i="7"/>
  <c r="H1910" i="7"/>
  <c r="H1913" i="7"/>
  <c r="H1918" i="7"/>
  <c r="H1933" i="7"/>
  <c r="H1940" i="7"/>
  <c r="H1942" i="7"/>
  <c r="H1387" i="7"/>
  <c r="H1944" i="7"/>
  <c r="H1426" i="7"/>
  <c r="H1977" i="7"/>
  <c r="H1414" i="7"/>
  <c r="H1987" i="7"/>
  <c r="H1428" i="7"/>
  <c r="H1989" i="7"/>
  <c r="H1430" i="7"/>
  <c r="H1997" i="7"/>
  <c r="H1439" i="7"/>
  <c r="H1951" i="7"/>
  <c r="H1956" i="7"/>
  <c r="H1955" i="7"/>
  <c r="H1953" i="7"/>
  <c r="H2000" i="7"/>
  <c r="H2016" i="7"/>
  <c r="H2028" i="7"/>
  <c r="H1507" i="7"/>
  <c r="H2032" i="7"/>
  <c r="H2080" i="7"/>
  <c r="T1823" i="7"/>
  <c r="H2085" i="7" s="1"/>
  <c r="H2135" i="7"/>
  <c r="H1688" i="7"/>
  <c r="H2141" i="7"/>
  <c r="H1696" i="7"/>
  <c r="H2146" i="7"/>
  <c r="H2179" i="7"/>
  <c r="H2183" i="7"/>
  <c r="H2198" i="7"/>
  <c r="H2206" i="7"/>
  <c r="H2208" i="7"/>
  <c r="H2211" i="7"/>
  <c r="H2215" i="7"/>
  <c r="H2224" i="7"/>
  <c r="H2226" i="7"/>
  <c r="H2245" i="7"/>
  <c r="H2246" i="7"/>
  <c r="H2248" i="7"/>
  <c r="H2326" i="7"/>
  <c r="H1978" i="7"/>
  <c r="H2327" i="7"/>
  <c r="H2330" i="7"/>
  <c r="H2334" i="7"/>
  <c r="H2336" i="7"/>
  <c r="H2338" i="7"/>
  <c r="T1961" i="7"/>
  <c r="H1961" i="7" s="1"/>
  <c r="T2010" i="7"/>
  <c r="H2583" i="7" s="1"/>
  <c r="T2459" i="7"/>
  <c r="H2459" i="7" s="1"/>
  <c r="H2462" i="7"/>
  <c r="H2472" i="7"/>
  <c r="H2474" i="7"/>
  <c r="H2478" i="7"/>
  <c r="H2490" i="7"/>
  <c r="H2492" i="7"/>
  <c r="H2506" i="7"/>
  <c r="H2515" i="7"/>
  <c r="H2524" i="7"/>
  <c r="H2529" i="7"/>
  <c r="H2340" i="7"/>
  <c r="H2531" i="7"/>
  <c r="H2532" i="7"/>
  <c r="H2349" i="7"/>
  <c r="T2538" i="7"/>
  <c r="H2538" i="7" s="1"/>
  <c r="H1373" i="7"/>
  <c r="H1437" i="7"/>
  <c r="H1445" i="7"/>
  <c r="H1461" i="7"/>
  <c r="H771" i="7"/>
  <c r="H1468" i="7"/>
  <c r="H1522" i="7"/>
  <c r="H1551" i="7"/>
  <c r="H1625" i="7"/>
  <c r="H1654" i="7"/>
  <c r="H1706" i="7"/>
  <c r="H1708" i="7"/>
  <c r="H1712" i="7"/>
  <c r="H1715" i="7"/>
  <c r="H1721" i="7"/>
  <c r="H1727" i="7"/>
  <c r="H1729" i="7"/>
  <c r="H1731" i="7"/>
  <c r="H1732" i="7"/>
  <c r="H1738" i="7"/>
  <c r="H1827" i="7"/>
  <c r="H1841" i="7"/>
  <c r="H1867" i="7"/>
  <c r="H1872" i="7"/>
  <c r="H1920" i="7"/>
  <c r="H1391" i="7"/>
  <c r="H1972" i="7"/>
  <c r="H1395" i="7"/>
  <c r="H2014" i="7"/>
  <c r="H2038" i="7"/>
  <c r="H1518" i="7"/>
  <c r="H2048" i="7"/>
  <c r="H2064" i="7"/>
  <c r="H2066" i="7"/>
  <c r="H2089" i="7"/>
  <c r="H1620" i="7"/>
  <c r="H2094" i="7"/>
  <c r="H2101" i="7"/>
  <c r="H2133" i="7"/>
  <c r="H1684" i="7"/>
  <c r="H2154" i="7"/>
  <c r="H2170" i="7"/>
  <c r="H2169" i="7"/>
  <c r="H2220" i="7"/>
  <c r="H2231" i="7"/>
  <c r="H2236" i="7"/>
  <c r="H2238" i="7"/>
  <c r="H2259" i="7"/>
  <c r="H1882" i="7"/>
  <c r="H2256" i="7"/>
  <c r="H2264" i="7"/>
  <c r="H1932" i="7"/>
  <c r="H2270" i="7"/>
  <c r="H2290" i="7"/>
  <c r="H2297" i="7"/>
  <c r="H2292" i="7"/>
  <c r="H2300" i="7"/>
  <c r="T2302" i="7"/>
  <c r="H2302" i="7" s="1"/>
  <c r="H2306" i="7"/>
  <c r="H2307" i="7"/>
  <c r="H2309" i="7"/>
  <c r="H2311" i="7"/>
  <c r="H2314" i="7"/>
  <c r="H2317" i="7"/>
  <c r="H2315" i="7"/>
  <c r="H2324" i="7"/>
  <c r="H2350" i="7"/>
  <c r="H2027" i="7"/>
  <c r="T2858" i="7"/>
  <c r="H2373" i="7" s="1"/>
  <c r="H2413" i="7"/>
  <c r="H2062" i="7"/>
  <c r="H2389" i="7"/>
  <c r="H2400" i="7"/>
  <c r="H2072" i="7"/>
  <c r="H2402" i="7"/>
  <c r="H2368" i="7"/>
  <c r="H2370" i="7"/>
  <c r="H2380" i="7"/>
  <c r="H2384" i="7"/>
  <c r="H2386" i="7"/>
  <c r="H2391" i="7"/>
  <c r="H2099" i="7"/>
  <c r="H2393" i="7"/>
  <c r="H2397" i="7"/>
  <c r="H2399" i="7"/>
  <c r="H2405" i="7"/>
  <c r="H2410" i="7"/>
  <c r="H2128" i="7"/>
  <c r="H2378" i="7"/>
  <c r="H2132" i="7"/>
  <c r="H2418" i="7"/>
  <c r="H2422" i="7"/>
  <c r="H2456" i="7"/>
  <c r="H1434" i="7"/>
  <c r="H1436" i="7"/>
  <c r="H1442" i="7"/>
  <c r="H748" i="7"/>
  <c r="O748" i="7" s="1"/>
  <c r="P748" i="7" s="1"/>
  <c r="R748" i="7" s="1"/>
  <c r="E748" i="7" s="1"/>
  <c r="H1449" i="7"/>
  <c r="H1483" i="7"/>
  <c r="H1488" i="7"/>
  <c r="H812" i="7"/>
  <c r="H1504" i="7"/>
  <c r="H1523" i="7"/>
  <c r="H859" i="7"/>
  <c r="H1527" i="7"/>
  <c r="H1529" i="7"/>
  <c r="H1535" i="7"/>
  <c r="H1554" i="7"/>
  <c r="H892" i="7"/>
  <c r="H1555" i="7"/>
  <c r="H901" i="7"/>
  <c r="H1562" i="7"/>
  <c r="H1577" i="7"/>
  <c r="H1583" i="7"/>
  <c r="H1587" i="7"/>
  <c r="H1595" i="7"/>
  <c r="H1603" i="7"/>
  <c r="H965" i="7"/>
  <c r="H1608" i="7"/>
  <c r="H1614" i="7"/>
  <c r="H1691" i="7"/>
  <c r="H1035" i="7"/>
  <c r="H1677" i="7"/>
  <c r="H1859" i="7"/>
  <c r="H1283" i="7"/>
  <c r="H1886" i="7"/>
  <c r="H1889" i="7"/>
  <c r="H1911" i="7"/>
  <c r="H1929" i="7"/>
  <c r="H1945" i="7"/>
  <c r="H1425" i="7"/>
  <c r="H1979" i="7"/>
  <c r="H1415" i="7"/>
  <c r="T401" i="7"/>
  <c r="H1981" i="7" s="1"/>
  <c r="H1990" i="7"/>
  <c r="H1429" i="7"/>
  <c r="H1995" i="7"/>
  <c r="H1432" i="7"/>
  <c r="H1954" i="7"/>
  <c r="H1952" i="7"/>
  <c r="H1957" i="7"/>
  <c r="H1999" i="7"/>
  <c r="H2001" i="7"/>
  <c r="H1470" i="7"/>
  <c r="H2012" i="7"/>
  <c r="H1472" i="7"/>
  <c r="H2017" i="7"/>
  <c r="H2025" i="7"/>
  <c r="H2030" i="7"/>
  <c r="H2031" i="7"/>
  <c r="H2079" i="7"/>
  <c r="H2081" i="7"/>
  <c r="T1825" i="7"/>
  <c r="H2086" i="7" s="1"/>
  <c r="H2124" i="7"/>
  <c r="H2140" i="7"/>
  <c r="H2151" i="7"/>
  <c r="H2178" i="7"/>
  <c r="H2180" i="7"/>
  <c r="H2182" i="7"/>
  <c r="H2184" i="7"/>
  <c r="H2186" i="7"/>
  <c r="H2189" i="7"/>
  <c r="H2193" i="7"/>
  <c r="H2202" i="7"/>
  <c r="H2201" i="7"/>
  <c r="H2207" i="7"/>
  <c r="H2212" i="7"/>
  <c r="H2229" i="7"/>
  <c r="H2235" i="7"/>
  <c r="H2241" i="7"/>
  <c r="H2244" i="7"/>
  <c r="H2251" i="7"/>
  <c r="H2255" i="7"/>
  <c r="H2296" i="7"/>
  <c r="H2325" i="7"/>
  <c r="H2328" i="7"/>
  <c r="H2331" i="7"/>
  <c r="H2343" i="7"/>
  <c r="T1960" i="7"/>
  <c r="H2447" i="7" s="1"/>
  <c r="T2008" i="7"/>
  <c r="H2582" i="7" s="1"/>
  <c r="H1440" i="7"/>
  <c r="H747" i="7"/>
  <c r="H1462" i="7"/>
  <c r="H772" i="7"/>
  <c r="H1469" i="7"/>
  <c r="H783" i="7"/>
  <c r="H1471" i="7"/>
  <c r="H785" i="7"/>
  <c r="H1521" i="7"/>
  <c r="H1628" i="7"/>
  <c r="H991" i="7"/>
  <c r="H1705" i="7"/>
  <c r="H1709" i="7"/>
  <c r="H1711" i="7"/>
  <c r="H1719" i="7"/>
  <c r="H1725" i="7"/>
  <c r="H1739" i="7"/>
  <c r="H1737" i="7"/>
  <c r="H1740" i="7"/>
  <c r="H1742" i="7"/>
  <c r="H1822" i="7"/>
  <c r="H1826" i="7"/>
  <c r="H1799" i="7"/>
  <c r="H1201" i="7"/>
  <c r="H1831" i="7"/>
  <c r="H1251" i="7"/>
  <c r="H1851" i="7"/>
  <c r="H1868" i="7"/>
  <c r="H1871" i="7"/>
  <c r="H1873" i="7"/>
  <c r="H1883" i="7"/>
  <c r="O1887" i="7"/>
  <c r="H1406" i="7"/>
  <c r="H1971" i="7"/>
  <c r="H1393" i="7"/>
  <c r="O2010" i="7"/>
  <c r="H2015" i="7"/>
  <c r="H2039" i="7"/>
  <c r="H1517" i="7"/>
  <c r="H2042" i="7"/>
  <c r="H2058" i="7"/>
  <c r="H1550" i="7"/>
  <c r="H2063" i="7"/>
  <c r="H2065" i="7"/>
  <c r="H2067" i="7"/>
  <c r="H2095" i="7"/>
  <c r="H2102" i="7"/>
  <c r="H2103" i="7"/>
  <c r="H1634" i="7"/>
  <c r="H2134" i="7"/>
  <c r="H2153" i="7"/>
  <c r="H2155" i="7"/>
  <c r="H2171" i="7"/>
  <c r="T1879" i="7"/>
  <c r="H1800" i="7" s="1"/>
  <c r="T2457" i="7"/>
  <c r="H2457" i="7" s="1"/>
  <c r="H2221" i="7"/>
  <c r="H2234" i="7"/>
  <c r="H2237" i="7"/>
  <c r="H2260" i="7"/>
  <c r="H2281" i="7"/>
  <c r="H2295" i="7"/>
  <c r="H2298" i="7"/>
  <c r="H2284" i="7"/>
  <c r="H1927" i="7"/>
  <c r="H2308" i="7"/>
  <c r="H2310" i="7"/>
  <c r="H2313" i="7"/>
  <c r="H1970" i="7"/>
  <c r="H2312" i="7"/>
  <c r="H2320" i="7"/>
  <c r="H2337" i="7"/>
  <c r="H2347" i="7"/>
  <c r="H2351" i="7"/>
  <c r="H2366" i="7"/>
  <c r="H2051" i="7"/>
  <c r="H2374" i="7"/>
  <c r="H2414" i="7"/>
  <c r="H2059" i="7"/>
  <c r="H2390" i="7"/>
  <c r="H2073" i="7"/>
  <c r="H2369" i="7"/>
  <c r="H2379" i="7"/>
  <c r="H2381" i="7"/>
  <c r="H2383" i="7"/>
  <c r="H2385" i="7"/>
  <c r="H2387" i="7"/>
  <c r="H2392" i="7"/>
  <c r="H2394" i="7"/>
  <c r="H2396" i="7"/>
  <c r="H2398" i="7"/>
  <c r="H2404" i="7"/>
  <c r="H2406" i="7"/>
  <c r="H2408" i="7"/>
  <c r="H2371" i="7"/>
  <c r="H2375" i="7"/>
  <c r="H2419" i="7"/>
  <c r="T1966" i="7"/>
  <c r="H1966" i="7" s="1"/>
  <c r="T533" i="7"/>
  <c r="H2618" i="7" s="1"/>
  <c r="H2424" i="7"/>
  <c r="H2445" i="7"/>
  <c r="H2449" i="7"/>
  <c r="H2450" i="7"/>
  <c r="H2453" i="7"/>
  <c r="H2458" i="7"/>
  <c r="H2461" i="7"/>
  <c r="H2473" i="7"/>
  <c r="H2477" i="7"/>
  <c r="H2485" i="7"/>
  <c r="H2489" i="7"/>
  <c r="H2491" i="7"/>
  <c r="H2493" i="7"/>
  <c r="H2498" i="7"/>
  <c r="H2269" i="7"/>
  <c r="H2499" i="7"/>
  <c r="H2501" i="7"/>
  <c r="H2503" i="7"/>
  <c r="H2514" i="7"/>
  <c r="H2522" i="7"/>
  <c r="H2523" i="7"/>
  <c r="H2530" i="7"/>
  <c r="H2525" i="7"/>
  <c r="H2344" i="7"/>
  <c r="H2534" i="7"/>
  <c r="H2537" i="7"/>
  <c r="H2540" i="7"/>
  <c r="H2542" i="7"/>
  <c r="H2544" i="7"/>
  <c r="H2546" i="7"/>
  <c r="H2548" i="7"/>
  <c r="H2550" i="7"/>
  <c r="H2553" i="7"/>
  <c r="H2555" i="7"/>
  <c r="H2565" i="7"/>
  <c r="H2429" i="7"/>
  <c r="H2578" i="7"/>
  <c r="H2581" i="7"/>
  <c r="H2590" i="7"/>
  <c r="H2455" i="7"/>
  <c r="T542" i="7"/>
  <c r="H2623" i="7" s="1"/>
  <c r="H2625" i="7"/>
  <c r="H2630" i="7"/>
  <c r="H2631" i="7"/>
  <c r="H2643" i="7"/>
  <c r="H2649" i="7"/>
  <c r="H2650" i="7"/>
  <c r="H2657" i="7"/>
  <c r="H2658" i="7"/>
  <c r="H2665" i="7"/>
  <c r="H2667" i="7"/>
  <c r="H2670" i="7"/>
  <c r="H2671" i="7"/>
  <c r="H2681" i="7"/>
  <c r="H2685" i="7"/>
  <c r="H2687" i="7"/>
  <c r="H2733" i="7"/>
  <c r="H2740" i="7"/>
  <c r="H2742" i="7"/>
  <c r="H2750" i="7"/>
  <c r="H2752" i="7"/>
  <c r="H2754" i="7"/>
  <c r="H2759" i="7"/>
  <c r="H2758" i="7"/>
  <c r="H2772" i="7"/>
  <c r="H2774" i="7"/>
  <c r="H2786" i="7"/>
  <c r="H2787" i="7"/>
  <c r="H2802" i="7"/>
  <c r="H2835" i="7"/>
  <c r="H2862" i="7"/>
  <c r="H2864" i="7"/>
  <c r="H2867" i="7"/>
  <c r="H2868" i="7"/>
  <c r="H2871" i="7"/>
  <c r="H2874" i="7"/>
  <c r="H2878" i="7"/>
  <c r="H2881" i="7"/>
  <c r="H2703" i="7"/>
  <c r="H2709" i="7"/>
  <c r="H2714" i="7"/>
  <c r="H2718" i="7"/>
  <c r="H2608" i="7"/>
  <c r="G2608" i="7" s="1"/>
  <c r="H2725" i="7"/>
  <c r="H2730" i="7"/>
  <c r="H2734" i="7"/>
  <c r="H2757" i="7"/>
  <c r="H2800" i="7"/>
  <c r="H2711" i="7"/>
  <c r="H2805" i="7"/>
  <c r="H2808" i="7"/>
  <c r="H2814" i="7"/>
  <c r="H2817" i="7"/>
  <c r="H2821" i="7"/>
  <c r="H2827" i="7"/>
  <c r="T2846" i="7"/>
  <c r="H2846" i="7" s="1"/>
  <c r="H2857" i="7"/>
  <c r="H2574" i="7"/>
  <c r="H2579" i="7"/>
  <c r="H2606" i="7"/>
  <c r="H2469" i="7"/>
  <c r="H2648" i="7"/>
  <c r="H2647" i="7"/>
  <c r="H2651" i="7"/>
  <c r="H2686" i="7"/>
  <c r="H2568" i="7"/>
  <c r="H2731" i="7"/>
  <c r="H2741" i="7"/>
  <c r="H2747" i="7"/>
  <c r="H2751" i="7"/>
  <c r="H2755" i="7"/>
  <c r="H2760" i="7"/>
  <c r="H2771" i="7"/>
  <c r="H2777" i="7"/>
  <c r="H2797" i="7"/>
  <c r="H2830" i="7"/>
  <c r="H2863" i="7"/>
  <c r="H2865" i="7"/>
  <c r="H2869" i="7"/>
  <c r="H2873" i="7"/>
  <c r="H2866" i="7"/>
  <c r="H2880" i="7"/>
  <c r="H2877" i="7"/>
  <c r="H2706" i="7"/>
  <c r="H2717" i="7"/>
  <c r="H2603" i="7"/>
  <c r="H2719" i="7"/>
  <c r="H2724" i="7"/>
  <c r="H2728" i="7"/>
  <c r="H2807" i="7"/>
  <c r="H2811" i="7"/>
  <c r="H2818" i="7"/>
  <c r="H2820" i="7"/>
  <c r="H2824" i="7"/>
  <c r="H2823" i="7"/>
  <c r="H2828" i="7"/>
  <c r="T2849" i="7"/>
  <c r="H2849" i="7" s="1"/>
  <c r="H2859" i="7"/>
  <c r="H2860" i="7"/>
  <c r="O966" i="7"/>
  <c r="O967" i="7"/>
  <c r="P967" i="7" s="1"/>
  <c r="R967" i="7" s="1"/>
  <c r="O2854" i="7"/>
  <c r="H746" i="7"/>
  <c r="T2291" i="7"/>
  <c r="H2291" i="7" s="1"/>
  <c r="O660" i="7"/>
  <c r="O2848" i="7"/>
  <c r="O375" i="7"/>
  <c r="O791" i="7"/>
  <c r="O1419" i="7"/>
  <c r="O1420" i="7"/>
  <c r="O1421" i="7"/>
  <c r="O1523" i="7"/>
  <c r="O1422" i="7"/>
  <c r="O1423" i="7"/>
  <c r="O126" i="7"/>
  <c r="O125" i="7"/>
  <c r="O260" i="7"/>
  <c r="O1136" i="7"/>
  <c r="O1138" i="7"/>
  <c r="O2180" i="7"/>
  <c r="O2189" i="7"/>
  <c r="O2188" i="7"/>
  <c r="O1713" i="7"/>
  <c r="O54" i="7"/>
  <c r="P54" i="7" s="1"/>
  <c r="R54" i="7" s="1"/>
  <c r="O692" i="7"/>
  <c r="O1336" i="7"/>
  <c r="O1343" i="7"/>
  <c r="O390" i="7"/>
  <c r="O1026" i="7"/>
  <c r="O1037" i="7"/>
  <c r="O1041" i="7"/>
  <c r="O1038" i="7"/>
  <c r="O1043" i="7"/>
  <c r="O2325" i="7"/>
  <c r="O2326" i="7"/>
  <c r="N2790" i="7"/>
  <c r="T2412" i="7" s="1"/>
  <c r="H2412" i="7" s="1"/>
  <c r="O2800" i="7"/>
  <c r="O1312" i="7"/>
  <c r="P1312" i="7" s="1"/>
  <c r="R1312" i="7" s="1"/>
  <c r="O67" i="7"/>
  <c r="P67" i="7" s="1"/>
  <c r="R67" i="7" s="1"/>
  <c r="O91" i="7"/>
  <c r="P91" i="7" s="1"/>
  <c r="R91" i="7" s="1"/>
  <c r="O101" i="7"/>
  <c r="P101" i="7" s="1"/>
  <c r="R101" i="7" s="1"/>
  <c r="O192" i="7"/>
  <c r="P192" i="7" s="1"/>
  <c r="R192" i="7" s="1"/>
  <c r="O307" i="7"/>
  <c r="O309" i="7"/>
  <c r="P309" i="7" s="1"/>
  <c r="R309" i="7" s="1"/>
  <c r="O311" i="7"/>
  <c r="P311" i="7" s="1"/>
  <c r="R311" i="7" s="1"/>
  <c r="O313" i="7"/>
  <c r="P313" i="7" s="1"/>
  <c r="R313" i="7" s="1"/>
  <c r="O318" i="7"/>
  <c r="O330" i="7"/>
  <c r="O673" i="7"/>
  <c r="O1015" i="7"/>
  <c r="O1886" i="7"/>
  <c r="O2016" i="7"/>
  <c r="O458" i="7"/>
  <c r="O1366" i="7"/>
  <c r="P1366" i="7" s="1"/>
  <c r="R1366" i="7" s="1"/>
  <c r="O1384" i="7"/>
  <c r="O2694" i="7"/>
  <c r="P2694" i="7" s="1"/>
  <c r="R2694" i="7" s="1"/>
  <c r="O2" i="7"/>
  <c r="O6" i="7"/>
  <c r="O28" i="7"/>
  <c r="O85" i="7"/>
  <c r="P85" i="7" s="1"/>
  <c r="R85" i="7" s="1"/>
  <c r="O88" i="7"/>
  <c r="P88" i="7" s="1"/>
  <c r="R88" i="7" s="1"/>
  <c r="O89" i="7"/>
  <c r="P89" i="7" s="1"/>
  <c r="R89" i="7" s="1"/>
  <c r="O93" i="7"/>
  <c r="P93" i="7" s="1"/>
  <c r="R93" i="7" s="1"/>
  <c r="O96" i="7"/>
  <c r="P96" i="7" s="1"/>
  <c r="R96" i="7" s="1"/>
  <c r="O202" i="7"/>
  <c r="P202" i="7" s="1"/>
  <c r="R202" i="7" s="1"/>
  <c r="O204" i="7"/>
  <c r="P204" i="7" s="1"/>
  <c r="R204" i="7" s="1"/>
  <c r="O215" i="7"/>
  <c r="O216" i="7"/>
  <c r="P216" i="7" s="1"/>
  <c r="R216" i="7" s="1"/>
  <c r="O294" i="7"/>
  <c r="O296" i="7"/>
  <c r="P296" i="7" s="1"/>
  <c r="R296" i="7" s="1"/>
  <c r="O297" i="7"/>
  <c r="P297" i="7" s="1"/>
  <c r="R297" i="7" s="1"/>
  <c r="O301" i="7"/>
  <c r="O543" i="7"/>
  <c r="O593" i="7"/>
  <c r="O594" i="7"/>
  <c r="O663" i="7"/>
  <c r="O664" i="7"/>
  <c r="O757" i="7"/>
  <c r="O1274" i="7"/>
  <c r="O1350" i="7"/>
  <c r="O1407" i="7"/>
  <c r="O1448" i="7"/>
  <c r="O1461" i="7"/>
  <c r="P1461" i="7" s="1"/>
  <c r="R1461" i="7" s="1"/>
  <c r="O1466" i="7"/>
  <c r="O1469" i="7"/>
  <c r="O1477" i="7"/>
  <c r="O1482" i="7"/>
  <c r="P1482" i="7" s="1"/>
  <c r="R1482" i="7" s="1"/>
  <c r="O1513" i="7"/>
  <c r="O1551" i="7"/>
  <c r="O1552" i="7"/>
  <c r="O1676" i="7"/>
  <c r="P1676" i="7" s="1"/>
  <c r="R1676" i="7" s="1"/>
  <c r="O1857" i="7"/>
  <c r="O1862" i="7"/>
  <c r="O1960" i="7"/>
  <c r="O1977" i="7"/>
  <c r="P1977" i="7" s="1"/>
  <c r="R1977" i="7" s="1"/>
  <c r="O2041" i="7"/>
  <c r="O2135" i="7"/>
  <c r="O2257" i="7"/>
  <c r="O2297" i="7"/>
  <c r="O2446" i="7"/>
  <c r="O2724" i="7"/>
  <c r="O2732" i="7"/>
  <c r="O2734" i="7"/>
  <c r="O5" i="7"/>
  <c r="O47" i="7"/>
  <c r="O50" i="7"/>
  <c r="O86" i="7"/>
  <c r="P86" i="7" s="1"/>
  <c r="R86" i="7" s="1"/>
  <c r="O87" i="7"/>
  <c r="P87" i="7" s="1"/>
  <c r="R87" i="7" s="1"/>
  <c r="O90" i="7"/>
  <c r="P90" i="7" s="1"/>
  <c r="R90" i="7" s="1"/>
  <c r="O94" i="7"/>
  <c r="P94" i="7" s="1"/>
  <c r="R94" i="7" s="1"/>
  <c r="O98" i="7"/>
  <c r="P98" i="7" s="1"/>
  <c r="R98" i="7" s="1"/>
  <c r="O99" i="7"/>
  <c r="P99" i="7" s="1"/>
  <c r="R99" i="7" s="1"/>
  <c r="O127" i="7"/>
  <c r="O134" i="7"/>
  <c r="O135" i="7"/>
  <c r="O189" i="7"/>
  <c r="P189" i="7" s="1"/>
  <c r="R189" i="7" s="1"/>
  <c r="O194" i="7"/>
  <c r="O195" i="7"/>
  <c r="P195" i="7" s="1"/>
  <c r="R195" i="7" s="1"/>
  <c r="O201" i="7"/>
  <c r="P201" i="7" s="1"/>
  <c r="R201" i="7" s="1"/>
  <c r="O203" i="7"/>
  <c r="P203" i="7" s="1"/>
  <c r="R203" i="7" s="1"/>
  <c r="O205" i="7"/>
  <c r="P205" i="7" s="1"/>
  <c r="R205" i="7" s="1"/>
  <c r="O217" i="7"/>
  <c r="P217" i="7" s="1"/>
  <c r="R217" i="7" s="1"/>
  <c r="O219" i="7"/>
  <c r="P219" i="7" s="1"/>
  <c r="R219" i="7" s="1"/>
  <c r="O249" i="7"/>
  <c r="O253" i="7"/>
  <c r="O258" i="7"/>
  <c r="O300" i="7"/>
  <c r="O298" i="7"/>
  <c r="O304" i="7"/>
  <c r="O306" i="7"/>
  <c r="O308" i="7"/>
  <c r="O381" i="7"/>
  <c r="O384" i="7"/>
  <c r="O389" i="7"/>
  <c r="O392" i="7"/>
  <c r="O398" i="7"/>
  <c r="O436" i="7"/>
  <c r="O625" i="7"/>
  <c r="O627" i="7"/>
  <c r="O659" i="7"/>
  <c r="O765" i="7"/>
  <c r="O882" i="7"/>
  <c r="O1010" i="7"/>
  <c r="O1016" i="7"/>
  <c r="O1036" i="7"/>
  <c r="O1039" i="7"/>
  <c r="O1042" i="7"/>
  <c r="O1040" i="7"/>
  <c r="O1033" i="7"/>
  <c r="O1113" i="7"/>
  <c r="O1125" i="7"/>
  <c r="O1128" i="7"/>
  <c r="O1132" i="7"/>
  <c r="O1137" i="7"/>
  <c r="O1208" i="7"/>
  <c r="O1222" i="7"/>
  <c r="O1257" i="7"/>
  <c r="O1273" i="7"/>
  <c r="O1286" i="7"/>
  <c r="P1286" i="7" s="1"/>
  <c r="R1286" i="7" s="1"/>
  <c r="O1288" i="7"/>
  <c r="P1288" i="7" s="1"/>
  <c r="R1288" i="7" s="1"/>
  <c r="O1308" i="7"/>
  <c r="P1308" i="7" s="1"/>
  <c r="R1308" i="7" s="1"/>
  <c r="O1311" i="7"/>
  <c r="P1311" i="7" s="1"/>
  <c r="R1311" i="7" s="1"/>
  <c r="O1335" i="7"/>
  <c r="O1342" i="7"/>
  <c r="O1351" i="7"/>
  <c r="O1363" i="7"/>
  <c r="P1363" i="7" s="1"/>
  <c r="R1363" i="7" s="1"/>
  <c r="O1377" i="7"/>
  <c r="O1438" i="7"/>
  <c r="O1437" i="7"/>
  <c r="O1442" i="7"/>
  <c r="O1449" i="7"/>
  <c r="O1465" i="7"/>
  <c r="O1467" i="7"/>
  <c r="O1474" i="7"/>
  <c r="O1476" i="7"/>
  <c r="O1484" i="7"/>
  <c r="O1492" i="7"/>
  <c r="E1621" i="7"/>
  <c r="B1621" i="7" s="1"/>
  <c r="O1715" i="7"/>
  <c r="O1853" i="7"/>
  <c r="O1919" i="7"/>
  <c r="O1925" i="7"/>
  <c r="P1925" i="7" s="1"/>
  <c r="R1925" i="7" s="1"/>
  <c r="O2015" i="7"/>
  <c r="O2036" i="7"/>
  <c r="O2046" i="7"/>
  <c r="O2078" i="7"/>
  <c r="O2104" i="7"/>
  <c r="O2129" i="7"/>
  <c r="O2147" i="7"/>
  <c r="O2238" i="7"/>
  <c r="O2241" i="7"/>
  <c r="O2324" i="7"/>
  <c r="O2345" i="7"/>
  <c r="O2592" i="7"/>
  <c r="P2592" i="7" s="1"/>
  <c r="R2592" i="7" s="1"/>
  <c r="O2601" i="7"/>
  <c r="P2601" i="7" s="1"/>
  <c r="R2601" i="7" s="1"/>
  <c r="O2606" i="7"/>
  <c r="P2606" i="7" s="1"/>
  <c r="R2606" i="7" s="1"/>
  <c r="O2698" i="7"/>
  <c r="P2698" i="7" s="1"/>
  <c r="R2698" i="7" s="1"/>
  <c r="O2731" i="7"/>
  <c r="O2733" i="7"/>
  <c r="O2735" i="7"/>
  <c r="O2797" i="7"/>
  <c r="O2846" i="7"/>
  <c r="O2847" i="7"/>
  <c r="O2849" i="7"/>
  <c r="O2850" i="7"/>
  <c r="O2851" i="7"/>
  <c r="O2853" i="7"/>
  <c r="O2857" i="7"/>
  <c r="O2861" i="7"/>
  <c r="O1003" i="7"/>
  <c r="O1005" i="7"/>
  <c r="O1004" i="7"/>
  <c r="O378" i="7"/>
  <c r="O3" i="7"/>
  <c r="O27" i="7"/>
  <c r="O45" i="7"/>
  <c r="O166" i="7"/>
  <c r="O310" i="7"/>
  <c r="P310" i="7" s="1"/>
  <c r="R310" i="7" s="1"/>
  <c r="O329" i="7"/>
  <c r="O371" i="7"/>
  <c r="O435" i="7"/>
  <c r="O624" i="7"/>
  <c r="O626" i="7"/>
  <c r="O628" i="7"/>
  <c r="O646" i="7"/>
  <c r="O650" i="7"/>
  <c r="O680" i="7"/>
  <c r="O578" i="7"/>
  <c r="O766" i="7"/>
  <c r="O758" i="7"/>
  <c r="O770" i="7"/>
  <c r="O1236" i="7"/>
  <c r="O1376" i="7"/>
  <c r="O1385" i="7"/>
  <c r="O1445" i="7"/>
  <c r="O1671" i="7"/>
  <c r="P1671" i="7" s="1"/>
  <c r="R1671" i="7" s="1"/>
  <c r="O1674" i="7"/>
  <c r="P1674" i="7" s="1"/>
  <c r="R1674" i="7" s="1"/>
  <c r="O1888" i="7"/>
  <c r="O2007" i="7"/>
  <c r="K2769" i="7"/>
  <c r="O2769" i="7" s="1"/>
  <c r="T2558" i="7"/>
  <c r="H2769" i="7" s="1"/>
  <c r="O2087" i="7"/>
  <c r="O2172" i="7"/>
  <c r="O2236" i="7"/>
  <c r="O2237" i="7"/>
  <c r="O2235" i="7"/>
  <c r="O2296" i="7"/>
  <c r="T518" i="7"/>
  <c r="H2601" i="7" s="1"/>
  <c r="O2631" i="7"/>
  <c r="O2002" i="7"/>
  <c r="O575" i="7"/>
  <c r="O1999" i="7"/>
  <c r="O2000" i="7"/>
  <c r="O2001" i="7"/>
  <c r="O2153" i="7"/>
  <c r="O365" i="7"/>
  <c r="O366" i="7"/>
  <c r="O656" i="7"/>
  <c r="O2291" i="7"/>
  <c r="O2830" i="7"/>
  <c r="F516" i="7" l="1"/>
  <c r="B748" i="7"/>
  <c r="G748" i="7"/>
  <c r="G2083" i="7"/>
  <c r="G1702" i="7"/>
  <c r="E512" i="7"/>
  <c r="F512" i="7" s="1"/>
  <c r="F2632" i="7"/>
  <c r="F2665" i="7"/>
  <c r="F519" i="7"/>
  <c r="B2810" i="7"/>
  <c r="F678" i="7"/>
  <c r="F1456" i="7"/>
  <c r="F353" i="7"/>
  <c r="B1121" i="7"/>
  <c r="G1121" i="7"/>
  <c r="G768" i="7"/>
  <c r="B2364" i="7"/>
  <c r="G1645" i="7"/>
  <c r="F2144" i="7"/>
  <c r="P194" i="7"/>
  <c r="R194" i="7" s="1"/>
  <c r="E194" i="7" s="1"/>
  <c r="B194" i="7" s="1"/>
  <c r="F82" i="7"/>
  <c r="G1230" i="7"/>
  <c r="F1069" i="7"/>
  <c r="F24" i="7"/>
  <c r="G1647" i="7"/>
  <c r="G1260" i="7"/>
  <c r="F76" i="7"/>
  <c r="B68" i="7"/>
  <c r="B1842" i="7"/>
  <c r="E1841" i="7"/>
  <c r="F367" i="7"/>
  <c r="F2629" i="7"/>
  <c r="F1924" i="7"/>
  <c r="G1974" i="7"/>
  <c r="G1836" i="7"/>
  <c r="G1987" i="7"/>
  <c r="F2710" i="7"/>
  <c r="G761" i="7"/>
  <c r="F119" i="7"/>
  <c r="F2806" i="7"/>
  <c r="B1993" i="7"/>
  <c r="F569" i="7"/>
  <c r="G1681" i="7"/>
  <c r="B2505" i="7"/>
  <c r="B754" i="7"/>
  <c r="G1226" i="7"/>
  <c r="F2705" i="7"/>
  <c r="F61" i="7"/>
  <c r="F2702" i="7"/>
  <c r="B79" i="7"/>
  <c r="F1458" i="7"/>
  <c r="F55" i="7"/>
  <c r="F2706" i="7"/>
  <c r="G178" i="7"/>
  <c r="G1071" i="7"/>
  <c r="G751" i="7"/>
  <c r="F59" i="7"/>
  <c r="G1700" i="7"/>
  <c r="G1268" i="7"/>
  <c r="G1682" i="7"/>
  <c r="B1994" i="7"/>
  <c r="B769" i="7"/>
  <c r="F53" i="7"/>
  <c r="F2512" i="7"/>
  <c r="F188" i="7"/>
  <c r="F73" i="7"/>
  <c r="F2165" i="7"/>
  <c r="B64" i="7"/>
  <c r="G1969" i="7"/>
  <c r="F123" i="7"/>
  <c r="F2713" i="7"/>
  <c r="G2452" i="7"/>
  <c r="G1630" i="7"/>
  <c r="F2695" i="7"/>
  <c r="F183" i="7"/>
  <c r="F107" i="7"/>
  <c r="F77" i="7"/>
  <c r="F2610" i="7"/>
  <c r="F2815" i="7"/>
  <c r="B2037" i="7"/>
  <c r="B1171" i="7"/>
  <c r="B1169" i="7"/>
  <c r="G779" i="7"/>
  <c r="G753" i="7"/>
  <c r="G1266" i="7"/>
  <c r="G1980" i="7"/>
  <c r="F1000" i="7"/>
  <c r="G778" i="7"/>
  <c r="G762" i="7"/>
  <c r="F998" i="7"/>
  <c r="G2766" i="7"/>
  <c r="F1139" i="7"/>
  <c r="F2709" i="7"/>
  <c r="F2513" i="7"/>
  <c r="G1364" i="7"/>
  <c r="G1683" i="7"/>
  <c r="B520" i="7"/>
  <c r="F2028" i="7"/>
  <c r="G1263" i="7"/>
  <c r="F78" i="7"/>
  <c r="F2083" i="7"/>
  <c r="F2703" i="7"/>
  <c r="F2819" i="7"/>
  <c r="G1361" i="7"/>
  <c r="F31" i="7"/>
  <c r="G1981" i="7"/>
  <c r="F672" i="7"/>
  <c r="F523" i="7"/>
  <c r="F662" i="7"/>
  <c r="F2253" i="7"/>
  <c r="G1990" i="7"/>
  <c r="G1842" i="7"/>
  <c r="F2333" i="7"/>
  <c r="G2691" i="7"/>
  <c r="F69" i="7"/>
  <c r="F829" i="7"/>
  <c r="F2707" i="7"/>
  <c r="G1119" i="7"/>
  <c r="B1117" i="7"/>
  <c r="F1832" i="7"/>
  <c r="G1971" i="7"/>
  <c r="F196" i="7"/>
  <c r="F2366" i="7"/>
  <c r="G1837" i="7"/>
  <c r="F2365" i="7"/>
  <c r="G1172" i="7"/>
  <c r="F2594" i="7"/>
  <c r="G1618" i="7"/>
  <c r="F2701" i="7"/>
  <c r="G1640" i="7"/>
  <c r="G1995" i="7"/>
  <c r="B1177" i="7"/>
  <c r="G1177" i="7"/>
  <c r="B212" i="7"/>
  <c r="F212" i="7"/>
  <c r="B2045" i="7"/>
  <c r="F2045" i="7"/>
  <c r="B210" i="7"/>
  <c r="F210" i="7"/>
  <c r="F2591" i="7"/>
  <c r="F72" i="7"/>
  <c r="F524" i="7"/>
  <c r="G1965" i="7"/>
  <c r="F2693" i="7"/>
  <c r="F2079" i="7"/>
  <c r="B115" i="7"/>
  <c r="F115" i="7"/>
  <c r="F2031" i="7"/>
  <c r="B1176" i="7"/>
  <c r="G1176" i="7"/>
  <c r="B2044" i="7"/>
  <c r="F2044" i="7"/>
  <c r="G759" i="7"/>
  <c r="B759" i="7"/>
  <c r="G1175" i="7"/>
  <c r="B1175" i="7"/>
  <c r="B2649" i="7"/>
  <c r="G2649" i="7"/>
  <c r="B1849" i="7"/>
  <c r="G1849" i="7"/>
  <c r="B2688" i="7"/>
  <c r="F2688" i="7"/>
  <c r="B2367" i="7"/>
  <c r="F2367" i="7"/>
  <c r="B2613" i="7"/>
  <c r="F2613" i="7"/>
  <c r="B1692" i="7"/>
  <c r="G1692" i="7"/>
  <c r="B280" i="7"/>
  <c r="F280" i="7"/>
  <c r="B108" i="7"/>
  <c r="F108" i="7"/>
  <c r="B2855" i="7"/>
  <c r="F2855" i="7"/>
  <c r="B2697" i="7"/>
  <c r="F2623" i="7"/>
  <c r="G1936" i="7"/>
  <c r="F566" i="7"/>
  <c r="B2504" i="7"/>
  <c r="F2504" i="7"/>
  <c r="B1178" i="7"/>
  <c r="G180" i="7"/>
  <c r="B180" i="7"/>
  <c r="B1646" i="7"/>
  <c r="G1646" i="7"/>
  <c r="B1170" i="7"/>
  <c r="G1170" i="7"/>
  <c r="B121" i="7"/>
  <c r="F121" i="7"/>
  <c r="B110" i="7"/>
  <c r="F110" i="7"/>
  <c r="B2508" i="7"/>
  <c r="F2508" i="7"/>
  <c r="B1256" i="7"/>
  <c r="G1256" i="7"/>
  <c r="B1845" i="7"/>
  <c r="G1845" i="7"/>
  <c r="B830" i="7"/>
  <c r="F830" i="7"/>
  <c r="F2507" i="7"/>
  <c r="B2507" i="7"/>
  <c r="F29" i="7"/>
  <c r="B29" i="7"/>
  <c r="B2832" i="7"/>
  <c r="G2832" i="7"/>
  <c r="B1911" i="7"/>
  <c r="G1911" i="7"/>
  <c r="B114" i="7"/>
  <c r="F114" i="7"/>
  <c r="B292" i="7"/>
  <c r="F292" i="7"/>
  <c r="B1160" i="7"/>
  <c r="G1160" i="7"/>
  <c r="B941" i="7"/>
  <c r="G941" i="7"/>
  <c r="B122" i="7"/>
  <c r="F122" i="7"/>
  <c r="B1935" i="7"/>
  <c r="G1935" i="7"/>
  <c r="B1357" i="7"/>
  <c r="G1357" i="7"/>
  <c r="B658" i="7"/>
  <c r="F658" i="7"/>
  <c r="B1867" i="7"/>
  <c r="F1867" i="7"/>
  <c r="B742" i="7"/>
  <c r="G2450" i="7"/>
  <c r="G1848" i="7"/>
  <c r="F831" i="7"/>
  <c r="G1843" i="7"/>
  <c r="F299" i="7"/>
  <c r="B1356" i="7"/>
  <c r="G1262" i="7"/>
  <c r="F2596" i="7"/>
  <c r="F2692" i="7"/>
  <c r="B1997" i="7"/>
  <c r="G1265" i="7"/>
  <c r="G1639" i="7"/>
  <c r="G179" i="7"/>
  <c r="G1365" i="7"/>
  <c r="G1677" i="7"/>
  <c r="B2867" i="7"/>
  <c r="F2687" i="7"/>
  <c r="G1675" i="7"/>
  <c r="F128" i="7"/>
  <c r="F30" i="7"/>
  <c r="G2539" i="7"/>
  <c r="F526" i="7"/>
  <c r="F92" i="7"/>
  <c r="G1979" i="7"/>
  <c r="B760" i="7"/>
  <c r="F2674" i="7"/>
  <c r="G1644" i="7"/>
  <c r="G1989" i="7"/>
  <c r="G1259" i="7"/>
  <c r="F2038" i="7"/>
  <c r="F1459" i="7"/>
  <c r="F211" i="7"/>
  <c r="F832" i="7"/>
  <c r="G18" i="7"/>
  <c r="F2600" i="7"/>
  <c r="G2540" i="7"/>
  <c r="F74" i="7"/>
  <c r="B2598" i="7"/>
  <c r="B185" i="7"/>
  <c r="F1869" i="7"/>
  <c r="G755" i="7"/>
  <c r="G1913" i="7"/>
  <c r="G2768" i="7"/>
  <c r="F700" i="7"/>
  <c r="G1679" i="7"/>
  <c r="F100" i="7"/>
  <c r="F56" i="7"/>
  <c r="G2884" i="7"/>
  <c r="G744" i="7"/>
  <c r="F2704" i="7"/>
  <c r="F2510" i="7"/>
  <c r="B2177" i="7"/>
  <c r="G2599" i="7"/>
  <c r="F2042" i="7"/>
  <c r="G1642" i="7"/>
  <c r="B1267" i="7"/>
  <c r="G1998" i="7"/>
  <c r="F246" i="7"/>
  <c r="F2080" i="7"/>
  <c r="F2626" i="7"/>
  <c r="G1672" i="7"/>
  <c r="G2537" i="7"/>
  <c r="G1703" i="7"/>
  <c r="F2810" i="7"/>
  <c r="F2500" i="7"/>
  <c r="G1629" i="7"/>
  <c r="F2605" i="7"/>
  <c r="G1362" i="7"/>
  <c r="G1367" i="7" s="1"/>
  <c r="F193" i="7"/>
  <c r="F2805" i="7"/>
  <c r="F2501" i="7"/>
  <c r="G1116" i="7"/>
  <c r="G746" i="7"/>
  <c r="F2712" i="7"/>
  <c r="F80" i="7"/>
  <c r="G743" i="7"/>
  <c r="G1638" i="7"/>
  <c r="G1968" i="7"/>
  <c r="G1353" i="7"/>
  <c r="G2449" i="7"/>
  <c r="F2617" i="7"/>
  <c r="F2612" i="7"/>
  <c r="F995" i="7"/>
  <c r="F120" i="7"/>
  <c r="F32" i="7"/>
  <c r="G1850" i="7"/>
  <c r="F187" i="7"/>
  <c r="F2814" i="7"/>
  <c r="G1258" i="7"/>
  <c r="G182" i="7"/>
  <c r="G17" i="7"/>
  <c r="F1868" i="7"/>
  <c r="F118" i="7"/>
  <c r="B2630" i="7"/>
  <c r="F2511" i="7"/>
  <c r="G774" i="7"/>
  <c r="F247" i="7"/>
  <c r="G1701" i="7"/>
  <c r="B2506" i="7"/>
  <c r="B2627" i="7"/>
  <c r="G2536" i="7"/>
  <c r="G1691" i="7"/>
  <c r="G2885" i="7"/>
  <c r="G1838" i="7"/>
  <c r="F2673" i="7"/>
  <c r="F129" i="7"/>
  <c r="F2619" i="7"/>
  <c r="B2818" i="7"/>
  <c r="F2254" i="7"/>
  <c r="G1648" i="7"/>
  <c r="G1118" i="7"/>
  <c r="G1173" i="7"/>
  <c r="F109" i="7"/>
  <c r="G1680" i="7"/>
  <c r="G1641" i="7"/>
  <c r="F2509" i="7"/>
  <c r="F2831" i="7"/>
  <c r="G763" i="7"/>
  <c r="F2503" i="7"/>
  <c r="F1941" i="7"/>
  <c r="G1622" i="7"/>
  <c r="G1975" i="7"/>
  <c r="B1967" i="7"/>
  <c r="F2030" i="7"/>
  <c r="G750" i="7"/>
  <c r="G176" i="7"/>
  <c r="G1354" i="7"/>
  <c r="F674" i="7"/>
  <c r="G1355" i="7"/>
  <c r="F2499" i="7"/>
  <c r="F2614" i="7"/>
  <c r="F2298" i="7"/>
  <c r="F1140" i="7"/>
  <c r="F208" i="7"/>
  <c r="F2322" i="7"/>
  <c r="F1457" i="7"/>
  <c r="F214" i="7"/>
  <c r="G741" i="7"/>
  <c r="F186" i="7"/>
  <c r="F2167" i="7"/>
  <c r="F70" i="7"/>
  <c r="F22" i="7"/>
  <c r="G1161" i="7"/>
  <c r="F60" i="7"/>
  <c r="E71" i="7"/>
  <c r="B71" i="7" s="1"/>
  <c r="F57" i="7"/>
  <c r="F200" i="7"/>
  <c r="F62" i="7"/>
  <c r="G2155" i="7"/>
  <c r="G1972" i="7"/>
  <c r="B2538" i="7"/>
  <c r="G1359" i="7"/>
  <c r="F2166" i="7"/>
  <c r="F1852" i="7"/>
  <c r="F209" i="7"/>
  <c r="G2154" i="7"/>
  <c r="G1687" i="7"/>
  <c r="G745" i="7"/>
  <c r="F527" i="7"/>
  <c r="F2609" i="7"/>
  <c r="G764" i="7"/>
  <c r="G1123" i="7"/>
  <c r="G2534" i="7"/>
  <c r="B23" i="7"/>
  <c r="F2611" i="7"/>
  <c r="F113" i="7"/>
  <c r="G181" i="7"/>
  <c r="P2631" i="7"/>
  <c r="R2631" i="7" s="1"/>
  <c r="E2631" i="7" s="1"/>
  <c r="F2631" i="7" s="1"/>
  <c r="P378" i="7"/>
  <c r="R378" i="7" s="1"/>
  <c r="E378" i="7" s="1"/>
  <c r="F378" i="7" s="1"/>
  <c r="P1010" i="7"/>
  <c r="R1010" i="7" s="1"/>
  <c r="E1010" i="7" s="1"/>
  <c r="F1010" i="7" s="1"/>
  <c r="P2041" i="7"/>
  <c r="R2041" i="7" s="1"/>
  <c r="E2041" i="7" s="1"/>
  <c r="B2041" i="7" s="1"/>
  <c r="P330" i="7"/>
  <c r="R330" i="7" s="1"/>
  <c r="E330" i="7" s="1"/>
  <c r="F330" i="7" s="1"/>
  <c r="P966" i="7"/>
  <c r="R966" i="7" s="1"/>
  <c r="E966" i="7" s="1"/>
  <c r="F966" i="7" s="1"/>
  <c r="E2171" i="7"/>
  <c r="F2171" i="7" s="1"/>
  <c r="P628" i="7"/>
  <c r="R628" i="7" s="1"/>
  <c r="E628" i="7" s="1"/>
  <c r="F628" i="7" s="1"/>
  <c r="P2735" i="7"/>
  <c r="R2735" i="7" s="1"/>
  <c r="E2735" i="7" s="1"/>
  <c r="F2735" i="7" s="1"/>
  <c r="P1492" i="7"/>
  <c r="R1492" i="7" s="1"/>
  <c r="E1492" i="7" s="1"/>
  <c r="F1492" i="7" s="1"/>
  <c r="P1137" i="7"/>
  <c r="R1137" i="7" s="1"/>
  <c r="E1137" i="7" s="1"/>
  <c r="F1137" i="7" s="1"/>
  <c r="P308" i="7"/>
  <c r="R308" i="7" s="1"/>
  <c r="E308" i="7" s="1"/>
  <c r="F308" i="7" s="1"/>
  <c r="E86" i="7"/>
  <c r="B86" i="7" s="1"/>
  <c r="E1977" i="7"/>
  <c r="B1977" i="7" s="1"/>
  <c r="E1461" i="7"/>
  <c r="B1461" i="7" s="1"/>
  <c r="P318" i="7"/>
  <c r="R318" i="7" s="1"/>
  <c r="E318" i="7" s="1"/>
  <c r="F318" i="7" s="1"/>
  <c r="P1523" i="7"/>
  <c r="R1523" i="7" s="1"/>
  <c r="E1523" i="7" s="1"/>
  <c r="O776" i="7" s="1"/>
  <c r="P381" i="7"/>
  <c r="R381" i="7" s="1"/>
  <c r="E381" i="7" s="1"/>
  <c r="F381" i="7" s="1"/>
  <c r="P301" i="7"/>
  <c r="R301" i="7" s="1"/>
  <c r="E301" i="7" s="1"/>
  <c r="B301" i="7" s="1"/>
  <c r="E54" i="7"/>
  <c r="B54" i="7" s="1"/>
  <c r="P2830" i="7"/>
  <c r="R2830" i="7" s="1"/>
  <c r="E2830" i="7" s="1"/>
  <c r="F2830" i="7" s="1"/>
  <c r="E1671" i="7"/>
  <c r="B1671" i="7" s="1"/>
  <c r="P1004" i="7"/>
  <c r="R1004" i="7" s="1"/>
  <c r="E1004" i="7" s="1"/>
  <c r="F1004" i="7" s="1"/>
  <c r="P2147" i="7"/>
  <c r="R2147" i="7" s="1"/>
  <c r="E2147" i="7" s="1"/>
  <c r="F2147" i="7" s="1"/>
  <c r="E1363" i="7"/>
  <c r="P882" i="7"/>
  <c r="R882" i="7" s="1"/>
  <c r="E882" i="7" s="1"/>
  <c r="F882" i="7" s="1"/>
  <c r="E201" i="7"/>
  <c r="B201" i="7" s="1"/>
  <c r="E297" i="7"/>
  <c r="F297" i="7" s="1"/>
  <c r="P28" i="7"/>
  <c r="R28" i="7" s="1"/>
  <c r="E28" i="7" s="1"/>
  <c r="F28" i="7" s="1"/>
  <c r="P2326" i="7"/>
  <c r="R2326" i="7" s="1"/>
  <c r="E2326" i="7" s="1"/>
  <c r="F2326" i="7" s="1"/>
  <c r="P1713" i="7"/>
  <c r="R1713" i="7" s="1"/>
  <c r="E1713" i="7" s="1"/>
  <c r="F1713" i="7" s="1"/>
  <c r="P2291" i="7"/>
  <c r="R2291" i="7" s="1"/>
  <c r="E2291" i="7" s="1"/>
  <c r="F2291" i="7" s="1"/>
  <c r="P2296" i="7"/>
  <c r="R2296" i="7" s="1"/>
  <c r="E2296" i="7" s="1"/>
  <c r="B2296" i="7" s="1"/>
  <c r="P1445" i="7"/>
  <c r="R1445" i="7" s="1"/>
  <c r="E1445" i="7" s="1"/>
  <c r="F1445" i="7" s="1"/>
  <c r="P626" i="7"/>
  <c r="R626" i="7" s="1"/>
  <c r="E626" i="7" s="1"/>
  <c r="F626" i="7" s="1"/>
  <c r="P1005" i="7"/>
  <c r="R1005" i="7" s="1"/>
  <c r="E1005" i="7" s="1"/>
  <c r="F1005" i="7" s="1"/>
  <c r="P2733" i="7"/>
  <c r="R2733" i="7" s="1"/>
  <c r="E2733" i="7" s="1"/>
  <c r="F2733" i="7" s="1"/>
  <c r="P2129" i="7"/>
  <c r="R2129" i="7" s="1"/>
  <c r="E2129" i="7" s="1"/>
  <c r="F2129" i="7" s="1"/>
  <c r="P1484" i="7"/>
  <c r="R1484" i="7" s="1"/>
  <c r="E1484" i="7" s="1"/>
  <c r="F1484" i="7" s="1"/>
  <c r="P1351" i="7"/>
  <c r="R1351" i="7" s="1"/>
  <c r="E1351" i="7" s="1"/>
  <c r="P1132" i="7"/>
  <c r="R1132" i="7" s="1"/>
  <c r="E1132" i="7" s="1"/>
  <c r="F1132" i="7" s="1"/>
  <c r="P765" i="7"/>
  <c r="R765" i="7" s="1"/>
  <c r="E765" i="7" s="1"/>
  <c r="G765" i="7" s="1"/>
  <c r="P306" i="7"/>
  <c r="R306" i="7" s="1"/>
  <c r="E306" i="7" s="1"/>
  <c r="F306" i="7" s="1"/>
  <c r="E195" i="7"/>
  <c r="B195" i="7" s="1"/>
  <c r="P50" i="7"/>
  <c r="R50" i="7" s="1"/>
  <c r="E50" i="7" s="1"/>
  <c r="F50" i="7" s="1"/>
  <c r="P1960" i="7"/>
  <c r="R1960" i="7" s="1"/>
  <c r="E1960" i="7" s="1"/>
  <c r="G1960" i="7" s="1"/>
  <c r="P1448" i="7"/>
  <c r="R1448" i="7" s="1"/>
  <c r="E1448" i="7" s="1"/>
  <c r="F1448" i="7" s="1"/>
  <c r="E296" i="7"/>
  <c r="F296" i="7" s="1"/>
  <c r="P6" i="7"/>
  <c r="R6" i="7" s="1"/>
  <c r="E6" i="7" s="1"/>
  <c r="F6" i="7" s="1"/>
  <c r="E313" i="7"/>
  <c r="F313" i="7" s="1"/>
  <c r="P2325" i="7"/>
  <c r="R2325" i="7" s="1"/>
  <c r="E2325" i="7" s="1"/>
  <c r="F2325" i="7" s="1"/>
  <c r="P2188" i="7"/>
  <c r="R2188" i="7" s="1"/>
  <c r="E2188" i="7" s="1"/>
  <c r="P1421" i="7"/>
  <c r="R1421" i="7" s="1"/>
  <c r="E1421" i="7" s="1"/>
  <c r="F1421" i="7" s="1"/>
  <c r="F2032" i="7"/>
  <c r="F702" i="7"/>
  <c r="F2624" i="7"/>
  <c r="G756" i="7"/>
  <c r="G1637" i="7"/>
  <c r="F2417" i="7"/>
  <c r="G1631" i="7"/>
  <c r="F1141" i="7"/>
  <c r="G158" i="7"/>
  <c r="F2597" i="7"/>
  <c r="P624" i="7"/>
  <c r="R624" i="7" s="1"/>
  <c r="E624" i="7" s="1"/>
  <c r="F624" i="7" s="1"/>
  <c r="P1128" i="7"/>
  <c r="R1128" i="7" s="1"/>
  <c r="E1128" i="7" s="1"/>
  <c r="F1128" i="7" s="1"/>
  <c r="P1407" i="7"/>
  <c r="R1407" i="7" s="1"/>
  <c r="E1407" i="7" s="1"/>
  <c r="F1407" i="7" s="1"/>
  <c r="P2189" i="7"/>
  <c r="R2189" i="7" s="1"/>
  <c r="E2189" i="7" s="1"/>
  <c r="G2189" i="7" s="1"/>
  <c r="P2193" i="7"/>
  <c r="R2193" i="7" s="1"/>
  <c r="E2193" i="7" s="1"/>
  <c r="F2193" i="7" s="1"/>
  <c r="P366" i="7"/>
  <c r="R366" i="7" s="1"/>
  <c r="E366" i="7" s="1"/>
  <c r="F366" i="7" s="1"/>
  <c r="P2237" i="7"/>
  <c r="R2237" i="7" s="1"/>
  <c r="E2237" i="7" s="1"/>
  <c r="F2237" i="7" s="1"/>
  <c r="P1376" i="7"/>
  <c r="R1376" i="7" s="1"/>
  <c r="E1376" i="7" s="1"/>
  <c r="F1376" i="7" s="1"/>
  <c r="P435" i="7"/>
  <c r="R435" i="7" s="1"/>
  <c r="E435" i="7" s="1"/>
  <c r="F435" i="7" s="1"/>
  <c r="P2861" i="7"/>
  <c r="R2861" i="7" s="1"/>
  <c r="E2861" i="7" s="1"/>
  <c r="F2861" i="7" s="1"/>
  <c r="E2698" i="7"/>
  <c r="B2698" i="7" s="1"/>
  <c r="P2078" i="7"/>
  <c r="R2078" i="7" s="1"/>
  <c r="E2078" i="7" s="1"/>
  <c r="F2078" i="7" s="1"/>
  <c r="P1476" i="7"/>
  <c r="R1476" i="7" s="1"/>
  <c r="E1476" i="7" s="1"/>
  <c r="F1476" i="7" s="1"/>
  <c r="P1335" i="7"/>
  <c r="R1335" i="7" s="1"/>
  <c r="E1335" i="7" s="1"/>
  <c r="F1335" i="7" s="1"/>
  <c r="P1125" i="7"/>
  <c r="R1125" i="7" s="1"/>
  <c r="E1125" i="7" s="1"/>
  <c r="F1125" i="7" s="1"/>
  <c r="P659" i="7"/>
  <c r="R659" i="7" s="1"/>
  <c r="E659" i="7" s="1"/>
  <c r="B659" i="7" s="1"/>
  <c r="P298" i="7"/>
  <c r="R298" i="7" s="1"/>
  <c r="E298" i="7" s="1"/>
  <c r="E189" i="7"/>
  <c r="B189" i="7" s="1"/>
  <c r="P5" i="7"/>
  <c r="R5" i="7" s="1"/>
  <c r="E5" i="7" s="1"/>
  <c r="F5" i="7" s="1"/>
  <c r="P1857" i="7"/>
  <c r="R1857" i="7" s="1"/>
  <c r="E1857" i="7" s="1"/>
  <c r="F1857" i="7" s="1"/>
  <c r="P1350" i="7"/>
  <c r="R1350" i="7" s="1"/>
  <c r="E1350" i="7" s="1"/>
  <c r="B1350" i="7" s="1"/>
  <c r="E216" i="7"/>
  <c r="B216" i="7" s="1"/>
  <c r="E2694" i="7"/>
  <c r="B2694" i="7" s="1"/>
  <c r="E309" i="7"/>
  <c r="F309" i="7" s="1"/>
  <c r="P1038" i="7"/>
  <c r="R1038" i="7" s="1"/>
  <c r="E1038" i="7" s="1"/>
  <c r="F1038" i="7" s="1"/>
  <c r="P1419" i="7"/>
  <c r="R1419" i="7" s="1"/>
  <c r="E1419" i="7" s="1"/>
  <c r="F1419" i="7" s="1"/>
  <c r="P847" i="7"/>
  <c r="R847" i="7" s="1"/>
  <c r="E847" i="7" s="1"/>
  <c r="F847" i="7" s="1"/>
  <c r="G2876" i="7"/>
  <c r="F2625" i="7"/>
  <c r="F2018" i="7"/>
  <c r="G1835" i="7"/>
  <c r="G1120" i="7"/>
  <c r="G2451" i="7"/>
  <c r="F1460" i="7"/>
  <c r="F124" i="7"/>
  <c r="G1264" i="7"/>
  <c r="P1901" i="7"/>
  <c r="R1901" i="7" s="1"/>
  <c r="E1901" i="7" s="1"/>
  <c r="G1901" i="7" s="1"/>
  <c r="P657" i="7"/>
  <c r="R657" i="7" s="1"/>
  <c r="E657" i="7" s="1"/>
  <c r="B657" i="7" s="1"/>
  <c r="P1003" i="7"/>
  <c r="R1003" i="7" s="1"/>
  <c r="E1003" i="7" s="1"/>
  <c r="F1003" i="7" s="1"/>
  <c r="P1862" i="7"/>
  <c r="R1862" i="7" s="1"/>
  <c r="E1862" i="7" s="1"/>
  <c r="F1862" i="7" s="1"/>
  <c r="P365" i="7"/>
  <c r="R365" i="7" s="1"/>
  <c r="E365" i="7" s="1"/>
  <c r="F365" i="7" s="1"/>
  <c r="E2606" i="7"/>
  <c r="B2606" i="7" s="1"/>
  <c r="P627" i="7"/>
  <c r="R627" i="7" s="1"/>
  <c r="E627" i="7" s="1"/>
  <c r="F627" i="7" s="1"/>
  <c r="E1676" i="7"/>
  <c r="B1676" i="7" s="1"/>
  <c r="P215" i="7"/>
  <c r="R215" i="7" s="1"/>
  <c r="E215" i="7" s="1"/>
  <c r="F215" i="7" s="1"/>
  <c r="P1041" i="7"/>
  <c r="R1041" i="7" s="1"/>
  <c r="E1041" i="7" s="1"/>
  <c r="F1041" i="7" s="1"/>
  <c r="P2180" i="7"/>
  <c r="R2180" i="7" s="1"/>
  <c r="E2180" i="7" s="1"/>
  <c r="F2180" i="7" s="1"/>
  <c r="P848" i="7"/>
  <c r="R848" i="7" s="1"/>
  <c r="E848" i="7" s="1"/>
  <c r="F848" i="7" s="1"/>
  <c r="G1690" i="7"/>
  <c r="P661" i="7"/>
  <c r="R661" i="7" s="1"/>
  <c r="E661" i="7" s="1"/>
  <c r="B661" i="7" s="1"/>
  <c r="E1674" i="7"/>
  <c r="B1674" i="7" s="1"/>
  <c r="P2797" i="7"/>
  <c r="R2797" i="7" s="1"/>
  <c r="E2797" i="7" s="1"/>
  <c r="F2797" i="7" s="1"/>
  <c r="P1208" i="7"/>
  <c r="R1208" i="7" s="1"/>
  <c r="E1208" i="7" s="1"/>
  <c r="F1208" i="7" s="1"/>
  <c r="E203" i="7"/>
  <c r="B203" i="7" s="1"/>
  <c r="P1466" i="7"/>
  <c r="R1466" i="7" s="1"/>
  <c r="E1466" i="7" s="1"/>
  <c r="F1466" i="7" s="1"/>
  <c r="E85" i="7"/>
  <c r="B85" i="7" s="1"/>
  <c r="P1422" i="7"/>
  <c r="R1422" i="7" s="1"/>
  <c r="E1422" i="7" s="1"/>
  <c r="F1422" i="7" s="1"/>
  <c r="P1385" i="7"/>
  <c r="R1385" i="7" s="1"/>
  <c r="E1385" i="7" s="1"/>
  <c r="F1385" i="7" s="1"/>
  <c r="P1043" i="7"/>
  <c r="R1043" i="7" s="1"/>
  <c r="E1043" i="7" s="1"/>
  <c r="F1043" i="7" s="1"/>
  <c r="P1474" i="7"/>
  <c r="R1474" i="7" s="1"/>
  <c r="E1474" i="7" s="1"/>
  <c r="F1474" i="7" s="1"/>
  <c r="P1274" i="7"/>
  <c r="R1274" i="7" s="1"/>
  <c r="E1274" i="7" s="1"/>
  <c r="G1274" i="7" s="1"/>
  <c r="P791" i="7"/>
  <c r="R791" i="7" s="1"/>
  <c r="E791" i="7" s="1"/>
  <c r="F791" i="7" s="1"/>
  <c r="P2153" i="7"/>
  <c r="R2153" i="7" s="1"/>
  <c r="E2153" i="7" s="1"/>
  <c r="B2153" i="7" s="1"/>
  <c r="P2172" i="7"/>
  <c r="R2172" i="7" s="1"/>
  <c r="E2172" i="7" s="1"/>
  <c r="B2172" i="7" s="1"/>
  <c r="P770" i="7"/>
  <c r="R770" i="7" s="1"/>
  <c r="E770" i="7" s="1"/>
  <c r="B770" i="7" s="1"/>
  <c r="P329" i="7"/>
  <c r="R329" i="7" s="1"/>
  <c r="E329" i="7" s="1"/>
  <c r="F329" i="7" s="1"/>
  <c r="P2853" i="7"/>
  <c r="R2853" i="7" s="1"/>
  <c r="E2853" i="7" s="1"/>
  <c r="F2853" i="7" s="1"/>
  <c r="E2601" i="7"/>
  <c r="P2036" i="7"/>
  <c r="R2036" i="7" s="1"/>
  <c r="E2036" i="7" s="1"/>
  <c r="P1467" i="7"/>
  <c r="R1467" i="7" s="1"/>
  <c r="E1467" i="7" s="1"/>
  <c r="F1467" i="7" s="1"/>
  <c r="E1308" i="7"/>
  <c r="F1308" i="7" s="1"/>
  <c r="P1033" i="7"/>
  <c r="R1033" i="7" s="1"/>
  <c r="E1033" i="7" s="1"/>
  <c r="F1033" i="7" s="1"/>
  <c r="P625" i="7"/>
  <c r="R625" i="7" s="1"/>
  <c r="E625" i="7" s="1"/>
  <c r="F625" i="7" s="1"/>
  <c r="P258" i="7"/>
  <c r="R258" i="7" s="1"/>
  <c r="E258" i="7" s="1"/>
  <c r="F258" i="7" s="1"/>
  <c r="P134" i="7"/>
  <c r="R134" i="7" s="1"/>
  <c r="E134" i="7" s="1"/>
  <c r="F134" i="7" s="1"/>
  <c r="P2732" i="7"/>
  <c r="R2732" i="7" s="1"/>
  <c r="E2732" i="7" s="1"/>
  <c r="F2732" i="7" s="1"/>
  <c r="P1552" i="7"/>
  <c r="R1552" i="7" s="1"/>
  <c r="E1552" i="7" s="1"/>
  <c r="F1552" i="7" s="1"/>
  <c r="P757" i="7"/>
  <c r="R757" i="7" s="1"/>
  <c r="E757" i="7" s="1"/>
  <c r="B757" i="7" s="1"/>
  <c r="E204" i="7"/>
  <c r="B204" i="7" s="1"/>
  <c r="E1366" i="7"/>
  <c r="B1366" i="7" s="1"/>
  <c r="E192" i="7"/>
  <c r="B192" i="7" s="1"/>
  <c r="P1037" i="7"/>
  <c r="R1037" i="7" s="1"/>
  <c r="E1037" i="7" s="1"/>
  <c r="F1037" i="7" s="1"/>
  <c r="P1138" i="7"/>
  <c r="R1138" i="7" s="1"/>
  <c r="E1138" i="7" s="1"/>
  <c r="F1138" i="7" s="1"/>
  <c r="P375" i="7"/>
  <c r="R375" i="7" s="1"/>
  <c r="E375" i="7" s="1"/>
  <c r="F375" i="7" s="1"/>
  <c r="G1834" i="7"/>
  <c r="G177" i="7"/>
  <c r="F2686" i="7"/>
  <c r="F2290" i="7"/>
  <c r="F117" i="7"/>
  <c r="G2173" i="7"/>
  <c r="G1988" i="7"/>
  <c r="G942" i="7"/>
  <c r="F112" i="7"/>
  <c r="B1122" i="7"/>
  <c r="P1342" i="7"/>
  <c r="R1342" i="7" s="1"/>
  <c r="E1342" i="7" s="1"/>
  <c r="G1342" i="7" s="1"/>
  <c r="P2236" i="7"/>
  <c r="R2236" i="7" s="1"/>
  <c r="E2236" i="7" s="1"/>
  <c r="F2236" i="7" s="1"/>
  <c r="P2046" i="7"/>
  <c r="R2046" i="7" s="1"/>
  <c r="E2046" i="7" s="1"/>
  <c r="B2046" i="7" s="1"/>
  <c r="P2015" i="7"/>
  <c r="R2015" i="7" s="1"/>
  <c r="E2015" i="7" s="1"/>
  <c r="F2015" i="7" s="1"/>
  <c r="F433" i="7"/>
  <c r="P1521" i="7"/>
  <c r="R1521" i="7" s="1"/>
  <c r="E1521" i="7" s="1"/>
  <c r="F1521" i="7" s="1"/>
  <c r="P646" i="7"/>
  <c r="R646" i="7" s="1"/>
  <c r="E646" i="7" s="1"/>
  <c r="F646" i="7" s="1"/>
  <c r="P1377" i="7"/>
  <c r="R1377" i="7" s="1"/>
  <c r="E1377" i="7" s="1"/>
  <c r="F1377" i="7" s="1"/>
  <c r="E87" i="7"/>
  <c r="B87" i="7" s="1"/>
  <c r="P2731" i="7"/>
  <c r="R2731" i="7" s="1"/>
  <c r="E2731" i="7" s="1"/>
  <c r="F2731" i="7" s="1"/>
  <c r="P2" i="7"/>
  <c r="R2" i="7" s="1"/>
  <c r="E2" i="7" s="1"/>
  <c r="F2" i="7" s="1"/>
  <c r="P2854" i="7"/>
  <c r="R2854" i="7" s="1"/>
  <c r="E2854" i="7" s="1"/>
  <c r="F2854" i="7" s="1"/>
  <c r="P2857" i="7"/>
  <c r="R2857" i="7" s="1"/>
  <c r="E2857" i="7" s="1"/>
  <c r="F2857" i="7" s="1"/>
  <c r="P1113" i="7"/>
  <c r="R1113" i="7" s="1"/>
  <c r="E1113" i="7" s="1"/>
  <c r="F1113" i="7" s="1"/>
  <c r="P135" i="7"/>
  <c r="R135" i="7" s="1"/>
  <c r="E135" i="7" s="1"/>
  <c r="F135" i="7" s="1"/>
  <c r="P1384" i="7"/>
  <c r="R1384" i="7" s="1"/>
  <c r="E1384" i="7" s="1"/>
  <c r="F1384" i="7" s="1"/>
  <c r="P2087" i="7"/>
  <c r="R2087" i="7" s="1"/>
  <c r="E2087" i="7" s="1"/>
  <c r="F2087" i="7" s="1"/>
  <c r="P2851" i="7"/>
  <c r="R2851" i="7" s="1"/>
  <c r="E2851" i="7" s="1"/>
  <c r="F2851" i="7" s="1"/>
  <c r="P1040" i="7"/>
  <c r="R1040" i="7" s="1"/>
  <c r="E1040" i="7" s="1"/>
  <c r="F1040" i="7" s="1"/>
  <c r="P2724" i="7"/>
  <c r="R2724" i="7" s="1"/>
  <c r="E2724" i="7" s="1"/>
  <c r="F2724" i="7" s="1"/>
  <c r="E202" i="7"/>
  <c r="B202" i="7" s="1"/>
  <c r="P1026" i="7"/>
  <c r="R1026" i="7" s="1"/>
  <c r="E1026" i="7" s="1"/>
  <c r="F1026" i="7" s="1"/>
  <c r="P2848" i="7"/>
  <c r="R2848" i="7" s="1"/>
  <c r="E2848" i="7" s="1"/>
  <c r="F2848" i="7" s="1"/>
  <c r="P1239" i="7"/>
  <c r="R1239" i="7" s="1"/>
  <c r="E1239" i="7" s="1"/>
  <c r="F1239" i="7" s="1"/>
  <c r="P2000" i="7"/>
  <c r="R2000" i="7" s="1"/>
  <c r="E2000" i="7" s="1"/>
  <c r="F2000" i="7" s="1"/>
  <c r="P766" i="7"/>
  <c r="R766" i="7" s="1"/>
  <c r="E766" i="7" s="1"/>
  <c r="G766" i="7" s="1"/>
  <c r="P166" i="7"/>
  <c r="R166" i="7" s="1"/>
  <c r="E166" i="7" s="1"/>
  <c r="F166" i="7" s="1"/>
  <c r="P2850" i="7"/>
  <c r="R2850" i="7" s="1"/>
  <c r="E2850" i="7" s="1"/>
  <c r="F2850" i="7" s="1"/>
  <c r="P2345" i="7"/>
  <c r="R2345" i="7" s="1"/>
  <c r="E2345" i="7" s="1"/>
  <c r="F2345" i="7" s="1"/>
  <c r="E1925" i="7"/>
  <c r="P1449" i="7"/>
  <c r="R1449" i="7" s="1"/>
  <c r="E1449" i="7" s="1"/>
  <c r="F1449" i="7" s="1"/>
  <c r="E1286" i="7"/>
  <c r="F1286" i="7" s="1"/>
  <c r="P1042" i="7"/>
  <c r="R1042" i="7" s="1"/>
  <c r="E1042" i="7" s="1"/>
  <c r="F1042" i="7" s="1"/>
  <c r="P398" i="7"/>
  <c r="R398" i="7" s="1"/>
  <c r="E398" i="7" s="1"/>
  <c r="F398" i="7" s="1"/>
  <c r="P249" i="7"/>
  <c r="R249" i="7" s="1"/>
  <c r="E249" i="7" s="1"/>
  <c r="F249" i="7" s="1"/>
  <c r="E99" i="7"/>
  <c r="B99" i="7" s="1"/>
  <c r="P2446" i="7"/>
  <c r="R2446" i="7" s="1"/>
  <c r="E2446" i="7" s="1"/>
  <c r="F2446" i="7" s="1"/>
  <c r="P1513" i="7"/>
  <c r="R1513" i="7" s="1"/>
  <c r="E1513" i="7" s="1"/>
  <c r="F1513" i="7" s="1"/>
  <c r="P663" i="7"/>
  <c r="R663" i="7" s="1"/>
  <c r="E663" i="7" s="1"/>
  <c r="E96" i="7"/>
  <c r="B96" i="7" s="1"/>
  <c r="P2016" i="7"/>
  <c r="R2016" i="7" s="1"/>
  <c r="E2016" i="7" s="1"/>
  <c r="F2016" i="7" s="1"/>
  <c r="E91" i="7"/>
  <c r="B91" i="7" s="1"/>
  <c r="P390" i="7"/>
  <c r="R390" i="7" s="1"/>
  <c r="E390" i="7" s="1"/>
  <c r="F390" i="7" s="1"/>
  <c r="P260" i="7"/>
  <c r="R260" i="7" s="1"/>
  <c r="E260" i="7" s="1"/>
  <c r="F260" i="7" s="1"/>
  <c r="P1234" i="7"/>
  <c r="R1234" i="7" s="1"/>
  <c r="E1234" i="7" s="1"/>
  <c r="G1234" i="7" s="1"/>
  <c r="G1174" i="7"/>
  <c r="F504" i="7"/>
  <c r="F2708" i="7"/>
  <c r="G1654" i="7"/>
  <c r="G2648" i="7"/>
  <c r="G1699" i="7"/>
  <c r="F2502" i="7"/>
  <c r="F2162" i="7"/>
  <c r="G1678" i="7"/>
  <c r="F116" i="7"/>
  <c r="G1628" i="7"/>
  <c r="P1898" i="7"/>
  <c r="R1898" i="7" s="1"/>
  <c r="E1898" i="7" s="1"/>
  <c r="G1898" i="7" s="1"/>
  <c r="P656" i="7"/>
  <c r="R656" i="7" s="1"/>
  <c r="E656" i="7" s="1"/>
  <c r="F656" i="7" s="1"/>
  <c r="P2104" i="7"/>
  <c r="R2104" i="7" s="1"/>
  <c r="E2104" i="7" s="1"/>
  <c r="F2104" i="7" s="1"/>
  <c r="P47" i="7"/>
  <c r="R47" i="7" s="1"/>
  <c r="E47" i="7" s="1"/>
  <c r="F47" i="7" s="1"/>
  <c r="E311" i="7"/>
  <c r="F311" i="7" s="1"/>
  <c r="P2010" i="7"/>
  <c r="R2010" i="7" s="1"/>
  <c r="E2010" i="7" s="1"/>
  <c r="F2010" i="7" s="1"/>
  <c r="P1236" i="7"/>
  <c r="R1236" i="7" s="1"/>
  <c r="E1236" i="7" s="1"/>
  <c r="E1311" i="7"/>
  <c r="F1311" i="7" s="1"/>
  <c r="P2734" i="7"/>
  <c r="R2734" i="7" s="1"/>
  <c r="E2734" i="7" s="1"/>
  <c r="F2734" i="7" s="1"/>
  <c r="P436" i="7"/>
  <c r="R436" i="7" s="1"/>
  <c r="E436" i="7" s="1"/>
  <c r="F436" i="7" s="1"/>
  <c r="P2769" i="7"/>
  <c r="R2769" i="7" s="1"/>
  <c r="E2769" i="7" s="1"/>
  <c r="F2769" i="7" s="1"/>
  <c r="P45" i="7"/>
  <c r="R45" i="7" s="1"/>
  <c r="E45" i="7" s="1"/>
  <c r="F45" i="7" s="1"/>
  <c r="P2849" i="7"/>
  <c r="R2849" i="7" s="1"/>
  <c r="E2849" i="7" s="1"/>
  <c r="F2849" i="7" s="1"/>
  <c r="P1919" i="7"/>
  <c r="R1919" i="7" s="1"/>
  <c r="E1919" i="7" s="1"/>
  <c r="F1919" i="7" s="1"/>
  <c r="P1442" i="7"/>
  <c r="R1442" i="7" s="1"/>
  <c r="E1442" i="7" s="1"/>
  <c r="F1442" i="7" s="1"/>
  <c r="P1039" i="7"/>
  <c r="R1039" i="7" s="1"/>
  <c r="E1039" i="7" s="1"/>
  <c r="F1039" i="7" s="1"/>
  <c r="P392" i="7"/>
  <c r="R392" i="7" s="1"/>
  <c r="E392" i="7" s="1"/>
  <c r="F392" i="7" s="1"/>
  <c r="E219" i="7"/>
  <c r="B219" i="7" s="1"/>
  <c r="P2297" i="7"/>
  <c r="R2297" i="7" s="1"/>
  <c r="E2297" i="7" s="1"/>
  <c r="B2297" i="7" s="1"/>
  <c r="E1482" i="7"/>
  <c r="F1482" i="7" s="1"/>
  <c r="P594" i="7"/>
  <c r="R594" i="7" s="1"/>
  <c r="E594" i="7" s="1"/>
  <c r="F594" i="7" s="1"/>
  <c r="P1886" i="7"/>
  <c r="R1886" i="7" s="1"/>
  <c r="E1886" i="7" s="1"/>
  <c r="F1886" i="7" s="1"/>
  <c r="P1343" i="7"/>
  <c r="R1343" i="7" s="1"/>
  <c r="E1343" i="7" s="1"/>
  <c r="G1343" i="7" s="1"/>
  <c r="F97" i="7"/>
  <c r="P1524" i="7"/>
  <c r="R1524" i="7" s="1"/>
  <c r="E1524" i="7" s="1"/>
  <c r="F1524" i="7" s="1"/>
  <c r="P1932" i="7"/>
  <c r="R1932" i="7" s="1"/>
  <c r="E1932" i="7" s="1"/>
  <c r="F1932" i="7" s="1"/>
  <c r="P2235" i="7"/>
  <c r="R2235" i="7" s="1"/>
  <c r="E2235" i="7" s="1"/>
  <c r="F2235" i="7" s="1"/>
  <c r="E1479" i="7"/>
  <c r="F1479" i="7" s="1"/>
  <c r="P304" i="7"/>
  <c r="R304" i="7" s="1"/>
  <c r="E304" i="7" s="1"/>
  <c r="F304" i="7" s="1"/>
  <c r="P294" i="7"/>
  <c r="R294" i="7" s="1"/>
  <c r="E294" i="7" s="1"/>
  <c r="F294" i="7" s="1"/>
  <c r="P1420" i="7"/>
  <c r="R1420" i="7" s="1"/>
  <c r="E1420" i="7" s="1"/>
  <c r="F1420" i="7" s="1"/>
  <c r="P371" i="7"/>
  <c r="R371" i="7" s="1"/>
  <c r="E371" i="7" s="1"/>
  <c r="F371" i="7" s="1"/>
  <c r="P300" i="7"/>
  <c r="R300" i="7" s="1"/>
  <c r="E300" i="7" s="1"/>
  <c r="B300" i="7" s="1"/>
  <c r="P307" i="7"/>
  <c r="R307" i="7" s="1"/>
  <c r="E307" i="7" s="1"/>
  <c r="F307" i="7" s="1"/>
  <c r="P2001" i="7"/>
  <c r="R2001" i="7" s="1"/>
  <c r="E2001" i="7" s="1"/>
  <c r="F2001" i="7" s="1"/>
  <c r="P758" i="7"/>
  <c r="R758" i="7" s="1"/>
  <c r="E758" i="7" s="1"/>
  <c r="B758" i="7" s="1"/>
  <c r="E310" i="7"/>
  <c r="F310" i="7" s="1"/>
  <c r="E2592" i="7"/>
  <c r="B2592" i="7" s="1"/>
  <c r="P1465" i="7"/>
  <c r="R1465" i="7" s="1"/>
  <c r="E1465" i="7" s="1"/>
  <c r="F1465" i="7" s="1"/>
  <c r="E1288" i="7"/>
  <c r="F1288" i="7" s="1"/>
  <c r="P253" i="7"/>
  <c r="R253" i="7" s="1"/>
  <c r="E253" i="7" s="1"/>
  <c r="F253" i="7" s="1"/>
  <c r="P127" i="7"/>
  <c r="R127" i="7" s="1"/>
  <c r="E127" i="7" s="1"/>
  <c r="B127" i="7" s="1"/>
  <c r="P1551" i="7"/>
  <c r="R1551" i="7" s="1"/>
  <c r="E1551" i="7" s="1"/>
  <c r="F1551" i="7" s="1"/>
  <c r="P664" i="7"/>
  <c r="R664" i="7" s="1"/>
  <c r="E664" i="7" s="1"/>
  <c r="F664" i="7" s="1"/>
  <c r="P458" i="7"/>
  <c r="R458" i="7" s="1"/>
  <c r="E458" i="7" s="1"/>
  <c r="F458" i="7" s="1"/>
  <c r="E101" i="7"/>
  <c r="B101" i="7" s="1"/>
  <c r="P1136" i="7"/>
  <c r="R1136" i="7" s="1"/>
  <c r="E1136" i="7" s="1"/>
  <c r="F1136" i="7" s="1"/>
  <c r="P1887" i="7"/>
  <c r="R1887" i="7" s="1"/>
  <c r="E1887" i="7" s="1"/>
  <c r="F1887" i="7" s="1"/>
  <c r="P1999" i="7"/>
  <c r="R1999" i="7" s="1"/>
  <c r="E1999" i="7" s="1"/>
  <c r="F1999" i="7" s="1"/>
  <c r="P578" i="7"/>
  <c r="R578" i="7" s="1"/>
  <c r="E578" i="7" s="1"/>
  <c r="G578" i="7" s="1"/>
  <c r="P2324" i="7"/>
  <c r="R2324" i="7" s="1"/>
  <c r="E2324" i="7" s="1"/>
  <c r="F2324" i="7" s="1"/>
  <c r="P1273" i="7"/>
  <c r="R1273" i="7" s="1"/>
  <c r="E1273" i="7" s="1"/>
  <c r="E98" i="7"/>
  <c r="B98" i="7" s="1"/>
  <c r="E93" i="7"/>
  <c r="B93" i="7" s="1"/>
  <c r="E67" i="7"/>
  <c r="F67" i="7" s="1"/>
  <c r="P125" i="7"/>
  <c r="R125" i="7" s="1"/>
  <c r="E125" i="7" s="1"/>
  <c r="P660" i="7"/>
  <c r="R660" i="7" s="1"/>
  <c r="E660" i="7" s="1"/>
  <c r="P575" i="7"/>
  <c r="R575" i="7" s="1"/>
  <c r="E575" i="7" s="1"/>
  <c r="F575" i="7" s="1"/>
  <c r="P2007" i="7"/>
  <c r="R2007" i="7" s="1"/>
  <c r="E2007" i="7" s="1"/>
  <c r="G2007" i="7" s="1"/>
  <c r="P680" i="7"/>
  <c r="R680" i="7" s="1"/>
  <c r="E680" i="7" s="1"/>
  <c r="F680" i="7" s="1"/>
  <c r="P27" i="7"/>
  <c r="R27" i="7" s="1"/>
  <c r="E27" i="7" s="1"/>
  <c r="F27" i="7" s="1"/>
  <c r="P2847" i="7"/>
  <c r="R2847" i="7" s="1"/>
  <c r="E2847" i="7" s="1"/>
  <c r="F2847" i="7" s="1"/>
  <c r="P2241" i="7"/>
  <c r="R2241" i="7" s="1"/>
  <c r="E2241" i="7" s="1"/>
  <c r="F2241" i="7" s="1"/>
  <c r="P1853" i="7"/>
  <c r="R1853" i="7" s="1"/>
  <c r="E1853" i="7" s="1"/>
  <c r="F1853" i="7" s="1"/>
  <c r="P1437" i="7"/>
  <c r="R1437" i="7" s="1"/>
  <c r="E1437" i="7" s="1"/>
  <c r="F1437" i="7" s="1"/>
  <c r="P1257" i="7"/>
  <c r="R1257" i="7" s="1"/>
  <c r="E1257" i="7" s="1"/>
  <c r="B1257" i="7" s="1"/>
  <c r="P1036" i="7"/>
  <c r="R1036" i="7" s="1"/>
  <c r="E1036" i="7" s="1"/>
  <c r="F1036" i="7" s="1"/>
  <c r="P389" i="7"/>
  <c r="R389" i="7" s="1"/>
  <c r="E389" i="7" s="1"/>
  <c r="F389" i="7" s="1"/>
  <c r="E217" i="7"/>
  <c r="B217" i="7" s="1"/>
  <c r="E94" i="7"/>
  <c r="B94" i="7" s="1"/>
  <c r="P2257" i="7"/>
  <c r="R2257" i="7" s="1"/>
  <c r="E2257" i="7" s="1"/>
  <c r="F2257" i="7" s="1"/>
  <c r="P1477" i="7"/>
  <c r="R1477" i="7" s="1"/>
  <c r="E1477" i="7" s="1"/>
  <c r="F1477" i="7" s="1"/>
  <c r="P593" i="7"/>
  <c r="R593" i="7" s="1"/>
  <c r="E593" i="7" s="1"/>
  <c r="F593" i="7" s="1"/>
  <c r="E89" i="7"/>
  <c r="B89" i="7" s="1"/>
  <c r="P1015" i="7"/>
  <c r="R1015" i="7" s="1"/>
  <c r="E1015" i="7" s="1"/>
  <c r="F1015" i="7" s="1"/>
  <c r="E1312" i="7"/>
  <c r="F1312" i="7" s="1"/>
  <c r="P1336" i="7"/>
  <c r="R1336" i="7" s="1"/>
  <c r="E1336" i="7" s="1"/>
  <c r="F1336" i="7" s="1"/>
  <c r="P126" i="7"/>
  <c r="R126" i="7" s="1"/>
  <c r="E126" i="7" s="1"/>
  <c r="B126" i="7" s="1"/>
  <c r="G1619" i="7"/>
  <c r="F65" i="7"/>
  <c r="F2616" i="7"/>
  <c r="G1689" i="7"/>
  <c r="G943" i="7"/>
  <c r="F111" i="7"/>
  <c r="F213" i="7"/>
  <c r="F2672" i="7"/>
  <c r="G1976" i="7"/>
  <c r="P2179" i="7"/>
  <c r="R2179" i="7" s="1"/>
  <c r="E2179" i="7" s="1"/>
  <c r="F2179" i="7" s="1"/>
  <c r="P2002" i="7"/>
  <c r="R2002" i="7" s="1"/>
  <c r="E2002" i="7" s="1"/>
  <c r="F2002" i="7" s="1"/>
  <c r="P1888" i="7"/>
  <c r="R1888" i="7" s="1"/>
  <c r="E1888" i="7" s="1"/>
  <c r="F1888" i="7" s="1"/>
  <c r="P650" i="7"/>
  <c r="R650" i="7" s="1"/>
  <c r="E650" i="7" s="1"/>
  <c r="F650" i="7" s="1"/>
  <c r="P3" i="7"/>
  <c r="R3" i="7" s="1"/>
  <c r="E3" i="7" s="1"/>
  <c r="F3" i="7" s="1"/>
  <c r="P2846" i="7"/>
  <c r="R2846" i="7" s="1"/>
  <c r="E2846" i="7" s="1"/>
  <c r="F2846" i="7" s="1"/>
  <c r="P2238" i="7"/>
  <c r="R2238" i="7" s="1"/>
  <c r="E2238" i="7" s="1"/>
  <c r="F2238" i="7" s="1"/>
  <c r="P1715" i="7"/>
  <c r="R1715" i="7" s="1"/>
  <c r="E1715" i="7" s="1"/>
  <c r="F1715" i="7" s="1"/>
  <c r="P1438" i="7"/>
  <c r="R1438" i="7" s="1"/>
  <c r="E1438" i="7" s="1"/>
  <c r="F1438" i="7" s="1"/>
  <c r="P1222" i="7"/>
  <c r="R1222" i="7" s="1"/>
  <c r="E1222" i="7" s="1"/>
  <c r="F1222" i="7" s="1"/>
  <c r="P1016" i="7"/>
  <c r="R1016" i="7" s="1"/>
  <c r="E1016" i="7" s="1"/>
  <c r="F1016" i="7" s="1"/>
  <c r="P384" i="7"/>
  <c r="R384" i="7" s="1"/>
  <c r="E384" i="7" s="1"/>
  <c r="F384" i="7" s="1"/>
  <c r="E205" i="7"/>
  <c r="B205" i="7" s="1"/>
  <c r="E90" i="7"/>
  <c r="B90" i="7" s="1"/>
  <c r="P2135" i="7"/>
  <c r="R2135" i="7" s="1"/>
  <c r="E2135" i="7" s="1"/>
  <c r="F2135" i="7" s="1"/>
  <c r="P1469" i="7"/>
  <c r="R1469" i="7" s="1"/>
  <c r="E1469" i="7" s="1"/>
  <c r="F1469" i="7" s="1"/>
  <c r="P543" i="7"/>
  <c r="R543" i="7" s="1"/>
  <c r="E543" i="7" s="1"/>
  <c r="F543" i="7" s="1"/>
  <c r="E88" i="7"/>
  <c r="B88" i="7" s="1"/>
  <c r="P673" i="7"/>
  <c r="R673" i="7" s="1"/>
  <c r="E673" i="7" s="1"/>
  <c r="P2800" i="7"/>
  <c r="R2800" i="7" s="1"/>
  <c r="E2800" i="7" s="1"/>
  <c r="F2800" i="7" s="1"/>
  <c r="P692" i="7"/>
  <c r="R692" i="7" s="1"/>
  <c r="E692" i="7" s="1"/>
  <c r="F692" i="7" s="1"/>
  <c r="P1423" i="7"/>
  <c r="R1423" i="7" s="1"/>
  <c r="E1423" i="7" s="1"/>
  <c r="F1423" i="7" s="1"/>
  <c r="E967" i="7"/>
  <c r="F967" i="7" s="1"/>
  <c r="F2043" i="7"/>
  <c r="G1966" i="7"/>
  <c r="B2809" i="7"/>
  <c r="B279" i="7"/>
  <c r="B2176" i="7"/>
  <c r="F2622" i="7"/>
  <c r="H2196" i="7"/>
  <c r="H1969" i="7"/>
  <c r="H2497" i="7"/>
  <c r="B353" i="7"/>
  <c r="H2060" i="7"/>
  <c r="B2060" i="7" s="1"/>
  <c r="O1344" i="7"/>
  <c r="O1341" i="7"/>
  <c r="H581" i="7"/>
  <c r="H2403" i="7"/>
  <c r="H2858" i="7"/>
  <c r="H2401" i="7"/>
  <c r="H2813" i="7"/>
  <c r="B2813" i="7" s="1"/>
  <c r="H352" i="7"/>
  <c r="B352" i="7" s="1"/>
  <c r="O1895" i="7"/>
  <c r="H427" i="7"/>
  <c r="H1476" i="7"/>
  <c r="H1877" i="7"/>
  <c r="H2355" i="7"/>
  <c r="H429" i="7"/>
  <c r="T701" i="7"/>
  <c r="T866" i="7"/>
  <c r="H2756" i="7"/>
  <c r="H110" i="7"/>
  <c r="H202" i="7"/>
  <c r="H2796" i="7"/>
  <c r="H2233" i="7"/>
  <c r="H1474" i="7"/>
  <c r="H426" i="7"/>
  <c r="H548" i="7"/>
  <c r="H292" i="7"/>
  <c r="H262" i="7"/>
  <c r="H1484" i="7"/>
  <c r="H1582" i="7"/>
  <c r="H1520" i="7"/>
  <c r="H1369" i="7"/>
  <c r="H2549" i="7"/>
  <c r="H521" i="7"/>
  <c r="B521" i="7" s="1"/>
  <c r="H1110" i="7"/>
  <c r="H333" i="7"/>
  <c r="H1808" i="7"/>
  <c r="H2010" i="7"/>
  <c r="H237" i="7"/>
  <c r="G1621" i="7"/>
  <c r="T144" i="7"/>
  <c r="H128" i="7" s="1"/>
  <c r="T2790" i="7"/>
  <c r="H21" i="7" s="1"/>
  <c r="H2558" i="7"/>
  <c r="H946" i="7"/>
  <c r="H1823" i="7"/>
  <c r="H126" i="7"/>
  <c r="H1960" i="7"/>
  <c r="H518" i="7"/>
  <c r="H2082" i="7"/>
  <c r="H709" i="7"/>
  <c r="F2176" i="7"/>
  <c r="H798" i="7"/>
  <c r="H2795" i="7"/>
  <c r="H2008" i="7"/>
  <c r="H1825" i="7"/>
  <c r="H942" i="7"/>
  <c r="H1879" i="7"/>
  <c r="H401" i="7"/>
  <c r="G1686" i="7"/>
  <c r="F2809" i="7"/>
  <c r="H542" i="7"/>
  <c r="H2448" i="7"/>
  <c r="H1101" i="7"/>
  <c r="H2816" i="7"/>
  <c r="B2816" i="7" s="1"/>
  <c r="H2463" i="7"/>
  <c r="H1924" i="7"/>
  <c r="H311" i="7"/>
  <c r="H533" i="7"/>
  <c r="H351" i="7"/>
  <c r="B351" i="7" s="1"/>
  <c r="H142" i="7"/>
  <c r="T967" i="7"/>
  <c r="H739" i="7" s="1"/>
  <c r="H2494" i="7"/>
  <c r="H2265" i="7"/>
  <c r="H348" i="7"/>
  <c r="B348" i="7" s="1"/>
  <c r="H1158" i="7"/>
  <c r="H456" i="7"/>
  <c r="B456" i="7" s="1"/>
  <c r="H703" i="7"/>
  <c r="H1014" i="7"/>
  <c r="H670" i="7"/>
  <c r="T2056" i="7"/>
  <c r="T138" i="7"/>
  <c r="H2679" i="7"/>
  <c r="H2197" i="7"/>
  <c r="H2188" i="7"/>
  <c r="H1943" i="7"/>
  <c r="H349" i="7"/>
  <c r="B349" i="7" s="1"/>
  <c r="H317" i="7"/>
  <c r="T196" i="7"/>
  <c r="G1925" i="7" l="1"/>
  <c r="F85" i="7"/>
  <c r="G1841" i="7"/>
  <c r="B1841" i="7"/>
  <c r="F203" i="7"/>
  <c r="F86" i="7"/>
  <c r="F204" i="7"/>
  <c r="B2601" i="7"/>
  <c r="F2601" i="7"/>
  <c r="F194" i="7"/>
  <c r="F2694" i="7"/>
  <c r="G1977" i="7"/>
  <c r="F195" i="7"/>
  <c r="B125" i="7"/>
  <c r="F125" i="7"/>
  <c r="B663" i="7"/>
  <c r="F663" i="7"/>
  <c r="B2036" i="7"/>
  <c r="F2036" i="7"/>
  <c r="B298" i="7"/>
  <c r="F298" i="7"/>
  <c r="B1236" i="7"/>
  <c r="G1236" i="7"/>
  <c r="F661" i="7"/>
  <c r="F189" i="7"/>
  <c r="F98" i="7"/>
  <c r="F202" i="7"/>
  <c r="F192" i="7"/>
  <c r="G757" i="7"/>
  <c r="F2592" i="7"/>
  <c r="F217" i="7"/>
  <c r="G770" i="7"/>
  <c r="F301" i="7"/>
  <c r="F71" i="7"/>
  <c r="F2698" i="7"/>
  <c r="B664" i="7"/>
  <c r="F2046" i="7"/>
  <c r="G1351" i="7"/>
  <c r="F93" i="7"/>
  <c r="F2296" i="7"/>
  <c r="B27" i="7"/>
  <c r="G1366" i="7"/>
  <c r="F87" i="7"/>
  <c r="B67" i="7"/>
  <c r="F54" i="7"/>
  <c r="G758" i="7"/>
  <c r="F216" i="7"/>
  <c r="F2297" i="7"/>
  <c r="F201" i="7"/>
  <c r="F219" i="7"/>
  <c r="F96" i="7"/>
  <c r="G1257" i="7"/>
  <c r="B28" i="7"/>
  <c r="F94" i="7"/>
  <c r="G1674" i="7"/>
  <c r="F1461" i="7"/>
  <c r="G1676" i="7"/>
  <c r="F90" i="7"/>
  <c r="G2153" i="7"/>
  <c r="F91" i="7"/>
  <c r="F99" i="7"/>
  <c r="G1671" i="7"/>
  <c r="F101" i="7"/>
  <c r="F88" i="7"/>
  <c r="F657" i="7"/>
  <c r="G2172" i="7"/>
  <c r="F126" i="7"/>
  <c r="F127" i="7"/>
  <c r="B215" i="7"/>
  <c r="F205" i="7"/>
  <c r="G1350" i="7"/>
  <c r="F2041" i="7"/>
  <c r="P1341" i="7"/>
  <c r="R1341" i="7" s="1"/>
  <c r="E1341" i="7" s="1"/>
  <c r="G1341" i="7" s="1"/>
  <c r="P1895" i="7"/>
  <c r="R1895" i="7" s="1"/>
  <c r="E1895" i="7" s="1"/>
  <c r="F1895" i="7" s="1"/>
  <c r="P1344" i="7"/>
  <c r="R1344" i="7" s="1"/>
  <c r="E1344" i="7" s="1"/>
  <c r="G1344" i="7" s="1"/>
  <c r="F300" i="7"/>
  <c r="F89" i="7"/>
  <c r="P776" i="7"/>
  <c r="R776" i="7" s="1"/>
  <c r="E776" i="7" s="1"/>
  <c r="B776" i="7" s="1"/>
  <c r="F2606" i="7"/>
  <c r="F659" i="7"/>
  <c r="B703" i="7"/>
  <c r="F660" i="7"/>
  <c r="H337" i="7"/>
  <c r="H866" i="7"/>
  <c r="H2056" i="7"/>
  <c r="H1559" i="7"/>
  <c r="H1083" i="7"/>
  <c r="H541" i="7"/>
  <c r="H138" i="7"/>
  <c r="H123" i="7"/>
  <c r="H1398" i="7"/>
  <c r="H967" i="7"/>
  <c r="H507" i="7"/>
  <c r="B507" i="7" s="1"/>
  <c r="H144" i="7"/>
  <c r="H160" i="7"/>
  <c r="H196" i="7"/>
  <c r="H1092" i="7"/>
  <c r="H433" i="7"/>
  <c r="H2364" i="7"/>
  <c r="H701" i="7"/>
  <c r="H2044" i="7"/>
  <c r="H2790" i="7"/>
  <c r="H2704" i="7"/>
  <c r="H776" i="7"/>
  <c r="G776" i="7" s="1"/>
  <c r="H2002" i="7"/>
  <c r="G1523" i="7"/>
  <c r="O1854" i="7"/>
  <c r="O1624" i="7"/>
  <c r="P1624" i="7" s="1"/>
  <c r="R1624" i="7" s="1"/>
  <c r="F776" i="7" l="1"/>
  <c r="E1624" i="7"/>
  <c r="B1624" i="7" s="1"/>
  <c r="P1854" i="7"/>
  <c r="R1854" i="7" s="1"/>
  <c r="E1854" i="7" s="1"/>
  <c r="B701" i="7"/>
  <c r="G1624" i="7" l="1"/>
  <c r="F1854" i="7"/>
  <c r="B1854" i="7"/>
  <c r="O1623" i="7" l="1"/>
  <c r="P1623" i="7" s="1"/>
  <c r="R1623" i="7" s="1"/>
  <c r="E1623" i="7" s="1"/>
  <c r="B1623" i="7" l="1"/>
  <c r="G162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MaquiObras</author>
    <author>Maquiobras</author>
    <author>Maqui</author>
    <author>Esteban</author>
    <author>Asus</author>
    <author>Usuario</author>
  </authors>
  <commentList>
    <comment ref="N5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OFERTA KLD 19/9/23 INGRESAON 6</t>
        </r>
      </text>
    </comment>
    <comment ref="N10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CON BOLSO</t>
        </r>
      </text>
    </comment>
    <comment ref="L134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ZC 23/1/24</t>
        </r>
      </text>
    </comment>
    <comment ref="K16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CAMITS 19/4/23</t>
        </r>
      </text>
    </comment>
    <comment ref="N168" authorId="0" shapeId="0" xr:uid="{00000000-0006-0000-0000-000005000000}">
      <text>
        <r>
          <rPr>
            <sz val="9"/>
            <color indexed="81"/>
            <rFont val="Tahoma"/>
            <family val="2"/>
          </rPr>
          <t>3/7/23  KAGEN
19/8 KAGEN
21/9/23 KAGEN
2/10/23 KAGEN</t>
        </r>
      </text>
    </comment>
    <comment ref="L253" authorId="2" shapeId="0" xr:uid="{00000000-0006-0000-0000-000006000000}">
      <text>
        <r>
          <rPr>
            <sz val="10"/>
            <rFont val="Arial"/>
            <family val="2"/>
          </rPr>
          <t>Maqui:</t>
        </r>
        <r>
          <rPr>
            <sz val="10"/>
            <rFont val="Arial"/>
            <family val="2"/>
          </rPr>
          <t xml:space="preserve">
ROCEL
</t>
        </r>
      </text>
    </comment>
    <comment ref="M288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HEFER  29/11/23</t>
        </r>
      </text>
    </comment>
    <comment ref="M28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HEFER 29/11/23</t>
        </r>
      </text>
    </comment>
    <comment ref="L32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23/06/23 ALSEC Y 7/8/23</t>
        </r>
      </text>
    </comment>
    <comment ref="N35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8/11/23
</t>
        </r>
      </text>
    </comment>
    <comment ref="M362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PROAR 8-3-24</t>
        </r>
      </text>
    </comment>
    <comment ref="K364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14/4/23 MORANO CABLE 6x19 DE 5 MM</t>
        </r>
      </text>
    </comment>
    <comment ref="M365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14/4/23 MORANO CABLE 6x19 DE 5 MM</t>
        </r>
      </text>
    </comment>
    <comment ref="K367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 xml:space="preserve">GIORDANO 15/11/23
</t>
        </r>
      </text>
    </comment>
    <comment ref="H378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1/11 todo lo de vanesa actualizado al 1/11
</t>
        </r>
      </text>
    </comment>
    <comment ref="N38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MOISES 60 CM
</t>
        </r>
      </text>
    </comment>
    <comment ref="L391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ROSSANA 18/10</t>
        </r>
      </text>
    </comment>
    <comment ref="L443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1-9-23 HEFER STOK</t>
        </r>
      </text>
    </comment>
    <comment ref="L450" authorId="0" shapeId="0" xr:uid="{00000000-0006-0000-0000-000013000000}">
      <text>
        <r>
          <rPr>
            <b/>
            <sz val="9"/>
            <color indexed="81"/>
            <rFont val="Tahoma"/>
            <family val="2"/>
          </rPr>
          <t>1-9-23 HEFER STOK</t>
        </r>
      </text>
    </comment>
    <comment ref="C458" authorId="3" shapeId="0" xr:uid="{00000000-0006-0000-0000-000014000000}">
      <text>
        <r>
          <rPr>
            <b/>
            <sz val="9"/>
            <color indexed="81"/>
            <rFont val="Tahoma"/>
            <family val="2"/>
          </rPr>
          <t>Esteban:</t>
        </r>
        <r>
          <rPr>
            <sz val="9"/>
            <color indexed="81"/>
            <rFont val="Tahoma"/>
            <family val="2"/>
          </rPr>
          <t xml:space="preserve">
ERAM MAS BARARTO
14/9</t>
        </r>
      </text>
    </comment>
    <comment ref="L458" authorId="4" shapeId="0" xr:uid="{00000000-0006-0000-0000-000015000000}">
      <text>
        <r>
          <rPr>
            <b/>
            <sz val="9"/>
            <color indexed="81"/>
            <rFont val="Tahoma"/>
            <family val="2"/>
          </rPr>
          <t>LOUREIRO 14-12-23</t>
        </r>
      </text>
    </comment>
    <comment ref="M458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>ERAM 25-3-24</t>
        </r>
      </text>
    </comment>
    <comment ref="L551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ERAM 31/10/23 ARNES SIMPLE</t>
        </r>
      </text>
    </comment>
    <comment ref="C575" authorId="5" shapeId="0" xr:uid="{00000000-0006-0000-0000-000018000000}">
      <text>
        <r>
          <rPr>
            <b/>
            <sz val="9"/>
            <color indexed="81"/>
            <rFont val="Tahoma"/>
            <family val="2"/>
          </rPr>
          <t xml:space="preserve">Usuario:
ERAM 27/12/23
</t>
        </r>
      </text>
    </comment>
    <comment ref="L575" authorId="0" shapeId="0" xr:uid="{00000000-0006-0000-0000-000019000000}">
      <text>
        <r>
          <rPr>
            <b/>
            <sz val="9"/>
            <color indexed="81"/>
            <rFont val="Tahoma"/>
            <family val="2"/>
          </rPr>
          <t>eram 18/12/23</t>
        </r>
      </text>
    </comment>
    <comment ref="K593" authorId="0" shapeId="0" xr:uid="{00000000-0006-0000-0000-00001A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ZC</t>
        </r>
      </text>
    </comment>
    <comment ref="K642" authorId="3" shapeId="0" xr:uid="{00000000-0006-0000-0000-00001B000000}">
      <text>
        <r>
          <rPr>
            <b/>
            <sz val="9"/>
            <color indexed="81"/>
            <rFont val="Tahoma"/>
            <family val="2"/>
          </rPr>
          <t>Esteban:</t>
        </r>
        <r>
          <rPr>
            <sz val="9"/>
            <color indexed="81"/>
            <rFont val="Tahoma"/>
            <family val="2"/>
          </rPr>
          <t xml:space="preserve">
POR COMPRAS DE 20 MTS VH HACE UN 25 % 
</t>
        </r>
      </text>
    </comment>
    <comment ref="K643" authorId="3" shapeId="0" xr:uid="{00000000-0006-0000-0000-00001C000000}">
      <text>
        <r>
          <rPr>
            <b/>
            <sz val="9"/>
            <color indexed="81"/>
            <rFont val="Tahoma"/>
            <family val="2"/>
          </rPr>
          <t>Esteban:</t>
        </r>
        <r>
          <rPr>
            <sz val="9"/>
            <color indexed="81"/>
            <rFont val="Tahoma"/>
            <family val="2"/>
          </rPr>
          <t xml:space="preserve">
POR COMPRAS DE 20 MTS VH HACE UN 25 % 
</t>
        </r>
      </text>
    </comment>
    <comment ref="L650" authorId="2" shapeId="0" xr:uid="{00000000-0006-0000-0000-00001D000000}">
      <text>
        <r>
          <rPr>
            <b/>
            <sz val="9"/>
            <color indexed="81"/>
            <rFont val="Tahoma"/>
            <family val="2"/>
          </rPr>
          <t>Maqui:</t>
        </r>
        <r>
          <rPr>
            <sz val="9"/>
            <color indexed="81"/>
            <rFont val="Tahoma"/>
            <family val="2"/>
          </rPr>
          <t xml:space="preserve">
KIT 002 SKY PAIMUN
</t>
        </r>
      </text>
    </comment>
    <comment ref="L657" authorId="0" shapeId="0" xr:uid="{00000000-0006-0000-0000-00001E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26/5 GERDAU DIRECTO</t>
        </r>
      </text>
    </comment>
    <comment ref="K659" authorId="3" shapeId="0" xr:uid="{00000000-0006-0000-0000-00001F000000}">
      <text>
        <r>
          <rPr>
            <b/>
            <sz val="9"/>
            <color indexed="81"/>
            <rFont val="Tahoma"/>
            <family val="2"/>
          </rPr>
          <t>Esteban:</t>
        </r>
        <r>
          <rPr>
            <sz val="9"/>
            <color indexed="81"/>
            <rFont val="Tahoma"/>
            <family val="2"/>
          </rPr>
          <t xml:space="preserve">
ABACO</t>
        </r>
      </text>
    </comment>
    <comment ref="L659" authorId="3" shapeId="0" xr:uid="{00000000-0006-0000-0000-000020000000}">
      <text>
        <r>
          <rPr>
            <b/>
            <sz val="9"/>
            <color indexed="81"/>
            <rFont val="Tahoma"/>
            <family val="2"/>
          </rPr>
          <t>HERPACO</t>
        </r>
      </text>
    </comment>
    <comment ref="L662" authorId="4" shapeId="0" xr:uid="{00000000-0006-0000-0000-000021000000}">
      <text>
        <r>
          <rPr>
            <b/>
            <sz val="9"/>
            <color indexed="81"/>
            <rFont val="Tahoma"/>
            <family val="2"/>
          </rPr>
          <t>HERPACO</t>
        </r>
      </text>
    </comment>
    <comment ref="L663" authorId="3" shapeId="0" xr:uid="{00000000-0006-0000-0000-000022000000}">
      <text>
        <r>
          <rPr>
            <b/>
            <sz val="9"/>
            <color indexed="81"/>
            <rFont val="Tahoma"/>
            <family val="2"/>
          </rPr>
          <t>HERPACO</t>
        </r>
      </text>
    </comment>
    <comment ref="K776" authorId="0" shapeId="0" xr:uid="{00000000-0006-0000-0000-000023000000}">
      <text>
        <r>
          <rPr>
            <b/>
            <sz val="9"/>
            <color indexed="81"/>
            <rFont val="Tahoma"/>
            <family val="2"/>
          </rPr>
          <t>MESA PRECIO DE LISTA NO TIENE INCLUIDOS DESCUENTOS POR PAGO</t>
        </r>
      </text>
    </comment>
    <comment ref="L833" authorId="0" shapeId="0" xr:uid="{00000000-0006-0000-0000-000024000000}">
      <text>
        <r>
          <rPr>
            <b/>
            <sz val="9"/>
            <color indexed="81"/>
            <rFont val="Tahoma"/>
            <family val="2"/>
          </rPr>
          <t>HEFER 29/2/24</t>
        </r>
      </text>
    </comment>
    <comment ref="K848" authorId="3" shapeId="0" xr:uid="{00000000-0006-0000-0000-000025000000}">
      <text>
        <r>
          <rPr>
            <b/>
            <sz val="9"/>
            <color indexed="81"/>
            <rFont val="Tahoma"/>
            <family val="2"/>
          </rPr>
          <t>Esteban:</t>
        </r>
        <r>
          <rPr>
            <sz val="9"/>
            <color indexed="81"/>
            <rFont val="Tahoma"/>
            <family val="2"/>
          </rPr>
          <t xml:space="preserve">
180 EUROS</t>
        </r>
      </text>
    </comment>
    <comment ref="K1003" authorId="0" shapeId="0" xr:uid="{00000000-0006-0000-0000-000026000000}">
      <text>
        <r>
          <rPr>
            <b/>
            <sz val="9"/>
            <color indexed="81"/>
            <rFont val="Tahoma"/>
            <family val="2"/>
          </rPr>
          <t>CAMITS 19/4/23</t>
        </r>
      </text>
    </comment>
    <comment ref="L1026" authorId="0" shapeId="0" xr:uid="{00000000-0006-0000-0000-000027000000}">
      <text>
        <r>
          <rPr>
            <b/>
            <sz val="9"/>
            <color indexed="81"/>
            <rFont val="Tahoma"/>
            <family val="2"/>
          </rPr>
          <t>TEK BOND 13-6-23</t>
        </r>
      </text>
    </comment>
    <comment ref="M1026" authorId="0" shapeId="0" xr:uid="{00000000-0006-0000-0000-000028000000}">
      <text>
        <r>
          <rPr>
            <b/>
            <sz val="9"/>
            <color indexed="81"/>
            <rFont val="Tahoma"/>
            <family val="2"/>
          </rPr>
          <t>KUWAIT - HEFER 24-11-23</t>
        </r>
      </text>
    </comment>
    <comment ref="K1027" authorId="0" shapeId="0" xr:uid="{00000000-0006-0000-0000-000029000000}">
      <text>
        <r>
          <rPr>
            <b/>
            <sz val="9"/>
            <color indexed="81"/>
            <rFont val="Tahoma"/>
            <family val="2"/>
          </rPr>
          <t>KUWAIT - HEFER 24-11-23</t>
        </r>
      </text>
    </comment>
    <comment ref="L1112" authorId="3" shapeId="0" xr:uid="{00000000-0006-0000-0000-00002A000000}">
      <text>
        <r>
          <rPr>
            <b/>
            <sz val="9"/>
            <color indexed="81"/>
            <rFont val="Tahoma"/>
            <family val="2"/>
          </rPr>
          <t>MAQUITOOLSNFA</t>
        </r>
      </text>
    </comment>
    <comment ref="K1130" authorId="0" shapeId="0" xr:uid="{00000000-0006-0000-0000-00002B000000}">
      <text>
        <r>
          <rPr>
            <b/>
            <sz val="9"/>
            <color indexed="81"/>
            <rFont val="Tahoma"/>
            <family val="2"/>
          </rPr>
          <t xml:space="preserve">HEFER 3/4/24
</t>
        </r>
      </text>
    </comment>
    <comment ref="K1131" authorId="0" shapeId="0" xr:uid="{00000000-0006-0000-0000-00002C000000}">
      <text>
        <r>
          <rPr>
            <b/>
            <sz val="9"/>
            <color indexed="81"/>
            <rFont val="Tahoma"/>
            <family val="2"/>
          </rPr>
          <t>HEFER 3/4/24</t>
        </r>
      </text>
    </comment>
    <comment ref="K1132" authorId="0" shapeId="0" xr:uid="{00000000-0006-0000-0000-00002D000000}">
      <text>
        <r>
          <rPr>
            <b/>
            <sz val="9"/>
            <color indexed="81"/>
            <rFont val="Tahoma"/>
            <family val="2"/>
          </rPr>
          <t>HEFER 3/4/24</t>
        </r>
      </text>
    </comment>
    <comment ref="K1155" authorId="3" shapeId="0" xr:uid="{00000000-0006-0000-0000-00002E000000}">
      <text>
        <r>
          <rPr>
            <b/>
            <sz val="9"/>
            <color indexed="81"/>
            <rFont val="Tahoma"/>
            <family val="2"/>
          </rPr>
          <t>Esteban:</t>
        </r>
        <r>
          <rPr>
            <sz val="9"/>
            <color indexed="81"/>
            <rFont val="Tahoma"/>
            <family val="2"/>
          </rPr>
          <t xml:space="preserve">
ERAM
</t>
        </r>
      </text>
    </comment>
    <comment ref="L1208" authorId="3" shapeId="0" xr:uid="{00000000-0006-0000-0000-00002F000000}">
      <text>
        <r>
          <rPr>
            <b/>
            <sz val="9"/>
            <color indexed="81"/>
            <rFont val="Tahoma"/>
            <family val="2"/>
          </rPr>
          <t>Esteban:</t>
        </r>
        <r>
          <rPr>
            <sz val="9"/>
            <color indexed="81"/>
            <rFont val="Tahoma"/>
            <family val="2"/>
          </rPr>
          <t xml:space="preserve">
ALFREDO</t>
        </r>
      </text>
    </comment>
    <comment ref="C1235" authorId="0" shapeId="0" xr:uid="{00000000-0006-0000-0000-000030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19/1/24 
EL QUE ESTA ACTUALIZADO ES EL PRECIO DE OFERTA</t>
        </r>
      </text>
    </comment>
    <comment ref="K1235" authorId="0" shapeId="0" xr:uid="{00000000-0006-0000-0000-000031000000}">
      <text>
        <r>
          <rPr>
            <b/>
            <sz val="9"/>
            <color indexed="81"/>
            <rFont val="Tahoma"/>
            <family val="2"/>
          </rPr>
          <t>MACROMAQ 28/6/23</t>
        </r>
      </text>
    </comment>
    <comment ref="L1235" authorId="0" shapeId="0" xr:uid="{00000000-0006-0000-0000-000032000000}">
      <text>
        <r>
          <rPr>
            <b/>
            <sz val="9"/>
            <color indexed="81"/>
            <rFont val="Tahoma"/>
            <family val="2"/>
          </rPr>
          <t>leiten 1-9-23</t>
        </r>
      </text>
    </comment>
    <comment ref="C1319" authorId="4" shapeId="0" xr:uid="{00000000-0006-0000-0000-000033000000}">
      <text>
        <r>
          <rPr>
            <b/>
            <sz val="9"/>
            <color indexed="81"/>
            <rFont val="Tahoma"/>
            <family val="2"/>
          </rPr>
          <t>13/5/23 YA NO TIENEN EN STOCK Y EN LA LISTA LO TIENEN MAS BAJ QUE LO QUE ESTABA EN OFERTA</t>
        </r>
      </text>
    </comment>
    <comment ref="K1342" authorId="2" shapeId="0" xr:uid="{00000000-0006-0000-0000-000034000000}">
      <text>
        <r>
          <rPr>
            <sz val="10"/>
            <rFont val="Arial"/>
            <family val="2"/>
          </rPr>
          <t xml:space="preserve">MOTOR - FLETE CON SEGURO - CORREA
</t>
        </r>
      </text>
    </comment>
    <comment ref="M1351" authorId="0" shapeId="0" xr:uid="{00000000-0006-0000-0000-000035000000}">
      <text>
        <r>
          <rPr>
            <b/>
            <sz val="9"/>
            <color indexed="81"/>
            <rFont val="Tahoma"/>
            <family val="2"/>
          </rPr>
          <t>7/3/24 SIN MOTOR</t>
        </r>
      </text>
    </comment>
    <comment ref="L1488" authorId="0" shapeId="0" xr:uid="{00000000-0006-0000-0000-000036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HEFER 27/7</t>
        </r>
      </text>
    </comment>
    <comment ref="L1551" authorId="0" shapeId="0" xr:uid="{00000000-0006-0000-0000-000037000000}">
      <text>
        <r>
          <rPr>
            <b/>
            <sz val="9"/>
            <color indexed="81"/>
            <rFont val="Tahoma"/>
            <family val="2"/>
          </rPr>
          <t>ERAM 18/12/23</t>
        </r>
      </text>
    </comment>
    <comment ref="M1551" authorId="1" shapeId="0" xr:uid="{00000000-0006-0000-0000-000038000000}">
      <text>
        <r>
          <rPr>
            <b/>
            <sz val="9"/>
            <color indexed="81"/>
            <rFont val="Tahoma"/>
            <family val="2"/>
          </rPr>
          <t>ZC 14-12-23</t>
        </r>
      </text>
    </comment>
    <comment ref="L1554" authorId="3" shapeId="0" xr:uid="{00000000-0006-0000-0000-000039000000}">
      <text>
        <r>
          <rPr>
            <b/>
            <sz val="9"/>
            <color indexed="81"/>
            <rFont val="Tahoma"/>
            <family val="2"/>
          </rPr>
          <t>Esteban:</t>
        </r>
        <r>
          <rPr>
            <sz val="9"/>
            <color indexed="81"/>
            <rFont val="Tahoma"/>
            <family val="2"/>
          </rPr>
          <t xml:space="preserve">
17/7 lube oferta entraron 100
</t>
        </r>
      </text>
    </comment>
    <comment ref="L1621" authorId="0" shapeId="0" xr:uid="{00000000-0006-0000-0000-00003A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13/3 FACTURARON 2 A ESTE PRECIO</t>
        </r>
      </text>
    </comment>
    <comment ref="L1645" authorId="0" shapeId="0" xr:uid="{00000000-0006-0000-0000-00003B000000}">
      <text>
        <r>
          <rPr>
            <b/>
            <sz val="9"/>
            <color indexed="81"/>
            <rFont val="Tahoma"/>
            <family val="2"/>
          </rPr>
          <t>7/7/23 INGRESARON 2 A ESTE PRECIO</t>
        </r>
      </text>
    </comment>
    <comment ref="N1654" authorId="0" shapeId="0" xr:uid="{00000000-0006-0000-0000-00003C000000}">
      <text>
        <r>
          <rPr>
            <b/>
            <sz val="9"/>
            <color indexed="81"/>
            <rFont val="Tahoma"/>
            <family val="2"/>
          </rPr>
          <t xml:space="preserve">MaquiObraS
PRECIO ACTUAL 22/5
</t>
        </r>
      </text>
    </comment>
    <comment ref="K1848" authorId="4" shapeId="0" xr:uid="{00000000-0006-0000-0000-00003D000000}">
      <text>
        <r>
          <rPr>
            <b/>
            <sz val="9"/>
            <color indexed="81"/>
            <rFont val="Tahoma"/>
            <family val="2"/>
          </rPr>
          <t xml:space="preserve">ZC 1/8/23 NO SE SI TIENE </t>
        </r>
      </text>
    </comment>
    <comment ref="M1933" authorId="0" shapeId="0" xr:uid="{00000000-0006-0000-0000-00003E000000}">
      <text>
        <r>
          <rPr>
            <b/>
            <sz val="9"/>
            <color indexed="81"/>
            <rFont val="Tahoma"/>
            <family val="2"/>
          </rPr>
          <t>LASSO 29-2-24</t>
        </r>
      </text>
    </comment>
    <comment ref="L2017" authorId="0" shapeId="0" xr:uid="{00000000-0006-0000-0000-00003F000000}">
      <text>
        <r>
          <rPr>
            <b/>
            <sz val="9"/>
            <color indexed="81"/>
            <rFont val="Tahoma"/>
            <family val="2"/>
          </rPr>
          <t>OFERTA MORANO 16/3/23 INGRESARON 4</t>
        </r>
      </text>
    </comment>
    <comment ref="N2059" authorId="0" shapeId="0" xr:uid="{00000000-0006-0000-0000-000040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PASTECA DOBLE ESLINGAR</t>
        </r>
      </text>
    </comment>
    <comment ref="L2106" authorId="0" shapeId="0" xr:uid="{00000000-0006-0000-0000-000041000000}">
      <text>
        <r>
          <rPr>
            <sz val="9"/>
            <color indexed="81"/>
            <rFont val="Tahoma"/>
            <family val="2"/>
          </rPr>
          <t>19/8 KAGEN
2/10/23 KAGEN</t>
        </r>
      </text>
    </comment>
    <comment ref="N2144" authorId="3" shapeId="0" xr:uid="{00000000-0006-0000-0000-000042000000}">
      <text>
        <r>
          <rPr>
            <b/>
            <sz val="9"/>
            <color indexed="81"/>
            <rFont val="Tahoma"/>
            <family val="2"/>
          </rPr>
          <t>9/12 MET.ROSARIO</t>
        </r>
      </text>
    </comment>
    <comment ref="N2145" authorId="3" shapeId="0" xr:uid="{00000000-0006-0000-0000-000043000000}">
      <text>
        <r>
          <rPr>
            <b/>
            <sz val="9"/>
            <color indexed="81"/>
            <rFont val="Tahoma"/>
            <family val="2"/>
          </rPr>
          <t>9/12 MET.ROSARIO</t>
        </r>
      </text>
    </comment>
    <comment ref="L2178" authorId="0" shapeId="0" xr:uid="{00000000-0006-0000-0000-000044000000}">
      <text>
        <r>
          <rPr>
            <sz val="9"/>
            <color indexed="81"/>
            <rFont val="Tahoma"/>
            <family val="2"/>
          </rPr>
          <t xml:space="preserve">BARBUY 14/12/23
</t>
        </r>
      </text>
    </comment>
    <comment ref="L2179" authorId="0" shapeId="0" xr:uid="{00000000-0006-0000-0000-000045000000}">
      <text>
        <r>
          <rPr>
            <sz val="9"/>
            <color indexed="81"/>
            <rFont val="Tahoma"/>
            <family val="2"/>
          </rPr>
          <t xml:space="preserve">BARBUY 14/12/23
</t>
        </r>
      </text>
    </comment>
    <comment ref="L2180" authorId="0" shapeId="0" xr:uid="{00000000-0006-0000-0000-000046000000}">
      <text>
        <r>
          <rPr>
            <b/>
            <sz val="9"/>
            <color indexed="81"/>
            <rFont val="Tahoma"/>
            <family val="2"/>
          </rPr>
          <t xml:space="preserve">BARBUY 14/12/23
</t>
        </r>
      </text>
    </comment>
    <comment ref="K2201" authorId="2" shapeId="0" xr:uid="{00000000-0006-0000-0000-000047000000}">
      <text>
        <r>
          <rPr>
            <sz val="10"/>
            <rFont val="Arial"/>
            <family val="2"/>
          </rPr>
          <t>Maqui:</t>
        </r>
        <r>
          <rPr>
            <sz val="10"/>
            <rFont val="Arial"/>
            <family val="2"/>
          </rPr>
          <t xml:space="preserve">
VH SIN TORNEAR
</t>
        </r>
      </text>
    </comment>
    <comment ref="N2211" authorId="0" shapeId="0" xr:uid="{00000000-0006-0000-0000-000048000000}">
      <text>
        <r>
          <rPr>
            <b/>
            <sz val="9"/>
            <color indexed="81"/>
            <rFont val="Tahoma"/>
            <family val="2"/>
          </rPr>
          <t>LE SUME UN 10% PORQUE LA MAYORIA SON DE LO QUE HAY EN STOCK SON DE LOUREIRO</t>
        </r>
      </text>
    </comment>
    <comment ref="N2212" authorId="0" shapeId="0" xr:uid="{00000000-0006-0000-0000-000049000000}">
      <text>
        <r>
          <rPr>
            <b/>
            <sz val="9"/>
            <color indexed="81"/>
            <rFont val="Tahoma"/>
            <family val="2"/>
          </rPr>
          <t>LE SUME UN 10% PORQUE LA MAYORIA SON DE LO QUE HAY EN STOCK SON DE LOUREIRO</t>
        </r>
      </text>
    </comment>
    <comment ref="K2224" authorId="0" shapeId="0" xr:uid="{00000000-0006-0000-0000-00004A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7500 LAS DE RAMON
</t>
        </r>
      </text>
    </comment>
    <comment ref="L2224" authorId="3" shapeId="0" xr:uid="{00000000-0006-0000-0000-00004B000000}">
      <text>
        <r>
          <rPr>
            <b/>
            <sz val="9"/>
            <color indexed="81"/>
            <rFont val="Tahoma"/>
            <family val="2"/>
          </rPr>
          <t>Esteban:</t>
        </r>
        <r>
          <rPr>
            <sz val="9"/>
            <color indexed="81"/>
            <rFont val="Tahoma"/>
            <family val="2"/>
          </rPr>
          <t xml:space="preserve">
ROSSANA</t>
        </r>
      </text>
    </comment>
    <comment ref="L2241" authorId="0" shapeId="0" xr:uid="{00000000-0006-0000-0000-00004C000000}">
      <text>
        <r>
          <rPr>
            <b/>
            <sz val="9"/>
            <color indexed="81"/>
            <rFont val="Tahoma"/>
            <family val="2"/>
          </rPr>
          <t>eram 18/12/23</t>
        </r>
      </text>
    </comment>
    <comment ref="L2287" authorId="0" shapeId="0" xr:uid="{00000000-0006-0000-0000-00004D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PUNTAL 3,80 FINO
</t>
        </r>
      </text>
    </comment>
    <comment ref="L2315" authorId="0" shapeId="0" xr:uid="{00000000-0006-0000-0000-00004E000000}">
      <text>
        <r>
          <rPr>
            <b/>
            <sz val="9"/>
            <color indexed="81"/>
            <rFont val="Tahoma"/>
            <family val="2"/>
          </rPr>
          <t>16/11/23 UNIVERSAL SHOP ML - CANDELA 30W</t>
        </r>
      </text>
    </comment>
    <comment ref="M2324" authorId="0" shapeId="0" xr:uid="{00000000-0006-0000-0000-00004F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PERFIMET
</t>
        </r>
      </text>
    </comment>
    <comment ref="M2325" authorId="0" shapeId="0" xr:uid="{00000000-0006-0000-0000-000050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PERFIMET
</t>
        </r>
      </text>
    </comment>
    <comment ref="K2326" authorId="0" shapeId="0" xr:uid="{00000000-0006-0000-0000-000051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GRUPO ALUMINIO 26/6
</t>
        </r>
      </text>
    </comment>
    <comment ref="M2326" authorId="0" shapeId="0" xr:uid="{00000000-0006-0000-0000-000052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PERFIMET 29/2/24
</t>
        </r>
      </text>
    </comment>
    <comment ref="M2327" authorId="0" shapeId="0" xr:uid="{00000000-0006-0000-0000-000053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PERFIMET 29/2/24
</t>
        </r>
      </text>
    </comment>
    <comment ref="K2328" authorId="0" shapeId="0" xr:uid="{00000000-0006-0000-0000-000054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GRUPO ALUMINIO 26/6
</t>
        </r>
      </text>
    </comment>
    <comment ref="M2328" authorId="0" shapeId="0" xr:uid="{00000000-0006-0000-0000-000055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PERFIMET 29/2/24
</t>
        </r>
      </text>
    </comment>
    <comment ref="E2364" authorId="0" shapeId="0" xr:uid="{00000000-0006-0000-0000-000056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ESTE PRECIO ES DÓLAR
JORGE LA COBRA EN DOLARES BILLETES
</t>
        </r>
      </text>
    </comment>
    <comment ref="L2392" authorId="0" shapeId="0" xr:uid="{00000000-0006-0000-0000-000057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OJO! HAY UN 6201 QUE ES PULGADAS Y ES MUCHO MAS CARO!</t>
        </r>
      </text>
    </comment>
    <comment ref="K2435" authorId="0" shapeId="0" xr:uid="{00000000-0006-0000-0000-000058000000}">
      <text>
        <r>
          <rPr>
            <b/>
            <sz val="9"/>
            <color indexed="81"/>
            <rFont val="Tahoma"/>
            <family val="2"/>
          </rPr>
          <t>CAMITS 19/4/23</t>
        </r>
      </text>
    </comment>
    <comment ref="L2520" authorId="0" shapeId="0" xr:uid="{00000000-0006-0000-0000-000059000000}">
      <text>
        <r>
          <rPr>
            <b/>
            <sz val="9"/>
            <color indexed="81"/>
            <rFont val="Tahoma"/>
            <family val="2"/>
          </rPr>
          <t xml:space="preserve">OFERTA MORANO 16/3/23 INGRESARON 2
</t>
        </r>
      </text>
    </comment>
    <comment ref="L2536" authorId="0" shapeId="0" xr:uid="{00000000-0006-0000-0000-00005A000000}">
      <text>
        <r>
          <rPr>
            <b/>
            <sz val="9"/>
            <color indexed="81"/>
            <rFont val="Tahoma"/>
            <family val="2"/>
          </rPr>
          <t>KALYDON 6/3/24</t>
        </r>
      </text>
    </comment>
    <comment ref="M2728" authorId="0" shapeId="0" xr:uid="{00000000-0006-0000-0000-00005B000000}">
      <text>
        <r>
          <rPr>
            <b/>
            <sz val="9"/>
            <color indexed="81"/>
            <rFont val="Tahoma"/>
            <family val="2"/>
          </rPr>
          <t>MaquiObras:</t>
        </r>
        <r>
          <rPr>
            <sz val="9"/>
            <color indexed="81"/>
            <rFont val="Tahoma"/>
            <family val="2"/>
          </rPr>
          <t xml:space="preserve">
eram
</t>
        </r>
      </text>
    </comment>
    <comment ref="K2800" authorId="0" shapeId="0" xr:uid="{00000000-0006-0000-0000-00005C000000}">
      <text>
        <r>
          <rPr>
            <sz val="9"/>
            <color indexed="81"/>
            <rFont val="Tahoma"/>
            <family val="2"/>
          </rPr>
          <t xml:space="preserve">17/2/24 KAGEN
</t>
        </r>
      </text>
    </comment>
    <comment ref="M2800" authorId="0" shapeId="0" xr:uid="{00000000-0006-0000-0000-00005D000000}">
      <text>
        <r>
          <rPr>
            <b/>
            <sz val="9"/>
            <color indexed="81"/>
            <rFont val="Tahoma"/>
            <family val="2"/>
          </rPr>
          <t>HEFER 29-11-23</t>
        </r>
      </text>
    </comment>
    <comment ref="H2806" authorId="0" shapeId="0" xr:uid="{00000000-0006-0000-0000-00005E000000}">
      <text>
        <r>
          <rPr>
            <b/>
            <sz val="9"/>
            <color indexed="81"/>
            <rFont val="Tahoma"/>
            <family val="2"/>
          </rPr>
          <t xml:space="preserve">met rosario 28/10
PREGUNTAR A CARLOS </t>
        </r>
      </text>
    </comment>
    <comment ref="M2857" authorId="0" shapeId="0" xr:uid="{00000000-0006-0000-0000-00005F000000}">
      <text>
        <r>
          <rPr>
            <b/>
            <sz val="9"/>
            <color indexed="81"/>
            <rFont val="Tahoma"/>
            <family val="2"/>
          </rPr>
          <t>HEFER 29-11-23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MaquiObras</author>
  </authors>
  <commentList>
    <comment ref="R40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VENTA MASTERPACK 6-2-24</t>
        </r>
      </text>
    </comment>
  </commentList>
</comments>
</file>

<file path=xl/sharedStrings.xml><?xml version="1.0" encoding="utf-8"?>
<sst xmlns="http://schemas.openxmlformats.org/spreadsheetml/2006/main" count="88794" uniqueCount="62699">
  <si>
    <t>ALIAFOR</t>
  </si>
  <si>
    <t>LS-4.5</t>
  </si>
  <si>
    <t>Láser General Ø 4,5"</t>
  </si>
  <si>
    <t>LS-7</t>
  </si>
  <si>
    <t>Láser General Ø 7"</t>
  </si>
  <si>
    <t>LS-8</t>
  </si>
  <si>
    <t>Láser General Ø 8"</t>
  </si>
  <si>
    <t>LS-9</t>
  </si>
  <si>
    <t>Láser General Ø 9"</t>
  </si>
  <si>
    <t>LS-10</t>
  </si>
  <si>
    <t>Láser General Ø 10"</t>
  </si>
  <si>
    <t>LS-4.5AB</t>
  </si>
  <si>
    <t>Láser Abrasivo Ø 4,5"</t>
  </si>
  <si>
    <t>LS-5AB</t>
  </si>
  <si>
    <t>Láser Abrasivo Ø 5"</t>
  </si>
  <si>
    <t>LS-6AB</t>
  </si>
  <si>
    <t>Láser Abrasivo Ø 6"</t>
  </si>
  <si>
    <t>LS-7AB</t>
  </si>
  <si>
    <t>Láser Abrasivo Ø 7"</t>
  </si>
  <si>
    <t>LS-8AB</t>
  </si>
  <si>
    <t>Láser Abrasivo Ø 8"</t>
  </si>
  <si>
    <t>LS-9AB</t>
  </si>
  <si>
    <t>Láser Abrasivo Ø 9"</t>
  </si>
  <si>
    <t>LS-10AB</t>
  </si>
  <si>
    <t>Láser Abrasivo Ø 10"</t>
  </si>
  <si>
    <t>LS-4.5C</t>
  </si>
  <si>
    <t xml:space="preserve">Láser Concreto Ø 4,5" </t>
  </si>
  <si>
    <t>LS-5C</t>
  </si>
  <si>
    <t xml:space="preserve">Láser Concreto Ø 5" </t>
  </si>
  <si>
    <t>LS-6C</t>
  </si>
  <si>
    <t xml:space="preserve">Láser Concreto Ø 6" </t>
  </si>
  <si>
    <t>LS-7C</t>
  </si>
  <si>
    <t xml:space="preserve">Láser Concreto Ø 7" </t>
  </si>
  <si>
    <t>LS-8C</t>
  </si>
  <si>
    <t xml:space="preserve">Láser Concreto Ø 8" </t>
  </si>
  <si>
    <t>LS-9C</t>
  </si>
  <si>
    <t xml:space="preserve">Láser Concreto Ø 9" </t>
  </si>
  <si>
    <t>LS-10C</t>
  </si>
  <si>
    <t xml:space="preserve">Láser Concreto Ø 10" </t>
  </si>
  <si>
    <t>STR-4.5</t>
  </si>
  <si>
    <t xml:space="preserve">Super Turbo Ø 4,5" - Alma Ondulada </t>
  </si>
  <si>
    <t>STR-5</t>
  </si>
  <si>
    <t xml:space="preserve">Super Turbo Ø 5" - Alma Ondulada </t>
  </si>
  <si>
    <t>STR-7</t>
  </si>
  <si>
    <t xml:space="preserve">Super Turbo Ø 7" - Alma Ondulada </t>
  </si>
  <si>
    <t>STR-9</t>
  </si>
  <si>
    <t xml:space="preserve">Super Turbo Ø 9" - Alma Ondulada </t>
  </si>
  <si>
    <t>STF-4.5</t>
  </si>
  <si>
    <t xml:space="preserve">Stone Fire Turbo Ø 4,5" - Alma Plana </t>
  </si>
  <si>
    <t>STF-5</t>
  </si>
  <si>
    <t xml:space="preserve">Stone Fire Turbo Ø 5" - Alma Plana </t>
  </si>
  <si>
    <t>STF-7</t>
  </si>
  <si>
    <t xml:space="preserve">Stone Fire Turbo Ø 7" - Alma Plana </t>
  </si>
  <si>
    <t>STF-9</t>
  </si>
  <si>
    <t xml:space="preserve">Stone Fire Turbo Ø 9" - Alma Plana </t>
  </si>
  <si>
    <t>TR-4.5</t>
  </si>
  <si>
    <t xml:space="preserve">Turbo Ø 4,5" - Alma Plana </t>
  </si>
  <si>
    <t>TR-5</t>
  </si>
  <si>
    <t xml:space="preserve">Turbo Ø 5" - Alma Plana </t>
  </si>
  <si>
    <t>TR-7</t>
  </si>
  <si>
    <t xml:space="preserve">Turbo Ø 7" - Alma Plana </t>
  </si>
  <si>
    <t>TR-8</t>
  </si>
  <si>
    <t xml:space="preserve">Turbo Ø 8" - Alma Plana </t>
  </si>
  <si>
    <t>TR-9</t>
  </si>
  <si>
    <t xml:space="preserve">Turbo Ø 9" - Alma Plana </t>
  </si>
  <si>
    <t>TRF-4.5</t>
  </si>
  <si>
    <t xml:space="preserve">Turbo Fino Ø 4,5"  </t>
  </si>
  <si>
    <t>TRF-5</t>
  </si>
  <si>
    <t xml:space="preserve">Turbo Fino Ø 5" </t>
  </si>
  <si>
    <t>TRF-6</t>
  </si>
  <si>
    <t xml:space="preserve">Turbo Fino Ø 6" </t>
  </si>
  <si>
    <t>TRF-7</t>
  </si>
  <si>
    <t xml:space="preserve">Turbo Fino Ø 7"  </t>
  </si>
  <si>
    <t>TRF-8</t>
  </si>
  <si>
    <t xml:space="preserve">Turbo Fino Ø 8" </t>
  </si>
  <si>
    <t>TRF-9</t>
  </si>
  <si>
    <t xml:space="preserve">Turbo Fino Ø 9" </t>
  </si>
  <si>
    <t>TRF-10</t>
  </si>
  <si>
    <t xml:space="preserve">Turbo Fino Ø 10" </t>
  </si>
  <si>
    <t>RP-4.5</t>
  </si>
  <si>
    <t xml:space="preserve">Turbo Filoso Ø 4,5" </t>
  </si>
  <si>
    <t>RP-5</t>
  </si>
  <si>
    <t xml:space="preserve">Turbo Filoso Ø 5" </t>
  </si>
  <si>
    <t>RP-7</t>
  </si>
  <si>
    <t xml:space="preserve">Turbo Filoso Ø 7" </t>
  </si>
  <si>
    <t>SM-4.5</t>
  </si>
  <si>
    <t>Contínuo Ø 4,5"</t>
  </si>
  <si>
    <t>SM-5</t>
  </si>
  <si>
    <t>Contínuo Ø 5"</t>
  </si>
  <si>
    <t>SM-6</t>
  </si>
  <si>
    <t>Contínuo Ø 6"</t>
  </si>
  <si>
    <t>SM-7</t>
  </si>
  <si>
    <t>Contínuo Ø 7"</t>
  </si>
  <si>
    <t>SM-8</t>
  </si>
  <si>
    <t>Contínuo Ø 8"</t>
  </si>
  <si>
    <t>SM-9</t>
  </si>
  <si>
    <t>Contínuo Ø 9"</t>
  </si>
  <si>
    <t>SM-10</t>
  </si>
  <si>
    <t>Contínuo Ø 10"</t>
  </si>
  <si>
    <t>SM-4.5Y</t>
  </si>
  <si>
    <t>Contínuo Ø 4,5" - Liga Y</t>
  </si>
  <si>
    <t>SM-5Y</t>
  </si>
  <si>
    <t>Contínuo Ø 5" - Liga Y</t>
  </si>
  <si>
    <t>SM-7Y</t>
  </si>
  <si>
    <t>Contínuo Ø 7" - Liga Y</t>
  </si>
  <si>
    <t>SM-4.5G</t>
  </si>
  <si>
    <t>Contínuo Para Vidrio Ø 4,5"</t>
  </si>
  <si>
    <t>SM-7G</t>
  </si>
  <si>
    <t>Contínuo Para Vidrio Ø 7"</t>
  </si>
  <si>
    <t>SM-10G</t>
  </si>
  <si>
    <t>Contínuo Para Vidrio Ø 10"</t>
  </si>
  <si>
    <t>S12H10SS</t>
  </si>
  <si>
    <t>Hormigón Ø 12" - Sector 10 mm - Super Supreme - Alta Velocidad - Ø Interior 25,4 mm</t>
  </si>
  <si>
    <t>S14H10SS</t>
  </si>
  <si>
    <t>Hormigón Ø 14" - Sector 10 mm - Super Supreme - Alta Velocidad - Ø Interior 25,4 mm</t>
  </si>
  <si>
    <t>S16H10SS</t>
  </si>
  <si>
    <t>Hormigón Ø 16" - Sector 10 mm - Super Supreme - Alta Velocidad - Ø Interior 25,4 mm</t>
  </si>
  <si>
    <t>L12HC10SSP</t>
  </si>
  <si>
    <t>Hormigón Concreto Ø 12" H°A°- Sector 10 mm - Super Supreme Plus - Ø Interior 50 mm</t>
  </si>
  <si>
    <t>S12HC10SSP</t>
  </si>
  <si>
    <t>Hormigón Concreto Ø 12" H°A°- Sector 10 mm - Super Supreme Plus - Ø Interior 25,4 mm</t>
  </si>
  <si>
    <t>L14HC10SSP</t>
  </si>
  <si>
    <t>Hormigón Concreto Ø 14" H°A°- Sector 10 mm - Super Supreme Plus - Ø Interior 50 mm</t>
  </si>
  <si>
    <t>S14HC10SSP</t>
  </si>
  <si>
    <t>Hormigón Concreto Ø 14" H°A°- Sector 10 mm - Super Supreme Plus - Ø Interior 25,4 mm</t>
  </si>
  <si>
    <t>L16HC10SSP</t>
  </si>
  <si>
    <t>Hormigón Concreto Ø 16" H°A°- Sector 10 mm - Super Supreme Plus - Ø Interior 50 mm</t>
  </si>
  <si>
    <t>S16HC10SSP</t>
  </si>
  <si>
    <t>Hormigón Concreto Ø 16" H°A°- Sector 10 mm - Super Supreme Plus - Ø Interior 25,4 mm</t>
  </si>
  <si>
    <t>L18HC10SSP</t>
  </si>
  <si>
    <t>Hormigón Concreto Ø 18" H°A°- Sector 10 mm - Super Supreme Plus - Ø Interior 50 mm</t>
  </si>
  <si>
    <t>S18HC10SSP</t>
  </si>
  <si>
    <t>Hormigón Concreto Ø 18" H°A°- Sector 10 mm - Super Supreme Plus - Ø Interior 25,4 mm</t>
  </si>
  <si>
    <t>L20HC10SSP</t>
  </si>
  <si>
    <t>Hormigón Concreto Ø 20" H°A°- Sector 10 mm - Super Supreme Plus - Ø Interior 50 mm</t>
  </si>
  <si>
    <t>S20HC10SSP</t>
  </si>
  <si>
    <t>Hormigón Concreto Ø 20" H°A°- Sector 10 mm - Super Supreme Plus - Ø Interior 25,4 mm</t>
  </si>
  <si>
    <t>L24HC10SSP</t>
  </si>
  <si>
    <t>Hormigón Concreto Ø 24" H°A°- Sector 10 mm - Super Supreme Plus - Ø Interior 60 mm</t>
  </si>
  <si>
    <t>L12C7P</t>
  </si>
  <si>
    <t>Concreto Ø 12" - Sector 7 mm - Premium - Ø Interior 50 mm</t>
  </si>
  <si>
    <t>S12C7P</t>
  </si>
  <si>
    <t>Concreto Ø 12" - Sector 7 mm - Premium - Ø Interior 25,4 mm</t>
  </si>
  <si>
    <t>L12C7S</t>
  </si>
  <si>
    <t>Concreto Ø 12" - Sector 7 mm - Supreme - Ø Interior 50 mm</t>
  </si>
  <si>
    <t>S12C7S</t>
  </si>
  <si>
    <t>Concreto Ø 12" - Sector 7 mm - Supreme - Ø Interior 25,4 mm</t>
  </si>
  <si>
    <t>L12C10S</t>
  </si>
  <si>
    <t>Concreto Ø 12" - Sector 10 mm - Supreme - Ø Interior 50 mm</t>
  </si>
  <si>
    <t>S12C10S</t>
  </si>
  <si>
    <t>Concreto Ø 12" - Sector 10 mm - Supreme - Ø Interior 25,4 mm</t>
  </si>
  <si>
    <t>L14C7P</t>
  </si>
  <si>
    <t>Concreto Ø 14"  - Sector 7 mm - Premium - Ø Interior 50 mm</t>
  </si>
  <si>
    <t>S14C7P</t>
  </si>
  <si>
    <t>Concreto Ø 14" - Sector 7 mm - Premium - Ø Interior 25,4 mm</t>
  </si>
  <si>
    <t>L14C7S</t>
  </si>
  <si>
    <t>Concreto Ø 14" - Sector 7 mm - Supreme - Ø Interior 50 mm</t>
  </si>
  <si>
    <t>S14C7S</t>
  </si>
  <si>
    <t>Concreto Ø 14"- Sector 7 mm - Supreme - Ø Interior 25,4 mm</t>
  </si>
  <si>
    <t>L14C10S</t>
  </si>
  <si>
    <t>Concreto Ø 14" - Sector 10 mm - Supreme - Ø Interior 50 mm</t>
  </si>
  <si>
    <t>S14C10S</t>
  </si>
  <si>
    <t>Concreto Ø 14" - Sector 10 mm - Supreme - Ø Interior 25,4 mm</t>
  </si>
  <si>
    <t>L14C10SS</t>
  </si>
  <si>
    <t>Concreto Ø 14" - Sector 10 mm - Super Supreme - Ø Interior 50 mm</t>
  </si>
  <si>
    <t>S14C10SS</t>
  </si>
  <si>
    <t>Concreto Ø 14" - Sector 10 mm - Super Supreme - Ø Interior 25,4 mm</t>
  </si>
  <si>
    <t>L16C10S</t>
  </si>
  <si>
    <t>Concreto Ø 16" - Sector 10 mm - Supreme - Ø Interior 50 mm</t>
  </si>
  <si>
    <t>S16C10S</t>
  </si>
  <si>
    <t>Concreto Ø 16" - Sector 10 mm - Supreme - Ø Interior 25,4 mm</t>
  </si>
  <si>
    <t>L16C10SS</t>
  </si>
  <si>
    <t>Concreto Ø 16" - Sector 10 mm - Super Supreme - Ø Interior 50 mm</t>
  </si>
  <si>
    <t>S16C10SS</t>
  </si>
  <si>
    <t>Concreto Ø 16" - Sector 10 mm - Super Supreme - Ø Interior 25,4 mm</t>
  </si>
  <si>
    <t>L18C10S</t>
  </si>
  <si>
    <t>Concreto Ø 18" - Sector 10 mm - Supreme - Ø Interior 50 mm</t>
  </si>
  <si>
    <t>S18C10S</t>
  </si>
  <si>
    <t>Concreto Ø 18" - Sector 10 mm - Supreme - Ø Interior 25,4 mm</t>
  </si>
  <si>
    <t>L18C10SS</t>
  </si>
  <si>
    <t>Concreto Ø 18" - Sector 10 mm - Super Supreme - Ø Interior 50 mm</t>
  </si>
  <si>
    <t>S18C10SS</t>
  </si>
  <si>
    <t>Concreto Ø 18" - Sector 10 mm - Super Supreme - Ø Interior 25,4 mm</t>
  </si>
  <si>
    <t>L20C10SS</t>
  </si>
  <si>
    <t>Concreto Ø 20" - Sector 10 mm - Super Supreme - Ø Interior 50 mm</t>
  </si>
  <si>
    <t>S20C10SS</t>
  </si>
  <si>
    <t>Concreto Ø 20" - Sector 10 mm - Super Supreme - Ø Interior 25,4 mm</t>
  </si>
  <si>
    <t>L24C10SSP</t>
  </si>
  <si>
    <t>Concreto Ø 20" - Sector 10 mm - Super Supreme Plus - Ø Interior 60 mm</t>
  </si>
  <si>
    <t>L12CA7S</t>
  </si>
  <si>
    <t>Concreto Abrasivo Ø 12" - Sector 7 mm - Supreme - Ø Interior 50 mm</t>
  </si>
  <si>
    <t>S12CA7S</t>
  </si>
  <si>
    <t>Concreto Abrasivo Ø 12" - Sector 7 mm - Supreme - Ø Interior 25,4 mm</t>
  </si>
  <si>
    <t>L12CA10S</t>
  </si>
  <si>
    <t>Concreto Abrasivo Ø 12" - Sector 10 mm - Supreme - Ø Interior 50 mm</t>
  </si>
  <si>
    <t>S12CA10S</t>
  </si>
  <si>
    <t>Concreto Abrasivo Ø 12" - Sector 10 mm - Supreme - Ø Interior 25,4 mm</t>
  </si>
  <si>
    <t>L14CA7S</t>
  </si>
  <si>
    <t>Concreto Abrasivo Ø 14" - Sector 7 mm - Supreme - Ø Interior 50 mm</t>
  </si>
  <si>
    <t>S14CA7S</t>
  </si>
  <si>
    <t>Concreto Abrasivo Ø 14" - Sector 7 mm - Supreme - Ø Interior 25,4 mm</t>
  </si>
  <si>
    <t>L14CA10S</t>
  </si>
  <si>
    <t>Concreto Abrasivo Ø 14" - Sector 10 mm - Supreme - Ø Interior 50 mm</t>
  </si>
  <si>
    <t>S14CA10S</t>
  </si>
  <si>
    <t>Concreto Abrasivo Ø 14" - Sector 10 mm - Supreme - Ø Interior 25,4 mm</t>
  </si>
  <si>
    <t>L14CA10SS</t>
  </si>
  <si>
    <t>Concreto Abrasivo Ø 14" - Sector 10 mm - Super Supreme - Ø Interior 50 mm</t>
  </si>
  <si>
    <t>S14CA10SS</t>
  </si>
  <si>
    <t>Concreto Abrasivo Ø 14" - Sector 10 mm - Super Supreme - Ø Interior 25,4 mm</t>
  </si>
  <si>
    <t>L16CA10S</t>
  </si>
  <si>
    <t>Concreto Abrasivo Ø 16" - Sector 10 mm - Supreme - Ø Interior 50 mm</t>
  </si>
  <si>
    <t>S16CA10S</t>
  </si>
  <si>
    <t>Concreto Abrasivo Ø 16" - Sector 10 mm - Supreme - Ø Interior 25,4 mm</t>
  </si>
  <si>
    <t>L16CA10SS</t>
  </si>
  <si>
    <t>Concreto Abrasivo Ø 16" - Sector 10 mm - Super Supreme - Ø Interior 50 mm</t>
  </si>
  <si>
    <t>S16CA10SS</t>
  </si>
  <si>
    <t>Concreto Abrasivo Ø 16" - Sector 10 mm - Super Supreme - Ø Interior 25,4 mm</t>
  </si>
  <si>
    <t>L18CA10S</t>
  </si>
  <si>
    <t>Concreto Abrasivo Ø 18" - Sector 10 mm - Supreme - Ø Interior 50 mm</t>
  </si>
  <si>
    <t>S18CA10S</t>
  </si>
  <si>
    <t>Concreto Abrasivo Ø 18" - Sector 10 mm - Supreme - Ø Interior 25,4 mm</t>
  </si>
  <si>
    <t>L18CA10SS</t>
  </si>
  <si>
    <t>Concreto Abrasivo Ø 18" - Sector 10 mm - Super Supreme - Ø Interior 50 mm</t>
  </si>
  <si>
    <t>S18CA10SS</t>
  </si>
  <si>
    <t>Concreto Abrasivo Ø 18" - Sector 10 mm - Super Supreme - Ø Interior 25,4 mm</t>
  </si>
  <si>
    <t>L20CA10SS</t>
  </si>
  <si>
    <t>Concreto Abrasivo Ø 20" - Sector 10 mm - Super Supreme - Ø Interior 50 mm</t>
  </si>
  <si>
    <t>S20CA10SS</t>
  </si>
  <si>
    <t>Concreto Abrasivo Ø 20" - Sector 10 mm - Super Supreme - Ø Interior 25,4 mm</t>
  </si>
  <si>
    <t>L24CA10SSP</t>
  </si>
  <si>
    <t>Concreto Abrasivo Ø 24" - Sector 10 mm - Super Supreme Plus - Ø Interior 60 mm</t>
  </si>
  <si>
    <t>L12A7S</t>
  </si>
  <si>
    <t>Abrasivo Ø 12" - Sector 7 mm - Supreme - Ø Interior 50 mm</t>
  </si>
  <si>
    <t>S12A7S</t>
  </si>
  <si>
    <t>Abrasivo Ø 12" - Sector 7 mm - Supreme - Ø Interior 25,4 mm</t>
  </si>
  <si>
    <t>L12A9S</t>
  </si>
  <si>
    <t>Abrasivo Ø 12" - Sector 9 mm - Supreme - Ø Interior 50 mm</t>
  </si>
  <si>
    <t>S12A9S</t>
  </si>
  <si>
    <t>Abrasivo Ø 12" - Sector 9 mm - Supreme - Ø Interior 25,4 mm.</t>
  </si>
  <si>
    <t>L12A10SSP</t>
  </si>
  <si>
    <t>Abrasivo Ø 12" - Sector 10 mm - Supreme Supreme Plus - Ø Interior 50 mm.</t>
  </si>
  <si>
    <t>S12A10SSP</t>
  </si>
  <si>
    <t>Abrasivo Ø 12" - Sector 10 mm - Supreme Supreme Plus - Ø Interior 25,4 mm.</t>
  </si>
  <si>
    <t>L14A7S</t>
  </si>
  <si>
    <t>Abrasivo Ø 14" - Sector 7 mm - Supreme - Ø Interior 50 mm</t>
  </si>
  <si>
    <t>S14A7S</t>
  </si>
  <si>
    <t>Abrasivo Ø 14" - Sector 7 mm - Supreme - Ø Interior 25,4 mm</t>
  </si>
  <si>
    <t>L14A9S</t>
  </si>
  <si>
    <t>Abrasivo Ø 14" - Sector 9 mm - Supreme - Ø Interior 50 mm</t>
  </si>
  <si>
    <t>S14A9S</t>
  </si>
  <si>
    <t>Abrasivo Ø 14" - Sector 9 mm - Supreme - Ø Interior 25,4 mm</t>
  </si>
  <si>
    <t>L14A10SSP</t>
  </si>
  <si>
    <t>Abrasivo Ø 14" - Sector 10 mm - Super Supreme Plus - Ø Interior 50 mm</t>
  </si>
  <si>
    <t>S14A10SSP</t>
  </si>
  <si>
    <t>Abrasivo Ø 14" - Sector 10 mm - Super Supreme Plus - Ø Interior 25,4 mm</t>
  </si>
  <si>
    <t>L16A10SSP</t>
  </si>
  <si>
    <t>Abrasivo Ø 16" - Sector 10 mm - Super Supreme Plus - Ø Interior 50 mm</t>
  </si>
  <si>
    <t>S16A10SSP</t>
  </si>
  <si>
    <t>Abrasivo Ø 16" - Sector 10 mm - Super Supreme Plus - Ø Interior 25,4 mm</t>
  </si>
  <si>
    <t>L18A10SSP</t>
  </si>
  <si>
    <t>Abrasivo Ø 18" - Sector 10 mm - Super Supreme Plus - Ø Interior 50 mm</t>
  </si>
  <si>
    <t>S18A10SSP</t>
  </si>
  <si>
    <t>Abrasivo Ø 18" - Sector 10 mm - Super Supreme Plus - Ø Interior 25,4 mm</t>
  </si>
  <si>
    <t>L20A10SSP</t>
  </si>
  <si>
    <t>Abrasivo Ø 20" - Sector 10 mm - Super Supreme Plus - Ø Interior 50 mm</t>
  </si>
  <si>
    <t>S20A10SSP</t>
  </si>
  <si>
    <t>Abrasivo Ø 20" - Sector 10 mm - Super Supreme Plus - Ø Interior 25,4 mm</t>
  </si>
  <si>
    <t>L24A10SSP</t>
  </si>
  <si>
    <t>Abrasivo Ø 24" - Sector 10 mm - Super Supreme Plus - Ø Interior 50 mm</t>
  </si>
  <si>
    <t>L12AX9SSP</t>
  </si>
  <si>
    <t>Abrasivo Extra Ø 12" - Sector 9 mm - Super Supreme - Ø Interior 50 mm</t>
  </si>
  <si>
    <t>S12AX9SSP</t>
  </si>
  <si>
    <t>Abrasivo Extra Ø 12" - Sector 9 mm - Super Supreme - Ø Interior 25,4 mm</t>
  </si>
  <si>
    <t>L14AX9SSP</t>
  </si>
  <si>
    <t>Abrasivo Extra Ø 14" - Sector 9 mm - Super Supreme Plus - Ø Interior 50 mm</t>
  </si>
  <si>
    <t>S14AX9SSP</t>
  </si>
  <si>
    <t>Abrasivo Extra Ø 14" - Sector 9 mm - Super Supreme Plus - Ø Interior 25,4 mm</t>
  </si>
  <si>
    <t>L16AX9SSP</t>
  </si>
  <si>
    <t>Abrasivo Extra Ø 16" - Sector 9 mm - Super Supreme - Ø Interior 50 mm</t>
  </si>
  <si>
    <t>S16AX9SSP</t>
  </si>
  <si>
    <t>Abrasivo Extra Ø 16" - Sector 9 mm - Super Supreme - Ø Interior 25,4 mm</t>
  </si>
  <si>
    <t>L18AX9SSP</t>
  </si>
  <si>
    <t>Abrasivo Extra Ø 18" - Sector 9 mm - Super Supreme - Ø Interior 50 mm</t>
  </si>
  <si>
    <t>S18AX9SSP</t>
  </si>
  <si>
    <t>Abrasivo Extra Ø 18" - Sector 9 mm - Super Supreme - Ø Interior 25,4 mm</t>
  </si>
  <si>
    <t>L20AX10SSP</t>
  </si>
  <si>
    <t>Abrasivo Extra Ø 20" - Sector 10 mm - Super Supreme - Ø Interior 50 mm</t>
  </si>
  <si>
    <t>S20AX10SSP</t>
  </si>
  <si>
    <t>Abrasivo Extra Ø 20" - Sector 10 mm - Super Supreme - Ø Interior 25,4 mm</t>
  </si>
  <si>
    <t>L24AX10SSP</t>
  </si>
  <si>
    <t>Abrasivo Extra Ø 24" - Sector 9 mm - Super Supreme - Ø Interior 60 mm</t>
  </si>
  <si>
    <t>ADAP-M14</t>
  </si>
  <si>
    <t xml:space="preserve">Adaptador para Copa Sierra Diamantada de M-14 a Gas ½” </t>
  </si>
  <si>
    <t>D-4G</t>
  </si>
  <si>
    <t xml:space="preserve">Diamantada - Astra Simple - Ø 4" - Ø Interior 22,2 mm </t>
  </si>
  <si>
    <t>D-7G</t>
  </si>
  <si>
    <t xml:space="preserve">Diamantada - Astra Simple - Ø 7" - Ø Interior 22,2 mm </t>
  </si>
  <si>
    <t>DB-4G</t>
  </si>
  <si>
    <t xml:space="preserve">Diamantada - Astra Doble - Ø 4" - Ø Interior 22,2 mm </t>
  </si>
  <si>
    <t>DBE-4G</t>
  </si>
  <si>
    <t xml:space="preserve">Diamantada - Astra Doble - Ø 4" - Ø Interior 22,2 mm  - Economy </t>
  </si>
  <si>
    <t>DB-7G</t>
  </si>
  <si>
    <t xml:space="preserve">Diamantada - Astra Doble - Ø 7" - Ø Interior 22,2 mm </t>
  </si>
  <si>
    <t>TB-4G</t>
  </si>
  <si>
    <t xml:space="preserve">Diamantada - T-Cup - Ø 4" - Ø Interior 22,2 mm </t>
  </si>
  <si>
    <t>TP-4G</t>
  </si>
  <si>
    <t xml:space="preserve">Diamantada - Turbo Vida Extra - Ø 4" - Ø Interior 22,2 mm </t>
  </si>
  <si>
    <t>R-4G</t>
  </si>
  <si>
    <t>Diamantada - Resina - Ø 4" - Grano Grueso - Rosca M14</t>
  </si>
  <si>
    <t>R-4M</t>
  </si>
  <si>
    <t>Diamantada - Resina - Ø 4" - Grano Medio - Rosca M14</t>
  </si>
  <si>
    <t>R-4F</t>
  </si>
  <si>
    <t>Diamantada - Resina - Ø 4" - Grano Fino - Rosca M14</t>
  </si>
  <si>
    <t>SM-WS12</t>
  </si>
  <si>
    <t>Contínuo Ø 12" - Liga Media - Sector 6,5 mm - Standard - Cerámicos</t>
  </si>
  <si>
    <t>SM-WS12J</t>
  </si>
  <si>
    <t>Contínuo Ø 12" - Liga Media - Sector 6,5 mm - Standard - Micro Cortes Láser - Cerámicos</t>
  </si>
  <si>
    <t>SMN-12J</t>
  </si>
  <si>
    <t>Contínuo Ø 12" - Liga Blanda - Sector 9,5 mm - Premium - Micro Cortes Láser - Porcelanatos</t>
  </si>
  <si>
    <t>SMN-12JS</t>
  </si>
  <si>
    <t>Contínuo Ø 12" - Liga Extra Blanda - Sector 9,5 mm - Premium - Micro Cortes Láser - Porcelanatos</t>
  </si>
  <si>
    <t>SM-12GNHJ</t>
  </si>
  <si>
    <t>Contínuo Ø 12" - Liga Extra Blanda - Sector 9,5 mm - Premium - Micro Cortes Láser - Vidrios</t>
  </si>
  <si>
    <t>SM-12G</t>
  </si>
  <si>
    <t>Contínuo Ø 12" - Liga Extra Blanda - Sector 7 mm - Supreme - Vidrios</t>
  </si>
  <si>
    <t>SNP-12J</t>
  </si>
  <si>
    <t>Continuo Ø 12 - Liga AS - Sector 9.5 mm - Premium - Micro Cortes Láser - Porcelanatos</t>
  </si>
  <si>
    <t>TRF-12</t>
  </si>
  <si>
    <t>Turbo Fino Ø 12" - Banda 7,5 mm - Espesor 2 mm - Porcelanatos</t>
  </si>
  <si>
    <t>L12P10XD</t>
  </si>
  <si>
    <t>Segmentado Láser Granito Ø 12" - Liga Blanda - Sector 10 mm - Alma Detenso</t>
  </si>
  <si>
    <t>L14P10XD</t>
  </si>
  <si>
    <t>Segmentado Láser Granito Ø 14" - Liga Blanda - Sector 10 mm - Alma Detenso</t>
  </si>
  <si>
    <t>L16P10XD</t>
  </si>
  <si>
    <t>Segmentado Láser Granito Ø 16" - Liga Blanda - Sector 10 mm - Alma Detenso</t>
  </si>
  <si>
    <t>L18P10XD</t>
  </si>
  <si>
    <t>Segmentado Láser Granito Ø 18" - Liga Blanda - Sector 10 mm - Alma Detenso</t>
  </si>
  <si>
    <t>B12P10XD</t>
  </si>
  <si>
    <t>Segmentado Plata Granito Ø 12" - Liga Blanda - Sector 10 mm - Alma Detenso</t>
  </si>
  <si>
    <t>B14P10XD</t>
  </si>
  <si>
    <t>Segmentado Plata Granito Ø 14" - Liga Blanda - Sector 10 mm - Alma Detenso</t>
  </si>
  <si>
    <t>B14P10YS</t>
  </si>
  <si>
    <t>Segmentado Plata Granito Ø 14" - Liga Blanda - Sector 10 mm - Alma Silenciosa</t>
  </si>
  <si>
    <t>L14P15YS</t>
  </si>
  <si>
    <t>B14P15YS</t>
  </si>
  <si>
    <t>B16P10XD</t>
  </si>
  <si>
    <t>Segmentado Plata Granito Ø 16" - Liga Blanda - Sector 10 mm - Alma Detenso</t>
  </si>
  <si>
    <t>B18P10XD</t>
  </si>
  <si>
    <t>Segmentado Plata Granito Ø 18" - Liga Blanda - Sector 10 mm - Alma Detenso</t>
  </si>
  <si>
    <t>L16P15YS</t>
  </si>
  <si>
    <t>Segmentado Plata Granito Ø 16" - Liga Blanda - Sector 15 mm - Alma Silenciosa</t>
  </si>
  <si>
    <t>B16P15YS</t>
  </si>
  <si>
    <t>L12N10W</t>
  </si>
  <si>
    <t>Segmentado Láser Granito Ø 12" - Liga Media - Sector 10 mm - Alma Standard</t>
  </si>
  <si>
    <t>L14N10W</t>
  </si>
  <si>
    <t>Segmentado Láser Granito Ø 14" - Liga Media - Sector 10 mm - Alma Standard</t>
  </si>
  <si>
    <t>L16N10W</t>
  </si>
  <si>
    <t>Segmentado Láser Granito Ø 16" - Liga Media - Sector 10 mm - Alma Standard</t>
  </si>
  <si>
    <t>L18N10W</t>
  </si>
  <si>
    <t>Segmentado Láser Granito Ø 18" - Liga Media - Sector 10 mm - Alma Standard</t>
  </si>
  <si>
    <t>L12N10XD</t>
  </si>
  <si>
    <t>Segmentado Láser Granito Ø 12" - Liga Media - Sector 10 mm - Alma Detenso</t>
  </si>
  <si>
    <t>L14N10XD</t>
  </si>
  <si>
    <t>Segmentado Láser Granito Ø 14" - Liga Media - Sector 10 mm - Alma Detenso</t>
  </si>
  <si>
    <t>L16N10XD</t>
  </si>
  <si>
    <t>Segmentado Láser Granito Ø 16" - Liga Media - Sector 10 mm - Alma Detenso</t>
  </si>
  <si>
    <t>L18N10XD</t>
  </si>
  <si>
    <t>Segmentado Láser Granito Ø 18" - Liga Media - Sector 10 mm - Alma Detenso</t>
  </si>
  <si>
    <t>B12N10XD</t>
  </si>
  <si>
    <t>Segmentado Plata Granito Ø 12" - Liga Media - Sector 10 mm - Alma Detenso</t>
  </si>
  <si>
    <t>B14N10XD</t>
  </si>
  <si>
    <t>Segmentado Plata Granito Ø 14" - Liga Media - Sector 10 mm - Alma Detenso</t>
  </si>
  <si>
    <t>B14N10YS</t>
  </si>
  <si>
    <t>Segmentado Plata Granito Ø 14" - Liga Media - Sector 10 mm - Alma Silenciosa</t>
  </si>
  <si>
    <t>B14N15YS</t>
  </si>
  <si>
    <t>Segmentado Plata Granito Ø 14" - Liga Media - Sector 15 mm - Alma Silenciosa</t>
  </si>
  <si>
    <t>B16N10XD</t>
  </si>
  <si>
    <t>Segmentado Plata Granito Ø 16" - Liga Media - Sector 10 mm - Alma Detenso</t>
  </si>
  <si>
    <t>B16N15YS</t>
  </si>
  <si>
    <t>Segmentado Plata Granito Ø 16" - Liga Media - Sector 15 mm - Alma Silenciosa</t>
  </si>
  <si>
    <t>L12M7W</t>
  </si>
  <si>
    <t>Segmentado Láser Granito Ø 12" - Liga Dura - Sector 7 mm - Alma Standard</t>
  </si>
  <si>
    <t>L14M7W</t>
  </si>
  <si>
    <t>Segmentado Láser Granito Ø 14" - Liga Dura - Sector 7 mm - Alma Standard</t>
  </si>
  <si>
    <t>L12M10W</t>
  </si>
  <si>
    <t>Segmentado Láser Granito Ø 12" - Liga Dura - Sector 10 mm - Alma Standard</t>
  </si>
  <si>
    <t>L14M10W</t>
  </si>
  <si>
    <t>Segmentado Láser Granito Ø 14" - Liga Dura - Sector 10 mm - Alma Standard</t>
  </si>
  <si>
    <t>L12M12W</t>
  </si>
  <si>
    <t>Segmentado Láser Granito Ø 12" - Liga Dura - Sector 12 mm - Alma Standard</t>
  </si>
  <si>
    <t>L14M12W</t>
  </si>
  <si>
    <t>Segmentado Láser Granito Ø 14" - Liga Dura - Sector 12 mm - Alma Standard</t>
  </si>
  <si>
    <t>L16M12W</t>
  </si>
  <si>
    <t>Segmentado Láser Granito Ø 16" - Liga Dura - Sector 12 mm - Alma Standard</t>
  </si>
  <si>
    <t>L18M12W</t>
  </si>
  <si>
    <t>Segmentado Láser Granito Ø 18" - Liga Dura - Sector 12 mm - Alma Standard</t>
  </si>
  <si>
    <t>BS-4.5</t>
  </si>
  <si>
    <t>Disco Diamantado para corte de metales 115 x 1.3T x</t>
  </si>
  <si>
    <t>BS-7</t>
  </si>
  <si>
    <t>Disco Diamantado para corte de metales 180 x1.6T x</t>
  </si>
  <si>
    <t>BS-9</t>
  </si>
  <si>
    <t>Disco Diamantado para corte de metales 230 x 1.6T x</t>
  </si>
  <si>
    <t>BS-14</t>
  </si>
  <si>
    <t xml:space="preserve">Disco Diamantado para corte de metales 350 x 4.1T x 25.40 H </t>
  </si>
  <si>
    <t>BS-14-32H</t>
  </si>
  <si>
    <t xml:space="preserve">Disco Diamantado para corte de metales 350 x 4.1T x 32 H </t>
  </si>
  <si>
    <t>BSF-14</t>
  </si>
  <si>
    <t>BSD-4.5</t>
  </si>
  <si>
    <t>Disco para desbaste de metales  Ø 4.5 "</t>
  </si>
  <si>
    <t>BSD-7</t>
  </si>
  <si>
    <t>Disco para desbaste de metales  Ø 7"</t>
  </si>
  <si>
    <t>Broca Diamantada  Ø 5 mm</t>
  </si>
  <si>
    <t>Broca Diamantada Ø  6 mm</t>
  </si>
  <si>
    <t>Broca Diamantada Ø  8 mm</t>
  </si>
  <si>
    <t>Broca Diamantada Ø  10 mm</t>
  </si>
  <si>
    <t>Broca Diamantada Ø  12 mm</t>
  </si>
  <si>
    <t>Set Broca Diamantada Ø  6 mm + Humectador + Bases Autoadhesivas</t>
  </si>
  <si>
    <t>Set Broca Diamantada Ø  8 mm + Humectador + Bases Autoadhesivas</t>
  </si>
  <si>
    <t>Set Broca Diamantada Ø 10 mm + Humectador + Bases Autoadhesivas</t>
  </si>
  <si>
    <t>AD-CDA</t>
  </si>
  <si>
    <t>Adaptador M14 a mandril</t>
  </si>
  <si>
    <t>H4-BDA</t>
  </si>
  <si>
    <t>Humectador c/ stickers</t>
  </si>
  <si>
    <t>CDA-20</t>
  </si>
  <si>
    <t>Copa Diamantada Ø 20 mm</t>
  </si>
  <si>
    <t>CDA-25</t>
  </si>
  <si>
    <t>Copa Diamantada Ø 25 mm</t>
  </si>
  <si>
    <t>CDA-30</t>
  </si>
  <si>
    <t>Copa Diamantada Ø 30 mm</t>
  </si>
  <si>
    <t>CDA-35</t>
  </si>
  <si>
    <t>Copa Diamantada Ø 35 mm</t>
  </si>
  <si>
    <t>CDA-40</t>
  </si>
  <si>
    <t>Copa Diamantada Ø 40 mm</t>
  </si>
  <si>
    <t>CDA-45</t>
  </si>
  <si>
    <t>Copa Diamantada Ø 45 mm</t>
  </si>
  <si>
    <t>CDA-57</t>
  </si>
  <si>
    <t>Copa Diamantada Ø 57 mm</t>
  </si>
  <si>
    <t>CDA-65</t>
  </si>
  <si>
    <t>Copa Diamantada Ø 65 mm</t>
  </si>
  <si>
    <t>CDA-75</t>
  </si>
  <si>
    <t>Copa Diamantada Ø 75 mm</t>
  </si>
  <si>
    <t>CDA-83</t>
  </si>
  <si>
    <t>Copa Diamantada Ø 83 mm</t>
  </si>
  <si>
    <t>CDA-90</t>
  </si>
  <si>
    <t>Copa Diamantada Ø 90 mm</t>
  </si>
  <si>
    <t>CDA-105</t>
  </si>
  <si>
    <t>Copa Diamantada Ø 105 mm</t>
  </si>
  <si>
    <t>CT-4.3</t>
  </si>
  <si>
    <t>Contínuo Ø 4,3" - Ø Interior 22,2 mm</t>
  </si>
  <si>
    <t>CT-7</t>
  </si>
  <si>
    <t>Contínuo Ø 7" - Ø Interior 22,2 mm</t>
  </si>
  <si>
    <t>CT-10</t>
  </si>
  <si>
    <t>Contínuo Ø 10" - Ø Interior 50 mm</t>
  </si>
  <si>
    <t>CT-12</t>
  </si>
  <si>
    <t>Contínuo Ø 12" - Ø Interior 50 mm</t>
  </si>
  <si>
    <t>SG-4.5</t>
  </si>
  <si>
    <t>Segmentado Ø 4,5" - Ø Interior 22,2 mm</t>
  </si>
  <si>
    <t>SG-7</t>
  </si>
  <si>
    <t>Segmentado Ø 7" - Ø Interior 22,2 mm</t>
  </si>
  <si>
    <t>SG-9</t>
  </si>
  <si>
    <t>Segmentado Ø 9" - Ø Interior 22,2 mm</t>
  </si>
  <si>
    <t>SG-10</t>
  </si>
  <si>
    <t>Segmentado Ø 10" - Ø Interior 50 mm</t>
  </si>
  <si>
    <t>SG-12</t>
  </si>
  <si>
    <t>Segmentado Ø 12" - Ø Interior 50 mm</t>
  </si>
  <si>
    <t>TB-4.5</t>
  </si>
  <si>
    <t>Turbo Ø 4,5" - Ø Interior 22,2 mm</t>
  </si>
  <si>
    <t>TB-7</t>
  </si>
  <si>
    <t>Turbo Ø 7" - Ø Interior 22,2 mm</t>
  </si>
  <si>
    <t>TB-9</t>
  </si>
  <si>
    <t>Turbo Ø 9" - Ø Interior 22,2 mm</t>
  </si>
  <si>
    <t>TB-10</t>
  </si>
  <si>
    <t>Turbo Ø 10" - Ø Interior 50 mm</t>
  </si>
  <si>
    <t>TB-12</t>
  </si>
  <si>
    <t>Turbo Ø 12" - Ø Interior 50 mm</t>
  </si>
  <si>
    <t>PATROLL</t>
  </si>
  <si>
    <t>PC-4.3</t>
  </si>
  <si>
    <t>PC-7</t>
  </si>
  <si>
    <t>PC-10</t>
  </si>
  <si>
    <t>PS-4.5</t>
  </si>
  <si>
    <t>PS-7</t>
  </si>
  <si>
    <t>PS-9</t>
  </si>
  <si>
    <t>PS-10</t>
  </si>
  <si>
    <t>PS-12</t>
  </si>
  <si>
    <t>PT-4.5</t>
  </si>
  <si>
    <t>PT-7</t>
  </si>
  <si>
    <t>PT-9</t>
  </si>
  <si>
    <t>PT-10</t>
  </si>
  <si>
    <t>PT-12</t>
  </si>
  <si>
    <t>PTF-4.5</t>
  </si>
  <si>
    <t>Turbo Fino  Ø 4,5" - Ø Interior 22,2 mm</t>
  </si>
  <si>
    <t>PTF-7</t>
  </si>
  <si>
    <t>Turbo Fino Ø 7" - Ø Interior 22,2 mm</t>
  </si>
  <si>
    <t>PTS-4.5</t>
  </si>
  <si>
    <t>Turbo Segmentado Ø 4,5" - Ø Interior 22,2 mm</t>
  </si>
  <si>
    <t>PTS-7</t>
  </si>
  <si>
    <t>Turbo Segmentado Ø 7" - Ø Interior 22,2 mm</t>
  </si>
  <si>
    <t>PTS-9</t>
  </si>
  <si>
    <t>Turbo Segmentado Ø 9" - Ø Interior 22,2 mm</t>
  </si>
  <si>
    <t>L300-10NCS</t>
  </si>
  <si>
    <t>Láser Concreto Nuevo Ø 12" - Ø Interior 50 mm c/buje a 25,4 mm</t>
  </si>
  <si>
    <t>L350-10NCS</t>
  </si>
  <si>
    <t>Láser Concreto Nuevo Ø 14" - Ø Interior 50 mm c/buje a 25,4 mm</t>
  </si>
  <si>
    <t>L400-10NCS</t>
  </si>
  <si>
    <t>Láser Concreto Nuevo Ø 16" - Ø Interior 50 mm c/buje a 25,4 mm</t>
  </si>
  <si>
    <t>L450-10NCS</t>
  </si>
  <si>
    <t>Láser Concreto Nuevo Ø 18" - Ø Interior 50 mm c/buje a 25,4 mm</t>
  </si>
  <si>
    <t>L300-10OCS</t>
  </si>
  <si>
    <t>Láser Concreto Viejo Ø 12" - Ø Interior 50 mm c/buje a 25,4 mm</t>
  </si>
  <si>
    <t>L350-10OCS</t>
  </si>
  <si>
    <t>Láser Concreto Viejo Ø 14" - Ø Interior 50 mm c/buje a 25,4 mm</t>
  </si>
  <si>
    <t>L400-10OCS</t>
  </si>
  <si>
    <t>Láser Concreto Viejo Ø 16" - Ø Interior 50 mm c/buje a 25,4 mm</t>
  </si>
  <si>
    <t>L450-10OCS</t>
  </si>
  <si>
    <t>Láser Concreto Viejo Ø 18" - Ø Interior 50 mm c/buje a 25,4 mm</t>
  </si>
  <si>
    <t>B14N15MS</t>
  </si>
  <si>
    <t>Granito Ø 14" -Alma Silenciosa - Segmentado Plata- Sector 15 mm - Ø Interior 60 mm c/buje a 50 mm</t>
  </si>
  <si>
    <t>B16N15MS</t>
  </si>
  <si>
    <t>Granito Ø 16" -Alma Silenciosa - Segmentado Plata - Sector 15 mm - Ø Interior 60 mm c/buje a 50 mm</t>
  </si>
  <si>
    <t>PMD-4G</t>
  </si>
  <si>
    <t xml:space="preserve">Muela Diamantada Ø 4" - Ø Interior 22,2 mm </t>
  </si>
  <si>
    <t>PMD-7G</t>
  </si>
  <si>
    <t xml:space="preserve">Muela Diamantada Ø 7" - Ø Interior 22,2 mm </t>
  </si>
  <si>
    <t>VENTURO</t>
  </si>
  <si>
    <t>GS-S33</t>
  </si>
  <si>
    <t>Set - Copa Ø 33 mm + Punta Guía + Base Universal</t>
  </si>
  <si>
    <t>GS-S43</t>
  </si>
  <si>
    <t>Set - Copa Ø 43 mm + Punta Guía + Base Universal</t>
  </si>
  <si>
    <t>GS-S53</t>
  </si>
  <si>
    <t>Set - Copa Ø 53 mm + Punta Guía + Base Universal</t>
  </si>
  <si>
    <t>GS-S67</t>
  </si>
  <si>
    <t>Set - Copa Ø 67 mm + Punta Guía + Base Universal</t>
  </si>
  <si>
    <t>GS-33</t>
  </si>
  <si>
    <t>Sierra Copa Giro Standard Ø 33 mm</t>
  </si>
  <si>
    <t>GS-43</t>
  </si>
  <si>
    <t>Sierra Copa Giro Standard Ø 43 mm</t>
  </si>
  <si>
    <t>GS-53</t>
  </si>
  <si>
    <t>Sierra Copa Giro Standard Ø 53 mm</t>
  </si>
  <si>
    <t>GS-67</t>
  </si>
  <si>
    <t>Sierra Copa Giro Standard Ø 67 mm</t>
  </si>
  <si>
    <t>GS-73</t>
  </si>
  <si>
    <t>Sierra Copa Giro Standard Ø 73 mm</t>
  </si>
  <si>
    <t>GS-83</t>
  </si>
  <si>
    <t>Sierra Copa Giro Standard Ø 83 mm</t>
  </si>
  <si>
    <t>GS-103</t>
  </si>
  <si>
    <t>Sierra Copa Giro Standard Ø 103 mm</t>
  </si>
  <si>
    <t>GS-113</t>
  </si>
  <si>
    <t>Sierra Copa Giro Standard Ø 113 mm</t>
  </si>
  <si>
    <t>GS-BU</t>
  </si>
  <si>
    <t>Base Universal (para copas Ø 33 / 43 / 53 / 67 / 73 / 83)</t>
  </si>
  <si>
    <t>GS-BUG</t>
  </si>
  <si>
    <t>Base Universal Grande (para copas Ø 67 / 73 / 83 / 103 / 113)</t>
  </si>
  <si>
    <t>GS-PG</t>
  </si>
  <si>
    <t>Punta Guía - Giro Standard</t>
  </si>
  <si>
    <t>GX-S33</t>
  </si>
  <si>
    <t>Set - Copa Ø 33 mm + Punta Guía + Porta Copa 7/16'' Hexagonal +llave</t>
  </si>
  <si>
    <t>GX-S43</t>
  </si>
  <si>
    <t>Set - Copa Ø 43 mm + Punta Guía +Porta Copa 7/16'' Hexagonal +llave</t>
  </si>
  <si>
    <t>GX-S53</t>
  </si>
  <si>
    <t>Set - Copa Ø 53 mm + Punta Guía+ Porta Copa 7/16'' Hexagonal +llave</t>
  </si>
  <si>
    <t>GX-S67</t>
  </si>
  <si>
    <t>Set - Copa Ø 67 mm + Punta Guía+ Porta Copa 7/16'' Hexagonal +llave</t>
  </si>
  <si>
    <t>GX-33</t>
  </si>
  <si>
    <t xml:space="preserve">Sierra Copa Giro Extra Ø 33 mm </t>
  </si>
  <si>
    <t>GX-43</t>
  </si>
  <si>
    <t xml:space="preserve">Sierra Copa Giro Extra Ø 43 mm </t>
  </si>
  <si>
    <t>GX-53</t>
  </si>
  <si>
    <t xml:space="preserve">Sierra Copa Giro Extra Ø 53 mm </t>
  </si>
  <si>
    <t>GX-67</t>
  </si>
  <si>
    <t xml:space="preserve">Sierra Copa Giro Extra Ø 67 mm </t>
  </si>
  <si>
    <t>GX-73</t>
  </si>
  <si>
    <t xml:space="preserve">Sierra Copa Giro Extra Ø 73 mm </t>
  </si>
  <si>
    <t>GX-83</t>
  </si>
  <si>
    <t xml:space="preserve">Sierra Copa Giro Extra Ø 83 mm </t>
  </si>
  <si>
    <t>GX-103</t>
  </si>
  <si>
    <t xml:space="preserve">Sierra Copa Giro Extra Ø 103 mm </t>
  </si>
  <si>
    <t>GX-113</t>
  </si>
  <si>
    <t xml:space="preserve">Sierra Copa Giro Extra Ø 113 mm </t>
  </si>
  <si>
    <t>GX-PC-HU</t>
  </si>
  <si>
    <t>Porta Copa 7/16'' Hexagonal + Punta Guía + Llave</t>
  </si>
  <si>
    <t>GX-PC-PU</t>
  </si>
  <si>
    <t>Porta Copa 7/16'' SDS Plus + Punta Guía + Llave</t>
  </si>
  <si>
    <t>GTR-PC-C</t>
  </si>
  <si>
    <t>Porta Copa 3/8'' Hexagonal + Punta Guía  (14 a 30 mm)</t>
  </si>
  <si>
    <t>GTR-PC-G</t>
  </si>
  <si>
    <t>Porta Copa 7/16'' Hexagonal + Punta Guía (32 a 152 mm)</t>
  </si>
  <si>
    <t>GTR-14</t>
  </si>
  <si>
    <t>Sierra Copa Giro Triplex Ø 14 mm</t>
  </si>
  <si>
    <t>GTR-16</t>
  </si>
  <si>
    <t>Sierra Copa Giro Triplex Ø 16 mm</t>
  </si>
  <si>
    <t>GTR-17</t>
  </si>
  <si>
    <t>Sierra Copa Giro Triplex Ø 17 mm</t>
  </si>
  <si>
    <t>GTR-19</t>
  </si>
  <si>
    <t>Sierra Copa Giro Triplex Ø 19 mm</t>
  </si>
  <si>
    <t>GTR-20</t>
  </si>
  <si>
    <t>Sierra Copa Giro Triplex Ø 20 mm</t>
  </si>
  <si>
    <t>GTR-21</t>
  </si>
  <si>
    <t>Sierra Copa Giro Triplex Ø 21 mm</t>
  </si>
  <si>
    <t>GTR-22</t>
  </si>
  <si>
    <t>Sierra Copa Giro Triplex Ø 22 mm</t>
  </si>
  <si>
    <t>GTR-24</t>
  </si>
  <si>
    <t>Sierra Copa Giro Triplex Ø 24 mm</t>
  </si>
  <si>
    <t>GTR-25</t>
  </si>
  <si>
    <t>Sierra Copa Giro Triplex Ø 25 mm</t>
  </si>
  <si>
    <t>GTR-27</t>
  </si>
  <si>
    <t>Sierra Copa Giro Triplex Ø 27 mm</t>
  </si>
  <si>
    <t>GTR-29</t>
  </si>
  <si>
    <t>Sierra Copa Giro Triplex Ø 29 mm</t>
  </si>
  <si>
    <t>GTR-30</t>
  </si>
  <si>
    <t>Sierra Copa Giro Triplex Ø 30 mm</t>
  </si>
  <si>
    <t>GTR-32</t>
  </si>
  <si>
    <t>Sierra Copa Giro Triplex Ø 32 mm</t>
  </si>
  <si>
    <t>GTR-33</t>
  </si>
  <si>
    <t>Sierra Copa Giro Triplex Ø 33 mm</t>
  </si>
  <si>
    <t>GTR-35</t>
  </si>
  <si>
    <t>Sierra Copa Giro Triplex Ø 35 mm</t>
  </si>
  <si>
    <t>GTR-37</t>
  </si>
  <si>
    <t>Sierra Copa Giro Triplex Ø 37 mm</t>
  </si>
  <si>
    <t>GTR-38</t>
  </si>
  <si>
    <t>Sierra Copa Giro Triplex Ø 38 mm</t>
  </si>
  <si>
    <t>GTR-40</t>
  </si>
  <si>
    <t>Sierra Copa Giro Triplex Ø 40 mm</t>
  </si>
  <si>
    <t>GTR-41</t>
  </si>
  <si>
    <t>Sierra Copa Giro Triplex Ø 41 mm</t>
  </si>
  <si>
    <t>GTR-43</t>
  </si>
  <si>
    <t>Sierra Copa Giro Triplex Ø 43 mm</t>
  </si>
  <si>
    <t>GTR-44</t>
  </si>
  <si>
    <t>Sierra Copa Giro Triplex Ø 44 mm</t>
  </si>
  <si>
    <t>GTR-46</t>
  </si>
  <si>
    <t>Sierra Copa Giro Triplex Ø 46 mm</t>
  </si>
  <si>
    <t>GTR-48</t>
  </si>
  <si>
    <t>Sierra Copa Giro Triplex Ø 48 mm</t>
  </si>
  <si>
    <t>GTR-51</t>
  </si>
  <si>
    <t>Sierra Copa Giro Triplex Ø 51 mm</t>
  </si>
  <si>
    <t>GTR-52</t>
  </si>
  <si>
    <t>Sierra Copa Giro Triplex Ø 52 mm</t>
  </si>
  <si>
    <t>GTR-54</t>
  </si>
  <si>
    <t>Sierra Copa Giro Triplex Ø 54 mm</t>
  </si>
  <si>
    <t>GTR-57</t>
  </si>
  <si>
    <t>Sierra Copa Giro Triplex Ø 57 mm</t>
  </si>
  <si>
    <t>GTR-59</t>
  </si>
  <si>
    <t>Sierra Copa Giro Triplex Ø 59 mm</t>
  </si>
  <si>
    <t>GTR-60</t>
  </si>
  <si>
    <t>Sierra Copa Giro Triplex Ø 60 mm</t>
  </si>
  <si>
    <t>GTR-64</t>
  </si>
  <si>
    <t>Sierra Copa Giro Triplex Ø 64 mm</t>
  </si>
  <si>
    <t>GTR-65</t>
  </si>
  <si>
    <t>Sierra Copa Giro Triplex Ø 65 mm</t>
  </si>
  <si>
    <t>GTR-67</t>
  </si>
  <si>
    <t>Sierra Copa Giro Triplex Ø 67 mm</t>
  </si>
  <si>
    <t>GTR-68</t>
  </si>
  <si>
    <t>Sierra Copa Giro Triplex Ø 68 mm</t>
  </si>
  <si>
    <t>GTR-70</t>
  </si>
  <si>
    <t>Sierra Copa Giro Triplex Ø 70 mm</t>
  </si>
  <si>
    <t>GTR-73</t>
  </si>
  <si>
    <t>Sierra Copa Giro Triplex Ø 73 mm</t>
  </si>
  <si>
    <t>GTR-76</t>
  </si>
  <si>
    <t>Sierra Copa Giro Triplex Ø 76 mm</t>
  </si>
  <si>
    <t>GTR-79</t>
  </si>
  <si>
    <t>Sierra Copa Giro Triplex Ø 79 mm</t>
  </si>
  <si>
    <t>GTR-83</t>
  </si>
  <si>
    <t>Sierra Copa Giro Triplex Ø 83 mm</t>
  </si>
  <si>
    <t>GTR-86</t>
  </si>
  <si>
    <t>Sierra Copa Giro Triplex Ø 86 mm</t>
  </si>
  <si>
    <t>GTR-89</t>
  </si>
  <si>
    <t>Sierra Copa Giro Triplex Ø 89 mm</t>
  </si>
  <si>
    <t>GTR-92</t>
  </si>
  <si>
    <t>Sierra Copa Giro Triplex Ø 92 mm</t>
  </si>
  <si>
    <t>GTR-95</t>
  </si>
  <si>
    <t>Sierra Copa Giro Triplex Ø 95 mm</t>
  </si>
  <si>
    <t>GTR-98</t>
  </si>
  <si>
    <t>Sierra Copa Giro Triplex Ø 98 mm</t>
  </si>
  <si>
    <t>GTR-102</t>
  </si>
  <si>
    <t>Sierra Copa Giro Triplex Ø 102 mm</t>
  </si>
  <si>
    <t>GTR-105</t>
  </si>
  <si>
    <t>Sierra Copa Giro Triplex Ø 105 mm</t>
  </si>
  <si>
    <t>GTR-108</t>
  </si>
  <si>
    <t>Sierra Copa Giro Triplex Ø 108 mm</t>
  </si>
  <si>
    <t>GTR-111</t>
  </si>
  <si>
    <t>Sierra Copa Giro Triplex Ø 111 mm</t>
  </si>
  <si>
    <t>GTR-114</t>
  </si>
  <si>
    <t>Sierra Copa Giro Triplex Ø 114 mm</t>
  </si>
  <si>
    <t>GTR-121</t>
  </si>
  <si>
    <t>Sierra Copa Giro Triplex Ø 121 mm</t>
  </si>
  <si>
    <t>GTR-127</t>
  </si>
  <si>
    <t>Sierra Copa Giro Triplex Ø 127 mm</t>
  </si>
  <si>
    <t>GTR-133</t>
  </si>
  <si>
    <t>Sierra Copa Giro Triplex Ø 133 mm</t>
  </si>
  <si>
    <t>GTR-146</t>
  </si>
  <si>
    <t>Sierra Copa Giro Triplex Ø 146 mm</t>
  </si>
  <si>
    <t>GTR-152</t>
  </si>
  <si>
    <t>Sierra Copa Giro Triplex Ø 152 mm</t>
  </si>
  <si>
    <t>S-S30-M16</t>
  </si>
  <si>
    <t>Set - Copa M16 Ø 30 mm + Extensión Plus 320 mm + Broca Centradora</t>
  </si>
  <si>
    <t>C-S30-M16</t>
  </si>
  <si>
    <t xml:space="preserve">Copa Standard M16 - Ø 30 mm </t>
  </si>
  <si>
    <t>C-S40-M16</t>
  </si>
  <si>
    <t xml:space="preserve">Copa Standard M16 - Ø 40 mm </t>
  </si>
  <si>
    <t>S-S50-M22</t>
  </si>
  <si>
    <t>Set - Copa M22 Ø 50 mm + Extensión Plus 320 mm + Broca Centradora</t>
  </si>
  <si>
    <t>S-S65-M22</t>
  </si>
  <si>
    <t>Set - Copa M22 Ø 65 mm + Extensión Plus 320 mm + Broca Centradora</t>
  </si>
  <si>
    <t>S-S90-M22</t>
  </si>
  <si>
    <t>Set - Copa M22 Ø 90 mm + Extensión Plus 320 mm + Broca Centradora</t>
  </si>
  <si>
    <t>C-S50-M22</t>
  </si>
  <si>
    <t xml:space="preserve">Copa Standard M22 - Ø 50 mm </t>
  </si>
  <si>
    <t>C-S65-M22</t>
  </si>
  <si>
    <t xml:space="preserve">Copa Standard M22 - Ø 65 mm </t>
  </si>
  <si>
    <t>C-S80-M22</t>
  </si>
  <si>
    <t xml:space="preserve">Copa Standard M22 - Ø 80 mm </t>
  </si>
  <si>
    <t>C-S90-M22</t>
  </si>
  <si>
    <t xml:space="preserve">Copa Standard M22 - Ø 90 mm </t>
  </si>
  <si>
    <t>C-S100-M22</t>
  </si>
  <si>
    <t xml:space="preserve">Copa Standard M22 - Ø 100 mm </t>
  </si>
  <si>
    <t>B-CS</t>
  </si>
  <si>
    <t xml:space="preserve">Broca Centradora Standard </t>
  </si>
  <si>
    <t>C-E35-M22</t>
  </si>
  <si>
    <t xml:space="preserve">Copa Extra M22 - Ø 35 mm </t>
  </si>
  <si>
    <t>C-E45-M22</t>
  </si>
  <si>
    <t xml:space="preserve">Copa Extra M22 - Ø 45 mm </t>
  </si>
  <si>
    <t>C-E55-M22</t>
  </si>
  <si>
    <t xml:space="preserve">Copa Extra M22 - Ø 55 mm </t>
  </si>
  <si>
    <t>C-E65-M22</t>
  </si>
  <si>
    <t xml:space="preserve">Copa Extra M22 - Ø 65 mm </t>
  </si>
  <si>
    <t>C-E76-M22</t>
  </si>
  <si>
    <t xml:space="preserve">Copa Extra M22 - Ø 76 mm </t>
  </si>
  <si>
    <t>C-E90-M22</t>
  </si>
  <si>
    <t xml:space="preserve">Copa Extra M22 - Ø 90 mm </t>
  </si>
  <si>
    <t>C-E100-M22</t>
  </si>
  <si>
    <t xml:space="preserve">Copa Extra M22 - Ø 100 mm </t>
  </si>
  <si>
    <t>C-E115-M22</t>
  </si>
  <si>
    <t xml:space="preserve">Copa Extra M22 - Ø 115 mm </t>
  </si>
  <si>
    <t>C-E125-M22</t>
  </si>
  <si>
    <t xml:space="preserve">Copa Extra M22 - Ø 125 mm </t>
  </si>
  <si>
    <t>C-E150-M22</t>
  </si>
  <si>
    <t xml:space="preserve">Copa Extra M22 - Ø 150 mm </t>
  </si>
  <si>
    <t>B-CE</t>
  </si>
  <si>
    <t>Broca Centradora Extra</t>
  </si>
  <si>
    <t>E-X170-M16</t>
  </si>
  <si>
    <t>Extensión Hexagonal M16 x 170 mm</t>
  </si>
  <si>
    <t>E-X320-M16</t>
  </si>
  <si>
    <t>Extensión Hexagonal M16 x 320 mm</t>
  </si>
  <si>
    <t>E-P170-M16</t>
  </si>
  <si>
    <t>Extensión Plus M16 x 170 mm</t>
  </si>
  <si>
    <t>E-P320-M16</t>
  </si>
  <si>
    <t>Extensión Plus M16 x 320 mm</t>
  </si>
  <si>
    <t>E-X170-M22</t>
  </si>
  <si>
    <t>Extensión Hexagonal M22 x 170 mm</t>
  </si>
  <si>
    <t>E-X320-M22</t>
  </si>
  <si>
    <t>Extensión Hexagonal M22 x 320 mm</t>
  </si>
  <si>
    <t>E-P170-M22</t>
  </si>
  <si>
    <t>Extensión Plus M22 x 170 mm</t>
  </si>
  <si>
    <t>E-P320-M22</t>
  </si>
  <si>
    <t>Extensión Plus M22 x 320 mm</t>
  </si>
  <si>
    <t>E-M220-M22</t>
  </si>
  <si>
    <t>Extensión Max M22 x 220 mm</t>
  </si>
  <si>
    <t>E-M320-M22</t>
  </si>
  <si>
    <t>Extensión Max M22 x 320 mm</t>
  </si>
  <si>
    <t>WP040-075</t>
  </si>
  <si>
    <t>Broca de Widia PRO de Vastago Cilindrico 4 X 75</t>
  </si>
  <si>
    <t>WP050-085</t>
  </si>
  <si>
    <t>Broca de Widia PRO de Vastago Cilindrico 5 X 85</t>
  </si>
  <si>
    <t>WP060-100</t>
  </si>
  <si>
    <t>Broca de Widia PRO de Vastago Cilindrico 6 X 100</t>
  </si>
  <si>
    <t>WP060-200</t>
  </si>
  <si>
    <t>Broca de Widia PRO de Vastago Cilindrico 6 X 200</t>
  </si>
  <si>
    <t>WP060-400</t>
  </si>
  <si>
    <t>Broca de Widia PRO de Vastago Cilindrico 6 X 400</t>
  </si>
  <si>
    <t>WP080-120</t>
  </si>
  <si>
    <t>Broca de Widia PRO de Vastago Cilindrico 8 X 120</t>
  </si>
  <si>
    <t>WP080-200</t>
  </si>
  <si>
    <t>Broca  de Widia PRO de Vastago Cilindrico 8 X 200</t>
  </si>
  <si>
    <t>WP080-400</t>
  </si>
  <si>
    <t>Broca de Widia PRO de Vastago Cilindrico 8 X 400</t>
  </si>
  <si>
    <t>WP100-120</t>
  </si>
  <si>
    <t>Broca de Widia PRO de Vastago Cilindrico 10 X 120</t>
  </si>
  <si>
    <t>WP100-200</t>
  </si>
  <si>
    <t>Broca de Widia PRO de Vastago Cilindrico 10 X 200</t>
  </si>
  <si>
    <t>WP100-400</t>
  </si>
  <si>
    <t>Broca de Widia PRO de Vastago Cilindrico 10 X 400</t>
  </si>
  <si>
    <t>WP120-150</t>
  </si>
  <si>
    <t>Broca de Widia PRO de Vastago Cilindrico 12 X 150</t>
  </si>
  <si>
    <t>WP120-200</t>
  </si>
  <si>
    <t>Broca de Widia PRO de Vastago Cilindrico 12 X 200</t>
  </si>
  <si>
    <t>WP120-400</t>
  </si>
  <si>
    <t>Broca de Widia PRO de Vastago Cilindrico 12 X 400</t>
  </si>
  <si>
    <t>WP140-150</t>
  </si>
  <si>
    <t>Broca de Widia PRO de Vastago Cilindrico 14 X 150</t>
  </si>
  <si>
    <t>WP140-200</t>
  </si>
  <si>
    <t>Broca de Widia PRO de Vastago Cilindrico 14 X 200</t>
  </si>
  <si>
    <t>WP140-400</t>
  </si>
  <si>
    <t>Broca de Widia PRO de Vastago Cilindrico 14 X 400</t>
  </si>
  <si>
    <t>P040-110</t>
  </si>
  <si>
    <t>Broca SDS Plus Ø 4 x 110 mm</t>
  </si>
  <si>
    <t>P050-110</t>
  </si>
  <si>
    <t>Broca SDS Plus Ø 5 x 110 mm</t>
  </si>
  <si>
    <t>P050-160</t>
  </si>
  <si>
    <t>Broca SDS Plus Ø 5 x 160 mm</t>
  </si>
  <si>
    <t>P055-110</t>
  </si>
  <si>
    <t>Broca SDS Plus Ø 5.5 x 110 mm</t>
  </si>
  <si>
    <t>P055-160</t>
  </si>
  <si>
    <t>Broca SDS Plus Ø 5.5 x 160 mm</t>
  </si>
  <si>
    <t>P060-110</t>
  </si>
  <si>
    <t>Broca SDS Plus Ø 6 x 110 mm</t>
  </si>
  <si>
    <t>P060-160</t>
  </si>
  <si>
    <t>Broca SDS Plus Ø 6 x 160 mm</t>
  </si>
  <si>
    <t>P060-210</t>
  </si>
  <si>
    <t>Broca SDS Plus Ø 6 x 210 mm</t>
  </si>
  <si>
    <t>P060-260</t>
  </si>
  <si>
    <t>Broca SDS Plus Ø 6 x 260 mm</t>
  </si>
  <si>
    <t>P065-110</t>
  </si>
  <si>
    <t>Broca SDS Plus Ø 6,5 x 110 mm</t>
  </si>
  <si>
    <t>P065-160</t>
  </si>
  <si>
    <t>Broca SDS Plus Ø 6,5 x 160 mm</t>
  </si>
  <si>
    <t>P070-110</t>
  </si>
  <si>
    <t>Broca SDS Plus Ø 7 x 110 mm</t>
  </si>
  <si>
    <t>P070-160</t>
  </si>
  <si>
    <t>Broca SDS Plus Ø 7 x 160 mm</t>
  </si>
  <si>
    <t>P080-110</t>
  </si>
  <si>
    <t>Broca SDS Plus Ø 8 x 110 mm</t>
  </si>
  <si>
    <t>P080-160</t>
  </si>
  <si>
    <t>Broca SDS Plus Ø 8 x 160 mm</t>
  </si>
  <si>
    <t>P080-210</t>
  </si>
  <si>
    <t>Broca SDS Plus Ø 8 x 210 mm</t>
  </si>
  <si>
    <t>P080-260</t>
  </si>
  <si>
    <t>Broca SDS Plus Ø 8 x 260 mm</t>
  </si>
  <si>
    <t>P080-350</t>
  </si>
  <si>
    <t>Broca SDS Plus Ø 8 x 350 mm</t>
  </si>
  <si>
    <t>P080-450</t>
  </si>
  <si>
    <t>Broca SDS Plus Ø 8 x 450 mm</t>
  </si>
  <si>
    <t>P100-110</t>
  </si>
  <si>
    <t>Broca SDS Plus Ø 10 x 110 mm</t>
  </si>
  <si>
    <t>P100-160</t>
  </si>
  <si>
    <t>Broca SDS Plus Ø 10 x 160 mm</t>
  </si>
  <si>
    <t>P100-210</t>
  </si>
  <si>
    <t>Broca SDS Plus Ø 10 x 210 mm</t>
  </si>
  <si>
    <t>P100-260</t>
  </si>
  <si>
    <t>Broca SDS Plus Ø 10 x 260 mm</t>
  </si>
  <si>
    <t>P100-350</t>
  </si>
  <si>
    <t>Broca SDS Plus Ø 10 x 360 mm</t>
  </si>
  <si>
    <t>P100-450</t>
  </si>
  <si>
    <t>Broca SDS Plus Ø 10 x 450 mm</t>
  </si>
  <si>
    <t>P100-600</t>
  </si>
  <si>
    <t>Broca SDS Plus Ø 10 x 600 mm</t>
  </si>
  <si>
    <t>P120-160</t>
  </si>
  <si>
    <t>Broca SDS Plus Ø 12 x 160 mm</t>
  </si>
  <si>
    <t>P120-210</t>
  </si>
  <si>
    <t>Broca SDS Plus Ø 12 x 210 mm</t>
  </si>
  <si>
    <t>P120-260</t>
  </si>
  <si>
    <t>Broca SDS Plus Ø 12 x 260 mm</t>
  </si>
  <si>
    <t>P120-350</t>
  </si>
  <si>
    <t>Broca SDS Plus Ø 12 x 350 mm</t>
  </si>
  <si>
    <t>P120-450</t>
  </si>
  <si>
    <t>Broca SDS Plus Ø 12 x 450 mm</t>
  </si>
  <si>
    <t>P120-600</t>
  </si>
  <si>
    <t>Broca SDS Plus Ø 12 x 600 mm</t>
  </si>
  <si>
    <t>P140-160</t>
  </si>
  <si>
    <t>Broca SDS Plus Ø 14 x 160 mm</t>
  </si>
  <si>
    <t>P140-210</t>
  </si>
  <si>
    <t>Broca SDS Plus Ø 14 x 210 mm</t>
  </si>
  <si>
    <t>P140-260</t>
  </si>
  <si>
    <t>Broca SDS Plus Ø 14 x 260 mm</t>
  </si>
  <si>
    <t>P140-350</t>
  </si>
  <si>
    <t>Broca SDS Plus Ø 14 x 350 mm</t>
  </si>
  <si>
    <t>P140-450</t>
  </si>
  <si>
    <t>Broca SDS Plus Ø 14 x 450 mm</t>
  </si>
  <si>
    <t>P140-600</t>
  </si>
  <si>
    <t>Broca SDS Plus Ø 14 x 600 mm</t>
  </si>
  <si>
    <t>P160-160</t>
  </si>
  <si>
    <t>Broca SDS Plus Ø 16 x 160 mm</t>
  </si>
  <si>
    <t>P160-210</t>
  </si>
  <si>
    <t>Broca SDS Plus Ø 16 x 210 mm</t>
  </si>
  <si>
    <t>P160-260</t>
  </si>
  <si>
    <t>Broca SDS Plus Ø 16 x 260 mm</t>
  </si>
  <si>
    <t>P160-450</t>
  </si>
  <si>
    <t>Broca SDS Plus Ø 16 x 450 mm</t>
  </si>
  <si>
    <t>P160-600</t>
  </si>
  <si>
    <t>Broca SDS Plus Ø 16 x 600 mm</t>
  </si>
  <si>
    <t>P180-210</t>
  </si>
  <si>
    <t>Broca SDS Plus Ø 18 x 210 mm</t>
  </si>
  <si>
    <t>P180-260</t>
  </si>
  <si>
    <t>Broca SDS Plus Ø 18 x 260 mm</t>
  </si>
  <si>
    <t>P180-450</t>
  </si>
  <si>
    <t>Broca SDS Plus Ø 18 x 450 mm</t>
  </si>
  <si>
    <t>P180-600</t>
  </si>
  <si>
    <t>Broca SDS Plus Ø 18 x 600 mm</t>
  </si>
  <si>
    <t>P200-260</t>
  </si>
  <si>
    <t>Broca SDS Plus Ø 20 x 260 mm</t>
  </si>
  <si>
    <t>P200-450</t>
  </si>
  <si>
    <t>Broca SDS Plus Ø 20 x 450 mm</t>
  </si>
  <si>
    <t>P200-600</t>
  </si>
  <si>
    <t>Broca SDS Plus Ø 20 x 600 mm</t>
  </si>
  <si>
    <t>P220-260</t>
  </si>
  <si>
    <t>Broca SDS Plus Ø 22 x 260 mm</t>
  </si>
  <si>
    <t>P220-450</t>
  </si>
  <si>
    <t>Broca SDS Plus Ø 22 x 450 mm</t>
  </si>
  <si>
    <t>P220-600</t>
  </si>
  <si>
    <t>Broca SDS Plus Ø 22 x 600 mm</t>
  </si>
  <si>
    <t>P240-260</t>
  </si>
  <si>
    <t>Broca SDS Plus Ø 24 x 260 mm</t>
  </si>
  <si>
    <t>P240-450</t>
  </si>
  <si>
    <t>Broca SDS Plus Ø 24 x 450 mm</t>
  </si>
  <si>
    <t>P240-600</t>
  </si>
  <si>
    <t>Broca SDS Plus Ø 24 x 600 mm</t>
  </si>
  <si>
    <t>P250-260</t>
  </si>
  <si>
    <t>Broca SDS Plus Ø 25 x 260 mm</t>
  </si>
  <si>
    <t>P250-450</t>
  </si>
  <si>
    <t>Broca SDS Plus Ø 25 x 450 mm</t>
  </si>
  <si>
    <t>P250-600</t>
  </si>
  <si>
    <t>Broca SDS Plus Ø 25 x 600 mm</t>
  </si>
  <si>
    <t>CIPPU-250-0</t>
  </si>
  <si>
    <t>Cincel Plus Punta 250 x 0 mm</t>
  </si>
  <si>
    <t>CIPPL-250-20</t>
  </si>
  <si>
    <t>Cincel Plus Plano 250 x 20 mm</t>
  </si>
  <si>
    <t>CIPPL-250-40</t>
  </si>
  <si>
    <t>Cincel Plus Plano 250 x 40 mm</t>
  </si>
  <si>
    <t>CIPCU-250-50</t>
  </si>
  <si>
    <t>Cincel Plus Plano Curvo 250 x 50 mm</t>
  </si>
  <si>
    <t>CIPAH-250-22</t>
  </si>
  <si>
    <t>Cincel Plus Ahuecador 250 x 22 mm</t>
  </si>
  <si>
    <t>AD-SDS/M</t>
  </si>
  <si>
    <t xml:space="preserve">Adaptador de SDS Plus a Mandril </t>
  </si>
  <si>
    <t>M140-370</t>
  </si>
  <si>
    <t>Broca Max Ø 14 x 340 mm</t>
  </si>
  <si>
    <t>M160-370</t>
  </si>
  <si>
    <t>Broca Max Ø 16 x 340 mm</t>
  </si>
  <si>
    <t>M180-370</t>
  </si>
  <si>
    <t>Broca Max Ø 18 x 340 mm</t>
  </si>
  <si>
    <t>M200-370</t>
  </si>
  <si>
    <t>Broca Max Ø 20 x 340 mm</t>
  </si>
  <si>
    <t>M220-370</t>
  </si>
  <si>
    <t>Broca Max Ø 22 x 340 mm</t>
  </si>
  <si>
    <t>M250-370</t>
  </si>
  <si>
    <t>Broca Max Ø 25 x 340 mm</t>
  </si>
  <si>
    <t>M280-370</t>
  </si>
  <si>
    <t>Broca Max Ø 28 x 340 mm</t>
  </si>
  <si>
    <t>M300-370</t>
  </si>
  <si>
    <t>Broca Max Ø 30 x 340 mm</t>
  </si>
  <si>
    <t>M320-370</t>
  </si>
  <si>
    <t>Broca Max Ø 32 x 340 mm</t>
  </si>
  <si>
    <t>M350-370</t>
  </si>
  <si>
    <t>Broca Max Ø 35 x 400 mm</t>
  </si>
  <si>
    <t>M380-370</t>
  </si>
  <si>
    <t>Broca Max Ø 38 x 400 mm</t>
  </si>
  <si>
    <t>M400-370</t>
  </si>
  <si>
    <t>Broca Max Ø 40 x 400 mm</t>
  </si>
  <si>
    <t>M160-570</t>
  </si>
  <si>
    <t>Broca Max Ø 16 x 540 mm</t>
  </si>
  <si>
    <t>M180-570</t>
  </si>
  <si>
    <t>Broca Max Ø 18 x 540 mm</t>
  </si>
  <si>
    <t>M200-570</t>
  </si>
  <si>
    <t>Broca Max Ø 20 x 540 mm</t>
  </si>
  <si>
    <t>M220-570</t>
  </si>
  <si>
    <t>Broca Max Ø 22 x 540 mm</t>
  </si>
  <si>
    <t>M250-570</t>
  </si>
  <si>
    <t>Broca Max Ø 25 x 540 mm</t>
  </si>
  <si>
    <t>M280-570</t>
  </si>
  <si>
    <t>Broca Max Ø 28 x 540 mm</t>
  </si>
  <si>
    <t>M300-570</t>
  </si>
  <si>
    <t>Broca Max Ø 30 x 540 mm</t>
  </si>
  <si>
    <t>M320-570</t>
  </si>
  <si>
    <t>Broca Max Ø 32 x 540 mm</t>
  </si>
  <si>
    <t>M350-570</t>
  </si>
  <si>
    <t>Broca Max Ø 35 x 600 mm</t>
  </si>
  <si>
    <t>M380-570</t>
  </si>
  <si>
    <t>Broca Max Ø 38 x 600 mm</t>
  </si>
  <si>
    <t>M400-570</t>
  </si>
  <si>
    <t>Broca Max Ø 40 x 600 mm</t>
  </si>
  <si>
    <t>CIMPU-280-0</t>
  </si>
  <si>
    <t>Cincel Max Punta 280 x 0 mm</t>
  </si>
  <si>
    <t>CIMPU-400-0</t>
  </si>
  <si>
    <t>Cincel Max Punta 400 x 0 mm</t>
  </si>
  <si>
    <t>CIMPU-600-0</t>
  </si>
  <si>
    <t>Cincel Max Punta 600 x 0 mm</t>
  </si>
  <si>
    <t>CIMPL-280-25</t>
  </si>
  <si>
    <t>Cincel Max Plano 280 x 25 mm</t>
  </si>
  <si>
    <t>CIMPL-400-25</t>
  </si>
  <si>
    <t>Cincel Max Plano 400 x 25 mm</t>
  </si>
  <si>
    <t>CIMPL-600-25</t>
  </si>
  <si>
    <t>Cincel Max Plano 600 x 25 mm</t>
  </si>
  <si>
    <t>CIMPL-400-50</t>
  </si>
  <si>
    <t>Cincel Max Plano 400 x 50 mm</t>
  </si>
  <si>
    <t>CIMAH-400-25</t>
  </si>
  <si>
    <t>Cincel Max Ahuecador 400 x 25 mm</t>
  </si>
  <si>
    <t>Adaptador encastre SDS MAX a SDS PLUS</t>
  </si>
  <si>
    <t>CI-H-17-280-0</t>
  </si>
  <si>
    <t>Cincel Hexagonal 17 - Punta 280x0</t>
  </si>
  <si>
    <t>CI-H-17-450-0</t>
  </si>
  <si>
    <t>Cincel Hexagonal 17 - Punta 450x0</t>
  </si>
  <si>
    <t>CI-H-17-280-22</t>
  </si>
  <si>
    <t>Cincel Hexagonal 17 - Plano 280x22</t>
  </si>
  <si>
    <t>CI-H-17-450-22</t>
  </si>
  <si>
    <t>Cincel Hexagonal 17 - Plano 450x22</t>
  </si>
  <si>
    <t>CI-H-17-280-50</t>
  </si>
  <si>
    <t>Cincel Hexagonal 17 - Plano 280x50</t>
  </si>
  <si>
    <t>CI-H-17-450-50</t>
  </si>
  <si>
    <t>Cincel Hexagonal 17 - Plano 450x50</t>
  </si>
  <si>
    <t>CI-HR-19-300-0</t>
  </si>
  <si>
    <t>Cincel Hexagonal 19 C/Reduccion - Punta 300x0</t>
  </si>
  <si>
    <t>CI-HR-19-400-0</t>
  </si>
  <si>
    <t>Cincel Hexagonal 19 C/Reduccion - Punta 400x0</t>
  </si>
  <si>
    <t>CI-HR-19-300-25</t>
  </si>
  <si>
    <t>Cincel Hexagonal 19 C/Reduccion - Plano 300x25</t>
  </si>
  <si>
    <t>CI-HR-19-400-25</t>
  </si>
  <si>
    <t>Cincel Hexagonal 19 C/Reduccion - Plano 400x25</t>
  </si>
  <si>
    <t>CI-HR-28-400-0</t>
  </si>
  <si>
    <t>Cincel Hexagonal 28 C/Reduccion - Punta 400x0</t>
  </si>
  <si>
    <t>CI-HR-28-500-0</t>
  </si>
  <si>
    <t>Cincel Hexagonal 28 C/Reduccion - Punta 500x0</t>
  </si>
  <si>
    <t>CI-HR-28-400-36</t>
  </si>
  <si>
    <t>Cincel Hexagonal 28 C/Reduccion - Plano 400x36</t>
  </si>
  <si>
    <t>CI-HR-28-500-36</t>
  </si>
  <si>
    <t>Cincel Hexagonal 28 C/Reduccion - Plano 500x36</t>
  </si>
  <si>
    <t>CI-HA-28-520-0</t>
  </si>
  <si>
    <t>Cincel Hexagonal 28 C/Aro - Punta 520x0</t>
  </si>
  <si>
    <t>CI-HA-28-520-28</t>
  </si>
  <si>
    <t>Cincel Hexagonal 28 C/Aro - Plano 520x28</t>
  </si>
  <si>
    <t>CI-RRH-30-410-0</t>
  </si>
  <si>
    <t>Cincel Cilindrico  30 C/Reduccion Hexa - Punta 410x0</t>
  </si>
  <si>
    <t>CI-RRH-30-410-35</t>
  </si>
  <si>
    <t>Cincel Cilindrico 30 C/Reduccion Hexa - Plano 410x35</t>
  </si>
  <si>
    <t>CI-HA-32-550-0</t>
  </si>
  <si>
    <t>Cincel Hexagonal 32 C/Aro - Punta 550x0</t>
  </si>
  <si>
    <t>CI-HA-32-550-35</t>
  </si>
  <si>
    <t>Cincel Hexagonal 32 C/Aro - Plano 550x35</t>
  </si>
  <si>
    <t>PEGASO</t>
  </si>
  <si>
    <t>125ZCFV60</t>
  </si>
  <si>
    <t>Flap Ø 125 mm - Zirconio - Convexo - Fibra de Vidrio - Grano 60</t>
  </si>
  <si>
    <t>125ZCFV80</t>
  </si>
  <si>
    <t>Flap Ø 125 mm - Zirconio - Convexo - Fibra de Vidrio - Grano 80</t>
  </si>
  <si>
    <t>125ZCFV120</t>
  </si>
  <si>
    <t>Flap Ø 125 mm - Zirconio - Convexo - Fibra de Vidrio - Grano 120</t>
  </si>
  <si>
    <t>180ZCFV40</t>
  </si>
  <si>
    <t>Flap Ø 180 mm - Zirconio - Convexo - Fibra de Vidrio - Grano 40</t>
  </si>
  <si>
    <t>180ZCFV80</t>
  </si>
  <si>
    <t>Flap Ø 180 mm - Zirconio - Convexo - Fibra de Vidrio - Grano 80</t>
  </si>
  <si>
    <t>180ZCFV120</t>
  </si>
  <si>
    <t>Flap Ø 180 mm - Zirconio - Convexo - Fibra de Vidrio - Grano 120</t>
  </si>
  <si>
    <t>125ZPFV60</t>
  </si>
  <si>
    <t>Flap Ø 125 mm - Zirconio - Plano - Fibra de Vidrio - Grano 60</t>
  </si>
  <si>
    <t>125ZPFV120</t>
  </si>
  <si>
    <t>Flap Ø 125 mm - Zirconio - Plano - Fibra de Vidrio - Grano 120</t>
  </si>
  <si>
    <t>180ZPFV40</t>
  </si>
  <si>
    <t>Flap Ø 180 mm - Zirconio - Plano - Fibra de Vidrio - Grano 40</t>
  </si>
  <si>
    <t>180ZPFV60</t>
  </si>
  <si>
    <t>Flap Ø 180 mm - Zirconio - Plano - Fibra de Vidrio - Grano 60</t>
  </si>
  <si>
    <t>180ZPFV80</t>
  </si>
  <si>
    <t>Flap Ø 180 mm - Zirconio - Plano - Fibra de Vidrio - Grano 80</t>
  </si>
  <si>
    <t>180ZPFV120</t>
  </si>
  <si>
    <t>Flap Ø 180 mm - Zirconio - Plano - Fibra de Vidrio - Grano 120</t>
  </si>
  <si>
    <t>180ZPPL40</t>
  </si>
  <si>
    <t>Flap Ø 180 mm - Zirconio - Plano - Plástico - Grano 40</t>
  </si>
  <si>
    <t>180ZPPL60</t>
  </si>
  <si>
    <t>Flap Ø 180 mm - Zirconio - Plano - Plástico - Grano 60</t>
  </si>
  <si>
    <t>180ZPPL80</t>
  </si>
  <si>
    <t>Flap Ø 180 mm - Zirconio - Plano - Plástico - Grano 80</t>
  </si>
  <si>
    <t>180ZPPL120</t>
  </si>
  <si>
    <t>Flap Ø 180 mm - Zirconio - Plano - Plástico - Grano 120</t>
  </si>
  <si>
    <t>125XCFV60</t>
  </si>
  <si>
    <t>Flap Ø 125 mm - Zirconio Cerámico - Convexo - Fibra de Vidrio - Grano 60</t>
  </si>
  <si>
    <t>125XCFV80</t>
  </si>
  <si>
    <t>Flap Ø 125 mm - Zirconio Cerámico - Convexo - Fibra de Vidrio - Grano 80</t>
  </si>
  <si>
    <t>125XCFV120</t>
  </si>
  <si>
    <t>Flap Ø 125 mm - Zirconio Cerámico - Convexo - Fibra de Vidrio - Grano 120</t>
  </si>
  <si>
    <t>180XCFV40</t>
  </si>
  <si>
    <t>Flap Ø 180 mm - Zirconio Cerámico - Convexo - Fibra de Vidrio - Grano 40</t>
  </si>
  <si>
    <t>180XCFV60</t>
  </si>
  <si>
    <t>Flap Ø 180 mm - Zirconio Cerámico - Convexo - Fibra de Vidrio - Grano 60</t>
  </si>
  <si>
    <t>180XCFV80</t>
  </si>
  <si>
    <t>Flap Ø 180 mm - Zirconio Cerámico - Convexo - Fibra de Vidrio - Grano 80</t>
  </si>
  <si>
    <t>180XCFV120</t>
  </si>
  <si>
    <t xml:space="preserve">Flap Ø 180 mm - Zirconio Cerámico - Convexo - Fibra de Vidrio - Grano 120 </t>
  </si>
  <si>
    <t>125XPFV40</t>
  </si>
  <si>
    <t>Flap Ø 125 mm - Zirconio Cerámico - Plano - Fibra de Vidrio - Grano 40</t>
  </si>
  <si>
    <t>125XPFV60</t>
  </si>
  <si>
    <t>Flap Ø 125 mm - Zirconio Cerámico - Plano - Fibra de Vidrio - Grano 60</t>
  </si>
  <si>
    <t>125XPFV80</t>
  </si>
  <si>
    <t>Flap Ø 125 mm - Zirconio Cerámico - Plano - Fibra de Vidrio - Grano 80</t>
  </si>
  <si>
    <t>125XPFV120</t>
  </si>
  <si>
    <t>Flap Ø 125 mm - Zirconio Cerámico - Plano - Fibra de Vidrio - Grano 120</t>
  </si>
  <si>
    <t>180XPFV40</t>
  </si>
  <si>
    <t>Flap Ø 180 mm - Zirconio Cerámico - Plano - Fibra de Vidrio - Grano 40</t>
  </si>
  <si>
    <t>180XPFV60</t>
  </si>
  <si>
    <t>Flap Ø 180 mm - Zirconio Cerámico - Plano - Fibra de Vidrio - Grano 60</t>
  </si>
  <si>
    <t>180XPFV80</t>
  </si>
  <si>
    <t>Flap Ø 180 mm - Zirconio Cerámico - Plano - Fibra de Vidrio - Grano 80</t>
  </si>
  <si>
    <t>180XPFV120</t>
  </si>
  <si>
    <t>Flap Ø 180 mm - Zirconio Cerámico - Plano - Fibra de Vidrio - Grano 120</t>
  </si>
  <si>
    <t>115-SF-G</t>
  </si>
  <si>
    <r>
      <t xml:space="preserve">Flap Ø 115 mm - Óxido de Aluminio - Plano - Fibra de Vidrio - Grano 80/150 - </t>
    </r>
    <r>
      <rPr>
        <b/>
        <sz val="8"/>
        <color indexed="60"/>
        <rFont val="Arial"/>
        <family val="2"/>
      </rPr>
      <t>MARRÓN</t>
    </r>
  </si>
  <si>
    <t>115-SF-M</t>
  </si>
  <si>
    <r>
      <t xml:space="preserve">Flap Ø 115 mm - Óxido de Aluminio - Plano - Fibra de Vidrio - Grano 150/220 - </t>
    </r>
    <r>
      <rPr>
        <b/>
        <sz val="8"/>
        <color indexed="16"/>
        <rFont val="Arial"/>
        <family val="2"/>
      </rPr>
      <t>ROJO</t>
    </r>
  </si>
  <si>
    <t>115-SF-F</t>
  </si>
  <si>
    <r>
      <t xml:space="preserve">Flap Ø 115 mm - Óxido de Aluminio - Plano - Fibra de Vidrio - Grano 220/280 - </t>
    </r>
    <r>
      <rPr>
        <b/>
        <sz val="8"/>
        <color indexed="56"/>
        <rFont val="Arial"/>
        <family val="2"/>
      </rPr>
      <t>AZUL</t>
    </r>
  </si>
  <si>
    <t>115-SC-G</t>
  </si>
  <si>
    <r>
      <t xml:space="preserve">Flap Ø 115 mm -Óxido de Aluminio- Convexo - Óxido de Aluminio - Grano 80/150 - </t>
    </r>
    <r>
      <rPr>
        <b/>
        <sz val="8"/>
        <color indexed="60"/>
        <rFont val="Arial"/>
        <family val="2"/>
      </rPr>
      <t>MARRÓN</t>
    </r>
  </si>
  <si>
    <t>115-SC-M</t>
  </si>
  <si>
    <r>
      <t xml:space="preserve">Flap Ø 115 mm -Óxido de Aluminio - Convexo - Óxido de Aluminio - Grano 150/220 - </t>
    </r>
    <r>
      <rPr>
        <b/>
        <sz val="8"/>
        <color indexed="16"/>
        <rFont val="Arial"/>
        <family val="2"/>
      </rPr>
      <t>ROJO</t>
    </r>
  </si>
  <si>
    <t>115CPPL40</t>
  </si>
  <si>
    <t>Flap Ø 115 mm - Carburo de Silicio - Plano - Plástico - Grano 40</t>
  </si>
  <si>
    <t>180CPPL60</t>
  </si>
  <si>
    <t>Flap Ø 180 mm - Carburo de Silicio - Plano - Plástico - Grano 60</t>
  </si>
  <si>
    <t>C115EG</t>
  </si>
  <si>
    <t>Chaupint Ø 115 mm - Carburo de Silicio - Plano - Base Fibra de Vidrio</t>
  </si>
  <si>
    <t>C178EG</t>
  </si>
  <si>
    <t>Chaupint Ø 178 mm - Carburo de Silicio - Plano - Base Fibra de Vidrio</t>
  </si>
  <si>
    <t>CS-115G</t>
  </si>
  <si>
    <t>Disco Fibra Fina Polish Ø 115 mm - Carburo de Silicio - Grano 80 - Grueso</t>
  </si>
  <si>
    <t>CS-115M</t>
  </si>
  <si>
    <t>Disco Fibra Fina Polish Ø 115 mm - Carburo de Silicio - Grano 150 - Medio</t>
  </si>
  <si>
    <t>CS-115F</t>
  </si>
  <si>
    <t>Disco Fibra Fina Polish Ø 115 mm - Carburo de Silicio - Grano 400 - Fino</t>
  </si>
  <si>
    <t>CS-115EF</t>
  </si>
  <si>
    <t>Disco Fibra Fina Polish Ø 115 mm - Carburo de Silicio - Grano 600 - Extra Fino</t>
  </si>
  <si>
    <t>D75EG</t>
  </si>
  <si>
    <t>Repuesto Rueda Ø 75 mm - Sin Eje</t>
  </si>
  <si>
    <t>D100EG</t>
  </si>
  <si>
    <t>Repuesto Rueda Ø 100 mm - Sin Eje</t>
  </si>
  <si>
    <t>D150EG</t>
  </si>
  <si>
    <t>Repuesto Rueda Ø 150 mm - Sin Eje</t>
  </si>
  <si>
    <t>DR50EG</t>
  </si>
  <si>
    <t>Disco Fibra Gruesa con Encastre Rápido 2"</t>
  </si>
  <si>
    <t>DR75EG</t>
  </si>
  <si>
    <t>Disco Fibra Gruesa con Encastre Rápido 3"</t>
  </si>
  <si>
    <t>SDR50</t>
  </si>
  <si>
    <t>Soporte de disco de fibra 2 pulg c eje</t>
  </si>
  <si>
    <t>SDR75</t>
  </si>
  <si>
    <t>Soporte de disco de fibra 3 pulg c eje</t>
  </si>
  <si>
    <t>CX</t>
  </si>
  <si>
    <t>Adaptador para Copas en Taladros</t>
  </si>
  <si>
    <t>EA-DF</t>
  </si>
  <si>
    <t>Eje para ruedas fibra gruesa</t>
  </si>
  <si>
    <t>Y115-IM-F</t>
  </si>
  <si>
    <t xml:space="preserve">Disco de Corte 115 x 1 x 22,2 - Plano </t>
  </si>
  <si>
    <t>Y115-IM</t>
  </si>
  <si>
    <t>Y180-IM-F</t>
  </si>
  <si>
    <t>Disco de Corte 180 x 1.6 x 22,2  - Plano</t>
  </si>
  <si>
    <t>Y230-IM-F</t>
  </si>
  <si>
    <t>Disco de Corte 230 x 1.9 x 22,2 - Plano</t>
  </si>
  <si>
    <t>Y115-M-S-F</t>
  </si>
  <si>
    <t>Disco de Corte 115 x 3 x 22.2 Plano</t>
  </si>
  <si>
    <t>Y178-M-S-F</t>
  </si>
  <si>
    <t>Disco de Corte 178 x 3 x 22.2 Plano</t>
  </si>
  <si>
    <t>Y230-M-S-F</t>
  </si>
  <si>
    <t>Disco de Corte 230 x 3 x 22.2 Plano</t>
  </si>
  <si>
    <t>Y300-M-S-FS</t>
  </si>
  <si>
    <t>Disco de Corte 300 x 3 x 25.4 Plano</t>
  </si>
  <si>
    <t>Y350-M-S-FS</t>
  </si>
  <si>
    <t>Disco de Corte 350 x 3 x 25.4 Plano</t>
  </si>
  <si>
    <t>Y400-M-S-FS</t>
  </si>
  <si>
    <t>Disco de Corte 400 x 3 x 25.4 Plano</t>
  </si>
  <si>
    <t>Y115-M-S-DC</t>
  </si>
  <si>
    <t>Disco de Corte 115 x 3 x 22.2 Centro Deprimido</t>
  </si>
  <si>
    <t>Y178-M-S-DC</t>
  </si>
  <si>
    <t>Disco de Corte 178 x 3 x 22.2 Centro Deprimido</t>
  </si>
  <si>
    <t>Y230-M-S-DC</t>
  </si>
  <si>
    <t>Disco de Corte 230 x 3 x 22.2 Centro Deprimido</t>
  </si>
  <si>
    <t>Y115-M-S-DC6</t>
  </si>
  <si>
    <t>Disco de Desbaste 115 x 6 x 22.2 Centro Deprimido</t>
  </si>
  <si>
    <t>Y178-M-S-DC6</t>
  </si>
  <si>
    <t>Disco de Desbaste 178 x 6 x 22.2 Centro Deprimido</t>
  </si>
  <si>
    <t>Y230-M-S-DC6</t>
  </si>
  <si>
    <t>Disco de Desbaste 230 x 6 x 22.2 Centro Deprimido</t>
  </si>
  <si>
    <t>Y115AP40</t>
  </si>
  <si>
    <t>Flap Ø 115 mm - Óxido de Aluminio - Plano - Fibra de Vidrio - Grano 40</t>
  </si>
  <si>
    <t>Y115AP60</t>
  </si>
  <si>
    <t>Flap Ø 115 mm - Óxido de Aluminio - Plano - Fibra de Vidrio - Grano 60</t>
  </si>
  <si>
    <t>Y115AP80</t>
  </si>
  <si>
    <t>Flap Ø 115 mm - Óxido de Aluminio - Plano - Fibra de Vidrio - Grano 80</t>
  </si>
  <si>
    <t>Y115AP120</t>
  </si>
  <si>
    <t>Flap Ø 115 mm - Óxido de Aluminio - Plano - Fibra de Vidrio - Grano 120</t>
  </si>
  <si>
    <t>Y180AP40</t>
  </si>
  <si>
    <t>Flap Ø 180 mm - Óxido de Aluminio - Plano - Fibra de Vidrio - Grano 40</t>
  </si>
  <si>
    <t>Y180AP60</t>
  </si>
  <si>
    <t>Flap Ø 180 mm - Óxido de Aluminio - Plano - Fibra de Vidrio - Grano 60</t>
  </si>
  <si>
    <t>Y180AP80</t>
  </si>
  <si>
    <t>Flap Ø 180 mm - Óxido de Aluminio - Plano - Fibra de Vidrio - Grano 80</t>
  </si>
  <si>
    <t>Y180AP120</t>
  </si>
  <si>
    <t>Flap Ø 180 mm - Óxido de Aluminio - Plano - Fibra de Vidrio - Grano 120</t>
  </si>
  <si>
    <t>Y115ZP40</t>
  </si>
  <si>
    <t>Flap Ø 115 mm - Zirconio- Plano - Fibra de Vidrio - Grano 40</t>
  </si>
  <si>
    <t>Y115ZP60</t>
  </si>
  <si>
    <t>Flap Ø 115 mm - Zirconio- Plano - Fibra de Vidrio - Grano 60</t>
  </si>
  <si>
    <t>Y115ZP80</t>
  </si>
  <si>
    <t>Flap Ø 115 mm - Zirconio- Plano - Fibra de Vidrio - Grano 80</t>
  </si>
  <si>
    <t>Y115ZP120</t>
  </si>
  <si>
    <t>Flap Ø 115 mm - Zirconio- Plano - Fibra de Vidrio - Grano 120</t>
  </si>
  <si>
    <t>Y180ZP40</t>
  </si>
  <si>
    <t>Y180ZP60</t>
  </si>
  <si>
    <t>Y180ZP80</t>
  </si>
  <si>
    <t>Y180ZP120</t>
  </si>
  <si>
    <t>USD</t>
  </si>
  <si>
    <t>DM-4.5</t>
  </si>
  <si>
    <t>DM-7</t>
  </si>
  <si>
    <t>DM-9</t>
  </si>
  <si>
    <t>PATROLL LINEA AMARILLA</t>
  </si>
  <si>
    <t>PMS-4G</t>
  </si>
  <si>
    <t>PMS-7G</t>
  </si>
  <si>
    <t>PEGASO LINEA AMARILLA</t>
  </si>
  <si>
    <t>Listado de Articulos</t>
  </si>
  <si>
    <t>FECHA</t>
  </si>
  <si>
    <t>DESCRIPCION</t>
  </si>
  <si>
    <t>C/IVA 21%</t>
  </si>
  <si>
    <t>C/IVA 10.5%</t>
  </si>
  <si>
    <t>ULT.MODIF.</t>
  </si>
  <si>
    <t>ACEITE SHIMURA x 1 LITRO</t>
  </si>
  <si>
    <t>ACOPLE HEMBRA MOTOR VIBRADOR MMQ</t>
  </si>
  <si>
    <t>AFILADO DE PUNTA/CORTA 11304</t>
  </si>
  <si>
    <t>AFILADO DE PUNTA/CORTA SDS MAX</t>
  </si>
  <si>
    <t>ALICATE OBLICUO STANLEY 6" 84054</t>
  </si>
  <si>
    <t>ALICATE OBLICUO STANLEY 7" 84055</t>
  </si>
  <si>
    <t>AMOLADORA BOSCH 4 1/2" GWS 850</t>
  </si>
  <si>
    <t>AMOLADORA BOSCH 5" GWS 9-125</t>
  </si>
  <si>
    <t>AMOLADORA BOSCH 5" GWS 9-125 S</t>
  </si>
  <si>
    <t>AMOLADORA BOSCH 5" GWS 11-125 (1792)</t>
  </si>
  <si>
    <t>AMOLADORA BOSCH 5" GWS 15-125 (1830)</t>
  </si>
  <si>
    <t>AMOLADORA BOSCH 7" GWS 20-180</t>
  </si>
  <si>
    <t>AMOLADORA BOSCH 7" GWS 22-180 (1890) LVI</t>
  </si>
  <si>
    <t>AMOLADORA BOSCH 7" GWS 24-180 (1753)</t>
  </si>
  <si>
    <t>AMOLADORA BOSCH 7" GWS 24-180 (1892) LVI</t>
  </si>
  <si>
    <t>AMOLADORA BOSCH 7" GWS 26-180 (1755)</t>
  </si>
  <si>
    <t>AMOLADORA BOSCH 7" GWS 26-180 (1894) LVI</t>
  </si>
  <si>
    <t>AMOLADORA BOSCH 9" GWS 20-230</t>
  </si>
  <si>
    <t>AMOLADORA BOSCH 9" GWS 22-230 LVI</t>
  </si>
  <si>
    <t xml:space="preserve">AMOLADORA BOSCH 9" GWS 24-230 </t>
  </si>
  <si>
    <t>AMOLADORA BOSCH 9" GWS 26-230 (1756)</t>
  </si>
  <si>
    <t>AMOLADORA DEWALT 4 1/2" 4214 1200 W</t>
  </si>
  <si>
    <t>AMOLADORA DEWALT 7" DWE491 2200 W</t>
  </si>
  <si>
    <t>AMOLADORA DEWALT 7" 28491 2200 W</t>
  </si>
  <si>
    <t>AMOLADORA DEWALT 7" DWE4557 2400 W</t>
  </si>
  <si>
    <t>AMOLADORA DEWALT 7" DWE4577 2700 W</t>
  </si>
  <si>
    <t>AMOLADORA MAKITA 4 1/2" 840 W 9557 HNG</t>
  </si>
  <si>
    <t>AMOLADORA MAKITA 4 1/2" 1100 W 9564 PX2</t>
  </si>
  <si>
    <t>AMOLADORA MAKITA 7" 2000 W 7050</t>
  </si>
  <si>
    <t>AMOLADORA MAKITA 7" 2200 W 7020</t>
  </si>
  <si>
    <t xml:space="preserve">AMOLADORA MAKITA 7" 2200 W 7060 </t>
  </si>
  <si>
    <t>AMOLADORA MAKITA 7" 2400 W 7030</t>
  </si>
  <si>
    <t>AMOLADORA MAKITA 7" 2600 W 7040S</t>
  </si>
  <si>
    <t>AMOLADORA MAKITA 9" 2200 W 9020</t>
  </si>
  <si>
    <t>AMOLADORA MAKITA 9" 2400 W 9030</t>
  </si>
  <si>
    <t>AMOLADORA MAKITA 9" 2600 W 9040S</t>
  </si>
  <si>
    <t>AMOLADORA SKIL 4 1/2" 830 W 9004 JR</t>
  </si>
  <si>
    <t xml:space="preserve">AMOLADORA STANLEY 4 1/2" STGS7115 710 W </t>
  </si>
  <si>
    <t xml:space="preserve">AMOLADORA STANLEY 4 1/2" STGS8115 850 W </t>
  </si>
  <si>
    <t>AMOLADORA STANLEY 4 1/2" SGS1045 1050 W</t>
  </si>
  <si>
    <t xml:space="preserve">AMOLADORA STANLEY 9" STGL2223 2200 W </t>
  </si>
  <si>
    <t>ANTIPARRA LIBUS TRANSP / GRIS ERAM</t>
  </si>
  <si>
    <t>ANTIPARRA VENTILACION INDIRECTA (ER 97592)</t>
  </si>
  <si>
    <t>*</t>
  </si>
  <si>
    <t>APAREJO ELECTRICO 500 - 1000 KG GAMMA</t>
  </si>
  <si>
    <t>ARCO DE SIERRA STANLEY 20206</t>
  </si>
  <si>
    <t>ARNES A CREMALLERA PARA CASCO</t>
  </si>
  <si>
    <t>ATORNILLADOR BOSCH GSR 6-45 TE (1440)</t>
  </si>
  <si>
    <t>ATORNILLADOR DEWALT DCD710S2 C/TALADRO</t>
  </si>
  <si>
    <t>ATORNILLADOR DEWALT DCD776C2 C/TALADRO</t>
  </si>
  <si>
    <t>ATORNILLADOR DEWALT DCF620D2 P/DURLOCK</t>
  </si>
  <si>
    <t>ATORNILLADOR MAKITA DF001DW</t>
  </si>
  <si>
    <t>ATORNILLADOR MAKITA FS4000</t>
  </si>
  <si>
    <t>ATORNILLADOR MAKITA FS6200</t>
  </si>
  <si>
    <t>ATORNILLADOR SKIL 6520 JB</t>
  </si>
  <si>
    <t>ATORNILLADOR SKIL A BAT 10,8V 2412</t>
  </si>
  <si>
    <t>ATORNILLADOR STANLEY 12 V SCD12S2K</t>
  </si>
  <si>
    <t>ATORNILLADOR STANLEY P/DURLOCK STDR5206</t>
  </si>
  <si>
    <t>ATORNILLADOR TALADRO STANLEY 20 V SCH201C2K</t>
  </si>
  <si>
    <t>BAHCO LLAVE PARA CAÑO 210 MM (140 I)</t>
  </si>
  <si>
    <t>BAHCO LLAVE PARA CAÑO 300 MM (141 A)</t>
  </si>
  <si>
    <t>BAHCO LLAVE PARA CAÑO 615 MM (143 A)</t>
  </si>
  <si>
    <t>BAHCO LLAVE PARA CAÑO 805 MM (144 A)</t>
  </si>
  <si>
    <t>BAHCO LLAVE AJUSTABLE SERIE 80 / 205 8071 AIP</t>
  </si>
  <si>
    <t>BAHCO PINZA UNIVERSAL 159 2678G160A</t>
  </si>
  <si>
    <t>BAHCO PINZA DE PRESION 10" GRIP CURVO 13710</t>
  </si>
  <si>
    <t>BAHCO JUEGO LLAVES CON CRIQUET (8/10/13/17/19) 3RM/5H</t>
  </si>
  <si>
    <t>BALDE DE CHAPA 18 PESADO POLO</t>
  </si>
  <si>
    <t>BALDE DE CHAPA 20 LIVIANO POLO</t>
  </si>
  <si>
    <t>BALDE DE PLASTICO x 12 U</t>
  </si>
  <si>
    <t>BANDERA DE TELA 50x70</t>
  </si>
  <si>
    <t>BANQUETA DE SILLETA CARAN</t>
  </si>
  <si>
    <t>BANQUETA DE SILLETA CON GANCHOS ZAPATA</t>
  </si>
  <si>
    <t>BANQUETA DE SILLETA X-URBAN</t>
  </si>
  <si>
    <t>BANQUETA DE SILLETA GUIBO</t>
  </si>
  <si>
    <t>BARBIJO ANTIPOLVO 3M</t>
  </si>
  <si>
    <t>BARBIJO CON VALVULA</t>
  </si>
  <si>
    <t>BARRETA 60 CM</t>
  </si>
  <si>
    <t>BARRETA 80 CM</t>
  </si>
  <si>
    <t>BARRETA 100 CM</t>
  </si>
  <si>
    <t xml:space="preserve">BARRETA 120 CM </t>
  </si>
  <si>
    <t>BARRETA 150 CM</t>
  </si>
  <si>
    <t xml:space="preserve">BARRETA 180 CM </t>
  </si>
  <si>
    <t>BARRETA PUNTA Y PALA 1,80</t>
  </si>
  <si>
    <t>BASE PARA TORRE POLO</t>
  </si>
  <si>
    <t>BASE 12/100 X 100 U REINER</t>
  </si>
  <si>
    <t>BASE 12/25 X 1500 U REINER</t>
  </si>
  <si>
    <t>BIDON 20 LTS APTO COMBUSTIBLE</t>
  </si>
  <si>
    <t>BIELA MAKITA 0810 CON RODAMIENTO</t>
  </si>
  <si>
    <t>BIELA PISON</t>
  </si>
  <si>
    <t>BOBINA 24 V P 9/18 AMP MAT.ELEC.COD 30675</t>
  </si>
  <si>
    <t>BOCA INICIAL DE DESCARGA KAIKEN</t>
  </si>
  <si>
    <t>BOMBA CENTRIFUGA MOTORARG BC 100 M 1 HP</t>
  </si>
  <si>
    <t>BOMBA CENTRIFUGA MOTORARG BC 75 M 3/4 HP</t>
  </si>
  <si>
    <t>BOMBA CENTRIFUGA MOTORMECH 1/2 HP PH-16</t>
  </si>
  <si>
    <t>BOMBA CENTRIFUGA MOTORMECH 3/4 HP PH-20</t>
  </si>
  <si>
    <t>BOMBA CENTRIFUGA MOTORMECH 1 HP PH-26</t>
  </si>
  <si>
    <t>BOMBA CENTRIFUGA MOTORMECH 1 1/2" HP PH-35</t>
  </si>
  <si>
    <t>BOMBA CENTRIFUGA PACIFIC SCM 42 3/4 HP</t>
  </si>
  <si>
    <t>BOMBA CENTRIFUGA PACIFIC SCM 50 1 HP</t>
  </si>
  <si>
    <t xml:space="preserve">BOMBA CENTRIFUGA PEDROLLO CPM 158 1 HP </t>
  </si>
  <si>
    <t xml:space="preserve">BOMBA DAB FEKA 600 </t>
  </si>
  <si>
    <t>BOMBA DAB FEKA1000 MONOF.1,26 HP ALT.MAX.11 MTS</t>
  </si>
  <si>
    <t>BOMBA DAB FEKA1000 TRIF.1,26 HP ALT.MAX.11 MTS</t>
  </si>
  <si>
    <t>BOMBA MARQUIS V750 1 HP MONOF</t>
  </si>
  <si>
    <t>BOMBA MOTORARG DRV 1100-M PLUVIAL</t>
  </si>
  <si>
    <t>BOMBA MOTORARG SM PRO 1000 M</t>
  </si>
  <si>
    <t>BOMBA MOTORARG SM-INOX 1100 1,5 HP</t>
  </si>
  <si>
    <t>BOMBA MOTORARG SM-INOX 750 1 HP</t>
  </si>
  <si>
    <t>BOMBA SUMERGIBLE SHIMURA 2JH1100B</t>
  </si>
  <si>
    <t>BOMBACHA DE CAMPO TEXWORK</t>
  </si>
  <si>
    <t>NOTRICA</t>
  </si>
  <si>
    <t>BOTIN MARLUVAS CERTIFICADO</t>
  </si>
  <si>
    <t>BOTIN MAXAR CERTIFICADO</t>
  </si>
  <si>
    <t xml:space="preserve">BOTIN OMBU FRANCES DIELECTRICO </t>
  </si>
  <si>
    <t>BOTIN OMBU OZONO (MARRON O NEGRO)</t>
  </si>
  <si>
    <t>BOTIQUIN MADERA ERAM</t>
  </si>
  <si>
    <t>BOTONERA PARA GUINCHE IORI 24V TRIFASICA BAW</t>
  </si>
  <si>
    <t>BOTONERA PARA PLUMA TGM</t>
  </si>
  <si>
    <t>BRAZO SOPORTE PALETA FRATACHADORA 90 MMQ</t>
  </si>
  <si>
    <t>CABALLETE EXT. HASTA 1.30 MTS MR HIERRO ANGULO</t>
  </si>
  <si>
    <t>CABALLETE EXT. HASTA 2.00 MTS MR HIERRO ANGULO</t>
  </si>
  <si>
    <t>CABEZAL DE BALANCIN "MR" S/CABLE</t>
  </si>
  <si>
    <t>CABEZAL PARA TIJERA 770 CORTRIFIL</t>
  </si>
  <si>
    <t>CABEZAL PARA TIJERA 900 CORTRIFIL</t>
  </si>
  <si>
    <t>CABEZAL PARA TIJERA STANLEY 24"</t>
  </si>
  <si>
    <t xml:space="preserve">CABLE ANTIGIRATORIO 5 mm C.A.N. </t>
  </si>
  <si>
    <t xml:space="preserve">CABLE ANTIGIRATORIO 6 mm C.A.N. </t>
  </si>
  <si>
    <t xml:space="preserve">CABLE ANTIGIRATORIO 8 mm C.A.N. </t>
  </si>
  <si>
    <t>CABLE ANTIGIRATORIO 10 mm C.A.N.</t>
  </si>
  <si>
    <t>CABLE DE ACERO 6x19 POR METRO 5 mm</t>
  </si>
  <si>
    <t>CABLE DE ACERO 1/4" 6x19 POR METRO 6 mm</t>
  </si>
  <si>
    <t>CABLE DE ACERO 5/16" POR METRO 8 mm</t>
  </si>
  <si>
    <t>CABLE DE ACERO 3/8" POR METRO 10 mm</t>
  </si>
  <si>
    <t>CABLE ELECTRICO TIPO TALLER 5 X 1,5 MM</t>
  </si>
  <si>
    <t>CABLE SOLDADORA IGNIFUGO AZ 25</t>
  </si>
  <si>
    <t>CABLE SUBTERRANEO 3 X 2,5 MM</t>
  </si>
  <si>
    <t>CABLE SUBTERRANEO 4 X 2,5 MM</t>
  </si>
  <si>
    <t>CABO PARA MAZA 5 KG x 90 CM</t>
  </si>
  <si>
    <t>CABO PARA PICO 90 CM ANTIVIBRACION</t>
  </si>
  <si>
    <t>CADENA PLASTICA NARANJA x MT</t>
  </si>
  <si>
    <t>CAJA DE HERRAMIENTAS STANLEY 16" 16013</t>
  </si>
  <si>
    <t>CAJA DE HERRAMIENTAS STANLEY 19" 19013</t>
  </si>
  <si>
    <t>CAJA DE HERRAMIENTAS ZC MANIJA ALUMINIO 20"</t>
  </si>
  <si>
    <t>CAJA DE HERRAMIENTAS ZC MANIJA ALUMINIO 22"</t>
  </si>
  <si>
    <t>CAJA DE HERRAMIENTAS ZC MOVIL</t>
  </si>
  <si>
    <t>CAJA DE HERRAMIENTAS ZC PLASTICA C/METALICO 16"</t>
  </si>
  <si>
    <t>CAJA DE HERRAMIENTAS ZC SUPERBAG ASR-4025</t>
  </si>
  <si>
    <t>CAJA PLASTICA VIBRADOR MMQ</t>
  </si>
  <si>
    <t>CAMARA RUEDA NEUMATICA 350</t>
  </si>
  <si>
    <t>CAMILLA RIGIDA (TABLA DE INMOVILIZACION)</t>
  </si>
  <si>
    <t>CAMISA DE TRABAJO</t>
  </si>
  <si>
    <t>TEXWORK</t>
  </si>
  <si>
    <t>CAMISA DE TRABAJO TALLE 56 EN ADELANTE</t>
  </si>
  <si>
    <t>CAMISA DE TRABAJO OMBU</t>
  </si>
  <si>
    <t>CAMPERA TRUCKER</t>
  </si>
  <si>
    <t>CANASTO DE CHAPA 18 POLO</t>
  </si>
  <si>
    <t>CANASTO DE CHAPA 20 POLO</t>
  </si>
  <si>
    <t>CANGILON 80 LTS MR</t>
  </si>
  <si>
    <t>CANGILON 180 LTS MR</t>
  </si>
  <si>
    <t>CAÑO RIGIDO POR 1,5 MTS TRL/22 reiner</t>
  </si>
  <si>
    <t>CAPA PARA LLUVIA REFORZADA</t>
  </si>
  <si>
    <t>CARBONES PARA AMOLADORA BLACK Y DECKER</t>
  </si>
  <si>
    <t>CARBONES PARA AMOLADORA DEWALT 7" O 9"</t>
  </si>
  <si>
    <t>CARBONES PARA AMOLADORA MAKITA 9" CB204</t>
  </si>
  <si>
    <t>CARBONES PARA AMOLADORA SKIL 9781/9981</t>
  </si>
  <si>
    <t>CARBONES PARA MARTILLO BOSCH 11316 CHINO</t>
  </si>
  <si>
    <t>CARBONES PARA MARTILLO BOSCH 11316 1617014126</t>
  </si>
  <si>
    <t>CARBONES PARA MARTILLO BOSCH 2-26 1617000525</t>
  </si>
  <si>
    <t>CARBONES PARA SIERRA CIRCULAR BOSCH 9"</t>
  </si>
  <si>
    <t>CARBONES PARA SIERRA CIRCULAR DEWALT 560</t>
  </si>
  <si>
    <t>CARETA PARA SOLDADOR (CON VIDRIOS)</t>
  </si>
  <si>
    <t>CARRETILLA MGO.ARTIC. CON COMPACTA POLO</t>
  </si>
  <si>
    <t>CARRETILLA MGO.ARTIC. CON NEUMATICA ch.400 PLASTICO</t>
  </si>
  <si>
    <t>CARRETILLA MGO.ARTIC. CON RAYO</t>
  </si>
  <si>
    <t>CARRETILLA MGO.ARTIC. CON RAYO Y GANCHO</t>
  </si>
  <si>
    <t>CARRO 180 LTS C/RUEDA HIERRO</t>
  </si>
  <si>
    <t>CARRO 180 LTS C/RUEDA NEUMATICA</t>
  </si>
  <si>
    <t>CARRO 90 LTS "MR" MGO.ARTIC/GANCHO/ 1 RUEDA COMP.</t>
  </si>
  <si>
    <t>CARRO 90 LTS "MR" MGO.ARTIC/GANCHO/ 2 RUEDA COMP</t>
  </si>
  <si>
    <t>CARRO 90 LTS MGO.ARTIC./COMP/GANCHO</t>
  </si>
  <si>
    <t>CARRO 90 LTS MGO.ARTIC./RAYO/GANCHO</t>
  </si>
  <si>
    <t>CARRO PORTA BULTO ABIERTO COMPACTA HOFER (26130)</t>
  </si>
  <si>
    <t>CARRO PORTA BULTO CERRADO COMPACTA HOFER (26131)</t>
  </si>
  <si>
    <t>CARRO PORTA BULTO CERRADO NEUMATICA HOFER (26103)</t>
  </si>
  <si>
    <t>CARRO PORTA BULTO CERRADO COMPACTA OLIVARES</t>
  </si>
  <si>
    <t>CARRO PORTA BULTO CERRADO NEUMATICA OLIVARES</t>
  </si>
  <si>
    <t>CARRO PORTA BULTO COMPACTA MR</t>
  </si>
  <si>
    <t>CARRO PORTA BULTO STANLEY 60 KG 3 RUEDAS FT580</t>
  </si>
  <si>
    <t>CARRO PORTA BULTO STANLEY 70 KG 1 RUEDA FT581</t>
  </si>
  <si>
    <t>CARTEL ADHESIVO 9x16</t>
  </si>
  <si>
    <t xml:space="preserve">CARTEL ALTO IMPACTO 14x30 </t>
  </si>
  <si>
    <t>CARTEL ALTO IMPACTO 22x28</t>
  </si>
  <si>
    <t>CARTEL ALTO IMPACTO 30x40</t>
  </si>
  <si>
    <t>CARTEL ALTO IMPACTO 40x45</t>
  </si>
  <si>
    <t>CARTEL FLECHA CUADRADO</t>
  </si>
  <si>
    <t>CARTEL PLAST.CORRUGADO 50x70</t>
  </si>
  <si>
    <t>CARTEL SALIDA 14x41</t>
  </si>
  <si>
    <t>CARTEL SALIDA LUMINOSO GAMASONIC</t>
  </si>
  <si>
    <t>CATALANAS</t>
  </si>
  <si>
    <t>CATALANAS ESLINGAR</t>
  </si>
  <si>
    <t>CEPILLO ACERO P/AMOLADORA 115 COPA KLD066</t>
  </si>
  <si>
    <t>CEPILLO ACERO P/AMOLADORA 100 HAMILTON BPR100</t>
  </si>
  <si>
    <t>CEPILLO ELECTRICO BOSCH GHO 16/82</t>
  </si>
  <si>
    <t>CEPILLO ELECTRICO SKIL 1555</t>
  </si>
  <si>
    <t>CEPILLO ELECTRICO SKIL 1570</t>
  </si>
  <si>
    <t>CHALECO REFLECTIVO NARANJA/VERDE</t>
  </si>
  <si>
    <t>CHOCLA SOLA S/TIZA CLK 30</t>
  </si>
  <si>
    <t>CHOCLA STANLEY 47440 SIN TIZA</t>
  </si>
  <si>
    <t>CHOCLA STANLEY 47442 C/TIZA</t>
  </si>
  <si>
    <t>CHOCLA TACTIX METALICA 258051</t>
  </si>
  <si>
    <t>CHOCLA TACTIX PLASTICA C/TIRALINEAS 258055</t>
  </si>
  <si>
    <t xml:space="preserve">CINTA METRICA ASSIST 10 MTS </t>
  </si>
  <si>
    <t xml:space="preserve">CINTA METRICA ASSIST 3 MTS </t>
  </si>
  <si>
    <t xml:space="preserve">CINTA METRICA ASSIST 5 MTS </t>
  </si>
  <si>
    <t>CINTA METRICA ASSIST 5 MTS ECO</t>
  </si>
  <si>
    <t xml:space="preserve">CINTA METRICA ASSIST 8 MTS </t>
  </si>
  <si>
    <t>CINTA METRICA STANLEY 5 MTS 30797</t>
  </si>
  <si>
    <t>CINTA METRICA STANLEY 8 MTS 30757</t>
  </si>
  <si>
    <t>CINTA PARA FRATACHAR 127 mm x Mt (5 TELAS BORDES PROTEGIDOS)</t>
  </si>
  <si>
    <t>CINTA PARA FRATACHAR 178 mm x Mt (5 TELAS BORDES PROTEGIDOS)</t>
  </si>
  <si>
    <t>CINTA REFLECTIVA x 18 MTS</t>
  </si>
  <si>
    <t>CINTURON DE SEG.C/COLA AMARRE SKY KIT002</t>
  </si>
  <si>
    <t>CINTURON DE SEG.C/COLA AMARRE SKY KIT003</t>
  </si>
  <si>
    <t>CINTURON PARA DURLERO SKIL</t>
  </si>
  <si>
    <t>CLAVO PUNTA PARIS 2" POR KILO</t>
  </si>
  <si>
    <t>CLAVO PUNTA PARIS 2 1/2" POR KILO</t>
  </si>
  <si>
    <t xml:space="preserve">COLA DE AMARRE 1,50 MTS CV21 </t>
  </si>
  <si>
    <t xml:space="preserve">COLA DE AMARRE 2 MTS CV1020 </t>
  </si>
  <si>
    <t>COLLAR PARA BALANCIN MR</t>
  </si>
  <si>
    <t>COMPRESOR SHIMURA 2,5 HP 100 LTS</t>
  </si>
  <si>
    <t>COMPRESOR SHIMURA 4 HP 200 LTS TRIFASICO</t>
  </si>
  <si>
    <t>CONO ABRAHAM INDHOR</t>
  </si>
  <si>
    <t>CONO VIAL 70 CM REFLECTIVO C/BASE CONOFLEX GABRIEL</t>
  </si>
  <si>
    <t>CONO VIAL 75 CM REFLECTIVO C/BASE GOMA</t>
  </si>
  <si>
    <t>CONO VIAL 1,10 CM REFLECTIVO C/BASE GOMA</t>
  </si>
  <si>
    <t>CORONA DE MANDO HORM.120 DLM</t>
  </si>
  <si>
    <t>CORONA DE MANDO HORM.160 DLM</t>
  </si>
  <si>
    <t>CORONA DE MANDO HORM.220 DLM</t>
  </si>
  <si>
    <t>CORONA DE MANDO HORM.320 DLM</t>
  </si>
  <si>
    <t>CORONA HORM. 130 LTS HELICOIDAL/RECTA CASEROS</t>
  </si>
  <si>
    <t>CORONA PLASTICA Hº FISCHER X TRAMO</t>
  </si>
  <si>
    <t>CORONAMIENTO C/PASTECA P/TORRE</t>
  </si>
  <si>
    <t>CORONAMIENTO PARA TORRE IORI</t>
  </si>
  <si>
    <t>CORREA JC A28</t>
  </si>
  <si>
    <t>CORREA JC A32</t>
  </si>
  <si>
    <t>CORREA JC A34</t>
  </si>
  <si>
    <t>CORREA JC A37</t>
  </si>
  <si>
    <t>CORREA JC A70</t>
  </si>
  <si>
    <t>CORREA JC B38</t>
  </si>
  <si>
    <t>CORREA JC B104</t>
  </si>
  <si>
    <t>CORREA JC C74</t>
  </si>
  <si>
    <t>CORTACIRCULO ZC 5141</t>
  </si>
  <si>
    <t>CORT. DE HIERRO H/12 MM 50/16 A PAL</t>
  </si>
  <si>
    <t>CORT. DE HIERRO H/16 MM 50/20 A PAL</t>
  </si>
  <si>
    <t>CORT. DE HIERRO H/20 MM 50/26 A PAL</t>
  </si>
  <si>
    <t>CORT. DE HIERRO H/25 MM 50/32 A PAL</t>
  </si>
  <si>
    <t>CORTADORA DE CERAMICA IRWIN 5617 75 CM</t>
  </si>
  <si>
    <t>CORTADORA DE CERAMICA IRWIN 9640 90 CM</t>
  </si>
  <si>
    <t>CORTADORA DE CERAMICA "RUBI" STAR 61N CAJA CARTON</t>
  </si>
  <si>
    <t>CORTADORA DE CERAMICA SKIL 50 CM</t>
  </si>
  <si>
    <t>CORTADORA DE CERAMICA SKIL 75 CM</t>
  </si>
  <si>
    <t>CORTADORA DE CERAMICA STANLEY 60 CM 71909</t>
  </si>
  <si>
    <t>CORTADORA DE MOSAICO/LADRILLO "MR" C/LLAVE</t>
  </si>
  <si>
    <t>CORTADORA ELECTRICA DE HIERRO</t>
  </si>
  <si>
    <t>CORTADORA ELECTRICA DE HIERRO MMQ MC40</t>
  </si>
  <si>
    <t>CORTAHIERRO FINO</t>
  </si>
  <si>
    <t>CRAYON MARCAFACIL POR 12 UNID VARIOS COLORES</t>
  </si>
  <si>
    <t>CUBIERTA Y CAMARA RUEDA CARRETILLA 350x8</t>
  </si>
  <si>
    <t>CUCHARA YESERO ESLINGAR</t>
  </si>
  <si>
    <t>CUCHARA YESERO MAQUIOBRAS</t>
  </si>
  <si>
    <t>CUCHARIN YESERO MAQUIOBRAS</t>
  </si>
  <si>
    <t>CUCHILLAS PARA CORTAD. 50/32 x UNIDAD</t>
  </si>
  <si>
    <t>CUCHILLA CP300 HAMILTON</t>
  </si>
  <si>
    <t>CUCHILLA CP360 HAMILTON</t>
  </si>
  <si>
    <t>CUERPO DE ANDAMIO 1.30 (2 mm) URAR</t>
  </si>
  <si>
    <t>CUTTER KLD 038</t>
  </si>
  <si>
    <t>CUTTER KLD 098</t>
  </si>
  <si>
    <t>DESCENSOR AUTOBLOQUEANTE PETZL</t>
  </si>
  <si>
    <t>DESCENSOR ESLINGAR TC006</t>
  </si>
  <si>
    <t>DESTORNILLADOR HAMILTON 6 PIEZAS DJ01</t>
  </si>
  <si>
    <t>DESTORNILLADOR HAMILTON 6 PIEZAS DE06 PRECISION</t>
  </si>
  <si>
    <t>DESTORNILLADOR IRIMO JUEGO 6 PIEZAS</t>
  </si>
  <si>
    <t>DESTORNILLADOR IRIMO PLANO 4155100</t>
  </si>
  <si>
    <t>DESTORNILLADOR IRIMO PLANO 4165150</t>
  </si>
  <si>
    <t>DESTORNILLADOR IRIMO PLANO 4180150</t>
  </si>
  <si>
    <t>DESTORNILLADOR IRIMO PHILIPS 4345100</t>
  </si>
  <si>
    <t>DESTORNILLADOR IRIMO PHILIPS 4360125</t>
  </si>
  <si>
    <t>DESTORNILLADOR BUSCAPOLO SICA</t>
  </si>
  <si>
    <t>DISCO BOSCH DIAMANTADO PARA MADERA 2608623012</t>
  </si>
  <si>
    <t>DISCO DEWALT 4,5" x 1,6 MM 44601</t>
  </si>
  <si>
    <t>DISCO TYROLIT 4 1/2" x 1,0 mm METAL 101-01-01-115100</t>
  </si>
  <si>
    <t>DISCO TYROLIT 4 1/2" x 1,6 mm METAL 101-01-01-115160</t>
  </si>
  <si>
    <t>DISCO TYROLIT 9" METAL SECURE EXTRA 101-01-01-230190</t>
  </si>
  <si>
    <t>DISCO TYROLIT 14" P/SENSITIVA 101-03-01-353225</t>
  </si>
  <si>
    <t>DOBLADORA A PALANCA KLEE 61/26</t>
  </si>
  <si>
    <t>DOBLADORA A PALANCA KLEE 66/12</t>
  </si>
  <si>
    <t>DOBLADORA HIERRO ELECTRICA NACIONAL</t>
  </si>
  <si>
    <t>EJE CON CHAVETA</t>
  </si>
  <si>
    <t>EJE DE MANIVELA 0810</t>
  </si>
  <si>
    <t>EJE PARA PIÑON HORMIGONERA 130 LTS</t>
  </si>
  <si>
    <t>EJE TAMBOR H 140 DM CON TUERCA</t>
  </si>
  <si>
    <t>EJE TAMBOR H 160 DM</t>
  </si>
  <si>
    <t>EJE TAMBOR H 220/320 DM</t>
  </si>
  <si>
    <t>ELECTRODOS CONAL 2,5 MM PARA ALUMINIO</t>
  </si>
  <si>
    <t>ENCINTADORA PARA MASILLA ZC 15302</t>
  </si>
  <si>
    <t>ENGRASADOR 1 KG NHN</t>
  </si>
  <si>
    <t>EQUIPO PARA PINTAR KONAN 800 W</t>
  </si>
  <si>
    <t>EQUIPO PARA PINTAR KONAN PROFESIONAL 650 W</t>
  </si>
  <si>
    <t>EQUIPO PARA PINTAR SHIMURA SHP-EP700</t>
  </si>
  <si>
    <t>ESCALERA ALUM.16 ESC.EXT.H/8,90 MTS 136 KG</t>
  </si>
  <si>
    <t>ESCALERA ALUM.EXT. 5,60 A H/9,80 MTS - ETERNA</t>
  </si>
  <si>
    <t>ESCALERA ALUM.EXT. 6,20 A H/11,00 MTS - ETERNA</t>
  </si>
  <si>
    <t>ESCALERA ARTICULADA 4 TRAMOS 4 ESCALONES ISARD</t>
  </si>
  <si>
    <t>ESCALERA DIELECTRICA 12 ESC.EXT.H/6,30 MTS 136 KG</t>
  </si>
  <si>
    <t>ESCALERA DIELECTRICA 12 ESC.EXT.H/7,30 MTS 136 KG</t>
  </si>
  <si>
    <t>ESCALERA MADERA 8 ESCALONES</t>
  </si>
  <si>
    <t>ESCALERA PINTOR DOBLE ACCESO 14 ESC. 136 KG</t>
  </si>
  <si>
    <t>ESCALERA PINTOR DOBLE ACCESO CON EXTENSION 12 ESCALONES</t>
  </si>
  <si>
    <t>ESCOBA DE PAJA</t>
  </si>
  <si>
    <t>ESCUADRA PARA REGLA REPLANTEO MR</t>
  </si>
  <si>
    <t>ESCUADRA SOLA SRC250</t>
  </si>
  <si>
    <t>ESCUADRA SOLA SRC300</t>
  </si>
  <si>
    <t>ESPATULA ZC ESQUINERA INTERIOR 5521</t>
  </si>
  <si>
    <t>ESPATULA ZC P/DURLERO 1 1/2" 5050</t>
  </si>
  <si>
    <t>ESPATULA ZC P/DURLERO 2" 5051</t>
  </si>
  <si>
    <t>ESPATULA ZC P/DURLERO 3" 5052</t>
  </si>
  <si>
    <t>ESPATULA ZC P/DURLERO 4" 5053</t>
  </si>
  <si>
    <t>ESPATULA ZC P/DURLERO FLEX 4" 5012</t>
  </si>
  <si>
    <t>ESPATULA ZC P/DURLERO FLEX 6" 5011</t>
  </si>
  <si>
    <t>ESPATULA ZC P/DURLERO PROF.10" 5001</t>
  </si>
  <si>
    <t>ESPATULA ZC P/DURLERO PROF.12" 5000</t>
  </si>
  <si>
    <t>ESPATULA ZC PROFESIONAL 2" 5066</t>
  </si>
  <si>
    <t>ESPIGA EXPANSIBLE MMQ</t>
  </si>
  <si>
    <t>ESTRIBERA ROSSANA DE 6 A 12</t>
  </si>
  <si>
    <t>ESTRIBERA DOBLADORA H/6 MM CORTRIFIL</t>
  </si>
  <si>
    <t>ESTRIBERA DOBLADORA H/10 MM CORTRIFIL</t>
  </si>
  <si>
    <t>ESTRIBERA DOBLADORA H/12 MM CORTRIFIL</t>
  </si>
  <si>
    <t>ESTRIBERA DOBLADORA H/16 MM CORTRIFIL</t>
  </si>
  <si>
    <t>ESTRUCTURA PARA GUINCHE 500 KG</t>
  </si>
  <si>
    <t>FERROCARRIL ANGOSTO</t>
  </si>
  <si>
    <t>FERROCARRIL ANGOSTO ESLINGAR</t>
  </si>
  <si>
    <t>FERROCARRIL BUÑA 1 CM</t>
  </si>
  <si>
    <t>FERROCARRIL BUÑA 1,5 CM</t>
  </si>
  <si>
    <t>FERROCARRIL BUÑA 2 CM</t>
  </si>
  <si>
    <t>FERROCARRIL BUÑA 3 CM</t>
  </si>
  <si>
    <t>FERROCARRIL BUÑA 4 CM</t>
  </si>
  <si>
    <t>FERROCARRIL BUÑA ESLINGAR</t>
  </si>
  <si>
    <t>FERROCARRIL COMUN</t>
  </si>
  <si>
    <t>FERROCARRIL COMUN ESLINGAR</t>
  </si>
  <si>
    <t>FERROCARRIL CORTO ESLINGAR</t>
  </si>
  <si>
    <t>FERROCARRIL GRANDE</t>
  </si>
  <si>
    <t>FERROCARRIL GRANDE ESLINGAR</t>
  </si>
  <si>
    <t>FICHA TRIFASICA HEMBRA 32 A KALOP</t>
  </si>
  <si>
    <t>FICHA TRIFASICA MACHO 16 A KALOP</t>
  </si>
  <si>
    <t>FILTRO DE AIRE PARA COMPRESOR</t>
  </si>
  <si>
    <t>FRATACHADORA VALPER 90 CM C/MOTOR HONDA 5,5 HP</t>
  </si>
  <si>
    <t>FRATACHO ART.ALUMINIO 120 CM MANGO EXT MARSHALTOWN</t>
  </si>
  <si>
    <t>FRATACHO DE PINO 12 X 25 CM CON FIELTRO</t>
  </si>
  <si>
    <t>FRICCION GUINCHE 350 KG SIN POLEA</t>
  </si>
  <si>
    <t>GANCHO DE ACERO C/TRABA P/PLUMA TGM</t>
  </si>
  <si>
    <t>GANCHO PARA CARRO 90 LTS MR</t>
  </si>
  <si>
    <t>GANCHO PARA PLUMA TGM CON CONTRAPESO</t>
  </si>
  <si>
    <t>GENERADOR GAMMA 2500 GE3460AR 2 KVA</t>
  </si>
  <si>
    <t>GENERADOR GAMMA 7500 ELITE GE3462AR 6,5 KVA</t>
  </si>
  <si>
    <t>GENERADOR HURRICANE MONOF. 3800 CL 3600W C/BATERIA</t>
  </si>
  <si>
    <r>
      <t>GENERADOR HURRICANE MONOF. LT 2500 CL 2000W</t>
    </r>
    <r>
      <rPr>
        <sz val="12"/>
        <color indexed="10"/>
        <rFont val="Arial"/>
        <family val="2"/>
      </rPr>
      <t xml:space="preserve"> (VER DÓLAR)</t>
    </r>
  </si>
  <si>
    <r>
      <t>GENERADOR HURRICANE MONOF. LT 6500 CLE 5500W C/BATERIA</t>
    </r>
    <r>
      <rPr>
        <sz val="12"/>
        <color indexed="10"/>
        <rFont val="Arial"/>
        <family val="2"/>
      </rPr>
      <t xml:space="preserve"> (VER DÓLAR)</t>
    </r>
  </si>
  <si>
    <r>
      <t>GENERADOR HURRICANE MONOF. LT 7500 CLE 6500W C/BATERIA</t>
    </r>
    <r>
      <rPr>
        <sz val="12"/>
        <color indexed="10"/>
        <rFont val="Arial"/>
        <family val="2"/>
      </rPr>
      <t xml:space="preserve"> (VER DÓLAR)</t>
    </r>
  </si>
  <si>
    <r>
      <t>GENERADOR HURRICANE MONOF. LT11000 C/BATERIA</t>
    </r>
    <r>
      <rPr>
        <sz val="12"/>
        <color indexed="10"/>
        <rFont val="Arial"/>
        <family val="2"/>
      </rPr>
      <t xml:space="preserve"> (VER DÓLAR)</t>
    </r>
  </si>
  <si>
    <r>
      <t xml:space="preserve">GENERADOR HURRICANE MONOF.LT950 / 650 W </t>
    </r>
    <r>
      <rPr>
        <sz val="12"/>
        <color indexed="10"/>
        <rFont val="Arial"/>
        <family val="2"/>
      </rPr>
      <t>(VER DÓLAR)</t>
    </r>
  </si>
  <si>
    <t>GENERADOR SHIMURA KGE3000TI 2,2 KW ARRANQUE MANUAL MONOFASICO</t>
  </si>
  <si>
    <t>GENERADOR SHIMURA KGE3500TIA 2,8 KW ARRANQUE ELECTRICO MONOFASICO</t>
  </si>
  <si>
    <t>GENERADOR SHIMURA KGE7500TIE 6,5 KW ARRANQUE ELECTRICO MONO</t>
  </si>
  <si>
    <t>GENERADOR ZC SC 8000</t>
  </si>
  <si>
    <t>GRASA DE LITIO / MULTIUSO POR 250 GRS</t>
  </si>
  <si>
    <t>GRASA GRAFITADA POR KG PENETRIT X 250 GR</t>
  </si>
  <si>
    <t>GRINFA 6 PESADA</t>
  </si>
  <si>
    <t>GRINFA 8 PESADA</t>
  </si>
  <si>
    <t>GRINFA 10 PESADA</t>
  </si>
  <si>
    <t>GRINFA 12 PESADA</t>
  </si>
  <si>
    <t>GRINFA 16 PESADA</t>
  </si>
  <si>
    <t>GRINFA 20 PESADA</t>
  </si>
  <si>
    <t>GRINFA 25 PESADA</t>
  </si>
  <si>
    <t>GUINCHE 350 KG A PALANCA C/LLAVE</t>
  </si>
  <si>
    <t>GUINCHE BETA SAM 300 C/TELECOMANDO</t>
  </si>
  <si>
    <t>GUINCHE CAIDA CONTROLADA 1000 KG EB C/100 MTS CABLE</t>
  </si>
  <si>
    <t>GUINCHE CAIDA CONTROLADA 1000 KG EB SIN CABLE</t>
  </si>
  <si>
    <t>GUINCHE CAIDA CONTROLADA 1250 KG C/120 MTS CABLE ACERO</t>
  </si>
  <si>
    <t>GUION 8 MM</t>
  </si>
  <si>
    <t>GUION 13 MM</t>
  </si>
  <si>
    <t>GUION 18 MM</t>
  </si>
  <si>
    <t>GUION 18 MM ESLINGAR</t>
  </si>
  <si>
    <t>GUION 25 MM</t>
  </si>
  <si>
    <t>GUION 30 MM</t>
  </si>
  <si>
    <t>GUION 40 MM</t>
  </si>
  <si>
    <t>GUION 50 MM</t>
  </si>
  <si>
    <t>GUION REDONDO</t>
  </si>
  <si>
    <t>GUSANO HELICOIDE 300MM POR 1 MT HELIX</t>
  </si>
  <si>
    <t>HACHITA YESERO MAQUIOBRAS</t>
  </si>
  <si>
    <t>HIDROLAVADORA BLACK &amp; DECKER 130 BAR PW 2100</t>
  </si>
  <si>
    <t>HOJA DE SIERRA BOSCH 7 1/4"x16 D 2608640845</t>
  </si>
  <si>
    <t>HOJA DE SIERRA BOSCH 7 1/4"x24 D 2608640846</t>
  </si>
  <si>
    <t>HOJA DE SIERRA BOSCH 7 1/4"x24 D ECO 2608644329</t>
  </si>
  <si>
    <t>HOJA DE SIERRA BOSCH 7 1/4"x40 D 2608640847</t>
  </si>
  <si>
    <t>HOJA DE SIERRA BOSCH 7 1/4"x40 D ECO 2608644330</t>
  </si>
  <si>
    <t>HOJA DE SIERRA BOSCH 9"x24 D 2608640885</t>
  </si>
  <si>
    <t>HOJA DE SIERRA BOSCH 9"x40 D 2608640886</t>
  </si>
  <si>
    <t>HOJA DE SIERRA BOSCH 9"x40 D ECO 2608644333</t>
  </si>
  <si>
    <t>HOJA DE SIERRA BOSCH 9"x60 D ECO 2608644334</t>
  </si>
  <si>
    <t>HOJA DE SIERRA BOSCH 10"x80 D MULTIMATERIAL 2608642201</t>
  </si>
  <si>
    <t>HOJA DE SIERRA BOSCH 12"x80 D MULTIMATERIAL 2608642208</t>
  </si>
  <si>
    <t>HOJA DE SIERRA BOSCH 14"x30 D 2608640930</t>
  </si>
  <si>
    <t>HOJA DE SIERRA BOSCH 14"x60 D 2608640931</t>
  </si>
  <si>
    <t>HOJA DE SIERRA DEWALT 7 1/4"x 24D 3178</t>
  </si>
  <si>
    <t>HOJA DE SIERRA DEWALT 7 1/4"x 36D 3176</t>
  </si>
  <si>
    <t>HOJA DE SIERRA DEWALT 9"x 24D 3131A</t>
  </si>
  <si>
    <t>HOJA DE SIERRA DEWALT 9"x 40D 3132A</t>
  </si>
  <si>
    <t>HOJA DE SIERRA MAKITA 7 1/4"x20 9634</t>
  </si>
  <si>
    <t>HOJA DE SIERRA MAKITA 7 1/4"x24 51340</t>
  </si>
  <si>
    <t>HOJA DE SIERRA MAKITA 7 1/4"x24 51138 BLISTER</t>
  </si>
  <si>
    <t>HOJA DE SIERRA MAKITA 7 1/4"x40 51356</t>
  </si>
  <si>
    <t>HOJA DE SIERRA MAKITA 9"x40 51378</t>
  </si>
  <si>
    <t>HOJA DE SIERRA MAKITA 9"x40 19152 BLISTER</t>
  </si>
  <si>
    <t>HORMIGONERA 140 LTS "DLM" C/MOTOR 1 HP</t>
  </si>
  <si>
    <t>HORMIGONERA 140 LTS "DPR" C/MOTOR (140 P MOTOR DAF)</t>
  </si>
  <si>
    <t>HORMIGONERA KONAN C/MOTOR DE 3/4 HP</t>
  </si>
  <si>
    <t>HORMIGONERA KONAN C/MOTOR DE 1 HP</t>
  </si>
  <si>
    <t xml:space="preserve">HORMIGONERA VOLTEO 160 LTS C/MOTOR 1 HP (200 CAPACIDAD 150 ELABORADO) </t>
  </si>
  <si>
    <t>INTERRUPTOR TERMICO 40 A MOELLER</t>
  </si>
  <si>
    <t>INTERRUPTOR VIBRADOR MMQ</t>
  </si>
  <si>
    <t>JUEGO ALICATES STANLEY S90163 2 PIEZAS</t>
  </si>
  <si>
    <t>JUEGO ALICATES STANLEY S91526 4 PIEZAS</t>
  </si>
  <si>
    <t>JUEGO AROS GX100</t>
  </si>
  <si>
    <t>JUEGO BOCALLAVES STANLEY 74086</t>
  </si>
  <si>
    <t>JUEGO BOCALLAVES 1/2" STANLEY 86504</t>
  </si>
  <si>
    <t>JUEGO CEPILLOS 6 PIEZAS</t>
  </si>
  <si>
    <t>JUEGO DE TUBOS 11 PIEZAS (11M2SSO3A51K)</t>
  </si>
  <si>
    <t>JUEGO DE TUBOS 12 PIEZAS (12Q4SSO3A51K)</t>
  </si>
  <si>
    <t>JUEGO 122 PUNTAS DESTORNILLADOR EXTRAPOL BIT-122</t>
  </si>
  <si>
    <t>JUEGO HERRAMIENTAS STANLEY 70760</t>
  </si>
  <si>
    <t>JUEGO HERRAMIENTAS STANLEY 70882</t>
  </si>
  <si>
    <t>JUEGO PLATILLOS TRABA HOJA MESA DE SIERRA MR</t>
  </si>
  <si>
    <t>KIT RLS BASE PARA PISO RAIMONDI</t>
  </si>
  <si>
    <t>LAMPARA CUARZO 150 W (PARA REFLECTOR)</t>
  </si>
  <si>
    <t>LAMPARA CUARZO 500 W (PARA REFLECTOR)</t>
  </si>
  <si>
    <t>LAMPARA HALOGENA CLARA 53 W (PARA PORTATIL)</t>
  </si>
  <si>
    <t>LAPIZ CERA SHARPIE</t>
  </si>
  <si>
    <t>LIJADORA ORBITAL SKIL 7351</t>
  </si>
  <si>
    <t>LLANA PLASTICA TARQUINI 12x25 MANGO NEGRO</t>
  </si>
  <si>
    <t>LLANA PLASTICA TARQUINI 12x30 MANGO NEGRO</t>
  </si>
  <si>
    <t>LLANA YESERO ESLINGAR</t>
  </si>
  <si>
    <t>LLANA YESERO MAQUIOBRAS</t>
  </si>
  <si>
    <t>LLANITA YESERO MAQUIOBRAS</t>
  </si>
  <si>
    <t xml:space="preserve">LLAVE AJUSTABLE CROSS 10" </t>
  </si>
  <si>
    <t>LLAVE AJUSTABLE STANLEY 6" 89045</t>
  </si>
  <si>
    <t>LLAVE AJUSTABLE STANLEY 8" 87046</t>
  </si>
  <si>
    <t>LLAVE AJUSTABLE STANLEY 10" 87047</t>
  </si>
  <si>
    <t>LLAVE AJUSTABLE STANLEY 12" 87048</t>
  </si>
  <si>
    <t>LLAVE CRIQUE 1/2" X 250 MM</t>
  </si>
  <si>
    <t>LLAVE CRIQUE 1/4" X 145 MM</t>
  </si>
  <si>
    <t>LLAVE PARA CAÑO HAMILTON LCS212</t>
  </si>
  <si>
    <t>LLAVE TERMICA 2x20 AMP</t>
  </si>
  <si>
    <t>LLAVE TERMICA 2x32 AMP</t>
  </si>
  <si>
    <t>LLAVE TERMICA 2x40 AMP SICA</t>
  </si>
  <si>
    <t>LLAVE TERMICA 3x40 AMP</t>
  </si>
  <si>
    <t>LLAVE TERMICA 4x20 AMP</t>
  </si>
  <si>
    <t>LLAVE TERMICA 4x32 AMP</t>
  </si>
  <si>
    <t>MALLA PREVENTIVA NARANJA LIVIANA 60 GR</t>
  </si>
  <si>
    <t>MALLA PREVENTIVA NARANJA PESADA 80 GR</t>
  </si>
  <si>
    <t>MANDRIL MAKITA 13 MM C/ADAPTADOR SDS PLUS 195429</t>
  </si>
  <si>
    <t xml:space="preserve">MANGUERA DE VIBRADOR FLEXI AF/2001 - 35 MM </t>
  </si>
  <si>
    <t xml:space="preserve">MANGUERA DE VIBRADOR FLEXI AF/2001 - 48 MM </t>
  </si>
  <si>
    <t xml:space="preserve">MANGUERA DE VIBRADOR FLEXI AF/94 - 35 MM </t>
  </si>
  <si>
    <t>MANGUERA FLEXIBLE PARA BOMBA 2" PLASTICA Y TELA (TECNOCOM)</t>
  </si>
  <si>
    <t>MANGUERA RIEGO 1/2" X 25 MTS INNEN FLEX</t>
  </si>
  <si>
    <t>MANGUERA RIEGO 1/2" X 25 MTS MORANO</t>
  </si>
  <si>
    <t>MANGUERA RIEGO 1" X 25 MTS MORANO</t>
  </si>
  <si>
    <t>MANGUERA RIEGO 1" X 25 MTS SOLYON</t>
  </si>
  <si>
    <t>MANIJA BALANCIN</t>
  </si>
  <si>
    <t>MANIJA BALANCIN COMPLETA C/RESORTE - GATILLO - EJE - TUERCA</t>
  </si>
  <si>
    <t>MANIJA CON BASE VIBRADOR FLEXI</t>
  </si>
  <si>
    <t>MANIJA TRABA MANGUERA VIBRADOR MMQ</t>
  </si>
  <si>
    <t>MARTILLO DEM. DEWALT 25899K 10 KG</t>
  </si>
  <si>
    <t>MARTILLO DEM. DEWALT 25901K 10 KG</t>
  </si>
  <si>
    <t>MARTILLO DEM. DEWALT 25960K 15 KG</t>
  </si>
  <si>
    <t>MARTILLO DEM. DEWALT 25980K 30 KG</t>
  </si>
  <si>
    <t>MARTILLO DEM. MAKITA HM 0870 C 5 KG</t>
  </si>
  <si>
    <t>MARTILLO DEM. MAKITA HM 1203 C 10 KG</t>
  </si>
  <si>
    <t>MARTILLO DEM. MAKITA HM 1214 C 12 KG</t>
  </si>
  <si>
    <t>MARTILLO DEM. MAKITA HM 1801 30 KG</t>
  </si>
  <si>
    <t>MARTILLO DEM. MAKITA HM 1802 30 KG</t>
  </si>
  <si>
    <t>MARTILLO DEM. MAKITA HM 1810 30 KG ANTIVIBRACION</t>
  </si>
  <si>
    <t>MARTILLO PERF. DEWALT 25133</t>
  </si>
  <si>
    <t>MARTILLO PERF. MAKITA HR 2470</t>
  </si>
  <si>
    <t>MARTILLO PERF. MAKITA HR 2470 X17</t>
  </si>
  <si>
    <t>MARTILLO PERF. MAKITA HR 2470 T C/MANDRIL</t>
  </si>
  <si>
    <t>MARTILLO PERF. MAKITA HR 2641</t>
  </si>
  <si>
    <t>MARTILLO PERF. MAKITA HR 4002</t>
  </si>
  <si>
    <t>MARTILLO PERF. SKIL 1559</t>
  </si>
  <si>
    <t>MARTILLO PERF. STANLEY 1250 W STHR1232K</t>
  </si>
  <si>
    <t>MARTILLO PERF. STANLEY 26 MM STEL506K</t>
  </si>
  <si>
    <t>MARTILLO PERF. STANLEY STEL503K</t>
  </si>
  <si>
    <t>MATACANTOS</t>
  </si>
  <si>
    <t xml:space="preserve">MATAFUEGO 1 KG ABC </t>
  </si>
  <si>
    <t>MATAFUEGO 5 KG ABC C/BALIZA Y GANCHO GEORGIA</t>
  </si>
  <si>
    <t>MATAFUEGO 10 KG ABC C/BALIZA Y GANCHO GRAMMA</t>
  </si>
  <si>
    <t>MATAFUEGO 10 KG ABC C/BALIZA Y GANCHO GEORGIA</t>
  </si>
  <si>
    <t>MAZA 5000 GRS BERCAR</t>
  </si>
  <si>
    <t>MAZA 5000 GRS VIRGA</t>
  </si>
  <si>
    <t xml:space="preserve">MAZA MANDO DM H120 ARMADA COMPLETA </t>
  </si>
  <si>
    <t xml:space="preserve">MAZA TAMBOR DM H140 ARMADA COMPLETA </t>
  </si>
  <si>
    <t xml:space="preserve">MAZA TAMBOR DM H160 ARMADA COMPLETA </t>
  </si>
  <si>
    <t xml:space="preserve">MAZA TAMBOR DM H220 / H320 ARMADA COMPLETA </t>
  </si>
  <si>
    <t>MECHA PALA 8X150 MAKITA 07680</t>
  </si>
  <si>
    <t>MECHA PALA 12X150 MAKITA 07705</t>
  </si>
  <si>
    <t>MECHA PALA 14X150 MAKITA 07711</t>
  </si>
  <si>
    <t>MECHA PALA 20X150 MAKITA 07755</t>
  </si>
  <si>
    <t>MECHA PALA 25X150 MAKITA 07783</t>
  </si>
  <si>
    <t>MEDIDOR DE ANGULOS SKIL 580</t>
  </si>
  <si>
    <t>MEDIDOR DE DISTANCIA LASER BOSCH GLM20</t>
  </si>
  <si>
    <t>MEDIDOR DE DISTANCIA LASER BOSCH GLM30</t>
  </si>
  <si>
    <t>MEDIDOR DE DISTANCIA LASER BOSCH GLM50</t>
  </si>
  <si>
    <t>MEDIDOR DE DISTANCIA LASER BOSCH GLM80</t>
  </si>
  <si>
    <t>MEDIDOR DE DISTANCIA LASER BOSCH GLM100 C</t>
  </si>
  <si>
    <t>MEDIDOR DE DISTANCIA LASER MAKITA MKTLD050</t>
  </si>
  <si>
    <t>MEDIDOR DE DISTANCIA LASER SOLA VECTOR 20</t>
  </si>
  <si>
    <t>MEDIDOR DE DISTANCIA LASER SOLA VECTOR 40</t>
  </si>
  <si>
    <t>MEDIDOR DE DISTANCIA LASER SOLA VECTOR 80</t>
  </si>
  <si>
    <t>MESA DE SIERRA P/MADERA CON LLAVE</t>
  </si>
  <si>
    <t>METRO MADERA DOBLE CUZCO</t>
  </si>
  <si>
    <t>METRO MADERA SIMPLE CUZCO</t>
  </si>
  <si>
    <t>CAMITS</t>
  </si>
  <si>
    <t>MEZCLADOR ELECTRICO KLDMX01</t>
  </si>
  <si>
    <t>MEZCLADOR PARA MASILLA 1606</t>
  </si>
  <si>
    <t>MEZCLADOR PARA MASILLA KSEIBI SDS PLUS 291920</t>
  </si>
  <si>
    <t>MEZCLADOR PARA MASILLA STANLEY 28042 CHICO</t>
  </si>
  <si>
    <t>MEZCLADOR PARA MASILLA STANLEY 28043 MEDIANO</t>
  </si>
  <si>
    <t>MEZCLADOR PARA MASILLA STANLEY 28044 GRANDE</t>
  </si>
  <si>
    <t>MICRO PULSADOR CORTE EMERGENCIA ROJO</t>
  </si>
  <si>
    <t>MOLDE CORDON RECTO SORRENTO (MEGAMAQ)</t>
  </si>
  <si>
    <t>MORSA PLANA 100 MM PROF KLD1710</t>
  </si>
  <si>
    <r>
      <t xml:space="preserve">MORSETA PARA ENCOFRADO 060 (PAJARITO) </t>
    </r>
    <r>
      <rPr>
        <sz val="12"/>
        <color indexed="10"/>
        <rFont val="Arial"/>
        <family val="2"/>
      </rPr>
      <t>(ANCLAJES)</t>
    </r>
  </si>
  <si>
    <r>
      <t xml:space="preserve">MORSETA PARA ENCOFRADO (PAJARITO) </t>
    </r>
    <r>
      <rPr>
        <sz val="12"/>
        <color indexed="10"/>
        <rFont val="Arial"/>
        <family val="2"/>
      </rPr>
      <t>(ANCLAJES CHINA)</t>
    </r>
  </si>
  <si>
    <t>MOSQUETON ACERO</t>
  </si>
  <si>
    <t>MOSQUETON ALUMINIO</t>
  </si>
  <si>
    <t>MOTOR CZERWENY 2 HP TRIF.RPM 1500</t>
  </si>
  <si>
    <t>MOTOR CZERWENY 2 HP TRIF.RPM 3000</t>
  </si>
  <si>
    <t>MOTOR CZERWENY 3 HP TRIF.RPM 1500</t>
  </si>
  <si>
    <t>MOTOR CZERWENY 3 HP TRIF. RPM 3000</t>
  </si>
  <si>
    <t>MOTOR CZERWENY 5.5 HP TRIF.RPM 1500</t>
  </si>
  <si>
    <t>MOTOR CZERWENY 7.5 HP TRIF.RPM 1500</t>
  </si>
  <si>
    <t>MOTOR CZERWENY 10 HP TRIF.RPM 1500</t>
  </si>
  <si>
    <r>
      <t xml:space="preserve">MOTOR DAF 3/4 HP MONOF. </t>
    </r>
    <r>
      <rPr>
        <sz val="12"/>
        <color indexed="10"/>
        <rFont val="Arial"/>
        <family val="2"/>
      </rPr>
      <t>(VER DÓLAR)</t>
    </r>
  </si>
  <si>
    <t>MOTOR DAF 2 HP MONOF. X 3000 RPM</t>
  </si>
  <si>
    <t>MOTOR DE BOMBEADOR 1 HP 1500 RPM (HASTA 70 MTS)</t>
  </si>
  <si>
    <t>MOTOR DE BOMBEADOR 3/4 HP 1500 RPM (HASTA 42 MTS)</t>
  </si>
  <si>
    <t>MOTOR EBERLE 5,5 HP TRIF 1500 RPM</t>
  </si>
  <si>
    <t>MOTOR HONDA 13 HP C/ARRANQUE ELECTRICO</t>
  </si>
  <si>
    <t>MOTOR HONDA 13 HP GX390</t>
  </si>
  <si>
    <t>MOTOR HONDA 5,5 HP GX160</t>
  </si>
  <si>
    <t>MOTOR MAYERLING 1 HP MONOF. 1500 rpm</t>
  </si>
  <si>
    <t>MOTOR MAYERLING 2 HP MONOF. 1500 rpm</t>
  </si>
  <si>
    <t>MOTOR MAYERLING 2 HP TRIF. 1500 rpm</t>
  </si>
  <si>
    <t>MOTOR MAYERLING 3 HP TRIF. 1500 rpm</t>
  </si>
  <si>
    <t>MOTOSIERRA B&amp;D 70021 - GGK45</t>
  </si>
  <si>
    <t>MULTI-BIT-BOX 122 PIEZAS</t>
  </si>
  <si>
    <t>MULTIHERRAMIENTA MAKITA TM3010C</t>
  </si>
  <si>
    <t>MUÑECO FRATACHO MANUAL</t>
  </si>
  <si>
    <t>MUÑECO P/MESA DE SIERRA MR</t>
  </si>
  <si>
    <t>NIVEL 100 CM EVEL</t>
  </si>
  <si>
    <t>NIVEL 45 CM EVEL</t>
  </si>
  <si>
    <t>NIVEL LASER BOSCH GLL 2-10</t>
  </si>
  <si>
    <t>NIVEL LASER BOSCH GCL 25</t>
  </si>
  <si>
    <t>NIVEL LASER BOSCH GLL 2-20 C/SOPORTE</t>
  </si>
  <si>
    <t>NIVEL LASER BOSCH GLL 2-50 C/SOPORTE Y MALETIN</t>
  </si>
  <si>
    <t>NIVEL LASER BOSCH GLL 2-80 C/TRIPODE BS 150</t>
  </si>
  <si>
    <t xml:space="preserve">NIVEL LASER BOSCH GLL 3-50 </t>
  </si>
  <si>
    <t>NIVEL LASER DEWALT DW0811</t>
  </si>
  <si>
    <t>NIVEL LASER DEWALT DW0822</t>
  </si>
  <si>
    <t>NIVEL LASER DEWALT DW088K</t>
  </si>
  <si>
    <t>NIVEL LASER DEWALT DW089K</t>
  </si>
  <si>
    <t>NIVEL LASER SKIL 511 CON SOPORTE</t>
  </si>
  <si>
    <t>NIVEL LASER STANLEY 77512</t>
  </si>
  <si>
    <t>NIVEL ALUMINIO SOLA 40 CM AV40</t>
  </si>
  <si>
    <t>NIVEL ALUMINIO SOLA 50 CM AV50</t>
  </si>
  <si>
    <t>NIVEL ALUMINIO SOLA 60 CM AV60</t>
  </si>
  <si>
    <t>NIVEL ALUMINIO SOLA 40 CM BIG X40</t>
  </si>
  <si>
    <t>NIVEL ALUMINIO SOLA 50 CM BIG X50</t>
  </si>
  <si>
    <t>NIVEL ALUMINIO SOLA 60 CM BIG X60</t>
  </si>
  <si>
    <t>NIVEL ALUMINIO SOLA 40 CM ELECTRICISTA</t>
  </si>
  <si>
    <t>NIVEL PLASTICO PH 22 CM SOLA</t>
  </si>
  <si>
    <t>NUDO FIJO CHAPA VACCA</t>
  </si>
  <si>
    <t>NUDO GIRATORIO CHAPA VACCA</t>
  </si>
  <si>
    <t>NUDO GIRATORIO URAR</t>
  </si>
  <si>
    <t>OCHO GRANDE ESLINGAR TC044</t>
  </si>
  <si>
    <t xml:space="preserve">PANTALON BOMBACHA OMBU </t>
  </si>
  <si>
    <t>PANTALON DE TRABAJO ECON.</t>
  </si>
  <si>
    <t>PANTALON DE TRABAJO ECON 56 EN ADELANTE</t>
  </si>
  <si>
    <t>PANTALON DE TRABAJO OMBU</t>
  </si>
  <si>
    <t>PANTALON DE TRABAJO TEXWORK CARGO</t>
  </si>
  <si>
    <t>PARTIDOR RUBI TS66 PLUS</t>
  </si>
  <si>
    <t>PASTECA MR P/GUINCHE 350 KL</t>
  </si>
  <si>
    <t>PASTECA MR P/GUINCHE 1200 KL</t>
  </si>
  <si>
    <t>PASTECA SIMPLE Y DOBLE P/SILLETA</t>
  </si>
  <si>
    <t>PERILLA ENCENDIDO MOTOR A EXPLOSION ROJO</t>
  </si>
  <si>
    <t>PICO PUNTA Y PALA CASILDENSE S/CABO 75 MM</t>
  </si>
  <si>
    <t>PICO PUNTA Y PALA CASILDENSE C/CABO 92 MM</t>
  </si>
  <si>
    <t>PINZA AMPEROMETRICA KLD1165</t>
  </si>
  <si>
    <t>PINZA DE FUERZA STANLEY 84369</t>
  </si>
  <si>
    <t>PINZA PICOLORO BAHCO 240 MM 224p240</t>
  </si>
  <si>
    <t>PINZA PICOLORO BAHCO 305 MM 225p300</t>
  </si>
  <si>
    <t>PINZA PICOLORO STANLEY 84015</t>
  </si>
  <si>
    <t>PIÑON DE MANDO PARA MOB 400</t>
  </si>
  <si>
    <t>PIÑON DE MANDO PARA MOB 400 CON EJE</t>
  </si>
  <si>
    <t>PIÑON DE VOLTEO PARA MOB 400</t>
  </si>
  <si>
    <t>PIÑON DE VOLTEO P/220 Y 320</t>
  </si>
  <si>
    <t>PIÑON Y EJE P/130 LTS RECTO 11 DIENTES</t>
  </si>
  <si>
    <t>PIÑON Y EJE P/140 LTS DLM</t>
  </si>
  <si>
    <t>PISTOLA DE CALOR STANLEY STXH2000</t>
  </si>
  <si>
    <t>PISTON CON BIELA MAKITA 1203C</t>
  </si>
  <si>
    <t>PLANCHUELA DOBLADORA H/20 MM</t>
  </si>
  <si>
    <t>PLANCHUELA DOBLADORA H/25 MM</t>
  </si>
  <si>
    <t>PLATAFORMA PARA TORRE POLO</t>
  </si>
  <si>
    <t>PLATO PARA MASILLA ZC 13"x13" 5031</t>
  </si>
  <si>
    <t>PLATO VIBRADOR MMQ</t>
  </si>
  <si>
    <t>PLUMA PREME 300 KG</t>
  </si>
  <si>
    <t>PLUMA WISKEHRS 500 KG GM500</t>
  </si>
  <si>
    <t xml:space="preserve">PLUMA WISKEHRS 750 KG </t>
  </si>
  <si>
    <t>POLEA "A" DIAMETRO 50 (DM) P/HORM.140 FUNDICION</t>
  </si>
  <si>
    <t>POLEA "B" DIAMETRO 70 (DM) P/HORM.160</t>
  </si>
  <si>
    <t>POLEA "B" DIAMETRO 80 (DM) P/HORM.220 y 320</t>
  </si>
  <si>
    <t>POLEA "C" DIAMETRO 80 (DM) P/HORM.220 y 320</t>
  </si>
  <si>
    <t>POLEA "B" DIAMETRO 70 DOBLE CANAL</t>
  </si>
  <si>
    <t>POLIETILENO 3,00 X 50 MTS x 200 MICRONES</t>
  </si>
  <si>
    <t>PORTACHOCLA CUERO</t>
  </si>
  <si>
    <t>PORTAHERRAMIENTAS CLAVERA CUERO YACARE (CONJUNTO 4 PIEZAS)</t>
  </si>
  <si>
    <t>PORTAHERRAMIENTAS NOTRICA</t>
  </si>
  <si>
    <t>PORTAHERRAMIENTA DEWALT 25899 10 KG</t>
  </si>
  <si>
    <t>PRENSACABLE 1/4 6 mm</t>
  </si>
  <si>
    <t>PRENSACABLE 3/8 10 mm</t>
  </si>
  <si>
    <t>PRENSACABLE 1/2 12 mm</t>
  </si>
  <si>
    <t>PROTECTOR AUDITIVO COPA</t>
  </si>
  <si>
    <t>PROTECTOR DE TENSION 1500 W</t>
  </si>
  <si>
    <t>PROTECTOR DE TENSION 2500 W</t>
  </si>
  <si>
    <t>PROTECTOR FACIAL CON ARNES A CREMALLERA</t>
  </si>
  <si>
    <t>PULIDORA LIJADORA STANLEY 7" STGP1318K</t>
  </si>
  <si>
    <t>PUNTA CABEZA ANCHA</t>
  </si>
  <si>
    <t>PUNTA DE CORTE 200MM CON WIDIA HELIX</t>
  </si>
  <si>
    <t>PUNTA DE CORTE 300MM CON WIDIA HELIX</t>
  </si>
  <si>
    <t>PUNTA DH650 x 400 MM</t>
  </si>
  <si>
    <t>PUNTA HEXAG. 21 PARA MARTILLO GAMMA</t>
  </si>
  <si>
    <t>PUNTA ROTOR BOSCH 11316</t>
  </si>
  <si>
    <t>PUNTA SDS-MAX 460 MM KLD411</t>
  </si>
  <si>
    <t>RASPA CHICA 45 CM</t>
  </si>
  <si>
    <t>RASPA CON MANGO ESLINGAR</t>
  </si>
  <si>
    <t>RASPA GRANDE 60 CM</t>
  </si>
  <si>
    <t>RASPA GRANDE ESLINGAR</t>
  </si>
  <si>
    <t>RASPINES 15 CM ESLINGAR</t>
  </si>
  <si>
    <t>RASPINES 20 CM ESLINGAR</t>
  </si>
  <si>
    <t>RASPINES 25 CM ESLINGAR</t>
  </si>
  <si>
    <t>RECARGA MATAFUEGO ABC 10 KG</t>
  </si>
  <si>
    <t>RECARGA MATAFUEGO ABC 5 KG</t>
  </si>
  <si>
    <t>RECARGA POLVO ABC MATAFUEGO POR KG</t>
  </si>
  <si>
    <t>REGLA DE ALUMINIO 1,5 MTS 2"X1"</t>
  </si>
  <si>
    <t>REGLA DE REPLANTEO MR</t>
  </si>
  <si>
    <t>REGLA ALUMINIO SOLA LSS300</t>
  </si>
  <si>
    <t xml:space="preserve">REGLA VIBRADORA C/MOTOR HONDA </t>
  </si>
  <si>
    <t>REGLA VIBRADORA C/MOTOR HONDA 1,5 HP (MASALTA + PERFIL 3 MTS)</t>
  </si>
  <si>
    <t>REGLA VIBRADORA C/MOTOR HONDA C/GALIBUR</t>
  </si>
  <si>
    <t>REMERA TEXWORK</t>
  </si>
  <si>
    <t>REPOSICION BOTIQUIN ERAM</t>
  </si>
  <si>
    <t>REPUESTO TIZA CHOCLA DEWALT DWHT47048 (FERRITE)</t>
  </si>
  <si>
    <t>RESORTE PARA BALANCIN MR</t>
  </si>
  <si>
    <t>RETRACTIL PISON COMPLETO</t>
  </si>
  <si>
    <t>RETRACTIL LT390 MACROMAQ</t>
  </si>
  <si>
    <t>RODAMIENTO 30208 J2/Q</t>
  </si>
  <si>
    <t>RODAMIENTO 30209 J2/Q HCH</t>
  </si>
  <si>
    <t>RODAMIENTO 607</t>
  </si>
  <si>
    <t xml:space="preserve">RODAMIENTO 608 </t>
  </si>
  <si>
    <t xml:space="preserve">RODAMIENTO 6000 </t>
  </si>
  <si>
    <t>RODAMIENTO 6001 2RSH SKF</t>
  </si>
  <si>
    <t>RODAMIENTO 6002</t>
  </si>
  <si>
    <t>RODAMIENTO 6007 2RS ZNL JORGE</t>
  </si>
  <si>
    <t>RODAMIENTO 6204 2RSC3 ARB</t>
  </si>
  <si>
    <t>RODAMIENTO 6204 SKF</t>
  </si>
  <si>
    <t>RODAMIENTO 6205</t>
  </si>
  <si>
    <t xml:space="preserve">RODAMIENTO 6206 (PARA EJE 320 DALMASO) </t>
  </si>
  <si>
    <t>RODAMIENTO 6207 2RS1</t>
  </si>
  <si>
    <t>RODAMIENTO 6303 2RSH/GJN</t>
  </si>
  <si>
    <t>RODAMIENTO 6305 2RS1</t>
  </si>
  <si>
    <t>RODAMIENTO DOBLE 15x35x14</t>
  </si>
  <si>
    <t>RODEL DE CORTE</t>
  </si>
  <si>
    <t>RODEL SIMIL RUBI ZC 6 MM</t>
  </si>
  <si>
    <t>RODEL SIMIL RUBI ZC 8 MM</t>
  </si>
  <si>
    <t>RODEL SIMIL RUBI ZC 10 MM</t>
  </si>
  <si>
    <t>RODILLERA TACTIX GEL TX482001</t>
  </si>
  <si>
    <t>ROLDANA P/GUINCHE 350 KG C/EJE Y RULEMANES</t>
  </si>
  <si>
    <t>ROLDANA P/GUINCHE 1200 KG C/EJE Y RULEMANES</t>
  </si>
  <si>
    <t>ROTOR AMOLADORA DEWALT 28490/28491</t>
  </si>
  <si>
    <t>ROTOR AMOLADORA DEWALT 4557/4559</t>
  </si>
  <si>
    <t>ROTOR MARTILLO PERF. BOSCH GBH 2-24 ORIGINAL 1614010276</t>
  </si>
  <si>
    <t>ROTOR MARTILLO PERF. BOSCH GBH 2-26 DRE</t>
  </si>
  <si>
    <t>ROTOR MARTILLO PERF. SKIL 1859 F000605240</t>
  </si>
  <si>
    <t>ROTOR MARTILLO BOSCH GSH 5 ORIGINAL 1619P07761</t>
  </si>
  <si>
    <t>ROTOR MARTILLO BOSCH GSH 5 CE ORIGINAL 1614011098</t>
  </si>
  <si>
    <t xml:space="preserve">ROTOR MARTILLO BOSCH 10 KG VC ORIGINAL 11336 1614011120 </t>
  </si>
  <si>
    <t>ROTOR MARTILLO DEWALT 10 KG ORIGINAL 25899</t>
  </si>
  <si>
    <t>ROTOR MARTILLO MAKITA 0810 5 KG</t>
  </si>
  <si>
    <t>ROTOR VIBRADOR BOSCH GVC 22 EX F000605241</t>
  </si>
  <si>
    <t>RUEDA ANDAMIO CHAPA GIRATORIA 160 HOFER (4845)</t>
  </si>
  <si>
    <t>RUEDA ANDAMIO fundicion GIRATORIA 150 HOFER (4847) CHINA FRENO ADELANTE</t>
  </si>
  <si>
    <t>RUEDA BALANCIN CON BUJE Y BULON MR</t>
  </si>
  <si>
    <t>RUEDA COMPACTA (19 CARRO - 25 HORMIGONERA)</t>
  </si>
  <si>
    <t>RUEDA COMPACTA MR</t>
  </si>
  <si>
    <t>RUEDA HIERRO HORMIGONERA DM</t>
  </si>
  <si>
    <t>RUEDA HORMIGONERA MOB 400</t>
  </si>
  <si>
    <t>RUEDA MACIZA P/HORMIGONERA</t>
  </si>
  <si>
    <t>RUEDA NEUMATICA "OLIV" CHAPA 400 ND4008C</t>
  </si>
  <si>
    <t>RUEDA NEUMATICA "OLIV" PLASTICO P/CARRETILLA RO-911</t>
  </si>
  <si>
    <t>RUEDA NEUMATICA CHAPA HOFER 350 MM (1925)</t>
  </si>
  <si>
    <t>RUEDA NEUMATICA CHAPA HOFER 380 MM (1926)</t>
  </si>
  <si>
    <t>RUEDA NEUMATICA CHAPA HOFER 400 MM (1927)</t>
  </si>
  <si>
    <t>RUEDA NEUMATICA CHAPA HOFER 400 MM (1928)</t>
  </si>
  <si>
    <t>RUEDA NEUMATICA CHAPA POLO</t>
  </si>
  <si>
    <t>RUEDA NEUMATICA PLASTICO POLO</t>
  </si>
  <si>
    <t>RUEDA RAYOS-GOMA</t>
  </si>
  <si>
    <t>RUEDA TRASERA AS12</t>
  </si>
  <si>
    <t>SALVACAIDAS CARAN T4 P/SOGA 14 mm</t>
  </si>
  <si>
    <t>SALVACAIDAS ESLINGAR T4 P/SOGA 14 mm WXES414</t>
  </si>
  <si>
    <t>SALVACAIDAS URBAN T4 P/SOGA 14 mm</t>
  </si>
  <si>
    <t>SARGENTO 40 CM</t>
  </si>
  <si>
    <t>SARGENTO 60 CM</t>
  </si>
  <si>
    <t>SARGENTO 80 CM</t>
  </si>
  <si>
    <t>SARGENTO 150 CM</t>
  </si>
  <si>
    <t>SCRAPER METALICO PROFESIONAL 3070</t>
  </si>
  <si>
    <t>SENSITIVA DEWALT DW 28720</t>
  </si>
  <si>
    <t>SENSITIVA SKIL 3710 JB</t>
  </si>
  <si>
    <t>SEPARADOR 6/12 x 5000 (3 - 4,2 - 6) reiner</t>
  </si>
  <si>
    <t>SEPARADOR 8/30 x 750 reiner</t>
  </si>
  <si>
    <t>SEPARADOR 8/35 x 500 (8 - 10) reiner</t>
  </si>
  <si>
    <t>SEPARADOR 8/40 x 500 (8 - 10) reiner</t>
  </si>
  <si>
    <t>SEPARADOR 10/50 x 250 reiner</t>
  </si>
  <si>
    <t>SEPARADOR 12/20 x 1500 reiner</t>
  </si>
  <si>
    <t>SEPARADOR ANGULO S/ALA 25x45 ML ANG-25 reiner</t>
  </si>
  <si>
    <t>SEPARADOR CRUZ CERAMICA 1,5 MM x 300 U</t>
  </si>
  <si>
    <t>SEPARADOR CRUZ CERAMICA 2 MM x 300 U</t>
  </si>
  <si>
    <t>SEPARADOR CRUZ CERAMICA 3 MM x 150 U</t>
  </si>
  <si>
    <t>SEPARADOR ST/15 x 1500 U (6 / 20) reiner</t>
  </si>
  <si>
    <t>SEPARADOR ST/25 x 1500 U (6 / 20) reiner</t>
  </si>
  <si>
    <t>SEPARADOR ST/50 x 500 U reiner</t>
  </si>
  <si>
    <t>SERRUCHO BAHCO 22" PRIZECUT NP22U78HP</t>
  </si>
  <si>
    <t>SERRUCHO BAHCO 22" PROFCUT GT 7 TEETH/8 POINTS - PC22GT7</t>
  </si>
  <si>
    <t>SERRUCHO BAHCO 22" PROFCUT GT 9 TEETH/10 POINTS - PC22GT9</t>
  </si>
  <si>
    <t>SERRUCHO BAHCO 24" PROFCUT PC24FILEU7</t>
  </si>
  <si>
    <t>SERRUCHO STANLEY 20 LUCTADOR 15471</t>
  </si>
  <si>
    <t>SERRUCHO STANLEY 20 PROFESIONAL 15559</t>
  </si>
  <si>
    <t>SERRUCHO STANLEY 22 HEAVY 20088</t>
  </si>
  <si>
    <t>SERRUCHO STANLEY 22 LUCTADOR 15472</t>
  </si>
  <si>
    <t>SERRUCHO STANLEY 22 PROFESIONAL 15560</t>
  </si>
  <si>
    <t>SERRUCHO STANLEY 24 LUCTADOR 15473</t>
  </si>
  <si>
    <t>SERRUCHO STANLEY 24 PROFESIONAL 15561</t>
  </si>
  <si>
    <t>SIERRA CALADORA DEWALT DW331K</t>
  </si>
  <si>
    <t>SIERRA CALADORA SKIL 4751</t>
  </si>
  <si>
    <t>SIERRA CIRCULAR BOSCH GDC 14-40 D</t>
  </si>
  <si>
    <t>SIERRA CIRCULAR MAKITA 7 1/4" 5007 NK 1800 W</t>
  </si>
  <si>
    <t>SIERRA CIRCULAR MAKITA 7 1/4" 5007 NKX 1800 W</t>
  </si>
  <si>
    <t>SIERRA CIRCULAR MAKITA 7 1/4" 7600K 1200 W</t>
  </si>
  <si>
    <t>SIERRA CIRCULAR STANLEY 7 1/4" 1700 W STSC1718B</t>
  </si>
  <si>
    <t>SIERRA DE BANCO STANLEY STST1825</t>
  </si>
  <si>
    <t>SOGA 8 MM X MT POLIP.</t>
  </si>
  <si>
    <t>SOGA 12 MM X MT POLIP.</t>
  </si>
  <si>
    <t>SOGA 14 MM X MT POLIP.</t>
  </si>
  <si>
    <t>SOGA 16 MM X MT POLIP.</t>
  </si>
  <si>
    <t>SOGA 18 MM X MT POLIP.</t>
  </si>
  <si>
    <t>SOGA 20 MM X MT POLIP.</t>
  </si>
  <si>
    <t>SOLDADORA VEROLL MONOBIF. 350 AMP</t>
  </si>
  <si>
    <t>KAGEN</t>
  </si>
  <si>
    <t>TABLON DE CHAPA 2.50 MTS GALVANIZADO PERFORADO</t>
  </si>
  <si>
    <t>TABLON DE CHAPA 2.50 MTS PERFORADO</t>
  </si>
  <si>
    <t xml:space="preserve">TALADRO BOSCH GSB 20-2 RE </t>
  </si>
  <si>
    <t>TALADRO DEWALT DW508SK 700 W</t>
  </si>
  <si>
    <t>TALADRO DEWALT DWD024</t>
  </si>
  <si>
    <t>TALADRO DEWALT DWE1655MT</t>
  </si>
  <si>
    <t>TALADRO MAKITA HP2070 13 MM 1010 W</t>
  </si>
  <si>
    <t xml:space="preserve">TALOCHA </t>
  </si>
  <si>
    <t>TALOCHA / TALOCHIN ESLINGAR</t>
  </si>
  <si>
    <t>TALOCHINES</t>
  </si>
  <si>
    <t>TAMBOR 140 LTS CON PALETAS DM</t>
  </si>
  <si>
    <t>TAMBOR 320 LTS DLM C/PALETAS</t>
  </si>
  <si>
    <t>TANQUE DE NAFTA DE FRATACHADORA</t>
  </si>
  <si>
    <t>TANQUE DE NAFTA DE GENERADOR GAMMA 6500</t>
  </si>
  <si>
    <t>TAPON OBTURADOR POR 1000 U reiner</t>
  </si>
  <si>
    <t>TAPONES PARA OIDOS</t>
  </si>
  <si>
    <t xml:space="preserve">TENAZA 3 PUNTOS 30 CM 1/2 CORTE </t>
  </si>
  <si>
    <t>TENAZA 3 PUNTOS 30 CM CORTE ENTERO</t>
  </si>
  <si>
    <t xml:space="preserve">TENAZA 3 PUNTOS 35 CM 1/2 CORTE </t>
  </si>
  <si>
    <t>TENAZA 3 PUNTOS 35 CM CORTE ENTERO</t>
  </si>
  <si>
    <t>TENAZA CORTRIFIL 350 MM C/ENT.</t>
  </si>
  <si>
    <t>TENAZA HAMILTON 30 CM MEDIO CORTE TAM120</t>
  </si>
  <si>
    <t>TENSOR ELASTICO CON GANCHOS</t>
  </si>
  <si>
    <t>TENSOR PARA CABLE DE ACERO 1/2"</t>
  </si>
  <si>
    <t>TENSOR PARA MORSETA ENCOFRADO "060" PESADO</t>
  </si>
  <si>
    <t>TENSOR PARA MORSETA ENCOFRADO LIVIANO (ANCLAJES)</t>
  </si>
  <si>
    <t>TERMINAL COBRE SOLDADORA</t>
  </si>
  <si>
    <t>TERMO COLEMAN 700 ML</t>
  </si>
  <si>
    <t>TERMO STANLEY 1 LT 348973 - AZUL</t>
  </si>
  <si>
    <t>TERMO STANLEY 1 LT 615937</t>
  </si>
  <si>
    <t>TERMO GROWLER STANLEY 2 LTS</t>
  </si>
  <si>
    <t>TERMOFUSORA 1500 W STANLEY C/6 BOQUILLAS Y CORTADORA CAÑO SXH1530</t>
  </si>
  <si>
    <t>TERRAJA GAS 2 1/4" A 4"</t>
  </si>
  <si>
    <t>TERRAJAS 1 1/4" - 1 1/2" - 2" PROFESIONAL</t>
  </si>
  <si>
    <t>TIJERA AVIACION STANLEY 14563</t>
  </si>
  <si>
    <t>TIJERA AVIACION RECTA TACTIX 250 273011</t>
  </si>
  <si>
    <t>TIJERA CORTAPERNO 600 MM HAMILTON CP240</t>
  </si>
  <si>
    <t>TIJERA CORTAPERNO 900 MM CROSS</t>
  </si>
  <si>
    <t>TIJERA CORTAPERNO 900 MM HAMILTON CP360</t>
  </si>
  <si>
    <t>TIZA EN BARRA CAJA x 144</t>
  </si>
  <si>
    <t>TIZA EN BARRA x UNIDAD</t>
  </si>
  <si>
    <t>TRABA PUNTA BOSCH 30 KG 11304</t>
  </si>
  <si>
    <t>TRAVESAÑO "MR" P/350 KG.</t>
  </si>
  <si>
    <t>TRAVESAÑO "MR" P/1200 KG.</t>
  </si>
  <si>
    <t>TUBO DE DESCARGA KAIKEN</t>
  </si>
  <si>
    <t>TUBO ENTREPISO KAIKEN</t>
  </si>
  <si>
    <t>TUERCA FIJA PARA VARILLA DWIDAG 3 ALAS NACIONAL DIN090</t>
  </si>
  <si>
    <t>TUERCA PARA ANDAMIO</t>
  </si>
  <si>
    <t>UNION MANGUERA 1/2"</t>
  </si>
  <si>
    <t>UNION MANGUERA 3/4"</t>
  </si>
  <si>
    <t>VARILLA DWIDAG x 1 METRO ANCLAJES</t>
  </si>
  <si>
    <t>VARILLA DWIDAG x 1 METRO MACRO (NEGRA)</t>
  </si>
  <si>
    <t>VIDRIOS PARA MASCARA DE SOLDAR (TRANSP Y OSCURO</t>
  </si>
  <si>
    <t xml:space="preserve">VIGA H20 1,80 MTS AUSTRIA </t>
  </si>
  <si>
    <t xml:space="preserve">VIGA H20 2,10 MTS AUSTRIA </t>
  </si>
  <si>
    <t xml:space="preserve">VIGA H20 2,60 MTS AUSTRIA </t>
  </si>
  <si>
    <t>VIGA H20 2,90 MTS VACCA</t>
  </si>
  <si>
    <t>VIGA H20 3,10 MTS VACCA</t>
  </si>
  <si>
    <t xml:space="preserve">VIGA H20 2,90 MTS AUSTRIA </t>
  </si>
  <si>
    <t xml:space="preserve">VIGA H20 3,30 MTS AUSTRIA </t>
  </si>
  <si>
    <t>VIGA H20 3,90 MTS VACCA</t>
  </si>
  <si>
    <t xml:space="preserve">VIGA H20 4,90 MTS AUSTRIA </t>
  </si>
  <si>
    <t>VIGA H20 MTS KAUFMANN</t>
  </si>
  <si>
    <t>VIRUTA GRUESA</t>
  </si>
  <si>
    <t>VOLANTE DLM 240 MM P/HORMIGONERA 140 LTS ALUMINIO</t>
  </si>
  <si>
    <t>VOLANTE DLM 240 MM P/HORMIGONERA 140 LTS FUNDICION</t>
  </si>
  <si>
    <t>VOLANTE DPR 230 MM P/HORMIGONERA 130 LTS</t>
  </si>
  <si>
    <t>ZAPATILLA FUNCIONAL CROSS</t>
  </si>
  <si>
    <t>ZAPATILLA FUNCIONAL LANDER</t>
  </si>
  <si>
    <t>ZAPATILLA OMBU KRYPTON C/PUNTERA</t>
  </si>
  <si>
    <t>ZAPATO OMBU OZONO C/PUNTERA</t>
  </si>
  <si>
    <t>ZAPATO OMBU OZONO S/PUNTERA</t>
  </si>
  <si>
    <t>VANINA DISTRIBUIDORES@UINIROLL.COM.AR</t>
  </si>
  <si>
    <t>LISTA PRECIOS EINHELL</t>
  </si>
  <si>
    <t>DÓLAR</t>
  </si>
  <si>
    <t>VENTA S/IVA</t>
  </si>
  <si>
    <t>COSTO</t>
  </si>
  <si>
    <t>HIDROLAVADORA 110 BAR TC-HP1538</t>
  </si>
  <si>
    <t>LIJADORA INALAMBRICA TE-OS 18 LI</t>
  </si>
  <si>
    <t>LISTA PRECIOS UMI</t>
  </si>
  <si>
    <t>AMOLADORA 4 1/2" 850 W HU002</t>
  </si>
  <si>
    <t>AMOLADORA 7" 2200 W HU003</t>
  </si>
  <si>
    <t>AMOLADORA 9" 2200 W HU004</t>
  </si>
  <si>
    <t>MARTILLO DEMOLEDOR 1200 W HU018</t>
  </si>
  <si>
    <t>MARTILLO DEMOLEDOR 1500 W HU020</t>
  </si>
  <si>
    <t>MARTILLO ELECTRONEUMATICO 720 W HU015</t>
  </si>
  <si>
    <t>MARTILLO ELECTRONEUMATICO 1250 W HU019</t>
  </si>
  <si>
    <t>TALADRO PERCUTOR 550 W CAJA CARTON HU021</t>
  </si>
  <si>
    <t>TALADRO PERCUTOR 550 W MALETIN HU022</t>
  </si>
  <si>
    <t>SOPLETE MEMBRANA CORTO R2500</t>
  </si>
  <si>
    <t>SOPLETE MEMBRANA LARGO R2500</t>
  </si>
  <si>
    <t>ROTOR SIERRA CIRCULAR BOSCH GKS 67 ORIGINAL 1619P10350</t>
  </si>
  <si>
    <t>ROTOR AMOLADORA BOSCH 22-230 F000605225</t>
  </si>
  <si>
    <t>CARBONES PARA ROTOPERCUTOR SKIL 1859 F000611108</t>
  </si>
  <si>
    <t>ROTOR MARTILLO BOSCH 30 KG ORIGINAL 1614011091</t>
  </si>
  <si>
    <t>ZORRA HIDRAULICA 2 TN M.P. 55X1150</t>
  </si>
  <si>
    <t>CINTA AGRIMENSOR 30 MTS TELA</t>
  </si>
  <si>
    <t>CINTA AGRIMENSOR 50 MTS TELA</t>
  </si>
  <si>
    <t>CINTA AGRIMENSOR 100 MTS TELA</t>
  </si>
  <si>
    <t>AROS MOTOR HONDA GX100</t>
  </si>
  <si>
    <t>AROS MOTOR HONDA GX390</t>
  </si>
  <si>
    <t>EMBRAGUE PISON</t>
  </si>
  <si>
    <t>INTERRUPTOR BOTONERA APAREJO GAMMA</t>
  </si>
  <si>
    <t>AMOLADORA MAKITA 5" 9558NBG 840 W</t>
  </si>
  <si>
    <t>CAJA PLASTICA 165x165x81</t>
  </si>
  <si>
    <t>CINTA METRICA STANLEY AA TRUCHA 7,5 MTS</t>
  </si>
  <si>
    <t xml:space="preserve">CINTA METRICA STANLEY AA TRUCHA 5 MTS </t>
  </si>
  <si>
    <t>RODAMIENTO 6001</t>
  </si>
  <si>
    <t>RODAMIENTO 6003</t>
  </si>
  <si>
    <t xml:space="preserve">RODAMIENTO 6202 </t>
  </si>
  <si>
    <t>ROTOR MARTILLO BOSCH 30 KG ORIGINAL 1614011139</t>
  </si>
  <si>
    <t>ARO RECUPERADOR DE ACEITE 11316 3613344500 (BUJE)</t>
  </si>
  <si>
    <t>SOGA 4 MM X MT POLIESTER PARA RETRACTIL</t>
  </si>
  <si>
    <t>SOGA 5 MM X MT POLIESTER PARA RETRACTIL</t>
  </si>
  <si>
    <t>LLAVE PARA CAÑO TOTAL 1"</t>
  </si>
  <si>
    <t>ACOPLE HEMBRA MOTOR VIBRADOR FLEXI</t>
  </si>
  <si>
    <t>TUERCA FIJA PARA VARILLA DWIDAG 2 ALAS EASTMAN (ANCLAJES)</t>
  </si>
  <si>
    <t>TUERCA FIJA PARA VARILLA DWIDAG 3 ALAS CHINA (ANCLAJE)</t>
  </si>
  <si>
    <t>SOPLETE MEMBRANA CORTO R2500 CON VALVULA</t>
  </si>
  <si>
    <t xml:space="preserve">NIVEL LASER SKIL 516 </t>
  </si>
  <si>
    <t>MOTOR MAYERLING 2 HP MONOF. VERDE 1500 rpm</t>
  </si>
  <si>
    <t>RASPADOR RASQUETA KSEIBI WALLPAPERS SCRAPERS 283285</t>
  </si>
  <si>
    <t>CEPILLO ESCOFINA DURLOCK KSIBI CON MANGO 140x40mm CPO PLASTICO 311800</t>
  </si>
  <si>
    <t>CEPILLO ESCOFINA DURLOCK KSEIBI 250x40mm DOBLE MANGO 311725</t>
  </si>
  <si>
    <t>CUCHARA YESERO KSEIBI 18cm MANGO MADERA 281350</t>
  </si>
  <si>
    <t>GENERADOR SHIMURA KGE8500TCE 7,5 KW ARRANQUE ELECTRICO MONO</t>
  </si>
  <si>
    <t>VIGA PARA BALANCIN 3 MTS NUEVA</t>
  </si>
  <si>
    <t>ANTEOJO DE SEGURIDAD TRANSP/GRIS 3M ITURRIA I-1978</t>
  </si>
  <si>
    <t>CORREA JC C102</t>
  </si>
  <si>
    <t>CORREA JC C104</t>
  </si>
  <si>
    <t>CORREA JC C106</t>
  </si>
  <si>
    <t>PINZA NIVELADORA DE ARCO METALICA reiner</t>
  </si>
  <si>
    <t>TALADRO B+D HD 650 K</t>
  </si>
  <si>
    <t>CONTRAPESO PLUMA TGM</t>
  </si>
  <si>
    <t xml:space="preserve">GANCHO PARA PLUMA TGM </t>
  </si>
  <si>
    <t>POLEA PLUMA TGM SIN RULEMANES</t>
  </si>
  <si>
    <t>MARTILLO DEM. MAKITA MKTM8600 G</t>
  </si>
  <si>
    <t>NIVEL LASER MAKITA MKTSK104Z</t>
  </si>
  <si>
    <t>NIVEL STANLEY ALUMINIO 60 CM 42074</t>
  </si>
  <si>
    <t>ODOMETRO KLD2040</t>
  </si>
  <si>
    <t>CORTADORA DE CERAMICA "RUBI" PRACTIC 50 RU24984</t>
  </si>
  <si>
    <t>CORTADORA DE CERAMICA "RUBI" PRACTIC 61 RU24985</t>
  </si>
  <si>
    <t>CORTADORA DE CERAMICA "RUBI" TS-91 MAX RU18986</t>
  </si>
  <si>
    <t>CORTADORA DE CERAMICA "RUBI" TX-900 RU17971</t>
  </si>
  <si>
    <t>CORTADORA DE CERAMICA "RUBI" TS-75 MAX RU18923</t>
  </si>
  <si>
    <t>CORTADORA DE CERAMICA "RUBI" HIT 1200N C/BOLSO RU26962</t>
  </si>
  <si>
    <t>CORTADORA DE CERAMICA "RUBI" BASIC 50 RU25955</t>
  </si>
  <si>
    <t>CORTADORA DE CERAMICA "RUBI" FAST 65 CON BOLSO RU13932</t>
  </si>
  <si>
    <t>CORTADORA DE CERAMICA "RUBI" FAST 85 CON BOLSO RU13939</t>
  </si>
  <si>
    <t>CORTADORA DE CERAMICA "RUBI" TX-1250 RU17921</t>
  </si>
  <si>
    <t>CORTADORA DE CERAMICA "RUBI" STAR MAX 65 C/BOLSO RU13938</t>
  </si>
  <si>
    <t>CORTADORA DE CERAMICA "RUBI" STAR MAX 65 CAJA CARTON RU13935</t>
  </si>
  <si>
    <t>CORREA A13-725</t>
  </si>
  <si>
    <t>DESTORNILLADOR STANLEY PHILLIPS 2x150 PUNTA IMANTADA S69180</t>
  </si>
  <si>
    <t>INGLETADORA DEWALT 10" 1600 W DW713</t>
  </si>
  <si>
    <t>INGLETADORA STANLEY 10" 1500 W STSM1525</t>
  </si>
  <si>
    <t>JUEGO MECHAS Y CINCELES MAKITA 6 PIEZAS 58920</t>
  </si>
  <si>
    <t>LIJADORA ORBITAL MAKITA MKTM9200G</t>
  </si>
  <si>
    <t>LLAVE PARA CAÑO STANLEY STMT75927</t>
  </si>
  <si>
    <t>TIJERA CORTAPERNO 770 MM KLD1020</t>
  </si>
  <si>
    <t>TIJERA CORTAPERNO 600 MM KLD1019</t>
  </si>
  <si>
    <t>AMOLADORA DEWALT 9" DWE490 2200 W</t>
  </si>
  <si>
    <t>AMOLADORA DEWALT 9" 28490 2200 W</t>
  </si>
  <si>
    <t>MACHETE TRAMONTINA ANCHO 20" TRA0320</t>
  </si>
  <si>
    <t>BOTIN DE SEG. PVC</t>
  </si>
  <si>
    <t>BOTIN DE SEG. SUELA FEBO ECO ALSEC</t>
  </si>
  <si>
    <t>BOTIN DE SEG. SUELA GOMA BOX ALSEC</t>
  </si>
  <si>
    <t>PARTIDOR RUBI TS60 CLASIC</t>
  </si>
  <si>
    <t>BALDE DE CHAPA 20 LIVIANO POLO FONDO ESTAMPADO</t>
  </si>
  <si>
    <t>CUCHILLAS PARA TIJ.CORTAP.770/600 MM (EL JUEGO X 2)</t>
  </si>
  <si>
    <t>RODAMIENTO 6307 2RS</t>
  </si>
  <si>
    <t>RODAMIENTO 2202 2RS</t>
  </si>
  <si>
    <t>RODAMIENTO 6201 2RS</t>
  </si>
  <si>
    <t>RODAMIENTO 609</t>
  </si>
  <si>
    <t>RODAMIENTO 6200 2RS</t>
  </si>
  <si>
    <t>RODAMIENTO NA 4902 CHINO</t>
  </si>
  <si>
    <t>RODAMIENTO 6004 2RS</t>
  </si>
  <si>
    <t>RODAMIENTO 2201 2RS</t>
  </si>
  <si>
    <t>RODAMIENTO 628</t>
  </si>
  <si>
    <t xml:space="preserve">MANGUERA DE VIBRADOR FLEXI AF/2006 2,5 MTS - 30 MM </t>
  </si>
  <si>
    <t>REFLECTOR LED 20 W PILA</t>
  </si>
  <si>
    <t>PISTON CON BIELA KIT DEWALT 25900/901/899 - 579779-01</t>
  </si>
  <si>
    <t>PISTON KIT DEWALT 25980 - 496978-00</t>
  </si>
  <si>
    <t>CILINDRO DEWALT D25980 - 494571-00</t>
  </si>
  <si>
    <t>CILINDRO DEWALT D25960 - N161207</t>
  </si>
  <si>
    <t>ORRIN DEWALT DE BATIDOR 25899</t>
  </si>
  <si>
    <t>ORRIN DEWALT PESO MUERTO 25960 - N088404</t>
  </si>
  <si>
    <t>CUBETA DEWALT D25900/960 - 590191-00</t>
  </si>
  <si>
    <t>SOPORTE BOSCH RM2 PARA NIVEL LASER 0601092700</t>
  </si>
  <si>
    <t>REGLA DE ALUMINIO A PERFIMET</t>
  </si>
  <si>
    <t>REGLA DE ALUMINIO H PERFIMET</t>
  </si>
  <si>
    <t>CRAYON INDUSTRIAL POR 10 UNID. EUREKA</t>
  </si>
  <si>
    <t>DISCO TYROLIT 14" P/SENSITIVA 101-03-01-352525</t>
  </si>
  <si>
    <t xml:space="preserve">CONTACTOR TRIP 18A 1NA 24V BAW COD (39789) IORI </t>
  </si>
  <si>
    <t>ACOPLE MACHO MANGUERA VIBRADOR MMQ</t>
  </si>
  <si>
    <t>GATILLO BALANCIN POR UNIDAD</t>
  </si>
  <si>
    <t>MANGUERA RIEGO 1/2" X 25 MTS ITURRIA VERDE TRANSP 401225</t>
  </si>
  <si>
    <t>MANGUERA RIEGO 1/2" X 15 MTS ITURRIA VERDE TRANSP 401215</t>
  </si>
  <si>
    <t>PORTAPALANCA PARA CORT HIERRO 50/32</t>
  </si>
  <si>
    <t>TRANSFORMADOR 380/24 V PARA IORI</t>
  </si>
  <si>
    <t>JUEGO DESTORNILLADORES STANLEY S60060</t>
  </si>
  <si>
    <t>ROTOR PARA GUINCHE IORI</t>
  </si>
  <si>
    <t>ENGRANAJE PARA PLUMA WISKERS 450</t>
  </si>
  <si>
    <t>CAMPO MARTILLO MAKITA 10 KG</t>
  </si>
  <si>
    <t>GUINCHE IORI 1000 KG. TRIF. C/TELECOMANDO MMQ DT1000 (40 MTS)</t>
  </si>
  <si>
    <t>INTERRUPTOR DEWALT PARA AMOLADORA 28474/28476</t>
  </si>
  <si>
    <t>CARBONES PARA MARTILLO MAKITA 30 KG CB204</t>
  </si>
  <si>
    <t>PILA ENERGIZER AA X 1</t>
  </si>
  <si>
    <t>PILA ENERGIZER AAA X 1</t>
  </si>
  <si>
    <t>POLEA "A" DIAMETRO 50 P/HORM.130 ALUMINIO BAEZ</t>
  </si>
  <si>
    <t>FILTRO P/MASCARA BIFILTRO CLASE AB110C (POR UNIDAD)</t>
  </si>
  <si>
    <t>ESPATULA PARA ENDUIR 35 CM KSEIBI 283210</t>
  </si>
  <si>
    <t>DISCO TYROLIT 4 1/2" x 4,8 PARA DESBASTE 101-02-01-115480</t>
  </si>
  <si>
    <t>ROTOR AMOLADORA MAKITA 9557</t>
  </si>
  <si>
    <t xml:space="preserve">CARRETILLA CHAPA 16 BAEZ MANGO ARTICULADO CON COMPACTA 100 LTS </t>
  </si>
  <si>
    <t>CUCHILLAS PARA CORTAD. ELECTRICA MMQ MC40 POR JUEGO</t>
  </si>
  <si>
    <t>FRATACHO CARBONO SILICIO 20 CM HEFER</t>
  </si>
  <si>
    <t>CORONA NRO 21 HEFER C/MAZA 3 RAYOS CONICA DIENTE HELICOIDAL</t>
  </si>
  <si>
    <t>PORTACORONA NRO 4 HEFER EJE CONICO CON MAZA</t>
  </si>
  <si>
    <t>PORTACORONA NRO 1 O 2 HEFER CUADRADO EJE 30/35 MM</t>
  </si>
  <si>
    <t>PORTACORONA NRO 5 HEFER PERNO C/CORNO C/CAJA</t>
  </si>
  <si>
    <t>EJE 17 O 20 MM PARA PIÑON HEFER</t>
  </si>
  <si>
    <t>CARBONES PARA AMOLADORA BOSCH 7" O 9" 160701418F</t>
  </si>
  <si>
    <t>CARBONES PARA AMOLADORA BOSCH 4 1/2" 160701418V</t>
  </si>
  <si>
    <t>MACHETE TRAMONTINA ANGOSTO 20" TRA0220</t>
  </si>
  <si>
    <t>AMOLADORA DEWALT 9" DWE496 2600 W</t>
  </si>
  <si>
    <t>LIJADORA ORBITAL STANLEY SSS310</t>
  </si>
  <si>
    <t>TALADRO B+D TP 555 K</t>
  </si>
  <si>
    <t>CINTA PELIGRO POR 200 MTS ALSEC/NOTRICA</t>
  </si>
  <si>
    <t>ROTOR MARTILLO EINHELL TEDH 1027 10 KG</t>
  </si>
  <si>
    <t>ASPIRADORA SHIMURA PRO 3X1000 W SHA-80P</t>
  </si>
  <si>
    <t>LLAVE T 11 MM</t>
  </si>
  <si>
    <t>LLAVE T 12 MM</t>
  </si>
  <si>
    <t>LLAVE T 14 MM</t>
  </si>
  <si>
    <t>RODAMIENTO 30207</t>
  </si>
  <si>
    <t>RODAMIENTO 30206</t>
  </si>
  <si>
    <t xml:space="preserve"> </t>
  </si>
  <si>
    <t>REPUESTO TRABA GANCHO GIRATORIO 1 TN GIORDANO</t>
  </si>
  <si>
    <t>REPUESTO TRABA GANCHO GIRATORIO 1,5 TN GIORDANO</t>
  </si>
  <si>
    <t>CORTADORA DE CERAMICA ISARD 20900 90 CM</t>
  </si>
  <si>
    <t>ANTEOJO STEELPRO MERCURY AMBAR 201045982</t>
  </si>
  <si>
    <t>MANGUERA RIEGO 3/4" X 25 MTS ITURRIA ESTÁNDAR VERDE 401925</t>
  </si>
  <si>
    <t>MANGUERA RIEGO 1" X 25 MTS ITURRIA VERDE TRANSPARENTE 402525</t>
  </si>
  <si>
    <t>BOTONERA PARA APAREJO TGM 500/1000</t>
  </si>
  <si>
    <t>TECLA PARA BOTONERA APAREJO TGM</t>
  </si>
  <si>
    <t>CONTACTOR PARA PLUMA TGM</t>
  </si>
  <si>
    <t>CARBONES PARA AMOLADORA DEWALT D28112/28111/28143 RA650916-01</t>
  </si>
  <si>
    <t>CARBONES PARA AMOLADORA DEWALT 4 1/2" 4212/4214</t>
  </si>
  <si>
    <t>CARBONES PARA AMOLADORA DEWALT 4 1/2" 4120</t>
  </si>
  <si>
    <t>INTERRUPTOR DEWALT LLAVE P/AMOLADORA 28490/28491</t>
  </si>
  <si>
    <t xml:space="preserve">CARBONES PARA AMOLADORA MAKITA 4 1/2" 9557/9558 Y ROTOP 2470 CB325 </t>
  </si>
  <si>
    <t>PORTACARBONES MAKITA 24710 638500-6</t>
  </si>
  <si>
    <t>ROTOR ESTATOR PARA YESO NARANJA D6 ORIGINAL</t>
  </si>
  <si>
    <t>ROTOR ESTATOR PARA CEMENTICIO GRIS D4 ORIGINAL</t>
  </si>
  <si>
    <t xml:space="preserve">LLANITA YESERO ESLINGAR </t>
  </si>
  <si>
    <t>CORREA JC A30</t>
  </si>
  <si>
    <t>CORREA JC B83</t>
  </si>
  <si>
    <t>CORREA JC B136</t>
  </si>
  <si>
    <t>CORREA JC C70</t>
  </si>
  <si>
    <t>PROTECTOR FACIAL SANITARIO ALSEC</t>
  </si>
  <si>
    <t>PROTECTOR FACIAL SANITARIO ITURRIA</t>
  </si>
  <si>
    <t>PUNTA BOSCH HEXAGONAL AUTOAFILABLE P/11304 2608690106</t>
  </si>
  <si>
    <t>ROTOR MARTILLO PERF. SKIL 1559 F000605221</t>
  </si>
  <si>
    <t>ROTOR MARTILLO BOSCH 15 KG ORIGINAL 11335 1614011117</t>
  </si>
  <si>
    <t>CRIMARAL</t>
  </si>
  <si>
    <t>BARBIJO FRISELINA ROCEL</t>
  </si>
  <si>
    <t>ANTEOJO DE SEGURIDAD TRANSP. LIBUS ECOSPORT</t>
  </si>
  <si>
    <t>GUANTES LATEX DESCARTABLES x 100 UNIDADES</t>
  </si>
  <si>
    <t>ASPIRADORA TH-VC 1820 S - 2342168</t>
  </si>
  <si>
    <t>ASPIRADORA TE-VC 2340 SA -2342381</t>
  </si>
  <si>
    <t>AMOLADORA 9" TE-AG 230 DP - 4430873</t>
  </si>
  <si>
    <t>AMOLADORA 7" TE-AG 180 DP - 4430874</t>
  </si>
  <si>
    <t>AMOLADORA 4 1/2" TE-AG 750 W - 4430882</t>
  </si>
  <si>
    <t>ATORNILLADOR  TC-DY 500 E - 4259911</t>
  </si>
  <si>
    <t>INGLETADORA TC-MS 2112 1600 W - 4300295</t>
  </si>
  <si>
    <t>ROTOMARTILLO INALAMBRICO TE-HD 18 LI (SIN BATERIA NI CARGADOR) - 4513814</t>
  </si>
  <si>
    <t>ROTOMARTILLO TE-RH 32 - 4257942</t>
  </si>
  <si>
    <t>MEDIDOR DE DISTANCIA 25 MTS TC-LD 25 - 2270026</t>
  </si>
  <si>
    <t>TALADRO PERCUTOR TE-RH 26 4F - 4257964</t>
  </si>
  <si>
    <t>TALADRO DE IMPACTO TH-ID 720 E - 4259763</t>
  </si>
  <si>
    <t>TALADRO INALAMBRICO TE-CD 18/2 LI KIT - 4513837</t>
  </si>
  <si>
    <t>MAMELUCO DESCARTABLE FRISELINA BLANCO 30 GR lube</t>
  </si>
  <si>
    <t>PROBETA ALUMINIO 15 x 30 cm (MEGAMAQ)</t>
  </si>
  <si>
    <t>TERMOMETRO PARA HUMANOS LILIS</t>
  </si>
  <si>
    <t>euro</t>
  </si>
  <si>
    <t>BUZO POLAR</t>
  </si>
  <si>
    <t>PULVERIZADOR PLASTICO 2 LTS LOUREIRO</t>
  </si>
  <si>
    <t>CLAVO PUNTA PARIS 2" POR CAJA 30 KILOS CPP20G</t>
  </si>
  <si>
    <t>CLAVO PUNTA PARIS 2 1/2" POR CAJA 30 KILOS CPP25G</t>
  </si>
  <si>
    <t>ZORRA HIDRAULICA 2 TN ANCHO 540 RUEDAS NYLON  HOFER 26000</t>
  </si>
  <si>
    <t>HORMIGONERA 130 LTS "MAQUIOBRAS" C/MOTOR 1HP DAF</t>
  </si>
  <si>
    <t>HORMIGONERA 130 LTS "MAQUIOBRAS" C/MOTOR 1HP MAYERLING</t>
  </si>
  <si>
    <t>PROTECTOR FACIAL SANITARIO NOTRICA</t>
  </si>
  <si>
    <t>MAMELUCO DESCARTABLE HEMORREPELENTE ERAM</t>
  </si>
  <si>
    <t>RUEDA ANDAMIO fundicion GIRATORIA 150 HOFER (4728)</t>
  </si>
  <si>
    <t>RUEDA COMPACTA PORTABULTO HOFER (9175)</t>
  </si>
  <si>
    <t>AMONIO CUATERNARIO</t>
  </si>
  <si>
    <t>PORTICO SANITIZANTE RIZZO</t>
  </si>
  <si>
    <t>COMPRESOR MICHELIN 200 LTS MONOFASICO</t>
  </si>
  <si>
    <t>ANTEOJO DE SEGURIDAD GRIS LUBE</t>
  </si>
  <si>
    <t>U$S</t>
  </si>
  <si>
    <t>EURO</t>
  </si>
  <si>
    <t>KALYDON</t>
  </si>
  <si>
    <t>MACROMAQ</t>
  </si>
  <si>
    <t>POLO</t>
  </si>
  <si>
    <t>LEITEN</t>
  </si>
  <si>
    <t>DESCUENTOS</t>
  </si>
  <si>
    <t>PROV.2</t>
  </si>
  <si>
    <t>PROV.1</t>
  </si>
  <si>
    <t>PROV.3</t>
  </si>
  <si>
    <t>OFERTA</t>
  </si>
  <si>
    <t>VENTA</t>
  </si>
  <si>
    <t>RENTAB.</t>
  </si>
  <si>
    <t>BOSCH</t>
  </si>
  <si>
    <t>ITURRIA</t>
  </si>
  <si>
    <t>MULTIPLASTIKA</t>
  </si>
  <si>
    <t>DALMASO</t>
  </si>
  <si>
    <t>MET.ROSARIO</t>
  </si>
  <si>
    <t>DAF</t>
  </si>
  <si>
    <t>HAMILTON</t>
  </si>
  <si>
    <t>HELIX</t>
  </si>
  <si>
    <t>LANDAU</t>
  </si>
  <si>
    <t>SIMPA</t>
  </si>
  <si>
    <t>DEPER</t>
  </si>
  <si>
    <t>WAL TRADE</t>
  </si>
  <si>
    <t>SINIS</t>
  </si>
  <si>
    <t>ABACO</t>
  </si>
  <si>
    <t>ABASTECER SEGURIDAD</t>
  </si>
  <si>
    <t>AGROREDES</t>
  </si>
  <si>
    <t>ALFA</t>
  </si>
  <si>
    <t>ALSEC</t>
  </si>
  <si>
    <t>ALFREDO ALVAREZ</t>
  </si>
  <si>
    <t>ANCLAJES Y SERVICIOS</t>
  </si>
  <si>
    <t>APEZTEGUIA</t>
  </si>
  <si>
    <t>ARGENSAFE</t>
  </si>
  <si>
    <t>ARTURO KICHOIAN</t>
  </si>
  <si>
    <t>B Y A ARGENTINA</t>
  </si>
  <si>
    <t>BAEZ</t>
  </si>
  <si>
    <t>BENITEZ ELOY</t>
  </si>
  <si>
    <t>BORDON</t>
  </si>
  <si>
    <t>BREAK FIRE S.R.L.</t>
  </si>
  <si>
    <t>BULONERA BURZACO</t>
  </si>
  <si>
    <t>BULONFER</t>
  </si>
  <si>
    <t>CASA LEON</t>
  </si>
  <si>
    <t>CASA LOUREIRO</t>
  </si>
  <si>
    <t>CATINARI</t>
  </si>
  <si>
    <t>CERNADAS</t>
  </si>
  <si>
    <t>CORTIFRIL</t>
  </si>
  <si>
    <t>DISTHESA</t>
  </si>
  <si>
    <t>DIST,DISTOR</t>
  </si>
  <si>
    <t>DISTROPAR</t>
  </si>
  <si>
    <t>ECONSULTORA</t>
  </si>
  <si>
    <t>ELECTROFER</t>
  </si>
  <si>
    <t>ELECTROMAQ</t>
  </si>
  <si>
    <t>ESLINGAR</t>
  </si>
  <si>
    <t>ERAM</t>
  </si>
  <si>
    <t>GAN MAR</t>
  </si>
  <si>
    <t>GERDAU</t>
  </si>
  <si>
    <t>MAT.GEORGIA</t>
  </si>
  <si>
    <t>GIORDANO</t>
  </si>
  <si>
    <t>GRAMMA SEGURIDAD</t>
  </si>
  <si>
    <t>HIDROVENT</t>
  </si>
  <si>
    <t>HOFER</t>
  </si>
  <si>
    <t>FER PAK</t>
  </si>
  <si>
    <t>INDHOR</t>
  </si>
  <si>
    <t>JORGE SANCHEZ</t>
  </si>
  <si>
    <t>KAIKEN</t>
  </si>
  <si>
    <t>KLEE PLAT</t>
  </si>
  <si>
    <t>LASSO</t>
  </si>
  <si>
    <t>MARCELO HEREDIA</t>
  </si>
  <si>
    <t>MAT.ELECTRICOS</t>
  </si>
  <si>
    <t>MEGAMAQ</t>
  </si>
  <si>
    <t>MERIGHI</t>
  </si>
  <si>
    <t>MIGUEL BOBINADOR</t>
  </si>
  <si>
    <t>MORANO</t>
  </si>
  <si>
    <t>MOTORARG</t>
  </si>
  <si>
    <t>NETOOLS</t>
  </si>
  <si>
    <t>OLIVARES</t>
  </si>
  <si>
    <t>PROTEC</t>
  </si>
  <si>
    <t>OSCAR DOBLADORA</t>
  </si>
  <si>
    <t>PAIMUN</t>
  </si>
  <si>
    <t>PROAR</t>
  </si>
  <si>
    <t>PULQUI</t>
  </si>
  <si>
    <t>REINER</t>
  </si>
  <si>
    <t>RINOTEC</t>
  </si>
  <si>
    <t>ROVIMAR</t>
  </si>
  <si>
    <t>SAL-BOM</t>
  </si>
  <si>
    <t>SIVAR / HACHE</t>
  </si>
  <si>
    <t>STARTEX</t>
  </si>
  <si>
    <t>STEEL ROPES</t>
  </si>
  <si>
    <t>SUPERIZAJE</t>
  </si>
  <si>
    <t>SURPROTEC</t>
  </si>
  <si>
    <t>TEMUCO</t>
  </si>
  <si>
    <t>SURPROWORK</t>
  </si>
  <si>
    <t>VACCA</t>
  </si>
  <si>
    <t>VALPER</t>
  </si>
  <si>
    <t>VH DISTRIBUCIONES</t>
  </si>
  <si>
    <t>URAR</t>
  </si>
  <si>
    <t>MANUF.DEL PLASTICO</t>
  </si>
  <si>
    <t>PROVEEDOR</t>
  </si>
  <si>
    <t>N°</t>
  </si>
  <si>
    <t>COTIZACION</t>
  </si>
  <si>
    <t>COSTO MAS BAJO</t>
  </si>
  <si>
    <t>18 36 67 68</t>
  </si>
  <si>
    <t>24 38</t>
  </si>
  <si>
    <t>LUBE SEGURIDAD</t>
  </si>
  <si>
    <t>10 21 71</t>
  </si>
  <si>
    <t>ALICATE OBLICUO STANLEY 8" 84622</t>
  </si>
  <si>
    <t>ALICATE PELACABLE FRONTAL TACTIX 400001</t>
  </si>
  <si>
    <t>ALICATE PELACABLE LATERAL TACTIX 400011</t>
  </si>
  <si>
    <t>ALICATE PUNTA LARGA RECTO STANLEY 6" 84053</t>
  </si>
  <si>
    <t>VENTA OFERTA</t>
  </si>
  <si>
    <t>OFERTA SIN IVA</t>
  </si>
  <si>
    <t xml:space="preserve">AMOLADORA STANLEY 7" STGL2218 2200 W </t>
  </si>
  <si>
    <t>PUNTAL EXT. 2,20 HASTA 3,80 MTS URAR/POLO</t>
  </si>
  <si>
    <t>18 36</t>
  </si>
  <si>
    <t>HEFER</t>
  </si>
  <si>
    <t>ELOY BENITEZ</t>
  </si>
  <si>
    <t>36 38</t>
  </si>
  <si>
    <t>21 24</t>
  </si>
  <si>
    <t>19 21</t>
  </si>
  <si>
    <t>12 38</t>
  </si>
  <si>
    <t xml:space="preserve">HOJA DE SIERRA CANADIAN 14" x60 D P/MESA DE SIERRA </t>
  </si>
  <si>
    <t>20 28</t>
  </si>
  <si>
    <t>TOPASOL</t>
  </si>
  <si>
    <t>21 45</t>
  </si>
  <si>
    <t>ETERNA</t>
  </si>
  <si>
    <t>21 36</t>
  </si>
  <si>
    <t>ROSSANA</t>
  </si>
  <si>
    <t>21 32</t>
  </si>
  <si>
    <t>KSEIBI</t>
  </si>
  <si>
    <t>21 38</t>
  </si>
  <si>
    <t>18 38</t>
  </si>
  <si>
    <t>20 21</t>
  </si>
  <si>
    <t>12 24 38</t>
  </si>
  <si>
    <t>21 24 45</t>
  </si>
  <si>
    <t>74 80</t>
  </si>
  <si>
    <t>14 19 21</t>
  </si>
  <si>
    <t>11 14</t>
  </si>
  <si>
    <t>32 82 90</t>
  </si>
  <si>
    <t>21 29</t>
  </si>
  <si>
    <t>14 48</t>
  </si>
  <si>
    <t>HOJA DE SIERRA 4 1/2" 24 DIENTES CANADIAN</t>
  </si>
  <si>
    <t>50 95</t>
  </si>
  <si>
    <t>43 72</t>
  </si>
  <si>
    <t>JORGE RODAMIENTOS</t>
  </si>
  <si>
    <t>VEROLL</t>
  </si>
  <si>
    <t>TECNOPAR</t>
  </si>
  <si>
    <t>19 30</t>
  </si>
  <si>
    <t>14 21 48</t>
  </si>
  <si>
    <t>31 42</t>
  </si>
  <si>
    <t>29 30</t>
  </si>
  <si>
    <t>30 49</t>
  </si>
  <si>
    <t>29 72</t>
  </si>
  <si>
    <t>29 43 72</t>
  </si>
  <si>
    <t>29 48 72</t>
  </si>
  <si>
    <t>CESAR ZAPATA</t>
  </si>
  <si>
    <t>BARBIJO CON VALVULA NACIONAL</t>
  </si>
  <si>
    <t>19 21 32</t>
  </si>
  <si>
    <t>14 29</t>
  </si>
  <si>
    <t>LUBE</t>
  </si>
  <si>
    <t>GANCHO GIRATORIO DE ACERO C/TRABA 1 TN</t>
  </si>
  <si>
    <t>19 32</t>
  </si>
  <si>
    <t>CAJA DE HERRAMIENTAS STANLEY 24" 24013</t>
  </si>
  <si>
    <t>LAPIZ CARPINTERO SOLA LARGO 24 CM VERDE</t>
  </si>
  <si>
    <t>29 36</t>
  </si>
  <si>
    <t>DISCO DEWALT 4,5" x 1 MM 44618</t>
  </si>
  <si>
    <t>DISCO DEWALT 4,5" DESBASTE 44607</t>
  </si>
  <si>
    <t>DISCO DEWALT 7" x 1,6 MM 44602</t>
  </si>
  <si>
    <t>DISCO DEWALT 9" x 1,6 MM 44603</t>
  </si>
  <si>
    <t>DISCO MAKITA 4 1/2" x 1,2 MM 20105</t>
  </si>
  <si>
    <t>DISCO MAKITA 4 1/2" x 0,8 MM 45727</t>
  </si>
  <si>
    <t>HIDROLAVADORA BLACK &amp; DECKER 100 BAR 1300S PW1370</t>
  </si>
  <si>
    <t>HIDROLAVADORA BLACK &amp; DECKER 125 BAR 1600SL</t>
  </si>
  <si>
    <t>HIDROLAVADORA BLACK &amp; DECKER 120 BAR BW15</t>
  </si>
  <si>
    <t>JUEGO FRESAS WIDIA x 12 UNIDADES KLD382</t>
  </si>
  <si>
    <t>MANDRIL 13 MM B&amp;D 70021</t>
  </si>
  <si>
    <t>MARTILLO DEM. MAKITA HM 0810 T 5 KG</t>
  </si>
  <si>
    <t>PULVERIZADOR 16 LTS MOCHILA KLD369</t>
  </si>
  <si>
    <t>PUNTA HEXAG. MAKITA 17X280 08676</t>
  </si>
  <si>
    <t>PUNTA HEXAG. MAKITA 17X450 26571</t>
  </si>
  <si>
    <t>RODILLERA TACTIX ECONOMICA TX482007</t>
  </si>
  <si>
    <t>SIERRA CIRCULAR STANLEY 7 1/4" 1700 W STSC1718</t>
  </si>
  <si>
    <t>SIERRA CIRCULAR MAKITA 7 1/4" 5740 NB 1050 W</t>
  </si>
  <si>
    <t>SIERRA CIRCULAR MAKITA 7 1/4" 5007 MG 1800 W</t>
  </si>
  <si>
    <t>SIERRA CIRCULAR MAKITA 9" 5900B 2000 W</t>
  </si>
  <si>
    <t>SIERRA CIRCULAR MAKITA 10" HS0600 2000 W</t>
  </si>
  <si>
    <t xml:space="preserve">SOPAPA DOBLE PARA VIDRIOS KLD1231 </t>
  </si>
  <si>
    <t>SOPAPA TRIPLE PARA VIDRIOS KLD1232</t>
  </si>
  <si>
    <t>TALADRO MAKITA HP2050 13 MM 720 W</t>
  </si>
  <si>
    <t>TALADRO MAKITA HP1640 13 MM 680 W</t>
  </si>
  <si>
    <t>TALADRO MAKITA HP1630 16 MM 710 W</t>
  </si>
  <si>
    <t>TIJERA CORTA CAÑO PVC HASTA 42 MM KLD295</t>
  </si>
  <si>
    <t>SOLDADORA ISARD 80-250 200 AMP</t>
  </si>
  <si>
    <t>RUEDA FIJA FUNDICION/GOMA P/ANDAMIO (160) POLO R222</t>
  </si>
  <si>
    <t>RUEDA FIJA FUNDICION/GOMA P/ANDAMIO (200) POLO R224</t>
  </si>
  <si>
    <t>RUEDA GIRAT. FUNDICION/GOMA C/FRENO (160) POLO R223</t>
  </si>
  <si>
    <t>VIBRADOR FLEXIBON AF/2001 MONOFASICO 1 HP 35 MM</t>
  </si>
  <si>
    <t>VIBRADOR FLEXIBON AF/2001 MONOFASICO 1 HP 48 MM</t>
  </si>
  <si>
    <t>VIBRADOR FLEXIBON AF/2001 TRIFASICO 1 HP 35 MM</t>
  </si>
  <si>
    <t>VIBRADOR FLEXIBON AF/94 MONOFASICO 2 HP 48 MM</t>
  </si>
  <si>
    <t>VIBRADOR FLEXIBON AF/2006 MONOFASICO 1/2 HP 2,5 MTS 30 MM</t>
  </si>
  <si>
    <t>HORMIGONERA 155 LTS "APEZTEGUIA" C/MOTOREDUCTOR 1 HP</t>
  </si>
  <si>
    <t>ABRAZADERA PLASTICA 100 x 2,5 ABR1100</t>
  </si>
  <si>
    <t>ABRAZADERA PLASTICA 150 x 3,6 ABR1160</t>
  </si>
  <si>
    <t>BARBIJO TACO LATEX TAC501</t>
  </si>
  <si>
    <t>BOLSA PARA CORRALON 48x70x100 MIC 10 UNIDADES COB1</t>
  </si>
  <si>
    <t>BOLSA DE CONSORCIO 60 X 90 X 40 MIC x 10 U COB3</t>
  </si>
  <si>
    <t>CABO PARA HACHA 90 CM RECTO CAB5</t>
  </si>
  <si>
    <t>CADENA METALICA TRANQUERA Nº 70 x 1,10 MTS ONE377</t>
  </si>
  <si>
    <t>CANDADO 40 MM PRIVE</t>
  </si>
  <si>
    <t>CANDADO 50 MM PRIVE</t>
  </si>
  <si>
    <t>14 21 29</t>
  </si>
  <si>
    <t>CEPILLO ACERO SIN CABO N° 16 PAR16</t>
  </si>
  <si>
    <t>CINTA AISLADORA TELA 19MM X 18 MTS NEGRA</t>
  </si>
  <si>
    <t>OCHO CHICO URBAN URB9050</t>
  </si>
  <si>
    <t>OCHO GRANDE CON ALAS URBAN URB 8950</t>
  </si>
  <si>
    <t>SALVACAIDAS URBAN P/SOGA Y TRAB. VERT. + MOSQUETON</t>
  </si>
  <si>
    <t>SALVACAIDAS URBAN P/SOGA Y TRAB. VERT.+ PROLONG.</t>
  </si>
  <si>
    <t>AUMENTO</t>
  </si>
  <si>
    <t>IMPORTE</t>
  </si>
  <si>
    <t>DESTORNILLADOR PLANO CELESTAL 3005 4 X 75 CEL3005</t>
  </si>
  <si>
    <t>DESTORNILLADOR PLANO CELESTAL 3040 6 X 150 CEL3040</t>
  </si>
  <si>
    <t>DESTORNILLADOR PLANO CELESTAL 3010 4 X 125 CEL3010</t>
  </si>
  <si>
    <t>DESTORNILLADOR PLANO CELESTAL 3025 5 X 100 CEL3025</t>
  </si>
  <si>
    <t>DESTORNILLADOR PLANO CELESTAL 3031 5 X 150 CEL3031</t>
  </si>
  <si>
    <t>DESTORNILLADOR PLANO CELESTAL 3050 8 X 150 CEL3050</t>
  </si>
  <si>
    <t>DESTORNILLADOR PHILLIPS CELESTAL 3112 5 X 125 CEL3112</t>
  </si>
  <si>
    <t>DESTORNILLADOR PHILLIPS CELESTAL 3122 6 X 150 CEL3122</t>
  </si>
  <si>
    <t>DESTORNILLADOR PHILLIPS CELESTAL 3125 8 X 75 CEL3125</t>
  </si>
  <si>
    <t>DESTORNILLADOR BIASSONI 6x125 PLANO BIA2077</t>
  </si>
  <si>
    <t>DESTORNILLADOR BIASSONI 4x100 PLANO BIA2076</t>
  </si>
  <si>
    <t>DESTORNILLADOR BIASSONI 4x100 PHILLIPS BIA2095</t>
  </si>
  <si>
    <t>DESTORNILLADOR BIASSONI 6x100 PHILLIPS BIA2092</t>
  </si>
  <si>
    <t>DESTORNILLADOR BIASSONI 6x125 PHILLIPS BIA2096</t>
  </si>
  <si>
    <t xml:space="preserve">ESCUADRA Q-ALQUIERA 60 CM ESTANDAR </t>
  </si>
  <si>
    <t xml:space="preserve">ESCUADRA Q-ALQUIERA 70 CM ESTANDAR </t>
  </si>
  <si>
    <t>ESPATULA PINAS 120 MM PARA ENDUIR PIN12</t>
  </si>
  <si>
    <t>ESPATULA PINAS 60 MM FORJADA PINTOR PIN6</t>
  </si>
  <si>
    <t>ESPATULA PINAS 70 MM FORJADA PINTOR PIN7</t>
  </si>
  <si>
    <t>ESPATULA PINAS 90 MM FORJADA PINTOR PIN9</t>
  </si>
  <si>
    <t>ESPATULA SANTA JUANA 50 CABO MADERA SAJ5</t>
  </si>
  <si>
    <t>ESPATULA SANTA JUANA 60 CABO MADERA SAJ6</t>
  </si>
  <si>
    <t>ESPATULA SANTA JUANA 70 CABO MADERA SAJ7</t>
  </si>
  <si>
    <t>ESPATULA SANTA JUANA 90 CABO MADERA SAJ9</t>
  </si>
  <si>
    <t>ESPATULA SANTA JUANA PARA ENDUIR C/MADERA 12 CM SAJ12</t>
  </si>
  <si>
    <t>ESPATULA SANTA JUANA PARA ENDUIR C/MADERA 16 CM SAJ16</t>
  </si>
  <si>
    <t>ESPATULA SANTA JUANA PARA ENDUIR C/MADERA 20 CM SAJ20</t>
  </si>
  <si>
    <t>GRASA DE LITIO / MULTIUSO POR 450 GRS</t>
  </si>
  <si>
    <t>HOJA DE SIERRA SINPAR BIM. 300x24D SIN224</t>
  </si>
  <si>
    <t>HOJA DE SIERRA SINPAR BIM. 300x32D SIN232</t>
  </si>
  <si>
    <t>MACHETE TRAMONTINA ANGOSTO 18" TRA0218</t>
  </si>
  <si>
    <t>MASCARILLA 3M N95 C/U BIL2839</t>
  </si>
  <si>
    <t xml:space="preserve">ALCOHOL EN AEROSOL AL 70 % </t>
  </si>
  <si>
    <t>SERRUCHO BAHCO 22" DIENTE AFILABLE 144228DR</t>
  </si>
  <si>
    <t>PEGAMENTO LOCTITE SUPER BONDER 3 GRS 1628821</t>
  </si>
  <si>
    <t>PEGAMENTO LOCTITE SUPER BONDER 5 GRS 1628820</t>
  </si>
  <si>
    <t>MEMBRANA ASFALTICA 4 MM</t>
  </si>
  <si>
    <t>MANGUERA RIEGO 1/2" X 25 MTS ITURRIA PESADA CELESTE/BLANCO 471225</t>
  </si>
  <si>
    <t>MANGUERA RIEGO 1/2" X 25 MTS TRENZADA ITURRIA 361225</t>
  </si>
  <si>
    <t>MANGUERA RIEGO 3/4" X 25 MTS ITURRIA PESADA CELESTE/BLANCO 471925</t>
  </si>
  <si>
    <t>MANGUERA RIEGO 3/4" X 50 MTS ITURRIA PESADA CELESTE/BLANCO 471950</t>
  </si>
  <si>
    <t>MANGUERA RIEGO 1" X 25 MTS ITURRIA AZUL TRANSPARENTE 412525</t>
  </si>
  <si>
    <t>MANGUERA RIEGO 1" X 25 MTS ITURRIA PESADA CELESTE/BLANCA 472525</t>
  </si>
  <si>
    <t>MANGUERA RIEGO 1" X 25 MTS TRENZADA ITURRIA 362525</t>
  </si>
  <si>
    <t>26 31</t>
  </si>
  <si>
    <t>APAREJO ELECT.1000 TGM C/CARRO TRIFASICO S/CABLE 6 a 10 mts/min</t>
  </si>
  <si>
    <t>APAREJO ELECT.500 TGM C/CARRO MONOF. S/CABLE 14 a 16 mts/min</t>
  </si>
  <si>
    <t>APAREJO ELECT.750 TGM C/CARRO MONOF. S/CABLE 6 a 10 mts/min</t>
  </si>
  <si>
    <t>PLUMA TGM 500 KG MONOFASICA 35 MTS CABLE 6 MM</t>
  </si>
  <si>
    <t>PLUMA TGM 500 KG TRIFASICA 35 MTS CABLE 6 MM</t>
  </si>
  <si>
    <t>CANDADO 38 MM ILOCK CAMITS</t>
  </si>
  <si>
    <t>MAZA GOMA 12 340 GR KLD196</t>
  </si>
  <si>
    <t>MAZA GOMA 16 455 GR KLD197</t>
  </si>
  <si>
    <t>19 21 57</t>
  </si>
  <si>
    <t>RODILLERA CERAMICRUZ X PAR</t>
  </si>
  <si>
    <t>LISTA VIEJA</t>
  </si>
  <si>
    <t>ASPIRADORA KARCHER NT 38/1 SOLIDOS Y LUIQUIDOS KHNT381</t>
  </si>
  <si>
    <t>ATORNILLADOR STANLEY CON PERCUSION SBH201S2K</t>
  </si>
  <si>
    <t>CORTADORA DE CERAMICA "RUBI" SPEED 72 MAGNET C/MALETIN RU14989</t>
  </si>
  <si>
    <t>CORTADORA DE CERAMICA "RUBI" SPEED 92 MAGNET C/MALETIN RU14990</t>
  </si>
  <si>
    <t>30 98</t>
  </si>
  <si>
    <t>REGULADOR VELOCIDAD MARTILLO MAKITA 15 KG 1307CB</t>
  </si>
  <si>
    <t>GENERADOR SHIMURA KDE6800TI 5,5 KW ARRANQUE ELECTRICO MONO</t>
  </si>
  <si>
    <t>ARCO DE SIERRA TRAMONTINA 43301/012</t>
  </si>
  <si>
    <t>CARTEL ALTO IMPACTO 22x28 COVID</t>
  </si>
  <si>
    <t>OCHO CHICO ESLINGAR TC004</t>
  </si>
  <si>
    <t>CARRO PORTA BULTO PLEGABLE ZERO ZECAR1</t>
  </si>
  <si>
    <t>CANDADO 60 MM PRIVE</t>
  </si>
  <si>
    <t>HIDROLAVADORA HD 585 AGUA FRIA</t>
  </si>
  <si>
    <t>CABLE SUBTERRANEO 3 X 6 MM</t>
  </si>
  <si>
    <t>PROTECTOR FACIAL SANITARIO ITURRIA P/CASCO</t>
  </si>
  <si>
    <t>PROTECTOR FACIAL SANITARIO CRIMARAL P/CASCO</t>
  </si>
  <si>
    <t>HIDROLAVADORA MICHELIN MPX100</t>
  </si>
  <si>
    <t>SOPLETE MEMBRANA LARGO 5000 C/GATILLO</t>
  </si>
  <si>
    <t>SOPLETE TECHISTA C/MANGUERA M 50 L DE 1/2"</t>
  </si>
  <si>
    <t>ADAPTADOR SDS A MANDRIL MAKITA MKT14087</t>
  </si>
  <si>
    <t>MANGUERA NIVEL 9 POR METRO HEFER (ITURRIA 210912)</t>
  </si>
  <si>
    <t>MARTILLO DEMOLEDOR TE-DH 50 - 4139130</t>
  </si>
  <si>
    <t>STARTER KIT 4,0 AH CARGADOR + BATERIA - 4512042</t>
  </si>
  <si>
    <t>PULVERIZADOR PLASTICO 3 LTS LOUREIRO</t>
  </si>
  <si>
    <t>CUCHILLAS PARA CORTAD. 50/20 x UNIDAD</t>
  </si>
  <si>
    <t>RESORTE PARA CORTADORA 50/32 POR UNIDAD</t>
  </si>
  <si>
    <t>MECHA GUSANO P/MADERA IRWIN 5/16" 8x400 111744</t>
  </si>
  <si>
    <t>MECHA GUSANO P/MADERA IRWIN 3/8" 10x280 111735</t>
  </si>
  <si>
    <t>MECHA GUSANO P/MADERA IRWIN 1/2" 12x280 111737</t>
  </si>
  <si>
    <t>MECHA GUSANO P/MADERA IRWIN 1/2" 12x400 111747</t>
  </si>
  <si>
    <t>MECHA GUSANO P/MADERA IRWIN 5/8" 16x280 111739</t>
  </si>
  <si>
    <t>MECHA GUSANO P/MADERA IRWIN 5/8" 16x400 111749</t>
  </si>
  <si>
    <t>MECHA GUSANO P/MADERA IRWIN 7/8" 22x400 111751</t>
  </si>
  <si>
    <t>MECHA GUSANO P/MADERA IRWIN 1" 25x280 111742</t>
  </si>
  <si>
    <t>MECHA GUSANO P/MADERA IRWIN 1" 25x400 111752</t>
  </si>
  <si>
    <t>MECHA PALA IRWIN 5/16 8x150 111574</t>
  </si>
  <si>
    <t>MECHA PALA IRWIN 1/2 12x150 111577</t>
  </si>
  <si>
    <t>MECHA PALA IRWIN 9/16 14x150 111578</t>
  </si>
  <si>
    <t>MECHA PALA IRWIN 3/4 19x150 111581</t>
  </si>
  <si>
    <t>MECHA PALA IRWIN 7/8 22x150 111582</t>
  </si>
  <si>
    <t>MECHA PALA IRWIN 1 25x150 111583</t>
  </si>
  <si>
    <t>MECHA PALA 12 TACTIX TX411609</t>
  </si>
  <si>
    <t>MEZCLADOR PARA MASILLA TACTIX 400 TX298201</t>
  </si>
  <si>
    <t>MEZCLADOR PARA MASILLA TACTIX 600 TX298213</t>
  </si>
  <si>
    <t>MEZCLADOR PARA MASILLA TACTIX 600 ENCASTRE SDS TX298217</t>
  </si>
  <si>
    <t>PINZA PORTAELECTRODOS 300 AMP ISARD 80711</t>
  </si>
  <si>
    <t>PINZA PORTAELECTRODOS 500 AMP ISARD 80712</t>
  </si>
  <si>
    <t>HOJA DE SIERRA IRWIN 7 1/4" x 24 D IW25130</t>
  </si>
  <si>
    <t>CUCHILLA CP240 HAMILTON</t>
  </si>
  <si>
    <t>CARBONES PARA MARTILLO BOSCH 1125A - 1617014146</t>
  </si>
  <si>
    <t>CARBONES PARA MARTILLO BOSCH 11304 - 1617000425</t>
  </si>
  <si>
    <t>PUNTA BOSCH 11304 520 MM 1618600019</t>
  </si>
  <si>
    <t>ROTOR MARTILLO BOSCH GSH 11E ORIGINAL 1614011072</t>
  </si>
  <si>
    <t>TAMBOR 130 LTS COMPLETO BAEZ (TAMBOR Y PALETAS)</t>
  </si>
  <si>
    <t>KIT AIRE 5 PIEZAS C/PISTOLA P/PINTAR GRAVEDAD KLD3041</t>
  </si>
  <si>
    <t>GUANTES DESCARNE ECONOMICO ALSEC</t>
  </si>
  <si>
    <t>AMOLADORA SKIL 4 1/2" 700 W 9002 JR</t>
  </si>
  <si>
    <t>RUEDA NEUMATICA PLASTICO MANUF PLASTICO ND3508CP</t>
  </si>
  <si>
    <t>LAPIZ CARPINTERO 303</t>
  </si>
  <si>
    <t>DESCENSOR ANTIPANICO URBAN URB9250 ANTIPANICO</t>
  </si>
  <si>
    <t>MAMELUCO DESCARTABLE BLANCO 45 GR ALSEC</t>
  </si>
  <si>
    <t>CORREA JC C110</t>
  </si>
  <si>
    <t>VIBRADOR FLEXIBON AF/94 MOTOR NAFTA 48 MM</t>
  </si>
  <si>
    <t xml:space="preserve">ROTOR ESTATOR GRIS O NARANJA IMER MEGAMAQ </t>
  </si>
  <si>
    <t>GRASA DE MULTIUSO INTERLUBE x 1 KG</t>
  </si>
  <si>
    <t>GRASA DE LITIO INTERLUBE 4 KG</t>
  </si>
  <si>
    <t>56x1,8 48x1,8</t>
  </si>
  <si>
    <t>48x1,6 40x1,6</t>
  </si>
  <si>
    <t>CUTTER STANLEY S10209 ALUMINIO</t>
  </si>
  <si>
    <t>HOJA DE SIERRA IRWIN 7 1/4" x 40 IW15230</t>
  </si>
  <si>
    <t>JUEGO DESTORNILLADORES STANLEY S69170</t>
  </si>
  <si>
    <t>MAQUINAS MANUALES</t>
  </si>
  <si>
    <t>PAVIMENTO</t>
  </si>
  <si>
    <t>DESBASTE Y PULIDO</t>
  </si>
  <si>
    <t>PIEDRAS Y GRANITO</t>
  </si>
  <si>
    <t>HOLE NEXT</t>
  </si>
  <si>
    <t>BDA-5</t>
  </si>
  <si>
    <t>BDA-6</t>
  </si>
  <si>
    <t>BDA-8</t>
  </si>
  <si>
    <t>BDA-10</t>
  </si>
  <si>
    <t>BDA-12</t>
  </si>
  <si>
    <t>BDA-S6</t>
  </si>
  <si>
    <t>BDA-S8</t>
  </si>
  <si>
    <t>BDA-S10</t>
  </si>
  <si>
    <t>Broca Diamantada Ø  6 mm - Bolsa 1 Unidad.</t>
  </si>
  <si>
    <t>Broca Diamantada Ø  8 mm - Bolsa 1 Unidad.</t>
  </si>
  <si>
    <t>Broca Diamantada Ø  10 mm - Bolsa 1 Unidad.</t>
  </si>
  <si>
    <t>PATROLL BLACK LINE</t>
  </si>
  <si>
    <t>DISCOS</t>
  </si>
  <si>
    <t>BROCAS DIAMANTADAS</t>
  </si>
  <si>
    <t>BDP-5</t>
  </si>
  <si>
    <t>Broca Diamantada Ø 5 mm</t>
  </si>
  <si>
    <t>BDP-6</t>
  </si>
  <si>
    <t>Broca Diamantada Ø 6 mm</t>
  </si>
  <si>
    <t>BDP-8</t>
  </si>
  <si>
    <t>Broca Diamantada Ø 8 mm</t>
  </si>
  <si>
    <t>BDP-10</t>
  </si>
  <si>
    <t>Broca Diamantada Ø 10 mm</t>
  </si>
  <si>
    <t>BDP-12</t>
  </si>
  <si>
    <t>Broca Diamantada Ø 12 mm</t>
  </si>
  <si>
    <t>GIRO STANDARD</t>
  </si>
  <si>
    <t>GIRO EXTRA</t>
  </si>
  <si>
    <t>GIRO TRIPLEX</t>
  </si>
  <si>
    <t>PERCUSION STD</t>
  </si>
  <si>
    <t>PERCUSION EXTRA</t>
  </si>
  <si>
    <t>ACCESORIOS</t>
  </si>
  <si>
    <t>WIDIA</t>
  </si>
  <si>
    <t>W040-070</t>
  </si>
  <si>
    <t>Broca de Widia Vástago Hexagonal 1/4" Ø 4 x 70</t>
  </si>
  <si>
    <t>W050-085</t>
  </si>
  <si>
    <t>Broca de Widia Vástago Hexagonal 1/4" Ø 5 x 85</t>
  </si>
  <si>
    <t>W060-100</t>
  </si>
  <si>
    <t>Broca de Widia Vástago Hexagonal 1/4" Ø 6 x 100</t>
  </si>
  <si>
    <t>W080-110</t>
  </si>
  <si>
    <t>Broca de Widia Vástago Hexagonal 1/4" Ø 8 x 110</t>
  </si>
  <si>
    <t>W100-130</t>
  </si>
  <si>
    <t>Broca de Widia Vástago Hexagonal 1/4" Ø 10 x 130</t>
  </si>
  <si>
    <t>BROCAS PLUS</t>
  </si>
  <si>
    <t>CINCELES PLUS</t>
  </si>
  <si>
    <t>BROCAS MAX</t>
  </si>
  <si>
    <t>CINCELES MAX</t>
  </si>
  <si>
    <t>CINCELES HEXA</t>
  </si>
  <si>
    <t>FLAP METALES</t>
  </si>
  <si>
    <t>FLAP METALES PLUS</t>
  </si>
  <si>
    <t>FLAP METALES SOFT</t>
  </si>
  <si>
    <t>FLAP CONSTRUCCION Y VIDRIO</t>
  </si>
  <si>
    <t>FIBRA</t>
  </si>
  <si>
    <t>LINEA AMARILLA - INOX/METAL</t>
  </si>
  <si>
    <t>LINEA AMARILLA - METAL</t>
  </si>
  <si>
    <t xml:space="preserve">FLAPS </t>
  </si>
  <si>
    <t>FLAPS  BASE PLASTICA</t>
  </si>
  <si>
    <t>Y115APP40</t>
  </si>
  <si>
    <t>Flap Ø 115 mm - Óxido de Aluminio - Plano - Base Plastica - Grano 40</t>
  </si>
  <si>
    <t>Y115APP60</t>
  </si>
  <si>
    <t>Flap Ø 115 mm - Óxido de Aluminio - Plano - Base Plastica - Grano 60</t>
  </si>
  <si>
    <t>Y115APP80</t>
  </si>
  <si>
    <t>Flap Ø 115 mm - Óxido de Aluminio - Plano - Base Plastica - Grano 80</t>
  </si>
  <si>
    <t>Y115APP120</t>
  </si>
  <si>
    <t>Flap Ø 115 mm - Óxido de Aluminio - Plano - Base Plastica - Grano 120</t>
  </si>
  <si>
    <t>Y180APP40</t>
  </si>
  <si>
    <t>Flap Ø 180 mm - Óxido de Aluminio - Plano - Base Plastica - Grano 40</t>
  </si>
  <si>
    <t>Y180APP60</t>
  </si>
  <si>
    <t>Flap Ø 180 mm - Óxido de Aluminio - Plano - Base Plastica - Grano 60</t>
  </si>
  <si>
    <t>Y180APP80</t>
  </si>
  <si>
    <t>Flap Ø 180 mm - Óxido de Aluminio - Plano - Base Plastica - Grano 80</t>
  </si>
  <si>
    <t>Y180APP120</t>
  </si>
  <si>
    <t>Flap Ø 180 mm - Óxido de Aluminio - Plano - Base Plastica - Grano 120</t>
  </si>
  <si>
    <t>Y115ZPP40</t>
  </si>
  <si>
    <t>Flap Ø 115 mm - Zirconio- Plano - Base Plastica - Grano 40</t>
  </si>
  <si>
    <t>Y115ZPP60</t>
  </si>
  <si>
    <t>Flap Ø 115 mm - Zirconio- Plano - Base Plastica - Grano 60</t>
  </si>
  <si>
    <t>Y115ZPP80</t>
  </si>
  <si>
    <t>Flap Ø 115 mm - Zirconio- Plano - Base Plastica - Grano 80</t>
  </si>
  <si>
    <t>Y115ZPP120</t>
  </si>
  <si>
    <t>Flap Ø 115 mm - Zirconio- Plano - Base Plastica - Grano 120</t>
  </si>
  <si>
    <t>Y180ZPP40</t>
  </si>
  <si>
    <t>Flap Ø 180 mm - Zirconio - Plano - Base Plastica - Grano 40</t>
  </si>
  <si>
    <t>Y180ZPP60</t>
  </si>
  <si>
    <t>Flap Ø 180 mm - Zirconio - Plano - Base Plastica - Grano 60</t>
  </si>
  <si>
    <t>Y180ZPP80</t>
  </si>
  <si>
    <t>Flap Ø 180 mm - Zirconio - Plano - Base Plastica - Grano 80</t>
  </si>
  <si>
    <t>Y180ZPP120</t>
  </si>
  <si>
    <t>Flap Ø 180 mm - Zirconio - Plano - Base Plastica - Grano 120</t>
  </si>
  <si>
    <t>Flap Ø 115 mm - Carburo Silicio- Plano - Base Plastica - Grano 36</t>
  </si>
  <si>
    <t>Flap Ø 115 mm - Carburo Silicio- Plano - Base Plastica - Grano 60</t>
  </si>
  <si>
    <t>Flap Ø 115 mm - Carburo Silicio- Plano - Base Plastica - Grano 80</t>
  </si>
  <si>
    <t>Flap Ø 115 mm - Carburo Silicio- Plano - Base Plastica - Grano 120</t>
  </si>
  <si>
    <t>Flap Ø 115 mm - Carburo Silicio- Plano - Base Plastica - Grano 220</t>
  </si>
  <si>
    <t>Flap Ø 115 mm - Carburo Silicio- Plano - Base Plastica - Grano 400</t>
  </si>
  <si>
    <t>Y115CPP36</t>
  </si>
  <si>
    <t>Y115CPP60</t>
  </si>
  <si>
    <t>Y115CPP80</t>
  </si>
  <si>
    <t>Y115CPP120</t>
  </si>
  <si>
    <t>Y115CPP220</t>
  </si>
  <si>
    <t>Y115CPP400</t>
  </si>
  <si>
    <t>Y180CPP36</t>
  </si>
  <si>
    <t>Flap Ø 180 mm - Carburo Silicio- Plano - Base Plastica - Grano 36</t>
  </si>
  <si>
    <t>Y180CPP60</t>
  </si>
  <si>
    <t>Flap Ø 180 mm - Carburo Silicio- Plano - Base Plastica - Grano 60</t>
  </si>
  <si>
    <t>Y180CPP80</t>
  </si>
  <si>
    <t>Flap Ø 180 mm - Carburo Silicio- Plano - Base Plastica - Grano 80</t>
  </si>
  <si>
    <t>Y180CPP120</t>
  </si>
  <si>
    <t>Flap Ø 180 mm - Carburo Silicio- Plano - Base Plastica - Grano 120</t>
  </si>
  <si>
    <t>Y180CPP220</t>
  </si>
  <si>
    <t>Flap Ø 180 mm - Carburo Silicio- Plano - Base Plastica - Grano 220</t>
  </si>
  <si>
    <t>Y180CPP400</t>
  </si>
  <si>
    <t>Flap Ø 180 mm - Carburo Silicio- Plano - Base Plastica - Grano 400</t>
  </si>
  <si>
    <t>REPUESTO CUCHILLAS PARA CUTTER x UNIDAD ASSIST</t>
  </si>
  <si>
    <t>PINZA MEDIA CAÑA 8" METZ 19418</t>
  </si>
  <si>
    <t>TENAZA CARPINTERO 8" METZ 620508</t>
  </si>
  <si>
    <t>ANTEOJO STEELPRO GRAVITY 201045959 / 201045958</t>
  </si>
  <si>
    <t>ANTEOJO STEELPRO SPY FLEX GRIS 201020232</t>
  </si>
  <si>
    <t>RUEDA COMPACTA HOFER (8353/8354)</t>
  </si>
  <si>
    <t>ALAMBRE DE FARDO 16 1,6 MM A GRANEL POR 65 KG ACINDAR (AN16V)</t>
  </si>
  <si>
    <t>CARTEL BALIZA 80 X 22 CM ERAM</t>
  </si>
  <si>
    <t>AMOLADORA DEWALT 4 1/2" 4020 800 W</t>
  </si>
  <si>
    <t>REFLECTOR LED 30 W MAT.ELECTRICOS JEG</t>
  </si>
  <si>
    <t>REFLECTOR LED 20 W MAT.ELECTRICOS LIGHT LION</t>
  </si>
  <si>
    <t>CORTADORA DE HORMIGON 4 1/2" MKTM0400G</t>
  </si>
  <si>
    <t>TIJERA CORTA CAÑO PVC HASTA 42 MM AON420 LOUREIRO</t>
  </si>
  <si>
    <t>CINTURON DE SEG.S/COLA AMARRE ESLINGAR WXEHA13B (= WXEKA13A PERO AGREGA REGULADOR EN HOMBROS)</t>
  </si>
  <si>
    <t>CINTURON DE SEG.C/COLA AMARRE ESLINGAR KIT003 (WXEHA13A + CV1026AC)</t>
  </si>
  <si>
    <t>BANQUETA DE SILLETA ESLINGAR WXESILL02 (CON SOGA)</t>
  </si>
  <si>
    <t>BANQUETA DE SILLETA ESLINGAR WXESILL01  (CON CINTA)</t>
  </si>
  <si>
    <t>MOSQUETON ESLINGAR HIERRO BORDO WXEMOS11525</t>
  </si>
  <si>
    <t>MOSQUETON ESLINGAR 002 ALUMINIO AZUL WXEMOS002TR10</t>
  </si>
  <si>
    <t>PINZA NIVELADORA DE ARCO DE PLASTICO reiner PA-2</t>
  </si>
  <si>
    <t>BOTIN DE SEG. PAMPERO</t>
  </si>
  <si>
    <t>CORTAHIERRO 35 CM ROSSANA</t>
  </si>
  <si>
    <t>MECHA GUSANO P/MADERA IRWIN 3/4" 19x400 111750</t>
  </si>
  <si>
    <t>SOLDADORA ISARD 80-315 250 AMP</t>
  </si>
  <si>
    <r>
      <t xml:space="preserve">MOTOR DAF 1 HP MONOF. ECO </t>
    </r>
    <r>
      <rPr>
        <sz val="12"/>
        <color indexed="10"/>
        <rFont val="Arial"/>
        <family val="2"/>
      </rPr>
      <t>(VER DÓLAR)</t>
    </r>
  </si>
  <si>
    <t>RUEDA GIRAT. FUNDICION/GOMA C/FRENO (200) POLO R226</t>
  </si>
  <si>
    <t>CLAVO PUNTA PARIS 2 1/2" POR CAJA 20 KILOS FRACC. CPP25</t>
  </si>
  <si>
    <t>ESPATULA BIASSONI 50 MM C/PLASTICO BIA0450</t>
  </si>
  <si>
    <t>ESPATULA BIASSONI 60 MM C/PLASTICO BIA0460</t>
  </si>
  <si>
    <t>ESPATULA BIASSONI 70 MM C/PLASTICO BIA0470</t>
  </si>
  <si>
    <t>MECHA PALA 22 TACTIX TX411627</t>
  </si>
  <si>
    <t>MECHA PALA 13 TACTIX TX411611</t>
  </si>
  <si>
    <t>MECHA PALA 14 TACTIX TX411613</t>
  </si>
  <si>
    <t>MECHA PALA 16 TACTIX TX411617</t>
  </si>
  <si>
    <t>MECHA PALA 18 TACTIX TX411621</t>
  </si>
  <si>
    <t>MECHA PALA 20 TACTIX TX411625</t>
  </si>
  <si>
    <t>MECHA PALA 25 TACTIX TX411631</t>
  </si>
  <si>
    <t>CORTADORA DE CERAMICA "RUBI" FAST 85 SIN BOLSO RU13941</t>
  </si>
  <si>
    <t>LLAVE TERMICA 3x32 AMP</t>
  </si>
  <si>
    <t>PULVERIZADOR GE-WS 18/35 3425210 + STARTER KIT 4,0 CARGADOR 4512042</t>
  </si>
  <si>
    <t>APAREJO ELECTRICO 250- 500 KG KLDAE500</t>
  </si>
  <si>
    <t>MACHETE 20" KLD451</t>
  </si>
  <si>
    <t>MASCARA PARA SOLDAR FOTOSENSIBLE KLD1079</t>
  </si>
  <si>
    <t>PINZA PICOLORO 10" KLD K11041</t>
  </si>
  <si>
    <t>PULVERIZADOR PLASTICO 2 LTS KLD365</t>
  </si>
  <si>
    <t>ROSCADORA DE PIE 1/2" A 2" KLDR02</t>
  </si>
  <si>
    <t>ROSCADORA DE PIE 1/2" A 4" KLDR04</t>
  </si>
  <si>
    <t>SOLDADORA INVERTER KLD 160 AMP KLDSI160</t>
  </si>
  <si>
    <t>SOLDADORA INVERTER KLD 200 AMP KLDSI200</t>
  </si>
  <si>
    <t>SOLDADORA INVERTER KLD 250 AMP KLDSI250</t>
  </si>
  <si>
    <t>LLANA RASCADOR 250x144 RUBI RU65962</t>
  </si>
  <si>
    <t>MEZCLADOR ELECTRICO RUBIMIX 9 RU25940</t>
  </si>
  <si>
    <t>MEZCLADOR ELECTRICO RUBIMIX 7 RU26900</t>
  </si>
  <si>
    <t>PINZA PICOLORO STANLEY 84110</t>
  </si>
  <si>
    <t>PINZA STANLEY DE FUERZA 84369</t>
  </si>
  <si>
    <t>SENSITIVA STANLEY 2100 W SSC22</t>
  </si>
  <si>
    <t>SENSITIVA STANLEY 2000 W STEL701</t>
  </si>
  <si>
    <t>TALADRO STANLEY 800 W STDH8013</t>
  </si>
  <si>
    <t>TALADRO STANLEY SDH700K</t>
  </si>
  <si>
    <t>SARGENTO 60 CM AUTOMATICO TACTIX TX215605</t>
  </si>
  <si>
    <t>NIVEL SOLA TORPEDO MAGNETICO SOPTM5</t>
  </si>
  <si>
    <t>NIVEL SOLA BOLSILLO 10 CM SOR102</t>
  </si>
  <si>
    <t>SOGA 12 MM NYLON PARA OCHO THOR</t>
  </si>
  <si>
    <t>SIERRA CIRCULAR TE-CS 190/1 1500W C/LUZ Y BASE ALUMINIO - 4330973</t>
  </si>
  <si>
    <t>SIERRA CIRCULAR PORTATIL TH-CS 1600 - 1500W - 4472056</t>
  </si>
  <si>
    <t>PULVERIZADOR PLASTICO 5 LTS KLD367</t>
  </si>
  <si>
    <t>AMOLADORA DEWALT 4 1/2" 4118 950 W</t>
  </si>
  <si>
    <t>AMOLADORA DEWALT 4 1/2" 4120 900 W</t>
  </si>
  <si>
    <t>SERRUCHO IRIMO 22" 8002281 DIENTES TEMPLADOS</t>
  </si>
  <si>
    <t>PICO PUNTA Y PALA TRAMONTINA S/CABO 95 MM TRA80</t>
  </si>
  <si>
    <t>RODILLERA RUBI PROFESIONAL FLEX 81994</t>
  </si>
  <si>
    <t xml:space="preserve">PULVERIZADOR PLASTICO 1 LT </t>
  </si>
  <si>
    <t>DISCO TYROLIT 7" METAL XPERT 103-01-01-178160</t>
  </si>
  <si>
    <t>HORMIGONERA 130 LTS "LASSO" C/MOTOR 1 HP (3052)</t>
  </si>
  <si>
    <t>SOLDADORA LINCE INVERTER 200 AMP (3326)</t>
  </si>
  <si>
    <t>SOLDADORA LINCE INVERTER 250 AMP (3327)</t>
  </si>
  <si>
    <t>PROBETA ALUMINIO 15 x 30 cm (ALUMINCA)</t>
  </si>
  <si>
    <t>MOTOR WEG 2 HP TRIFASICO</t>
  </si>
  <si>
    <t>NUDO FIJO FUNDICION MMQ</t>
  </si>
  <si>
    <t>NUDO GIRATORIO FUNDICION MMQ</t>
  </si>
  <si>
    <t>DISCO TYROLIT 9" METAL XPERT 103-01-01-230190</t>
  </si>
  <si>
    <t>MECHA PALA IRWIN 5/8 16X150 111579</t>
  </si>
  <si>
    <t>CINTA AISLADORA 15 PLUS x 20 MTS</t>
  </si>
  <si>
    <t>PINZA MASA 500 AMP ISARD 80714</t>
  </si>
  <si>
    <t>PINZA MASA 300 AMP ISARD 80713</t>
  </si>
  <si>
    <t>PINZA MASA 300 AMP L&amp;R N2M</t>
  </si>
  <si>
    <t>PINZA PORTAELECTRODOS 500 AMP L&amp;R</t>
  </si>
  <si>
    <t>TERMOMETRO DIGITAL HG01 CON 2 PILAS</t>
  </si>
  <si>
    <t>FAJA LUMBAR PROMAX 6 BALLENAS</t>
  </si>
  <si>
    <t>AMOLADORA MAKITA 9" 2200 W 9060</t>
  </si>
  <si>
    <t>RASPINES 15 / 20 / 25 CM</t>
  </si>
  <si>
    <t>ALCOHOL EN GEL x 5 LTS ITURRIA (OFERTA OTRO)</t>
  </si>
  <si>
    <t>ALCOHOL ETANOL AL 70 % x 5 LTS ITURRIA (OFERTA OTRO)</t>
  </si>
  <si>
    <t>LINGA CON OJAL 3 TN x 2 MTS</t>
  </si>
  <si>
    <t>TALADRO INALAMBRICO TE-CD 18/2 LI KIT - 4513830</t>
  </si>
  <si>
    <t>SET DE PUNTAS IMPACT KWD 37 PIEZAS 49109000</t>
  </si>
  <si>
    <t>KIT 32 PUNTAS 49118490</t>
  </si>
  <si>
    <t>GANCHO DE ACERO C/TRABA FIJO 0,5 TN GIORDANO</t>
  </si>
  <si>
    <t>VIBRADOR MMQ AGUJA 35 MOCHILA MOTOR MMQ</t>
  </si>
  <si>
    <t>CINTURON DE SEG.C/COLA AMARRE ESLINGAR KIT002 (WXEHA13A + CV21) ARNES</t>
  </si>
  <si>
    <t xml:space="preserve">MOTOR MOTORARG 2 HP TRIF. MT 90 L1-4 </t>
  </si>
  <si>
    <t>PERILLA DE AJUSTE MANGUERA VIBRADOR FLEXI</t>
  </si>
  <si>
    <t>ACOPLE MACHO MANGUERA VIBRADOR FLEXI</t>
  </si>
  <si>
    <t>PILA ENERGIZER 4 AA + 2 AAA BLISTER</t>
  </si>
  <si>
    <t>AMOLADORA BOSCH 5" GWS 9-125 P</t>
  </si>
  <si>
    <t>CORREA JC A24 / A25 / A26 / A27</t>
  </si>
  <si>
    <t>SOPORTE GIRATORIO APAREJO DEPER</t>
  </si>
  <si>
    <t>DISCO TYROLIT 7" METAL SECURE EXTRA 101-01-01-178160</t>
  </si>
  <si>
    <t>AMOLADORA BOSCH 9" GWS 28-230</t>
  </si>
  <si>
    <t>PIOLIN DE ALGODÓN OVILLO NRO 27 KAGEN</t>
  </si>
  <si>
    <t>19 21 98</t>
  </si>
  <si>
    <t>MECHA BIASSONI 3/8 PARA TALADRO DE MANO BIA238</t>
  </si>
  <si>
    <t>MECHA BIASSONI 1/2 PARA TALADRO DE MANO BIA212</t>
  </si>
  <si>
    <t>MECHA BIASSONI 3/8 PARA TALADRO ELECTRICO BIA538</t>
  </si>
  <si>
    <t>MECHA BIASSONI 1/2 PARA TALADRO ELECTRICO BIA512</t>
  </si>
  <si>
    <t xml:space="preserve">GUANTES VAQUETA </t>
  </si>
  <si>
    <t>CONO VIAL 65 CM REFLECTIVO C/BASE</t>
  </si>
  <si>
    <t>COLA DE AMARRE COD 20</t>
  </si>
  <si>
    <t>PANTALON DE TRABAJO NARANJA / AZUL MARINO</t>
  </si>
  <si>
    <t>CAMISA DE TRABAJO NARANJA / AZUL MARINO</t>
  </si>
  <si>
    <t>14 48 21</t>
  </si>
  <si>
    <t>BARBIJO TAPABOCA LAVABLE</t>
  </si>
  <si>
    <t>ARCO DE SIERRA KLD2020</t>
  </si>
  <si>
    <t>PULVERIZADOR PLASTICO 8 LTS KLD368</t>
  </si>
  <si>
    <t>MARTILLO PERF. MAKITA HR 2470 X6 C/MALETIN</t>
  </si>
  <si>
    <t>ESTRIBERA 20 ROSSANA</t>
  </si>
  <si>
    <t>AFILADO JABALINA</t>
  </si>
  <si>
    <t>PORTAHERRAMIENTAS CLAVERA CUERO DURLERO (CONJUNTO 4 PIEZAS)</t>
  </si>
  <si>
    <t>PORTAHERRAMIENTAS CLAVERA CUERO CARPINTERO (CONJUNTO 4 PIEZAS)</t>
  </si>
  <si>
    <t>MAZA 2000 GRS VIRGA</t>
  </si>
  <si>
    <t>PLATAFORMA PARA TORRE MET ROSARIO</t>
  </si>
  <si>
    <t>ESCALERA PINTOR DOBLE ACCESO 11 ESC. 136 kg</t>
  </si>
  <si>
    <t>RODAMIENTO 6005</t>
  </si>
  <si>
    <t>RODAMIENTO 629</t>
  </si>
  <si>
    <t>RODAMIENTO 627</t>
  </si>
  <si>
    <t xml:space="preserve">RODAMIENTO 6203 2 RSH </t>
  </si>
  <si>
    <t>21 33</t>
  </si>
  <si>
    <t>CUTTER KLD 058</t>
  </si>
  <si>
    <t>CUTTER KLD 791</t>
  </si>
  <si>
    <t>CORTADORA DE CERAMICA "RUBI" STAR 63 PLATINUM C/MALETIN RU15904</t>
  </si>
  <si>
    <t>CORTADORA DE CERAMICA "RUBI" STAR 63 CAJA CARTON PLATINUM RU15902</t>
  </si>
  <si>
    <t>ESCUADRA MAGNETICA CHICA 50 80717 KLD150</t>
  </si>
  <si>
    <t>ESCUADRA MAGNETICA GRANDE 80718 KLD151</t>
  </si>
  <si>
    <t>SERRUCHIN DURLOCK FILO TRATADO TACTIX 266051</t>
  </si>
  <si>
    <t>LAPIZ CARPINTERO COMET CORTO</t>
  </si>
  <si>
    <t>CORONA DE VOLTEO MOB 400</t>
  </si>
  <si>
    <t>TRAMO DE TORRE CON GUIA MR</t>
  </si>
  <si>
    <t>CUBRE HOJA SUPERIOR PARA MESA DE SIERRA</t>
  </si>
  <si>
    <t>GENERADOR SHIMURA KGE6500TCE 5,5 KW MONO 13 HP</t>
  </si>
  <si>
    <t>PALA ANCHA GHERARDI ESTAMPADA GHE110</t>
  </si>
  <si>
    <t>PALA ANCHA GHERARDI FORJADA GHE100</t>
  </si>
  <si>
    <t>PALA ANCHA GHERARDI FORJADA CABO HIERRO GHE123</t>
  </si>
  <si>
    <t>PALA CORAZON GHERARDI FORJADA GHE104</t>
  </si>
  <si>
    <t>PALA ESCOCESA GHERARDI FORJADA GHE113</t>
  </si>
  <si>
    <t>PALA PUNTA GHERARDI ESTAMPADA GHE118</t>
  </si>
  <si>
    <t>PALA PUNTA GHERARDI FORJADA GHE105</t>
  </si>
  <si>
    <t>PICO PUNTA Y PALA GHERARDI C/CABO 76 MM GHE076</t>
  </si>
  <si>
    <t>PICO PUNTA Y PALA GHERARDI S/CABO 76 MM GHE76</t>
  </si>
  <si>
    <t>GUANTES LATEX NEGRO REFORZADO TAC110</t>
  </si>
  <si>
    <t>GUANTES LATEX NEGRO LIVIANO TAC10</t>
  </si>
  <si>
    <t>CINTURON DE SEG.S/COLA AMARRE COD 212 (3622-1)</t>
  </si>
  <si>
    <t>CRIQUET TENSOR ESLINGAR 30961</t>
  </si>
  <si>
    <t>ALAMBRON 6,00 MM POR 50 KG HERPACO</t>
  </si>
  <si>
    <t>TIJERA CORTAPERNO 750 MM HAMILTON CP300</t>
  </si>
  <si>
    <t>BASE PARA TORRE MR</t>
  </si>
  <si>
    <t>ENGRASADOR 3 KG VULCANO MANGUERA RAYON VUL3</t>
  </si>
  <si>
    <t>ENGRASADOR 4 KG VULCANO MANGUERA RAYON VUL4</t>
  </si>
  <si>
    <t>ENGRASADOR 15 KG VULCANO MANGUERA RAYON VUL15</t>
  </si>
  <si>
    <t>41 76</t>
  </si>
  <si>
    <t>CAJA PLASTICA 115x115x50</t>
  </si>
  <si>
    <t>CORONAMIENTO PARA TORRE CON PASTECA MR</t>
  </si>
  <si>
    <t>MARTILLO GALPONERO VIRGA</t>
  </si>
  <si>
    <t>HORMIGONERA VOLTEO 400 LTS DAGGER C/MOTOR MONOF</t>
  </si>
  <si>
    <t>MANGO P/FRATACHO ALUMINIO MMQ</t>
  </si>
  <si>
    <t>CABEZAL PARA FRATACHO ALUMINIO BON</t>
  </si>
  <si>
    <t>CINTA METRICA KLD 8 MTS KLDCM8</t>
  </si>
  <si>
    <t>JUEGO DESTORNILLADORES TACTIX 4 PIEZAS TX205435</t>
  </si>
  <si>
    <t>REGLA DE ALUMINIO 2 MTS 3"X1"</t>
  </si>
  <si>
    <t>GUINCHE IORI 1000 KG. TRIF. C/TELECOMANDO MMQ DT1000 (50 MTS)</t>
  </si>
  <si>
    <t>MOTOR MMQ 6,5 HP M65</t>
  </si>
  <si>
    <t>MOTOR MMQ 13 HP M130</t>
  </si>
  <si>
    <t>VIBRADOR MMQ AGUJA 38 MOCHILA MOTOR HONDA GX35</t>
  </si>
  <si>
    <t>MARTILLO DEM. BTIMAQ 16 KG 60 J (SALBOM)</t>
  </si>
  <si>
    <t>COPA DIAMANTADA BOSCH 4 1/2" 2608601761 MUELA</t>
  </si>
  <si>
    <t>AMOLADORA BOSCH 9" GWS 25-230</t>
  </si>
  <si>
    <t>AMOLADORA BOSCH 7" GWS 25-180</t>
  </si>
  <si>
    <t>HOJA DE SIERRA BOSCH 9"x24 D ECO 2608644332</t>
  </si>
  <si>
    <t>GENERADOR SHIMURA KGE9500MYT 9,5 KW ARRANQUE ELECTRICO MONO Y TRIF</t>
  </si>
  <si>
    <t>CARBON XSE 112</t>
  </si>
  <si>
    <t>CARBON XSE 270</t>
  </si>
  <si>
    <t>SOGA 14 MM NYLON PARA SALVACAIDA T4 S14M</t>
  </si>
  <si>
    <t>SOGA 11 MM NYLON PARA DESCENSOR SEMIESTATICA VENOM/VECTOR</t>
  </si>
  <si>
    <t>CRIQUET TENSOR ESLINGAR WXEECT250084GJ 1 TN x 4 MTS</t>
  </si>
  <si>
    <t>CRIQUET TENSOR ESLINGAR WXEECT250154GJ 1,5 TN x 4 MTS</t>
  </si>
  <si>
    <t>HOJA DE SIERRA BOSCH 10"x60 D 2608640908</t>
  </si>
  <si>
    <t>HOJA DE SIERRA BOSCH 12"x60 D 2608640914</t>
  </si>
  <si>
    <t>HOJA DE SIERRA BOSCH 14"x80 D MULTIMATERIAL 2608642212</t>
  </si>
  <si>
    <t>EMPUÑADURA MARTILLO BOSCH 11316 - 2602025076</t>
  </si>
  <si>
    <t>ROTOR SIERRA CIRCULAR SKIL 5402 1604010B50</t>
  </si>
  <si>
    <t>SERVICE PACK 11316 10 kg 1617000190</t>
  </si>
  <si>
    <t>SERVICE PACK 11335 16 kg 1617000702</t>
  </si>
  <si>
    <t>SERVICE PACK 11304 30 kg 1617000426</t>
  </si>
  <si>
    <t>Precio Lista Unitario sin IVA (Nueva)</t>
  </si>
  <si>
    <t>Ingrese Tipo de Cambio y descuentos</t>
  </si>
  <si>
    <t>Tipo de Cambio</t>
  </si>
  <si>
    <t>Descuento Categoria</t>
  </si>
  <si>
    <t>Descuento Pack</t>
  </si>
  <si>
    <t>PRECIOS</t>
  </si>
  <si>
    <t>Marca</t>
  </si>
  <si>
    <t>Modelo</t>
  </si>
  <si>
    <t>Artículo</t>
  </si>
  <si>
    <t>Descripción</t>
  </si>
  <si>
    <t>Unidades por Pack</t>
  </si>
  <si>
    <t xml:space="preserve">Costo Producto Unitario sin IVA </t>
  </si>
  <si>
    <t>BPS-4.5G</t>
  </si>
  <si>
    <t>Brazing Periférico Segmentado Ø 4,5" - Grano Grueso</t>
  </si>
  <si>
    <t>BPS-7G</t>
  </si>
  <si>
    <t>Brazing Periférico Segmentado Ø 7" - Grano Grueso</t>
  </si>
  <si>
    <t>BPS-9G</t>
  </si>
  <si>
    <t>Brazing Periférico Segmentado Ø 9" - Grano Grueso</t>
  </si>
  <si>
    <t>BPS-4.5F</t>
  </si>
  <si>
    <t>Brazing Periférico Segmentado Ø 4,5" - Grano Fino</t>
  </si>
  <si>
    <t>BPS-7F</t>
  </si>
  <si>
    <t>Brazing Periférico Segmentado Ø 7" - Grano Fino</t>
  </si>
  <si>
    <t>BPS-9F</t>
  </si>
  <si>
    <t>Brazing Periférico Segmentado Ø 9" - Grano Fino</t>
  </si>
  <si>
    <t>ESPECIALES</t>
  </si>
  <si>
    <t>LS-7AB-CD</t>
  </si>
  <si>
    <t xml:space="preserve">Centro Deprimido - Láser Abrasivo - Ø 7" </t>
  </si>
  <si>
    <t>LS-9AB-CD</t>
  </si>
  <si>
    <t xml:space="preserve">Centro Deprimido - Láser Abrasivo - Ø 9" </t>
  </si>
  <si>
    <t>LS-7C-CD</t>
  </si>
  <si>
    <t xml:space="preserve">Centro Deprimido - Láser Concreto - Ø 7" </t>
  </si>
  <si>
    <t>LS-9C-CD</t>
  </si>
  <si>
    <t xml:space="preserve">Centro Deprimido - Láser Concreto - Ø 9" </t>
  </si>
  <si>
    <t>STR-7-CD</t>
  </si>
  <si>
    <t>Centro Deprimido - Super Turbo - Ø 7" - Alma Ondulada</t>
  </si>
  <si>
    <t>STR-9-CD</t>
  </si>
  <si>
    <t>Centro Deprimido - Super Turbo - Ø 9" - Alma Ondulada</t>
  </si>
  <si>
    <t>STF-7-CD</t>
  </si>
  <si>
    <t>Centro Deprimido - Stone Fire Turbo - Ø 7" - Alma Plana</t>
  </si>
  <si>
    <t>STF-9-CD</t>
  </si>
  <si>
    <t>Centro Deprimido - Stone Fire Turbo - Ø 9" - Alma Plana</t>
  </si>
  <si>
    <t>TR-7-CD</t>
  </si>
  <si>
    <t>Centro Deprimido - Turbo - Ø 7" - Alma Plana</t>
  </si>
  <si>
    <t>TR-9-CD</t>
  </si>
  <si>
    <t>Centro Deprimido - Turbo - Ø 9" - Alma Plana</t>
  </si>
  <si>
    <t>DJ</t>
  </si>
  <si>
    <t>Disco Para Juntas - Ø 4,5"</t>
  </si>
  <si>
    <t>DF</t>
  </si>
  <si>
    <t>Disco Para Fisuras -  Ø 3,6" (92 mm)</t>
  </si>
  <si>
    <t>DTC-4.5</t>
  </si>
  <si>
    <t>Disco Corte Curvo - Ø 4,5"</t>
  </si>
  <si>
    <t>XL6-5000</t>
  </si>
  <si>
    <t>Disco especial para corte temprano - Ø  6"</t>
  </si>
  <si>
    <t>XL8-5000</t>
  </si>
  <si>
    <t>Disco especial para corte temprano - Ø  8"</t>
  </si>
  <si>
    <t>XL9-5000</t>
  </si>
  <si>
    <t>Disco especial para corte temprano - Ø  9"</t>
  </si>
  <si>
    <t>XL10-5000</t>
  </si>
  <si>
    <t>Disco especial para corte temprano - Ø  10"</t>
  </si>
  <si>
    <t>PLA-1/L</t>
  </si>
  <si>
    <t>Placa Separadora - Ø Interior 50 mm - Espesor 0,85 mm - Ø 120 mm</t>
  </si>
  <si>
    <t>PLA-1/S</t>
  </si>
  <si>
    <t>Placa Separadora - Ø Interior 25.4 mm - Espesor 0,85 mm - Ø 120 mm</t>
  </si>
  <si>
    <t>PLA-2/L</t>
  </si>
  <si>
    <t>Placa Separadora - Ø Interior 50 mm - Espesor 1,65 mm - Ø 250 mm</t>
  </si>
  <si>
    <t>PLA-2/S</t>
  </si>
  <si>
    <t>Placa Separadora - Ø Interior 25.4 mm - Espesor 1,65 mm - Ø 250 mm</t>
  </si>
  <si>
    <t>PERFORACION</t>
  </si>
  <si>
    <t>BG-1</t>
  </si>
  <si>
    <t>Copa Sierra Diamantada - Ø 1"</t>
  </si>
  <si>
    <t>BG-1.25</t>
  </si>
  <si>
    <t>Copa Sierra Diamantada - Ø 1,25"</t>
  </si>
  <si>
    <t>BG-35</t>
  </si>
  <si>
    <t>Copa Sierra Diamantada - Ø 1 3/8"</t>
  </si>
  <si>
    <t>BG-2</t>
  </si>
  <si>
    <t>Copa Sierra Diamantada - Ø 2"</t>
  </si>
  <si>
    <t>BG-3</t>
  </si>
  <si>
    <t xml:space="preserve">Copa Sierra Diamantada - Ø 3" </t>
  </si>
  <si>
    <t>BG-4</t>
  </si>
  <si>
    <t>Copa Sierra Diamantada - Ø 4"</t>
  </si>
  <si>
    <t>GAS-1</t>
  </si>
  <si>
    <t>Acople para Broca - Ø 1 - Rosca Gas ½”</t>
  </si>
  <si>
    <t>GAS-1.25</t>
  </si>
  <si>
    <t>Acople para Broca - Ø 1 ¼” - Rosca Gas ½”</t>
  </si>
  <si>
    <t>GAS-2</t>
  </si>
  <si>
    <t>Acople para Broca - Ø 2” - Rosca Gas ½”</t>
  </si>
  <si>
    <t>GAS-2.5</t>
  </si>
  <si>
    <t>Acople para Broca - Ø 2 ½” - Rosca Gas ½”</t>
  </si>
  <si>
    <t>GAS-3</t>
  </si>
  <si>
    <t>Acople para Broca - Ø 3” - Rosca Gas ½”</t>
  </si>
  <si>
    <t>GAS-3.5</t>
  </si>
  <si>
    <t>Acople para Broca - Ø 3 ½” - Rosca Gas ½”</t>
  </si>
  <si>
    <t>GAS-4</t>
  </si>
  <si>
    <t>Acople para Broca - Ø 4” - Rosca Gas ½”</t>
  </si>
  <si>
    <t>GAS-5</t>
  </si>
  <si>
    <t>Acople para Broca - Ø 5” - Rosca Gas ½”</t>
  </si>
  <si>
    <t>UNC-2.5</t>
  </si>
  <si>
    <t>Acople para Broca - Ø 2 ½” - Rosca Unc 1 ¼”</t>
  </si>
  <si>
    <t>UNC-3</t>
  </si>
  <si>
    <t>Acople para Broca - Ø 3” - Rosca Unc 1 ¼”</t>
  </si>
  <si>
    <t>UNC-3.5</t>
  </si>
  <si>
    <t xml:space="preserve">Acople para Broca - Ø 3 ½” - Rosca Unc 1 ¼” </t>
  </si>
  <si>
    <t>UNC-4</t>
  </si>
  <si>
    <t>Acople para Broca - Ø 4” - Rosca Unc 1 ¼”</t>
  </si>
  <si>
    <t>UNC-5</t>
  </si>
  <si>
    <t xml:space="preserve">Acople para Broca - Ø 5” - Rosca Unc 1 ¼” </t>
  </si>
  <si>
    <t>UNC-6</t>
  </si>
  <si>
    <t>Acople para Broca - Ø 6” - Rosca Unc 1 ¼”</t>
  </si>
  <si>
    <t>UNC-8</t>
  </si>
  <si>
    <t xml:space="preserve">Acople para Broca - Ø 8” - Rosca Unc 1 ¼” </t>
  </si>
  <si>
    <t>UNC-10</t>
  </si>
  <si>
    <t xml:space="preserve">Acople para Broca - Ø 10” - Rosca Unc 1 ¼” </t>
  </si>
  <si>
    <t>UNC-12</t>
  </si>
  <si>
    <t xml:space="preserve">Acople para Broca - Ø 12” - Rosca Unc 1 ¼” </t>
  </si>
  <si>
    <t>TUB-1</t>
  </si>
  <si>
    <t xml:space="preserve">Tubo de extensión para Broca - Ø 1” </t>
  </si>
  <si>
    <t>TUB-1.25</t>
  </si>
  <si>
    <t xml:space="preserve">Tubo de extensión para Broca - Ø 1 ¼” </t>
  </si>
  <si>
    <t>TUB-2</t>
  </si>
  <si>
    <t xml:space="preserve">Tubo de extensión para Broca - Ø 2” </t>
  </si>
  <si>
    <t>TUB-2.5</t>
  </si>
  <si>
    <t xml:space="preserve">Tubo de extensión para Broca - Ø 2 ½” </t>
  </si>
  <si>
    <t>TUB-3</t>
  </si>
  <si>
    <t xml:space="preserve">Tubo de extensión para Broca - Ø 3” </t>
  </si>
  <si>
    <t>TUB-3.5</t>
  </si>
  <si>
    <t xml:space="preserve">Tubo de extensión para Broca - Ø 3 ½” </t>
  </si>
  <si>
    <t>TUB-4</t>
  </si>
  <si>
    <t xml:space="preserve">Tubo de extensión para Broca - Ø 4” </t>
  </si>
  <si>
    <t>TUB-5</t>
  </si>
  <si>
    <t xml:space="preserve">Tubo de extensión para Broca - Ø 5” </t>
  </si>
  <si>
    <t>TUB-6</t>
  </si>
  <si>
    <t xml:space="preserve">Tubo de extensión para Broca - Ø 6” </t>
  </si>
  <si>
    <t>TUB-8</t>
  </si>
  <si>
    <t xml:space="preserve">Tubo de extensión para Broca - Ø 8” </t>
  </si>
  <si>
    <t>TUB-10</t>
  </si>
  <si>
    <t xml:space="preserve">Tubo de extensión para Broca - Ø 10” </t>
  </si>
  <si>
    <t>TUB-12</t>
  </si>
  <si>
    <t xml:space="preserve">Tubo de extensión para Broca - Ø 12” </t>
  </si>
  <si>
    <t>AB-1</t>
  </si>
  <si>
    <t>Corona Diamantada - Ø 1” - Hormigón Fresco y Asfalto</t>
  </si>
  <si>
    <t>AB-1.25</t>
  </si>
  <si>
    <t>Corona Diamantada Ø 1 ¼” - Hormigón Fresco y Asfalto</t>
  </si>
  <si>
    <t>AB-2</t>
  </si>
  <si>
    <t>Corona Diamantada Ø 2” - Hormigón Fresco y Asfalto</t>
  </si>
  <si>
    <t>AB-2.5</t>
  </si>
  <si>
    <t>Corona Diamantada Ø 2 ½” - Hormigón Fresco y Asfalto</t>
  </si>
  <si>
    <t>AB-3</t>
  </si>
  <si>
    <t>Corona Diamantada Ø 3” - Hormigón Fresco y Asfalto</t>
  </si>
  <si>
    <t>AB-3.5</t>
  </si>
  <si>
    <t>Corona Diamantada Ø 3 ½” - Hormigón Fresco y Asfalto</t>
  </si>
  <si>
    <t>AB-4</t>
  </si>
  <si>
    <t>Corona Diamantada Ø 4” - Hormigón Fresco y Asfalto</t>
  </si>
  <si>
    <t>AB-5</t>
  </si>
  <si>
    <t>Corona Diamantada Ø 5” - Hormigón Fresco y Asfalto</t>
  </si>
  <si>
    <t>AB-6</t>
  </si>
  <si>
    <t>Corona Diamantada Ø 6” - Hormigón Fresco y Asfalto</t>
  </si>
  <si>
    <t>AB-8</t>
  </si>
  <si>
    <t>Corona Diamantada Ø 8” - Hormigón Fresco y Asfalto</t>
  </si>
  <si>
    <t>AB-10</t>
  </si>
  <si>
    <t>Corona Diamantada Ø 10” - Hormigón Fresco y Asfalto</t>
  </si>
  <si>
    <t>AB-12</t>
  </si>
  <si>
    <t>Corona Diamantada Ø 12” - Hormigón Fresco y Asfalto</t>
  </si>
  <si>
    <t>C-1</t>
  </si>
  <si>
    <t>Corona Diamantada Ø 1” - Hormigón Curado</t>
  </si>
  <si>
    <t>C-1.25</t>
  </si>
  <si>
    <t>Corona Diamantada Ø 1 ¼” - Hormigón Curado</t>
  </si>
  <si>
    <t>C-2</t>
  </si>
  <si>
    <t>Corona Diamantada Ø 2” - Hormigón Curado</t>
  </si>
  <si>
    <t>C-2.5</t>
  </si>
  <si>
    <t>Corona Diamantada Ø 2 ½” - Hormigón Curado</t>
  </si>
  <si>
    <t>C-3</t>
  </si>
  <si>
    <t>Corona Diamantada Ø 3” - Hormigón Curado</t>
  </si>
  <si>
    <t>C-3.5</t>
  </si>
  <si>
    <t>Corona Diamantada Ø 3 ½” - Hormigón Curado</t>
  </si>
  <si>
    <t>C-4</t>
  </si>
  <si>
    <t>Corona Diamantada Ø 4” - Hormigón Curado</t>
  </si>
  <si>
    <t>C-5</t>
  </si>
  <si>
    <t>Corona Diamantada Ø 5” - Hormigón Curado</t>
  </si>
  <si>
    <t>C-6</t>
  </si>
  <si>
    <t>Corona Diamantada Ø 6” - Hormigón Curado</t>
  </si>
  <si>
    <t>C-8</t>
  </si>
  <si>
    <t>Corona Diamantada Ø 8” - Hormigón Curado</t>
  </si>
  <si>
    <t>C-10</t>
  </si>
  <si>
    <t>Corona Diamantada Ø 10” - Hormigón Curado</t>
  </si>
  <si>
    <t>C-12</t>
  </si>
  <si>
    <t>Corona Diamantada Ø 12” - Hormigón Curado</t>
  </si>
  <si>
    <t>ADAPACOP</t>
  </si>
  <si>
    <t>Adaptador para acople - Rosca Gas ½” a Rosca 1 ¼” UNC</t>
  </si>
  <si>
    <t>ADAPT-4</t>
  </si>
  <si>
    <t>Adaptador para acople - Rosca 1 ¼” UNC a Máquina 4 Roscas</t>
  </si>
  <si>
    <t>BD</t>
  </si>
  <si>
    <t>Barra de Desarme</t>
  </si>
  <si>
    <t>PP-W50</t>
  </si>
  <si>
    <t>Paño Pulidor Diamantado - Grano 50 - Wet (húmedo)</t>
  </si>
  <si>
    <t>PP-W100</t>
  </si>
  <si>
    <t>Paño Pulidor Diamantado - Grano 100 - Wet (húmedo)</t>
  </si>
  <si>
    <t>PP-W200</t>
  </si>
  <si>
    <t>Paño Pulidor Diamantado - Grano 200 - Wet (húmedo)</t>
  </si>
  <si>
    <t>PP-W400</t>
  </si>
  <si>
    <t>Paño Pulidor Diamantado - Grano 400 - Wet (húmedo)</t>
  </si>
  <si>
    <t>PP-W800</t>
  </si>
  <si>
    <t>Paño Pulidor Diamantado - Grano 800 - Wet (húmedo)</t>
  </si>
  <si>
    <t>PP-W1500</t>
  </si>
  <si>
    <t>Paño Pulidor Diamantado - Grano 1500 - Wet (húmedo)</t>
  </si>
  <si>
    <t>PP-W3000</t>
  </si>
  <si>
    <t>Paño Pulidor Diamantado - Grano 3000 - Wet (húmedo)</t>
  </si>
  <si>
    <t>PP-D50</t>
  </si>
  <si>
    <t>Paño Pulidor Diamantado - Grano 50 - Dry (seco)</t>
  </si>
  <si>
    <t>PP-D100</t>
  </si>
  <si>
    <t>Paño Pulidor Diamantado - Grano 100 - Dry (seco)</t>
  </si>
  <si>
    <t>PP-D200</t>
  </si>
  <si>
    <t>Paño Pulidor Diamantado - Grano 200 - Dry (seco)</t>
  </si>
  <si>
    <t>PP-D400</t>
  </si>
  <si>
    <t>Paño Pulidor Diamantado - Grano 400 - Dry (seco)</t>
  </si>
  <si>
    <t>PP-D800</t>
  </si>
  <si>
    <t>Paño Pulidor Diamantado - Grano 800 - Dry (seco)</t>
  </si>
  <si>
    <t>PP-D1500</t>
  </si>
  <si>
    <t>Paño Pulidor Diamantado - Grano 1500 - Dry (seco)</t>
  </si>
  <si>
    <t>PP-D3000</t>
  </si>
  <si>
    <t>Paño Pulidor Diamantado - Grano 3000 - Dry (seco)</t>
  </si>
  <si>
    <t>SP-SOFT</t>
  </si>
  <si>
    <t>Soporte Pad 4" - M14 - Goma Blanda</t>
  </si>
  <si>
    <t>SP-HARD</t>
  </si>
  <si>
    <t>Soporte Pad 4" - M14 - Goma Dura</t>
  </si>
  <si>
    <t xml:space="preserve">Disco Diamantado para corte de metales 350 x 3.6T x 25.40 H </t>
  </si>
  <si>
    <t>ALIAFOR MADERAS (ex WOODY)</t>
  </si>
  <si>
    <t>Disco Aliafor para Maderas - Carburo Tunsteno 115 mm</t>
  </si>
  <si>
    <t>Disco Aliafor para Maderas - Carburo Tunsteno 180 mm</t>
  </si>
  <si>
    <t>Disco Aliafor para Maderas - Carburo Tunsteno 230 mm</t>
  </si>
  <si>
    <t>PYC-4.3</t>
  </si>
  <si>
    <t>PYC-7</t>
  </si>
  <si>
    <t>PYS-4.5</t>
  </si>
  <si>
    <t>PYS-7</t>
  </si>
  <si>
    <t>PYS-9</t>
  </si>
  <si>
    <t>PYT-4.5</t>
  </si>
  <si>
    <t>PYT-7</t>
  </si>
  <si>
    <t>PYT-9</t>
  </si>
  <si>
    <t>AD-SDS-HEX</t>
  </si>
  <si>
    <t>Adaptador Encastre Rápido 1/4 SDS a Hex</t>
  </si>
  <si>
    <t>AD-HEX-HEX</t>
  </si>
  <si>
    <t>Adaptador Encastre Rápido 1/4 Hex a Hex</t>
  </si>
  <si>
    <t>Disco de Corte 115 x 1.6 x 22,2 - Plano</t>
  </si>
  <si>
    <t>PEGASO - OFERTA - ORIGEN EUROPA</t>
  </si>
  <si>
    <t xml:space="preserve">PEGASO </t>
  </si>
  <si>
    <t>FLAPS BASE FIBRA DE VIDRIO</t>
  </si>
  <si>
    <t>FLAP JUMBO</t>
  </si>
  <si>
    <t>115ZPFV60J</t>
  </si>
  <si>
    <t>Flap JUMBO Ø 115 mm - Zirconio- Plano - Fibra de Vidrio - Grano 60</t>
  </si>
  <si>
    <t>115ZPFV80J</t>
  </si>
  <si>
    <t>Flap JUMBO Ø 115 mm - Zirconio- Plano - Fibra de Vidrio - Grano 80</t>
  </si>
  <si>
    <t>115ZPFV120J</t>
  </si>
  <si>
    <t>Flap JUMBO Ø 115 mm - Zirconio- Plano - Fibra de Vidrio - Grano 120</t>
  </si>
  <si>
    <t>PEGASO PINTURA</t>
  </si>
  <si>
    <t>PINCELES</t>
  </si>
  <si>
    <t>PCS-10</t>
  </si>
  <si>
    <t>Pincel Clásico 1"</t>
  </si>
  <si>
    <t>PCS-15</t>
  </si>
  <si>
    <t>Pincel Clásico 1,5"</t>
  </si>
  <si>
    <t>PCS-20</t>
  </si>
  <si>
    <t>Pincel Clásico 2"</t>
  </si>
  <si>
    <t>PCS-25</t>
  </si>
  <si>
    <t>Pincel Clásico 2,5"</t>
  </si>
  <si>
    <t>PCS-30</t>
  </si>
  <si>
    <t>Pincel Clásico 3"</t>
  </si>
  <si>
    <t>PCX-10</t>
  </si>
  <si>
    <t>Pincel Clásico Extra 1"</t>
  </si>
  <si>
    <t>PCX-15</t>
  </si>
  <si>
    <t>Pincel Clásico Extra 1,5"</t>
  </si>
  <si>
    <t>PCX-20</t>
  </si>
  <si>
    <t>Pincel Clásico Extra 2"</t>
  </si>
  <si>
    <t>PCX-25</t>
  </si>
  <si>
    <t>Pincel Clásico Extra 2,5"</t>
  </si>
  <si>
    <t>PCX-30</t>
  </si>
  <si>
    <t>Pincel Clásico Extra 3"</t>
  </si>
  <si>
    <t>PPR-10</t>
  </si>
  <si>
    <t>Pincel Premium 1"</t>
  </si>
  <si>
    <t>PPR-15</t>
  </si>
  <si>
    <t>Pincel Premium 1,5"</t>
  </si>
  <si>
    <t>PPR-20</t>
  </si>
  <si>
    <t>Pincel Premium 2"</t>
  </si>
  <si>
    <t>PPR-25</t>
  </si>
  <si>
    <t>Pincel Premium 2,5"</t>
  </si>
  <si>
    <t>PPR-30</t>
  </si>
  <si>
    <t>Pincel Premium 3"</t>
  </si>
  <si>
    <t>PNO-40</t>
  </si>
  <si>
    <t>Pinceleta Obra 4"</t>
  </si>
  <si>
    <t>PNOP-40</t>
  </si>
  <si>
    <t>Pinceleta Obra Premium 4"</t>
  </si>
  <si>
    <t>RODILLOS</t>
  </si>
  <si>
    <t>ROA-22</t>
  </si>
  <si>
    <t>Rodillo Anti gota 22 cm</t>
  </si>
  <si>
    <t>RPC-22</t>
  </si>
  <si>
    <t>Rodillo Pelo Corto 22 cm</t>
  </si>
  <si>
    <t>RPL-22</t>
  </si>
  <si>
    <t>Rodillo Pelo Largo 22 cm</t>
  </si>
  <si>
    <t>MRP-7</t>
  </si>
  <si>
    <t>Mini Rodillo Espuma Premium 7 cm</t>
  </si>
  <si>
    <t>MRP-11</t>
  </si>
  <si>
    <t>Mini Rodillo Espuma Premium 11 cm</t>
  </si>
  <si>
    <t>MRP-16</t>
  </si>
  <si>
    <t>Mini Rodillo Espuma Premium 16 cm</t>
  </si>
  <si>
    <t>MRMP-7</t>
  </si>
  <si>
    <t>Mini Rodillo Microfibra Premium 7 cm</t>
  </si>
  <si>
    <t>MRMP-11</t>
  </si>
  <si>
    <t>Mini Rodillo Microfibra Premium 11 cm</t>
  </si>
  <si>
    <t>MRMP-16</t>
  </si>
  <si>
    <t>Mini Rodillo Microfibra Premium 16 cm</t>
  </si>
  <si>
    <t>MREF-5</t>
  </si>
  <si>
    <t>Mini Rodillo Espuma Forrado 5 cm</t>
  </si>
  <si>
    <t>MREF-8</t>
  </si>
  <si>
    <t>Mini Rodillo Espuma Forrado 8 cm</t>
  </si>
  <si>
    <t>MREF-11</t>
  </si>
  <si>
    <t>Mini Rodillo Espuma Forrado 11 cm</t>
  </si>
  <si>
    <t>MRE-5</t>
  </si>
  <si>
    <t>Mini Rodillo Epoxi 5 cm</t>
  </si>
  <si>
    <t>MRE-8</t>
  </si>
  <si>
    <t>Mini Rodillo Epoxi 8 cm</t>
  </si>
  <si>
    <t>MRE-11</t>
  </si>
  <si>
    <t>Mini Rodillo Epoxi 11 cm</t>
  </si>
  <si>
    <t>BAPC</t>
  </si>
  <si>
    <t>BANDEJA PORTARODILLO COLGAR</t>
  </si>
  <si>
    <t>BAPH</t>
  </si>
  <si>
    <t>BANDEJA PORTARODILLO CHATA</t>
  </si>
  <si>
    <t>MBP</t>
  </si>
  <si>
    <t>MINI BANDEJA PORTARODILLO</t>
  </si>
  <si>
    <t>EUF-2</t>
  </si>
  <si>
    <t>ESPATULA ULTRA FLEXIBLE 2 CM</t>
  </si>
  <si>
    <t>EUF-3</t>
  </si>
  <si>
    <t>ESPATULA ULTRA FLEXIBLE 3 CM</t>
  </si>
  <si>
    <t>EUF-4</t>
  </si>
  <si>
    <t>ESPATULA ULTRA FLEXIBLE 4 CM</t>
  </si>
  <si>
    <t>EUF-5</t>
  </si>
  <si>
    <t>ESPATULA ULTRA FLEXIBLE 5 CM</t>
  </si>
  <si>
    <t>EUF-6</t>
  </si>
  <si>
    <t>ESPATULA ULTRA FLEXIBLE 6 CM</t>
  </si>
  <si>
    <t>EUF-7</t>
  </si>
  <si>
    <t>ESPATULA ULTRA FLEXIBLE 7 CM</t>
  </si>
  <si>
    <t>EUF-8</t>
  </si>
  <si>
    <t>ESPATULA ULTRA FLEXIBLE 8 CM</t>
  </si>
  <si>
    <t>EUF-9</t>
  </si>
  <si>
    <t>ESPATULA ULTRA FLEXIBLE 9 CM</t>
  </si>
  <si>
    <t>EUF-10</t>
  </si>
  <si>
    <t>ESPATULA ULTRA FLEXIBLE 10 CM</t>
  </si>
  <si>
    <t>EUF-12</t>
  </si>
  <si>
    <t>ESPATULA ULTRA FLEXIBLE 12 CM</t>
  </si>
  <si>
    <t>EUF-15</t>
  </si>
  <si>
    <t>ESPATULA ULTRA FLEXIBLE 15 CM</t>
  </si>
  <si>
    <t>EUF-17</t>
  </si>
  <si>
    <t>ESPATULA ULTRA FLEXIBLE 17 CM</t>
  </si>
  <si>
    <t>EUF-20</t>
  </si>
  <si>
    <t>ESPATULA ULTRA FLEXIBLE 20 CM</t>
  </si>
  <si>
    <t>EUF-22</t>
  </si>
  <si>
    <t>ESPATULA ULTRA FLEXIBLE 22 CM</t>
  </si>
  <si>
    <t>EUF-24</t>
  </si>
  <si>
    <t>ESPATULA ULTRA FLEXIBLE 24 CM</t>
  </si>
  <si>
    <t>REPUESTOS</t>
  </si>
  <si>
    <t>R-MRP-7</t>
  </si>
  <si>
    <t>PACK 2 REP. MINI RODILLO ESPUMA PREMIUM 7 CM</t>
  </si>
  <si>
    <t>R-MRP-11</t>
  </si>
  <si>
    <t>PACK 2 REP. MINI RODILLO ESPUMA PREMIUM 11 CM</t>
  </si>
  <si>
    <t>R-MRP-16</t>
  </si>
  <si>
    <t>PACK 2 REP. MINI RODILLO ESPUMA PREMIUM 16 CM</t>
  </si>
  <si>
    <t>R-MRMP-7</t>
  </si>
  <si>
    <t>PACK 2 REP. MINI RODILLO MICROFIBRA PREMIUM 7 CM</t>
  </si>
  <si>
    <t>R-MRMP-11</t>
  </si>
  <si>
    <t>PACK 2 REP. MINI RODILLO MICROFIBRA PREMIUM 11 CM</t>
  </si>
  <si>
    <t>R-MRMP-16</t>
  </si>
  <si>
    <t>PACK 2 REP. MINI RODILLO MICROFIBRA PREMIUM 16 CM</t>
  </si>
  <si>
    <t>DR50G</t>
  </si>
  <si>
    <t>Discos de Lijado - tejido no tejido grano grueso Ø 50</t>
  </si>
  <si>
    <t>DR75G</t>
  </si>
  <si>
    <t>Discos de Lijado - tejido no tejido grano grueso Ø 75</t>
  </si>
  <si>
    <t>DR50M</t>
  </si>
  <si>
    <t>Discos de Lijado - tejido no tejido grano medio Ø 50</t>
  </si>
  <si>
    <t>DR75M</t>
  </si>
  <si>
    <t>Discos de Lijado - tejido no tejido grano medio Ø 75</t>
  </si>
  <si>
    <t>DR50F</t>
  </si>
  <si>
    <t>Discos de Lijado - tejido no tejido grano Fino Ø 50</t>
  </si>
  <si>
    <t>DR75F</t>
  </si>
  <si>
    <t>Discos de Lijado - tejido no tejido grano Fino Ø 75</t>
  </si>
  <si>
    <t>CEPILLOS METALICOS</t>
  </si>
  <si>
    <t>CEC50</t>
  </si>
  <si>
    <t>Cepillo con Eje Circular 50 mm</t>
  </si>
  <si>
    <t>CEC63</t>
  </si>
  <si>
    <t>Cepillo con Eje Circular 63 mm</t>
  </si>
  <si>
    <t>CEC75</t>
  </si>
  <si>
    <t>Cepillo con Eje Circular 75 mm</t>
  </si>
  <si>
    <t>CEC100</t>
  </si>
  <si>
    <t>Cepillo con Eje Circular 100 mm</t>
  </si>
  <si>
    <t>CEB19</t>
  </si>
  <si>
    <t>Cepillo con Eje Brocha 19 mm</t>
  </si>
  <si>
    <t>CEB24</t>
  </si>
  <si>
    <t>Cepillo con Eje Brocha 24 mm</t>
  </si>
  <si>
    <t>CECO50</t>
  </si>
  <si>
    <t>Cepillo con Eje Copa 50 mm</t>
  </si>
  <si>
    <t>CECO75</t>
  </si>
  <si>
    <t>Cepillo con Eje Copa 75 mm</t>
  </si>
  <si>
    <t>CRC100</t>
  </si>
  <si>
    <t>Cepillo Rizado Cónico 100 mm</t>
  </si>
  <si>
    <t>CRC115</t>
  </si>
  <si>
    <t>Cepillo Rizado Cónico 115 mm</t>
  </si>
  <si>
    <t>CTC100</t>
  </si>
  <si>
    <t>Cepillo Trenzado Circular 100 mm</t>
  </si>
  <si>
    <t>CTC115</t>
  </si>
  <si>
    <t>Cepillo Trenzado Circular 115 mm</t>
  </si>
  <si>
    <t>CTCO100</t>
  </si>
  <si>
    <t>Cepillo Trenzado Cónico 100 mm</t>
  </si>
  <si>
    <t>CTCO115</t>
  </si>
  <si>
    <t>Cepillo Trenzado Cónico 115 mm</t>
  </si>
  <si>
    <t>CCT65</t>
  </si>
  <si>
    <t>Cepillo Copa Trenzado 65 mm</t>
  </si>
  <si>
    <t>CCT80</t>
  </si>
  <si>
    <t>Cepillo Copa Trenzado 80 mm</t>
  </si>
  <si>
    <t>CCR60</t>
  </si>
  <si>
    <t>Cepillo Copa Rizado 60 mm</t>
  </si>
  <si>
    <t>CCR75</t>
  </si>
  <si>
    <t>Cepillo Copa Rizado 75 mm</t>
  </si>
  <si>
    <t>CMP</t>
  </si>
  <si>
    <t>CEPILLO MANUAL MANGO PLASTICO</t>
  </si>
  <si>
    <t>CMPI</t>
  </si>
  <si>
    <t>CEPILLO MANUAL M. PLASTICO INOX</t>
  </si>
  <si>
    <t>CMM3</t>
  </si>
  <si>
    <t>CEPILLO MANUAL MADERA 3 HILERAS</t>
  </si>
  <si>
    <t>CMM4</t>
  </si>
  <si>
    <t>CEPILLO MANUAL MADERA 4 HILERAS</t>
  </si>
  <si>
    <t>CMM5</t>
  </si>
  <si>
    <t>CEPILLO MANUAL MADERA 5 HILERAS</t>
  </si>
  <si>
    <t>CMMI3</t>
  </si>
  <si>
    <t>CEPILLO MANUAL MADERA 3 HILERAS INOX.</t>
  </si>
  <si>
    <t>CMMI4</t>
  </si>
  <si>
    <t>CEPILLO MANUAL MADERA 4 HILERAS INOX.</t>
  </si>
  <si>
    <t>CMMI5</t>
  </si>
  <si>
    <t>CEPILLO MANUAL MADERA 5 HILERAS INOX.</t>
  </si>
  <si>
    <t>CMR</t>
  </si>
  <si>
    <t>CEPILLO MANUAL RECTANGULAR</t>
  </si>
  <si>
    <t>CINTA METRICA LLANQ JIN 10 MTS</t>
  </si>
  <si>
    <t>19 98</t>
  </si>
  <si>
    <t>CANDADO 38 MM ILOCK ARO LARGO</t>
  </si>
  <si>
    <t>BAHCO LLAVE AJUSTABLE SERIE 80 / 110 8069 AIP</t>
  </si>
  <si>
    <t>CAJA DE HERRAMIENTAS BAHCO CON RUEDAS 4750PTBW47</t>
  </si>
  <si>
    <t>CINTA METRICA EVEL 8 MTS MOD.508 EVE508</t>
  </si>
  <si>
    <t>REGLA DE ALUMINIO 2 MTS 2"X1" QAL0020</t>
  </si>
  <si>
    <t>REGLA DE ALUMINIO 3 MTS 2"X1" QAL0030</t>
  </si>
  <si>
    <t>BALDE DE PLASTICO C/U ERN1</t>
  </si>
  <si>
    <t>CASCO DE SEGURIDAD SAYLENS A CREMALLERA SAY40</t>
  </si>
  <si>
    <t>AMOLADORA BLACK &amp; DECKER 4 1/2" BDG-720 800 W</t>
  </si>
  <si>
    <t>AMOLADORA DEWALT 4 1/2" 4212 1200 W GATILLO PALETA</t>
  </si>
  <si>
    <t>AMOLADORA MAKITA 7" 2000 W M0920G</t>
  </si>
  <si>
    <t>AMOLADORA MAKITA 9" 2000 W MGA901</t>
  </si>
  <si>
    <t>AMOLADORA MAKITA 9" 2200 W M0921G</t>
  </si>
  <si>
    <t>ATORNILLADOR DEWALT DW253 720 W</t>
  </si>
  <si>
    <t>ATORNILLADOR DEWALT DW255 540 W</t>
  </si>
  <si>
    <t>ATORNILLADOR DEWALT DW268 540 W C/TORQUE</t>
  </si>
  <si>
    <t xml:space="preserve">ESCALERA ARTICULADA 4 TRAMOS 5 ESCALONES CON RUEDAS KLD1757 </t>
  </si>
  <si>
    <t>HIDROLAVADORA BLACK &amp; DECKER 150 BAR PW 2000TX</t>
  </si>
  <si>
    <t>HOJA DE SIERRA MAKITA 7 1/4"x40 03919</t>
  </si>
  <si>
    <t>HOJA DE SIERRA MAKITA 7 1/4"x40 20688 BLISTER</t>
  </si>
  <si>
    <t>HOJA DE SIERRA MAKITA 9"x40 03377</t>
  </si>
  <si>
    <t>HOYADORA KLDHO20 52 CC 120x20 CM</t>
  </si>
  <si>
    <t>LLANA LISA 12x28 RUBI RU25900</t>
  </si>
  <si>
    <t>MECHA DEWALT 6 ACERO RAPIDO DWA28600</t>
  </si>
  <si>
    <t>MECHA DEWALT 8 ACERO RAPIDO DWA28800</t>
  </si>
  <si>
    <t>MECHA DEWALT 10 ACERO RAPIDO DWA281000</t>
  </si>
  <si>
    <t>MECHA WIDIA 10x120 DEWALT DWA5310C</t>
  </si>
  <si>
    <t>MECHA WIDIA 6x100 DEWALT DWA5306C</t>
  </si>
  <si>
    <t>MOTOSIERRA HYUNDAI 45 CC 18" HY1010</t>
  </si>
  <si>
    <t>PEINE PARA ROSCADORA 1" A 2" KLDRA11</t>
  </si>
  <si>
    <t>PEINE PARA ROSCADORA 1/2" A 3/4" KLDRA10</t>
  </si>
  <si>
    <t>PEINE PARA ROSCADORA 2 1/2" A 4" KLDRA12</t>
  </si>
  <si>
    <t>RODEL RUBI 6 MM X UNIDAD RU01945</t>
  </si>
  <si>
    <t>RODEL RUBI 8 MM X UNIDAD RU01958</t>
  </si>
  <si>
    <t>RODEL RUBI 8 MM ENDURE X UNIDAD RU01906</t>
  </si>
  <si>
    <t>RODEL RUBI 10 MM X UNIDAD RU01946</t>
  </si>
  <si>
    <t>RODEL RUBI 10 MM X UNIDAD PARA TX RU01991</t>
  </si>
  <si>
    <t>SOPORTE GUIA STAR RUBI RU12340</t>
  </si>
  <si>
    <t>TALADRO DEWALT DWD210G</t>
  </si>
  <si>
    <t>BOMBA MOTORARG DRX 1100-M CLOACAL</t>
  </si>
  <si>
    <t>AMOLADORA 4 1/2" TE-AG 125 / 1100 W - 4430864</t>
  </si>
  <si>
    <t>BOLSA PARA ESCOMBRO</t>
  </si>
  <si>
    <t>CARBON XSE 196</t>
  </si>
  <si>
    <t>EJE PARA PIÑON HORMIGONERA 400 LTS MMQ</t>
  </si>
  <si>
    <t>MEZCLADOR MASILLA TC-MX 1400 E - 4258550</t>
  </si>
  <si>
    <t>PICO PUNTA Y PALA TRAMONTINA S/CABO 47 MM TRA50</t>
  </si>
  <si>
    <t>PALA HOYADORA MOVIL TMI9012</t>
  </si>
  <si>
    <t>CORONAMIENTO PARA TORRE IORI MR</t>
  </si>
  <si>
    <t>ESCALERA ALUM.12 ESC.EXT.H/6,30 MTS 136 KG 2224</t>
  </si>
  <si>
    <t>HOJA DE SIERRA SINPAR A/CARB. 300x32D SIN032</t>
  </si>
  <si>
    <t>RUEDA GUINCHE IORI C/RULEMAN 6303 (CADA UNA)</t>
  </si>
  <si>
    <t>ESCALERA PINTOR DOBLE ACCESO 8 ESC. 2,4 MTS 136 kg</t>
  </si>
  <si>
    <t>TIJERA CORTAPERNO 900 MM CORTRIFIL HASTA 12 MM</t>
  </si>
  <si>
    <t>TIJERA CORTAPERNO 770 MM CORTRIFIL HASTA 12 MM</t>
  </si>
  <si>
    <t>TIJERA CORTAPERNO 600 MM CORTRIFIL HASTA 10 MM</t>
  </si>
  <si>
    <t>TIJERA CORTA ALAMBRE CORTRIFIL 450 MM HASTA 6 MM</t>
  </si>
  <si>
    <t>ROTOR MARTILLO BOSCH 4 KG ORIGINAL 1614010128</t>
  </si>
  <si>
    <t>TANQUE NAFTA PISON CON TAPA Y PASO</t>
  </si>
  <si>
    <t>BAHCO LLAVE PARA CAÑO 406 MM (142 HD)</t>
  </si>
  <si>
    <t>MASCARA PARA SOLDAR FOTOSENSIBLE KLD1080</t>
  </si>
  <si>
    <t>JUEGO LLAVES TUBO 63 PIEZAS KLD1845</t>
  </si>
  <si>
    <t>REFLECTOR LED 50 W MAT.ELECTRICOS</t>
  </si>
  <si>
    <t>JUEGO DE TUBOS 32 PIEZAS KLD1846</t>
  </si>
  <si>
    <t>TRABA PUNTA PORTAHERRAMIENTAS MAKITA 1203C 310279-8</t>
  </si>
  <si>
    <t>ENGRANAJE PARA MARTILLO 10 KG MAKITA 1203C 226691-1</t>
  </si>
  <si>
    <t>BIELA MARTILLO MAKITA 1203C 450890-5</t>
  </si>
  <si>
    <t>BOCA DE DESCARGA/ENTREPISO LASSO</t>
  </si>
  <si>
    <t>CORTADORA DE CERAMICA "RUBI" HIT 1000N C/BOLSO RU26999</t>
  </si>
  <si>
    <t>CARBONES PARA MARTILLO MAKITA 1203 CB175 195845-0</t>
  </si>
  <si>
    <t>ATORNILLADOR MAKITA FS4200</t>
  </si>
  <si>
    <t>CARBON XSE 130</t>
  </si>
  <si>
    <t>CARBON XSE 188 A/B</t>
  </si>
  <si>
    <t>CARBON XSE 272 A/B</t>
  </si>
  <si>
    <t>CORREA JC B85</t>
  </si>
  <si>
    <t>11 89</t>
  </si>
  <si>
    <t>CAMISA DE TRABAJO OMBU TALLE MAYOR 50 INCLUSIVE</t>
  </si>
  <si>
    <t>POLEA "A" DIAMETRO 50 DEPER P/HORM.130</t>
  </si>
  <si>
    <t>POLEA "B" DIAMETRO 60 (HEFER)</t>
  </si>
  <si>
    <t>MECHA GUSANO P/MADERA IRWIN 3/8" 10x400 111745</t>
  </si>
  <si>
    <t>PULSADOR APAREJO 250/500</t>
  </si>
  <si>
    <t>RODAMIENTO 625/6</t>
  </si>
  <si>
    <t>RODAMIENTO 6300/6301 2RS</t>
  </si>
  <si>
    <t>RODAMIENTO 6301/6302</t>
  </si>
  <si>
    <t>HIDROLAVADORA K5 145 BAR AGUA FRIA</t>
  </si>
  <si>
    <t>CAJA DE HERRAMIENTAS TACTIX 20" TX320342</t>
  </si>
  <si>
    <t>LLANA DENTADA 12x12 RUBI RU25907</t>
  </si>
  <si>
    <t>AMOLADORA 4 1/2" TE-AG 125 / 1010 W - 4430890</t>
  </si>
  <si>
    <t>TENAZA GHERARDI 30 CM C/ENTERO GHE013</t>
  </si>
  <si>
    <t>ALAMBRE DE FARDO 15 1,8 MM A GRANEL POR 65 KG ACINDAR (AN15V)</t>
  </si>
  <si>
    <t>CORREA JC C95</t>
  </si>
  <si>
    <t>CORTADORA DE CERAMICA "RUBI" SLIM-CUT RU18911</t>
  </si>
  <si>
    <t>ESTRIBERA ELECTRICA ME22</t>
  </si>
  <si>
    <t>ROTOR SIERRA CIRCULAR BOSCH GKS150 1604010B9J</t>
  </si>
  <si>
    <t>CARRETILLA CHAPA 16 MR MANGO ARTICULADO 100 LTS CELESTE</t>
  </si>
  <si>
    <t>CARRETILLA CHAPA 18 MR MANGO ARTICULADO 100 LTS VERDE</t>
  </si>
  <si>
    <t>CARRETILLA CHAPA 16 MR 100 LTS CELESTE</t>
  </si>
  <si>
    <t>CARRETILLA CHAPA 18 MR 100 LTS VERDE</t>
  </si>
  <si>
    <t>ALAMBRON 6,00 MM POR 100 KG HERPACO</t>
  </si>
  <si>
    <t>MARTILLO DEM. KLD 16 KG HEXAG 28 MM KLDMD16K</t>
  </si>
  <si>
    <t>MARTILLO DEM. KLD 25 KG HEXAG 28 MM KLDMD25K</t>
  </si>
  <si>
    <t>ABRAZADERA PLASTICA 300 x 3,6 ABR 2250</t>
  </si>
  <si>
    <t>EXTENCIÓN MECHA PALA 15 CM TX411901</t>
  </si>
  <si>
    <t>ANTEOJO STEELPRO NEON TRANSP O GRIS 903910 / 903909</t>
  </si>
  <si>
    <t>CHOCLA ZC CON FERRITE ROJO 8121-4</t>
  </si>
  <si>
    <t xml:space="preserve">SOPAPA DOBLE ALUMINIO ZC 8128-2 </t>
  </si>
  <si>
    <t>SOPAPA TRIPLE ALUMINIO ZC 8128-3</t>
  </si>
  <si>
    <t>PINZA PELACABLE ZC HD01091-07A</t>
  </si>
  <si>
    <t>RUEDA NEUMATICA PLASTICO MANUF PLASTICO LLANTA NEGRA ND3508CPE-4</t>
  </si>
  <si>
    <t>TALADRO ELECTRICO TC-ID 1000 4259825</t>
  </si>
  <si>
    <t>TALADRO INALAMBRICO TE-CD 18/40 + 6 (1 BATERIA CON ACCESORIOS) 4513955</t>
  </si>
  <si>
    <t>ACANALADORA DE MURO TH-MA 1300 4350731</t>
  </si>
  <si>
    <t>CANDADO 38 MM REYMU ARO LARGO</t>
  </si>
  <si>
    <t>GRASA DE MULTIUSO 4 KG</t>
  </si>
  <si>
    <t>MANGUERA RIEGO 1/2" X 15 MTS TRAMONTINA TRENZADA C/SOPORTE</t>
  </si>
  <si>
    <t>MANGUERA RIEGO 1/2" X 25 MTS TRAMONTINA TRENZADA C/SOPORTE</t>
  </si>
  <si>
    <t>RODAMIENTO 2200</t>
  </si>
  <si>
    <t>RODAMIENTO 30210</t>
  </si>
  <si>
    <t>REPUESTO TIZA CHOCLA IRWIN (FERRITE)</t>
  </si>
  <si>
    <t>ANTEOJO STEELPRO MERCURY CLARO 201045981</t>
  </si>
  <si>
    <t>ANTEOJO STEELPRO MERCURY GRIS 201045995</t>
  </si>
  <si>
    <t>AMOLADORA BOSCH 7" GWS 28-180</t>
  </si>
  <si>
    <t>MANDRIL 13 MM KLD034B</t>
  </si>
  <si>
    <t>REPUESTO MEZCLADOR ELECTRICO C/ROSCA KLD1605MX</t>
  </si>
  <si>
    <t>CINTA PASACABLE 10 MTS VIYILANT VIY110</t>
  </si>
  <si>
    <t>MARTILLO GALPONERO LORO VERDE 500 GRS CABO LARGO</t>
  </si>
  <si>
    <t>MANIJA DE PLASTICO VIBRADOR MMQ</t>
  </si>
  <si>
    <t>24 - 30</t>
  </si>
  <si>
    <t>PALA PUNTA GHERARDI FORJADA CABO CAÑO GHE4105</t>
  </si>
  <si>
    <t>MANGUERA RIEGO 3/4" X 25 MTS TRENZADA ITURRIA 361925</t>
  </si>
  <si>
    <t>MARTILLO PERF. CAT DX26</t>
  </si>
  <si>
    <t>MARTILLO DEM. STAYER SYRMD10K</t>
  </si>
  <si>
    <t>AMOLADORA MAKITA 4 1/2" 840 W 9557 HPG - GATILLO PALETA</t>
  </si>
  <si>
    <t>JUEGO DE TUBOS 22 PIEZAS STANLEY 81520</t>
  </si>
  <si>
    <t>TERMOFUSORA 1500 W KLD C/6 BOQUILLAS Y CORTADORA CAÑO KLDTF1500</t>
  </si>
  <si>
    <t>POLEA "A" DIAMETRO A110 (MR) DOBLE CANAL</t>
  </si>
  <si>
    <t>POLEA "A" DIAMETRO A70 (MR) DOBLE CANAL</t>
  </si>
  <si>
    <t>CINTA ENMASCARAR DE PAPEL 3M 24 MM 65539</t>
  </si>
  <si>
    <t>CINTA ENMASCARAR DE PAPEL 3M 48 MM 65543</t>
  </si>
  <si>
    <t>REPUESTO TIZA ROJO 1 KG (FERRITE)</t>
  </si>
  <si>
    <t>ABRAZADERA PLASTICA 300 x 4,6 ABR 3036</t>
  </si>
  <si>
    <t>SOPLETE MEMBRANA LARGO R2500 CON VALVULA</t>
  </si>
  <si>
    <t>LAVOC</t>
  </si>
  <si>
    <t>24 36 38</t>
  </si>
  <si>
    <t>LOUREIRO MAS BARATO</t>
  </si>
  <si>
    <t>MAZA GOMA 8 226 GR KLD195</t>
  </si>
  <si>
    <t>REMACHADORA 3 BOCAS STANLEY S69646</t>
  </si>
  <si>
    <t>CHOCLA SOLA C/TIZA CLK 30 SET R</t>
  </si>
  <si>
    <t xml:space="preserve">MOTOR MOTORARG 2 HP MONOF. MDC 90 L4 </t>
  </si>
  <si>
    <t>CORREA JC A38</t>
  </si>
  <si>
    <t>CORREA JC A74</t>
  </si>
  <si>
    <t>CEPILLO ELECTRICO BOSCH GHO 700</t>
  </si>
  <si>
    <t>DISCO BOSCH SEGMENTADO 9" 2608615031</t>
  </si>
  <si>
    <t>JUEGO DESTORNILLADORES BAHCO 30006H</t>
  </si>
  <si>
    <t>RODEL RUBI 18 MM X UNIDAD PARA TX RU01992</t>
  </si>
  <si>
    <t>RODEL RUBI 8 MM X UNIDAD PARA TX RU01959</t>
  </si>
  <si>
    <t>RODEL RUBI 22 MM X UNIDAD PARA TX RU01962</t>
  </si>
  <si>
    <t>RODAMIENTO R8ZZ</t>
  </si>
  <si>
    <t>RODAMIENTO 51210</t>
  </si>
  <si>
    <t>RODAMIENTO 6907</t>
  </si>
  <si>
    <t>BPM-6</t>
  </si>
  <si>
    <t>Broca Pala para madera 6mm - Vastago hexa. 1/4"</t>
  </si>
  <si>
    <t>BPM-8</t>
  </si>
  <si>
    <t>Broca Pala para madera 8mm - Vastago hexa. 1/4"</t>
  </si>
  <si>
    <t>BPM-10</t>
  </si>
  <si>
    <t>Broca Pala para madera 10mm - Vastago hexa. 1/4"</t>
  </si>
  <si>
    <t>BPM-12</t>
  </si>
  <si>
    <t>Broca Pala para madera 12mm - Vastago hexa. 1/4"</t>
  </si>
  <si>
    <t>BPM-14</t>
  </si>
  <si>
    <t>Broca Pala para madera 14mm - Vastago hexa. 1/4"</t>
  </si>
  <si>
    <t>BPM-16</t>
  </si>
  <si>
    <t>Broca Pala para madera 16mm - Vastago hexa. 1/4"</t>
  </si>
  <si>
    <t>BPM-18</t>
  </si>
  <si>
    <t>Broca Pala para madera 18mm - Vastago hexa. 1/4"</t>
  </si>
  <si>
    <t>BPM-20</t>
  </si>
  <si>
    <t>Broca Pala para madera 20mm - Vastago hexa. 1/4"</t>
  </si>
  <si>
    <t>BPM-22</t>
  </si>
  <si>
    <t>Broca Pala para madera 22mm - Vastago hexa. 1/4"</t>
  </si>
  <si>
    <t>BPM-25</t>
  </si>
  <si>
    <t>Broca Pala para madera 25mm - Vastago hexa. 1/4"</t>
  </si>
  <si>
    <t>BPM-28</t>
  </si>
  <si>
    <t>Broca Pala para madera 28mm - Vastago hexa. 1/4"</t>
  </si>
  <si>
    <t>BPM-30</t>
  </si>
  <si>
    <t>Broca Pala para madera 30mm - Vastago hexa. 1/4"</t>
  </si>
  <si>
    <t>BPM-35</t>
  </si>
  <si>
    <t>Broca Pala para madera 35mm - Vastago hexa. 1/4"</t>
  </si>
  <si>
    <t>Y115ZC40</t>
  </si>
  <si>
    <t>Flap Ø 115 mm - Zirconio- Plano - Fibra de Vidrio - CONVEXO - Grano 40</t>
  </si>
  <si>
    <t>Y115ZC60</t>
  </si>
  <si>
    <t>Flap Ø 115 mm - Zirconio- Plano - Fibra de Vidrio - CONVEXO - Grano 60</t>
  </si>
  <si>
    <t>Y115ZC80</t>
  </si>
  <si>
    <t>Flap Ø 115 mm - Zirconio- Plano - Fibra de Vidrio - CONVEXO - Grano 80</t>
  </si>
  <si>
    <t>Y115ZC120</t>
  </si>
  <si>
    <t>Flap Ø 115 mm - Zirconio- Plano - Fibra de Vidrio - CONVEXO - Grano 120</t>
  </si>
  <si>
    <t>PO-10</t>
  </si>
  <si>
    <t>Pincel Obra 1"</t>
  </si>
  <si>
    <t>PO-15</t>
  </si>
  <si>
    <t>Pincel Obra 1,5"</t>
  </si>
  <si>
    <t>PO-20</t>
  </si>
  <si>
    <t>Pincel Obra 2"</t>
  </si>
  <si>
    <t>PO-25</t>
  </si>
  <si>
    <t>Pincel Obra 2,5"</t>
  </si>
  <si>
    <t>PO-30</t>
  </si>
  <si>
    <t>Pincel Obra 3"</t>
  </si>
  <si>
    <t>SOLDADORAS</t>
  </si>
  <si>
    <t>SI 140</t>
  </si>
  <si>
    <t>Soldadora Inverter SI-140</t>
  </si>
  <si>
    <t>SI 160 PRO</t>
  </si>
  <si>
    <t>Soldadora Inverter SI-160 PRO</t>
  </si>
  <si>
    <t>SI 190 PRO</t>
  </si>
  <si>
    <t>Soldadora Inverter SI-190 PRO</t>
  </si>
  <si>
    <t>SI 250 PRO</t>
  </si>
  <si>
    <t>Soldadora Inverter SI-250 PRO</t>
  </si>
  <si>
    <t>CSI 140-160</t>
  </si>
  <si>
    <t>Juego Cables SI-140-160 (Incluye pinza y PortaElectrodos)</t>
  </si>
  <si>
    <t>CSI 190</t>
  </si>
  <si>
    <t>Juego Cables SI-190 (Incluye pinza y PortaElectrodos)</t>
  </si>
  <si>
    <t>CSI 250</t>
  </si>
  <si>
    <t>Juego Cables SI-250 (Incluye pinza y PortaElectrodos)</t>
  </si>
  <si>
    <t>MFB-5</t>
  </si>
  <si>
    <t>Mascara Fotosensible Black - Pack de 5 unidades</t>
  </si>
  <si>
    <t>AMOLADORA BOSCH 7" GWS 2200-180</t>
  </si>
  <si>
    <t>AMOLADORA BOSCH 9" GWS 2200-230</t>
  </si>
  <si>
    <t xml:space="preserve">POLEA "B" DIAMETRO 110 </t>
  </si>
  <si>
    <t xml:space="preserve">POLEA "C" DIAMETRO 80 </t>
  </si>
  <si>
    <t xml:space="preserve">RODAMIENTO NA 4903 </t>
  </si>
  <si>
    <t>HOJA DE SIERRA BOSCH 7 1/4"x12 D 2608641200</t>
  </si>
  <si>
    <t>CIGÜEÑAL MAKITA 1203C 324994-8</t>
  </si>
  <si>
    <t>PORTAHERRAMIENTA MAKITA 30 KG HM1214C 324985-9</t>
  </si>
  <si>
    <t>SOPORTE MAKITA ROTOR 1203C 158859-0</t>
  </si>
  <si>
    <t>BOTIN DE SEG. MAQUIOBRAS SUELA GOMA</t>
  </si>
  <si>
    <t>CARBON XSE 95 A/B AMOLADORA BOSCH 7 Y 9</t>
  </si>
  <si>
    <t>HOJA DE SIERRA BOSCH 10"x120 D MULTIMATERIAL 2608642203</t>
  </si>
  <si>
    <t>RODEL RUBI 22 MM STANDARD P/SLIM CUTER RU 18914</t>
  </si>
  <si>
    <t>TUBO DE DESCARGA AGROREDES</t>
  </si>
  <si>
    <t>AVR GENERADOR ALQUILER (MEDIALUNA)</t>
  </si>
  <si>
    <t>ELECTROMECANICA LURO</t>
  </si>
  <si>
    <t>TIJERA CORTAPERNO 350 MM HAMILTON CP140</t>
  </si>
  <si>
    <t>AMOLADORA CAT 4 1/2" 1200 W CATDX36</t>
  </si>
  <si>
    <t>JUEGO DE HERRAMIENTAS TACTIX TX365321WB 143 PIEZAS</t>
  </si>
  <si>
    <t>JUEGO TUBOS/ACCESORIOS TACTIX TX365042 23 PIEZAS</t>
  </si>
  <si>
    <t>ALCOHOL ETANOL AL 70 % x 250 CC</t>
  </si>
  <si>
    <t>MARTILLO DEMOLEDOR TE-DH 1027/32 - 32 J - 4139092/4139099</t>
  </si>
  <si>
    <t>ALAMBRE NEGRO RECOCIDO N° 8 DEL 4,2 POR 60 KG (AN8V)</t>
  </si>
  <si>
    <t>ALAMBRON 6,00 MM POR 80 KG (AON600V)</t>
  </si>
  <si>
    <t>LLAVE AJUSTABLE IRIMO 8" 205 MM 52002</t>
  </si>
  <si>
    <t>LLAVE AJUSTABLE IRIMO 10" 260 MM 52502</t>
  </si>
  <si>
    <t>CARBON XSE 170 P/AMOLADORA MAKITA 9557</t>
  </si>
  <si>
    <t>CARRO 90 LTS MGO.FIJO./COMP/GANCHO</t>
  </si>
  <si>
    <t>BAHCO JUEGO LLAVES CON CRIQUET (8/10/13/17/19) 2RM5H</t>
  </si>
  <si>
    <t>BATERIA ENERGIZER 9 V 39800013613</t>
  </si>
  <si>
    <t>CINTA ENMASCARAR DE PAPEL 3M 38 MM 65541</t>
  </si>
  <si>
    <t>LAMPARA LED PHILIPS LEDBULB 10 W 8718699608408</t>
  </si>
  <si>
    <t>LAMPARA LED PHILIPS LEDBULB 12 W 8718699608446</t>
  </si>
  <si>
    <t>MANGUERA NIVEL 12/13 POR METRO HEFER (ITURRIA 211215)</t>
  </si>
  <si>
    <t>REFLECTOR LED 30 W LEDVANCE/BELLALUX 4058075610224</t>
  </si>
  <si>
    <t>REFLECTOR LED 50 W LEDVANCE/BELLALUX 4058075610286</t>
  </si>
  <si>
    <t>PALA PUNTA BIASSONI CABO CAÑO 1,30 MTS BIA1130</t>
  </si>
  <si>
    <t>TENAZA BIASSONI 35 CM CORTE ENTERO T/3 PUNTOS BIA9018</t>
  </si>
  <si>
    <t>BOTIQUIN COMPLETO 280x225x90 Nº 15 OTI15</t>
  </si>
  <si>
    <t>BOTIQUIN COMPLETO 350x280x120 Nº 16 OTI16</t>
  </si>
  <si>
    <t>BOTIQUIN COMPLETO 400x290x160 Nº 17 OTI17</t>
  </si>
  <si>
    <t>CAJA INGLETAR ALGARROBO CHICA CAB990</t>
  </si>
  <si>
    <t>CAJA INGLETAR ALGARROBO GRANDE CAB991</t>
  </si>
  <si>
    <t>ACEITE MOBIL SUPER MOTO 4 T 20W -50 x 1 LT</t>
  </si>
  <si>
    <t>MOTOR MAYERLING 1,5 HP MONOF. 1500 rpm EXTRAPESADO</t>
  </si>
  <si>
    <t>JUEGO DE ALICATES STANLEY 3 PIEZAS S90162</t>
  </si>
  <si>
    <t>CAJA INGLETAR PLASTICA 300 MM K1400B</t>
  </si>
  <si>
    <t>MEZCLADOR MASILLA TC-MX 1200 - 4258545</t>
  </si>
  <si>
    <t>RODAMIENTO 6309</t>
  </si>
  <si>
    <t>CONTACTOR 25 AMP BOB 24V ME COD(30673) (IORI / TGM)</t>
  </si>
  <si>
    <t>HIDROLAVADORA SHIMURA 1800 W 140 BAR MAX</t>
  </si>
  <si>
    <t>NIVEL ALUMINIO HAMILTON 100 CM MAGNETICO</t>
  </si>
  <si>
    <t>CABEZAL PARA VIGA H20</t>
  </si>
  <si>
    <t>CHOCLA STANLEY 47443 C/TIZA Y NIVEL</t>
  </si>
  <si>
    <t>SIERRA CIRCULAR MAKITA 7 1/4" 7010 1600 W</t>
  </si>
  <si>
    <t xml:space="preserve">GANCHO DE ACERO C/TRABA GIRATORIO 1,0 TN </t>
  </si>
  <si>
    <t xml:space="preserve">GANCHO DE ACERO C/TRABA FIJO 1,5 TN </t>
  </si>
  <si>
    <t>DISCO BOSCH 4 1/2" PARA CORTAR METAL 2608603170</t>
  </si>
  <si>
    <t>DISCO BOSCH 9" PARA CORTAR METAL 2608600096</t>
  </si>
  <si>
    <t xml:space="preserve">TALADRO INALAMBRICO TE-CD 18/1 LI KIT - (1 BATERIA + ACCES) 4514220 </t>
  </si>
  <si>
    <t>APAREJO A CADENA 1 TN x 3 MTS KLD1081</t>
  </si>
  <si>
    <t>APAREJO A CADENA 2 TN x 3 MTS KLD1210</t>
  </si>
  <si>
    <t>CEPILLO SURFORM POCKET 152 MM STANLEY S21399</t>
  </si>
  <si>
    <t>AMOLADORA CAT 9" 2350 W CATDX351</t>
  </si>
  <si>
    <t xml:space="preserve">VIBRADOR DE CONTACTO FLEXIBON MONO </t>
  </si>
  <si>
    <t>ALICATE OBLICUO INECO 7" HHHDCP28180</t>
  </si>
  <si>
    <t>CEPILLO ACERO P/AMOLADORA 100 NORTON M14 69957307736</t>
  </si>
  <si>
    <t>PELACABLE MANUAL INECO HWSP15608</t>
  </si>
  <si>
    <t xml:space="preserve">MOTOR MOTORARG 3 HP TRIF. MT 100 L1-4 </t>
  </si>
  <si>
    <t xml:space="preserve">DISCO BOSCH 4 1/2" PARA CORTAR METAL 2608619383 </t>
  </si>
  <si>
    <t>DISCO BOSCH 4 1/2" FLAP 40/60/80/120 2608619291</t>
  </si>
  <si>
    <t>CAJA PLASTICA CONTACTORES 231X164X95</t>
  </si>
  <si>
    <t>PISTOLA DE CALOR TC-HA 2000/1 - 4520187 / 4520184</t>
  </si>
  <si>
    <t>CABLE ELECTRICO TIPO TALLER 3 X 1,5 MM ARV0414</t>
  </si>
  <si>
    <t>CABLE ELECTRICO TIPO TALLER 3 X 2,5 MM ARV0424</t>
  </si>
  <si>
    <t>CABLE ELECTRICO TIPO TALLER 4 X 2,5 MM ARV425</t>
  </si>
  <si>
    <t>CABLE ELECTRICO TIPO TALLER 4 X 4 MM ARV440</t>
  </si>
  <si>
    <t>CARBON XSE 147 A/B MARTILLO MAKITA 1203</t>
  </si>
  <si>
    <t>PALA ANCHA BIASSONI ESTAMPADA EMPUÑADURA METALICA BIA2272</t>
  </si>
  <si>
    <t>PALA ANCHA BIASSONI ESTAMPADA EMPUÑADURA PLASTICA ERGOM BIA2271</t>
  </si>
  <si>
    <t>PALA ANCHA BIASSONI FORJADA BIA100</t>
  </si>
  <si>
    <t>PALA ESCOCESA BIASSONI BIA113</t>
  </si>
  <si>
    <t>PALA PUNTA BIASSONI FORJADA BIA105</t>
  </si>
  <si>
    <t>19 101</t>
  </si>
  <si>
    <t>MARTILLO DEM. CAT DX29 15 KG</t>
  </si>
  <si>
    <t>MARTILLO PERF. STAYER SYRHD26BK</t>
  </si>
  <si>
    <t>PINZA UNIVERSAL METZ 8"</t>
  </si>
  <si>
    <t>PINZA UNIVERSAL STANLEY 7" 70487</t>
  </si>
  <si>
    <t>PINZA UNIVERSAL STANLEY 8" 70488</t>
  </si>
  <si>
    <t>PINZA UNIVERSAL TACTIX 7" TX700009LA</t>
  </si>
  <si>
    <t>JUEGO ALLEN 9 PIEZAS IRIMO 489H</t>
  </si>
  <si>
    <t>LLAVE AJUSTABLE IRIMO 12" 310 MM 53002</t>
  </si>
  <si>
    <t>BAHCO LLAVE AJUSTABLE SERIE 80 / 155 8070 AIP</t>
  </si>
  <si>
    <t>BAHCO LLAVE AJUSTABLE SERIE 80 / 255 8072 AIP</t>
  </si>
  <si>
    <t>BAHCO LLAVE AJUSTABLE SERIE 80 / 305 8073 AIP</t>
  </si>
  <si>
    <t>BAHCO LLAVE AJUSTABLE SERIE 80 / 380 8074 AIP</t>
  </si>
  <si>
    <t>BAHCO LLAVE AJUSTABLE SERIE 80 / 455 8075 AIP</t>
  </si>
  <si>
    <t>AMOLADORA CAT 4 1/2" 750 W CATDX371</t>
  </si>
  <si>
    <t>PALA PUNTA BIASSONI SOL FORJADA BIA201</t>
  </si>
  <si>
    <t>PINZA PICOLORO BIASSONI 10" REGULABLE 10" BIA2840</t>
  </si>
  <si>
    <t xml:space="preserve">CLAVO PUNTA PARIS 2" POR CAJA 20 KILOS </t>
  </si>
  <si>
    <t>CORTADORA DE CERAMICA "RUBI" HIT 1200N S/BOLSO RU26961</t>
  </si>
  <si>
    <t>MARTILLO PERF. SHIMURA SH-RH26KI 1050 W</t>
  </si>
  <si>
    <t xml:space="preserve">GENERADOR SHIMURA KGE3500TC 2,8 KW </t>
  </si>
  <si>
    <t>GENERADOR SHIMURA KGE7500TCE 6,5 KW ARRANQUE ELECTRICO</t>
  </si>
  <si>
    <t>REFLECTOR LED 20 W 7000K</t>
  </si>
  <si>
    <t>CANDADO 40 MM ARO ALTO PROLL</t>
  </si>
  <si>
    <t>CANDADO 50 MM ARO ALTO PROLL</t>
  </si>
  <si>
    <t>21 101</t>
  </si>
  <si>
    <t>ZAPATILLA ATT BS.AS.</t>
  </si>
  <si>
    <t>BARBIJO N95 3M 64542 / 9820</t>
  </si>
  <si>
    <t>5 PATAS + 50% COSTO</t>
  </si>
  <si>
    <t>MARTILLO PERF. MAKITA HR 2470 X13</t>
  </si>
  <si>
    <t>DISCO BOSCH SEGMENTADO 4 1/2" 2608615027</t>
  </si>
  <si>
    <t>SOPAPA SIMPLE ALUMINIO ZC 8128-1</t>
  </si>
  <si>
    <t>JUEGO ALLEN 9 PIEZAS KLD032</t>
  </si>
  <si>
    <t>PUNTAL EXT. 1.60 HASTA 3.00 MTS POLO CHINO</t>
  </si>
  <si>
    <t>VANESA - MOISES</t>
  </si>
  <si>
    <t>PIÑON GUINCHE IORI CHICO</t>
  </si>
  <si>
    <t>CEPILLO ACERO CON MANGO 25 CM KLD011</t>
  </si>
  <si>
    <t>RETRACTIL LT130 MACROMAQ</t>
  </si>
  <si>
    <t>RETRACTIL M130 MACROMAQ</t>
  </si>
  <si>
    <t>JUEGO DESTORNILLADORES INECO x 2 U HKSD0258</t>
  </si>
  <si>
    <t>12 14</t>
  </si>
  <si>
    <t>PORTAHERRAMIENTA MAKITA 5 KG 151457-9</t>
  </si>
  <si>
    <t>EJE MAKITA PARA ROTOPERCUTOR 2470 324668-1</t>
  </si>
  <si>
    <t>ENGRANAJE PARA ROTOPERCUTOR MAKITA 2470 226656-3</t>
  </si>
  <si>
    <t>TALADRO SKIL C/PERCUSION 13 MM - MODELO 6555JM C/MECHAS</t>
  </si>
  <si>
    <t>CUERPO DE BARANDA 0,94 MTS B142</t>
  </si>
  <si>
    <t>CUERPO DE BARANDA 1.30 MTS B140</t>
  </si>
  <si>
    <t>ESCALERA MADERA PINTOR 7 ESCALONES</t>
  </si>
  <si>
    <t>19 21 102</t>
  </si>
  <si>
    <t>21 102</t>
  </si>
  <si>
    <t>JUEGO TUBOS/ACCESORIOS TACTIX TX365067 110 PIEZAS</t>
  </si>
  <si>
    <t>PINCEL 2" ESSAMET</t>
  </si>
  <si>
    <t>GRINFA 12 PESADA ROSSANA</t>
  </si>
  <si>
    <t>BRAZO SOPORTE PALETA FRATACHADORA 120 MMQ C/RESORTE</t>
  </si>
  <si>
    <t>SERRUCHO BAHCO 22" PROFCUT PC22FILEU7</t>
  </si>
  <si>
    <t>REPUESTO TIZA CHOCLA TACTIX (FERRITE) TX258101</t>
  </si>
  <si>
    <t>PANTALON DE TRABAJO GRAFA</t>
  </si>
  <si>
    <t>PANTALON DE TRABAJO OMBU TALLE 62 EN ADELANTE</t>
  </si>
  <si>
    <t>CAMISA DE TRABAJO GRAFA</t>
  </si>
  <si>
    <t>CABALLETE EXT. HASTA 1.30 MTS MR CAÑO</t>
  </si>
  <si>
    <t>AMOLADORA CAT 7" 2350 W CATDX352</t>
  </si>
  <si>
    <t>ESPATULA DE ACERO 15 CM KLD023</t>
  </si>
  <si>
    <t>JUEGO 25 UNIDADES BOSCH PARA ATORNILLADOR 2607017404</t>
  </si>
  <si>
    <t>JUEGO 46 UNIDADES BOSCH PARA ATORNILLADOR 2607017399</t>
  </si>
  <si>
    <t>PALA HOYADORA PROLONGACION TMI9005</t>
  </si>
  <si>
    <t>14 21</t>
  </si>
  <si>
    <t>CANDADO 50 MM ILOCK / STOK / PF</t>
  </si>
  <si>
    <t>ESPATULA PINAS 150 MM PARA ENDUIR PIN15</t>
  </si>
  <si>
    <t>ESPATULA PINAS 200 MM PARA ENDUIR PIN20</t>
  </si>
  <si>
    <t xml:space="preserve">ALAMBRE DE FARDO 17 1,42 MM A GRANEL POR 65 KG ACINDAR (an17v) </t>
  </si>
  <si>
    <t>APAREJO ELECT.500 TGM C/CARRO TRIFASICO S/CABLE 14 a 16 mts/min</t>
  </si>
  <si>
    <t>VIGA H20 3,60 MTS MAQUIOBRAS</t>
  </si>
  <si>
    <t>LUSTRAPULIDORA TC-PO1100/2 E - 2093265</t>
  </si>
  <si>
    <t>MARTILLO DEMOLEDOR TE-DH 12 - 7,3 KG 12 J - 4139106 / 4139100</t>
  </si>
  <si>
    <t>ROTOR SIERRA CIRCULAR BOSCH GKS 235 ORIGINAL 1619P01696</t>
  </si>
  <si>
    <t>PELACABLE MANUAL INECO HWSP102418</t>
  </si>
  <si>
    <t>TIJERA CORTAPERNO 750 MM INECO HBC1830</t>
  </si>
  <si>
    <t>TIJERA CORTAPERNO 600 MM INECO HBC1824</t>
  </si>
  <si>
    <t>REMACHADORA INECO 10,5" DE 2,4 A 4,8 MM HR104</t>
  </si>
  <si>
    <t>JUEGO LLAVES COMBINADAS INECO 8 PIEZAS DE 6 A 19 MM HKSPA1088-I</t>
  </si>
  <si>
    <t>LLAVE AJUSTABLE TRAMONTINA 8" 41016508</t>
  </si>
  <si>
    <t>LLAVE AJUSTABLE TRAMONTINA 10" 41016510</t>
  </si>
  <si>
    <t>CAMISA DE TRABAJO GRAFA TALLE 50 EN ADELANTE</t>
  </si>
  <si>
    <t>ENGRASADOR 10 KG VULCANO MANGUERA RAYON VUL10</t>
  </si>
  <si>
    <t>ALAMBRE DE FARDO 17 1,42 MM A GRANEL POR 50 KG HERPACO</t>
  </si>
  <si>
    <t>REPUESTO CUCHILLAS PARA CUTTER x 10 UNIDADES KLD018</t>
  </si>
  <si>
    <t>CUTTER KLD 751</t>
  </si>
  <si>
    <t>LLANA GOMA RUBI RU84917</t>
  </si>
  <si>
    <t>preguntar antes hefer mucho mas barato</t>
  </si>
  <si>
    <t>ROTOR SIERRA CIRCULAR MAKITA 5007</t>
  </si>
  <si>
    <t>HERPACO</t>
  </si>
  <si>
    <t>ROTOR MARTILLO MAKITA 1203C 10 KG 510310-2</t>
  </si>
  <si>
    <t>HOJA DE SIERRA BOSCH 6 1/2"x24 D 2608640602</t>
  </si>
  <si>
    <t>HOJA DE SIERRA BOSCH 6 1/2"x36 D 2608640603</t>
  </si>
  <si>
    <t>ROTOR AMOLADORA BOSCH 2800 W 1604010BD4</t>
  </si>
  <si>
    <t>EMPUÑADURA MARTILLO MAKITA 1203 C</t>
  </si>
  <si>
    <t>JUEGO DE HERRAMIENTAS TACTIX TX545245 20 PIEZAS</t>
  </si>
  <si>
    <t>TALADRO CAT DX17 750 WATTS</t>
  </si>
  <si>
    <t>HOJA DE SIERRA CAT DA08001 7 1/4"x 24D</t>
  </si>
  <si>
    <t>JUEGO CINCELES CAT SDS PLUS 3 PIEZAS DA03903</t>
  </si>
  <si>
    <t>JUEGO PUNTAS DESTORNILLADORES 1/4" 54 PIEZAS BAHCO 59S54BC</t>
  </si>
  <si>
    <t>CADENA METALICA TRANQUERA 7 MM (1 METRO = 1 KG)</t>
  </si>
  <si>
    <t>CADENA METALICA TRANQUERA 10 MM (1 METRO = 2 KG)</t>
  </si>
  <si>
    <t>CARTER GUINCHE IORI DT 1000</t>
  </si>
  <si>
    <t>BANCADA PARA CARRETEL IORI DT 1000</t>
  </si>
  <si>
    <t>VOLANTE ALUMINIO 230 MM P/HORMIGONERA 130 LTS HEFER (020160)</t>
  </si>
  <si>
    <t>RODILLO PARA MARCAR CEMENTO 170CM HEFER (020172)</t>
  </si>
  <si>
    <t>LLAVE AJUSTABLE ROTWEILLER 10"  (EVOL0147)</t>
  </si>
  <si>
    <t>ROUTER TE-RO 55 4350494</t>
  </si>
  <si>
    <t>SIERRA CALADORA RT-JS 85 4321088</t>
  </si>
  <si>
    <t>GUANTES LATEX RUGOSO VE630</t>
  </si>
  <si>
    <t>JUEGO BAHCO LLAVE AJUSTABLE + PINZA PICO LORO ORIG80716224D</t>
  </si>
  <si>
    <t>SOLO CONTADO</t>
  </si>
  <si>
    <t>MEDIDOR DE DISTANCIA 50 MTS TC-LD 50 - 2270081</t>
  </si>
  <si>
    <t>SIERRA CIRCULAR MAKITA 9" 5902B 2100 W</t>
  </si>
  <si>
    <t>CUTTER STANLEY 10151</t>
  </si>
  <si>
    <t>PINZA STANLEY MEDIA CAÑA 84625</t>
  </si>
  <si>
    <t>TENAZA KLD 28 CM CORTE ENTERO KLD1025</t>
  </si>
  <si>
    <t>ZAPATILLA GRAFA NEGRO 4001</t>
  </si>
  <si>
    <t>TALADRO BANCO KLDTB16PLUS MM 500 W</t>
  </si>
  <si>
    <t>SENSITIVA MAKITA 2414NB 355 MM</t>
  </si>
  <si>
    <t>HOJA DE SIERRA ISARD 7 1/4" x 24 D 080400</t>
  </si>
  <si>
    <t>HOJA DE SIERRA ISARD 7 1/4" x 40 D 080401</t>
  </si>
  <si>
    <t>PUNTA PHILLIPS PH 2x25 STANLEY S68077</t>
  </si>
  <si>
    <t>REVOCADORA LINCE PARA COMPRESOR 3360</t>
  </si>
  <si>
    <t>MOTOR WEG 2 HP MONOFASICO 3223</t>
  </si>
  <si>
    <t>PORTACARBONES MAKITA 632D00-2</t>
  </si>
  <si>
    <t>CHOCLA RUBI MASTER RU75925</t>
  </si>
  <si>
    <t>ADIABATIC EC2000NEW_TG</t>
  </si>
  <si>
    <t>RODEL RUBI 22 MM X UNIDAD PARA TS MAX RU01907</t>
  </si>
  <si>
    <t>EJE ROLDANA 1200 KG P/TRAVESAÑO</t>
  </si>
  <si>
    <t>JUEGO PUNTAS DE IMPACTO STAYER 24 PIEZAS 12668</t>
  </si>
  <si>
    <t>MANGUERA RIEGO 3/4" X 25 MTS PLASTIMET VERDE AMARILLA</t>
  </si>
  <si>
    <t>SERRUCHO LACATUS 22" 55 CM</t>
  </si>
  <si>
    <t>PICO PUNTA Y PALA TRAMONTINA C/CABO TRA801</t>
  </si>
  <si>
    <t>12 21</t>
  </si>
  <si>
    <t>PALA ANCHA BIASSONI SOL ESTAMPADA BIA121</t>
  </si>
  <si>
    <t>ALAMBRE NEGRO RECOCIDO N° 8 DEL 4,2 POR 60 KG HERPACO</t>
  </si>
  <si>
    <t>ALAMBRE DE FARDO 16 1,6 MM A GRANEL POR 65 KG HERPACO</t>
  </si>
  <si>
    <t>TERMOFUSORA 800 W C/BOQUILLAS 20-25-32 GASSMANN GAS0800</t>
  </si>
  <si>
    <t>TERMOFUSORA 1500 W C/BOQUILLAS 1/2" 3/4" 1" GAS1401</t>
  </si>
  <si>
    <t>TERMOFUSORA 1500 W C/BOQUILLAS 20-25-32 GAS1400</t>
  </si>
  <si>
    <t>CARBON XSE 121</t>
  </si>
  <si>
    <t>MARTILLO PERF. INECO 800 W RGH9028-4</t>
  </si>
  <si>
    <t>PINZA NIVELADORA DE ARCO CERAMICRUZ CAMITS / KAGEN</t>
  </si>
  <si>
    <t xml:space="preserve">ZORRA HIDRAULICA 3 TN MORANO </t>
  </si>
  <si>
    <t>BOTIN DE SEG. ATT STARTEX SAN LUIS 3,0</t>
  </si>
  <si>
    <t>RUEDA ANDAMIO CHAPA GIRATORIA 200 (4846) HOFER</t>
  </si>
  <si>
    <t>LLAVE AJUSTABLE INECO 8" HADW131082</t>
  </si>
  <si>
    <t>LLAVE AJUSTABLE INECO 10" HADW131102</t>
  </si>
  <si>
    <t>LLAVE AJUSTABLE INECO 12" HADW131122</t>
  </si>
  <si>
    <t>MEZCLADOR PARA MASILLA ZC 80x400 ENCASTRE SDS  8205-2AX80</t>
  </si>
  <si>
    <t>MEZCLADOR PARA MASILLA ZC 120x600 ENCASTRE SDS 8205-2AX120</t>
  </si>
  <si>
    <t>ESCOBILLON DE BARRENDERO PLASTICO 30 cm CAL247</t>
  </si>
  <si>
    <t>CORTAHIERRO BOSCH SDS MAX ANCHO PALA 1618601008</t>
  </si>
  <si>
    <t>BROCHES PARA MEDIA SOMBRA x 50 U</t>
  </si>
  <si>
    <t>TARUGOS 8x 500 U</t>
  </si>
  <si>
    <t>MANGUERA RIEGO 1/2" X 50 MTS VANESA 10008</t>
  </si>
  <si>
    <t>MANGUERA RIEGO 3/4" X 25 MTS VANESA 10019</t>
  </si>
  <si>
    <t>MANGUERA RIEGO 3/4" X 50 MTS VANESA 10020</t>
  </si>
  <si>
    <t>CARBON XSE 208 - AMOLADORA B&amp;D 4 1/2"</t>
  </si>
  <si>
    <t>CORTAHIERRO HEXAG. BOSCH 28x520 1618600206</t>
  </si>
  <si>
    <t>KIT 2 BATERIAS + CARGADOR BOSCH 12 V 1600A01B6Z</t>
  </si>
  <si>
    <t>KIT 2 BATERIAS + CARGADOR BOSCH 18 V 4 AMP 1600A015TE</t>
  </si>
  <si>
    <t>MECHA SDS PLUS BOSCH 5X 8 X 160 2608833789</t>
  </si>
  <si>
    <t>MECHA SDS PLUS BOSCH 5X 12 X 160 2608833807</t>
  </si>
  <si>
    <t>MECHA SDS PLUS BOSCH 5X 10 X 160 2608833798</t>
  </si>
  <si>
    <t>MECHA SDS PLUS BOSCH 10 X 160 2608680273</t>
  </si>
  <si>
    <t>MECHA SDS PLUS BOSCH 12 X 160 2608680277</t>
  </si>
  <si>
    <t>MECHA SDS PLUS BOSCH 8 X 210 2608680271</t>
  </si>
  <si>
    <t>MECHA SDS PLUS BOSCH 8 X 160 2608680270</t>
  </si>
  <si>
    <t>MECHA SDS PLUS BOSCH 6 X 210 2608680264</t>
  </si>
  <si>
    <t>MECHA SDS PLUS BOSCH 6 X 110 2608680262</t>
  </si>
  <si>
    <t>MECHA SDS PLUS BOSCH 6 X 160 2608680263</t>
  </si>
  <si>
    <t>MECHA SDS PLUS BOSCH 5X 6 X 160 2608833778</t>
  </si>
  <si>
    <t>FICHA MACHO TRIFASICA IP44 C/PASACABLE 32A 5 PERNOS</t>
  </si>
  <si>
    <t>CARBON XSE 155 9 / AMOLADORA BOSCH 4 1/2"</t>
  </si>
  <si>
    <t>CARBONES PARA SIERRA CIRCULAR BOSCH 7 1/4" 1604321179</t>
  </si>
  <si>
    <t>BOTONERA ORIGINAL IORI 3 BOTONES MMQ</t>
  </si>
  <si>
    <t>FICHA HEMBRA MONOFASICA 3 PERNOS CHATOS BLANCA 18659</t>
  </si>
  <si>
    <t>CUCHILLAS PARA TIJ.CORTAP.450 MM (JUEGO X2)</t>
  </si>
  <si>
    <t>PORTACUCHILLAS TIJERA CORTAPERNO 770/600 (X UNIDAD)</t>
  </si>
  <si>
    <t>MOTOR WEG 3/4 HP P/HORMIGONERA CON POLEA</t>
  </si>
  <si>
    <t>ESCUADRA MAZZUCA 70 CM PROFESIONAL MAZ654</t>
  </si>
  <si>
    <t>PALA ANCHA BIASSONI SOL FORJADA BIA200</t>
  </si>
  <si>
    <t>ESCUADRA MAZZUCA 40 CM PROFESIONAL MAZ651</t>
  </si>
  <si>
    <t>ESCUADRA MAZZUCA 60 CM PROFESIONAL MAZ653</t>
  </si>
  <si>
    <t>MAZA 1000 GRS MAZZUCA MAZ1000</t>
  </si>
  <si>
    <t>MAZA 1500 GRS MAZZUCA MAZ1500</t>
  </si>
  <si>
    <t>MAZA 2000 GRS MAZZUCA MAZ2000</t>
  </si>
  <si>
    <t>MAZA 5000 GRS MAZZUCA MAZ5000</t>
  </si>
  <si>
    <t>MAZA 6000 GRS MAZZUCA MAZ6000</t>
  </si>
  <si>
    <t>MAZA 8000 GRS MAZZUCA MAZ8000</t>
  </si>
  <si>
    <t>MAZA 10000 GRS MAZZUCA MAZ0010</t>
  </si>
  <si>
    <t>LLANA DENTADA 10x10 RUBI RU25906</t>
  </si>
  <si>
    <t>TERRAJAS P/PVC SANOGASS 1/2" -  3/4" - 1" SP1 ANO081</t>
  </si>
  <si>
    <t>CORTADORA DE CERAMICA "RUBI" KIT TC-125 RU51979+RU50953</t>
  </si>
  <si>
    <t>VOLANTE ALUMINIO 260 MM P/HORMIGONERA 130 LTS (020161)</t>
  </si>
  <si>
    <t>ELECTRODOS CONARCO PTA AZUL (6013) 2.5 MM (50 unidades) 303468 / B0625</t>
  </si>
  <si>
    <t>ELECTRODOS CONARCO PTA AZUL (6013) 3.25 MM (31 unidades) 303481 / B0632</t>
  </si>
  <si>
    <t>ELECTRODOS CONARCO PTA AZUL (6013) 2 MM (50 unidades) 303461 / B0620</t>
  </si>
  <si>
    <t>ELECTRODOS ESAB OK 3,25 MM (46,13) BP0632</t>
  </si>
  <si>
    <t>ELECTRODOS ESAB OK 2,5 MM (46,13) BP0625 / 304002</t>
  </si>
  <si>
    <t>CAJA DE HERRAMIENTAS ZC MANO 26"</t>
  </si>
  <si>
    <t>CEPILLO ACERO P/AMOLADORA 100 RIZADO INECO WB11005</t>
  </si>
  <si>
    <t>PINZA ATLAS CURVA ONSITE 10" - TACTIX TX700505</t>
  </si>
  <si>
    <t>PUNTA BOSCH SDS-MAX 280 MM 1618600023</t>
  </si>
  <si>
    <t>CORTAHIERRO BOSCH SDS MAX 280 MM 1618600210</t>
  </si>
  <si>
    <t>DISCO BOSCH TURBO 4 1/2" 2608615036</t>
  </si>
  <si>
    <t>DISCO BOSCH TURBO 9" 2608615039</t>
  </si>
  <si>
    <t>LUBRICANTE PNT 210 GRS CON GATILLO ART348</t>
  </si>
  <si>
    <t>LUBRICANTE PNT 165 GRS ART316</t>
  </si>
  <si>
    <t>LUBRICANTE PNT 290 GRS ART318</t>
  </si>
  <si>
    <t>ANTIPARRA STEEL PRO EVEREST TRANSP O GRIS 201045830</t>
  </si>
  <si>
    <t>GUANTES LATEX RUGOSO STEELPRO EAGLE LATEX PRO T9 ZC 301000780467</t>
  </si>
  <si>
    <t>MECHA ESSAMET ACERO RAPIDO 5/6 MM 40406</t>
  </si>
  <si>
    <t>MECHA ESSAMET ACERO RAPIDO 8 MM 40408</t>
  </si>
  <si>
    <t>MECHA ESSAMET ACERO RAPIDO 10 MM 40410</t>
  </si>
  <si>
    <t>MECHA ESSAMET ACERO RAPIDO 12 MM 40412</t>
  </si>
  <si>
    <t>CORTADORA DE CERAMICA ZC 320 CM 8108-SLIM</t>
  </si>
  <si>
    <t>CORTADORA DE CERAMICA ZC 60 CM CON ESTUCHE 8100B-G</t>
  </si>
  <si>
    <t>CORTADORA DE CERAMICA ZC 120 CM 8102G-1200</t>
  </si>
  <si>
    <t>MENSULA DE 2,50 MTS POR PAR PARA PROTECCION R126</t>
  </si>
  <si>
    <t>LLAVE COMBINADA 19 MM x 220 MM BAHCO PU19</t>
  </si>
  <si>
    <t>PINZA MULTITOOL IRIMO 15 EN 1 6711501</t>
  </si>
  <si>
    <t>PINZA UNIVERSAL IRIMO 7" 601180A</t>
  </si>
  <si>
    <t>HORMIGONERA VOLTEO 350 LTS IMER MOTOR MONOFASICO</t>
  </si>
  <si>
    <t>ALICATE OBLICUO ROTWEILLER 6" EVOL0002</t>
  </si>
  <si>
    <t>PALA ANCHA CABO HIERRO ESTAMPADA FG HEFER (010360)</t>
  </si>
  <si>
    <t>19 21 101</t>
  </si>
  <si>
    <t>FRATACHO DE ALGARROBO 12 X 35 CM 3048</t>
  </si>
  <si>
    <t>FRATACHO DE ALGARROBO 12 X 40 CM 3049</t>
  </si>
  <si>
    <t>10 103</t>
  </si>
  <si>
    <t>MANGUERA ALTA PRESION 8 mm ROJA</t>
  </si>
  <si>
    <t>MANDRIL 13 MM CON ADAPTADOR SDS INECO KC1301,1</t>
  </si>
  <si>
    <t>MARTILLO DEM. INECO 7 KG HEX 17 MM 20 J PDB130018-4</t>
  </si>
  <si>
    <t>VAQUETA 2DA 600</t>
  </si>
  <si>
    <r>
      <t xml:space="preserve">MOTOR DAF 1 HP MONOF. POTENCIADO </t>
    </r>
    <r>
      <rPr>
        <sz val="12"/>
        <color indexed="10"/>
        <rFont val="Arial"/>
        <family val="2"/>
      </rPr>
      <t>(VER DÓLAR)</t>
    </r>
  </si>
  <si>
    <t>ROTOR MARTILLO BOSCH GSH 11E ORIGINAL 1619P15184</t>
  </si>
  <si>
    <t>CORTADORA DE CERAMICA "RUBI" HIT 1600PLUS RU27909</t>
  </si>
  <si>
    <t xml:space="preserve">                                                                                                                                                              </t>
  </si>
  <si>
    <t>HORMIGONERA VOLTEO 400 LTS LINCE C/MOTOR 2 HP MONOFASICA (3028)</t>
  </si>
  <si>
    <t>ENGRASADOR 1 KG GRV1000</t>
  </si>
  <si>
    <t>ZORRA HIDRAULICA 2 TN ANCHO 685 HOFER 26001</t>
  </si>
  <si>
    <t>ESCALERA ARTICULADA 4 TRAMOS 4 ESCALONES ZERO ZE4X4</t>
  </si>
  <si>
    <t>x</t>
  </si>
  <si>
    <t>PINZA PICOLORO TACTIX 10" TX200071</t>
  </si>
  <si>
    <t>CUCHARA KLD SOLDADA 7M KLD1061</t>
  </si>
  <si>
    <t>CUCHARA KLD SOLDADA 8M KLD1062</t>
  </si>
  <si>
    <t>PEGAMENTO LOCTITE TRABA ROSCAS 242 34155</t>
  </si>
  <si>
    <t>PEGAMENTO LOCTITE TRABA ROSCAS 271 34157</t>
  </si>
  <si>
    <t>RODAMIENTO BK1212</t>
  </si>
  <si>
    <t>RETEN 18-32-7</t>
  </si>
  <si>
    <t>RETEN 17-30-6</t>
  </si>
  <si>
    <t>TIJERA CORTA ALAMBRE CORTRIFIL 300 MM HASTA 5 MM</t>
  </si>
  <si>
    <t>32 82</t>
  </si>
  <si>
    <t>CADENA METALICA TRANQUERA 6 MM ( 1 METRO = 0,73 KG)</t>
  </si>
  <si>
    <t>DESENCOFRANTE ACEITOSO 200 LTS</t>
  </si>
  <si>
    <t>DESENCOFRANTE ACUOSO 200 LTS</t>
  </si>
  <si>
    <t>DESENCOFRANTE ALTO RENDIMIENTO 20 LTS</t>
  </si>
  <si>
    <t>DESENCOFRANTE ALTO RENDIMIENTO 200 LTS</t>
  </si>
  <si>
    <t>REPUESTO TIZA ROJO N° 49 500 GR (FERRITE) FTR01</t>
  </si>
  <si>
    <t>MANGUERA RIEGO 3/4" X 25 MTS VIRGEN VANESA 10015V</t>
  </si>
  <si>
    <t>MANGUERA RIEGO 1" X 25 MTS VIRGEN VANESA 10025V</t>
  </si>
  <si>
    <t>HOJA CALADORA STAYER MADERA POR UNIDAD SYR12422</t>
  </si>
  <si>
    <t>CARRETILLA PL18 CON COMPACTA</t>
  </si>
  <si>
    <t>CARRETILLA PL18 CON NEUMATICA ch 400 PLASTICO</t>
  </si>
  <si>
    <t>CARRETILLA PL18 CON RAYOS</t>
  </si>
  <si>
    <t>CARRETILLA PS16 CON COMPACTA</t>
  </si>
  <si>
    <t>CARRETILLA PS16 CON NEUMATICA PLASTICO</t>
  </si>
  <si>
    <t>CARRETILLA PS16 CON RAYOS</t>
  </si>
  <si>
    <t>CARRETILLA T20 CON COMPACTA</t>
  </si>
  <si>
    <t>CORREA JC A49</t>
  </si>
  <si>
    <t>28 101</t>
  </si>
  <si>
    <t>JUEGO DE HERRAMIENTAS STANLEY 50 PIEZAS SFMMT82827</t>
  </si>
  <si>
    <t>PROFEIN</t>
  </si>
  <si>
    <t>TENAZA BREMEN 30 CM 1/2 CORTE BR7052</t>
  </si>
  <si>
    <t>CUCHARA BREMEN FORJADA 8M BR7229</t>
  </si>
  <si>
    <t>NIVEL PLASTICO BREMEN ABS600 BR7125</t>
  </si>
  <si>
    <t>MECHA PALA BREMEN 20 MM BR7408</t>
  </si>
  <si>
    <t>PUNTA PH 2x50 BREMEN BR7236</t>
  </si>
  <si>
    <t>TIJERA CORTAPERNO 900 MM BREMEN BR2896</t>
  </si>
  <si>
    <r>
      <t xml:space="preserve">CANDADO 63 MM ILOCK / </t>
    </r>
    <r>
      <rPr>
        <sz val="12"/>
        <color rgb="FFFF0000"/>
        <rFont val="Arial"/>
        <family val="2"/>
      </rPr>
      <t>STOK</t>
    </r>
  </si>
  <si>
    <t>MANGUERA RIEGO 1/2" X 25 MTS SOLYON SLY021225</t>
  </si>
  <si>
    <t>CORONA NRO 13 HEFER C/PORTARULEMAN 320 D RECTO O HELICOIDAL 02CH13</t>
  </si>
  <si>
    <t>CORONA NRO 14 HEFER C/PORTARULEMAN 325 D RECTO O HELICOIDAL 02CH14</t>
  </si>
  <si>
    <t>PINCELETA GRIS N° 40 HEFER TUC4404</t>
  </si>
  <si>
    <t>PIÑON Y EJE P/130 LTS HEFER (EJE 17 / 10/11/13 DIENTES / HELICOIDAL) (02PHE10)</t>
  </si>
  <si>
    <t>PIÑON Y EJE P/130 LTS HEFER (EJE 17 / 10/11/13 DIENTES / RECTO) (02PRE11)</t>
  </si>
  <si>
    <t>GUANTES MOTEADOS REFORZADO HEFER mota azul</t>
  </si>
  <si>
    <t>MARTILLO GALPONERO TRAMONTINA TRA4027</t>
  </si>
  <si>
    <t>GANCHO DE ACERO C/TRABA GIRATORIO 1 TN ZINCADO</t>
  </si>
  <si>
    <t>GANCHO DE ACERO C/TRABA GIRATORIO 1,5 TN ZINCADO</t>
  </si>
  <si>
    <t>PUNTA 35 CM ROSSANA</t>
  </si>
  <si>
    <t>BARRETIN ROSSANA</t>
  </si>
  <si>
    <t>CUCHARA BREMEN FORJADA 7M BR7227</t>
  </si>
  <si>
    <t>DISCO BOSCH SEGMENTADO 7" 2608615030</t>
  </si>
  <si>
    <t>TALADRO INALAMBRICO TE-CD 18/48 LI-I (SIN BATERIA) 4513926</t>
  </si>
  <si>
    <t>SERRUCHO BAHCO 19" PROFCUT PC19FILEU7</t>
  </si>
  <si>
    <t>CARBON XSE 148 A/B BOSCH GSH 11 E / 16/28 / STAYER 10 K</t>
  </si>
  <si>
    <t>CARBON XSE 135 / 136</t>
  </si>
  <si>
    <t>METRO MADERA DOBLE HAFELE 280203</t>
  </si>
  <si>
    <t>AMOLADORA MAKITA 4 1/2" 720 W 4534 GATILLO PALETA</t>
  </si>
  <si>
    <t>A</t>
  </si>
  <si>
    <t>GUANTES MOTEADOS REFORZADO HEFER mota naranja</t>
  </si>
  <si>
    <t>HORMIGONERA 150 LTS BAEZ C/MOTOR 1 HP ANGAR</t>
  </si>
  <si>
    <t>GRASA EN AEROSOL LITIO 250 CC PNT</t>
  </si>
  <si>
    <t>GRASA EN AEROSOL GRAFITADA 250 CC PNT</t>
  </si>
  <si>
    <t>14 29 48</t>
  </si>
  <si>
    <t>LLANA LISA 10x30 INECO HPT23108</t>
  </si>
  <si>
    <t>NIVEL ALUMINIO INECO 60 CM HSL18060</t>
  </si>
  <si>
    <t>NIVEL ALUMINIO INECO 100 CM MAGNETICO HSL38100M</t>
  </si>
  <si>
    <t>NIVEL ALUMINIO INECO 120 CM MAGNETICO HSL38120M</t>
  </si>
  <si>
    <t>NIVEL ALUMINIO INECO 150 CM MAGNETICO HSL38150M</t>
  </si>
  <si>
    <t>RODILLERA INECO X PAR HKPT0101</t>
  </si>
  <si>
    <t>Descuento 20 Pack</t>
  </si>
  <si>
    <t>Redondeo Aumento      %</t>
  </si>
  <si>
    <t>Segmentado Plata Granito Ø 14" - Liga Blanda PREMIUM - Sector 15 mm - Alma Silenciosa</t>
  </si>
  <si>
    <t>Segmentado Plata Granito Ø 14" - Liga Blanda SUPREME - Sector 15 mm - Alma Silenciosa</t>
  </si>
  <si>
    <t>ALIAFOR METALES (ex Diamond x)</t>
  </si>
  <si>
    <t>BDA6G</t>
  </si>
  <si>
    <t>BDA8G</t>
  </si>
  <si>
    <t>BDA10G</t>
  </si>
  <si>
    <t>MBS-7</t>
  </si>
  <si>
    <t>Disco P/corte de multiples materiales 180x2.8</t>
  </si>
  <si>
    <t>MBS-9</t>
  </si>
  <si>
    <t>Disco P/corte de multiples materiales 230x2.8</t>
  </si>
  <si>
    <t>W120-150</t>
  </si>
  <si>
    <t>Broca de Widia Vástago Hexagonal 1/4" Ø 12 x 150</t>
  </si>
  <si>
    <t>AD-MX-PL</t>
  </si>
  <si>
    <t>CEPILLOS METALICOS - NUEVOS</t>
  </si>
  <si>
    <t>CRP100</t>
  </si>
  <si>
    <t>Cepillo Rizado Plano 100 MM</t>
  </si>
  <si>
    <t>CRP115</t>
  </si>
  <si>
    <t>Cepillo Rizado Plano 115 MM</t>
  </si>
  <si>
    <t>CTC175</t>
  </si>
  <si>
    <t>Cepillo Trenzado Circular 175 MM</t>
  </si>
  <si>
    <t>CCT100</t>
  </si>
  <si>
    <t>Cepillo Copa Trenzado 100 MM</t>
  </si>
  <si>
    <t>CCR100</t>
  </si>
  <si>
    <t>Cepillo Copa Rizado 100 MM</t>
  </si>
  <si>
    <t>CCP125</t>
  </si>
  <si>
    <t>Cepillo Circular Plano 125 MM</t>
  </si>
  <si>
    <t>CCP150</t>
  </si>
  <si>
    <t>BS</t>
  </si>
  <si>
    <t>CCP175</t>
  </si>
  <si>
    <t>Cepillo Circular Plano 175 MM</t>
  </si>
  <si>
    <t>CCP200</t>
  </si>
  <si>
    <t>Cepillo Circular Plano 200 MM</t>
  </si>
  <si>
    <t>VALOR SIN IVA</t>
  </si>
  <si>
    <t>ESCUADRA CARPINTERO 20 CM PINAS PIN200</t>
  </si>
  <si>
    <t>ESCUADRA CARPINTERO 25 CM PINAS PIN250</t>
  </si>
  <si>
    <t>ESCUADRA PINAS 60 CM PROFESIONAL PIN360</t>
  </si>
  <si>
    <t>ESCUADRA PINAS 70 CM PROFESIONAL PIN370</t>
  </si>
  <si>
    <t>ESPATULA PINAS 50 MM CABO PLASTICO PIN0005</t>
  </si>
  <si>
    <t>ESPATULA PINAS 60 MM CABO PLASTICO PIN006</t>
  </si>
  <si>
    <t>ESPATULA PINAS 70 MM CABO PLASTICO PIN007</t>
  </si>
  <si>
    <t>ESPATULA PINAS 80 MM CABO PLASTICO PIN0008</t>
  </si>
  <si>
    <t>ESPATULA PINAS 90 MM CABO PLASTICO PIN009</t>
  </si>
  <si>
    <t>MARTILLO PERF. KLDMR24P</t>
  </si>
  <si>
    <t>CABEZAL PARA CORTADORA SLIM CUT COMPLETO</t>
  </si>
  <si>
    <t>DISCO KWB DIAMANTADO 4 1/2" PARA MADERA 49790140</t>
  </si>
  <si>
    <t>CINTA ENMASCARAR DE PAPEL 3M 36 MM AZUL 65307</t>
  </si>
  <si>
    <t>CINTA METRICA BAHCO 5 MTS MTG519AR</t>
  </si>
  <si>
    <t>JUEGO CINCELES SDS MAX 400 KWB (1 PUNTA+1 CORTA+1 CORTA ANCHO) 49190103</t>
  </si>
  <si>
    <t>VENTA + 1/2 IVA</t>
  </si>
  <si>
    <t>SOLDADORA INVERTER GAMMA ARC 200</t>
  </si>
  <si>
    <t>CINTA METRICA EVEL 30 MTS MOD.230 EVE230</t>
  </si>
  <si>
    <t>CINTA METRICA EVEL 5 MTS MOD.525 EVE525</t>
  </si>
  <si>
    <t>CUCHARA GHERARDI SOLDADA 7 y 7M GHE0271</t>
  </si>
  <si>
    <t>CUCHARA GHERARDI SOLDADA 8M GHE0281</t>
  </si>
  <si>
    <t>CUCHARA GHERARDI FORJADA 7 y 7 M GHE127</t>
  </si>
  <si>
    <t>CINTA AISLADORA 15 PLUS 0,15 x 20 MTS INT820</t>
  </si>
  <si>
    <t>PLOMADA TOTH 1000 GRS TOT1000</t>
  </si>
  <si>
    <t>ZAPATO GRAFA NEGRO 103</t>
  </si>
  <si>
    <t>TAPA TANQUE NAFTA PISON</t>
  </si>
  <si>
    <t>COLA DE AMARRE CV1026AC C/AMORTIGUADOR</t>
  </si>
  <si>
    <t>HOJA DE SIERRA DEWALT 7 1/4"x 24D 171424</t>
  </si>
  <si>
    <t>CINTA METRICA EVEL 50 MTS MOD.250 EVE250</t>
  </si>
  <si>
    <t>CINTA METRICA EVEL 100 MTS MOD.2100 EVE2100</t>
  </si>
  <si>
    <t>MENTONERA SAYLENS SAY3</t>
  </si>
  <si>
    <t>ARCO NIVELADOR PARA PORCELLANATO POR 150 U CERAMICRUZ CAMITS NIV0001</t>
  </si>
  <si>
    <t>BOTIN DE SEG. TRACCION / HALCON SUELA FEBO BOX BOT039</t>
  </si>
  <si>
    <t>PALA ANCHA MOISES ESTAMPADA 1010</t>
  </si>
  <si>
    <t>GUANTES MOTEADOS S/CERTIFICADO ALSEC GRIS</t>
  </si>
  <si>
    <t>HACHA VIZCAINA MAZZUCA MAZ66</t>
  </si>
  <si>
    <t>MAZA GOMA ZC 8124A-16</t>
  </si>
  <si>
    <t>MAZA GOMA ZC 8124A-12</t>
  </si>
  <si>
    <t>ENGRASADOR 1 KG VULCANO VUL1000</t>
  </si>
  <si>
    <t>ESTRIBO HIERRO 6 MM 10X10 / 10X15 / 12X12 POR 20 UNID</t>
  </si>
  <si>
    <t>MOTOR ANGAR MO3 1 HP AZUL REFORZADO P/HORMIGONERA</t>
  </si>
  <si>
    <t xml:space="preserve">MARTILLO GALPONERO LORO VERDE 500 GRS </t>
  </si>
  <si>
    <t>CUCHARA GHERARDI FORJADA 8M GHE281</t>
  </si>
  <si>
    <t>JUEGO DESTORNILLADORES INECO X 6 U HKSD0658</t>
  </si>
  <si>
    <t>MEDIDOR DE DISTANCIA LASER BREMEN BR7028</t>
  </si>
  <si>
    <t>NIVEL LASER BREMEN ROJO 1x360° BR7287</t>
  </si>
  <si>
    <t>NIVEL LASER BREMEN ROJO BR7288</t>
  </si>
  <si>
    <t>NIVEL LASER BREMEN VERDE 3x360° BR7724</t>
  </si>
  <si>
    <t>NIVEL LASER BREMEN VERDE BR7723</t>
  </si>
  <si>
    <t>PISTOLA APLICADORA SILICONA BREMEN PROF BR7386</t>
  </si>
  <si>
    <t>LLAVE AJUSTABLE METZ 8" 360808</t>
  </si>
  <si>
    <t>LLAVE AJUSTABLE METZ 10" 360810</t>
  </si>
  <si>
    <t>CANDADO 60 MM PROLL</t>
  </si>
  <si>
    <t>ALICATE CORTE DIAGONAL TACTIX 700005LA</t>
  </si>
  <si>
    <t>ALICATE PUNTA LARGA 6" TACTIX 700001</t>
  </si>
  <si>
    <t>HACHA TUMBA CON CABO GHERARDI GHE208</t>
  </si>
  <si>
    <t>MARTILLO GALPONERO GHERARDI GHE30</t>
  </si>
  <si>
    <t>TANZA POR ROLLO 100 MTS x 0,80 TAN280</t>
  </si>
  <si>
    <t>TANZA POR ROLLO 100 MTS x 1,00 TAN210</t>
  </si>
  <si>
    <t>FRATACHO CARBONO SILICIO 20 CM GRANO MEDIO MAY202 8011</t>
  </si>
  <si>
    <t>CABALLETE DE YESERO DE 55 A 90 CM</t>
  </si>
  <si>
    <t>CABALLETE DE YESERO DE 70 A 130 CM</t>
  </si>
  <si>
    <t>AMOLADORA BOSCH 5" GWS 13-125 CI</t>
  </si>
  <si>
    <t>AMOLADORA BOSCH 5" GWS 17-125 CIE</t>
  </si>
  <si>
    <t>ANTEOJO ROJO PARA NIVEL LASER BOSCH 1608M0005B</t>
  </si>
  <si>
    <t>LAPIZ CARPINTERO HAFELE</t>
  </si>
  <si>
    <t>MEZCLADOR PARA MASILLA KLD1605MX</t>
  </si>
  <si>
    <t>GENERADOR GAMMA 6500 ELITE 5,5 KVA</t>
  </si>
  <si>
    <t>SIERRA CIRCULAR STANLEY 7 1/4" 1600 W SC16</t>
  </si>
  <si>
    <t>ATORNILLADOR TALADRO STAYER 18 V RPBL2022PK C/2 BATERIAS</t>
  </si>
  <si>
    <t>TIJERA CORTAPERNO 750 MM BREMEN BR3010</t>
  </si>
  <si>
    <t>DISCO BREMEN TRF 4 1/2" BR6735</t>
  </si>
  <si>
    <t>GANCHO DE ACERO C/TRABA GIRATORIO 2 TN HEAVY LOAD HL0064</t>
  </si>
  <si>
    <t>EJE CARRETEL BALANCIN C/TUERCA</t>
  </si>
  <si>
    <t>ESCUADRA CARPINTERO 30 CM MILIMETRADA SANTA JUANA SAJ300</t>
  </si>
  <si>
    <t>CARBON XSE 36-36 MARTILLO BOSCH 30 KG</t>
  </si>
  <si>
    <t>MARTILLO DEM. STANLEY SHM5K</t>
  </si>
  <si>
    <t>LAPIZ MECANICO SOLA CON REPUESTO DE MINAS SOTLM2SET</t>
  </si>
  <si>
    <t>DISCO BOSCH 7" PARA CORTAR METAL 2608619384</t>
  </si>
  <si>
    <t>FICHA MACHO MONOFASICA 3 PERNOS CHATOS BLANCA 14327</t>
  </si>
  <si>
    <t>PORTALAMPARA CON CABLE 19183</t>
  </si>
  <si>
    <t>FLOTANTE BOMBA FIBOSA F2000 28608</t>
  </si>
  <si>
    <t>CINTA METRICA ENGOMADA 5 MTS 10205</t>
  </si>
  <si>
    <t>CINTA METRICA ENGOMADA 7,5 MTS 10352</t>
  </si>
  <si>
    <t>CINTA METRICA ENGOMADA 10 MTS 10353</t>
  </si>
  <si>
    <t>CINTA METRICA ENGOMADA 3 MTS 10260</t>
  </si>
  <si>
    <t>DESTORNILLADOR PHILLIPS INECO 2X150 PH2150</t>
  </si>
  <si>
    <t>DESTORNILLADOR PLANO INECO 6,5X125 686125</t>
  </si>
  <si>
    <t>ESPUMA DE POLIURETANO UNIFIX 500 ML P0500002</t>
  </si>
  <si>
    <t>MECHA SDS PLUS KWB 4 PUNTAS 8X160 49261008</t>
  </si>
  <si>
    <t>JUEGO CINCELES SDS PLUS KWB (1 PUNTA+1 CORTA+1 CORTA ANCHO) 49247190</t>
  </si>
  <si>
    <t>BARBIJO KN95 STEEL PRO 253420960785</t>
  </si>
  <si>
    <t>LUBRICANTE TEK BOND 300 ML 367255</t>
  </si>
  <si>
    <t>BOMBA MOTORARG DRV 1100-T PLUVIAL</t>
  </si>
  <si>
    <t>CINTA METRICA EVEL 10 MTS MOD.510 EVE510</t>
  </si>
  <si>
    <t>HIDROLAVADORA OMAHA 1600 WATTS HLP-1600</t>
  </si>
  <si>
    <t>SIERRA CIRCULAR OMAHA 7 1/4 "1500 WATTS SC-1500</t>
  </si>
  <si>
    <t>CORTADORA DE HORMIGON 4 1/2" OMAHA SCC-1400</t>
  </si>
  <si>
    <t>MARTILLO PERF. OMAHA RM-26PLUS</t>
  </si>
  <si>
    <t>MARTILLO DEM. OMAHA 11 KG DE-11MAX</t>
  </si>
  <si>
    <t>TIJERA TACTIX SET 2 PIEZAS TX473039</t>
  </si>
  <si>
    <t>SOPLASPIRADORA PHILCO PHMJPSA116P</t>
  </si>
  <si>
    <t>SOLDADORA STANLEY SIRIO 210 190 AMP</t>
  </si>
  <si>
    <t>JUEGO DE SDS PLUS MAKITA x 10 U MKTD40674</t>
  </si>
  <si>
    <t>PISTOLA SOPLETE ADIABATIC MODELO C5</t>
  </si>
  <si>
    <t>FICHA HEMBRA MONOFASICA 3 PERNOS CHATOS NEGRA 24153</t>
  </si>
  <si>
    <t>FICHA MACHO MONOFASICA 3 PERNOS CHATOS NEGRA 24152</t>
  </si>
  <si>
    <t>FRATACHO DE PLAST. 25 CM 8027 / FRA125</t>
  </si>
  <si>
    <t>LLANA PLASTICA SIMPLE 12x25 SANTA JUANA SAJ2512</t>
  </si>
  <si>
    <t>LLANA PLASTICA SIMPLE 12x30 SANTA JUANA SAJ3012</t>
  </si>
  <si>
    <t>CUCHARA GHERARDI FORJADA 6 GHE26</t>
  </si>
  <si>
    <t>CUCHARA GHERARDI FORJADA 8 GHE28</t>
  </si>
  <si>
    <t>ARANDELA DOBLADA PARA BALANCIN</t>
  </si>
  <si>
    <t>JUEGO DE PUNTAS Y MECHAS BOSCH X-LINE 50 PIEZAS BSH 2607017406</t>
  </si>
  <si>
    <t>JUEGO DE PUNTAS Y MECHAS BOSCH X-LINE 100 PIEZAS BSH 2607017397</t>
  </si>
  <si>
    <t>CLAVO GANCHO ROSSANA</t>
  </si>
  <si>
    <t>FICHA MACHO MONOFASICA IP44 C/PASACABLE 16A 50018</t>
  </si>
  <si>
    <t>FICHA HEMBRA MONOFASICA IP44 C/PASACABLE 16A 50017</t>
  </si>
  <si>
    <t>COMPRESOR SHIMURA 3 HP 100 LTS BICILINDRICO W2D-30100</t>
  </si>
  <si>
    <t>PASTECA DOBLE P/SILLETA WXEMOT003</t>
  </si>
  <si>
    <t>PASTECA SIMPLE P/SILLETA WXEMOT002</t>
  </si>
  <si>
    <t>BOTIN DE SEG. ATT STARTEX CHUBUT 3,0</t>
  </si>
  <si>
    <t>GUANTES LATEX OMBU INDUSTRIAL NEGRO</t>
  </si>
  <si>
    <t>GUANTES LATEX OMBU PRECISION CELESTE</t>
  </si>
  <si>
    <t>CORREA JA A35 (DALMASO CON MAYERLING)</t>
  </si>
  <si>
    <t>CORREA JC A36 (TROMPITOS)</t>
  </si>
  <si>
    <t>CORREA JC A40 (MESA DE SIERRA)</t>
  </si>
  <si>
    <t>CORREA JC A44</t>
  </si>
  <si>
    <t>CORREA JC A45 (DM 160)</t>
  </si>
  <si>
    <t>CORREA JC B45 (GUINCHE 350 KG)</t>
  </si>
  <si>
    <t>CORREA JC B66 (DM 220 Y DM 320)</t>
  </si>
  <si>
    <t>28 97</t>
  </si>
  <si>
    <t>KEE GO STANLEY</t>
  </si>
  <si>
    <t>CABLE DE ACERO 1/2" POR METRO 12 mm 6X19 + 1T</t>
  </si>
  <si>
    <t>SIERRA CIRCULAR OMAHA 7 1/4 "1500 WATTS SC-1500L</t>
  </si>
  <si>
    <t>MARTILLO DEM. OMAHA 16 KG DE-16HEX</t>
  </si>
  <si>
    <t>PIÑON Y EJE P/160 LTS DLM</t>
  </si>
  <si>
    <t>PIÑON Y EJE P/200 O 320 LTS DLM</t>
  </si>
  <si>
    <t xml:space="preserve">PUNTAL EXT. 1.80 HASTA 3.20 MTS DPR </t>
  </si>
  <si>
    <t>TIJERA CORTA CHAPA ZC 8208</t>
  </si>
  <si>
    <t>PELACABLE ASSIST HD01091-07A</t>
  </si>
  <si>
    <t>CORTADORA DE CERAMICA "RUBI" PRACTIC PLUS 61 RU21979</t>
  </si>
  <si>
    <t>MARTILLO GALPONERO LORO ROJO 630 BERCAR BER29</t>
  </si>
  <si>
    <t>MARTILLO GALPONERO LORO ROJO 630 CABO LARGO BERCAR BER291</t>
  </si>
  <si>
    <t>PORTAHERRAMIENTAS CLAVERA CUERO RAMON (CONJUNTO 4 PIEZAS)</t>
  </si>
  <si>
    <t>MALLA CERRAMIENTO 10X10 O 20X20 SOLYON x 25 MTS</t>
  </si>
  <si>
    <t>CORREA A42</t>
  </si>
  <si>
    <t>PORTAHERRAMIENTAS CLAVERA CUERO NEGRO RAMON (CONJUNTO 4 PIEZAS)</t>
  </si>
  <si>
    <t>PORTAHERRAMIENTAS CLAVERA CUERO NEGRO CON FLECOS RAMON (CONJUNTO 4 PIEZAS)</t>
  </si>
  <si>
    <t>PANTALON DE TRABAJO OMBU CARGO URBANO</t>
  </si>
  <si>
    <t>CARBON XSE 108/110 ROTOPERCUTOR SKIL 1859</t>
  </si>
  <si>
    <t>TALADRO CAT DX161 850 WATTS</t>
  </si>
  <si>
    <t>SENSITIVA CAT DX519</t>
  </si>
  <si>
    <t>MARTILLO DEM. CAT DX28 5 KG</t>
  </si>
  <si>
    <t>-</t>
  </si>
  <si>
    <t>SERRUCHO SANTA JUANA 40 CM P/CARPINTERO SAJ40</t>
  </si>
  <si>
    <t>SERRUCHO SANTA JUANA 50 CM P/CARPINTERO SAJ50</t>
  </si>
  <si>
    <t>SERRUCHO SANTA JUANA 55 CM P/CARPINTERO SAJ55</t>
  </si>
  <si>
    <t>SERRUCHO SANTA JUANA 60 CM P/CARPINTERO SAJ60</t>
  </si>
  <si>
    <t>SERRUCHO SANTA JUANA PARA PODAR CURVO 30 CM SAJ100</t>
  </si>
  <si>
    <t>MECHA ESCALONADA 4-32 MM CHINA</t>
  </si>
  <si>
    <t>AMOLADORA BOSCH 9" GWS 25-230 LVI</t>
  </si>
  <si>
    <t>SERRUCHO NEIKE 50 CM P/CARPINTERO NEI50</t>
  </si>
  <si>
    <t>PIÑON DE MANDO PARA DAGGER 350 LTS MMQ</t>
  </si>
  <si>
    <t>MANDRIL OMAHA 13 MM C/ADAPTADOR SDS PLUS</t>
  </si>
  <si>
    <t>MARTILLO DEM. OMAHA 6 KG DE-6MAX</t>
  </si>
  <si>
    <t>MEDIDOR DE DISTANCIA LASER OMAHA 60 MTS MS-60A</t>
  </si>
  <si>
    <t>MEDIDOR DE DISTANCIA LASER OMAHA 80 MTS MS-80A</t>
  </si>
  <si>
    <t>19 21 45</t>
  </si>
  <si>
    <t>NIVEL LASER BREMEN VERDE 1x360° BR7722</t>
  </si>
  <si>
    <t>MASCARA BIFILTRO CON 2 FILTROS (comprar por 10 unid)</t>
  </si>
  <si>
    <t>CEPILLO ELECTRICO CAT CATDX86</t>
  </si>
  <si>
    <t>MANGUERA P/HIDROLAVADORA SHIMURA SHLT002</t>
  </si>
  <si>
    <t xml:space="preserve">DISCO TYROLIT 16" P/SENSITIVA </t>
  </si>
  <si>
    <t>COPA DIAMANTADA BOSCH 5" 2608601762 MUELA</t>
  </si>
  <si>
    <t xml:space="preserve">TANQUE NAFTA FRATACHADORA CON TAPA </t>
  </si>
  <si>
    <t>JUEGO DE PUNTAS CON ADAPTADOR MAKITA MKTD65084</t>
  </si>
  <si>
    <t xml:space="preserve">MAQUINA PARA SALPICAR PLASTICA (SALPICRE) NEIKE K106 </t>
  </si>
  <si>
    <t>HORMIGONERA 130 LTS BAEZ C/MOTOR 1 HP ANGAR</t>
  </si>
  <si>
    <t>PINZA PICOLORO BAHCO 240 MM 224p240D</t>
  </si>
  <si>
    <t>ODOMETRO KLD2041</t>
  </si>
  <si>
    <t>ADAPTADOR SDS A MANDRIL GLADIATOR GLAM800</t>
  </si>
  <si>
    <t>HACHA VIZCAINA DIAMOND</t>
  </si>
  <si>
    <t>MAZA 1000 GRS LyL LYL1000</t>
  </si>
  <si>
    <t>MAZA 1500 GRS LyL LYL1500</t>
  </si>
  <si>
    <t>GRASA DE LITIO / MULTIUSO POR 800 GRS MAX4900 MAX3900</t>
  </si>
  <si>
    <t>MANGUERA PARA HIDROLAVADORA HOBBY 3 MTS</t>
  </si>
  <si>
    <t>MANGUERA PARA HIDROLAVADORA HOBBY 5 MTS</t>
  </si>
  <si>
    <t>CAJA DE HERRAMIENTAS MANO 19"</t>
  </si>
  <si>
    <t>CAJA DE HERRAMIENTAS MANO 22"</t>
  </si>
  <si>
    <t>19 106</t>
  </si>
  <si>
    <t>ESPATULA ESQUINERA EXTERIOR BREMEN BR7248</t>
  </si>
  <si>
    <t xml:space="preserve">MOTOR MOTORARG 2 HP TRIF. MT 90 S2 </t>
  </si>
  <si>
    <t>CORREA JC A46 / A47</t>
  </si>
  <si>
    <t>RODEL RUBI 22 MM EXTREME P/TX Y TZ RU01900</t>
  </si>
  <si>
    <t>LLAVE AJUSTABLE TACTIX 200 MM TX704005</t>
  </si>
  <si>
    <t>LLAVE AJUSTABLE TACTIX 300 MM TX704009</t>
  </si>
  <si>
    <t>HOJAS CALADORA CAT JUEGO MADERA/METAL CATDA06903</t>
  </si>
  <si>
    <t>NIVEL ALUMINIO REGLA 2 MTS SOLA C/BURBUJAS SOSL2200</t>
  </si>
  <si>
    <t>z</t>
  </si>
  <si>
    <t>RODAMIENTO 6006 SKF</t>
  </si>
  <si>
    <t>PERNO TRABA PUNTA KLD / BTI 16 KG</t>
  </si>
  <si>
    <t>MARTILLO DEM. SHIMURA 15 KG SH-DH90K</t>
  </si>
  <si>
    <t>ROTOR AMOLADORA BOSCH F000605227</t>
  </si>
  <si>
    <t>GUANTES VAQUETA 1/2 PASEO</t>
  </si>
  <si>
    <t>CINTURON DE SEG.C/COLA AMARRE COCIDA ESLINGAR MK13A</t>
  </si>
  <si>
    <t>PISTOLA APLICADORA SILICONA GRV/ALIGAS ALI1000</t>
  </si>
  <si>
    <t>SOPORTE MATAFUEGO</t>
  </si>
  <si>
    <t>MOTOR ANGAR 3/4 HP M01</t>
  </si>
  <si>
    <t>MANGUERA DE VIBRADOR BOSCH F000600390 35 MM</t>
  </si>
  <si>
    <t>HOJA DE SIERRA RHEIN 14" x 60 D RH0049</t>
  </si>
  <si>
    <t>HOJA DE SIERRA RHEIN 7 1/4" x 24 D RH0042</t>
  </si>
  <si>
    <t>HOJA DE SIERRA RHEIN 4 1/2" x 24 D RH0040</t>
  </si>
  <si>
    <t>HOJA DE SIERRA RHEIN 7 1/4" x 30 D RH7130</t>
  </si>
  <si>
    <t>HOJA DE SIERRA RHEIN 9" x 40 D RH0044</t>
  </si>
  <si>
    <t>HOJA DE SIERRA RHEIN 7 1/4" x 40 D RH0043</t>
  </si>
  <si>
    <t xml:space="preserve">PUNTAL EXT. 2,30 HASTA 4,00 MTS DPR </t>
  </si>
  <si>
    <t xml:space="preserve">PUNTAL EXT. 2,00 HASTA 3.60 MTS DPR </t>
  </si>
  <si>
    <t>BOTONERA APAREJO 400 800 KG MMQ</t>
  </si>
  <si>
    <t>MEZCLADOR ELECTRICO ENERGY 1300 W ENEMIX60</t>
  </si>
  <si>
    <t>FRATACHADORA MMQ 60 CM (MOTOR HONDA GX160 5,5 HP) AL24 GX 160</t>
  </si>
  <si>
    <t>FRATACHADORA MMQ 60 CM (MOTOR HURRICANE 7 HP) AL24 LT 210</t>
  </si>
  <si>
    <t>FRATACHADORA MMQ 60 CM (MOTOR MMQ 6,5 HP) AL24 M 65</t>
  </si>
  <si>
    <t>FRATACHADORA MMQ 90 CM (MOTOR HONDA GX160 5,5 HP) AL36 GX 160</t>
  </si>
  <si>
    <t>FRATACHADORA MMQ 90 CM (MOTOR MMQ 6,5 HP) AL36 M 65</t>
  </si>
  <si>
    <t>FRATACHADORA MCM 90 CM (MOTOR HURRICANE 7 HP) AL36 LT 210</t>
  </si>
  <si>
    <t>FRATACHADORA MMQ 120 CM (MOTOR HONDA GX 270 9 HP) AL46 GX 270</t>
  </si>
  <si>
    <t>FRATACHADORA MMQ 120 CM (MOTOR MMQ M90 270 9 HP) AL46 M 90</t>
  </si>
  <si>
    <t>JUEGO PALETAS TERMINACION FRAT. MT 36 FM36T</t>
  </si>
  <si>
    <t>ASERRADORA DE JUNTA AS12 M 65 (MOTOR MMQ 6,5 HP)</t>
  </si>
  <si>
    <t>ASERRADORA DE JUNTA AS16B GX 390 (MOTOR HONDA GX390 13 HP)</t>
  </si>
  <si>
    <t>ASERRADORA DE JUNTA AS16B M 180 (MOTOR MMQ 18 HP)</t>
  </si>
  <si>
    <t>ASERRADORA DE JUNTA AS18B M 180 (MOTOR MMQ 18 HP)</t>
  </si>
  <si>
    <t>ASERRADORA DE JUNTA AS18B LT 420 (MOTOR HURRICANE 16 HP)</t>
  </si>
  <si>
    <t>ASERRADORA DE JUNTA AS18B GX 390 (MOTOR HONDA GX390 13 HP)</t>
  </si>
  <si>
    <t>ASERRADORA DE JUNTA AS20 M 180 (MOTOR MMQ 18 HP)</t>
  </si>
  <si>
    <t>CINTA PARA FRATACHAR 100 MM x MT CA50</t>
  </si>
  <si>
    <t>DOBLADORA HIERRO ELECTRICA MMQ MD42D</t>
  </si>
  <si>
    <t>CORTADORA ELECTRICA DE HIERRO MMQ MC40E</t>
  </si>
  <si>
    <t>DOBLADORA HIERRO ELECTRICA MMQ MD40</t>
  </si>
  <si>
    <t>DOBLADORA HIERRO ELECTRICA MMQ MD50C</t>
  </si>
  <si>
    <t>DESTAPADORA DE CAÑERIAS MMQ DC330</t>
  </si>
  <si>
    <t>GUINCHE BETA SAM800CT C/TELECOMANDO</t>
  </si>
  <si>
    <t>GUINCHE BETA SAM500 C/TELECOMANDO</t>
  </si>
  <si>
    <t>ESTRUCTURA PARA GUINCHE 750/1000 KG 89887</t>
  </si>
  <si>
    <t>APAREJO ELECTRICO 600-1000 2,5 HP MMQ ME1000A</t>
  </si>
  <si>
    <t>APAREJO ELECTRICO 400-800 1 3/4" HP MMQ ME800</t>
  </si>
  <si>
    <t>TENSOR PARA MORSETA ENCOFRADO MMQ HT1</t>
  </si>
  <si>
    <r>
      <t>MORSETA PARA ENCOFRADO (PAJARITO) HM1</t>
    </r>
    <r>
      <rPr>
        <sz val="12"/>
        <color indexed="10"/>
        <rFont val="Arial"/>
        <family val="2"/>
      </rPr>
      <t xml:space="preserve"> (MACROMAQ) BOLSA 60 UNID</t>
    </r>
  </si>
  <si>
    <t>TUERCA FIJA PARA VARILLA DWIDAG 3 ALAS TPVR100 MACROMAQ (100 MM) BOLSA 50 UNID</t>
  </si>
  <si>
    <t>TUERCA FIJA PARA VARILLA DWIDAG 3 ALAS TPVR110 MACROMAQ (110 MM)</t>
  </si>
  <si>
    <t>CEPILLO MARCADOR PARA HORMIGON FRESCO CON 1 MANGO ALUMINIO TELESCOPICO CP80</t>
  </si>
  <si>
    <t>FRATACHO ART.ALUMINIO 120x20 FA1200R MANGO EXT MMQ C/2 MANGOS ELIMINATOR CADENA</t>
  </si>
  <si>
    <t>FRATACHO ART.ALUMINIO 120x20 FA1200R MANGO EXT MMQ C/2 MANGOS ENCLOSED</t>
  </si>
  <si>
    <t xml:space="preserve">SOPORTE ELIMINATOR A CADENA PARA FRATACHO ALUMINIO </t>
  </si>
  <si>
    <t xml:space="preserve">SOPORTE ENCLOSED A RULEMANES PARA FRATACHO ALUMINIO </t>
  </si>
  <si>
    <t>CABO PARA FRATACHO DE ALUMINIO CA180</t>
  </si>
  <si>
    <t>HIDROLAVADORA MMQ 150 BAR 2200 W HD2200</t>
  </si>
  <si>
    <t>HIDROLAVADORA MMQ PRO 2200 W HD2200PRO</t>
  </si>
  <si>
    <t>HORMIGONERA VOLTEO 200 LTS MMQ C/MOTOR 1 HP WEG MONOFASICO MHQ200LM</t>
  </si>
  <si>
    <t>MOTOR HURRICANE 16 HP LT420</t>
  </si>
  <si>
    <t>MOTOR HURRICANE 7 HP LT210</t>
  </si>
  <si>
    <t>ZORRA HIDRAULICA 2,5 TN ANCHO 530 MMQ (CUALQUIER MODELO P2500)</t>
  </si>
  <si>
    <t>PLACA VIBRATORIA S/TANQUE AGUA MOTOR MMQ 6,5 HP VC 80 M 65</t>
  </si>
  <si>
    <t>PLACA VIBRATORIA C/TANQUE AGUA MOTOR HONDA GX 160 5,5 HP VC100 GX 160</t>
  </si>
  <si>
    <t xml:space="preserve">PUNTAL EXT. 1.70 HASTA 3.05 MTS MCM PH305 </t>
  </si>
  <si>
    <t xml:space="preserve">PUNTAL EXT. 2.00 HASTA 3.60 MTS MCM LIVIANO </t>
  </si>
  <si>
    <t>PUNTAL EXT. 2.00 HASTA 3.60 MTS MCM PH360 PESADO</t>
  </si>
  <si>
    <t xml:space="preserve">PUNTAL EXT. 2,20 HASTA 4,00 MTS MCM PH400 </t>
  </si>
  <si>
    <t xml:space="preserve">PUNTAL EXT. 3,50 HASTA 6,00 MTS MCM PH600 </t>
  </si>
  <si>
    <t xml:space="preserve">PISON MMQ MOTOR ROBIN 4 HP PS72R </t>
  </si>
  <si>
    <t>PISON MMQ MOTOR HONDA GX100 3 HP PS72H100</t>
  </si>
  <si>
    <t>PISON MMQ MOTOR HONDA GX100 3 HP PS80H100</t>
  </si>
  <si>
    <t>PISON MMQ MOTOR HONDA GX160 5,5 HP PS72H160</t>
  </si>
  <si>
    <t>PISON MMQ MOTOR HONDA GX160 5,5 HP PS80H160</t>
  </si>
  <si>
    <t>PISON MMQ MOTOR LONCIN 4 HP PS80HL</t>
  </si>
  <si>
    <t>REGLA VIBRATORIA MOTOR HONDA GX 35 C/PERFIL ALUMINIO 4,88 MTS RV-15</t>
  </si>
  <si>
    <t>VIBRADOR MMQ AGUJA 38 o 45 MM CANASTO MC</t>
  </si>
  <si>
    <t>VIBRADOR MMQ AGUJA 38 o 45 MM PLATO MP</t>
  </si>
  <si>
    <t>VIBRADOR MMQ EXPLOSION M65 6,5 HP AGUJA 50 MM EXP50/60</t>
  </si>
  <si>
    <t xml:space="preserve">MANGUERA DE VIBRADOR MMQ 38 o 45 MM x 5 MTS </t>
  </si>
  <si>
    <t xml:space="preserve">MANGUERA DE VIBRADOR MMQ 50 MM x 5 MTS </t>
  </si>
  <si>
    <t>DISCO DIAMOND 12" P/ASERRADORA MMQ PASTILLA 10 MM D300</t>
  </si>
  <si>
    <t>DISCO DIAMOND 14" P/ASERRADORA MMQ PASTILLA 10 MM D350</t>
  </si>
  <si>
    <t>DISCO DIAMOND 16" P/ASERRADORA MMQ PASTILLA 10 MM D400</t>
  </si>
  <si>
    <t>EJE SOPORTE RUEDAS IORI DT1000</t>
  </si>
  <si>
    <t>GUINCHE BETA SAT1000 C/TELECOMANDO 80 MTS CABLE - C/REENVIO 40 MTS (11MTS x MIN) o (500 KG DIRECTO, 22 MTS x MIN)</t>
  </si>
  <si>
    <t>GUINCHE BETA SAT750 C/TELECOMANDO</t>
  </si>
  <si>
    <t>GUINCHE BETA SAT1000CT C/TELECOMANDO 40 MTS CABLE  (TIRO DIRECTO, 22 MTS x MIN)</t>
  </si>
  <si>
    <t>GUINCHE MMQ 500 KG MONOF. C/TELECOMANDO DM500</t>
  </si>
  <si>
    <t>HORMIGONERA VOLTEO 400 LTS MMQ C/MOTOR 2 HP TRIFASICA MHQ400LCT</t>
  </si>
  <si>
    <t>HORMIGONERA VOLTEO 400 LTS MMQ C/MOTOR 2 HP MONOFASICA MHQ400LM</t>
  </si>
  <si>
    <t>HORMIGONERA VOLTEO 400 LTS MMQ MULTIPROPOSITO SIN MOTOR MHQ400EXPSM</t>
  </si>
  <si>
    <t>BAHCO ALICATE CORTE DIAGONAL 180 2177180</t>
  </si>
  <si>
    <t>BAHCO ALICATE CORTE DIAGONAL 140 2175140</t>
  </si>
  <si>
    <t>BAHCO ALICATE CORTE LATERAL EX2121 2175160</t>
  </si>
  <si>
    <t>BAHCO PINZA UNIVERSAL 178 2678G180A</t>
  </si>
  <si>
    <t>BAHCO</t>
  </si>
  <si>
    <t>MAKITA HERRAMIENTAS</t>
  </si>
  <si>
    <t>DEWALT ACCESORIOS</t>
  </si>
  <si>
    <t>DEWALT HERRAMIENAS</t>
  </si>
  <si>
    <t>BOSCH ACCESORIOS</t>
  </si>
  <si>
    <t>BOSCH HERRAMIENTAS</t>
  </si>
  <si>
    <t>BOSCH REPUESTOS</t>
  </si>
  <si>
    <t>HIDROLAVADORA K2 COMPACT/BASIC 110 BAR 280 L/H AGUA FRIA</t>
  </si>
  <si>
    <t>HIDROLAVADORA K2 FULL CONTROL 110 BAR 360 L/H AGUA FRIA</t>
  </si>
  <si>
    <t>HIDROLAVADORA K3 PREMIUM 120 BAR 420 L/H AGUA FRIA</t>
  </si>
  <si>
    <t>HIDROLAVADORA K4 130 BAR 420 L/HAGUA FRIA</t>
  </si>
  <si>
    <t>HIDROLAVADORA K4 POWER CONTROL 130 BAR 420 L/H BAR AGUA FRIA</t>
  </si>
  <si>
    <t>LUBRICANTE WD40 x 155 GR - WCHICO</t>
  </si>
  <si>
    <t>LUBRICANTE WD40 x 311 GR - WGRANDE</t>
  </si>
  <si>
    <t xml:space="preserve">BREMEN </t>
  </si>
  <si>
    <t>ISARD</t>
  </si>
  <si>
    <t>AMOLADORA DEWALT 4 1/2" 4336 1500 W</t>
  </si>
  <si>
    <t>AMOLADORA DEWALT 4 1/2" 4010 700 W</t>
  </si>
  <si>
    <t>AMOLADORA DEWALT 9" DWE4579 2700 W - ARRANQUE PROGRESIVO</t>
  </si>
  <si>
    <t>AMOLADORA DEWALT 9" DWE4559 2400 W</t>
  </si>
  <si>
    <t>DISCO DEWALT FLAP 115 G40 DW8307</t>
  </si>
  <si>
    <t>DISCO DEWALT FLAP 115 G60 DW8308</t>
  </si>
  <si>
    <t>HOJA CALADORA DEWALT DW3710 CORTE FINO UNIVERSAL x 2 unidades</t>
  </si>
  <si>
    <t>HOJA CALADORA DEWALT DW3750 CORTE RAPIDO BOSCH x 2 unid</t>
  </si>
  <si>
    <t>HOJA CALADORA DEWALT DW3760 CORTE FINO BOSCH x 2 unid</t>
  </si>
  <si>
    <t>HOJA CALADORA DEWALT DW3765 CORTE SCROLLER BOSCH x 2 unid</t>
  </si>
  <si>
    <t>HOJA DE SIERRA DEWALT 10"x 80D 3130 /DWA03210</t>
  </si>
  <si>
    <t>SIERRA CIRCULAR DEWALT 7" DWE560 1400 W</t>
  </si>
  <si>
    <t xml:space="preserve">SIERRA CIRCULAR DEWALT 7" DWE575 1800 W </t>
  </si>
  <si>
    <t>ATORNILLADOR MAKITA 6723DW</t>
  </si>
  <si>
    <t>TACTIX</t>
  </si>
  <si>
    <t>MARTILLO PERF. STANLEY 20 MM STHR202K</t>
  </si>
  <si>
    <t>SARGENTO 100 CM ISARD 132617</t>
  </si>
  <si>
    <t>SARGENTO 120 CM ISARD 132618</t>
  </si>
  <si>
    <t>MASCARA PARA SOLDAR FOTOSENSIBLE ISARD 001621</t>
  </si>
  <si>
    <t>MANDRIL 13 MM ISARD 109504</t>
  </si>
  <si>
    <t>ANTEOJO KILIMANDJARO NEGRO KILIMGRIN</t>
  </si>
  <si>
    <t>CEPILLO ACERO P/AMOLADORA 65 NORTON M14 69957307734</t>
  </si>
  <si>
    <t>LAPIZ CARPINTERO SOLA LARGO 24 CM ROJO KB24</t>
  </si>
  <si>
    <t>GUANTES NITRILO Y POLIESTER ROJO ZC N1002-T10</t>
  </si>
  <si>
    <t>MECHA SDS PLUS KWB 4 PUNTAS 6X160 49261006</t>
  </si>
  <si>
    <t>MECHA SDS PLUS KWB 4 PUNTAS 10X160 49261010</t>
  </si>
  <si>
    <t>MEDIDOR DE DISTANCIA LASER BLACK &amp; WHITE 40 M BWMDL401</t>
  </si>
  <si>
    <t>ZORRA HIDRAULICA 2,5 TN ANGOSTA 540 RUEDAS HIERRO Y POLIURETANO HOFER 26002</t>
  </si>
  <si>
    <t>ZORRA HIDRAULICA 2,5 TN ANCHO 685 RUEDAS HIERRO Y POLIURETANO HOFER 26003</t>
  </si>
  <si>
    <t>BOTIN DE SEG. STARTEX GRAFA 70 (203)</t>
  </si>
  <si>
    <t>AMOLADORA WERK 9" 2300 W KLDWKAP823</t>
  </si>
  <si>
    <t>PISTOLA APLICADORA SILICONA ZC CANOA 8303A</t>
  </si>
  <si>
    <t>MINICONTACTOR 710</t>
  </si>
  <si>
    <t>LINTERNA LED PLASTICA RECARGABLE USB 19847</t>
  </si>
  <si>
    <t>MARTILLO DEM. MAKITA HM 1812X 30 KG AVT</t>
  </si>
  <si>
    <t>MARTILLO DEM. MAKITA HM 1307 C 15 KG</t>
  </si>
  <si>
    <t>MEZCLADOR PARA MASILLA BREMEN ENCASTRE SDS BR7789</t>
  </si>
  <si>
    <t>FILTRO PARA COMPRESOR ADIABATIC 3000</t>
  </si>
  <si>
    <t>KLD</t>
  </si>
  <si>
    <t>ByD</t>
  </si>
  <si>
    <t>TYROLIT</t>
  </si>
  <si>
    <t>MECHA GUSANO P/MADERA BREMEN 10x450 BR3135</t>
  </si>
  <si>
    <t>MECHA GUSANO P/MADERA BREMEN 12x450 BR3136</t>
  </si>
  <si>
    <t>MECHA GUSANO P/MADERA BREMEN 18x450 BR3139</t>
  </si>
  <si>
    <t>MECHA GUSANO P/MADERA BREMEN 20x450 BR3140</t>
  </si>
  <si>
    <t>MECHA GUSANO P/MADERA BREMEN 22x450 BR3141</t>
  </si>
  <si>
    <t>CINTA METRICA BREMEN 8 MTS BR7614</t>
  </si>
  <si>
    <t>MARTILLO PERF. OMAHA RM-32PLUS</t>
  </si>
  <si>
    <t>ELECTRODOS ESAB OK 4,00 MM (46,13) BP0640 21 UNID</t>
  </si>
  <si>
    <t>MAKITA ACCESORIOS Y REPUESTOS</t>
  </si>
  <si>
    <t xml:space="preserve">ADIABATIC EC3000NEW </t>
  </si>
  <si>
    <t>LLANA P/YESERO FLEXIBLE 13X30 CM NEIKE NEI1330</t>
  </si>
  <si>
    <t>JUEGO ALLEN TACTIX TX206005</t>
  </si>
  <si>
    <t>ATORNILLADOR STAYER P/DURLOCK SYR384B</t>
  </si>
  <si>
    <t>JUEGO ALLEN 9 PIEZAS KLD1035 EXTRA REFORZADO</t>
  </si>
  <si>
    <t>TESTER DIGITAL KLD1160</t>
  </si>
  <si>
    <t>ZAPATILLA 3 TOMAS (36164)</t>
  </si>
  <si>
    <t>MARTILLO GALPONERO ZC/TRUPER CON IMAN 16654</t>
  </si>
  <si>
    <t>DESENCOFRANTE ACEITOSO 20 LTS (P/FENOLICO RUSTICO)</t>
  </si>
  <si>
    <t>DESENCOFRANTE ACUOSO 20 LTS (P/FENOLICO LAMINADO O NEGRO)</t>
  </si>
  <si>
    <t>FICHA HEMBRA MONOFASICA 3 PERNOS CHATOS BLANCA ME 2754</t>
  </si>
  <si>
    <t>FICHA MACHO MONOFASICA 3 PERNOS CHATOS BLANCA ME 13743</t>
  </si>
  <si>
    <t>MANGUERA FLEXIBLE PARA BOMBA 2" PLASTICA C/REFUERZO TEXTIL P/20 MTS (NETOOLS)</t>
  </si>
  <si>
    <t>TENAZA BIASSONI 35 CM 1/2 CORTE T/3 PUNTOS BIA017</t>
  </si>
  <si>
    <t xml:space="preserve">SOGA 13 MM X POLIESTER PARA SALVACAIDA S13MPE </t>
  </si>
  <si>
    <t>BISAGRA MUNICION ZINC 100x100x2,5 TF025530</t>
  </si>
  <si>
    <t>BISAGRA MUNICION ZINC 100x75x2,5 TF025130</t>
  </si>
  <si>
    <t>DESMALEZADORA SHIMURA 52 CC SHBC52N</t>
  </si>
  <si>
    <t>DISCO KLINGSPOR 14" DT 602A ASFALTO</t>
  </si>
  <si>
    <t>19 101 98</t>
  </si>
  <si>
    <t>BARBIJO  ALSEC</t>
  </si>
  <si>
    <t>HOJA DE SIERRA DEWALT 7 1/4"x 40D 171440</t>
  </si>
  <si>
    <t>HOJA DE SIERRA MAKITA 10"x 100 D MKT03414</t>
  </si>
  <si>
    <t>PUNTA SDS-MAX 250 MM KLD410</t>
  </si>
  <si>
    <t>HIDROLAVADORA SHIMURA 2300 W 130 BAR MAX LT-590</t>
  </si>
  <si>
    <t>DESMALEZADORA SHIMURA 32 CC SHBC32N</t>
  </si>
  <si>
    <t>MOTOR ANGAR MO2 C 1 HP REFORZADO P/HORMIGONERA CON POLEA ALUMINIO</t>
  </si>
  <si>
    <t>MOTOR ANGAR MO2 R 1 HP REFORZADO DOBLE CAPACITOR</t>
  </si>
  <si>
    <t>ROTOR MARTILLO DEWALT 30 KG ORIGINAL 25980 494578-01 (T1/2/3)</t>
  </si>
  <si>
    <t>ROTOR MARTILLO DEWALT 30 KG ORIGINAL 25890 N500466 (T4)</t>
  </si>
  <si>
    <t>CINTA METRICA TRUPER 5 MTS ALTO IMPACTO (14578)</t>
  </si>
  <si>
    <t>CINTA METRICA TRUPER 8 MTS ALTO IMPACTO (14579)</t>
  </si>
  <si>
    <t>DESTORNILLADOR BUSCAPOLO ZC TRUPER 13988</t>
  </si>
  <si>
    <t>ANTEOJO VERDE PARA NIVEL LASER BOSCH 1608M0005J</t>
  </si>
  <si>
    <t>BATERIA PRO CORE BOSCH 18V 4,0 AH 1600A016GB</t>
  </si>
  <si>
    <t>GRASA DE GRAFITADA PNT POR 1000 GRS (ART406)</t>
  </si>
  <si>
    <t>GRASA DE LITIO PNT 4,5 KG (ART420)</t>
  </si>
  <si>
    <t>GRASA DE LITIO PNT x 1 KG (ART405)</t>
  </si>
  <si>
    <t>GRASA DE LITIO PNT x 500 GRS (ART414)</t>
  </si>
  <si>
    <t>NIVEL ASSIST IMANTADO 500 MM 6012-500</t>
  </si>
  <si>
    <t>NIVEL ASSIST IMANTADO 600 MM 6012-600</t>
  </si>
  <si>
    <t>NIVEL ASSIST IMANTADO 800 MM 6012-800</t>
  </si>
  <si>
    <t>NIVEL ASSIST IMANTADO 1000 MM 6012-1000</t>
  </si>
  <si>
    <t>NIVEL ASSIST IMANTADO 1500 MM 6012-1500</t>
  </si>
  <si>
    <t>PINZA PARA CORTAR UNIVERSAL ZC HD101</t>
  </si>
  <si>
    <t>RODEL RUEDA ZC PARA CORTADORA 6 CM 8117</t>
  </si>
  <si>
    <t>SELLADOR ACRILICO TEKBOND PINTABLE DOSAB2280002</t>
  </si>
  <si>
    <t>TIJERA AVIACION RECTA ALLPRO 1030/ INECO HTSN0110S</t>
  </si>
  <si>
    <t>TIJERA CORTA CHAPA RECTA ASSIST HD101</t>
  </si>
  <si>
    <t>TORNILLO NIVELADOR POR 150 U TORX150</t>
  </si>
  <si>
    <t>TUERCA PARA TORNILLO NIVELADOR POR 50 U TUERX50</t>
  </si>
  <si>
    <t>48x1,8 40x1,8</t>
  </si>
  <si>
    <t>56x2 48x2,2</t>
  </si>
  <si>
    <t>56x1,6 48x1,6</t>
  </si>
  <si>
    <t>CAJA DE HERRAMIENTAS TRUPER PLASTICA C/METALICO 26" 19882</t>
  </si>
  <si>
    <t>BAHCO PINZA POLYGRIP 315 8225IP / 8225A</t>
  </si>
  <si>
    <t>BAHCO TENAZA ARMADOR 12" 1/2 CORTE 2339300AC</t>
  </si>
  <si>
    <t>BAHCO TENAZA ARMADOR 9" 1/2 CORTE 2339220AC</t>
  </si>
  <si>
    <t>CINTA ENMASCARAR DE PAPEL 3M 48 MM AZUL 65308</t>
  </si>
  <si>
    <t>CINTA ENMASCARAR DE PAPEL 3M 24 MM AZUL 65103</t>
  </si>
  <si>
    <t>PILA ENERGIZER AA X 4 39800011329</t>
  </si>
  <si>
    <t>PILA ENERGIZER AAA X 4 39800099099</t>
  </si>
  <si>
    <t>ZAPATILLA 5 TOMAS C/INTERRUPTOR 1,5 MTS WDA42522</t>
  </si>
  <si>
    <t>ZAPATILLA 5 TOMAS C/INTERRUPTOR 3 MTS WDA42523</t>
  </si>
  <si>
    <t>STANLEY HERRAMIENTAS ELECT</t>
  </si>
  <si>
    <t>STANLEY HERRAMIENTAS MANUAL</t>
  </si>
  <si>
    <t>ASPIRADORA PHILCO 30 LTS PHAST3021PI</t>
  </si>
  <si>
    <t>CORTAHIERRO HEXAG. MAKITA 17X280X19 08698</t>
  </si>
  <si>
    <t>CORTAHIERRO HEXAG. MAKITA 17X450X19 26602</t>
  </si>
  <si>
    <t>DESMALEZADORA HYUNDAI 52 CC HYBC520</t>
  </si>
  <si>
    <t>LAPIZ CARPINTERO KLD025</t>
  </si>
  <si>
    <t>MAZA GOMA 225 GR TACTIX TX706811</t>
  </si>
  <si>
    <t>MAZA GOMA 450 GR TACTIX TX706813</t>
  </si>
  <si>
    <t>MARTILLO DEM. STAYER 15 KG SYRMD15BK</t>
  </si>
  <si>
    <t>PUNTA PH 2x50 MAKITA 26521</t>
  </si>
  <si>
    <t>SIERRA CIRCULAR STAYER 9" CP236</t>
  </si>
  <si>
    <t>ALICATE OBLICUO DAIKEN 6" 004286</t>
  </si>
  <si>
    <t>ELECTROSIERRA GH-EC 2040 4501720</t>
  </si>
  <si>
    <t>PACK 2 BATERIAS POWER-XC 2.5 A 4511524</t>
  </si>
  <si>
    <t>SIERRA CIRCULAR INALAMBRICA TE-CS 18 LI (SIN BATERIA NI CARGADOR) - 4331210</t>
  </si>
  <si>
    <t>TORNILLO T1 C/WAFER MECHA 8x1 PE0506 x 300 U</t>
  </si>
  <si>
    <t>TENAZA BIASSONI 30 CM CORTE ENTERO T/3 PUNTOS BIA015 - BIA9019</t>
  </si>
  <si>
    <t>EL VIEJO WATT</t>
  </si>
  <si>
    <t>SENSOR MARTILLO DEWALT 30 KG 25980 (491640)</t>
  </si>
  <si>
    <t>PROTECTOR FACIAL CON ARNES LIBUS</t>
  </si>
  <si>
    <t>SEPARADOR CRUZ CERAMICA 11 MM x 100 U</t>
  </si>
  <si>
    <t>GRASA DE LITIO x 3,6 KG 10303</t>
  </si>
  <si>
    <t>NIVEL KAPRO 60 CM K150/86/60</t>
  </si>
  <si>
    <t>CHOCLA KAPRO C/NIVEL K215</t>
  </si>
  <si>
    <t>LLAVE MONOFASICA FIBOSA F602 19197</t>
  </si>
  <si>
    <t>LLAVE TRIFASICA FIBOSA F603 19198</t>
  </si>
  <si>
    <t>FICHA TRIFASICA MACHO 32 A KALOP 2810</t>
  </si>
  <si>
    <t>CINTA ENMASCARAR DE PAPEL 3M 3500 24 MM 65546</t>
  </si>
  <si>
    <t>CINTA ENMASCARAR DE PAPEL 3M 3500 38 MM 65547</t>
  </si>
  <si>
    <t>ASPIRADORA TC-VC 1820 S 2342167</t>
  </si>
  <si>
    <t>AMOLADORA INALAMBRICA 4 1/2" AXXIO SIN BATERIA 4431140</t>
  </si>
  <si>
    <t>OFERTA S/IVA</t>
  </si>
  <si>
    <t>TERMOFUSORA 1100 W KONAN KTEF/1500</t>
  </si>
  <si>
    <t>MOTOSIERRA SHIMURA PRO 58 CC SHP58</t>
  </si>
  <si>
    <t>MOTOSIERRA SHIMURA SH52ST</t>
  </si>
  <si>
    <t>&lt;- DE PUNTA HEFER CABO CORTO MISMO PRECIO</t>
  </si>
  <si>
    <t>CABO PARA PALA 70 CM HIERRO HEFER 10351</t>
  </si>
  <si>
    <t>PIOLIN DE ALGODÓN OVILLO NRO 21 HEFER ESP0027</t>
  </si>
  <si>
    <t>PIOLIN DE ALGODÓN OVILLO NRO 24 HEFER ESP0028</t>
  </si>
  <si>
    <t>101 19 21 102</t>
  </si>
  <si>
    <t>FRATACHO DE ALGARROBO 12 X 30 CM 3047 HEFER MAS BARATO</t>
  </si>
  <si>
    <t>PALA ANCHA BIASSONI FORJADA CABO FIBRA BIA1001</t>
  </si>
  <si>
    <t>METRO PLASTICO EVEL 1 MT EVE100</t>
  </si>
  <si>
    <t>METRO PLASTICO EVEL 2 MTS EVE200</t>
  </si>
  <si>
    <t>HACHA TUMBA CON CABO CASILDENSE CAS208</t>
  </si>
  <si>
    <t xml:space="preserve">GANCHO PARA MATAFUEGO ERAM </t>
  </si>
  <si>
    <t xml:space="preserve">PRENSACABLE 5/16 8 mm </t>
  </si>
  <si>
    <t>INGLETADORA TELESCOPICA TE-SM 254 - 4300875</t>
  </si>
  <si>
    <t>TALADRO INALAMBRICO TE-CD 18/40 4513992</t>
  </si>
  <si>
    <t>TALADRO INALAMBRICO TE-CD 18/45 3X LI + 22 4513990</t>
  </si>
  <si>
    <t>PACK 2 BATERIAS POWER-XC 5,2 A 4511526</t>
  </si>
  <si>
    <t>ROTOMARTILLO RT-RH 32 - 4258440</t>
  </si>
  <si>
    <t>ARCO NIVELADOR PARA PORCELLANATO POR 300 U CERAMICRUZ</t>
  </si>
  <si>
    <t>EL RAPIDO</t>
  </si>
  <si>
    <t>CINTA METRICA ESSAMET 5 MTS C/IMAN</t>
  </si>
  <si>
    <t>CINTA METRICA ESSAMET 8 MTS C/IMAN</t>
  </si>
  <si>
    <t>RASPADOR RASQUETA REMOVING EL ABUELO</t>
  </si>
  <si>
    <t>MARTILLO DEM. MAKITA HM 1317 CB 15 KG</t>
  </si>
  <si>
    <t>PUNTA HEXAG. 30 P/MARTILLO 16 KG KLD412</t>
  </si>
  <si>
    <t>CEPILLO ACERO P/AMOLADORA 75 TRENZADO INECO WB20755</t>
  </si>
  <si>
    <t>PROTECTOR FACIAL CON ARNES PUNTO POR PUNTO / FACIAL PLANO</t>
  </si>
  <si>
    <t>19 21 32 82</t>
  </si>
  <si>
    <t>19 21 32 45 82</t>
  </si>
  <si>
    <t>21 32 82</t>
  </si>
  <si>
    <t>GUARDACABO 1/4 - 6 MM</t>
  </si>
  <si>
    <t>GUARDACABO 1/2 - 12 MM</t>
  </si>
  <si>
    <t>GUARDACABO 3/8 - 10 MM</t>
  </si>
  <si>
    <t>CANDADO 80 ZELTA PERNO PASANTE ZECA0680</t>
  </si>
  <si>
    <t>CUTTER ZELTA ZECU0100</t>
  </si>
  <si>
    <t>DESTORNILLADOR INECO 9 EN 1 AKISD0901</t>
  </si>
  <si>
    <t>DISCO NORTON 4 1/2" DIAMANTADO 69957315168</t>
  </si>
  <si>
    <t>PINZA UNIVERSAL INECO 8" HCP08208</t>
  </si>
  <si>
    <t>ANTEOJO STEELPRO SPY PRO 201045344 / 201045345 / 201045555</t>
  </si>
  <si>
    <t>LLAVE AMOLADORA MAKITA 7" O 9"</t>
  </si>
  <si>
    <t>CARBONES PARA ROTOPERCUTOR MAKITA 2470 CB-325</t>
  </si>
  <si>
    <t>CINTA ENMASCARAR DE PAPEL DOBLE A AZUL 48 MM x 40 MTS 66261170219</t>
  </si>
  <si>
    <t>LLANA CANTO REDONDO 60 X 13 CM TRUPER 12399</t>
  </si>
  <si>
    <t>LLANA PARA BORDES ALUMINIO 11"X5" TRUPER 15421</t>
  </si>
  <si>
    <t>LLANA PARA RANUDAR ALUMINIO 11"X5" TRUPER 15424</t>
  </si>
  <si>
    <t>PORTATIL LED RECARGABLE USB BASE MAGNETICA 15143</t>
  </si>
  <si>
    <t>ADAPTADOR SDS A MANDRIL ISARD 109530</t>
  </si>
  <si>
    <t>ALICATE CORTE DIAGONAL BIASSONI 6" BIA2811 130010</t>
  </si>
  <si>
    <t>PORTAHERRAMIENTA MAKITA 2470 158574-6</t>
  </si>
  <si>
    <t>DISCO BREMEN 7" CORTE HIERRO BR7419</t>
  </si>
  <si>
    <t>DISCO BREMEN 9" CORTE HIERRO BR7420</t>
  </si>
  <si>
    <t>CINTA METRICA BREMEN 5 MTS BR7613</t>
  </si>
  <si>
    <t>CUCHARA BREMEN FORJADA 8 BR7228</t>
  </si>
  <si>
    <t>OMAHA</t>
  </si>
  <si>
    <t>SIERRA CALADORA OMAHA 650 W JS-650</t>
  </si>
  <si>
    <t>PISTOLA DE CALOR OMAHA C/ACC+BMC PK-2000</t>
  </si>
  <si>
    <t>EQUIPO PARA PINTAR OMAHA PICO MATALICO PP-201</t>
  </si>
  <si>
    <t>RODILLERA TRUPER X PAR 12952</t>
  </si>
  <si>
    <t>CINTA ENMASCARAR DE PAPEL UNITAPE AZUL 48 MM - MSENM4850A003 / 60127-00003</t>
  </si>
  <si>
    <t>LUBRICANTE DOBLE A 300 ML / 180 GRS 78072714170</t>
  </si>
  <si>
    <t>PUNTA BOSCH SDS-PLUS 2608578516 / PSDSP20L-9</t>
  </si>
  <si>
    <t>JUEGO DESTORNILLADORES TRAMONTINA 6 PCS 41516506</t>
  </si>
  <si>
    <t>CINTA METRICA GIANT 5 MTS CON IMAN NEGRA</t>
  </si>
  <si>
    <t>BARBUY TEAM</t>
  </si>
  <si>
    <t>PLATO FLOTACION FRAT. MT 36 MMQ PFM36 / 993778</t>
  </si>
  <si>
    <t>PLATO FLOTACION FRAT. MT 46 MMQ PFM46 / 993784</t>
  </si>
  <si>
    <t>PLATO FLOTACION FRAT. MT 24 MMQ PFM24 / 993762</t>
  </si>
  <si>
    <t>JUEGO PALETAS COMBINADAS FRAT. MT 46 (120cm) FM46C / 993782</t>
  </si>
  <si>
    <t>41 109</t>
  </si>
  <si>
    <t>MEZCLADOR ELECTRICO DOWEN PAGIO 9993546 1400 W</t>
  </si>
  <si>
    <t>MARTILLO DEM. DOWEN PAGIO 10 KG 9993931 MAGNUM</t>
  </si>
  <si>
    <t>APAREJO ELECTRICO 500/1000 12 MTS CABLE ACERO BTA BARBUY 903020</t>
  </si>
  <si>
    <t>TABLERO ELECTRICO PARA OBRA</t>
  </si>
  <si>
    <t>CANDADO 70 ZELTA PERNO PASANTE ZECA0670</t>
  </si>
  <si>
    <t>AMOLADORA BOSCH 5" GWS 12-125 S</t>
  </si>
  <si>
    <t>CUÑA RANURADA POR 1200 U reiner CR-15 ($ 20 C/U)</t>
  </si>
  <si>
    <t>ARCO NIVELADOR PARA PORCELLANATO POR 1200 U AN1/AN2 reiner ($ 15 C/U)</t>
  </si>
  <si>
    <t>19 21 101 102</t>
  </si>
  <si>
    <t>PINCEL TUCAN N° 15 TUC30015</t>
  </si>
  <si>
    <t>PINCEL TUCAN N° 20 TUC30020</t>
  </si>
  <si>
    <t>PINCEL 1 1/2" ESSAMET PAINT 78</t>
  </si>
  <si>
    <t>RODILLO PARA MARCAR CEMENTO 120CM HEFER (020171)</t>
  </si>
  <si>
    <t>ALICATE OBLICUO METZ 8" MET 2121-8</t>
  </si>
  <si>
    <t>Codigo II</t>
  </si>
  <si>
    <t>Material</t>
  </si>
  <si>
    <t>Presentacion</t>
  </si>
  <si>
    <t>IVA</t>
  </si>
  <si>
    <t>Precio
de Lista Sin IVA</t>
  </si>
  <si>
    <t>1600.119.011-000</t>
  </si>
  <si>
    <t>Estribo De Seguridad</t>
  </si>
  <si>
    <t>1600.190.020-000</t>
  </si>
  <si>
    <t>ARANDELA 0.15 1891/1893/195/18A6/17A1/2</t>
  </si>
  <si>
    <t>1600.190.021-000</t>
  </si>
  <si>
    <t>ARANDELA 0.30 1891/1893/1895/18A6/17A1/2</t>
  </si>
  <si>
    <t>1600.200.029-000</t>
  </si>
  <si>
    <t>Cojinete De Deslizamient</t>
  </si>
  <si>
    <t>1600.206.025-000</t>
  </si>
  <si>
    <t>Anillo De Goma</t>
  </si>
  <si>
    <t>1600.206.036-000</t>
  </si>
  <si>
    <t>ANILLO D GOMA 11332/1621/1123A/1H31/17A3</t>
  </si>
  <si>
    <t>1600.210.080-000</t>
  </si>
  <si>
    <t>Junta tórica</t>
  </si>
  <si>
    <t>1600.290.036-000</t>
  </si>
  <si>
    <t>ANILLO DE JUNTA NEGRO</t>
  </si>
  <si>
    <t>1600.591.025-000</t>
  </si>
  <si>
    <t>ARO DEFLECTOR 1621/1H31/17A31/1H250/1G90</t>
  </si>
  <si>
    <t>1600.703.031-000</t>
  </si>
  <si>
    <t>OJETE PROTECTOR  1801/1805/1821/1389</t>
  </si>
  <si>
    <t>1600.900.05F-000</t>
  </si>
  <si>
    <t>RODAMIENTO 9002(700W)</t>
  </si>
  <si>
    <t>1600.900.05P-000</t>
  </si>
  <si>
    <t>RODAMIENTO 9002(700W)/9004(830W)</t>
  </si>
  <si>
    <t>1600.900.05R-000</t>
  </si>
  <si>
    <t>Rodamiento A Bolas</t>
  </si>
  <si>
    <t>1600.905.023-000</t>
  </si>
  <si>
    <t>RODAMIENTO RIGIDO BOLAS 10X35X11 18B8/18</t>
  </si>
  <si>
    <t>1600.A00.3EB-000</t>
  </si>
  <si>
    <t>UNIDAD DE BLOQUEO 1831</t>
  </si>
  <si>
    <t>1600.A00.5AJ-000</t>
  </si>
  <si>
    <t>RESISTENCIA 8003</t>
  </si>
  <si>
    <t>1600.A00.8BV-000</t>
  </si>
  <si>
    <t>CARGADOR ARG 220/10,8V 15 MIN. 19F4</t>
  </si>
  <si>
    <t>Ultimo lote</t>
  </si>
  <si>
    <t>1600.A00.9VN-000</t>
  </si>
  <si>
    <t>PORTACARBON</t>
  </si>
  <si>
    <t>1600.A00.DT4-000</t>
  </si>
  <si>
    <t>PERNO SKIL 9004EK</t>
  </si>
  <si>
    <t>1600.A00.PB7-000</t>
  </si>
  <si>
    <t>PLACA PRESIÓN GSB 450</t>
  </si>
  <si>
    <t>1600.A00.Z9R-000</t>
  </si>
  <si>
    <t>MANDRIL RA 1608571079  10MM 3/8"</t>
  </si>
  <si>
    <t>1600.A01.2Y7-000</t>
  </si>
  <si>
    <t>ENGRANAJE 11311/16 Rx 1600A027H7</t>
  </si>
  <si>
    <t>Discontinuado</t>
  </si>
  <si>
    <t>1600.A01.4HK-000</t>
  </si>
  <si>
    <t>CORREDERA DE AJUSTE 1C77.5</t>
  </si>
  <si>
    <t>1600.A01.4L2-000</t>
  </si>
  <si>
    <t>BORNA 12A2.0</t>
  </si>
  <si>
    <t>1600.A01.4L3-000</t>
  </si>
  <si>
    <t>PLACA BASE -12A8</t>
  </si>
  <si>
    <t>1600.A01.4T8-000</t>
  </si>
  <si>
    <t>Tubo guía</t>
  </si>
  <si>
    <t>1600.A01.53H-000</t>
  </si>
  <si>
    <t>BOTON DE MANDO 1C77.5</t>
  </si>
  <si>
    <t>1600.A01.CU1-000</t>
  </si>
  <si>
    <t>PLATO DE GOMA 1387 RA 2609100541-000</t>
  </si>
  <si>
    <t>1600.A01.LX7-000</t>
  </si>
  <si>
    <t>Conjunto De Montaje</t>
  </si>
  <si>
    <t>1600.A02.0RA-000</t>
  </si>
  <si>
    <t>MODULO ELECTRONICO</t>
  </si>
  <si>
    <t>1602.026.091-000</t>
  </si>
  <si>
    <t>EMPUNADURA DE INTERRUPTOR 1G9M.0</t>
  </si>
  <si>
    <t>1603.300.016-000</t>
  </si>
  <si>
    <t>Tuerca Hex</t>
  </si>
  <si>
    <t>1603.345.043-000</t>
  </si>
  <si>
    <t>Tuerca Cilindrica</t>
  </si>
  <si>
    <t>1603.435.078-000</t>
  </si>
  <si>
    <t>Tornillo Avallanado Torx</t>
  </si>
  <si>
    <t>1604.010.626-000</t>
  </si>
  <si>
    <t>INDUCIDO 1375</t>
  </si>
  <si>
    <t>1604.010.A20-000</t>
  </si>
  <si>
    <t>INDUCIDO CON VENTILADOR 1821/1830.2</t>
  </si>
  <si>
    <t>1604.010.A90-000</t>
  </si>
  <si>
    <t>INDUCIDO C VENTILADOR 1H25.0 =1604010A22</t>
  </si>
  <si>
    <t>1604.010.B3J-000</t>
  </si>
  <si>
    <t>INDUCIDO 1831</t>
  </si>
  <si>
    <t>1604.010.B3Y-000</t>
  </si>
  <si>
    <t>INDUCIDO CON VENTILADOR 220V 1802/1H31</t>
  </si>
  <si>
    <t>1604.010.B4R-000</t>
  </si>
  <si>
    <t>INDUCIDO 5200</t>
  </si>
  <si>
    <t>1604.010.B50-000</t>
  </si>
  <si>
    <t>INDUCIDO 5402</t>
  </si>
  <si>
    <t>1604.010.B5E-000</t>
  </si>
  <si>
    <t>INDUCIDO 220V 9002 MODELO NUEVO</t>
  </si>
  <si>
    <t>1604.010.B9G-000</t>
  </si>
  <si>
    <t>INDUCIDO RA 1604010B9H</t>
  </si>
  <si>
    <t>1604.010.B9J-000</t>
  </si>
  <si>
    <t>INDUCIDO 1FB3.0</t>
  </si>
  <si>
    <t>1604.220.328-000</t>
  </si>
  <si>
    <t>ESTATOR 220-240V - 1375</t>
  </si>
  <si>
    <t>1604.220.472-000</t>
  </si>
  <si>
    <t>EXPANSION POLAR 230V 1G92.0</t>
  </si>
  <si>
    <t>1604.220.542-000</t>
  </si>
  <si>
    <t>EXPANSION POLAR 220V 9004(830W)</t>
  </si>
  <si>
    <t>1604.220.545-000</t>
  </si>
  <si>
    <t>INDUCIDO 9004(830W)</t>
  </si>
  <si>
    <t>1604.220.548-000</t>
  </si>
  <si>
    <t>ESTATOR 5402</t>
  </si>
  <si>
    <t>1604.220.57C-000</t>
  </si>
  <si>
    <t>EXPANSION POLAR 220V 1AB6.0</t>
  </si>
  <si>
    <t>1604.321.15S-000</t>
  </si>
  <si>
    <t>JGO CARBONES SKIL 5200</t>
  </si>
  <si>
    <t>1604.321.15T-000</t>
  </si>
  <si>
    <t>ESCOBILLA DE CARBON 5200</t>
  </si>
  <si>
    <t>1604.321.15U-000</t>
  </si>
  <si>
    <t>ESCOBILLA DE CARBON 5402</t>
  </si>
  <si>
    <t>1604.321.15Z-000</t>
  </si>
  <si>
    <t>CARBONES 9002</t>
  </si>
  <si>
    <t>1604.321.160-000</t>
  </si>
  <si>
    <t>CARBONES 9002(700W)/9004(830W)</t>
  </si>
  <si>
    <t>1604.321.17D-000</t>
  </si>
  <si>
    <t>ESCOBILLA DE CARBON 12A2.0</t>
  </si>
  <si>
    <t>1604.336.047-000</t>
  </si>
  <si>
    <t>PORTACARBONES 18A1/3/5/6/17A1/2/1283</t>
  </si>
  <si>
    <t>1604.336.048-000</t>
  </si>
  <si>
    <t>PORTAESCOBILLAS</t>
  </si>
  <si>
    <t>1604.336.056-000</t>
  </si>
  <si>
    <t>PORTAESCOBILLAS 5200</t>
  </si>
  <si>
    <t>1604.336.057-000</t>
  </si>
  <si>
    <t>Portaescobillas</t>
  </si>
  <si>
    <t>1604.336.05C-000</t>
  </si>
  <si>
    <t>PORTAESCOBILLAS 1AB6 RA F000612063</t>
  </si>
  <si>
    <t>1604.652.015-000</t>
  </si>
  <si>
    <t>RESORTE DE CARBON 11311</t>
  </si>
  <si>
    <t>1604.652.019-000</t>
  </si>
  <si>
    <t>MUELLE ESPIRAL 1B370</t>
  </si>
  <si>
    <t>1605.108.2H7-000</t>
  </si>
  <si>
    <t>CARCASA DEL MOTOR 1AB6.0</t>
  </si>
  <si>
    <t>1605.805.137-000</t>
  </si>
  <si>
    <t>BRIDA DE COJINETE 17A1/2</t>
  </si>
  <si>
    <t>1605.806.5C0-000</t>
  </si>
  <si>
    <t>CAJA DE ENGRANAJES 9002</t>
  </si>
  <si>
    <t>1605.806.5C4-000</t>
  </si>
  <si>
    <t>CAJA DE ENGRANAJES SKIL9004EK</t>
  </si>
  <si>
    <t>1605.806.5NX-000</t>
  </si>
  <si>
    <t>CAJA DE ENGRANAJES 1C77.5</t>
  </si>
  <si>
    <t>1605.808.0AL-000</t>
  </si>
  <si>
    <t>BRIDA DE COJINETE 1C77.5</t>
  </si>
  <si>
    <t>1606.333.2C8-000</t>
  </si>
  <si>
    <t>Pinon</t>
  </si>
  <si>
    <t>1606.333.605-000</t>
  </si>
  <si>
    <t>PIÑON 1282.0.8/3278/9617081-82</t>
  </si>
  <si>
    <t>1606.333.606-000</t>
  </si>
  <si>
    <t>CORONA 1282</t>
  </si>
  <si>
    <t>1606.333.616-000</t>
  </si>
  <si>
    <t>CORONA RX 1607000D4Y</t>
  </si>
  <si>
    <t>1607.000.347-000</t>
  </si>
  <si>
    <t>BRIDA DE COJINETE 1805</t>
  </si>
  <si>
    <t>1607.000.742-000</t>
  </si>
  <si>
    <t>Palanca De Enclavamiento</t>
  </si>
  <si>
    <t>1607.000.A85-000</t>
  </si>
  <si>
    <t>INTERRUPTOR 1830.2/1389</t>
  </si>
  <si>
    <t>1607.000.C14-000</t>
  </si>
  <si>
    <t>INTERRUPTOR 1893/1895/1892</t>
  </si>
  <si>
    <t>1607.000.C4L-000</t>
  </si>
  <si>
    <t>ESTATOR 220V - GWS 24 LVI Ra 1604220422</t>
  </si>
  <si>
    <t>1607.000.C5F-000</t>
  </si>
  <si>
    <t>CONJUNTO PIÑÓN Y CORONA 18A1/3/5</t>
  </si>
  <si>
    <t>1607.000.C5G-000</t>
  </si>
  <si>
    <t>JGO. ENGRANAJES 1752/4/6.0 Ra 261039851</t>
  </si>
  <si>
    <t>1607.000.C5K-000</t>
  </si>
  <si>
    <t>MOTOR CC 19F6/1J92.9/19F70 =2609199258</t>
  </si>
  <si>
    <t>1607.000.CZ1-000</t>
  </si>
  <si>
    <t>JUEGO DE ESCOBILLAS RA1607000CC0</t>
  </si>
  <si>
    <t>1607.000.D17-000</t>
  </si>
  <si>
    <t>EXPANSION POLAR 1FB3.0</t>
  </si>
  <si>
    <t>1607.000.D3N-000</t>
  </si>
  <si>
    <t>ESCOBILLA DE CARBON 1C77.5</t>
  </si>
  <si>
    <t>1607.000.D4Y-000</t>
  </si>
  <si>
    <t>PIÑON + CORONA Ra 1606333616</t>
  </si>
  <si>
    <t>1607.000.D62-000</t>
  </si>
  <si>
    <t>Brida De Cojinete</t>
  </si>
  <si>
    <t>1607.000.D64-000</t>
  </si>
  <si>
    <t>BRIDA DE COJINETE 1G9M.0</t>
  </si>
  <si>
    <t>1607.000.D6A-000</t>
  </si>
  <si>
    <t>EJE 1375/47/1825/9050/1801/05/00RA103</t>
  </si>
  <si>
    <t>1607.000.D6C-000</t>
  </si>
  <si>
    <t>BRIDA DE COJINETE 1G90/91-92/1H30-31</t>
  </si>
  <si>
    <t>1607.000.E3M-000</t>
  </si>
  <si>
    <t>Kit de batería</t>
  </si>
  <si>
    <t>1607.000.V37-000</t>
  </si>
  <si>
    <t>CARBONES 1793/179M</t>
  </si>
  <si>
    <t>1607.000.V51-000</t>
  </si>
  <si>
    <t>INDUCIDO CON VENTILADOR 230V 1G92.0</t>
  </si>
  <si>
    <t>1607.000.V53-000</t>
  </si>
  <si>
    <t>CARBONES 1792/1G90.0</t>
  </si>
  <si>
    <t>1607.014.117-000</t>
  </si>
  <si>
    <t>CARBON 1106/07/71/84/3230/1293/137B/2714</t>
  </si>
  <si>
    <t>1607.014.145-000</t>
  </si>
  <si>
    <t>CARBONES 1375/1223</t>
  </si>
  <si>
    <t>1607.014.176-000</t>
  </si>
  <si>
    <t>CARBONES 1821/22/29/30/1389/1220/H25.0</t>
  </si>
  <si>
    <t>1607.014.18F-000</t>
  </si>
  <si>
    <t>BLISTER CARBONES GWS 20 A 26</t>
  </si>
  <si>
    <t>1607.014.18R-000</t>
  </si>
  <si>
    <t>JUEGO DE ESCOBILLAS 19G5.2</t>
  </si>
  <si>
    <t>1607.022.66N-000</t>
  </si>
  <si>
    <t>MOTOR CORRIENTE CONTINUA 19F8.1/19F8.3</t>
  </si>
  <si>
    <t>1607.200.086-000</t>
  </si>
  <si>
    <t>INTERRUPTOR 1800/1821/1282/1820/1G90.0</t>
  </si>
  <si>
    <t>1607.200.270-000</t>
  </si>
  <si>
    <t>INTERRUPTOR 1218/28.1/11A2 RA 2607200648</t>
  </si>
  <si>
    <t>1607.200.31H-000</t>
  </si>
  <si>
    <t>INTERRUPTOR 1C59 RA 9618086632</t>
  </si>
  <si>
    <t>1607.200.31V-000</t>
  </si>
  <si>
    <t>INTERRUPTOR 1C94.0/1C77.5</t>
  </si>
  <si>
    <t>1607.200.32T-000</t>
  </si>
  <si>
    <t>INTERRUPTOR  5301/5200</t>
  </si>
  <si>
    <t>1607.200.32Y-000</t>
  </si>
  <si>
    <t>INTERRUPTOR 9002(700W)/9004(830W)</t>
  </si>
  <si>
    <t>1607.220.05V-000</t>
  </si>
  <si>
    <t>MOTOR CC 8003JB/8005 V2</t>
  </si>
  <si>
    <t>1607.233.444-000</t>
  </si>
  <si>
    <t>MÓDULO ELECTRÓNICO 1867.1</t>
  </si>
  <si>
    <t>1607.233.552-000</t>
  </si>
  <si>
    <t>REG. DE VELOCIDAD 1891/1893/1895 RA 320</t>
  </si>
  <si>
    <t>1607.233.5CV-000</t>
  </si>
  <si>
    <t>REG.ELECTR.11223/45/30/313/316 RA 026</t>
  </si>
  <si>
    <t>1608.571.080-000</t>
  </si>
  <si>
    <t>PORTABR CORONA DENTADA Ø1,5-13 MM 1AA2.1</t>
  </si>
  <si>
    <t>1610.210.033-000</t>
  </si>
  <si>
    <t>ANILLO 11304</t>
  </si>
  <si>
    <t>1610.210.070-000</t>
  </si>
  <si>
    <t>Junta torica</t>
  </si>
  <si>
    <t>1610.210.079-000</t>
  </si>
  <si>
    <t>ANILLO 11241.7/11264/11269</t>
  </si>
  <si>
    <t>1610.210.095-000</t>
  </si>
  <si>
    <t>JUNTA TORICA</t>
  </si>
  <si>
    <t>Importado a pedido</t>
  </si>
  <si>
    <t>1610.210.104-000</t>
  </si>
  <si>
    <t>ANILLO 11218/11236/11226/28</t>
  </si>
  <si>
    <t>1610.210.121-000</t>
  </si>
  <si>
    <t>ANILLO TIROIDAL GBH 36VLI PLUS</t>
  </si>
  <si>
    <t>1610.210.122-000</t>
  </si>
  <si>
    <t>ANILLO 11311/16</t>
  </si>
  <si>
    <t>1610.210.128-000</t>
  </si>
  <si>
    <t>1610.210.153-000</t>
  </si>
  <si>
    <t>ANILLO 11318.7/11321</t>
  </si>
  <si>
    <t>1610.210.187-000</t>
  </si>
  <si>
    <t>JUNTA TÓRICA</t>
  </si>
  <si>
    <t>1610.210.203-000</t>
  </si>
  <si>
    <t>JUNTATORICA 11321</t>
  </si>
  <si>
    <t>1610.210.204-000</t>
  </si>
  <si>
    <t>JUNTA TORICA 11264/11269</t>
  </si>
  <si>
    <t>1610.210.210-000</t>
  </si>
  <si>
    <t>JUNTA TORICA 1130A</t>
  </si>
  <si>
    <t>1610.210.213-000</t>
  </si>
  <si>
    <t>1610.290.028-000</t>
  </si>
  <si>
    <t>ANILLO OBTURADOR RADIAL 11311/35/245/263</t>
  </si>
  <si>
    <t>1610.290.029-000</t>
  </si>
  <si>
    <t>ANILLO 11226/218.6/236/28</t>
  </si>
  <si>
    <t>1610.290.065-000</t>
  </si>
  <si>
    <t>ANILLO 11318.7/11321/11264/11269</t>
  </si>
  <si>
    <t>1610.290.076-000</t>
  </si>
  <si>
    <t>TAMBOR EXCENTRICO 11241.7/318.7/11321</t>
  </si>
  <si>
    <t>1610.390.051-000</t>
  </si>
  <si>
    <t>SELLO TRASERO CJ</t>
  </si>
  <si>
    <t>1610.499.055-000</t>
  </si>
  <si>
    <t>MANGUITO 11318.7/11321</t>
  </si>
  <si>
    <t>1610.502.016-000</t>
  </si>
  <si>
    <t>CASQUILLO DE GOMA 11267/112A0</t>
  </si>
  <si>
    <t>1610.508.025-000</t>
  </si>
  <si>
    <t>ANILLO 11311/16/11266.0/.1 RA1610202017</t>
  </si>
  <si>
    <t>1610.508.047-000</t>
  </si>
  <si>
    <t>CAPA PROTECTORA</t>
  </si>
  <si>
    <t>1610.703.053-000</t>
  </si>
  <si>
    <t>OJETE PROTECT Ø9,7-Ø12X89 MM</t>
  </si>
  <si>
    <t>1610.905.016-000</t>
  </si>
  <si>
    <t>RODAMIENTO RIGIDO BOLAS</t>
  </si>
  <si>
    <t>1610.910.089-000</t>
  </si>
  <si>
    <t>Cojinete de agujas Ra 1610910096</t>
  </si>
  <si>
    <t>1610.910.091-000</t>
  </si>
  <si>
    <t>ROD. DE AGUJAS 11304.1/1130A</t>
  </si>
  <si>
    <t>1610.913.021-000</t>
  </si>
  <si>
    <t>CORONA DE AGUJAS 11332</t>
  </si>
  <si>
    <t>1611.016.003-000</t>
  </si>
  <si>
    <t>PLACA DE FIJACIÓN</t>
  </si>
  <si>
    <t>1611.098.008-000</t>
  </si>
  <si>
    <t>LAVADORA DE SEGURIDAD</t>
  </si>
  <si>
    <t>1611.329.024-000</t>
  </si>
  <si>
    <t>CONTACTO DE COMUTACION 11267/2A0/23A/A5</t>
  </si>
  <si>
    <t>1612.026.037-000</t>
  </si>
  <si>
    <t>MANETA</t>
  </si>
  <si>
    <t>1612.026.048-000</t>
  </si>
  <si>
    <t>TABLILLA DE CONEXIONES GRIS</t>
  </si>
  <si>
    <t>1612.300.036-000</t>
  </si>
  <si>
    <t>CUERPO DE BLOQUEO 11241.7/318.7/11321</t>
  </si>
  <si>
    <t>1613.100.019-000</t>
  </si>
  <si>
    <t>PERNO CILÍNDRICO</t>
  </si>
  <si>
    <t>1613.103.004-000</t>
  </si>
  <si>
    <t>PIEZA DE BLOQUEO 11304/1130A/11335</t>
  </si>
  <si>
    <t>1613.124.098-000</t>
  </si>
  <si>
    <t>CLAVIJA DE PERCUSION GBH 36VLI PLUS</t>
  </si>
  <si>
    <t>1613.414.022-000</t>
  </si>
  <si>
    <t>TORNILLO HEX 11335 </t>
  </si>
  <si>
    <t>1613.414.024-000</t>
  </si>
  <si>
    <t>TORNILLO CABEZA HEX 1130A</t>
  </si>
  <si>
    <t>1613.490.029-000</t>
  </si>
  <si>
    <t>TORNILLO AVALLANADO TORX M6X30 1C16.8</t>
  </si>
  <si>
    <t>1614.010.252-000</t>
  </si>
  <si>
    <t>INDUCIDO CON VENTILADOR 11332</t>
  </si>
  <si>
    <t>1614.010.270-000</t>
  </si>
  <si>
    <t>INDUCIDO 220V 1B67.3</t>
  </si>
  <si>
    <t>1614.010.276-000</t>
  </si>
  <si>
    <t>INDUCIDO 112A0 RA F000605184</t>
  </si>
  <si>
    <t>1614.010.709-000</t>
  </si>
  <si>
    <t>INDUCIDO 230V 1B53.7</t>
  </si>
  <si>
    <t>1614.011.072-000</t>
  </si>
  <si>
    <t>INDUCIDO 11245/11316/1245.7</t>
  </si>
  <si>
    <t>1614.011.098-000</t>
  </si>
  <si>
    <t>INDUCIDO 11321/11264</t>
  </si>
  <si>
    <t>1614.011.139-000</t>
  </si>
  <si>
    <t>INDUCIDO 220-240V 1130A</t>
  </si>
  <si>
    <t>1614.321.079-000</t>
  </si>
  <si>
    <t>CARBONES 11322</t>
  </si>
  <si>
    <t>1614.336.061-000</t>
  </si>
  <si>
    <t>PORTACARBONES 119B.9/11267/112A0</t>
  </si>
  <si>
    <t>1614.601.012-000</t>
  </si>
  <si>
    <t>ANILLO DE RETENCIÓN</t>
  </si>
  <si>
    <t>1614.601.041-000</t>
  </si>
  <si>
    <t>ANEL DE RETENCAO 11321</t>
  </si>
  <si>
    <t>1614.614.006-000</t>
  </si>
  <si>
    <t>MUELLE DE COMPRESION 11335</t>
  </si>
  <si>
    <t>1614.614.009-000</t>
  </si>
  <si>
    <t>MUELLE DE COMPRESION 1130A</t>
  </si>
  <si>
    <t>1615.430.001-000</t>
  </si>
  <si>
    <t>TUBO DE GRASA</t>
  </si>
  <si>
    <t>1615.430.005-000</t>
  </si>
  <si>
    <t>GRASA PARA ENGRANAJES DE ESMERILES 45ML</t>
  </si>
  <si>
    <t>1615.430.010-000</t>
  </si>
  <si>
    <t>GRASA PARA CINCELES Y BROCAS 30 ML.</t>
  </si>
  <si>
    <t>1615.430.014-000</t>
  </si>
  <si>
    <t>TUBO DE GRASA 45 ML</t>
  </si>
  <si>
    <t>1615.808.083-000</t>
  </si>
  <si>
    <t>TAPA COJIN.11245-316-311-223</t>
  </si>
  <si>
    <t>1615.819.028-000</t>
  </si>
  <si>
    <t>TAPA LADO ACCIONAMIENTO 11253/112A0</t>
  </si>
  <si>
    <t>1616.328.042-000</t>
  </si>
  <si>
    <t>BUCHA DENTADA RA 041</t>
  </si>
  <si>
    <t>1617.000.163-000</t>
  </si>
  <si>
    <t>VAINA PROTECTORA 3245/11218-26/11210</t>
  </si>
  <si>
    <t>1617.000.190-000</t>
  </si>
  <si>
    <t>KIT DE MANTENIMIENTO 11311 / 11316</t>
  </si>
  <si>
    <t>1617.000.327-000</t>
  </si>
  <si>
    <t>MANDRIL CAMBIO RAPIDO SDS-PLUS 11238.7</t>
  </si>
  <si>
    <t>1617.000.518-000</t>
  </si>
  <si>
    <t>ARBOL DENTADO 11228</t>
  </si>
  <si>
    <t>1617.000.525-000</t>
  </si>
  <si>
    <t>JUEGO DE CEPILLOS DE CARBÓN</t>
  </si>
  <si>
    <t>1617.000.579-000</t>
  </si>
  <si>
    <t>ARBOL DENTADO 1B53.7</t>
  </si>
  <si>
    <t>1617.000.582-000</t>
  </si>
  <si>
    <t>VAINA PROTECTORA 11253/112A0.0</t>
  </si>
  <si>
    <t>1617.000.598-000</t>
  </si>
  <si>
    <t>PIEZA DE SUJECION DE HERR 119090</t>
  </si>
  <si>
    <t>1617.000.6CB-000</t>
  </si>
  <si>
    <t>PIEZA DE SUJECION DE HERR 1B67.3</t>
  </si>
  <si>
    <t>1617.000.6D3-000</t>
  </si>
  <si>
    <t>VAINA PROTECTORA  11911 RA 16170006EP</t>
  </si>
  <si>
    <t>1617.000.6EJ-000</t>
  </si>
  <si>
    <t>EJE 11267 RA 1617000556</t>
  </si>
  <si>
    <t>1617.014.126-000</t>
  </si>
  <si>
    <t>CARBONES 11311/16/223/245</t>
  </si>
  <si>
    <t>1617.014.135-000</t>
  </si>
  <si>
    <t>CARBONES 11235/241/318</t>
  </si>
  <si>
    <t>1617.014.138-000</t>
  </si>
  <si>
    <t>JUEGO DE ESCOBILLAS 1C37.0</t>
  </si>
  <si>
    <t>1617.014.144-000</t>
  </si>
  <si>
    <t>CARBONES 11321/11264</t>
  </si>
  <si>
    <t>1617.014.145-000</t>
  </si>
  <si>
    <t>JUEGO DE ESCOBILLAS 1B65.0</t>
  </si>
  <si>
    <t>1617.200.048-000</t>
  </si>
  <si>
    <t>INTERRUPT 11245/35/30/11316/13/11263</t>
  </si>
  <si>
    <t>1617.200.124-000</t>
  </si>
  <si>
    <t>INTERRUPTOR 1130A</t>
  </si>
  <si>
    <t>1617.200.136-000</t>
  </si>
  <si>
    <t>INTERRUPTOR 1B67.3</t>
  </si>
  <si>
    <t>1618.700.062-000</t>
  </si>
  <si>
    <t>PISTON</t>
  </si>
  <si>
    <t>1619.P00.456-000</t>
  </si>
  <si>
    <t>RODAMIENTO A BOLAS 7X19X6 MM 1C94.0</t>
  </si>
  <si>
    <t>1619.P01.685-000</t>
  </si>
  <si>
    <t>CARBONES 157A/5885</t>
  </si>
  <si>
    <t>1619.P01.844-000</t>
  </si>
  <si>
    <t>INDUCIDO 220-240V 1C75.6</t>
  </si>
  <si>
    <t>1619.P02.762-000</t>
  </si>
  <si>
    <t>BOTON DE MANDO 1224/1375.0/.6</t>
  </si>
  <si>
    <t>1619.P02.839-000</t>
  </si>
  <si>
    <t>CUBIERTA PROTECTORA Ø115 MM NEGRO 1C756</t>
  </si>
  <si>
    <t>1619.P02.870-000</t>
  </si>
  <si>
    <t>JGO CARBONES GOP 30-28/GWS 7-115</t>
  </si>
  <si>
    <t>1619.P07.451-000</t>
  </si>
  <si>
    <t>BRIDA DE COJINETE 1C94.0</t>
  </si>
  <si>
    <t>1619.P07.749-000</t>
  </si>
  <si>
    <t>RODILLO CILINDRICO 1C37.0</t>
  </si>
  <si>
    <t>1619.P09.415-000</t>
  </si>
  <si>
    <t>CARCASA DEL MOTOR  RA 1619.P10.070</t>
  </si>
  <si>
    <t>1619.P10.952-000</t>
  </si>
  <si>
    <t>INDUCIDO 1396.1</t>
  </si>
  <si>
    <t>1619.P10.967-000</t>
  </si>
  <si>
    <t>CORREDERA DE AJUSTE 1C94.0</t>
  </si>
  <si>
    <t>1619.P11.240-000</t>
  </si>
  <si>
    <t>RODAMIENTO RIGIDO BOLAS 1375</t>
  </si>
  <si>
    <t>1619.P11.715-000</t>
  </si>
  <si>
    <t>CARBONES 1375/1377/1394/1396.1</t>
  </si>
  <si>
    <t>1619.P13.103-000</t>
  </si>
  <si>
    <t>RODAMIENTO RIGIDO BOLAS 1394/1396.1/1C94</t>
  </si>
  <si>
    <t>1619.P13.946-000</t>
  </si>
  <si>
    <t>RUEDA DENTADA EXCN.11337 RA1619P07723</t>
  </si>
  <si>
    <t>1619.P15.184-000</t>
  </si>
  <si>
    <t>INDUCIDO 220-240V 1C16.8(GSH 11 E)</t>
  </si>
  <si>
    <t>1619.P20.622-000</t>
  </si>
  <si>
    <t>INDUCIDO 1388 RA 1619.P05.210</t>
  </si>
  <si>
    <t>1619.PA1.358-000</t>
  </si>
  <si>
    <t>CARBONES 220V 3311</t>
  </si>
  <si>
    <t>1903.230.010-000</t>
  </si>
  <si>
    <t>PELOTA</t>
  </si>
  <si>
    <t>2600.100.695-000</t>
  </si>
  <si>
    <t>ARANDELA DE AJUSTE 0,5 MM</t>
  </si>
  <si>
    <t>2600.120.052-000</t>
  </si>
  <si>
    <t>PLATO DE GOMA Ø125 137B.1</t>
  </si>
  <si>
    <t>2600.301.089-000</t>
  </si>
  <si>
    <t>CASQUILLO 1276 Ra 1900301018</t>
  </si>
  <si>
    <t>2600.500.002-000</t>
  </si>
  <si>
    <t>ARANDELA</t>
  </si>
  <si>
    <t>2600.703.013-000</t>
  </si>
  <si>
    <t>OJETE PROTECTOR GOP 30-28</t>
  </si>
  <si>
    <t>2600.707.059-000</t>
  </si>
  <si>
    <t>ADAPTADOR RSV</t>
  </si>
  <si>
    <t>2600.905.017-000</t>
  </si>
  <si>
    <t>RODAMIENTO 6002 - 15X32X9MM.</t>
  </si>
  <si>
    <t>2600.905.095-000</t>
  </si>
  <si>
    <t>RODAMIENTO A BOLAS 9X24X7 1575.1</t>
  </si>
  <si>
    <t>2600.910.001-000</t>
  </si>
  <si>
    <t>RODAMIENTO DE AGUJAS 18A5/18A3</t>
  </si>
  <si>
    <t>2600.910.006-000</t>
  </si>
  <si>
    <t>RODAMIENTO 3224.1/11236/50/26/28</t>
  </si>
  <si>
    <t>2601.015.047-000</t>
  </si>
  <si>
    <t>PORTA CABON 11210.0/1184/94</t>
  </si>
  <si>
    <t>2601.098.037-000</t>
  </si>
  <si>
    <t>PLACA DESLIZANTE (GRAFITO) 1274</t>
  </si>
  <si>
    <t>2602.033.006-000</t>
  </si>
  <si>
    <t>CORREDEREA DE AJUSTE</t>
  </si>
  <si>
    <t>2603.490.018-000</t>
  </si>
  <si>
    <t>2604.321.943-000</t>
  </si>
  <si>
    <t>CARBONES 1440/41/45</t>
  </si>
  <si>
    <t>2604.736.010-000</t>
  </si>
  <si>
    <t>CORREA 3270.1/1274</t>
  </si>
  <si>
    <t>2605.703.014-000</t>
  </si>
  <si>
    <t>Brida de fijación</t>
  </si>
  <si>
    <t>2607.014.013-000</t>
  </si>
  <si>
    <t>CARBONES 1218</t>
  </si>
  <si>
    <t>2607.200.231-000</t>
  </si>
  <si>
    <t>CONMUTADOR</t>
  </si>
  <si>
    <t>2607.200.586-000</t>
  </si>
  <si>
    <t>INTERRUPTOR 119B</t>
  </si>
  <si>
    <t>2607.200.623-000</t>
  </si>
  <si>
    <t>INTERRUPTOR 113D/113E/6604/1447</t>
  </si>
  <si>
    <t>2607.202.330-000</t>
  </si>
  <si>
    <t>MÓDULO ELECTRÓNICO 19F8.3/19F8.1</t>
  </si>
  <si>
    <t>2607.225.941-000</t>
  </si>
  <si>
    <t>CARGADOR (OUT)</t>
  </si>
  <si>
    <t>2607.226.205-000</t>
  </si>
  <si>
    <t>Cargador Rapido</t>
  </si>
  <si>
    <t>2607.226.299-000</t>
  </si>
  <si>
    <t>2608.601.106-000</t>
  </si>
  <si>
    <t>PLATO DE GOMA Ø150 2714/137B</t>
  </si>
  <si>
    <t>2609.000.116-000</t>
  </si>
  <si>
    <t>PIÑON 9230/1C77.5</t>
  </si>
  <si>
    <t>2609.003.138-000</t>
  </si>
  <si>
    <t>TARJETA  CIRC. IMPRESO  2144</t>
  </si>
  <si>
    <t>2609.110.149-000</t>
  </si>
  <si>
    <t>RUEDA CONICA 1375.0/.6</t>
  </si>
  <si>
    <t>2609.110.150-000</t>
  </si>
  <si>
    <t>RUEDA DENTADA DE ANGULO 1375.0/.6</t>
  </si>
  <si>
    <t>2609.110.491-000</t>
  </si>
  <si>
    <t>ROD RA F000615003/3130900020</t>
  </si>
  <si>
    <t>2609.111.225-000</t>
  </si>
  <si>
    <t>MANDRIL 19A8/1D47</t>
  </si>
  <si>
    <t>2609.120.199-000</t>
  </si>
  <si>
    <t>CARBONES 1070/1C87/12A2</t>
  </si>
  <si>
    <t>2609.199.295-000</t>
  </si>
  <si>
    <t>CAJA DE ENGRANAJES</t>
  </si>
  <si>
    <t>2609.199.428-000</t>
  </si>
  <si>
    <t>Motor Corriente Continua</t>
  </si>
  <si>
    <t>2610.003.445-000</t>
  </si>
  <si>
    <t>REG. DE VELOCIDAD DREMEL 4000</t>
  </si>
  <si>
    <t>2610.005.646-000</t>
  </si>
  <si>
    <t>CARBONES DREMEL 4000</t>
  </si>
  <si>
    <t>2610.009.839-000</t>
  </si>
  <si>
    <t>SHAFT LOCK</t>
  </si>
  <si>
    <t>2610.009.848-000</t>
  </si>
  <si>
    <t>INDUCIDO DREMEL 3000</t>
  </si>
  <si>
    <t>2610.021.214-000</t>
  </si>
  <si>
    <t>INTERRUPTOR DREMEL 3000 =2610021218</t>
  </si>
  <si>
    <t>2610.391.290-000</t>
  </si>
  <si>
    <t>CARBONES 1228/.1/1472/6555/1447</t>
  </si>
  <si>
    <t>2610.394.629-000</t>
  </si>
  <si>
    <t>CORREA DENTADA 1555</t>
  </si>
  <si>
    <t>2610.395.437-000</t>
  </si>
  <si>
    <t>CARBON + PORTA CARBON 4170/4400/4380</t>
  </si>
  <si>
    <t>2610.395.443-000</t>
  </si>
  <si>
    <t>JUEGO DE PIEZAS 4400/4380</t>
  </si>
  <si>
    <t>2610.395.787-000</t>
  </si>
  <si>
    <t>CORREA 7640</t>
  </si>
  <si>
    <t>2610.395.790-000</t>
  </si>
  <si>
    <t>CARBONES 7640</t>
  </si>
  <si>
    <t>2610.395.801-000</t>
  </si>
  <si>
    <t>RODILLO</t>
  </si>
  <si>
    <t>2610.398.582-000</t>
  </si>
  <si>
    <t>JUEGO DE PIEZAS 7366/7351</t>
  </si>
  <si>
    <t>2610.398.584-000</t>
  </si>
  <si>
    <t>PLACA BASE 7366/7351</t>
  </si>
  <si>
    <t>2610.399.703-000</t>
  </si>
  <si>
    <t>CARBONES 9345 127/220</t>
  </si>
  <si>
    <t>2610.912.847-000</t>
  </si>
  <si>
    <t>INTERRUPTOR DREMEL 395 T6</t>
  </si>
  <si>
    <t>2610.924.701-000</t>
  </si>
  <si>
    <t>CARBONES 1297</t>
  </si>
  <si>
    <t>2610.924.724-000</t>
  </si>
  <si>
    <t>BASE DE GOMA 1297</t>
  </si>
  <si>
    <t>2610.941.201-000</t>
  </si>
  <si>
    <t>INDUCIDO DREMEL 300/395 RA2615297061</t>
  </si>
  <si>
    <t>2610.956.917-000</t>
  </si>
  <si>
    <t>JUEGO DE ESCOBILLAS 1F4C.8</t>
  </si>
  <si>
    <t>2610.Z00.180-000</t>
  </si>
  <si>
    <t>JGO.CARBONES 9004</t>
  </si>
  <si>
    <t>2615.298.790-000</t>
  </si>
  <si>
    <t>CARBONES DREMEL 395/300/3000</t>
  </si>
  <si>
    <t>2615.298.792-000</t>
  </si>
  <si>
    <t>ESTATOR DREMEL 395/300/398/3000</t>
  </si>
  <si>
    <t>2914.550.034-000</t>
  </si>
  <si>
    <t>TORNILLO  11304 RA 2914550033</t>
  </si>
  <si>
    <t>2916.160.010-000</t>
  </si>
  <si>
    <t>MUELLE BELLEVILLE 1130A</t>
  </si>
  <si>
    <t>2916.540.017-000</t>
  </si>
  <si>
    <t>Anillo de retención</t>
  </si>
  <si>
    <t>3606.337.242-000</t>
  </si>
  <si>
    <t>ARRASTRADOR 1B21.1</t>
  </si>
  <si>
    <t>3606.445.047-000</t>
  </si>
  <si>
    <t>SEMIACOPLAMIENTO</t>
  </si>
  <si>
    <t>9618.086.698-000</t>
  </si>
  <si>
    <t>BUJE</t>
  </si>
  <si>
    <t>9618.086.703-000</t>
  </si>
  <si>
    <t>INTERR.1106.0/1171.0/3147.1RA2607200084</t>
  </si>
  <si>
    <t>9618.086.834-000</t>
  </si>
  <si>
    <t>CONJ. REPUESTOS 1751/2/3/4/5/6.0.4</t>
  </si>
  <si>
    <t>F000.601.307-000</t>
  </si>
  <si>
    <t>TRABA 18A1/18A6/18A5</t>
  </si>
  <si>
    <t>F000.603.011-000</t>
  </si>
  <si>
    <t>EMPUNADURA</t>
  </si>
  <si>
    <t>F000.603.096-000</t>
  </si>
  <si>
    <t>MANGO 18A1/18A6/18A5/18A3</t>
  </si>
  <si>
    <t>F000.603.119-000</t>
  </si>
  <si>
    <t>PORTAESCOBILLAS 9071</t>
  </si>
  <si>
    <t>F000.603.133-000</t>
  </si>
  <si>
    <t>OJETE PROTECTOR 1283/17A1/2</t>
  </si>
  <si>
    <t>F000.604.017-000</t>
  </si>
  <si>
    <t>ARO DEFLEC 18A1/18A6/18A5/18A3/17A1/1283</t>
  </si>
  <si>
    <t>F000.605.032-000</t>
  </si>
  <si>
    <t>INDUCIDO CON VENTILADOR 220V 1H00.8</t>
  </si>
  <si>
    <t>F000.605.052-000</t>
  </si>
  <si>
    <t>INDUCIDO 11226/11228</t>
  </si>
  <si>
    <t>F000.605.103-000</t>
  </si>
  <si>
    <t>INDUCIDO</t>
  </si>
  <si>
    <t>F000.605.131-000</t>
  </si>
  <si>
    <t>INDUCIDO 220V</t>
  </si>
  <si>
    <t>F000.605.225-000</t>
  </si>
  <si>
    <t>INDUCIDO 18A3/18A4 RA 136 Y 118</t>
  </si>
  <si>
    <t>F000.605.227-000</t>
  </si>
  <si>
    <t>INDUCIDO 18A5/18A6 RA 138/128</t>
  </si>
  <si>
    <t>F000.605.229-000</t>
  </si>
  <si>
    <t>INDUCIDO 18A1/18A2 RA 140</t>
  </si>
  <si>
    <t>F000.605.240-000</t>
  </si>
  <si>
    <t>INDUCIDO 1859</t>
  </si>
  <si>
    <t>F000.605.241-000</t>
  </si>
  <si>
    <t>INDUCIDO 1283</t>
  </si>
  <si>
    <t>F000.605.256-000</t>
  </si>
  <si>
    <t>INDUCIDO 220V 17A1/2</t>
  </si>
  <si>
    <t>F000.607.169-000</t>
  </si>
  <si>
    <t>ESTATOR 220V</t>
  </si>
  <si>
    <t>F000.607.173-000</t>
  </si>
  <si>
    <t>ESTATOR - 220V 113D RA 064</t>
  </si>
  <si>
    <t>F000.607.175-000</t>
  </si>
  <si>
    <t>Expansion Polar</t>
  </si>
  <si>
    <t>F000.608.012-000</t>
  </si>
  <si>
    <t>CONMUT.1187.5/6426/3246.5 RA 2607200338</t>
  </si>
  <si>
    <t>F000.608.035-000</t>
  </si>
  <si>
    <t>INTERRUPTOR 1HA3.0 RA F000600221</t>
  </si>
  <si>
    <t>F000.608.081-000</t>
  </si>
  <si>
    <t>CONMUTADOR 113D</t>
  </si>
  <si>
    <t>F000.608.364-000</t>
  </si>
  <si>
    <t>INTERRUPTOR 6455/6460/6400 RA F000608088</t>
  </si>
  <si>
    <t>F000.609.174-000</t>
  </si>
  <si>
    <t>PROT.1863/1361-2-8-57-1755-6RA1600703023</t>
  </si>
  <si>
    <t>F000.609.175-000</t>
  </si>
  <si>
    <t>OJETE PROTECTOR GVC 20EX</t>
  </si>
  <si>
    <t>F000.611.019-000</t>
  </si>
  <si>
    <t>CARBON 1800.0/8H0/1H31 RA 1607014138</t>
  </si>
  <si>
    <t>F000.611.021-000</t>
  </si>
  <si>
    <t>CARBONES 5300/5401</t>
  </si>
  <si>
    <t>F000.611.029-000</t>
  </si>
  <si>
    <t>CARBONES 1282/1347 RA1607014116</t>
  </si>
  <si>
    <t>F000.611.048-000</t>
  </si>
  <si>
    <t>CARBONES 6455-6460-6462-6055</t>
  </si>
  <si>
    <t>F000.611.060-000</t>
  </si>
  <si>
    <t>CARBONES 9780/9980 2 PC</t>
  </si>
  <si>
    <t>F000.611.075-000</t>
  </si>
  <si>
    <t>CARBONES 220V 6400/02/6070/6060 NUEVA</t>
  </si>
  <si>
    <t>F000.611.078-000</t>
  </si>
  <si>
    <t>CARBONES 9071</t>
  </si>
  <si>
    <t>F000.611.080-000</t>
  </si>
  <si>
    <t>CARBONES 9455</t>
  </si>
  <si>
    <t>F000.611.088-000</t>
  </si>
  <si>
    <t>CARBONES 3610</t>
  </si>
  <si>
    <t>F000.611.090-000</t>
  </si>
  <si>
    <t>CARBONES Ra 1607014171</t>
  </si>
  <si>
    <t>F000.611.108-000</t>
  </si>
  <si>
    <t>CARBONES 1859/15598545.20.00.0</t>
  </si>
  <si>
    <t>F000.612.015-000</t>
  </si>
  <si>
    <t>CARBONES  3388.0/6423</t>
  </si>
  <si>
    <t>F000.613.046-000</t>
  </si>
  <si>
    <t>CONJUNTO DE MONTAJE 6460/62/55/00/02</t>
  </si>
  <si>
    <t>F000.613.060-000</t>
  </si>
  <si>
    <t>PLACA BASE 7232</t>
  </si>
  <si>
    <t>F000.613.103-000</t>
  </si>
  <si>
    <t>BRAZO DE COJINETE 1B28.1</t>
  </si>
  <si>
    <t>F000.616.060-000</t>
  </si>
  <si>
    <t>ANILLO DE GOMA 2-1855/6/17A1/2/1283/1C77</t>
  </si>
  <si>
    <t>F000.616.119-000</t>
  </si>
  <si>
    <t>APOYO 7232</t>
  </si>
  <si>
    <t>F000.616.134-000</t>
  </si>
  <si>
    <t>TORNILLO 1548.4</t>
  </si>
  <si>
    <t>F000.617.034-000</t>
  </si>
  <si>
    <t>ENGRANAJE 113D/113E/6555/11A0.2</t>
  </si>
  <si>
    <t>F000.617.073-000</t>
  </si>
  <si>
    <t>ENGRANAJE GSR 7-14 E/1447</t>
  </si>
  <si>
    <t>F000.623.029-000</t>
  </si>
  <si>
    <t>PLACA DE PRESION 1B3D.5</t>
  </si>
  <si>
    <t>F000.632.019-000</t>
  </si>
  <si>
    <t>MANDRIL 1/2"(13 MM) + LLAVE RA F00063203</t>
  </si>
  <si>
    <t>1600.136.013-000</t>
  </si>
  <si>
    <t>Arandela De Ajuste</t>
  </si>
  <si>
    <t>1600.136.014-000</t>
  </si>
  <si>
    <t>1600.190.022-000</t>
  </si>
  <si>
    <t>ARANDELA 0.10 1891/1893/1895/18A6/17A1/2</t>
  </si>
  <si>
    <t>1600.206.020-000</t>
  </si>
  <si>
    <t>ANILLO 1356-7-21-2-61-8/1855/17A1/2/1283</t>
  </si>
  <si>
    <t>1600.591.05C-000</t>
  </si>
  <si>
    <t>ARO DEFLECTOR DE AIRE 1B65.0/1B65.1</t>
  </si>
  <si>
    <t>1600.591.05U-000</t>
  </si>
  <si>
    <t>ARO DEFLECTOR DE AIRE 1H92.H/1H93.H</t>
  </si>
  <si>
    <t>1600.703.042-000</t>
  </si>
  <si>
    <t>Ojete protector</t>
  </si>
  <si>
    <t>1600.900.052-000</t>
  </si>
  <si>
    <t>RODAMIENTO 5301</t>
  </si>
  <si>
    <t>1600.A00.19T-000</t>
  </si>
  <si>
    <t>MÓDULO ELECTRÓNICO 1JD8.1</t>
  </si>
  <si>
    <t>1600.A00.376-000</t>
  </si>
  <si>
    <t>CONMUTADOR 6555</t>
  </si>
  <si>
    <t>1600.A00.3EE-000</t>
  </si>
  <si>
    <t>TUERCA HEXAGONAL 1831</t>
  </si>
  <si>
    <t>1600.A00.3M8-000</t>
  </si>
  <si>
    <t>CLAVIJA DE CIERRE 8050</t>
  </si>
  <si>
    <t>1600.A00.3M9-000</t>
  </si>
  <si>
    <t>MODULO ELECTRONICO 8050</t>
  </si>
  <si>
    <t>1600.A00.70C-000</t>
  </si>
  <si>
    <t>CONJUNTO INDUCIDO 220V 1B28.1</t>
  </si>
  <si>
    <t>1600.A00.721-000</t>
  </si>
  <si>
    <t>Sierra de calar pendular</t>
  </si>
  <si>
    <t>1600.A00.8D6-000</t>
  </si>
  <si>
    <t>ANILLO INTERMEDIO  5301</t>
  </si>
  <si>
    <t>1600.A00.8DL-000</t>
  </si>
  <si>
    <t>CASQUILLO-GUIA  5301</t>
  </si>
  <si>
    <t>1600.A00.8RF-000</t>
  </si>
  <si>
    <t>ANILLO INTERMEDIO 5402</t>
  </si>
  <si>
    <t>1600.A00.8RP-000</t>
  </si>
  <si>
    <t>RUEDA DENTADA DE ANGULO 1FB3.0</t>
  </si>
  <si>
    <t>1600.A00.8RV-000</t>
  </si>
  <si>
    <t>BRIDA 1FB3.0</t>
  </si>
  <si>
    <t>1600.A00.9VC-000</t>
  </si>
  <si>
    <t>RETÉN PARA EJES 1B3A.0</t>
  </si>
  <si>
    <t>1600.A00.9XG-000</t>
  </si>
  <si>
    <t>CUBIERTA PROTECTORA 9002</t>
  </si>
  <si>
    <t>1600.A00.B6H-000</t>
  </si>
  <si>
    <t>ELEMENT DE CALEFACCION 220V 8005 V2</t>
  </si>
  <si>
    <t>1600.A00.C10-000</t>
  </si>
  <si>
    <t>ARANDELA 9002(700W)/9004(830W)</t>
  </si>
  <si>
    <t>1600.A00.C11-000</t>
  </si>
  <si>
    <t>RUEDA DENTADA DE ANGULO 9002(700W)</t>
  </si>
  <si>
    <t>1600.A00.C16-000</t>
  </si>
  <si>
    <t>TUERCA DE ALOJAM 9002(700W)/9004(830W)</t>
  </si>
  <si>
    <t>1600.A00.D30-000</t>
  </si>
  <si>
    <t>EJE 6060 NUEVA</t>
  </si>
  <si>
    <t>1600.A00.DT2-000</t>
  </si>
  <si>
    <t>BOTON 9002(700W)/9004(830W)</t>
  </si>
  <si>
    <t>1600.A00.N61-000</t>
  </si>
  <si>
    <t>CAJA DEL ENGRANAJE 1JG5.2</t>
  </si>
  <si>
    <t>1600.A00.P8Z-000</t>
  </si>
  <si>
    <t>CAJA DEL ENGRANAJE 19F8.0/19F8.3</t>
  </si>
  <si>
    <t>1600.A00.P90-000</t>
  </si>
  <si>
    <t>CAJA DEL ENGRANAJE 19F8.3</t>
  </si>
  <si>
    <t>1600.A00.PB8-000</t>
  </si>
  <si>
    <t>CONMUTADOR 6600 / 6604</t>
  </si>
  <si>
    <t>1600.A00.XK9-000</t>
  </si>
  <si>
    <t>Cubierta protectora</t>
  </si>
  <si>
    <t>1600.A01.1KB-000</t>
  </si>
  <si>
    <t>PORTAESCOBILLAS 19G5.2</t>
  </si>
  <si>
    <t>1600.A01.23H-000</t>
  </si>
  <si>
    <t>CONMUTADOR 1AB5.0</t>
  </si>
  <si>
    <t>1600.A01.23L-000</t>
  </si>
  <si>
    <t>HUSILLO 1AB6.0 RA 1600A01437</t>
  </si>
  <si>
    <t>1600.A01.37P-000</t>
  </si>
  <si>
    <t>COJINETE SINTERIZADO 1AB5.0</t>
  </si>
  <si>
    <t>1600.A01.4FF-000</t>
  </si>
  <si>
    <t>PARTE INFERIOR DE PROTEC 1FB3.0</t>
  </si>
  <si>
    <t>1600.A01.4FH-000</t>
  </si>
  <si>
    <t>CARCASA DELANTERA 1FB3.0</t>
  </si>
  <si>
    <t>1600.A01.4L4-000</t>
  </si>
  <si>
    <t>ACOLCHADO 12A2.0</t>
  </si>
  <si>
    <t>1600.A01.4S6-000</t>
  </si>
  <si>
    <t>Rueda Excentrica 11321 Ra. 1616317083</t>
  </si>
  <si>
    <t>1600.A01.4TX-000</t>
  </si>
  <si>
    <t>Arbol de excentrica</t>
  </si>
  <si>
    <t>1600.A01.MK9-000</t>
  </si>
  <si>
    <t>RETEN DE ARBOL 11316/11332  RA 161028303</t>
  </si>
  <si>
    <t>1600.A01.N6C-000</t>
  </si>
  <si>
    <t>Elemento calefactor 220V</t>
  </si>
  <si>
    <t>1600.A01.R95-000</t>
  </si>
  <si>
    <t>CUBIERTA PROTECTORA RA 1605.510.397</t>
  </si>
  <si>
    <t>1600.A02.04N-000</t>
  </si>
  <si>
    <t>Cargador</t>
  </si>
  <si>
    <t>1601.302.013-000</t>
  </si>
  <si>
    <t>ABRAZADERA</t>
  </si>
  <si>
    <t>1602.026.057-000</t>
  </si>
  <si>
    <t>BOTON 1805/1800/1821/1820</t>
  </si>
  <si>
    <t>1602.026.088-000</t>
  </si>
  <si>
    <t>BOTON DE INTP 1829/1220/122/1H250/1G900</t>
  </si>
  <si>
    <t>1602.319.026-000</t>
  </si>
  <si>
    <t>CORREDERA DE AJUSTE 1G9M.0</t>
  </si>
  <si>
    <t>1603.123.04V-000</t>
  </si>
  <si>
    <t>HUSILLO PORTAMUELA M14 9002</t>
  </si>
  <si>
    <t>1603.123.04Z-000</t>
  </si>
  <si>
    <t>Husillo portamuela</t>
  </si>
  <si>
    <t>1603.231.032-000</t>
  </si>
  <si>
    <t>BOTON PULSADOR 1GA3.1</t>
  </si>
  <si>
    <t>1603.300.019-000</t>
  </si>
  <si>
    <t>TUERCA HEX 1356-7-61-2-8 1855-6.G/17A1/2</t>
  </si>
  <si>
    <t>1603.414.007-000</t>
  </si>
  <si>
    <t>TORNILLO HEXAG.I 1557/3224/1523/46</t>
  </si>
  <si>
    <t>1603.430.01L-000</t>
  </si>
  <si>
    <t>TORNILLO 1FB3.0</t>
  </si>
  <si>
    <t>1603.521.027-000</t>
  </si>
  <si>
    <t>EJE 1274</t>
  </si>
  <si>
    <t>1604.010.A22-000</t>
  </si>
  <si>
    <t>INDUCIDO C VENTILADOR 1825 =1604010A90</t>
  </si>
  <si>
    <t>1604.010.A52-000</t>
  </si>
  <si>
    <t>INDUCIDO 1830.2</t>
  </si>
  <si>
    <t>1604.010.B98-000</t>
  </si>
  <si>
    <t>INDUCIDO 1GA3.1</t>
  </si>
  <si>
    <t>1604.010.B9X-000</t>
  </si>
  <si>
    <t>INDUCIDO 220V 1AB6.0</t>
  </si>
  <si>
    <t>1604.011.252-000</t>
  </si>
  <si>
    <t>INDUCIDO 220-240V 18B8/18B7</t>
  </si>
  <si>
    <t>1604.220.458-000</t>
  </si>
  <si>
    <t>ESTATOR  RA 1604220282 / 160422052X</t>
  </si>
  <si>
    <t>1604.220.475-000</t>
  </si>
  <si>
    <t>ESTATOR 1793</t>
  </si>
  <si>
    <t>1604.220.522-000</t>
  </si>
  <si>
    <t>1604.220.572-000</t>
  </si>
  <si>
    <t>EXPANSION POLAR 220V 1C77.5</t>
  </si>
  <si>
    <t>1604.321.169-000</t>
  </si>
  <si>
    <t>JUEGO DE ESCOBILLAS 220V 4751 - CORRECTO</t>
  </si>
  <si>
    <t>1604.336.055-000</t>
  </si>
  <si>
    <t>PORTACARBONES 5200</t>
  </si>
  <si>
    <t>1604.601.027-000</t>
  </si>
  <si>
    <t>1604.601.02U-000</t>
  </si>
  <si>
    <t>ANILLO ELÁSTICO 1B5A.4</t>
  </si>
  <si>
    <t>1604.611.031-000</t>
  </si>
  <si>
    <t>MUELLE DE COMPR 1375.0/.6/1388/1796/179M</t>
  </si>
  <si>
    <t>1605.108.255-000</t>
  </si>
  <si>
    <t>CARCASA DEL MOTOR 1830.2/1389</t>
  </si>
  <si>
    <t>1605.108.285-000</t>
  </si>
  <si>
    <t>CARCASA DEL MOTOR 1793</t>
  </si>
  <si>
    <t>1605.108.288-000</t>
  </si>
  <si>
    <t>CARCASA DEL MOTOR 1G92.0</t>
  </si>
  <si>
    <t>1605.108.2CT-000</t>
  </si>
  <si>
    <t>CARCASA DE MOTOR 9002</t>
  </si>
  <si>
    <t>1605.132.117-000</t>
  </si>
  <si>
    <t>MANGO 1361-62-56-57</t>
  </si>
  <si>
    <t>1605.132.119-000</t>
  </si>
  <si>
    <t>PUNO 9777</t>
  </si>
  <si>
    <t>1605.500.274-000</t>
  </si>
  <si>
    <t>TAPA 1G76.0</t>
  </si>
  <si>
    <t>1605.500.2C6-000</t>
  </si>
  <si>
    <t>BOTON DE AJUSTE 6520</t>
  </si>
  <si>
    <t>1605.510.150-000</t>
  </si>
  <si>
    <t>CUBIERTA 1270/1274</t>
  </si>
  <si>
    <t>1605.805.138-000</t>
  </si>
  <si>
    <t>BRIDA DE COJINETE 18A2/18A4/18A6</t>
  </si>
  <si>
    <t>1605.806.5G9-000</t>
  </si>
  <si>
    <t>Caja de cambios</t>
  </si>
  <si>
    <t>1605.808.08Z-000</t>
  </si>
  <si>
    <t>1606.333.624-000</t>
  </si>
  <si>
    <t>RUEDA DENTADA DE ANGULO Ra 1600A00J95</t>
  </si>
  <si>
    <t>1607.000.162-000</t>
  </si>
  <si>
    <t>BOTON PULSADOR 1282/1347/1B82</t>
  </si>
  <si>
    <t>1607.000.298-000</t>
  </si>
  <si>
    <t>BOTON PULSADOR 1375.0/.6</t>
  </si>
  <si>
    <t>1607.000.354-000</t>
  </si>
  <si>
    <t>BOTÓN PULS. GWS 21-180</t>
  </si>
  <si>
    <t>1607.000.378-000</t>
  </si>
  <si>
    <t>RODAMIENTO+IMÁN 1H25.0/1829/1389/12</t>
  </si>
  <si>
    <t>1607.000.480-000</t>
  </si>
  <si>
    <t>Juego De Escobillas x 10 1607014171</t>
  </si>
  <si>
    <t>1607.000.967-000</t>
  </si>
  <si>
    <t>INTERRUPTOR 1755/6</t>
  </si>
  <si>
    <t>1607.000.C4M-000</t>
  </si>
  <si>
    <t>ESTATOR 1894/1895</t>
  </si>
  <si>
    <t>1607.000.D16-000</t>
  </si>
  <si>
    <t>INTERRUPTOR 1GA3.1</t>
  </si>
  <si>
    <t>1607.000.D3P-000</t>
  </si>
  <si>
    <t>BOTON PULSADOR 1C77.5</t>
  </si>
  <si>
    <t>1607.000.D50-000</t>
  </si>
  <si>
    <t>JUEGO DE RUEDAS CONICAS RA 1607000434</t>
  </si>
  <si>
    <t>1607.000.D9C-000</t>
  </si>
  <si>
    <t>Junta</t>
  </si>
  <si>
    <t>1607.000.V33-000</t>
  </si>
  <si>
    <t>INDUCIDO CON VENTILADOR 1793</t>
  </si>
  <si>
    <t>1607.000.V35-000</t>
  </si>
  <si>
    <t>INDUCIDO CON VENTILADOR 1796</t>
  </si>
  <si>
    <t>1607.000.V36-000</t>
  </si>
  <si>
    <t>INDUCIDO 179X/179M</t>
  </si>
  <si>
    <t>1607.000.V40-000</t>
  </si>
  <si>
    <t>CAJA DE ENGRANAJES 1G9M.0</t>
  </si>
  <si>
    <t>1607.000.V41-000</t>
  </si>
  <si>
    <t>Boton Pulsador</t>
  </si>
  <si>
    <t>1607.000.V54-000</t>
  </si>
  <si>
    <t>PORTAESCOBILLAS 1792/1G90.0</t>
  </si>
  <si>
    <t>1607.001.007-000</t>
  </si>
  <si>
    <t>SENSOR DE ROTACIÓN 1H92.H/1H93.H</t>
  </si>
  <si>
    <t>1607.014.139-000</t>
  </si>
  <si>
    <t>CARBONES 1385/73 RA137</t>
  </si>
  <si>
    <t>1607.014.18P-000</t>
  </si>
  <si>
    <t>BLISTER CARBONES GSR 180 LI / GSB 180 LI</t>
  </si>
  <si>
    <t>1607.022.609-000</t>
  </si>
  <si>
    <t>MOTOR CORRIENTE CONTINUA 1862.3</t>
  </si>
  <si>
    <t>1607.200.244-000</t>
  </si>
  <si>
    <t>INTERRUPTOR GSH11VC/GSH16-28(11336/11335</t>
  </si>
  <si>
    <t>1607.200.332-000</t>
  </si>
  <si>
    <t>Interruptor de luz</t>
  </si>
  <si>
    <t>1607.200.363-000</t>
  </si>
  <si>
    <t>INTERRUPTOR 220V 1AB5.0</t>
  </si>
  <si>
    <t>1607.233.234-000</t>
  </si>
  <si>
    <t>REGULADOR DE VELOCIDAD 1830</t>
  </si>
  <si>
    <t>1607.233.443-000</t>
  </si>
  <si>
    <t>MÓDULO ELECTRÓNICO 1867.0</t>
  </si>
  <si>
    <t>1607.233.452-000</t>
  </si>
  <si>
    <t>REGULADOR DE REVOLUCIONES 1220/1221</t>
  </si>
  <si>
    <t>1607.233.475-000</t>
  </si>
  <si>
    <t>REGULADOR DE REV Rx 1607000DA2</t>
  </si>
  <si>
    <t>1607.233.560-000</t>
  </si>
  <si>
    <t>MODULO ELECTRONICO 1513 RA 2607230126</t>
  </si>
  <si>
    <t>1607.233.5DK-000</t>
  </si>
  <si>
    <t>MODULO ELECTRONICO GSR 10,8 V</t>
  </si>
  <si>
    <t>1607.233.5FX-000</t>
  </si>
  <si>
    <t>MÓDULO ELECTRÓNICO 19H5</t>
  </si>
  <si>
    <t>1607.A35.0BZ-000</t>
  </si>
  <si>
    <t>Kit acumulador n 5s1p</t>
  </si>
  <si>
    <t>1607.A35.0DY-000</t>
  </si>
  <si>
    <t>Kit acumulador n 3s1p</t>
  </si>
  <si>
    <t>1608.005.004-000</t>
  </si>
  <si>
    <t>ARMAZON INFERIOR  1274</t>
  </si>
  <si>
    <t>1609.203.L02-000</t>
  </si>
  <si>
    <t>JUEGO DE ESCOBILLAS 1B20.5</t>
  </si>
  <si>
    <t>1610.205.010-000</t>
  </si>
  <si>
    <t>Junta De Fieltro</t>
  </si>
  <si>
    <t>1610.210.091-000</t>
  </si>
  <si>
    <t>ARANDELA PLANA</t>
  </si>
  <si>
    <t>1610.210.105-000</t>
  </si>
  <si>
    <t>ANILLO GBH 36 VLI PLUS</t>
  </si>
  <si>
    <t>1610.210.144-000</t>
  </si>
  <si>
    <t>ANILLO MUELLE 11235/11321/11264/11269</t>
  </si>
  <si>
    <t>1610.210.176-000</t>
  </si>
  <si>
    <t>1610.210.178-000</t>
  </si>
  <si>
    <t>1610.210.179-000</t>
  </si>
  <si>
    <t>JUNTA TORICA 119090</t>
  </si>
  <si>
    <t>1610.210.186-000</t>
  </si>
  <si>
    <t>JUNTA TORICA  11258/1125A Rx1610210244</t>
  </si>
  <si>
    <t>1610.210.195-000</t>
  </si>
  <si>
    <t>JUNTA TORICA 11335</t>
  </si>
  <si>
    <t>1610.210.218-000</t>
  </si>
  <si>
    <t>ANILLO AMORTIGUADOR 11336</t>
  </si>
  <si>
    <t>1610.241.001-000</t>
  </si>
  <si>
    <t>ANILLO DE GARRAS 11332</t>
  </si>
  <si>
    <t>1610.283.016-000</t>
  </si>
  <si>
    <t>RETEN EXCENTRICO 11304.1/1130A</t>
  </si>
  <si>
    <t>1610.290.069-000</t>
  </si>
  <si>
    <t>ANILLO 11241.7/11264</t>
  </si>
  <si>
    <t>1610.390.017-000</t>
  </si>
  <si>
    <t>CASQUILLO 11218/11226/28</t>
  </si>
  <si>
    <t>1610.499.023-000</t>
  </si>
  <si>
    <t>BUJE 11311/16          RA033</t>
  </si>
  <si>
    <t>1610.508.038-000</t>
  </si>
  <si>
    <t>Capa protectora</t>
  </si>
  <si>
    <t>1610.551.008-000</t>
  </si>
  <si>
    <t>1610.590.014-000</t>
  </si>
  <si>
    <t>CASQUILLO DE RECEPCIÓN</t>
  </si>
  <si>
    <t>1610.591.016-000</t>
  </si>
  <si>
    <t>COJINETE DE DESLIZAMIEN. 11226-28</t>
  </si>
  <si>
    <t>1610.591.051-000</t>
  </si>
  <si>
    <t>Guante de protección</t>
  </si>
  <si>
    <t>1610.905.047-000</t>
  </si>
  <si>
    <t>COJINETE FIJO</t>
  </si>
  <si>
    <t>1610.910.092-000</t>
  </si>
  <si>
    <t>ROD. AGUJAS 11304.1/1130A</t>
  </si>
  <si>
    <t>1610.913.016-000</t>
  </si>
  <si>
    <t>PORTAAGUJAS</t>
  </si>
  <si>
    <t>1612.001.033-000</t>
  </si>
  <si>
    <t>BIELA 11311/16</t>
  </si>
  <si>
    <t>1612.300.025-000</t>
  </si>
  <si>
    <t>CUERPO DE BLOQUEO 11316/11336/11266</t>
  </si>
  <si>
    <t>1613.101.006-000</t>
  </si>
  <si>
    <t>PERNO DE PISTON 11311/16</t>
  </si>
  <si>
    <t>1613.124.040-000</t>
  </si>
  <si>
    <t>CLAVIJA DE PERCUSIÀN 11218-26-28</t>
  </si>
  <si>
    <t>1613.124.052-000</t>
  </si>
  <si>
    <t>CLAVIJA PERCUSION 11238</t>
  </si>
  <si>
    <t>1613.124.088-000</t>
  </si>
  <si>
    <t>Clavija De Percusion</t>
  </si>
  <si>
    <t>1613.200.020-000</t>
  </si>
  <si>
    <t>Rodillo cilíndrico</t>
  </si>
  <si>
    <t>1614.010.711-000</t>
  </si>
  <si>
    <t>INDUCIDO 230V 1B5A.4 RA 1614010B1C</t>
  </si>
  <si>
    <t>1614.011.091-000</t>
  </si>
  <si>
    <t>INDUCIDO 220-240V 1304.1</t>
  </si>
  <si>
    <t>1614.011.120-000</t>
  </si>
  <si>
    <t>INDUCIDO 11336</t>
  </si>
  <si>
    <t>1614.220.123-000</t>
  </si>
  <si>
    <t>ESTATOR 11241.7/318.7/11264/11321</t>
  </si>
  <si>
    <t>1614.220.219-000</t>
  </si>
  <si>
    <t>EXPANSION POLAR 230-240V 1B5A.4</t>
  </si>
  <si>
    <t>1614.220.227-000</t>
  </si>
  <si>
    <t>EXPANSION POLAR 112A0 RA F000607133</t>
  </si>
  <si>
    <t>1614.465.011-000</t>
  </si>
  <si>
    <t>FILTRO ANTIPARASITARIO 1B3A.0</t>
  </si>
  <si>
    <t>1614.601.024-000</t>
  </si>
  <si>
    <t>ANILLO TRABA 11226/8/11236</t>
  </si>
  <si>
    <t>1614.601.026-000</t>
  </si>
  <si>
    <t>ANILLO SEGURIDAD 11238</t>
  </si>
  <si>
    <t>1614.601.027-000</t>
  </si>
  <si>
    <t>1614.601.053-000</t>
  </si>
  <si>
    <t>1615.430.007-000</t>
  </si>
  <si>
    <t>GRASA 1000 ML 1304.1</t>
  </si>
  <si>
    <t>1615.430.016-000</t>
  </si>
  <si>
    <t>GRASA PARA CINCELES Y BROCAS  BLANCA 1KG</t>
  </si>
  <si>
    <t>1615.430.020-000</t>
  </si>
  <si>
    <t>1615.437.511-000</t>
  </si>
  <si>
    <t>ACEITE + JUNTA 11241.7</t>
  </si>
  <si>
    <t>1615.500.214-000</t>
  </si>
  <si>
    <t>TAPON ROSCADO 11304/1130A</t>
  </si>
  <si>
    <t>1615.510.000-000</t>
  </si>
  <si>
    <t>CONDUCTOR DE LUZ 1245.7</t>
  </si>
  <si>
    <t>1615.820.092-000</t>
  </si>
  <si>
    <t>HORQUILLA DE MANDO 11228/11236</t>
  </si>
  <si>
    <t>1615.820.097-000</t>
  </si>
  <si>
    <t>CAMBIAR</t>
  </si>
  <si>
    <t>1616.110.033-000</t>
  </si>
  <si>
    <t>ARBOL DE EXCENTRICA 1304.1</t>
  </si>
  <si>
    <t>1616.312.004-000</t>
  </si>
  <si>
    <t>RUEDA DENTADA RECTA 12A0</t>
  </si>
  <si>
    <t>1616.328.055-000</t>
  </si>
  <si>
    <t>Casquillo De Dentado Ext</t>
  </si>
  <si>
    <t>1616.334.000-000</t>
  </si>
  <si>
    <t>CAUCHO METAL 11304/1130A</t>
  </si>
  <si>
    <t>1616.490.058-000</t>
  </si>
  <si>
    <t>MANGU.C/MUESCA</t>
  </si>
  <si>
    <t>1616.490.061-000</t>
  </si>
  <si>
    <t>PORTAHERRAMIENTAS 11228</t>
  </si>
  <si>
    <t>1616.610.083-000</t>
  </si>
  <si>
    <t>VENTILADOR 11245-11316</t>
  </si>
  <si>
    <t>1616.610.102-000</t>
  </si>
  <si>
    <t>Ventilador</t>
  </si>
  <si>
    <t>1617.000.189-000</t>
  </si>
  <si>
    <t>JUEGO DE PIEZAS DESGASTE 1C16.8</t>
  </si>
  <si>
    <t>1617.000.422-000</t>
  </si>
  <si>
    <t>PRENSACHAPAS 11318.7</t>
  </si>
  <si>
    <t>1617.000.425-000</t>
  </si>
  <si>
    <t>CARBONES 11304.1/1130A</t>
  </si>
  <si>
    <t>1617.000.426-000</t>
  </si>
  <si>
    <t>KIT MANTENIMIENTO 11304.1</t>
  </si>
  <si>
    <t>1617.000.431-000</t>
  </si>
  <si>
    <t>KIT DE MANTENIMIENTO 11318</t>
  </si>
  <si>
    <t>1617.000.482-000</t>
  </si>
  <si>
    <t>TAPA ESCOBILLAS 11335</t>
  </si>
  <si>
    <t>1617.000.496-000</t>
  </si>
  <si>
    <t>BARRA DE TORSION DE GOMA 11335</t>
  </si>
  <si>
    <t>1617.000.556-000</t>
  </si>
  <si>
    <t>ARBOL DENTADO 12A0</t>
  </si>
  <si>
    <t>1617.000.558-000</t>
  </si>
  <si>
    <t>CARCASA DEL MOTOR AZUL 1B53.7</t>
  </si>
  <si>
    <t>1617.000.692-000</t>
  </si>
  <si>
    <t>PIEZA DE SUJECION 11231/1123A</t>
  </si>
  <si>
    <t>1617.000.695-000</t>
  </si>
  <si>
    <t>1617.000.6A5-000</t>
  </si>
  <si>
    <t>EMBOLO MARTILLO GBH 36 VLI PLUS</t>
  </si>
  <si>
    <t>1617.000.6B0-000</t>
  </si>
  <si>
    <t>MOTOR CORRIENTE CONTINUA 18V 193A</t>
  </si>
  <si>
    <t>1617.000.6B9-000</t>
  </si>
  <si>
    <t>EMBOLO MARTILLO 1125A.4 Ra 1600A0013X</t>
  </si>
  <si>
    <t>1617.000.6BC-000</t>
  </si>
  <si>
    <t>EJE INTERMEDIO</t>
  </si>
  <si>
    <t>1617.000.6CT-000</t>
  </si>
  <si>
    <t>COJINETE DE ACCIONAMIENTO 1B67.3</t>
  </si>
  <si>
    <t>1617.000.6DX-000</t>
  </si>
  <si>
    <t>BRIDA INTERMEDIA 12A0</t>
  </si>
  <si>
    <t>1617.000.6ET-000</t>
  </si>
  <si>
    <t>ARBOL DENTADO 112A0</t>
  </si>
  <si>
    <t>1617.000.708-000</t>
  </si>
  <si>
    <t>KIT DE MANTENIMIENTO 11321</t>
  </si>
  <si>
    <t>1617.000.727-000</t>
  </si>
  <si>
    <t>CONJUNTO CONSTRUCTIVO ÉMBOLOS 1130A</t>
  </si>
  <si>
    <t>1617.000.732-000</t>
  </si>
  <si>
    <t>KIT DE MANTENIMIENTO 1130A</t>
  </si>
  <si>
    <t>1617.000.750-000</t>
  </si>
  <si>
    <t>CARBONES GSH 11 VC 11336</t>
  </si>
  <si>
    <t>1617.000.751-000</t>
  </si>
  <si>
    <t>EMBOLO DEL MARTILLO GSH 11 VC 11336</t>
  </si>
  <si>
    <t>1617.000.836-000</t>
  </si>
  <si>
    <t>EMBOLO 11318.7</t>
  </si>
  <si>
    <t>1617.014.122-000</t>
  </si>
  <si>
    <t>CARBONES 11216/230/309/313</t>
  </si>
  <si>
    <t>1617.014.134-000</t>
  </si>
  <si>
    <t>CARBONES 11237/11238</t>
  </si>
  <si>
    <t>1617.014.137-000</t>
  </si>
  <si>
    <t>CARBONES  11239.7</t>
  </si>
  <si>
    <t>1617.014.143-000</t>
  </si>
  <si>
    <t>CARBONES 11335</t>
  </si>
  <si>
    <t>1617.014.146-000</t>
  </si>
  <si>
    <t>CARBONES 1125A</t>
  </si>
  <si>
    <t>1617.200.077-000</t>
  </si>
  <si>
    <t>INTERRUPTOR 11238</t>
  </si>
  <si>
    <t>1617.200.101-000</t>
  </si>
  <si>
    <t>INTERRUPTOR GBH 5-40DE</t>
  </si>
  <si>
    <t>1617.200.127-000</t>
  </si>
  <si>
    <t>INTERRUPTOR 11332/1123A RA 1617200113</t>
  </si>
  <si>
    <t>1617.200.532-000</t>
  </si>
  <si>
    <t>INTERRUPTOR 112A0</t>
  </si>
  <si>
    <t>1617.200.542-000</t>
  </si>
  <si>
    <t>INTERRUPTOR 1B5A.4</t>
  </si>
  <si>
    <t>1617.328.026-000</t>
  </si>
  <si>
    <t>Filtro Supressao 11228.7</t>
  </si>
  <si>
    <t>1618.700.064-000</t>
  </si>
  <si>
    <t>PISTON 11311/16</t>
  </si>
  <si>
    <t>1619.P01.115-000</t>
  </si>
  <si>
    <t>INTERRUPTOR 157A</t>
  </si>
  <si>
    <t>1619.P01.642-000</t>
  </si>
  <si>
    <t>MUELLE DE COMPRESION  16A2</t>
  </si>
  <si>
    <t>1619.P01.696-000</t>
  </si>
  <si>
    <t>INDUCIDO 157A/5885</t>
  </si>
  <si>
    <t>1619.P01.777-000</t>
  </si>
  <si>
    <t>CARBONES 11258</t>
  </si>
  <si>
    <t>1619.P02.811-000</t>
  </si>
  <si>
    <t>CORREDERA DE AJUSTE 1388</t>
  </si>
  <si>
    <t>1619.P02.818-000</t>
  </si>
  <si>
    <t>ARO DEFLECTOR DE AIRE 1388</t>
  </si>
  <si>
    <t>1619.P02.819-000</t>
  </si>
  <si>
    <t>1619.P03.776-000</t>
  </si>
  <si>
    <t>INDUCIDO 1B20</t>
  </si>
  <si>
    <t>1619.P04.474-000</t>
  </si>
  <si>
    <t>ESTATOR 230V  1623</t>
  </si>
  <si>
    <t>1619.P04.839-000</t>
  </si>
  <si>
    <t>PERNO 1F4C.8</t>
  </si>
  <si>
    <t>1619.P06.095-000</t>
  </si>
  <si>
    <t>RODAMIENTO RIGIDO BOLAS 1E7A.0</t>
  </si>
  <si>
    <t>1619.P06.204-000</t>
  </si>
  <si>
    <t>ADAPTADOR DE VACIO 1F23.0</t>
  </si>
  <si>
    <t>1619.P06.232-000</t>
  </si>
  <si>
    <t>TORNILLO 1623/1676.0</t>
  </si>
  <si>
    <t>1619.P06.238-000</t>
  </si>
  <si>
    <t>ARANDELA DE SEGURIDAD  16A2</t>
  </si>
  <si>
    <t>1619.P06.345-000</t>
  </si>
  <si>
    <t>INDUCIDO 1623 220V - GKS 190</t>
  </si>
  <si>
    <t>1619.P06.346-000</t>
  </si>
  <si>
    <t>CARBONES 1623</t>
  </si>
  <si>
    <t>1619.P06.419-000</t>
  </si>
  <si>
    <t>HUSILLO DE RECTIFICACIÓN</t>
  </si>
  <si>
    <t>1619.P07.239-000</t>
  </si>
  <si>
    <t>ESTATOR 220V - GWS 7-115 ET 1388</t>
  </si>
  <si>
    <t>1619.P07.452-000</t>
  </si>
  <si>
    <t>BRIDA DE COJINETE 1388.0</t>
  </si>
  <si>
    <t>1619.P07.571-000</t>
  </si>
  <si>
    <t>JUEGO DE ESCOBILLAS 1C75.6</t>
  </si>
  <si>
    <t>1619.P07.620-000</t>
  </si>
  <si>
    <t>BARRA DE AJUSTE  16A2</t>
  </si>
  <si>
    <t>1619.P07.713-000</t>
  </si>
  <si>
    <t>CORONA DE AGUJAS 1C37.0</t>
  </si>
  <si>
    <t>1619.P07.761-000</t>
  </si>
  <si>
    <t>INDUCIDO 220-240V 1C37.0</t>
  </si>
  <si>
    <t>1619.P08.234-000</t>
  </si>
  <si>
    <t>INDUCIDO 220-240V 1C94.0</t>
  </si>
  <si>
    <t>1619.P08.333-000</t>
  </si>
  <si>
    <t>EXPANSION POLAR 220V 1F23.0</t>
  </si>
  <si>
    <t>1619.P08.334-000</t>
  </si>
  <si>
    <t>EXPANSION POLAR 220-240V 1C94.0</t>
  </si>
  <si>
    <t>1619.P08.594-000</t>
  </si>
  <si>
    <t>ESTATOR 1JD8.1</t>
  </si>
  <si>
    <t>1619.P09.115-000</t>
  </si>
  <si>
    <t>INDUCIDO CON VENTILADOR 1389</t>
  </si>
  <si>
    <t>1619.P09.207-000</t>
  </si>
  <si>
    <t>ALOJAMIENTO DE HUSILLO 2230</t>
  </si>
  <si>
    <t>1619.P09.252-000</t>
  </si>
  <si>
    <t>Contratuerca</t>
  </si>
  <si>
    <t>1619.P09.794-000</t>
  </si>
  <si>
    <t>MUELLE DE TRACCION  1676.0</t>
  </si>
  <si>
    <t>1619.P09.815-000</t>
  </si>
  <si>
    <t>TUBO DE MARTILLO</t>
  </si>
  <si>
    <t>1619.P09.976-000</t>
  </si>
  <si>
    <t>TUERCA DE 2 AGUJEROS 1C75.6</t>
  </si>
  <si>
    <t>1619.P10.063-000</t>
  </si>
  <si>
    <t>JGO CARBONES GKS 7000</t>
  </si>
  <si>
    <t>1619.P10.662-000</t>
  </si>
  <si>
    <t>PINZAS DE SUJECION 1B24.0</t>
  </si>
  <si>
    <t>1619.P10.838-000</t>
  </si>
  <si>
    <t>BOTON 1388/1J3A.3 RA 1619P02812</t>
  </si>
  <si>
    <t>1619.P10.953-000</t>
  </si>
  <si>
    <t>EXPANSION POLAR 1396.1</t>
  </si>
  <si>
    <t>1619.P10.958-000</t>
  </si>
  <si>
    <t>CARCASA DEL MOTOR 1C94.0</t>
  </si>
  <si>
    <t>1619.P10.968-000</t>
  </si>
  <si>
    <t>ÇORREDERA DE AJUSTE 1396.1</t>
  </si>
  <si>
    <t>1619.P12.188-000</t>
  </si>
  <si>
    <t>BOTON PALPADOR 1394/1396.1</t>
  </si>
  <si>
    <t>1619.P12.765-000</t>
  </si>
  <si>
    <t>EMBOLO</t>
  </si>
  <si>
    <t>1619.P14.887-000</t>
  </si>
  <si>
    <t>EXPANSION POLAR 230V 1E7A.0</t>
  </si>
  <si>
    <t>1619.P15.165-000</t>
  </si>
  <si>
    <t>CONJUNTO INDUZIDO 230 V 1FB2.0</t>
  </si>
  <si>
    <t>1619.P15.178-000</t>
  </si>
  <si>
    <t>ENGRANAJE 1FB2.0</t>
  </si>
  <si>
    <t>1619.P15.321-000</t>
  </si>
  <si>
    <t>1619.P15.323-000</t>
  </si>
  <si>
    <t>Resortes cilíndricos</t>
  </si>
  <si>
    <t>1619.PA0.212-000</t>
  </si>
  <si>
    <t>CARBONES 3120/3310</t>
  </si>
  <si>
    <t>1619.PA0.221-000</t>
  </si>
  <si>
    <t>INDUCIDO 3120/3310</t>
  </si>
  <si>
    <t>1619.PA0.253-000</t>
  </si>
  <si>
    <t>INTERRUPTOR 3120/3310/3311</t>
  </si>
  <si>
    <t>1619.PA0.258-000</t>
  </si>
  <si>
    <t>ENGRANAJE 3120/3310</t>
  </si>
  <si>
    <t>1619.PA0.273-000</t>
  </si>
  <si>
    <t>PLACA 3120/3310</t>
  </si>
  <si>
    <t>1619.PA0.471-000</t>
  </si>
  <si>
    <t>GRUPO HUSILLO 164C</t>
  </si>
  <si>
    <t>1619.PA0.474-000</t>
  </si>
  <si>
    <t>RUEDA CONICA 164C</t>
  </si>
  <si>
    <t>1619.PA0.475-000</t>
  </si>
  <si>
    <t>PLACA 1F4C.8</t>
  </si>
  <si>
    <t>1619.PA1.749-000</t>
  </si>
  <si>
    <t>CARBONES 9006</t>
  </si>
  <si>
    <t>1619.PA3.549-000</t>
  </si>
  <si>
    <t>INDUCIDO 9781/9981</t>
  </si>
  <si>
    <t>1619.PA3.573-000</t>
  </si>
  <si>
    <t>CONJ. BOTON/TRABA 9781/9981</t>
  </si>
  <si>
    <t>1619.PA7.326-000</t>
  </si>
  <si>
    <t>Adaptador</t>
  </si>
  <si>
    <t>1619.PA7.827-000</t>
  </si>
  <si>
    <t>CARBONES 1AB0.0</t>
  </si>
  <si>
    <t>1619.PA7.848-000</t>
  </si>
  <si>
    <t>1619.PB3.062-000</t>
  </si>
  <si>
    <t>TAPA ESCOBILLAS  6A00</t>
  </si>
  <si>
    <t>1619.PB4.056-000</t>
  </si>
  <si>
    <t>Elemento De Calefaccion</t>
  </si>
  <si>
    <t>1619.PB4.266-000</t>
  </si>
  <si>
    <t>CORREA EN V</t>
  </si>
  <si>
    <t>1619.PB4.295-000</t>
  </si>
  <si>
    <t>JUEGO DE ESCOBILLAS GBM 50-2</t>
  </si>
  <si>
    <t>1619.PB5.491-000</t>
  </si>
  <si>
    <t>Tuerca De Racor</t>
  </si>
  <si>
    <t>1619.X03.061-000</t>
  </si>
  <si>
    <t>INTERRUPTOR SKIL 2144</t>
  </si>
  <si>
    <t>1619.X07.509-000</t>
  </si>
  <si>
    <t>JUEGO DE ESCOBILLAS 1E8H.0</t>
  </si>
  <si>
    <t>1900.210.166-000</t>
  </si>
  <si>
    <t>JUNTA TORICA 80X3 MM</t>
  </si>
  <si>
    <t>1900.905.020-000</t>
  </si>
  <si>
    <t>RODAMIENTO FIJO Z / C3</t>
  </si>
  <si>
    <t>1900.905.021-000</t>
  </si>
  <si>
    <t>1900.905.203-000</t>
  </si>
  <si>
    <t>RODAMIENTO</t>
  </si>
  <si>
    <t>2600.100.041-000</t>
  </si>
  <si>
    <t>ARANDELA PLANA DIN 315-M8-GT-C</t>
  </si>
  <si>
    <t>2600.101.047-000</t>
  </si>
  <si>
    <t>ARANDELA DE COMPENSACIÓN</t>
  </si>
  <si>
    <t>2600.190.090-000</t>
  </si>
  <si>
    <t>ARANDELA DE ENCASTRE 119B</t>
  </si>
  <si>
    <t>2600.301.066-000</t>
  </si>
  <si>
    <t>COJINETE  6437-8 / 113C/113D/113E/6555</t>
  </si>
  <si>
    <t>2600.400.008-000</t>
  </si>
  <si>
    <t>BUJE 3147-67-68/1587/1184</t>
  </si>
  <si>
    <t>2600.590.006-000</t>
  </si>
  <si>
    <t>TIPO CUBIERTA</t>
  </si>
  <si>
    <t>2600.703.012-000</t>
  </si>
  <si>
    <t>OJETE PROT 1701/1510/9230/1375.6/1C94.0</t>
  </si>
  <si>
    <t>2601.901.012-000</t>
  </si>
  <si>
    <t>CONMUTADOR PERCU 3388.0/6437/113C/6423</t>
  </si>
  <si>
    <t>2602.025.067-000</t>
  </si>
  <si>
    <t>MANGO ADICIONAL RX 1602.025.09T</t>
  </si>
  <si>
    <t>2602.300.032-000</t>
  </si>
  <si>
    <t>CHAVETA PLANA 1AA6.0</t>
  </si>
  <si>
    <t>2603.312.006-000</t>
  </si>
  <si>
    <t>TUERCA AMOL.RECTA 1210 Y FRESADORA 3261</t>
  </si>
  <si>
    <t>2603.320.001-000</t>
  </si>
  <si>
    <t>TUERCA 1587</t>
  </si>
  <si>
    <t>2603.400.000-000</t>
  </si>
  <si>
    <t>TORNILLO DE BLOQUEO</t>
  </si>
  <si>
    <t>2604.010.692-000</t>
  </si>
  <si>
    <t>INDUCIDO 1210</t>
  </si>
  <si>
    <t>2604.010.935-000</t>
  </si>
  <si>
    <t>INDUCIDO 3270.1/1274</t>
  </si>
  <si>
    <t>2604.011.434-000</t>
  </si>
  <si>
    <t>INDUCIDO 137B RA 445</t>
  </si>
  <si>
    <t>2604.220.456-000</t>
  </si>
  <si>
    <t>ESTATOR 1440/41/45</t>
  </si>
  <si>
    <t>2604.736.009-000</t>
  </si>
  <si>
    <t>CORREA 3298</t>
  </si>
  <si>
    <t>2604.736.013-000</t>
  </si>
  <si>
    <t>CORREA DENTADA 1570 Ra 2610398878</t>
  </si>
  <si>
    <t>2605.190.900-000</t>
  </si>
  <si>
    <t>CARCASA</t>
  </si>
  <si>
    <t>2605.411.170-000</t>
  </si>
  <si>
    <t>BOLSA DE POLVO 1274.7</t>
  </si>
  <si>
    <t>2605.801.038-000</t>
  </si>
  <si>
    <t>COJINETE DE DESLIZ 3380.0 /1281.719/158E</t>
  </si>
  <si>
    <t>2605.807.124-000</t>
  </si>
  <si>
    <t>PLATO PORTAESCOBILLAS 1440/41/45</t>
  </si>
  <si>
    <t>2606.200.223-000</t>
  </si>
  <si>
    <t>UNIDAD ENGRANAJE  1441</t>
  </si>
  <si>
    <t>2606.317.098-000</t>
  </si>
  <si>
    <t>RUEDA DENTADA RECTA</t>
  </si>
  <si>
    <t>2606.333.900-000</t>
  </si>
  <si>
    <t>ENGRANAJE 11206/3270/1274RA1603524010</t>
  </si>
  <si>
    <t>2607.022.860-000</t>
  </si>
  <si>
    <t>MOTOR C.C. 14,4 V 1913.4</t>
  </si>
  <si>
    <t>2607.200.202-000</t>
  </si>
  <si>
    <t>INTERRUPTOR 1423/1420</t>
  </si>
  <si>
    <t>2607.200.357-000</t>
  </si>
  <si>
    <t>INTERRUPT. 1187-94/3169.5/1420</t>
  </si>
  <si>
    <t>2607.200.638-000</t>
  </si>
  <si>
    <t>INTERRUPTOR 1440/41/45</t>
  </si>
  <si>
    <t>2607.202.520-000</t>
  </si>
  <si>
    <t>MONTAJE DEL INTERRUPTOR Ra 2607202385</t>
  </si>
  <si>
    <t>2607.225.589-000</t>
  </si>
  <si>
    <t>CARGADOR 14,4-18V LI - AL 1820 CV</t>
  </si>
  <si>
    <t>2607.225.715-000</t>
  </si>
  <si>
    <t>CARGADOR</t>
  </si>
  <si>
    <t>2608.045.023-000</t>
  </si>
  <si>
    <t>PRENSALIJA 1293</t>
  </si>
  <si>
    <t>2609.100.374-000</t>
  </si>
  <si>
    <t>CARCASA 1918.L</t>
  </si>
  <si>
    <t>2609.100.543-000</t>
  </si>
  <si>
    <t>PLACA DE ESPUMA  1070</t>
  </si>
  <si>
    <t>2609.100.862-000</t>
  </si>
  <si>
    <t>BRIDA DE COJINETE 1387 RA 2609100661</t>
  </si>
  <si>
    <t>2609.101.302-000</t>
  </si>
  <si>
    <t>PIERNA BATIENTE 1BA2.0</t>
  </si>
  <si>
    <t>2609.110.405-000</t>
  </si>
  <si>
    <t>CONTRAPESO  1070</t>
  </si>
  <si>
    <t>2609.110.635-000</t>
  </si>
  <si>
    <t>TORNILLO DE CABEZA CIL. M 6X30 19A4</t>
  </si>
  <si>
    <t>2609.110.922-000</t>
  </si>
  <si>
    <t>PLACA DE PRESION 1B28</t>
  </si>
  <si>
    <t>2609.110.978-000</t>
  </si>
  <si>
    <t>PIÑON 1447</t>
  </si>
  <si>
    <t>2609.111.796-000</t>
  </si>
  <si>
    <t>MANETA 1BA2.0</t>
  </si>
  <si>
    <t>2609.112.106-000</t>
  </si>
  <si>
    <t>MANIVELA OSCILANTE 100X110</t>
  </si>
  <si>
    <t>2609.112.190-000</t>
  </si>
  <si>
    <t>PORTABROCAS RAPIDO 19F8.3/19F8.1/19F8.0</t>
  </si>
  <si>
    <t>2609.120.064-000</t>
  </si>
  <si>
    <t>JUEGO DE ESCOBILLAS 1E94.3</t>
  </si>
  <si>
    <t>2609.120.149-000</t>
  </si>
  <si>
    <t>CARBONES</t>
  </si>
  <si>
    <t>2609.120.395-000</t>
  </si>
  <si>
    <t>MOTOR CC</t>
  </si>
  <si>
    <t>2609.125.169-000</t>
  </si>
  <si>
    <t>MÓDULO ELECTRÓNICO 19F70/1JF3.0</t>
  </si>
  <si>
    <t>2609.170.217-000</t>
  </si>
  <si>
    <t>PLACA LIJADORA 1BA2.0</t>
  </si>
  <si>
    <t>2609.199.049-000</t>
  </si>
  <si>
    <t>CAPERUZA DE CIERRE 19F8.3</t>
  </si>
  <si>
    <t>2609.199.085-000</t>
  </si>
  <si>
    <t>INDUCIDO CON VENTILADOR 230-240V 1K70.7</t>
  </si>
  <si>
    <t>2609.199.176-000</t>
  </si>
  <si>
    <t>RECIPIENTE DE POLVO 1387</t>
  </si>
  <si>
    <t>2609.199.253-000</t>
  </si>
  <si>
    <t>MOTOR 14,4V 19A4.4</t>
  </si>
  <si>
    <t>2609.199.273-000</t>
  </si>
  <si>
    <t>MOTOR CORR. CONT 18V 19A4.3</t>
  </si>
  <si>
    <t>2609.199.359-000</t>
  </si>
  <si>
    <t>MOTOR CC 1867.1</t>
  </si>
  <si>
    <t>2609.199.724-000</t>
  </si>
  <si>
    <t>GPO MOTOR DE REPUESTO</t>
  </si>
  <si>
    <t>2609.199.841-000</t>
  </si>
  <si>
    <t>MOTOR CORRIENTE CONTINUA 1JE6.1</t>
  </si>
  <si>
    <t>2609.199.926-000</t>
  </si>
  <si>
    <t>BATERIA GSR 1000SMART LI-ION 19F4</t>
  </si>
  <si>
    <t>2609.199.956-000</t>
  </si>
  <si>
    <t>GPO MOTOR DE REPUESTO 1JF4.0</t>
  </si>
  <si>
    <t>2610.008.122-000</t>
  </si>
  <si>
    <t>PINZAS   6A00</t>
  </si>
  <si>
    <t>2610.009.826-000</t>
  </si>
  <si>
    <t>TAPA ESCOBILLA DREMEL 3000</t>
  </si>
  <si>
    <t>2610.015.042-000</t>
  </si>
  <si>
    <t>RUEDA CONICA 1M30.5</t>
  </si>
  <si>
    <t>2610.033.427-000</t>
  </si>
  <si>
    <t>MOTOR 8050</t>
  </si>
  <si>
    <t>2610.394.104-000</t>
  </si>
  <si>
    <t>PORTACARBONES</t>
  </si>
  <si>
    <t>2610.394.611-000</t>
  </si>
  <si>
    <t>INDUCIDO 1555</t>
  </si>
  <si>
    <t>2610.394.616-000</t>
  </si>
  <si>
    <t>CONJUNTO PORTA ESCOBILLAS 220V</t>
  </si>
  <si>
    <t>2610.394.622-000</t>
  </si>
  <si>
    <t>CABEZAL DE ACEPILLAR</t>
  </si>
  <si>
    <t>2610.395.785-000</t>
  </si>
  <si>
    <t>INDUCIDO 220V - 7640</t>
  </si>
  <si>
    <t>2610.396.243-000</t>
  </si>
  <si>
    <t>INTERRUPTOR 9780/9980</t>
  </si>
  <si>
    <t>2610.398.588-000</t>
  </si>
  <si>
    <t>CARBONES 7366/7351</t>
  </si>
  <si>
    <t>2610.398.592-000</t>
  </si>
  <si>
    <t>CARCASA 7351</t>
  </si>
  <si>
    <t>2610.399.711-000</t>
  </si>
  <si>
    <t>INTERRUPTOR 9345</t>
  </si>
  <si>
    <t>2610.907.940-000</t>
  </si>
  <si>
    <t>CARBONES DREMEL DIGITAL</t>
  </si>
  <si>
    <t>2610.921.129-000</t>
  </si>
  <si>
    <t>BASE</t>
  </si>
  <si>
    <t>2610.925.372-000</t>
  </si>
  <si>
    <t>CARBONES 1668/67</t>
  </si>
  <si>
    <t>2610.925.774-000</t>
  </si>
  <si>
    <t>INTERRUPTOR DREMEL 300</t>
  </si>
  <si>
    <t>2610.956.895-000</t>
  </si>
  <si>
    <t>JUNTA 1F4C.8</t>
  </si>
  <si>
    <t>2610.956.896-000</t>
  </si>
  <si>
    <t>CASQUILLO 164C</t>
  </si>
  <si>
    <t>2610.956.901-000</t>
  </si>
  <si>
    <t>MANGUITO AISLANTE 164C</t>
  </si>
  <si>
    <t>2610.993.157-000</t>
  </si>
  <si>
    <t>CARBON+PORT5266/1573/1835/23 RA 992427</t>
  </si>
  <si>
    <t>2610.996.948-000</t>
  </si>
  <si>
    <t>ANILLO DE GOMA 1M30.5/1B20.5</t>
  </si>
  <si>
    <t>2610.Z03.710-000</t>
  </si>
  <si>
    <t>UNIDAD ENGRANAJE MS20</t>
  </si>
  <si>
    <t>2615.294.109-000</t>
  </si>
  <si>
    <t>EJE FLEX INT DREMEL 395 RX 2610914543</t>
  </si>
  <si>
    <t>2910.281.201-000</t>
  </si>
  <si>
    <t>TORNILLO DIN 603-M6X20 1EA4.3/1E94.3</t>
  </si>
  <si>
    <t>3600.703.011-000</t>
  </si>
  <si>
    <t>PROT 1366/.6/1121RA1600703010</t>
  </si>
  <si>
    <t>3605.108.224-000</t>
  </si>
  <si>
    <t>CARCASA DEL MOTOR 1B21.1/1B20.1</t>
  </si>
  <si>
    <t>3607.030.476-000</t>
  </si>
  <si>
    <t>INDUCIDO 1220/1221</t>
  </si>
  <si>
    <t>3607.030.477-000</t>
  </si>
  <si>
    <t>ALOJAMIENTO DE HUSILLO 1B20.1</t>
  </si>
  <si>
    <t>3607.031.668-000</t>
  </si>
  <si>
    <t>ALOJAMIENTO DE HUSILLO 1B21.1</t>
  </si>
  <si>
    <t>9618.082.293-000</t>
  </si>
  <si>
    <t>CONTRABRIDA 1551.0.1/1548</t>
  </si>
  <si>
    <t>9618.086.806-000</t>
  </si>
  <si>
    <t>ESTATOR S. HOBBY / 3240.2</t>
  </si>
  <si>
    <t>9618.086.870-000</t>
  </si>
  <si>
    <t>CARBONES  127/220 1135/3114/3240/3246</t>
  </si>
  <si>
    <t>9618.086.921-000</t>
  </si>
  <si>
    <t>CARBONES 1366.7/1551.1</t>
  </si>
  <si>
    <t>9618.087.097-000</t>
  </si>
  <si>
    <t>INTERRRUPTOR</t>
  </si>
  <si>
    <t>9618.087.196-000</t>
  </si>
  <si>
    <t>INDUCIDO - S. HOBBY 7082 OBSOLETO</t>
  </si>
  <si>
    <t>9618.088.985-000</t>
  </si>
  <si>
    <t>CARBONES 1184/1194/1281</t>
  </si>
  <si>
    <t>9618.089.012-000</t>
  </si>
  <si>
    <t>ESTATOR 1184/1194</t>
  </si>
  <si>
    <t>9618.089.013-000</t>
  </si>
  <si>
    <t>INDUCIDO 1184</t>
  </si>
  <si>
    <t>9618.089.263-000</t>
  </si>
  <si>
    <t>CARCASA DE MOTOR 1366/.6</t>
  </si>
  <si>
    <t>9618.089.597-000</t>
  </si>
  <si>
    <t>INDUCIDO 1194.5</t>
  </si>
  <si>
    <t>F000.600.231-000</t>
  </si>
  <si>
    <t>COJINETE 9050/71/07/21/9230 RA2600910003</t>
  </si>
  <si>
    <t>F000.600.349-000</t>
  </si>
  <si>
    <t>TAPA 1753/ 1754.0</t>
  </si>
  <si>
    <t>F000.600.350-000</t>
  </si>
  <si>
    <t>DEFLECTOR DE AIRE 18A6/18A5/18A3/17A1/2</t>
  </si>
  <si>
    <t>F000.600.372-000</t>
  </si>
  <si>
    <t>INTERRUPTOR 1B83.1</t>
  </si>
  <si>
    <t>F000.600.567-000</t>
  </si>
  <si>
    <t>PORTA PUNO 17A1/2</t>
  </si>
  <si>
    <t>F000.601.259-000</t>
  </si>
  <si>
    <t>CARCASA 113D</t>
  </si>
  <si>
    <t>F000.601.752-000</t>
  </si>
  <si>
    <t>CARCASA DEL MOTOR 6060</t>
  </si>
  <si>
    <t>F000.602.168-000</t>
  </si>
  <si>
    <t>CAJA DE ENGRANAJES 1751/52/53/54 RA 010</t>
  </si>
  <si>
    <t>F000.602.169-000</t>
  </si>
  <si>
    <t>CAJA DE ENGRANAJE</t>
  </si>
  <si>
    <t>F000.602.177-000</t>
  </si>
  <si>
    <t>CAJA DE ENGRANAJES 1859</t>
  </si>
  <si>
    <t>F000.603.014-000</t>
  </si>
  <si>
    <t>TAPA 1800/1801.0/1821 RA 1605500228</t>
  </si>
  <si>
    <t>F000.603.015-000</t>
  </si>
  <si>
    <t>TAPA DEL CUERPO 1805/1800/1820</t>
  </si>
  <si>
    <t>F000.603.017-000</t>
  </si>
  <si>
    <t>MANGO 5300/5401</t>
  </si>
  <si>
    <t>F000.603.019-000</t>
  </si>
  <si>
    <t>BOTON TRABA 5300</t>
  </si>
  <si>
    <t>F000.603.172-000</t>
  </si>
  <si>
    <t>MANGO 17A1/2</t>
  </si>
  <si>
    <t>F000.605.010-000</t>
  </si>
  <si>
    <t>INDUCIDO  6437/6438</t>
  </si>
  <si>
    <t>F000.605.039-000</t>
  </si>
  <si>
    <t>INDUCIDO 220V 113C/113E</t>
  </si>
  <si>
    <t>F000.605.096-000</t>
  </si>
  <si>
    <t>INDUCIDO 4170/4400</t>
  </si>
  <si>
    <t>F000.605.099-000</t>
  </si>
  <si>
    <t>INDUCIDO - 220V 113D</t>
  </si>
  <si>
    <t>F000.605.112-000</t>
  </si>
  <si>
    <t>INDUCIDO 1366.6 RA024</t>
  </si>
  <si>
    <t>F000.605.154-000</t>
  </si>
  <si>
    <t>INDUCIDO 9004</t>
  </si>
  <si>
    <t>F000.605.190-000</t>
  </si>
  <si>
    <t>INDUCIDO 5401</t>
  </si>
  <si>
    <t>F000.605.221-000</t>
  </si>
  <si>
    <t>INDUCIDO 1559</t>
  </si>
  <si>
    <t>F000.607.020-000</t>
  </si>
  <si>
    <t>ESTATOR 113C/6437/6438/1281.719</t>
  </si>
  <si>
    <t>F000.607.067-000</t>
  </si>
  <si>
    <t>ESTATOR 6060/6055</t>
  </si>
  <si>
    <t>F000.607.083-000</t>
  </si>
  <si>
    <t>ESTATOR 9780/9980</t>
  </si>
  <si>
    <t>F000.607.093-000</t>
  </si>
  <si>
    <t>ESTATOR 18A3/18A4/18A5</t>
  </si>
  <si>
    <t>F000.607.095-000</t>
  </si>
  <si>
    <t>ESTATOR 18A5/18A6</t>
  </si>
  <si>
    <t>F000.607.108-000</t>
  </si>
  <si>
    <t>ESTATOR 9002</t>
  </si>
  <si>
    <t>F000.607.136-000</t>
  </si>
  <si>
    <t>ESTATOR 3610</t>
  </si>
  <si>
    <t>F000.607.161-000</t>
  </si>
  <si>
    <t>ESTATOR  1559</t>
  </si>
  <si>
    <t>F000.607.182-000</t>
  </si>
  <si>
    <t>ESTATOR 1283</t>
  </si>
  <si>
    <t>F000.608.066-000</t>
  </si>
  <si>
    <t>INTERRUPTOR 7640</t>
  </si>
  <si>
    <t>F000.608.122-000</t>
  </si>
  <si>
    <t>PORTAFUSIBLES 1283</t>
  </si>
  <si>
    <t>F000.608.124-000</t>
  </si>
  <si>
    <t>FUSIBLE 1283</t>
  </si>
  <si>
    <t>F000.608.323-000</t>
  </si>
  <si>
    <t>INDUCIDO CON VENTILADOR 9780/9980</t>
  </si>
  <si>
    <t>F000.608.328-000</t>
  </si>
  <si>
    <t>INTERRUPTOR 1751/2/3/4/5/6.0.418A1/6/(HM</t>
  </si>
  <si>
    <t>F000.608.349-000</t>
  </si>
  <si>
    <t>INTERRUPTOR 3375</t>
  </si>
  <si>
    <t>F000.608.382-000</t>
  </si>
  <si>
    <t>INTERRUPTOR 9455</t>
  </si>
  <si>
    <t>F000.608.398-000</t>
  </si>
  <si>
    <t>INTERRUPTOR 3610 RA F000608389</t>
  </si>
  <si>
    <t>F000.608.399-000</t>
  </si>
  <si>
    <t>INTERRUPTOR DE MARIPOSA 9071</t>
  </si>
  <si>
    <t>F000.608.415-000</t>
  </si>
  <si>
    <t>REGULADOR 9071</t>
  </si>
  <si>
    <t>F000.608.423-000</t>
  </si>
  <si>
    <t>INTERRUPTOR  1559</t>
  </si>
  <si>
    <t>F000.608.425-000</t>
  </si>
  <si>
    <t>INTERRUPTOR 6550 6600</t>
  </si>
  <si>
    <t>F000.611.007-000</t>
  </si>
  <si>
    <t>JUEGO DE CARBONES 1147.5/ 3169</t>
  </si>
  <si>
    <t>F000.611.028-000</t>
  </si>
  <si>
    <t>CARBONES RA 1617014127</t>
  </si>
  <si>
    <t>F000.611.051-000</t>
  </si>
  <si>
    <t>F000.611.063-000</t>
  </si>
  <si>
    <t>CARBONES 4900</t>
  </si>
  <si>
    <t>F000.611.067-000</t>
  </si>
  <si>
    <t>CARBONES 5601/5801</t>
  </si>
  <si>
    <t>F000.611.072-000</t>
  </si>
  <si>
    <t>CARBONES 3310 (127V)-NAO SERVE AR</t>
  </si>
  <si>
    <t>F000.611.089-000</t>
  </si>
  <si>
    <t>CARBONES 3710</t>
  </si>
  <si>
    <t>F000.611.096-000</t>
  </si>
  <si>
    <t>CARBONES 6660/6662/6664</t>
  </si>
  <si>
    <t>F000.611.114-000</t>
  </si>
  <si>
    <t>CARBONES 9781/9981</t>
  </si>
  <si>
    <t>F000.612.031-000</t>
  </si>
  <si>
    <t>PORTACARBON 6640 / 6642</t>
  </si>
  <si>
    <t>F000.612.058-000</t>
  </si>
  <si>
    <t>PORTACARBONES 9345</t>
  </si>
  <si>
    <t>F000.612.067-000</t>
  </si>
  <si>
    <t>PORTAESCOBILLAS 6400/6402</t>
  </si>
  <si>
    <t>F000.612.093-000</t>
  </si>
  <si>
    <t>PORTAESCOBILLA 1859/1559</t>
  </si>
  <si>
    <t>F000.613.057-000</t>
  </si>
  <si>
    <t>BRIDA DE COJINETE 9980</t>
  </si>
  <si>
    <t>F000.614.013-000</t>
  </si>
  <si>
    <t>CONJ. DE ARRASTRE 1859</t>
  </si>
  <si>
    <t>F000.615.014-000</t>
  </si>
  <si>
    <t>CASQUILLO SINTERIZADO  6642/6640/6644</t>
  </si>
  <si>
    <t>F000.615.049-000</t>
  </si>
  <si>
    <t>CASQUILLO DE AGUJAS RA 16070312DV</t>
  </si>
  <si>
    <t>F000.615.054-000</t>
  </si>
  <si>
    <t>RODAMIENTO 7232</t>
  </si>
  <si>
    <t>F000.616.028-000</t>
  </si>
  <si>
    <t>TAPA</t>
  </si>
  <si>
    <t>F000.616.053-000</t>
  </si>
  <si>
    <t>BOTON PULSADOR 1548</t>
  </si>
  <si>
    <t>F000.616.056-000</t>
  </si>
  <si>
    <t>BRIDA APOYO 1546/48</t>
  </si>
  <si>
    <t>F000.616.112-000</t>
  </si>
  <si>
    <t>VASTAGO DE GUIA 4750</t>
  </si>
  <si>
    <t>F000.616.118-000</t>
  </si>
  <si>
    <t>PRENSA LIJAS 7232</t>
  </si>
  <si>
    <t>F000.617.024-000</t>
  </si>
  <si>
    <t>RUEDA DENTADA RECTA 1548 RA F000.617.038</t>
  </si>
  <si>
    <t>F000.617.026-000</t>
  </si>
  <si>
    <t>RUEDA DENTADA RECTA  6642/6640/6644</t>
  </si>
  <si>
    <t>F000.617.047-000</t>
  </si>
  <si>
    <t>CORONA 9002</t>
  </si>
  <si>
    <t>F000.618.005-000</t>
  </si>
  <si>
    <t>PIÑON 9002</t>
  </si>
  <si>
    <t>F000.621.00U-000</t>
  </si>
  <si>
    <t>BATERIA 2511 RA. F000624050</t>
  </si>
  <si>
    <t>F000.624.047-000</t>
  </si>
  <si>
    <t>BASE DE CARGADOR 2212</t>
  </si>
  <si>
    <t>F000.635.221-000</t>
  </si>
  <si>
    <t>PALANCA DE MANDO 1215.0 RA 2602.319.005</t>
  </si>
  <si>
    <t>F000.635.272-000</t>
  </si>
  <si>
    <t>ARO DEFLEC.1361-2-8-51-2-6-7RA1600591011</t>
  </si>
  <si>
    <t>0000.356.675-000</t>
  </si>
  <si>
    <t>CUBREDISCO  5150  RX2610356675</t>
  </si>
  <si>
    <t>0000.Y00.013-000</t>
  </si>
  <si>
    <t>RODAMIENTO DE AGUJAS 18038001</t>
  </si>
  <si>
    <t>0000.Y00.020-000</t>
  </si>
  <si>
    <t>RULEMAN 18038001</t>
  </si>
  <si>
    <t>0000.Y00.023-000</t>
  </si>
  <si>
    <t>0000.Y00.049-000</t>
  </si>
  <si>
    <t>RODAMIENTO DE AGUJAS 18058001</t>
  </si>
  <si>
    <t>0000.Y00.050-000</t>
  </si>
  <si>
    <t>ANILLO INT.P/ROD.AGUJ 18058001</t>
  </si>
  <si>
    <t>0000.Y00.058-000</t>
  </si>
  <si>
    <t>RODAM.CILINDR.COMPL.18058001</t>
  </si>
  <si>
    <t>0000.Y00.066-000</t>
  </si>
  <si>
    <t>PUNTA DE ACERO 18058001</t>
  </si>
  <si>
    <t>0000.Y00.067-000</t>
  </si>
  <si>
    <t>CARCASA EXTERNA 18058001</t>
  </si>
  <si>
    <t>0000.Y00.104-000</t>
  </si>
  <si>
    <t>RODAM.CILINDR.COMPL.18080001</t>
  </si>
  <si>
    <t>0000.Y00.109-000</t>
  </si>
  <si>
    <t>RODAM.DE AGUJAS.COMPL.18080001</t>
  </si>
  <si>
    <t>0000.Y00.111-000</t>
  </si>
  <si>
    <t>MONOPUNTA 18080001</t>
  </si>
  <si>
    <t>0000.Y00.141-000</t>
  </si>
  <si>
    <t>MANGUERA x 5mt. 37mm- 18038</t>
  </si>
  <si>
    <t>0000.Y00.142-000</t>
  </si>
  <si>
    <t>MANGUERAx5mt. 47-65mm-18050/66</t>
  </si>
  <si>
    <t>0000.Y00.143-000</t>
  </si>
  <si>
    <t>MANGUERA x 5mt. 80mm- 18080</t>
  </si>
  <si>
    <t>0000.Y00.193-000</t>
  </si>
  <si>
    <t>INTERRUPT.30-37mm-18031/18038</t>
  </si>
  <si>
    <t>0000.Y00.194-000</t>
  </si>
  <si>
    <t>INTERRUPT.47-65mm-18050/18066</t>
  </si>
  <si>
    <t>0000.Y00.195-000</t>
  </si>
  <si>
    <t>INTERRUPT.80mm-18080</t>
  </si>
  <si>
    <t>0003.465.54K-000</t>
  </si>
  <si>
    <t>TORNILLO 5150</t>
  </si>
  <si>
    <t>0602.490.004-000</t>
  </si>
  <si>
    <t>BATERÍAS DE 12V 2,4AH X 10 UNIDADES</t>
  </si>
  <si>
    <t>0602.490.007-000</t>
  </si>
  <si>
    <t>BATERÍAS DE 14,4V 2,4AH X 10 UNIDADES</t>
  </si>
  <si>
    <t>0602.490.022-000</t>
  </si>
  <si>
    <t>BATERÍAS DE 9,6V 1,8AH X 10 UNIDADES</t>
  </si>
  <si>
    <t>0618.800.045-000</t>
  </si>
  <si>
    <t>0618.800.047-000</t>
  </si>
  <si>
    <t>RESORTE DE COMPRESIÓN</t>
  </si>
  <si>
    <t>0618.800.04W-000</t>
  </si>
  <si>
    <t>TORNILLO TORX INTEGRADO</t>
  </si>
  <si>
    <t>0KDE.W80.044-000</t>
  </si>
  <si>
    <t>MORD.EXTRACT.RODAM KDEW 8004/4</t>
  </si>
  <si>
    <t>1230.101.630-000</t>
  </si>
  <si>
    <t>ARANDELA 1187 - DISCONTINUADO</t>
  </si>
  <si>
    <t>1280.905.004-000</t>
  </si>
  <si>
    <t>RODAM. EXACT 2/3/6/7/8/15/17/23/30</t>
  </si>
  <si>
    <t>1390.150.019-000</t>
  </si>
  <si>
    <t>ARANDELA - DISCONTINUADO</t>
  </si>
  <si>
    <t>1480.210.239-000</t>
  </si>
  <si>
    <t>ANILLO TOROIDAL- RA1900210152-DISC.</t>
  </si>
  <si>
    <t>1600.005.001-000</t>
  </si>
  <si>
    <t>FIELTRO</t>
  </si>
  <si>
    <t>1600.025.009-000</t>
  </si>
  <si>
    <t>CU#A</t>
  </si>
  <si>
    <t>1600.026.000-000</t>
  </si>
  <si>
    <t>PIEZA DE AJUSTE 1215.050/078</t>
  </si>
  <si>
    <t>1600.026.004-000</t>
  </si>
  <si>
    <t>ZAPATA DE FRENO 0836.1</t>
  </si>
  <si>
    <t>1600.100.033-000</t>
  </si>
  <si>
    <t>DISCO DE CUBIERTA 1C94.0/GWS 670</t>
  </si>
  <si>
    <t>1600.100.036-000</t>
  </si>
  <si>
    <t>DISCO DE CUBIERTA 1980</t>
  </si>
  <si>
    <t>1600.100.037-000</t>
  </si>
  <si>
    <t>LAVADORA</t>
  </si>
  <si>
    <t>1600.100.038-000</t>
  </si>
  <si>
    <t>ARANDELA 0836.1/1597</t>
  </si>
  <si>
    <t>1600.100.601-000</t>
  </si>
  <si>
    <t>ARANDELA AJUSTE 2213</t>
  </si>
  <si>
    <t>1600.100.617-000</t>
  </si>
  <si>
    <t>ANILLO DE AJUSTE 7260</t>
  </si>
  <si>
    <t>1600.100.631-000</t>
  </si>
  <si>
    <t>ARANDELA DE AJUSTE 7360.1 7160.5</t>
  </si>
  <si>
    <t>1600.100.632-000</t>
  </si>
  <si>
    <t>1600.100.P12-000</t>
  </si>
  <si>
    <t>Cubrir</t>
  </si>
  <si>
    <t>1600.101.023-000</t>
  </si>
  <si>
    <t>ARANDELA 3227/2490</t>
  </si>
  <si>
    <t>1600.101.603-000</t>
  </si>
  <si>
    <t>ARANDELA 1587</t>
  </si>
  <si>
    <t>1600.101.618-000</t>
  </si>
  <si>
    <t>ARANDELA7460.4 7460.4 7460.0 7160.5 3270</t>
  </si>
  <si>
    <t>1600.101.647-000</t>
  </si>
  <si>
    <t>1600.101.653-000</t>
  </si>
  <si>
    <t>ARANDELA PLANA 0,5 MM GROSOR 12A2.0</t>
  </si>
  <si>
    <t>1600.102.011-000</t>
  </si>
  <si>
    <t>ARANDELA DE APOYO 7457</t>
  </si>
  <si>
    <t>1600.102.012-000</t>
  </si>
  <si>
    <t>ARANDELA 1321/1322/1331/1332 Discont.</t>
  </si>
  <si>
    <t>1600.102.018-000</t>
  </si>
  <si>
    <t>ARANDELA DE RETENCION 1,8 MM 17A1/2/1283</t>
  </si>
  <si>
    <t>1600.102.601-000</t>
  </si>
  <si>
    <t>1600.102.626-000</t>
  </si>
  <si>
    <t>1600.102.627-000</t>
  </si>
  <si>
    <t>1600.102.632-000</t>
  </si>
  <si>
    <t>ARANDELA DE AJUSTE 2305</t>
  </si>
  <si>
    <t>1600.102.633-000</t>
  </si>
  <si>
    <t>1600.102.634-000</t>
  </si>
  <si>
    <t>ARANDELA AJUSTE\ 0,15 MM\GROSOR 7160.5</t>
  </si>
  <si>
    <t>1600.102.677-000</t>
  </si>
  <si>
    <t>ARANDELA 0,2 mm - Discontinuado</t>
  </si>
  <si>
    <t>1600.108.018-000</t>
  </si>
  <si>
    <t>DISCO DE FIELTRO</t>
  </si>
  <si>
    <t>1600.108.048-000</t>
  </si>
  <si>
    <t>RETEN FILTRO</t>
  </si>
  <si>
    <t>1600.108.055-000</t>
  </si>
  <si>
    <t>RETEN DE FILTRO 1321-22-31-32</t>
  </si>
  <si>
    <t>1600.108.059-000</t>
  </si>
  <si>
    <t>Valve Bushing</t>
  </si>
  <si>
    <t>1600.108.05C-000</t>
  </si>
  <si>
    <t>ARANDELA DE RETENCION 6520</t>
  </si>
  <si>
    <t>1600.108.05D-000</t>
  </si>
  <si>
    <t>JUNTA 6520</t>
  </si>
  <si>
    <t>1600.113.003-000</t>
  </si>
  <si>
    <t>DISCO 1321/1322/1331/1332  2334.1</t>
  </si>
  <si>
    <t>1600.114.035-000</t>
  </si>
  <si>
    <t>ARANDELA DE AJUSTE</t>
  </si>
  <si>
    <t>1600.116.001-000</t>
  </si>
  <si>
    <t>ANILLO</t>
  </si>
  <si>
    <t>1600.119.004-000</t>
  </si>
  <si>
    <t>ANILLO 1331/1332</t>
  </si>
  <si>
    <t>1600.119.008-000</t>
  </si>
  <si>
    <t>ANILLO DE SEGU 1361-2-8-56-7/17A1/2/1283</t>
  </si>
  <si>
    <t>1600.119.010-000</t>
  </si>
  <si>
    <t>RODAMIENTO RIGIDO</t>
  </si>
  <si>
    <t>1600.120.070-000</t>
  </si>
  <si>
    <t>ARANDELA 1331.4.5-32.4.5</t>
  </si>
  <si>
    <t>1600.136.005-000</t>
  </si>
  <si>
    <t>ARANDELA 3278-Discontinuado</t>
  </si>
  <si>
    <t>1600.136.010-000</t>
  </si>
  <si>
    <t>ARANDELA 1347.1/3278.2/1282</t>
  </si>
  <si>
    <t>1600.136.011-000</t>
  </si>
  <si>
    <t>JUNTA COMPENSADORA 1347- 0,3MM S/R</t>
  </si>
  <si>
    <t>1600.136.012-000</t>
  </si>
  <si>
    <t>JUNTA COMPENSADORA 1347/1282- 0,1MM</t>
  </si>
  <si>
    <t>1600.136.015-000</t>
  </si>
  <si>
    <t>1600.136.016-000</t>
  </si>
  <si>
    <t>ARANDELA DE AJUSTE 1375.0/.6</t>
  </si>
  <si>
    <t>1600.136.017-000</t>
  </si>
  <si>
    <t>1600.136.020-000</t>
  </si>
  <si>
    <t>1600.140.009-000</t>
  </si>
  <si>
    <t>ARANDELA 1215/1338</t>
  </si>
  <si>
    <t>1600.146.001-000</t>
  </si>
  <si>
    <t>ANILLO  1274</t>
  </si>
  <si>
    <t>1600.150.006-000</t>
  </si>
  <si>
    <t>ARANDELA ELASTICA \ DIN 137-A4  2334.1</t>
  </si>
  <si>
    <t>1600.150.007-000</t>
  </si>
  <si>
    <t>ARANDEL 1321.0.1-1.4-2.0.1-2.4</t>
  </si>
  <si>
    <t>1600.150.008-000</t>
  </si>
  <si>
    <t>RESORTE 1328</t>
  </si>
  <si>
    <t>1600.150.009-000</t>
  </si>
  <si>
    <t>ARANDELA 1331.4.5/1332.4.5</t>
  </si>
  <si>
    <t>1600.150.010-000</t>
  </si>
  <si>
    <t>1600.150.011-000</t>
  </si>
  <si>
    <t>ARANDELA ELASTICA 1347/3278.2/1282</t>
  </si>
  <si>
    <t>1600.150.01B-000</t>
  </si>
  <si>
    <t>ANILLO DE RETENCIÓN DE RESORTE</t>
  </si>
  <si>
    <t>1600.150.01F-000</t>
  </si>
  <si>
    <t>ANILLO DE SEGURIDAD</t>
  </si>
  <si>
    <t>1600.150.01V-000</t>
  </si>
  <si>
    <t>ANILLO DE SEGURIDAD 1B66.0</t>
  </si>
  <si>
    <t>1600.150.026-000</t>
  </si>
  <si>
    <t>ARANDELA 1366/.6</t>
  </si>
  <si>
    <t>1600.150.02K-000</t>
  </si>
  <si>
    <t>Anillo de seguridad</t>
  </si>
  <si>
    <t>1600.150.02R-000</t>
  </si>
  <si>
    <t>1600.150.02X-000</t>
  </si>
  <si>
    <t>1600.150.02Y-000</t>
  </si>
  <si>
    <t>1600.150.03M-000</t>
  </si>
  <si>
    <t>Arandela Elastica</t>
  </si>
  <si>
    <t>1600.190.004-000</t>
  </si>
  <si>
    <t>ARANDANDELA</t>
  </si>
  <si>
    <t>1600.190.005-000</t>
  </si>
  <si>
    <t>JTA.CALIBR.1321-22-31-32</t>
  </si>
  <si>
    <t>1600.190.016-000</t>
  </si>
  <si>
    <t>ARANDELA DE SEGURIDAD 3258</t>
  </si>
  <si>
    <t>1600.190.037-000</t>
  </si>
  <si>
    <t>ARANDELA DE AJUSTE 0,2 MM GROSOR 18B8/18</t>
  </si>
  <si>
    <t>1600.190.038-000</t>
  </si>
  <si>
    <t>ARANDELA DE AJUSTE 0,25 MM GROSOR 18B8/1</t>
  </si>
  <si>
    <t>1600.190.039-000</t>
  </si>
  <si>
    <t>ARANDELA DE AJUSTE 0,35 MM GROSOR 18B8/1</t>
  </si>
  <si>
    <t>1600.190.040-000</t>
  </si>
  <si>
    <t>ARANDELA DE AJUSTE 0,4 MM GROSOR 18B8/18</t>
  </si>
  <si>
    <t>1600.190.048-000</t>
  </si>
  <si>
    <t>IMAN 1890/1891/1892/1893/1894/1895</t>
  </si>
  <si>
    <t>1600.200.031-000</t>
  </si>
  <si>
    <t>COJINETE DE DESLIZAMIENT Ø14 MM</t>
  </si>
  <si>
    <t>1600.202.016-000</t>
  </si>
  <si>
    <t>ANILLO DISTANCIADOR 2209</t>
  </si>
  <si>
    <t>1600.202.034-000</t>
  </si>
  <si>
    <t>ANILLO INTERMEDIO</t>
  </si>
  <si>
    <t>1600.202.036-000</t>
  </si>
  <si>
    <t>1600.205.008-000</t>
  </si>
  <si>
    <t>ANILLO DE FIELTRO 2207/08/09/2304/05/06</t>
  </si>
  <si>
    <t>1600.205.023-000</t>
  </si>
  <si>
    <t>ANILLO 3238/3281</t>
  </si>
  <si>
    <t>1600.205.027-000</t>
  </si>
  <si>
    <t>ANILLO DE FIELTRO  2334.1</t>
  </si>
  <si>
    <t>1600.205.032-000</t>
  </si>
  <si>
    <t>ANILLO SP.HOBBY/3246/6426-1</t>
  </si>
  <si>
    <t>1600.205.034-000</t>
  </si>
  <si>
    <t>ANILLO FIELTR 1891/1893/1895/18A6/17A1/2</t>
  </si>
  <si>
    <t>1600.205.037-000</t>
  </si>
  <si>
    <t>ANILLO DE 0836.1/1597</t>
  </si>
  <si>
    <t>1600.206.014-000</t>
  </si>
  <si>
    <t>ANILLO GOMA 1321/1322-</t>
  </si>
  <si>
    <t>1600.206.018-000</t>
  </si>
  <si>
    <t>ANILLO INTERMEDIO 1557/1121.0 DISCONT.</t>
  </si>
  <si>
    <t>1600.206.019-000</t>
  </si>
  <si>
    <t>ANILLO DE GOMA 1321-22-31-32</t>
  </si>
  <si>
    <t>1600.206.021-000</t>
  </si>
  <si>
    <t>ANILLO GOMA  -Discontinuado</t>
  </si>
  <si>
    <t>1600.206.024-000</t>
  </si>
  <si>
    <t>ANILLO 3258/3270/1274</t>
  </si>
  <si>
    <t>1600.206.026-000</t>
  </si>
  <si>
    <t>1600.206.028-000</t>
  </si>
  <si>
    <t>ANILLO GOMA 1331/2-2.4.5 - DISCONTINUADO</t>
  </si>
  <si>
    <t>1600.206.030-000</t>
  </si>
  <si>
    <t>ANILLO DE GOMA 1B370</t>
  </si>
  <si>
    <t>1600.206.035-000</t>
  </si>
  <si>
    <t>ANILLO INTERMEDIO 1597</t>
  </si>
  <si>
    <t>1600.206.037-000</t>
  </si>
  <si>
    <t>ANILLO DE GOMA 1H92.H/1H93.H</t>
  </si>
  <si>
    <t>1600.206.038-000</t>
  </si>
  <si>
    <t>ANILLO 0836.1</t>
  </si>
  <si>
    <t>1600.209.002-000</t>
  </si>
  <si>
    <t>DEFLECTOR DE AIRE 2213/2305</t>
  </si>
  <si>
    <t>1600.209.003-000</t>
  </si>
  <si>
    <t>DEFLECTOR 2209</t>
  </si>
  <si>
    <t>1600.209.004-000</t>
  </si>
  <si>
    <t>ANILLO DE JUNTA 2305</t>
  </si>
  <si>
    <t>1600.209.006-000</t>
  </si>
  <si>
    <t>ANILLO DE JUNTA 2324.3</t>
  </si>
  <si>
    <t>1600.209.009-000</t>
  </si>
  <si>
    <t>FIELTRO 2313</t>
  </si>
  <si>
    <t>1600.209.012-000</t>
  </si>
  <si>
    <t>ANILLO DE JUNTA</t>
  </si>
  <si>
    <t>1600.209.015-000</t>
  </si>
  <si>
    <t>ANILLO 1863/4</t>
  </si>
  <si>
    <t>1600.210.004-000</t>
  </si>
  <si>
    <t>ANILLO 11214/231</t>
  </si>
  <si>
    <t>1600.210.005-000</t>
  </si>
  <si>
    <t>JUNTA TORICA GSH 16-28</t>
  </si>
  <si>
    <t>1600.210.014-000</t>
  </si>
  <si>
    <t>1600.210.033-000</t>
  </si>
  <si>
    <t>JUNTA 1891/1893/1895/18A6/1850/17A1/2</t>
  </si>
  <si>
    <t>1600.210.034-000</t>
  </si>
  <si>
    <t>NILLO 1800/18A6/18A5/18A3/17A1/2/1H31</t>
  </si>
  <si>
    <t>1600.210.035-000</t>
  </si>
  <si>
    <t>1600.210.037-000</t>
  </si>
  <si>
    <t>ANILLO TOROIDAL  2334.1</t>
  </si>
  <si>
    <t>1600.210.038-000</t>
  </si>
  <si>
    <t>1600.210.039-000</t>
  </si>
  <si>
    <t>1600.210.041-000</t>
  </si>
  <si>
    <t>ORING GWS 670</t>
  </si>
  <si>
    <t>1600.210.044-000</t>
  </si>
  <si>
    <t>1600.210.045-000</t>
  </si>
  <si>
    <t>1600.210.047-000</t>
  </si>
  <si>
    <t>ANILLO 1934</t>
  </si>
  <si>
    <t>1600.210.049-000</t>
  </si>
  <si>
    <t>1600.210.050-000</t>
  </si>
  <si>
    <t>1600.210.055-000</t>
  </si>
  <si>
    <t>1600.210.05S-000</t>
  </si>
  <si>
    <t>Anillo Amortiguador</t>
  </si>
  <si>
    <t>1600.210.05U-000</t>
  </si>
  <si>
    <t>1600.210.05V-000</t>
  </si>
  <si>
    <t>Anillo elástico</t>
  </si>
  <si>
    <t>1600.210.060-000</t>
  </si>
  <si>
    <t>1600.210.07H-000</t>
  </si>
  <si>
    <t>JUNTA TORICA 19G5.2</t>
  </si>
  <si>
    <t>1600.210.07U-000</t>
  </si>
  <si>
    <t>ANILLO DE JUNTA  19E5</t>
  </si>
  <si>
    <t>1600.210.094-000</t>
  </si>
  <si>
    <t>1600.210.096-000</t>
  </si>
  <si>
    <t>1600.210.09M-000</t>
  </si>
  <si>
    <t>1600.210.246-000</t>
  </si>
  <si>
    <t>ANILLO DE GOMA 1B66.0</t>
  </si>
  <si>
    <t>1600.210.253-000</t>
  </si>
  <si>
    <t>1600.220.029-000</t>
  </si>
  <si>
    <t>Anillo de soporte</t>
  </si>
  <si>
    <t>1600.220.02A-000</t>
  </si>
  <si>
    <t>ANILLO DE PRESION 6520</t>
  </si>
  <si>
    <t>1600.221.003-000</t>
  </si>
  <si>
    <t>ANILLO INTERMEDIO GBM 32-4</t>
  </si>
  <si>
    <t>1600.224.025-000</t>
  </si>
  <si>
    <t>ANILLO DE GOMA</t>
  </si>
  <si>
    <t>1600.283.003-000</t>
  </si>
  <si>
    <t>ANILLO OBTURADOR RADIAL - 3227</t>
  </si>
  <si>
    <t>1600.283.004-000</t>
  </si>
  <si>
    <t>ANILLO DE CIERRE</t>
  </si>
  <si>
    <t>1600.290.007-000</t>
  </si>
  <si>
    <t>1600.290.008-000</t>
  </si>
  <si>
    <t>RETEN 1121.0/1321-22-31-32</t>
  </si>
  <si>
    <t>1600.290.012-000</t>
  </si>
  <si>
    <t>RETEN 1557</t>
  </si>
  <si>
    <t>1600.290.013-000</t>
  </si>
  <si>
    <t>ANILLO OBTURADOR 18A6/1850/18A5/3/17A1/2</t>
  </si>
  <si>
    <t>1600.290.016-000</t>
  </si>
  <si>
    <t>Anillo Obturador Radial</t>
  </si>
  <si>
    <t>1600.290.018-000</t>
  </si>
  <si>
    <t>ANILLO OBTURADOR RADIAL 1B83.1</t>
  </si>
  <si>
    <t>1600.290.019-000</t>
  </si>
  <si>
    <t>ANILLO RET 1891/1893/1895/18A6/17A1/2</t>
  </si>
  <si>
    <t>1600.290.020-000</t>
  </si>
  <si>
    <t>ANILLO  2334.1.05</t>
  </si>
  <si>
    <t>1600.290.050-000</t>
  </si>
  <si>
    <t>ANILLO DE JUNTA 1855-6.G Rx1600290036000</t>
  </si>
  <si>
    <t>1600.290.051-000</t>
  </si>
  <si>
    <t>SEGURO CONTRA GIRO 1934</t>
  </si>
  <si>
    <t>1600.290.057-000</t>
  </si>
  <si>
    <t>AMORTIGUADOR 1855-6.G</t>
  </si>
  <si>
    <t>1600.290.060-000</t>
  </si>
  <si>
    <t>ELEMENTO AMORTIGUADOR 1H92.H/1H93.H</t>
  </si>
  <si>
    <t>1600.290.064-000</t>
  </si>
  <si>
    <t>ANILLO OBTURADOR 1891/1893/1895/1892</t>
  </si>
  <si>
    <t>1600.300.028-000</t>
  </si>
  <si>
    <t>CASQUILLO</t>
  </si>
  <si>
    <t>1600.300.090-000</t>
  </si>
  <si>
    <t>ANILLO INTERMEDIO 3227</t>
  </si>
  <si>
    <t>1600.300.096-000</t>
  </si>
  <si>
    <t>CASQUILLO 0836.1/1597</t>
  </si>
  <si>
    <t>1600.300.10K-000</t>
  </si>
  <si>
    <t>CASQUILLO  5301</t>
  </si>
  <si>
    <t>1600.300.10X-000</t>
  </si>
  <si>
    <t>COJINETE DE DESLIZAMIENT 6000</t>
  </si>
  <si>
    <t>1600.300.112-000</t>
  </si>
  <si>
    <t>ODAMIENTO 6550/6552/6554 RA 1619X07256</t>
  </si>
  <si>
    <t>1600.300.11H-000</t>
  </si>
  <si>
    <t>Cojinete</t>
  </si>
  <si>
    <t>1600.300.11X-000</t>
  </si>
  <si>
    <t>CASQUILLO 1EA8.0</t>
  </si>
  <si>
    <t>1600.301.011-000</t>
  </si>
  <si>
    <t>CASQUILLO DE COJ. 3221.4</t>
  </si>
  <si>
    <t>1600.301.900-000</t>
  </si>
  <si>
    <t>BUJE Y COJ. COMP. 3230/38/3335</t>
  </si>
  <si>
    <t>1600.306.000-000</t>
  </si>
  <si>
    <t>OJETE PROTECTOR  2334.1</t>
  </si>
  <si>
    <t>1600.306.001-000</t>
  </si>
  <si>
    <t>PASACABLE 1321/2/31/2</t>
  </si>
  <si>
    <t>1600.309.004-000</t>
  </si>
  <si>
    <t>1600.320.011-000</t>
  </si>
  <si>
    <t>MANGUITO DE GUIA 2209 Rx 3600320015000</t>
  </si>
  <si>
    <t>1600.320.026-000</t>
  </si>
  <si>
    <t>BRIDA INTERMEDIA</t>
  </si>
  <si>
    <t>1600.320.028-000</t>
  </si>
  <si>
    <t>ACOPLAMIENTO MOTOR EJE 2335.034</t>
  </si>
  <si>
    <t>1600.322.034-000</t>
  </si>
  <si>
    <t>ANILLO 3270 DISCONTINUADO</t>
  </si>
  <si>
    <t>1600.328.030-000</t>
  </si>
  <si>
    <t>1600.362.018-000</t>
  </si>
  <si>
    <t>CASQUILLO ROSCADO</t>
  </si>
  <si>
    <t>1600.390.011-000</t>
  </si>
  <si>
    <t>ANILLO 1321.4-22.4/1331-32.4 - DISCONT.</t>
  </si>
  <si>
    <t>1600.390.012-000</t>
  </si>
  <si>
    <t>BUJE 1321.4 -DISCONTINUADO</t>
  </si>
  <si>
    <t>1600.390.018-000</t>
  </si>
  <si>
    <t>ALOJAMIENTO 0836.1/1597</t>
  </si>
  <si>
    <t>1600.390.019-000</t>
  </si>
  <si>
    <t>PITON 0836.1/1597</t>
  </si>
  <si>
    <t>1600.422.011-000</t>
  </si>
  <si>
    <t>REMACHE</t>
  </si>
  <si>
    <t>1600.460.038-000</t>
  </si>
  <si>
    <t>ANILLO GOMA RODAMIENTO 6000</t>
  </si>
  <si>
    <t>1600.460.039-000</t>
  </si>
  <si>
    <t>MANGUITO DE COJINETE</t>
  </si>
  <si>
    <t>1600.500.022-000</t>
  </si>
  <si>
    <t>ANILLO - DISCONTINUADO</t>
  </si>
  <si>
    <t>1600.501.019-000</t>
  </si>
  <si>
    <t>DISCO</t>
  </si>
  <si>
    <t>1600.501.024-000</t>
  </si>
  <si>
    <t>DISCO DE CUBIERTA 2305</t>
  </si>
  <si>
    <t>1600.501.025-000</t>
  </si>
  <si>
    <t>ARANDELA ELASTICA CONICA 2209</t>
  </si>
  <si>
    <t>1600.501.065-000</t>
  </si>
  <si>
    <t>BRIDA CON SOPORTE 3254</t>
  </si>
  <si>
    <t>1600.501.066-000</t>
  </si>
  <si>
    <t>BRIDA</t>
  </si>
  <si>
    <t>1600.502.004-000</t>
  </si>
  <si>
    <t>CUBIERTA PROTECTORA  2334.1</t>
  </si>
  <si>
    <t>1600.502.006-000</t>
  </si>
  <si>
    <t>BUJE DE GOMA 1321-2-31-2/1273</t>
  </si>
  <si>
    <t>1600.502.007-000</t>
  </si>
  <si>
    <t>DEFLECTOR DE AIRE 1321-22</t>
  </si>
  <si>
    <t>1600.502.011-000</t>
  </si>
  <si>
    <t>ANILLO 1557/1121/1366/.6/1548/1274</t>
  </si>
  <si>
    <t>1600.502.012-000</t>
  </si>
  <si>
    <t>DEFLECTOR DE AIRE</t>
  </si>
  <si>
    <t>1600.502.013-000</t>
  </si>
  <si>
    <t>DEFLECTOR DE AIRE 1331/1332 DISCONT.</t>
  </si>
  <si>
    <t>1600.502.014-000</t>
  </si>
  <si>
    <t>DEFLECTOR 1557 - DISCONTINUADO</t>
  </si>
  <si>
    <t>1600.502.015-000</t>
  </si>
  <si>
    <t>MANGUITO GUIA 7661</t>
  </si>
  <si>
    <t>1600.502.019-000</t>
  </si>
  <si>
    <t>DEFLECTOR 1120.5</t>
  </si>
  <si>
    <t>1600.502.020-000</t>
  </si>
  <si>
    <t>ANILLO INTERMEDI 1347.1/3278.2/1282</t>
  </si>
  <si>
    <t>1600.502.023-000</t>
  </si>
  <si>
    <t>CUBETA 1701/3343/1801/13756/1C94/1G900</t>
  </si>
  <si>
    <t>1600.502.024-000</t>
  </si>
  <si>
    <t>ANILLO INTERMEDIO 1375</t>
  </si>
  <si>
    <t>1600.506.009-000</t>
  </si>
  <si>
    <t>MANGUITO GUIA 7661/7457</t>
  </si>
  <si>
    <t>1600.506.010-000</t>
  </si>
  <si>
    <t>MANGUITO DE GUIA  7661.5 RX 3600.320.016</t>
  </si>
  <si>
    <t>1600.508.005-000</t>
  </si>
  <si>
    <t>TAPA DEL CUERPO 3278</t>
  </si>
  <si>
    <t>1600.508.011-000</t>
  </si>
  <si>
    <t>TAPA DE CUERPO 1215.7</t>
  </si>
  <si>
    <t>1600.508.016-000</t>
  </si>
  <si>
    <t>CARCASA TRASERA 1705/1773/1621</t>
  </si>
  <si>
    <t>1600.508.017-000</t>
  </si>
  <si>
    <t>TAPA DE CARCASA 1701</t>
  </si>
  <si>
    <t>1600.508.018-000</t>
  </si>
  <si>
    <t>TAPA DE CUERPO 3343.3</t>
  </si>
  <si>
    <t>1600.508.031-000</t>
  </si>
  <si>
    <t>TAPA DE CARCASA 1H31</t>
  </si>
  <si>
    <t>1600.590.012-000</t>
  </si>
  <si>
    <t>PLACA 0836.1/1597</t>
  </si>
  <si>
    <t>1600.590.014-000</t>
  </si>
  <si>
    <t>PALANCA OSCILANTE 1597</t>
  </si>
  <si>
    <t>1600.590.015-000</t>
  </si>
  <si>
    <t>BRAZO DE LA PALANCA 1597 RX 160059001900</t>
  </si>
  <si>
    <t>1600.590.016-000</t>
  </si>
  <si>
    <t>GUIA ELASTICA 1597</t>
  </si>
  <si>
    <t>1600.590.018-000</t>
  </si>
  <si>
    <t>PALANCA DE ENCLAVAMIENTO 1820/1H31</t>
  </si>
  <si>
    <t>1600.591.006-000</t>
  </si>
  <si>
    <t>DEFLECTOR - DISCONTINUADO</t>
  </si>
  <si>
    <t>1600.591.008-000</t>
  </si>
  <si>
    <t>DEFLECTOR 3224.1 OBSOLETO</t>
  </si>
  <si>
    <t>1600.591.010-000</t>
  </si>
  <si>
    <t>1600.591.011-000</t>
  </si>
  <si>
    <t>ARO DEFLEC1361-2-8-51-2-6-7</t>
  </si>
  <si>
    <t>1600.591.013-000</t>
  </si>
  <si>
    <t>ARO DEFLECTOR DE AIRE 1385</t>
  </si>
  <si>
    <t>1600.591.014-000</t>
  </si>
  <si>
    <t>TAPAAPOYO1773/1801.0/1825/05/00/621/1H25</t>
  </si>
  <si>
    <t>1600.591.016-000</t>
  </si>
  <si>
    <t>PERILLA DE EMPUJE 1367</t>
  </si>
  <si>
    <t>1600.591.023-000</t>
  </si>
  <si>
    <t>ARO DEFLECTOR DE AIRE 1375.0/.6/1223</t>
  </si>
  <si>
    <t>1600.591.024-000</t>
  </si>
  <si>
    <t>ARO DEFLECTOR DE AIRE 1375</t>
  </si>
  <si>
    <t>1600.591.028-000</t>
  </si>
  <si>
    <t>DEFLECTOR 1755/6 1855/6.G</t>
  </si>
  <si>
    <t>1600.591.029-000</t>
  </si>
  <si>
    <t>DISTRI DE AIRE 1755/6 1855/6.G/1863</t>
  </si>
  <si>
    <t>1600.591.031-000</t>
  </si>
  <si>
    <t>DEFLECTOR 1705/1701-DISCONTINUADO</t>
  </si>
  <si>
    <t>1600.591.035-000</t>
  </si>
  <si>
    <t>DISTRIBUIDOR DE AIRE GWS 2000</t>
  </si>
  <si>
    <t>1600.591.036-000</t>
  </si>
  <si>
    <t>ARO DEFLECTOR GWS 2000</t>
  </si>
  <si>
    <t>1600.591.037-000</t>
  </si>
  <si>
    <t>ARO DEFLECTOR DE AIRE 1934</t>
  </si>
  <si>
    <t>1600.591.041-000</t>
  </si>
  <si>
    <t>DISTRIBUIDOR DE AIRE 1891/1893/1894/1895</t>
  </si>
  <si>
    <t>1600.591.042-000</t>
  </si>
  <si>
    <t>ARO DEFLECTOR DE AIRE 1891/1893/1895</t>
  </si>
  <si>
    <t>1600.591.044-000</t>
  </si>
  <si>
    <t>ENVOLVENTE VENTILADOR 1980 RA 1600A0015P</t>
  </si>
  <si>
    <t>1600.591.045-000</t>
  </si>
  <si>
    <t>TAPA VENTILADOR 1980 RX 1600A0015N</t>
  </si>
  <si>
    <t>1600.591.046-000</t>
  </si>
  <si>
    <t>ARO DEFLECTOR DE AIRE 193A</t>
  </si>
  <si>
    <t>1600.591.047-000</t>
  </si>
  <si>
    <t>ARO DEFLECTOR DE AIRE 1G9M.0</t>
  </si>
  <si>
    <t>1600.591.048-000</t>
  </si>
  <si>
    <t>DISTRIBUIDOR DE AIRE 1G9M.0</t>
  </si>
  <si>
    <t>1600.591.050-000</t>
  </si>
  <si>
    <t>DISTRIBUIDOR DE AIRE 1G90.0</t>
  </si>
  <si>
    <t>1600.591.051-000</t>
  </si>
  <si>
    <t>ARO DEFLECTOR IRE 11265 RX 1600.591.05C</t>
  </si>
  <si>
    <t>1600.591.054-000</t>
  </si>
  <si>
    <t>Tapon</t>
  </si>
  <si>
    <t>1600.591.056-000</t>
  </si>
  <si>
    <t>ARO DEFLECTOR DE AIRE 1B66.0</t>
  </si>
  <si>
    <t>1600.591.05G-000</t>
  </si>
  <si>
    <t>DISTRIBUIDOR DE AIRE 1831</t>
  </si>
  <si>
    <t>1600.591.05N-000</t>
  </si>
  <si>
    <t>Distribuidor De Aire</t>
  </si>
  <si>
    <t>1600.591.05S-000</t>
  </si>
  <si>
    <t>ARO DEFLECTOR DE AIRE 5402</t>
  </si>
  <si>
    <t>1600.591.05T-000</t>
  </si>
  <si>
    <t>ARO DEFLECTOR DE AIRE 9002(700W)</t>
  </si>
  <si>
    <t>1600.591.05Z-000</t>
  </si>
  <si>
    <t>Aro Deflector De Aire</t>
  </si>
  <si>
    <t>1600.591.065-000</t>
  </si>
  <si>
    <t>Anillo de guía de aire</t>
  </si>
  <si>
    <t>1600.591.066-000</t>
  </si>
  <si>
    <t>1600.591.068-000</t>
  </si>
  <si>
    <t>ARO DEFLECTOR DE AIRE 6520</t>
  </si>
  <si>
    <t>1600.591.06M-000</t>
  </si>
  <si>
    <t>ARO DEFLECTOR DE AIRE 1C77.5</t>
  </si>
  <si>
    <t>1600.591.06N-000</t>
  </si>
  <si>
    <t>ARO DEFLECTOR DE AIRE 1FB3.0</t>
  </si>
  <si>
    <t>1600.591.06W-000</t>
  </si>
  <si>
    <t>ANILLO DEFLECTOR DE AIRE</t>
  </si>
  <si>
    <t>1600.591.075-000</t>
  </si>
  <si>
    <t>AIR DEFLECTOR</t>
  </si>
  <si>
    <t>1600.591.07E-000</t>
  </si>
  <si>
    <t>1600.703.009-000</t>
  </si>
  <si>
    <t>PROTECTOR 2501 2334.1.05</t>
  </si>
  <si>
    <t>1600.703.010-000</t>
  </si>
  <si>
    <t>PROT 1321/2/31/2/66/.6/1121</t>
  </si>
  <si>
    <t>1600.703.016-000</t>
  </si>
  <si>
    <t>PROTECTOR PASACABLE</t>
  </si>
  <si>
    <t>1600.703.023-000</t>
  </si>
  <si>
    <t>PROT.CABLE 1361-2-57-1755-6</t>
  </si>
  <si>
    <t>1600.703.027-000</t>
  </si>
  <si>
    <t>OJETE 0836.1/1597</t>
  </si>
  <si>
    <t>1600.703.030-000</t>
  </si>
  <si>
    <t>PROTECTOR DE CABLE 1800/1H31</t>
  </si>
  <si>
    <t>1600.703.032-000</t>
  </si>
  <si>
    <t>PROTECTOR DE CABLE 1373</t>
  </si>
  <si>
    <t>1600.703.033-000</t>
  </si>
  <si>
    <t>OJETE PROTECT. 3365.1</t>
  </si>
  <si>
    <t>1600.703.034-000</t>
  </si>
  <si>
    <t>OJETE PROTECTOR Ø7,3-Ø8,6X66 MM 1B3A.0</t>
  </si>
  <si>
    <t>1600.703.035-000</t>
  </si>
  <si>
    <t>PROT. CABLE 11264/11321 RA1610703056</t>
  </si>
  <si>
    <t>1600.703.036-000</t>
  </si>
  <si>
    <t>OJETE PROTECTOR Ø10,5-Ø11,0X100 MM</t>
  </si>
  <si>
    <t>1600.703.037-000</t>
  </si>
  <si>
    <t>OJETE PROTECTOR 1GA1.0</t>
  </si>
  <si>
    <t>1600.703.039-000</t>
  </si>
  <si>
    <t>OJETE PROTECTOR 1H25.0</t>
  </si>
  <si>
    <t>1600.703.040-000</t>
  </si>
  <si>
    <t>OJETE PROTECTOR 1GA3.1</t>
  </si>
  <si>
    <t>1600.703.041-000</t>
  </si>
  <si>
    <t>1600.703.043-000</t>
  </si>
  <si>
    <t>1600.703.048-000</t>
  </si>
  <si>
    <t>OJETE PROTECTOR 1831</t>
  </si>
  <si>
    <t>1600.703.04E-000</t>
  </si>
  <si>
    <t>MANGUITO DE CABLE 5200</t>
  </si>
  <si>
    <t>1600.703.04F-000</t>
  </si>
  <si>
    <t>OJETE PROTECTOR 1FB3.0</t>
  </si>
  <si>
    <t>1600.703.04H-000</t>
  </si>
  <si>
    <t>GROMMET</t>
  </si>
  <si>
    <t>1600.703.04K-000</t>
  </si>
  <si>
    <t>OJETE PROTECTOR 9002/9004</t>
  </si>
  <si>
    <t>1600.703.04N-000</t>
  </si>
  <si>
    <t>OJETE PROTECTOR 4751</t>
  </si>
  <si>
    <t>1600.703.04R-000</t>
  </si>
  <si>
    <t>OJETE PROTECTOR 6000</t>
  </si>
  <si>
    <t>1600.703.05B-000</t>
  </si>
  <si>
    <t>1600.712.030-000</t>
  </si>
  <si>
    <t>PIEZA AISLANTE 1H25.0</t>
  </si>
  <si>
    <t>1600.712.03J-000</t>
  </si>
  <si>
    <t>Tubo Flexible Contractil</t>
  </si>
  <si>
    <t>1600.795.008-000</t>
  </si>
  <si>
    <t>TUBO DE ASPIRACION 1367</t>
  </si>
  <si>
    <t>1600.900.001-000</t>
  </si>
  <si>
    <t>1600.900.020-000</t>
  </si>
  <si>
    <t>1600.900.024-000</t>
  </si>
  <si>
    <t>1600.900.027-000</t>
  </si>
  <si>
    <t>RODAMIENTO RX 1600905009-000</t>
  </si>
  <si>
    <t>1600.900.029-000</t>
  </si>
  <si>
    <t>1600.900.032-000</t>
  </si>
  <si>
    <t>RODAMIENTO 1356-7/1361/1362-8-Disc</t>
  </si>
  <si>
    <t>1600.900.041-000</t>
  </si>
  <si>
    <t>RODAMIENTO RIGIDO BOLAS 1B66.0</t>
  </si>
  <si>
    <t>1600.900.045-000</t>
  </si>
  <si>
    <t>RODAMIENTO RIGIDO BOLAS 1831</t>
  </si>
  <si>
    <t>1600.900.046-000</t>
  </si>
  <si>
    <t>RODAMIENTO 1831/4380/4400</t>
  </si>
  <si>
    <t>1600.900.04H-000</t>
  </si>
  <si>
    <t>RODAMIENTO RIGIDO BOLAS 4400/4380</t>
  </si>
  <si>
    <t>1600.900.053-000</t>
  </si>
  <si>
    <t>1600.900.054-000</t>
  </si>
  <si>
    <t>RODAMIENTO RIGIDO BOLAS 5402</t>
  </si>
  <si>
    <t>1600.900.055-000</t>
  </si>
  <si>
    <t>1600.900.05X-000</t>
  </si>
  <si>
    <t>RODAMIENTO RIGIDO BOLAS 4751</t>
  </si>
  <si>
    <t>1600.900.05Y-000</t>
  </si>
  <si>
    <t>RODAMIENTO RIGIDO BOLAS 6000</t>
  </si>
  <si>
    <t>1600.900.05Z-000</t>
  </si>
  <si>
    <t>1600.900.06B-000</t>
  </si>
  <si>
    <t>COJINETE SINTERIZADO 6600 / 6604</t>
  </si>
  <si>
    <t>1600.900.06C-000</t>
  </si>
  <si>
    <t>RODAMIENTO RIGIDO BOLAS 6520</t>
  </si>
  <si>
    <t>1600.900.06D-000</t>
  </si>
  <si>
    <t>1600.900.06E-000</t>
  </si>
  <si>
    <t>CASQUILLO DE AGUJAS 6520</t>
  </si>
  <si>
    <t>1600.900.06F-000</t>
  </si>
  <si>
    <t>1600.900.06Y-000</t>
  </si>
  <si>
    <t>ESFERA RODANDO</t>
  </si>
  <si>
    <t>1600.900.079-000</t>
  </si>
  <si>
    <t>LLEVANDO</t>
  </si>
  <si>
    <t>1600.900.07R-000</t>
  </si>
  <si>
    <t>RODAMIENTO A BOLAS 7351</t>
  </si>
  <si>
    <t>1600.900.07S-000</t>
  </si>
  <si>
    <t>1600.900.07T-000</t>
  </si>
  <si>
    <t>1600.900.088-000</t>
  </si>
  <si>
    <t>RODAMIENTO A BOLAS 1F24.0</t>
  </si>
  <si>
    <t>1600.900.08N-000</t>
  </si>
  <si>
    <t>1600.900.09G-000</t>
  </si>
  <si>
    <t>Rodamiento Rigido Bolas</t>
  </si>
  <si>
    <t>1600.905.009-000</t>
  </si>
  <si>
    <t>RODAMIENTO DE BOLAS RX9618.089.480-000</t>
  </si>
  <si>
    <t>1600.905.011-000</t>
  </si>
  <si>
    <t>1600.905.016-000</t>
  </si>
  <si>
    <t>RODAMIENTO 608LU 3343.7/1701/1801.0</t>
  </si>
  <si>
    <t>1600.905.017-000</t>
  </si>
  <si>
    <t>RODAMIENTO RIGIDO BOLAS 1EA8.0</t>
  </si>
  <si>
    <t>1600.905.026-000</t>
  </si>
  <si>
    <t>RODAMIENTO RIGIDO 17X40X12 RULEMAN 6203</t>
  </si>
  <si>
    <t>1600.905.028-000</t>
  </si>
  <si>
    <t>RODAMIENTO RIGIDO BOLAS 1C36.0</t>
  </si>
  <si>
    <t>1600.905.032-000</t>
  </si>
  <si>
    <t>1600.905.034-000</t>
  </si>
  <si>
    <t>RODAMIENTO RIGIDO BOLAS 9X26X8</t>
  </si>
  <si>
    <t>1600.905.035-000</t>
  </si>
  <si>
    <t>RODAMIENTO RIGIDO BOLAS 12X37X12</t>
  </si>
  <si>
    <t>1600.910.001-000</t>
  </si>
  <si>
    <t>RODAMIENTO 1321.1-22.1 obsoleto</t>
  </si>
  <si>
    <t>1600.910.002-000</t>
  </si>
  <si>
    <t>RODAMIENTO DE AGUJAS  7260.1</t>
  </si>
  <si>
    <t>1600.910.010-000</t>
  </si>
  <si>
    <t>RODAMIENTO 1321.0-2.0-31-2</t>
  </si>
  <si>
    <t>1600.910.011-000</t>
  </si>
  <si>
    <t>RODAMIENTO DE AGUJA 1361</t>
  </si>
  <si>
    <t>1600.910.012-000</t>
  </si>
  <si>
    <t>RODAMIENTO 3161/47/41</t>
  </si>
  <si>
    <t>1600.910.013-000</t>
  </si>
  <si>
    <t>RODAM.DE AGUJAS 1121/1557RA014</t>
  </si>
  <si>
    <t>1600.910.014-000</t>
  </si>
  <si>
    <t>RODAMIENTO obsoleto</t>
  </si>
  <si>
    <t>1600.910.018-000</t>
  </si>
  <si>
    <t>CASQUILLO Ø8XØ12X8 MM Rx 1600200029</t>
  </si>
  <si>
    <t>1600.920.000-000</t>
  </si>
  <si>
    <t>CORONA DE AGUJAS 7457</t>
  </si>
  <si>
    <t>1600.A00.039-000</t>
  </si>
  <si>
    <t>JUEGO DE PIEZAS GLM 250</t>
  </si>
  <si>
    <t>1600.A00.071-000</t>
  </si>
  <si>
    <t>LENTE 11904</t>
  </si>
  <si>
    <t>1600.A00.092-000</t>
  </si>
  <si>
    <t>PERNO CON COLLAR 1B20.1/1B23/1B21.1</t>
  </si>
  <si>
    <t>1600.A00.093-000</t>
  </si>
  <si>
    <t>UNIDAD</t>
  </si>
  <si>
    <t>1600.A00.094-000</t>
  </si>
  <si>
    <t>COLA TERMOFUSIVEL</t>
  </si>
  <si>
    <t>1600.A00.095-000</t>
  </si>
  <si>
    <t>PIERNA BATIENTE  1070</t>
  </si>
  <si>
    <t>1600.A00.096-000</t>
  </si>
  <si>
    <t>CONDUCTO P/CABLES 1755/6</t>
  </si>
  <si>
    <t>1600.A00.0A1-000</t>
  </si>
  <si>
    <t>1600.A00.0A2-000</t>
  </si>
  <si>
    <t>PERNA DO TRIPE</t>
  </si>
  <si>
    <t>1600.A00.0A3-000</t>
  </si>
  <si>
    <t>1600.A00.0A5-000</t>
  </si>
  <si>
    <t>PLACA DE APOIO GIRATORIA</t>
  </si>
  <si>
    <t>1600.A00.0A6-000</t>
  </si>
  <si>
    <t>CC: PARAFUSO</t>
  </si>
  <si>
    <t>1600.A00.0A8-000</t>
  </si>
  <si>
    <t>1600.A00.0AA-000</t>
  </si>
  <si>
    <t>1600.A00.0AB-000</t>
  </si>
  <si>
    <t>1600.A00.0K3-000</t>
  </si>
  <si>
    <t>Contrapeso</t>
  </si>
  <si>
    <t>1600.A00.0LE-000</t>
  </si>
  <si>
    <t>Lente</t>
  </si>
  <si>
    <t>1600.A00.0R5-000</t>
  </si>
  <si>
    <t>Motor Housing</t>
  </si>
  <si>
    <t>1600.A00.0R7-000</t>
  </si>
  <si>
    <t>Intermediate housing</t>
  </si>
  <si>
    <t>1600.A00.0XS-000</t>
  </si>
  <si>
    <t>ARBOL DE EXCENTRICA 1B66.0</t>
  </si>
  <si>
    <t>1600.A00.0XT-000</t>
  </si>
  <si>
    <t>PERNO EXCENTRICO 1B66.0</t>
  </si>
  <si>
    <t>1600.A00.0XU-000</t>
  </si>
  <si>
    <t>SOPORTE DE JUNTA 1B66.0</t>
  </si>
  <si>
    <t>1600.A00.0XV-000</t>
  </si>
  <si>
    <t>1600.A00.13J-000</t>
  </si>
  <si>
    <t>CAJA DE CLAVIJA 1B66.0</t>
  </si>
  <si>
    <t>1600.A00.13V-000</t>
  </si>
  <si>
    <t>TUBO DE MARTILLO 1B5A.4 RX 16170006B7</t>
  </si>
  <si>
    <t>1600.A00.13W-000</t>
  </si>
  <si>
    <t>VASTAGO DE GUIA 1B5A.4 RX 1613023007</t>
  </si>
  <si>
    <t>1600.A00.13X-000</t>
  </si>
  <si>
    <t>EMBOLO MARTILLO 1125A.4 RX 16170006B9</t>
  </si>
  <si>
    <t>1600.A00.14G-000</t>
  </si>
  <si>
    <t>Casquillo De Agujas</t>
  </si>
  <si>
    <t>1600.A00.15D-000</t>
  </si>
  <si>
    <t>ANILLO DE APRIETE 1B66.0</t>
  </si>
  <si>
    <t>1600.A00.15E-000</t>
  </si>
  <si>
    <t>DISTRIBUIDOR DE GRASA 11266.0/.1</t>
  </si>
  <si>
    <t>1600.A00.15F-000</t>
  </si>
  <si>
    <t>PINZA DE SUJECION 1B66.0</t>
  </si>
  <si>
    <t>1600.A00.15H-000</t>
  </si>
  <si>
    <t>TORNILLO REDONDEADA TORX 1B66.0</t>
  </si>
  <si>
    <t>1600.A00.15N-000</t>
  </si>
  <si>
    <t>TAPA VENTILADOR 1980</t>
  </si>
  <si>
    <t>1600.A00.15P-000</t>
  </si>
  <si>
    <t>ENVOLVENTE VENTILADOR 1980</t>
  </si>
  <si>
    <t>1600.A00.168-000</t>
  </si>
  <si>
    <t>PLACA DE GUIA 1B65.1</t>
  </si>
  <si>
    <t>1600.A00.175-000</t>
  </si>
  <si>
    <t>Interruptor</t>
  </si>
  <si>
    <t>1600.A00.188-000</t>
  </si>
  <si>
    <t>1600.A00.1BG-000</t>
  </si>
  <si>
    <t>MODULO ELECTRONICO 19E1</t>
  </si>
  <si>
    <t>1600.A00.1CL-000</t>
  </si>
  <si>
    <t>FUELLE 119090</t>
  </si>
  <si>
    <t>1600.A00.1CP-000</t>
  </si>
  <si>
    <t>Grupo Magnetico</t>
  </si>
  <si>
    <t>1600.A00.1CR-000</t>
  </si>
  <si>
    <t>Vidrio de protección</t>
  </si>
  <si>
    <t>1600.A00.1CS-000</t>
  </si>
  <si>
    <t>Articulación</t>
  </si>
  <si>
    <t>1600.A00.1CT-000</t>
  </si>
  <si>
    <t>Pie articulado</t>
  </si>
  <si>
    <t>1600.A00.1E5-000</t>
  </si>
  <si>
    <t>CORREDERA DE CONEXION</t>
  </si>
  <si>
    <t>1600.A00.1ED-000</t>
  </si>
  <si>
    <t>ELEMENTO DE CONEXION</t>
  </si>
  <si>
    <t>1600.A00.1MJ-000</t>
  </si>
  <si>
    <t>PERFIL DE SELLADO</t>
  </si>
  <si>
    <t>1600.A00.1MK-000</t>
  </si>
  <si>
    <t>GUIA DE CEPILLOS</t>
  </si>
  <si>
    <t>1600.A00.1PY-000</t>
  </si>
  <si>
    <t>TAPA 193A</t>
  </si>
  <si>
    <t>1600.A00.1XA-000</t>
  </si>
  <si>
    <t>ARANDELA DE RETENCION</t>
  </si>
  <si>
    <t>1600.A00.1XC-000</t>
  </si>
  <si>
    <t>CAPERUZA DE PROTECCIÓN 1B66.0</t>
  </si>
  <si>
    <t>1600.A00.1XD-000</t>
  </si>
  <si>
    <t>ANILLO DE JUNTA 1B66.0</t>
  </si>
  <si>
    <t>1600.A00.1XE-000</t>
  </si>
  <si>
    <t>PLACA DISTANCIADORA 1B66.0</t>
  </si>
  <si>
    <t>1600.A00.1XF-000</t>
  </si>
  <si>
    <t>1600.A00.1Y6-000</t>
  </si>
  <si>
    <t>BIELA ARTICULADA 1B66.0</t>
  </si>
  <si>
    <t>1600.A00.206-000</t>
  </si>
  <si>
    <t>PLACA DE FONDO</t>
  </si>
  <si>
    <t>1600.A00.207-000</t>
  </si>
  <si>
    <t>CUERPO BÁSICO</t>
  </si>
  <si>
    <t>1600.A00.20M-000</t>
  </si>
  <si>
    <t>1600.A00.20N-000</t>
  </si>
  <si>
    <t>1600.A00.20X-000</t>
  </si>
  <si>
    <t>BOQUILLA DE SUCCIÓN</t>
  </si>
  <si>
    <t>1600.A00.218-000</t>
  </si>
  <si>
    <t>MANGUITO DISTANCIADOR 1B66.0</t>
  </si>
  <si>
    <t>1600.A00.22W-000</t>
  </si>
  <si>
    <t>PIÑON Y CORONA 1796 RX1607000D4Y</t>
  </si>
  <si>
    <t>1600.A00.2NE-000</t>
  </si>
  <si>
    <t>Tubo De Grasa</t>
  </si>
  <si>
    <t>1600.A00.2PC-000</t>
  </si>
  <si>
    <t>AMORTIGUADOR DE GOMA 1B66.0</t>
  </si>
  <si>
    <t>1600.A00.2PM-000</t>
  </si>
  <si>
    <t>ENVASE</t>
  </si>
  <si>
    <t>1600.A00.2PP-000</t>
  </si>
  <si>
    <t>BOQUILLA DE JUNTA</t>
  </si>
  <si>
    <t>1600.A00.2PR-000</t>
  </si>
  <si>
    <t>ANILLO DE SELLADO</t>
  </si>
  <si>
    <t>1600.A00.2PS-000</t>
  </si>
  <si>
    <t>FILTRAR</t>
  </si>
  <si>
    <t>1600.A00.2YB-000</t>
  </si>
  <si>
    <t>PLATO PORTAESCOBILLAS 6555</t>
  </si>
  <si>
    <t>1600.A00.2YF-000</t>
  </si>
  <si>
    <t>Vaina Protectora</t>
  </si>
  <si>
    <t>1600.A00.2YG-000</t>
  </si>
  <si>
    <t>Casquillo Con Borde</t>
  </si>
  <si>
    <t>1600.A00.305-000</t>
  </si>
  <si>
    <t>Arandela De Tope</t>
  </si>
  <si>
    <t>1600.A00.307-000</t>
  </si>
  <si>
    <t>Disco-Soporte</t>
  </si>
  <si>
    <t>1600.A00.308-000</t>
  </si>
  <si>
    <t>Retén para ejes</t>
  </si>
  <si>
    <t>1600.A00.30F-000</t>
  </si>
  <si>
    <t>Casquillo De Tope</t>
  </si>
  <si>
    <t>1600.A00.30G-000</t>
  </si>
  <si>
    <t>Anillo De Retencion</t>
  </si>
  <si>
    <t>1600.A00.30J-000</t>
  </si>
  <si>
    <t>Manguito Distanciador</t>
  </si>
  <si>
    <t>1600.A00.30L-000</t>
  </si>
  <si>
    <t>1600.A00.30R-000</t>
  </si>
  <si>
    <t>Casquillo De Mando</t>
  </si>
  <si>
    <t>1600.A00.30W-000</t>
  </si>
  <si>
    <t>Arandela De Apoyo</t>
  </si>
  <si>
    <t>1600.A00.32J-000</t>
  </si>
  <si>
    <t>MÓDULO ADAPTADOR 119B.0</t>
  </si>
  <si>
    <t>1600.A00.33N-000</t>
  </si>
  <si>
    <t>Acoplamiento</t>
  </si>
  <si>
    <t>1600.A00.37C-000</t>
  </si>
  <si>
    <t>ARANDELA 0,2 MM 1B650/1B651 RX1610102095</t>
  </si>
  <si>
    <t>1600.A00.37G-000</t>
  </si>
  <si>
    <t>Tapón de caucho</t>
  </si>
  <si>
    <t>1600.A00.39T-000</t>
  </si>
  <si>
    <t>Rueda Dentada De Angulo</t>
  </si>
  <si>
    <t>1600.A00.3A1-000</t>
  </si>
  <si>
    <t>Conmutador</t>
  </si>
  <si>
    <t>1600.A00.3A2-000</t>
  </si>
  <si>
    <t>1600.A00.3A5-000</t>
  </si>
  <si>
    <t>PORTACARBONES 1394</t>
  </si>
  <si>
    <t>1600.A00.3DA-000</t>
  </si>
  <si>
    <t>Juego de ruedas cónicas</t>
  </si>
  <si>
    <t>1600.A00.3DY-000</t>
  </si>
  <si>
    <t>TAPA CUBREPOLVO 1831</t>
  </si>
  <si>
    <t>1600.A00.3DZ-000</t>
  </si>
  <si>
    <t>CUERPO INTERMEDIO 1831</t>
  </si>
  <si>
    <t>1600.A00.3E0-000</t>
  </si>
  <si>
    <t>ANILLO INTERMEDIO 1831</t>
  </si>
  <si>
    <t>1600.A00.3E1-000</t>
  </si>
  <si>
    <t>TUERCA HEX 1831</t>
  </si>
  <si>
    <t>1600.A00.3E2-000</t>
  </si>
  <si>
    <t>ELEMENTO DE SUJECCION 1831</t>
  </si>
  <si>
    <t>1600.A00.3E4-000</t>
  </si>
  <si>
    <t>PORTAESCOBILLAS SKIL 1831</t>
  </si>
  <si>
    <t>1600.A00.3E5-000</t>
  </si>
  <si>
    <t>TOPE DE PROFUNDIDAD 1831</t>
  </si>
  <si>
    <t>1600.A00.3E6-000</t>
  </si>
  <si>
    <t>MANGUITO DE RETENCION 1831</t>
  </si>
  <si>
    <t>1600.A00.3E7-000</t>
  </si>
  <si>
    <t>CASQUILLO DE AGARRE 1831</t>
  </si>
  <si>
    <t>1600.A00.3E8-000</t>
  </si>
  <si>
    <t>ARMAZON INFERIOR 1831</t>
  </si>
  <si>
    <t>1600.A00.3E9-000</t>
  </si>
  <si>
    <t>TORNILLO CON FRENO 1831</t>
  </si>
  <si>
    <t>1600.A00.3EA-000</t>
  </si>
  <si>
    <t>SUPLEMENTO DE AJUSTE 1831</t>
  </si>
  <si>
    <t>1600.A00.3EC-000</t>
  </si>
  <si>
    <t>ELEMENTO DE SUJECION 1831</t>
  </si>
  <si>
    <t>1600.A00.3ED-000</t>
  </si>
  <si>
    <t>ANILLO DEL COJINETE 1831</t>
  </si>
  <si>
    <t>1600.A00.3EF-000</t>
  </si>
  <si>
    <t>SUJETADOR DE CABLE 1831</t>
  </si>
  <si>
    <t>1600.A00.3EL-000</t>
  </si>
  <si>
    <t>LLAVE FIJA DE UNA BOCA 1831</t>
  </si>
  <si>
    <t>1600.A00.3EN-000</t>
  </si>
  <si>
    <t>TOPE PARALELO 1831</t>
  </si>
  <si>
    <t>1600.A00.3EP-000</t>
  </si>
  <si>
    <t>SOPORTE TAPA GUARDAPOLVO 1831</t>
  </si>
  <si>
    <t>1600.A00.3ER-000</t>
  </si>
  <si>
    <t>GUIA DE DIRECCION 1831</t>
  </si>
  <si>
    <t>1600.A00.3ES-000</t>
  </si>
  <si>
    <t>TUBO-GUIA 1831</t>
  </si>
  <si>
    <t>1600.A00.3FU-000</t>
  </si>
  <si>
    <t>TAPA CARBONES 17A1/2</t>
  </si>
  <si>
    <t>1600.A00.3FV-000</t>
  </si>
  <si>
    <t>TAPA ESCOBILLAS 1GA1.0</t>
  </si>
  <si>
    <t>1600.A00.3G4-000</t>
  </si>
  <si>
    <t>1600.A00.3MA-000</t>
  </si>
  <si>
    <t>Regulador EL</t>
  </si>
  <si>
    <t>1600.A00.3ND-000</t>
  </si>
  <si>
    <t>CAPA DE PROTECCIÓN</t>
  </si>
  <si>
    <t>1600.A00.3SK-000</t>
  </si>
  <si>
    <t>CONJ. RUEDA DENTADA GSB13RE RA1600A003SP</t>
  </si>
  <si>
    <t>1600.A00.3SL-000</t>
  </si>
  <si>
    <t>CONMUTADOR 1B3D.5</t>
  </si>
  <si>
    <t>1600.A00.3SN-000</t>
  </si>
  <si>
    <t>1600.A00.3SP-000</t>
  </si>
  <si>
    <t>HUSILLO 1B3D.5</t>
  </si>
  <si>
    <t>1600.A00.3ST-000</t>
  </si>
  <si>
    <t>BRAZO DE COJINETE 1B3D.5</t>
  </si>
  <si>
    <t>1600.A00.3TD-000</t>
  </si>
  <si>
    <t>JUEGO DE RUEDAS (JUEGO)</t>
  </si>
  <si>
    <t>1600.A00.3TE-000</t>
  </si>
  <si>
    <t>BOTÓN DE PRESIÓN</t>
  </si>
  <si>
    <t>1600.A00.3TF-000</t>
  </si>
  <si>
    <t>CUBRIR</t>
  </si>
  <si>
    <t>1600.A00.3TG-000</t>
  </si>
  <si>
    <t>1600.A00.3TK-000</t>
  </si>
  <si>
    <t>1600.A00.3TL-000</t>
  </si>
  <si>
    <t>1600.A00.3TP-000</t>
  </si>
  <si>
    <t>1600.A00.3TS-000</t>
  </si>
  <si>
    <t>1600.A00.3TT-000</t>
  </si>
  <si>
    <t>1600.A00.3V5-000</t>
  </si>
  <si>
    <t>ESTATOR 19G5.2</t>
  </si>
  <si>
    <t>1600.A00.3YK-000</t>
  </si>
  <si>
    <t>Horquilla De Mando</t>
  </si>
  <si>
    <t>1600.A00.3YL-000</t>
  </si>
  <si>
    <t>RUEDA DENTADA 1B3D</t>
  </si>
  <si>
    <t>1600.A00.48F-000</t>
  </si>
  <si>
    <t>1600.A00.48G-000</t>
  </si>
  <si>
    <t>1600.A00.48H-000</t>
  </si>
  <si>
    <t>1600.A00.48K-000</t>
  </si>
  <si>
    <t>1600.A00.4BM-000</t>
  </si>
  <si>
    <t>CAPUCHA COBERTURA 11266.1</t>
  </si>
  <si>
    <t>1600.A00.4D8-000</t>
  </si>
  <si>
    <t>CAPERUZA DE PROTECCION 8003JB</t>
  </si>
  <si>
    <t>1600.A00.4D9-000</t>
  </si>
  <si>
    <t>DISPARADOR 8005</t>
  </si>
  <si>
    <t>1600.A00.4DH-000</t>
  </si>
  <si>
    <t>1600.A00.4DT-000</t>
  </si>
  <si>
    <t>Shim</t>
  </si>
  <si>
    <t>1600.A00.4E6-000</t>
  </si>
  <si>
    <t>PAQUETE DE SERVICIOS 1B65.0/1B65.1</t>
  </si>
  <si>
    <t>1600.A00.4HA-000</t>
  </si>
  <si>
    <t>PRIMAVERA</t>
  </si>
  <si>
    <t>1600.A00.4HD-000</t>
  </si>
  <si>
    <t>MUELLE CORRUGADO</t>
  </si>
  <si>
    <t>1600.A00.4HE-000</t>
  </si>
  <si>
    <t>PLACA DE PRESIÓN</t>
  </si>
  <si>
    <t>1600.A00.4HH-000</t>
  </si>
  <si>
    <t>ESTRIBO DE BLOQUEO</t>
  </si>
  <si>
    <t>1600.A00.4HJ-000</t>
  </si>
  <si>
    <t>CUERPO BLOQUEO</t>
  </si>
  <si>
    <t>1600.A00.4HM-000</t>
  </si>
  <si>
    <t>COBERTURA PROTECTORA</t>
  </si>
  <si>
    <t>1600.A00.4TF-000</t>
  </si>
  <si>
    <t>CONJ DE MONTAJE 17A1/2 RX 9618086834</t>
  </si>
  <si>
    <t>1600.A00.5A4-000</t>
  </si>
  <si>
    <t>RUEDA DENTADA GSH 11 VC</t>
  </si>
  <si>
    <t>1600.A00.5AB-000</t>
  </si>
  <si>
    <t>BOQUILLA DE 6MM 1831</t>
  </si>
  <si>
    <t>1600.A00.5AC-000</t>
  </si>
  <si>
    <t>BOQUILLA DE 1/4" 1831</t>
  </si>
  <si>
    <t>1600.A00.5AD-000</t>
  </si>
  <si>
    <t>BOQUILLA DE 5/16" 1831</t>
  </si>
  <si>
    <t>1600.A00.5AF-000</t>
  </si>
  <si>
    <t>PORTAESCOBILLAS 1245.7</t>
  </si>
  <si>
    <t>1600.A00.5AL-000</t>
  </si>
  <si>
    <t>PLACA PRINCIPAL 8003JB</t>
  </si>
  <si>
    <t>1600.A00.5AM-000</t>
  </si>
  <si>
    <t>PUNTERA 8003JB/8005 V2</t>
  </si>
  <si>
    <t>1600.A00.5AN-000</t>
  </si>
  <si>
    <t>ABRAZADERA  8003JB/8005 V2</t>
  </si>
  <si>
    <t>1600.A00.5AP-000</t>
  </si>
  <si>
    <t>PUNTA 8003JB/8005</t>
  </si>
  <si>
    <t>1600.A00.5AR-000</t>
  </si>
  <si>
    <t>1600.A00.5AS-000</t>
  </si>
  <si>
    <t>1600.A00.5AT-000</t>
  </si>
  <si>
    <t>1600.A00.5B7-000</t>
  </si>
  <si>
    <t>GRAPA 4400/4380</t>
  </si>
  <si>
    <t>1600.A00.5BD-000</t>
  </si>
  <si>
    <t>ARANDELA DE APOYO 1B66.0</t>
  </si>
  <si>
    <t>1600.A00.5BH-000</t>
  </si>
  <si>
    <t>PIÑON Y CORONA 1756</t>
  </si>
  <si>
    <t>1600.A00.5BT-000</t>
  </si>
  <si>
    <t>ENGRANAJE 4400/4380</t>
  </si>
  <si>
    <t>1600.A00.5BV-000</t>
  </si>
  <si>
    <t>COJINETE DE MOTOR 4400/4380</t>
  </si>
  <si>
    <t>1600.A00.5HN-000</t>
  </si>
  <si>
    <t>Acoplamiento Excéntrico</t>
  </si>
  <si>
    <t>1600.A00.5HP-000</t>
  </si>
  <si>
    <t>Acoplamiento Angular</t>
  </si>
  <si>
    <t>1600.A00.5HR-000</t>
  </si>
  <si>
    <t xml:space="preserve"> COPLAMIENTO PORTABROCAS 1JF6.0</t>
  </si>
  <si>
    <t>1600.A00.5HS-000</t>
  </si>
  <si>
    <t>Portabrocas</t>
  </si>
  <si>
    <t>1600.A00.6ZT-000</t>
  </si>
  <si>
    <t>1600.A00.6ZW-000</t>
  </si>
  <si>
    <t>1600.A00.6ZX-000</t>
  </si>
  <si>
    <t>TUBO FLEXIBLE</t>
  </si>
  <si>
    <t>1600.A00.6ZY-000</t>
  </si>
  <si>
    <t>PERFIL DE ALUMINIO</t>
  </si>
  <si>
    <t>REGULADOR DE VELOCIDAD 4400/6555</t>
  </si>
  <si>
    <t>1600.A00.722-000</t>
  </si>
  <si>
    <t>SET BASICO 4400/4380</t>
  </si>
  <si>
    <t>1600.A00.724-000</t>
  </si>
  <si>
    <t>CARRIL DE FIJACION 1M30.5</t>
  </si>
  <si>
    <t>1600.A00.726-000</t>
  </si>
  <si>
    <t>PLACA DESLIZANTE 1M30.5</t>
  </si>
  <si>
    <t>1600.A00.72C-000</t>
  </si>
  <si>
    <t>LINEA DE CONEXION A RED 4400</t>
  </si>
  <si>
    <t>1600.A00.72E-000</t>
  </si>
  <si>
    <t>LINEA DE CONEXION A RED 4380</t>
  </si>
  <si>
    <t>1600.A00.733-000</t>
  </si>
  <si>
    <t>MARTILLO</t>
  </si>
  <si>
    <t>1600.A00.73C-000</t>
  </si>
  <si>
    <t>PRENSA 11321 Ra 1610516016</t>
  </si>
  <si>
    <t>1600.A00.748-000</t>
  </si>
  <si>
    <t>PIEZA DE APRIETE 1C16.8</t>
  </si>
  <si>
    <t>1600.A00.752-000</t>
  </si>
  <si>
    <t>LENTE</t>
  </si>
  <si>
    <t>1600.A00.78U-000</t>
  </si>
  <si>
    <t>GRUPO DE INTERRUPTORES</t>
  </si>
  <si>
    <t>1600.A00.798-000</t>
  </si>
  <si>
    <t>PIEZA DE GUIA</t>
  </si>
  <si>
    <t>1600.A00.7JH-000</t>
  </si>
  <si>
    <t>1600.A00.7JW-000</t>
  </si>
  <si>
    <t>PIÑON RECTO</t>
  </si>
  <si>
    <t>1600.A00.7RE-000</t>
  </si>
  <si>
    <t>MUELLE DE COMPRESION 119090</t>
  </si>
  <si>
    <t>1600.A00.7RX-000</t>
  </si>
  <si>
    <t>PANTALLA DE AJUSTE 0,200  </t>
  </si>
  <si>
    <t>1600.A00.7RY-000</t>
  </si>
  <si>
    <t>PANTALLA DE AJUSTE 0,600</t>
  </si>
  <si>
    <t>1600.A00.7RZ-000</t>
  </si>
  <si>
    <t>PANTALLA DE AJUSTE 0,200</t>
  </si>
  <si>
    <t>1600.A00.7TL-000</t>
  </si>
  <si>
    <t>SOPORTE PARA COJINETES</t>
  </si>
  <si>
    <t>1600.A00.86Z-000</t>
  </si>
  <si>
    <t>FILTRO ANTIPARASITARIO 1274.7</t>
  </si>
  <si>
    <t>1600.A00.89A-000</t>
  </si>
  <si>
    <t>ANILLO OBTURADOR RADIAL 11332 RA 1610.28</t>
  </si>
  <si>
    <t>1600.A00.89F-000</t>
  </si>
  <si>
    <t>PLATO CEPILLO</t>
  </si>
  <si>
    <t>1600.A00.8A0-000</t>
  </si>
  <si>
    <t>PLATO PORTAESCOBILLAS 1AA2.0</t>
  </si>
  <si>
    <t>1600.A00.8AG-000</t>
  </si>
  <si>
    <t>DISCO DE ACOPLAMIENTO</t>
  </si>
  <si>
    <t>1600.A00.8BL-000</t>
  </si>
  <si>
    <t>PIEZA DE APRIETE 1C36.0</t>
  </si>
  <si>
    <t>1600.A00.8BT-000</t>
  </si>
  <si>
    <t>CARGADOR BR 100-240V 1JF4.0</t>
  </si>
  <si>
    <t>1600.A00.8C6-000</t>
  </si>
  <si>
    <t>Arandela De Retencion</t>
  </si>
  <si>
    <t>1600.A00.8CS-000</t>
  </si>
  <si>
    <t>LLAVE 5200</t>
  </si>
  <si>
    <t>1600.A00.8CT-000</t>
  </si>
  <si>
    <t>TOPE  5200</t>
  </si>
  <si>
    <t>1600.A00.8D3-000</t>
  </si>
  <si>
    <t>ESTATOR 5200</t>
  </si>
  <si>
    <t>1600.A00.8D5-000</t>
  </si>
  <si>
    <t>CARCASA  5301/5200 RA 16051082CA</t>
  </si>
  <si>
    <t>1600.A00.8D9-000</t>
  </si>
  <si>
    <t>BARRA DE AJUSTE  5200</t>
  </si>
  <si>
    <t>1600.A00.8DC-000</t>
  </si>
  <si>
    <t>TORNILLO CABEZA MARIPOSA  5200</t>
  </si>
  <si>
    <t>1600.A00.8DE-000</t>
  </si>
  <si>
    <t>1600.A00.8DF-000</t>
  </si>
  <si>
    <t>PARTE SUPERIOR DE PROTEC  5301</t>
  </si>
  <si>
    <t>1600.A00.8DG-000</t>
  </si>
  <si>
    <t>CUBIERTA PROT. ABATIBLE  5301</t>
  </si>
  <si>
    <t>1600.A00.8DJ-000</t>
  </si>
  <si>
    <t>ENGRANAJE 5301</t>
  </si>
  <si>
    <t>1600.A00.8DK-000</t>
  </si>
  <si>
    <t>PALANCA  5301</t>
  </si>
  <si>
    <t>1600.A00.8DN-000</t>
  </si>
  <si>
    <t>1600.A00.8DX-000</t>
  </si>
  <si>
    <t>BOTON DE AJUSTE  5301</t>
  </si>
  <si>
    <t>1600.A00.8F6-000</t>
  </si>
  <si>
    <t>JUEGO DE ACCESORIOS GIC 120</t>
  </si>
  <si>
    <t>1600.A00.8RB-000</t>
  </si>
  <si>
    <t>ABRAZADERA 1FB3.0</t>
  </si>
  <si>
    <t>1600.A00.8RC-000</t>
  </si>
  <si>
    <t>PORTAESCOBILLAS 5402</t>
  </si>
  <si>
    <t>1600.A00.8RG-000</t>
  </si>
  <si>
    <t>ESPIGA 1FB3.0</t>
  </si>
  <si>
    <t>1600.A00.8RH-000</t>
  </si>
  <si>
    <t>ARANDELA 1FB3.0</t>
  </si>
  <si>
    <t>1600.A00.8RJ-000</t>
  </si>
  <si>
    <t>PARTE SUPERIOR DE PROTEC 5402</t>
  </si>
  <si>
    <t>1600.A00.8RK-000</t>
  </si>
  <si>
    <t>PERNO 1FB3.0</t>
  </si>
  <si>
    <t>1600.A00.8RL-000</t>
  </si>
  <si>
    <t>RODAMIENTO RIGIDO BOLAS 1FB3.0</t>
  </si>
  <si>
    <t>1600.A00.8RM-000</t>
  </si>
  <si>
    <t>ANILLO DE RETENCION 1FB3.0</t>
  </si>
  <si>
    <t>1600.A00.8RR-000</t>
  </si>
  <si>
    <t>PARTE INFERIOR DE PROTEC 5402</t>
  </si>
  <si>
    <t>1600.A00.8RT-000</t>
  </si>
  <si>
    <t>ANILLO 1FB3.0</t>
  </si>
  <si>
    <t>1600.A00.8RW-000</t>
  </si>
  <si>
    <t>1600.A00.8RX-000</t>
  </si>
  <si>
    <t>1600.A00.8S7-000</t>
  </si>
  <si>
    <t>LLAVE EXAGONAL DE TUBO 1FB3.0</t>
  </si>
  <si>
    <t>1600.A00.8S8-000</t>
  </si>
  <si>
    <t>REGLETA-GUIA 1FB3.0 RA1600A014HJ</t>
  </si>
  <si>
    <t>1600.A00.8SA-000</t>
  </si>
  <si>
    <t>BASE DE GOMA 1FB3.0</t>
  </si>
  <si>
    <t>1600.A00.8SC-000</t>
  </si>
  <si>
    <t>PALANCA 5402</t>
  </si>
  <si>
    <t>1600.A00.92A-000</t>
  </si>
  <si>
    <t>Módulo Electrónico</t>
  </si>
  <si>
    <t>1600.A00.93R-000</t>
  </si>
  <si>
    <t>ANILLO  5301</t>
  </si>
  <si>
    <t>1600.A00.93S-000</t>
  </si>
  <si>
    <t>1600.A00.93T-000</t>
  </si>
  <si>
    <t>PLACA DE BASE  5301</t>
  </si>
  <si>
    <t>1600.A00.9AN-000</t>
  </si>
  <si>
    <t>CAJA DEL ENGRANAJE  19F6</t>
  </si>
  <si>
    <t>1600.A00.9VG-000</t>
  </si>
  <si>
    <t>ANILLO OBTURADOR RADIAL 119090</t>
  </si>
  <si>
    <t>1600.A00.AR1-000</t>
  </si>
  <si>
    <t>ROTOR 11909 (GBH 18V-26)</t>
  </si>
  <si>
    <t>1600.A00.AR5-000</t>
  </si>
  <si>
    <t>CINTA TENSORA 1C35.0</t>
  </si>
  <si>
    <t>1600.A00.B6M-000</t>
  </si>
  <si>
    <t>PLACA PRINCIPAL 8005 V2</t>
  </si>
  <si>
    <t>1600.A00.B6N-000</t>
  </si>
  <si>
    <t>CAPERUZA DE PROTECCIÓN 8005 V2</t>
  </si>
  <si>
    <t>1600.A00.B71-000</t>
  </si>
  <si>
    <t>MODULO ELECTRONICO 8005 V2</t>
  </si>
  <si>
    <t>1600.A00.B92-000</t>
  </si>
  <si>
    <t>CUBIERTA 8005 V2</t>
  </si>
  <si>
    <t>1600.A00.C17-000</t>
  </si>
  <si>
    <t>BRIDA CILINDRICA 9002-08 / 9004-09</t>
  </si>
  <si>
    <t>1600.A00.C2J-000</t>
  </si>
  <si>
    <t>ESTANTE</t>
  </si>
  <si>
    <t>1600.A00.C3T-000</t>
  </si>
  <si>
    <t>PIEZA ANGULAR</t>
  </si>
  <si>
    <t>1600.A00.D2R-000</t>
  </si>
  <si>
    <t>CEPILLO ACERO</t>
  </si>
  <si>
    <t>1600.A00.D2Z-000</t>
  </si>
  <si>
    <t>MANDRIL 6060</t>
  </si>
  <si>
    <t>1600.A00.D66-000</t>
  </si>
  <si>
    <t>CINTURÓN</t>
  </si>
  <si>
    <t>1600.A00.D6J-000</t>
  </si>
  <si>
    <t>TAPA CUBREPOLVO 1BA0.2</t>
  </si>
  <si>
    <t>1600.A00.D78-000</t>
  </si>
  <si>
    <t>TORNILLO</t>
  </si>
  <si>
    <t>1600.A00.DC1-000</t>
  </si>
  <si>
    <t>GRUPO ET MOTOR</t>
  </si>
  <si>
    <t>1600.A00.DH4-000</t>
  </si>
  <si>
    <t>Tubo De Martillo</t>
  </si>
  <si>
    <t>1600.A00.DT5-000</t>
  </si>
  <si>
    <t>Abrazadera</t>
  </si>
  <si>
    <t>1600.A00.E0F-000</t>
  </si>
  <si>
    <t>BATERÍA GLM 120 C</t>
  </si>
  <si>
    <t>CORONA 9004(830W)</t>
  </si>
  <si>
    <t>1600.A00.F3K-000</t>
  </si>
  <si>
    <t>Broca</t>
  </si>
  <si>
    <t>1600.A00.F4S-000</t>
  </si>
  <si>
    <t>CHAPA 5402</t>
  </si>
  <si>
    <t>1600.A00.F4T-000</t>
  </si>
  <si>
    <t>ENGRANAJE 5402</t>
  </si>
  <si>
    <t>1600.A00.F4U-000</t>
  </si>
  <si>
    <t>BOTON 5402</t>
  </si>
  <si>
    <t>1600.A00.F4V-000</t>
  </si>
  <si>
    <t>PLACA DE BASE 5402</t>
  </si>
  <si>
    <t>1600.A00.F4W-000</t>
  </si>
  <si>
    <t>1600.A00.F8P-000</t>
  </si>
  <si>
    <t>CAJA DEL ENGRANAJE 19F70</t>
  </si>
  <si>
    <t>1600.A00.F9H-000</t>
  </si>
  <si>
    <t>1600.A00.FC4-000</t>
  </si>
  <si>
    <t>Teclado</t>
  </si>
  <si>
    <t>1600.A00.FG7-000</t>
  </si>
  <si>
    <t>MÓDULO ELECTRÓNICO 1JF4.0</t>
  </si>
  <si>
    <t>1600.A00.FL3-000</t>
  </si>
  <si>
    <t>ANILLO AXIAL</t>
  </si>
  <si>
    <t>1600.A00.H3A-000</t>
  </si>
  <si>
    <t>1600.A00.H64-000</t>
  </si>
  <si>
    <t>CUERPO</t>
  </si>
  <si>
    <t>1600.A00.H7C-000</t>
  </si>
  <si>
    <t>ARBOL INTERMEDIARIO</t>
  </si>
  <si>
    <t>1600.A00.H7D-000</t>
  </si>
  <si>
    <t>EMBOLO MARTILLO</t>
  </si>
  <si>
    <t>1600.A00.H7E-000</t>
  </si>
  <si>
    <t>COJINETE DE ACCIONAMIENTO</t>
  </si>
  <si>
    <t>1600.A00.H7F-000</t>
  </si>
  <si>
    <t>CAJA-MECANISMO PERCUTOR 119090</t>
  </si>
  <si>
    <t>1600.A00.H85-000</t>
  </si>
  <si>
    <t>1600.A00.H89-000</t>
  </si>
  <si>
    <t>BRAZO DE COJINETE 4751</t>
  </si>
  <si>
    <t>1600.A00.H8B-000</t>
  </si>
  <si>
    <t>CONTRAPESO 4751</t>
  </si>
  <si>
    <t>1600.A00.H8D-000</t>
  </si>
  <si>
    <t>EMBOLO 4751</t>
  </si>
  <si>
    <t>1600.A00.H8G-000</t>
  </si>
  <si>
    <t>PLACA BASE 4751</t>
  </si>
  <si>
    <t>1600.A00.H8H-000</t>
  </si>
  <si>
    <t>CUBIERTA PROTECTORA 4751</t>
  </si>
  <si>
    <t>1600.A00.H8J-000</t>
  </si>
  <si>
    <t>1600.A00.H8K-000</t>
  </si>
  <si>
    <t>DESVIADOR DE VIRUTAS 4751</t>
  </si>
  <si>
    <t>1600.A00.H8N-000</t>
  </si>
  <si>
    <t>1600.A00.H8P-000</t>
  </si>
  <si>
    <t>VASTAGO DE GUIA 4751</t>
  </si>
  <si>
    <t>1600.A00.H8R-000</t>
  </si>
  <si>
    <t>1600.A00.H8X-000</t>
  </si>
  <si>
    <t>CONMUTADOR 4751</t>
  </si>
  <si>
    <t>1600.A00.H8Y-000</t>
  </si>
  <si>
    <t>PENDULO 4751</t>
  </si>
  <si>
    <t>1600.A00.H8Z-000</t>
  </si>
  <si>
    <t>ADAPTADOR 4751</t>
  </si>
  <si>
    <t>1600.A00.H90-000</t>
  </si>
  <si>
    <t>PIEZA DE SUJECION 4751</t>
  </si>
  <si>
    <t>1600.A00.H92-000</t>
  </si>
  <si>
    <t>APOYOS DE SUCCION 4751</t>
  </si>
  <si>
    <t>1600.A00.H93-000</t>
  </si>
  <si>
    <t>TOPE PARALELO 4751</t>
  </si>
  <si>
    <t>1600.A00.H9S-000</t>
  </si>
  <si>
    <t>CASQUILLO 4751</t>
  </si>
  <si>
    <t>1600.A00.HG2-000</t>
  </si>
  <si>
    <t>EMBOLO PORTAUTIL 1513 RA 2600780189</t>
  </si>
  <si>
    <t>1600.A00.HN7-000</t>
  </si>
  <si>
    <t>PLATO PORTACARBONES 123D RX F000612063</t>
  </si>
  <si>
    <t>1600.A00.HZ4-000</t>
  </si>
  <si>
    <t>Presionar el botón</t>
  </si>
  <si>
    <t>1600.A00.HZ5-000</t>
  </si>
  <si>
    <t>1600.A00.J16-000</t>
  </si>
  <si>
    <t>BRAZO DE COJINETE 6000</t>
  </si>
  <si>
    <t>1600.A00.J1B-000</t>
  </si>
  <si>
    <t>LLAVE DE PORTABROCAS 6000</t>
  </si>
  <si>
    <t>1600.A00.J37-000</t>
  </si>
  <si>
    <t>Cubierta</t>
  </si>
  <si>
    <t>1600.A00.J5S-000</t>
  </si>
  <si>
    <t>CAJA DE CAMBIOS</t>
  </si>
  <si>
    <t>1600.A00.J93-000</t>
  </si>
  <si>
    <t>VENTILADOR 1755/6/3/1855/6G Ra1606610142</t>
  </si>
  <si>
    <t>1600.A00.J95-000</t>
  </si>
  <si>
    <t>RUEDA DENTADA DE ANGULO Rx1606333624</t>
  </si>
  <si>
    <t>1600.A00.JB1-000</t>
  </si>
  <si>
    <t>MANDRIL 6000</t>
  </si>
  <si>
    <t>1600.A00.JE7-000</t>
  </si>
  <si>
    <t>ANILLO DE FRICCION RA 2600206010</t>
  </si>
  <si>
    <t>1600.A00.JN1-000</t>
  </si>
  <si>
    <t>PERNO DE CABEZA CILÍNDRICA</t>
  </si>
  <si>
    <t>1600.A00.JN2-000</t>
  </si>
  <si>
    <t>TORNILLO SIN CABEZA</t>
  </si>
  <si>
    <t>1600.A00.L3B-000</t>
  </si>
  <si>
    <t>1600.A00.L5X-000</t>
  </si>
  <si>
    <t>UNIDAD DE COMPENSACIÓN</t>
  </si>
  <si>
    <t>1600.A00.M4P-000</t>
  </si>
  <si>
    <t>HUSILLO 6600 / 6604</t>
  </si>
  <si>
    <t>1600.A00.M52-000</t>
  </si>
  <si>
    <t>Goma Esponjosa</t>
  </si>
  <si>
    <t>1600.A00.M53-000</t>
  </si>
  <si>
    <t>CUBIERTA DE RECUBRIMIENTO</t>
  </si>
  <si>
    <t>1600.A00.M5K-000</t>
  </si>
  <si>
    <t>BRAZO DE COJINETE 6600 / 6604</t>
  </si>
  <si>
    <t>1600.A00.M5U-000</t>
  </si>
  <si>
    <t>ARANDELA DE ENCASTRE 6600 / 6604</t>
  </si>
  <si>
    <t>1600.A00.M85-000</t>
  </si>
  <si>
    <t>BRAZO DE COJINETE 1AB5.0</t>
  </si>
  <si>
    <t>1600.A00.M8F-000</t>
  </si>
  <si>
    <t>JUEGO ENGRANAJES 193A</t>
  </si>
  <si>
    <t>1600.A00.M8J-000</t>
  </si>
  <si>
    <t>JUEGO RUEDAS DE ENGRANAJE 193A</t>
  </si>
  <si>
    <t>1600.A00.MM2-000</t>
  </si>
  <si>
    <t>ARBOL DENTADO 119B Ra 2606309934</t>
  </si>
  <si>
    <t>1600.A00.MP2-000</t>
  </si>
  <si>
    <t>ALMAHODA DE GOMA GCL 2-50C</t>
  </si>
  <si>
    <t>1600.A00.MS2-000</t>
  </si>
  <si>
    <t>DISCO INTERMEDIO GCL 2-50 C</t>
  </si>
  <si>
    <t>1600.A00.MX9-000</t>
  </si>
  <si>
    <t>ELEMENTO DE CONMUTACION</t>
  </si>
  <si>
    <t>1600.A00.N2Y-000</t>
  </si>
  <si>
    <t>Placa De Espuma</t>
  </si>
  <si>
    <t>1600.A00.N5Z-000</t>
  </si>
  <si>
    <t>GRUPO DE MONTAJE CARCASA 19G5.2</t>
  </si>
  <si>
    <t>1600.A00.N7Y-000</t>
  </si>
  <si>
    <t>Estator</t>
  </si>
  <si>
    <t>1600.A00.N82-000</t>
  </si>
  <si>
    <t>Carcasa</t>
  </si>
  <si>
    <t>1600.A00.N99-000</t>
  </si>
  <si>
    <t>INTERRUPTOR DESLIZANTE</t>
  </si>
  <si>
    <t>1600.A00.N9B-000</t>
  </si>
  <si>
    <t>BARRA DESLIZANTE</t>
  </si>
  <si>
    <t>1600.A00.N9C-000</t>
  </si>
  <si>
    <t>PLATO BASE</t>
  </si>
  <si>
    <t>1600.A00.N9D-000</t>
  </si>
  <si>
    <t>1600.A00.N9E-000</t>
  </si>
  <si>
    <t>BRAZO DE EMPUJE</t>
  </si>
  <si>
    <t>1600.A00.N9J-000</t>
  </si>
  <si>
    <t>BARRA ROSCADA</t>
  </si>
  <si>
    <t>1600.A00.N9L-000</t>
  </si>
  <si>
    <t>RUEDA DE AJUSTE DEL SELECTOR</t>
  </si>
  <si>
    <t>1600.A00.NF1-000</t>
  </si>
  <si>
    <t>CODO</t>
  </si>
  <si>
    <t>1600.A00.NK3-000</t>
  </si>
  <si>
    <t>Placa Impresa Equipada</t>
  </si>
  <si>
    <t>1600.A00.NK6-000</t>
  </si>
  <si>
    <t>PLACA IMPRESA EQUIPADA GLL 3-80 CG</t>
  </si>
  <si>
    <t>1600.A00.NL0-000</t>
  </si>
  <si>
    <t>GRUPO DE MONTAJE CARCASA GLL 3-80 CG</t>
  </si>
  <si>
    <t>1600.A00.NL4-000</t>
  </si>
  <si>
    <t>BARILLAJE GLL 3-80 CG</t>
  </si>
  <si>
    <t>1600.A00.NL8-000</t>
  </si>
  <si>
    <t>ALMAHODA DE GOMA GLL 3-80 CG</t>
  </si>
  <si>
    <t>1600.A00.NL9-000</t>
  </si>
  <si>
    <t>1600.A00.NM0-000</t>
  </si>
  <si>
    <t>Montaje</t>
  </si>
  <si>
    <t>1600.A00.NM4-000</t>
  </si>
  <si>
    <t>Varillaje</t>
  </si>
  <si>
    <t>1600.A00.NM5-000</t>
  </si>
  <si>
    <t>Tapa De Las Pilas</t>
  </si>
  <si>
    <t>1600.A00.NM8-000</t>
  </si>
  <si>
    <t>1600.A00.NN2-000</t>
  </si>
  <si>
    <t>CARCASA GLL 3-80 CG</t>
  </si>
  <si>
    <t>1600.A00.NP3-000</t>
  </si>
  <si>
    <t>Conjunto Láser Giratorio</t>
  </si>
  <si>
    <t>1600.A00.NP9-000</t>
  </si>
  <si>
    <t>1600.A00.NR9-000</t>
  </si>
  <si>
    <t>1600.A00.P14-000</t>
  </si>
  <si>
    <t>AJUSTE DE DIAPOSITIVA 19J4</t>
  </si>
  <si>
    <t>1600.A00.P17-000</t>
  </si>
  <si>
    <t>Soporte</t>
  </si>
  <si>
    <t>1600.A00.P18-000</t>
  </si>
  <si>
    <t>PLACA DE MARCA</t>
  </si>
  <si>
    <t>1600.A00.P1B-000</t>
  </si>
  <si>
    <t>Techo</t>
  </si>
  <si>
    <t>1600.A00.P1T-000</t>
  </si>
  <si>
    <t>ROTOR</t>
  </si>
  <si>
    <t>1600.A00.P2N-000</t>
  </si>
  <si>
    <t>1600.A00.P4H-000</t>
  </si>
  <si>
    <t>PLACA DE BLOQUEO</t>
  </si>
  <si>
    <t>1600.A00.P4K-000</t>
  </si>
  <si>
    <t>1600.A00.P4M-000</t>
  </si>
  <si>
    <t>BLOQUEO ALALANCA</t>
  </si>
  <si>
    <t>1600.A00.PB4-000</t>
  </si>
  <si>
    <t>COJINETE SINTERIZADO 6600/6604/1AB5.0</t>
  </si>
  <si>
    <t>1600.A00.PC0-000</t>
  </si>
  <si>
    <t>RESORTE DE CONTACTO 6600/6604/1AB5.0</t>
  </si>
  <si>
    <t>1600.A00.PE3-000</t>
  </si>
  <si>
    <t>GRUPO MOTOR 1JF0.0</t>
  </si>
  <si>
    <t>1600.A00.R0L-000</t>
  </si>
  <si>
    <t>RECHAZADOR 6520</t>
  </si>
  <si>
    <t>1600.A00.R0S-000</t>
  </si>
  <si>
    <t>HUSILLO DE LA BROCA 6520</t>
  </si>
  <si>
    <t>1600.A00.R0U-000</t>
  </si>
  <si>
    <t>TRIGGER 6520</t>
  </si>
  <si>
    <t>1600.A00.R6U-000</t>
  </si>
  <si>
    <t>CONMUTADOR 6604 RX 1600A017EM</t>
  </si>
  <si>
    <t>1600.A00.R9F-000</t>
  </si>
  <si>
    <t>Palanca de plástico</t>
  </si>
  <si>
    <t>1600.A00.R9L-000</t>
  </si>
  <si>
    <t>Palanca de marcha atrás</t>
  </si>
  <si>
    <t>1600.A00.RD6-000</t>
  </si>
  <si>
    <t>Tornillo especial</t>
  </si>
  <si>
    <t>1600.A00.RK2-000</t>
  </si>
  <si>
    <t>Ferrito</t>
  </si>
  <si>
    <t>1600.A00.RK8-000</t>
  </si>
  <si>
    <t>MONTAJE GLL 3-80 CG</t>
  </si>
  <si>
    <t>1600.A00.RK9-000</t>
  </si>
  <si>
    <t>1600.A00.RM1-000</t>
  </si>
  <si>
    <t>HILO DE CONEXION GLL 3-80/CG</t>
  </si>
  <si>
    <t>1600.A00.RM4-000</t>
  </si>
  <si>
    <t>1600.A00.RM8-000</t>
  </si>
  <si>
    <t>1600.A00.RR2-000</t>
  </si>
  <si>
    <t>ACCESORIOS DE FIJACIÓN DE ANCLAJE</t>
  </si>
  <si>
    <t>1600.A00.RU8-000</t>
  </si>
  <si>
    <t>UNIDAD DE CUBIERTA</t>
  </si>
  <si>
    <t>1600.A00.RV6-000</t>
  </si>
  <si>
    <t>TUBO DE MONTAJE</t>
  </si>
  <si>
    <t>1600.A00.RV7-000</t>
  </si>
  <si>
    <t>1600.A00.S4G-000</t>
  </si>
  <si>
    <t>ENGRANAJE 1623</t>
  </si>
  <si>
    <t>1600.A00.S4H-000</t>
  </si>
  <si>
    <t>CAJA DEL ENGRANAJE</t>
  </si>
  <si>
    <t>1600.A00.X5A-000</t>
  </si>
  <si>
    <t>Clavija Cilindrica</t>
  </si>
  <si>
    <t>1600.A00.XB1-000</t>
  </si>
  <si>
    <t>VASTAGO DE GUIA 4400</t>
  </si>
  <si>
    <t>1600.A00.XC4-000</t>
  </si>
  <si>
    <t>TAPA 1GA3.1</t>
  </si>
  <si>
    <t>1600.A00.XC7-000</t>
  </si>
  <si>
    <t>CORREDERA DE AJUSTE 1GA3.1</t>
  </si>
  <si>
    <t>1600.A00.XC9-000</t>
  </si>
  <si>
    <t>Muelle De Traccion</t>
  </si>
  <si>
    <t>1600.A00.XD7-000</t>
  </si>
  <si>
    <t>ALOJAMIENTO DE BATERIA</t>
  </si>
  <si>
    <t>1600.A00.XF7-000</t>
  </si>
  <si>
    <t>MÓDULO DE CIERRE</t>
  </si>
  <si>
    <t>1600.A00.XK8-000</t>
  </si>
  <si>
    <t>CUBIERTA PROTECTORA 1G90.0</t>
  </si>
  <si>
    <t>1600.A00.XL5-000</t>
  </si>
  <si>
    <t>Cubierta Protectora</t>
  </si>
  <si>
    <t>1600.A00.XL6-000</t>
  </si>
  <si>
    <t>MODULO ELECTRÓNICO 19A8.4</t>
  </si>
  <si>
    <t>1600.A00.XL9-000</t>
  </si>
  <si>
    <t>GUARDA ESMERILES 7"</t>
  </si>
  <si>
    <t>1600.A00.XM0-000</t>
  </si>
  <si>
    <t>GUARDA ESMERILES 9" Ra 1605510407</t>
  </si>
  <si>
    <t>1600.A00.XR3-000</t>
  </si>
  <si>
    <t>1600.A00.XS4-000</t>
  </si>
  <si>
    <t>CUBIERTA DE PROTECCIÓN</t>
  </si>
  <si>
    <t>1600.A00.XU3-000</t>
  </si>
  <si>
    <t>REVESTIMIENTO PROTECT 1E7A.0</t>
  </si>
  <si>
    <t>1600.A00.XU5-000</t>
  </si>
  <si>
    <t>PASACABLE</t>
  </si>
  <si>
    <t>1600.A00.XU6-000</t>
  </si>
  <si>
    <t>GUARDA ESMERIL 4 1/2" 670/6-115/7-115</t>
  </si>
  <si>
    <t>1600.A00.XU7-000</t>
  </si>
  <si>
    <t>CAPERUZA DE ADORNO 1E8H.0</t>
  </si>
  <si>
    <t>1600.A00.XZ2-000</t>
  </si>
  <si>
    <t>Cobert.Basculante Prot.</t>
  </si>
  <si>
    <t>1600.A00.XZ6-000</t>
  </si>
  <si>
    <t>CUBIERTA PROT. ABATIBLE 1F23.0</t>
  </si>
  <si>
    <t>1600.A00.XZ9-000</t>
  </si>
  <si>
    <t>CONSOLA BISAGRA</t>
  </si>
  <si>
    <t>Corredera de bloqueo</t>
  </si>
  <si>
    <t>1600.A00.Y9B-000</t>
  </si>
  <si>
    <t>Placa de características</t>
  </si>
  <si>
    <t>1600.A00.Z28-000</t>
  </si>
  <si>
    <t>PLACA DE IDENTIFICACIÓN</t>
  </si>
  <si>
    <t>1600.A00.Z5N-000</t>
  </si>
  <si>
    <t>BARRA Ra 1619P01669</t>
  </si>
  <si>
    <t>1600.A00.Z9L-000</t>
  </si>
  <si>
    <t>GUARDA ESMERILES 9"  LVI  RA 1605510398</t>
  </si>
  <si>
    <t>1600.A00.Z9U-000</t>
  </si>
  <si>
    <t>CABLE DE CONEXION</t>
  </si>
  <si>
    <t>1600.A00.ZS0-000</t>
  </si>
  <si>
    <t>Cable de conexión</t>
  </si>
  <si>
    <t>1600.A00.ZS9-000</t>
  </si>
  <si>
    <t>PORTABROCAS DE APRIETE RÁPIDO</t>
  </si>
  <si>
    <t>RUEDA DENTADA EXCENTRICA Rx 1600A014S9</t>
  </si>
  <si>
    <t>1600.A01.00K-000</t>
  </si>
  <si>
    <t>PIEZA DE SELLADO</t>
  </si>
  <si>
    <t>1600.A01.00L-000</t>
  </si>
  <si>
    <t>ELEMENTO FILTRANTE</t>
  </si>
  <si>
    <t>1600.A01.03S-000</t>
  </si>
  <si>
    <t>PORTABROCAS RAPIDO 19F70 RA 2609112169</t>
  </si>
  <si>
    <t>1600.A01.1DL-000</t>
  </si>
  <si>
    <t>1600.A01.1E6-000</t>
  </si>
  <si>
    <t>MÓDULO ELECTRÓNICO 19G5.2</t>
  </si>
  <si>
    <t>1600.A01.1EM-000</t>
  </si>
  <si>
    <t>GUARDA ESMERILES 7"  LVI  RA 1605510397</t>
  </si>
  <si>
    <t>1600.A01.1ER-000</t>
  </si>
  <si>
    <t>TUBO-GUIA 1130A RX 1600.A01.4T8-000</t>
  </si>
  <si>
    <t>1600.A01.1ES-000</t>
  </si>
  <si>
    <t>ANILLO DE APOYO</t>
  </si>
  <si>
    <t>1600.A01.1G2-000</t>
  </si>
  <si>
    <t>1600.A01.1GY-000</t>
  </si>
  <si>
    <t>Rueda Dentada Excentrica</t>
  </si>
  <si>
    <t>1600.A01.1GZ-000</t>
  </si>
  <si>
    <t>1600.A01.1H7-000</t>
  </si>
  <si>
    <t>TAPA DE LA BATERIA 19H2</t>
  </si>
  <si>
    <t>1600.A01.1H8-000</t>
  </si>
  <si>
    <t>TAPA FRONTAL 19H2</t>
  </si>
  <si>
    <t>1600.A01.1H9-000</t>
  </si>
  <si>
    <t>CAJA DE ENGRANAJE 19H2</t>
  </si>
  <si>
    <t>1600.A01.1HB-000</t>
  </si>
  <si>
    <t>ARANDELA 19H2</t>
  </si>
  <si>
    <t>1600.A01.1HD-000</t>
  </si>
  <si>
    <t>INTERRUPTOR DE CONMUTACIÓN 19H2</t>
  </si>
  <si>
    <t>1600.A01.1KY-000</t>
  </si>
  <si>
    <t>BARRA DE AJUSTE 1F6H.0</t>
  </si>
  <si>
    <t>1600.A01.1L4-000</t>
  </si>
  <si>
    <t>BOTÓN DESLIZANTE</t>
  </si>
  <si>
    <t>1600.A01.1PJ-000</t>
  </si>
  <si>
    <t>ESTANTERIA DE PREPARACION</t>
  </si>
  <si>
    <t>1600.A01.1PK-000</t>
  </si>
  <si>
    <t>ESTANTERÍA D.PREPARACIÓN GLL 3-80 CG</t>
  </si>
  <si>
    <t>1600.A01.1RL-000</t>
  </si>
  <si>
    <t>1600.A01.1RM-000</t>
  </si>
  <si>
    <t>ANILLO TENSION</t>
  </si>
  <si>
    <t>1600.A01.1RN-000</t>
  </si>
  <si>
    <t>1600.A01.1RP-000</t>
  </si>
  <si>
    <t>PIPETA</t>
  </si>
  <si>
    <t>1600.A01.1RR-000</t>
  </si>
  <si>
    <t>1600.A01.1RS-000</t>
  </si>
  <si>
    <t>1600.A01.1RT-000</t>
  </si>
  <si>
    <t>1600.A01.1RU-000</t>
  </si>
  <si>
    <t>TUBO DE CONEXIÓN DE MANGUERA</t>
  </si>
  <si>
    <t>1600.A01.1RW-000</t>
  </si>
  <si>
    <t>FLOTADOR</t>
  </si>
  <si>
    <t>1600.A01.1RX-000</t>
  </si>
  <si>
    <t>Sujetador De Manguera</t>
  </si>
  <si>
    <t>1600.A01.1RY-000</t>
  </si>
  <si>
    <t>1600.A01.1RZ-000</t>
  </si>
  <si>
    <t>CIERRE DE MONTAJE</t>
  </si>
  <si>
    <t>1600.A01.1S7-000</t>
  </si>
  <si>
    <t>TAPA DE LA BATERÍA</t>
  </si>
  <si>
    <t>1600.A01.1S8-000</t>
  </si>
  <si>
    <t>1600.A01.1S9-000</t>
  </si>
  <si>
    <t>MÓDULO MOTOR</t>
  </si>
  <si>
    <t>1600.A01.23G-000</t>
  </si>
  <si>
    <t>1600.A01.243-000</t>
  </si>
  <si>
    <t>Elemento De Enclavamient</t>
  </si>
  <si>
    <t>1600.A01.268-000</t>
  </si>
  <si>
    <t>CUBIERTA INTERRUPTOR</t>
  </si>
  <si>
    <t>1600.A01.26S-000</t>
  </si>
  <si>
    <t>Caja Del Engranaje</t>
  </si>
  <si>
    <t>1600.A01.286-000</t>
  </si>
  <si>
    <t>Tapa Protectora</t>
  </si>
  <si>
    <t>1600.A01.2AZ-000</t>
  </si>
  <si>
    <t>PLATO PORTAESCOBILLA</t>
  </si>
  <si>
    <t>1600.A01.2BS-000</t>
  </si>
  <si>
    <t>Tablero de control electrónico MT</t>
  </si>
  <si>
    <t>1600.A01.2CF-000</t>
  </si>
  <si>
    <t>Sujecion</t>
  </si>
  <si>
    <t>1600.A01.2F8-000</t>
  </si>
  <si>
    <t>PORTADA FINAL</t>
  </si>
  <si>
    <t>1600.A01.2FA-000</t>
  </si>
  <si>
    <t>1600.A01.2FH-000</t>
  </si>
  <si>
    <t>1600.A01.2FK-000</t>
  </si>
  <si>
    <t>TUBO</t>
  </si>
  <si>
    <t>1600.A01.2G8-000</t>
  </si>
  <si>
    <t>1600.A01.2H4-000</t>
  </si>
  <si>
    <t>CABLE DE CONEXION 6604</t>
  </si>
  <si>
    <t>1600.A01.2LA-000</t>
  </si>
  <si>
    <t>1600.A01.2MM-000</t>
  </si>
  <si>
    <t>UNIDAD DE CONMUTACIÓN</t>
  </si>
  <si>
    <t>1600.A01.2MN-000</t>
  </si>
  <si>
    <t>CAJA DEL ENGRANAJE 19G8.0</t>
  </si>
  <si>
    <t>1600.A01.2MP-000</t>
  </si>
  <si>
    <t>1600.A01.2MU-000</t>
  </si>
  <si>
    <t>MANDRIL PORTABROCAS 1AB6.0</t>
  </si>
  <si>
    <t>1600.A01.2MV-000</t>
  </si>
  <si>
    <t>Tubo De Cubierta</t>
  </si>
  <si>
    <t>1600.A01.2RS-000</t>
  </si>
  <si>
    <t>Arbol De Excentrica</t>
  </si>
  <si>
    <t>1600.A01.2VS-000</t>
  </si>
  <si>
    <t>CONJUNTO DE ENGRANAJE CÓNICO</t>
  </si>
  <si>
    <t>1600.A01.2VU-000</t>
  </si>
  <si>
    <t>1600.A01.2X9-000</t>
  </si>
  <si>
    <t>Elemento De Frenado</t>
  </si>
  <si>
    <t>1600.A01.2YT-000</t>
  </si>
  <si>
    <t>AUSRÜCKBOLZEN</t>
  </si>
  <si>
    <t>1600.A01.2ZA-000</t>
  </si>
  <si>
    <t>Placa De Base</t>
  </si>
  <si>
    <t>1600.A01.2ZD-000</t>
  </si>
  <si>
    <t>Arrastrador</t>
  </si>
  <si>
    <t>1600.A01.2ZH-000</t>
  </si>
  <si>
    <t>Dispositivo De Ajuste</t>
  </si>
  <si>
    <t>1600.A01.300-000</t>
  </si>
  <si>
    <t>Chapa Protectora</t>
  </si>
  <si>
    <t>1600.A01.305-000</t>
  </si>
  <si>
    <t>Corredera De Bloqueo</t>
  </si>
  <si>
    <t>1600.A01.31C-000</t>
  </si>
  <si>
    <t>1600.A01.35N-000</t>
  </si>
  <si>
    <t>Funda para cámara</t>
  </si>
  <si>
    <t>1600.A01.37V-000</t>
  </si>
  <si>
    <t>Unidad Engranaje</t>
  </si>
  <si>
    <t>1600.A01.384-000</t>
  </si>
  <si>
    <t>TUBO-GUIA 1C0A.0</t>
  </si>
  <si>
    <t>1600.A01.3A0-000</t>
  </si>
  <si>
    <t>CARGADOR AR 19H2</t>
  </si>
  <si>
    <t>1600.A01.3BF-000</t>
  </si>
  <si>
    <t>Resorte</t>
  </si>
  <si>
    <t>1600.A01.3DD-000</t>
  </si>
  <si>
    <t>1600.A01.3TC-000</t>
  </si>
  <si>
    <t>1600.A01.3UA-000</t>
  </si>
  <si>
    <t>ETIQUETA</t>
  </si>
  <si>
    <t>1600.A01.3WF-000</t>
  </si>
  <si>
    <t>módulo electrónico</t>
  </si>
  <si>
    <t>1600.A01.40K-000</t>
  </si>
  <si>
    <t>Tornillo</t>
  </si>
  <si>
    <t>1600.A01.437-000</t>
  </si>
  <si>
    <t>HUSILLO 1AB5.0 RX 1600A0123L</t>
  </si>
  <si>
    <t>1600.A01.45D-000</t>
  </si>
  <si>
    <t>1600.A01.49S-000</t>
  </si>
  <si>
    <t>HUSILLO M14 1C77.5</t>
  </si>
  <si>
    <t>1600.A01.4A0-000</t>
  </si>
  <si>
    <t>BRIDA Ø22XØ42 MM 1C77.5</t>
  </si>
  <si>
    <t>1600.A01.4A7-000</t>
  </si>
  <si>
    <t>Leva De Mando</t>
  </si>
  <si>
    <t>1600.A01.4BT-000</t>
  </si>
  <si>
    <t>Bandolera</t>
  </si>
  <si>
    <t>1600.A01.4CC-000</t>
  </si>
  <si>
    <t>PORTACUCHILLAS 1EA8.0</t>
  </si>
  <si>
    <t>1600.A01.4CE-000</t>
  </si>
  <si>
    <t>BRAZO DE COJINETE 1AB6.0</t>
  </si>
  <si>
    <t>1600.A01.4E1-000</t>
  </si>
  <si>
    <t>EJE DEL CASTILLO</t>
  </si>
  <si>
    <t>1600.A01.4FB-000</t>
  </si>
  <si>
    <t>PORTAESCOBILLAS 1FB3.0</t>
  </si>
  <si>
    <t>1600.A01.4FE-000</t>
  </si>
  <si>
    <t>PALANCA 1FB3.0</t>
  </si>
  <si>
    <t>1600.A01.4FK-000</t>
  </si>
  <si>
    <t>PARTE SUPERIOR DE PROTEC 1FB3.0</t>
  </si>
  <si>
    <t>1600.A01.4FN-000</t>
  </si>
  <si>
    <t>PLACA DE BASE 1FB3.0</t>
  </si>
  <si>
    <t>1600.A01.4FT-000</t>
  </si>
  <si>
    <t>1600.A01.4HJ-000</t>
  </si>
  <si>
    <t>REGLETA-GUIA 1FB3.0 Rx 1600A008S8</t>
  </si>
  <si>
    <t>1600.A01.4KM-000</t>
  </si>
  <si>
    <t>BRAZO DE SUJECION 1EA8.0</t>
  </si>
  <si>
    <t>1600.A01.4KN-000</t>
  </si>
  <si>
    <t>PORTAESCOBILLAS 1EA8.0</t>
  </si>
  <si>
    <t>1600.A01.4KV-000</t>
  </si>
  <si>
    <t>CONTRAPESO 1EA8.0</t>
  </si>
  <si>
    <t>1600.A01.4L1-000</t>
  </si>
  <si>
    <t>BRAZO DE SUJECION 12A2.0</t>
  </si>
  <si>
    <t>1600.A01.4R6-000</t>
  </si>
  <si>
    <t>Placa De Contacto</t>
  </si>
  <si>
    <t>1600.A01.4S8-000</t>
  </si>
  <si>
    <t>Rueda dentada excéntrica</t>
  </si>
  <si>
    <t>1600.A01.4S9-000</t>
  </si>
  <si>
    <t>1600.A01.4T0-000</t>
  </si>
  <si>
    <t>Cubierta de engranajes</t>
  </si>
  <si>
    <t>1600.A01.4TU-000</t>
  </si>
  <si>
    <t>CLAVIJA DE PERCUSION Ra 1613123014</t>
  </si>
  <si>
    <t>1600.A01.4TW-000</t>
  </si>
  <si>
    <t>ARBOL DE EXCENTRICA 11335 RA 1616110037</t>
  </si>
  <si>
    <t>1600.A01.4U0-000</t>
  </si>
  <si>
    <t>ARANDELA DE APOYO</t>
  </si>
  <si>
    <t>1600.A01.4U1-000</t>
  </si>
  <si>
    <t>1600.A01.4U2-000</t>
  </si>
  <si>
    <t>Placa intermedia</t>
  </si>
  <si>
    <t>1600.A01.4U3-000</t>
  </si>
  <si>
    <t>1600.A01.4UP-000</t>
  </si>
  <si>
    <t>LLAVE DE ESP.P.TORNILLOS 1EA8.0</t>
  </si>
  <si>
    <t>1600.A01.4UR-000</t>
  </si>
  <si>
    <t>GRAPA 1EA8.0</t>
  </si>
  <si>
    <t>1600.A01.4US-000</t>
  </si>
  <si>
    <t>JUNTA 1EA8.0</t>
  </si>
  <si>
    <t>1600.A01.4UT-000</t>
  </si>
  <si>
    <t>PLACA DE BASE 1EA8.0</t>
  </si>
  <si>
    <t>1600.A01.4VC-000</t>
  </si>
  <si>
    <t>Interruptor De Seguridad</t>
  </si>
  <si>
    <t>1600.A01.4VJ-000</t>
  </si>
  <si>
    <t>ARANDELA 7351</t>
  </si>
  <si>
    <t>1600.A01.4VK-000</t>
  </si>
  <si>
    <t>1600.A01.4VL-000</t>
  </si>
  <si>
    <t>CONTRAPESO 7351</t>
  </si>
  <si>
    <t>1600.A01.50K-000</t>
  </si>
  <si>
    <t>Cable De Acero</t>
  </si>
  <si>
    <t>1600.A01.52P-000</t>
  </si>
  <si>
    <t>Parte Inferior De Protec</t>
  </si>
  <si>
    <t>1600.A01.55U-000</t>
  </si>
  <si>
    <t>ESTANTERÍA</t>
  </si>
  <si>
    <t>1600.A01.55W-000</t>
  </si>
  <si>
    <t>DESENCADENAR</t>
  </si>
  <si>
    <t>1600.A01.55X-000</t>
  </si>
  <si>
    <t>1600.A01.55Y-000</t>
  </si>
  <si>
    <t>PAQUETE PARA BOLSAS</t>
  </si>
  <si>
    <t>1600.A01.564-000</t>
  </si>
  <si>
    <t>1600.A01.5AA-000</t>
  </si>
  <si>
    <t>1600.A01.5E8-000</t>
  </si>
  <si>
    <t>1600.A01.5G7-000</t>
  </si>
  <si>
    <t>TORNILLO CILÍNDRICA RA 2910130244</t>
  </si>
  <si>
    <t>1600.A01.5MM-000</t>
  </si>
  <si>
    <t>1600.A01.5PA-000</t>
  </si>
  <si>
    <t>1600.A01.5RL-000</t>
  </si>
  <si>
    <t>Cacha</t>
  </si>
  <si>
    <t>1600.A01.5RV-000</t>
  </si>
  <si>
    <t>BASE DE PALANCA</t>
  </si>
  <si>
    <t>1600.A01.5UH-000</t>
  </si>
  <si>
    <t>CORREDICA</t>
  </si>
  <si>
    <t>1600.A01.5UW-000</t>
  </si>
  <si>
    <t>ROTOR 19G5.2</t>
  </si>
  <si>
    <t>1600.A01.5X0-000</t>
  </si>
  <si>
    <t>1600.A01.606-000</t>
  </si>
  <si>
    <t>PORTABROCAS RAPIDO Rx 1600A027W8</t>
  </si>
  <si>
    <t>1600.A01.60S-000</t>
  </si>
  <si>
    <t>CAJA DEL ENGRANAJE 19H5</t>
  </si>
  <si>
    <t>1600.A01.60T-000</t>
  </si>
  <si>
    <t>BRUSH PLATE</t>
  </si>
  <si>
    <t>1600.A01.61F-000</t>
  </si>
  <si>
    <t>1600.A01.62B-000</t>
  </si>
  <si>
    <t>CARBONES GSB 450</t>
  </si>
  <si>
    <t>1600.A01.6CY-000</t>
  </si>
  <si>
    <t>1600.A01.6CZ-000</t>
  </si>
  <si>
    <t>1600.A01.6D0-000</t>
  </si>
  <si>
    <t>ARANDELA DE AJUSTE 1C77.5</t>
  </si>
  <si>
    <t>1600.A01.6D1-000</t>
  </si>
  <si>
    <t>1600.A01.6DA-000</t>
  </si>
  <si>
    <t>1600.A01.6DN-000</t>
  </si>
  <si>
    <t>Brida de fijación rápida</t>
  </si>
  <si>
    <t>1600.A01.6EN-000</t>
  </si>
  <si>
    <t>CABEZAL DE TRANSMISION</t>
  </si>
  <si>
    <t>1600.A01.6EP-000</t>
  </si>
  <si>
    <t>CLAVE INVERSA</t>
  </si>
  <si>
    <t>1600.A01.6JC-000</t>
  </si>
  <si>
    <t>1600.A01.6ML-000</t>
  </si>
  <si>
    <t>Revestimiento</t>
  </si>
  <si>
    <t>1600.A01.6MW-000</t>
  </si>
  <si>
    <t>Cable</t>
  </si>
  <si>
    <t>1600.A01.6PP-000</t>
  </si>
  <si>
    <t>Tuerca De Cierre Rapido</t>
  </si>
  <si>
    <t>1600.A01.6PW-000</t>
  </si>
  <si>
    <t>CABLE DE INTERRUPTOR</t>
  </si>
  <si>
    <t>1600.A01.6PX-000</t>
  </si>
  <si>
    <t>1600.A01.6SU-000</t>
  </si>
  <si>
    <t>TECLA INVERSA</t>
  </si>
  <si>
    <t>1600.A01.6U4-000</t>
  </si>
  <si>
    <t>ANILLO DE CUBIERTA</t>
  </si>
  <si>
    <t>1600.A01.6YW-000</t>
  </si>
  <si>
    <t>ESTATOR 19H5</t>
  </si>
  <si>
    <t>1600.A01.6ZT-000</t>
  </si>
  <si>
    <t>1600.A01.74J-000</t>
  </si>
  <si>
    <t>Puente</t>
  </si>
  <si>
    <t>1600.A01.78V-000</t>
  </si>
  <si>
    <t>JUNTA 1FB3.0</t>
  </si>
  <si>
    <t>1600.A01.7EM-000</t>
  </si>
  <si>
    <t>CONMUTADOR 6604 RA 1600A00R6U</t>
  </si>
  <si>
    <t>1600.A01.7HF-000</t>
  </si>
  <si>
    <t>1600.A01.7HH-000</t>
  </si>
  <si>
    <t>Tapa de plástico</t>
  </si>
  <si>
    <t>1600.A01.7J3-000</t>
  </si>
  <si>
    <t>PLACA DE CONTACTO</t>
  </si>
  <si>
    <t>1600.A01.8TN-000</t>
  </si>
  <si>
    <t>Pieza De Ampliación</t>
  </si>
  <si>
    <t>1600.A01.8U8-000</t>
  </si>
  <si>
    <t>Muelle De Torsión</t>
  </si>
  <si>
    <t>1600.A01.8W7-000</t>
  </si>
  <si>
    <t>Grupo Constr. EL</t>
  </si>
  <si>
    <t>1600.A01.8W8-000</t>
  </si>
  <si>
    <t>Caperuza</t>
  </si>
  <si>
    <t>1600.A01.8Z2-000</t>
  </si>
  <si>
    <t>CABLE PLANO</t>
  </si>
  <si>
    <t>1600.A01.92G-000</t>
  </si>
  <si>
    <t>Palanca</t>
  </si>
  <si>
    <t>1600.A01.953-000</t>
  </si>
  <si>
    <t>CUCHILLO LISO</t>
  </si>
  <si>
    <t>1600.A01.95K-000</t>
  </si>
  <si>
    <t>CORREDERA DE INTERRUPTOR</t>
  </si>
  <si>
    <t>1600.A01.9AD-000</t>
  </si>
  <si>
    <t>ARANDELA GLM 120 C</t>
  </si>
  <si>
    <t>1600.A01.9B3-000</t>
  </si>
  <si>
    <t>1600.A01.9DG-000</t>
  </si>
  <si>
    <t>Muelle De Compresion</t>
  </si>
  <si>
    <t>1600.A01.9F0-000</t>
  </si>
  <si>
    <t>PERCUSOR</t>
  </si>
  <si>
    <t>1600.A01.9H0-000</t>
  </si>
  <si>
    <t>1600.A01.9L6-000</t>
  </si>
  <si>
    <t>1600.A01.9L7-000</t>
  </si>
  <si>
    <t>1600.A01.9L8-000</t>
  </si>
  <si>
    <t>1600.A01.9TP-000</t>
  </si>
  <si>
    <t>Anillo De Mando</t>
  </si>
  <si>
    <t>1600.A01.9TY-000</t>
  </si>
  <si>
    <t>PROTECTOR DE CUBIERTA</t>
  </si>
  <si>
    <t>1600.A01.9WL-000</t>
  </si>
  <si>
    <t>Indexing Disk</t>
  </si>
  <si>
    <t>1600.A01.9XJ-000</t>
  </si>
  <si>
    <t>Placa De Apoyo</t>
  </si>
  <si>
    <t>1600.A01.9Z0-000</t>
  </si>
  <si>
    <t>PISTÓN</t>
  </si>
  <si>
    <t>1600.A01.9Z4-000</t>
  </si>
  <si>
    <t>Manga amplia</t>
  </si>
  <si>
    <t>1600.A01.A4D-000</t>
  </si>
  <si>
    <t>Tope De Profundidad</t>
  </si>
  <si>
    <t>1600.A01.A54-000</t>
  </si>
  <si>
    <t>Junta estanca al polvo</t>
  </si>
  <si>
    <t>1600.A01.A6N-000</t>
  </si>
  <si>
    <t>1600.A01.A6S-000</t>
  </si>
  <si>
    <t>Rotor</t>
  </si>
  <si>
    <t>1600.A01.A78-000</t>
  </si>
  <si>
    <t>Pieza Posterior Caja</t>
  </si>
  <si>
    <t>1600.A01.AH5-000</t>
  </si>
  <si>
    <t>1600.A01.AH6-000</t>
  </si>
  <si>
    <t>1600.A01.AV6-000</t>
  </si>
  <si>
    <t>PALANCA DE INVERSION 19H5</t>
  </si>
  <si>
    <t>1600.A01.B11-000</t>
  </si>
  <si>
    <t>Palanca De Bloqueo</t>
  </si>
  <si>
    <t>1600.A01.B36-000</t>
  </si>
  <si>
    <t>Pedestal De Cojinete</t>
  </si>
  <si>
    <t>1600.A01.B3C-000</t>
  </si>
  <si>
    <t>Embolo Del Martillo Ra 1619994A0L</t>
  </si>
  <si>
    <t>1600.A01.B3E-000</t>
  </si>
  <si>
    <t>1600.A01.B3F-000</t>
  </si>
  <si>
    <t>Golpeador</t>
  </si>
  <si>
    <t>1600.A01.B3G-000</t>
  </si>
  <si>
    <t>Cojinete De Deslizamient  !B</t>
  </si>
  <si>
    <t>1600.A01.B64-000</t>
  </si>
  <si>
    <t>INTERRUPTOR - 3310</t>
  </si>
  <si>
    <t>1600.A01.B74-000</t>
  </si>
  <si>
    <t>SUJECIÓN</t>
  </si>
  <si>
    <t>1600.A01.B75-000</t>
  </si>
  <si>
    <t>1600.A01.B9G-000</t>
  </si>
  <si>
    <t>MOTOR</t>
  </si>
  <si>
    <t>1600.A01.B9J-000</t>
  </si>
  <si>
    <t>ZELLEN-CLUSTER</t>
  </si>
  <si>
    <t>1600.A01.BG3-000</t>
  </si>
  <si>
    <t>Excéntrico</t>
  </si>
  <si>
    <t>1600.A01.BG6-000</t>
  </si>
  <si>
    <t>CLAVIJA DE PERCUSION 1245.7</t>
  </si>
  <si>
    <t>1600.A01.BH0-000</t>
  </si>
  <si>
    <t>CINTA DE FIXAÇAO</t>
  </si>
  <si>
    <t>1600.A01.C3T-000</t>
  </si>
  <si>
    <t>Soporte Presor</t>
  </si>
  <si>
    <t>1600.A01.C7L-000</t>
  </si>
  <si>
    <t>BOTÓN</t>
  </si>
  <si>
    <t>1600.A01.C8C-000</t>
  </si>
  <si>
    <t>MUELLE OSCILANTE</t>
  </si>
  <si>
    <t>1600.A01.C8L-000</t>
  </si>
  <si>
    <t>1600.A01.C8X-000</t>
  </si>
  <si>
    <t>PALANCA</t>
  </si>
  <si>
    <t>1600.A01.C95-000</t>
  </si>
  <si>
    <t>Unidad De Conmutacion</t>
  </si>
  <si>
    <t>1600.A01.C9M-000</t>
  </si>
  <si>
    <t>ET MOTOR GROUP</t>
  </si>
  <si>
    <t>1600.A01.D0V-000</t>
  </si>
  <si>
    <t>HOJAS DE AVISO</t>
  </si>
  <si>
    <t>1600.A01.D0W-000</t>
  </si>
  <si>
    <t>Arandela De Seguridad</t>
  </si>
  <si>
    <t>1600.A01.D6X-000</t>
  </si>
  <si>
    <t>INTERRUPTOR DE PALANCA</t>
  </si>
  <si>
    <t>1600.A01.D7B-000</t>
  </si>
  <si>
    <t>Capota Para El Motor</t>
  </si>
  <si>
    <t>1600.A01.D7C-000</t>
  </si>
  <si>
    <t>Cubremotor</t>
  </si>
  <si>
    <t>1600.A01.D7D-000</t>
  </si>
  <si>
    <t>Tapa De Ventilador</t>
  </si>
  <si>
    <t>1600.A01.D8L-000</t>
  </si>
  <si>
    <t>CUÑA DE RANURAR</t>
  </si>
  <si>
    <t>1600.A01.D8N-000</t>
  </si>
  <si>
    <t>PINTURA</t>
  </si>
  <si>
    <t>1600.A01.D8P-000</t>
  </si>
  <si>
    <t>MESA</t>
  </si>
  <si>
    <t>1600.A01.D8R-000</t>
  </si>
  <si>
    <t>INSERTAR</t>
  </si>
  <si>
    <t>1600.A01.D8S-000</t>
  </si>
  <si>
    <t>MESA DESLIZANTE</t>
  </si>
  <si>
    <t>1600.A01.D8T-000</t>
  </si>
  <si>
    <t>1600.A01.D8U-000</t>
  </si>
  <si>
    <t>CARRIL</t>
  </si>
  <si>
    <t>1600.A01.D8V-000</t>
  </si>
  <si>
    <t>1600.A01.D8W-000</t>
  </si>
  <si>
    <t>EJE</t>
  </si>
  <si>
    <t>1600.A01.D8X-000</t>
  </si>
  <si>
    <t>CINTA MÉTRICA</t>
  </si>
  <si>
    <t>1600.A01.D8Y-000</t>
  </si>
  <si>
    <t>BLOQUE DE RESPALDO</t>
  </si>
  <si>
    <t>1600.A01.D8Z-000</t>
  </si>
  <si>
    <t>CABALLO DE APOYO</t>
  </si>
  <si>
    <t>1600.A01.D90-000</t>
  </si>
  <si>
    <t>EDUCACIÓN FÍSICA</t>
  </si>
  <si>
    <t>1600.A01.D91-000</t>
  </si>
  <si>
    <t>CUBIERTA Ra 2610017014</t>
  </si>
  <si>
    <t>1600.A01.DD4-000</t>
  </si>
  <si>
    <t>Arandela Ondulada</t>
  </si>
  <si>
    <t>1600.A01.E0A-000</t>
  </si>
  <si>
    <t>Tapa Del Cuerpo</t>
  </si>
  <si>
    <t>1600.A01.E10-000</t>
  </si>
  <si>
    <t>1600.A01.E7S-000</t>
  </si>
  <si>
    <t>PINZA DE SUJECION</t>
  </si>
  <si>
    <t>1600.A01.E7T-000</t>
  </si>
  <si>
    <t>Pinza De Sujecion</t>
  </si>
  <si>
    <t>1600.A01.E7U-000</t>
  </si>
  <si>
    <t>1600.A01.E9C-000</t>
  </si>
  <si>
    <t>Cinta Tensora</t>
  </si>
  <si>
    <t>1600.A01.EC4-000</t>
  </si>
  <si>
    <t>MÓDULO ELECTRÓNICO BAJO</t>
  </si>
  <si>
    <t>1600.A01.H00-000</t>
  </si>
  <si>
    <t>Tornillo Cabeza Cilindr.</t>
  </si>
  <si>
    <t>1600.A01.L55-000</t>
  </si>
  <si>
    <t>1600.A01.L56-000</t>
  </si>
  <si>
    <t>1600.A01.L7D-000</t>
  </si>
  <si>
    <t>PRESIONAR EL BOTÓN</t>
  </si>
  <si>
    <t>1600.A01.LJ8-000</t>
  </si>
  <si>
    <t>CEPILLO</t>
  </si>
  <si>
    <t>1600.A01.LJ9-000</t>
  </si>
  <si>
    <t>1600.A01.M4B-000</t>
  </si>
  <si>
    <t>GRAPA</t>
  </si>
  <si>
    <t>1600.A01.M59-000</t>
  </si>
  <si>
    <t>TUERCA HEXAGONAL</t>
  </si>
  <si>
    <t>1600.A01.M8Z-000</t>
  </si>
  <si>
    <t>ENGRENAGEM PLANETARIA</t>
  </si>
  <si>
    <t>1600.A01.MH9-000</t>
  </si>
  <si>
    <t>SEMI-ACOPLAMIENTO -19J85</t>
  </si>
  <si>
    <t>1600.A01.MN8-000</t>
  </si>
  <si>
    <t>Brazo De Cojinete</t>
  </si>
  <si>
    <t>1600.A01.N0J-000</t>
  </si>
  <si>
    <t>Mango (Mango; Mango)</t>
  </si>
  <si>
    <t>1600.A01.N0N-000</t>
  </si>
  <si>
    <t>Tornillo Redondeada Torx</t>
  </si>
  <si>
    <t>1600.A01.N0V-000</t>
  </si>
  <si>
    <t>Conjunto de casquillos</t>
  </si>
  <si>
    <t>1600.A01.N64-000</t>
  </si>
  <si>
    <t>Motor</t>
  </si>
  <si>
    <t>1600.A01.N8R-000</t>
  </si>
  <si>
    <t>Unidad tapa</t>
  </si>
  <si>
    <t>1600.A01.N8S-000</t>
  </si>
  <si>
    <t>Corona De Agujas</t>
  </si>
  <si>
    <t>1600.A01.N9M-000</t>
  </si>
  <si>
    <t>1600.A01.NA9-000</t>
  </si>
  <si>
    <t>1600.A01.NC3-000</t>
  </si>
  <si>
    <t>1600.A01.NE4-000</t>
  </si>
  <si>
    <t>PROTECTOR CONTRA SALPICADURAS</t>
  </si>
  <si>
    <t>1600.A01.P3K-000</t>
  </si>
  <si>
    <t>Interruptores Acero, Poliamida Fer. Eléc</t>
  </si>
  <si>
    <t>1600.A01.P8Z-000</t>
  </si>
  <si>
    <t>Módulo LED</t>
  </si>
  <si>
    <t>1600.A01.PG3-000</t>
  </si>
  <si>
    <t>1600.A01.PN1-000</t>
  </si>
  <si>
    <t>1600.A01.R18-000</t>
  </si>
  <si>
    <t>1600.A01.R1M-000</t>
  </si>
  <si>
    <t>Cubierta plástica</t>
  </si>
  <si>
    <t>1600.A01.R7G-000</t>
  </si>
  <si>
    <t>Arandela 8V-400</t>
  </si>
  <si>
    <t>1600.A01.R96-000</t>
  </si>
  <si>
    <t>CUBIERTA PROTECTORA</t>
  </si>
  <si>
    <t>1600.A01.RH6-000</t>
  </si>
  <si>
    <t>RESORTE</t>
  </si>
  <si>
    <t>1600.A01.RH7-000</t>
  </si>
  <si>
    <t>Palanca De Inversion</t>
  </si>
  <si>
    <t>1600.A01.RJ3-000</t>
  </si>
  <si>
    <t>1600.A01.RJ5-000</t>
  </si>
  <si>
    <t>CAJA DE CAMBIOS -19J85</t>
  </si>
  <si>
    <t>1600.A01.RX5-000</t>
  </si>
  <si>
    <t>1600.A01.S0T-000</t>
  </si>
  <si>
    <t>1600.A01.S1M-000</t>
  </si>
  <si>
    <t>ADAPTADOR BATERIAS 36V-LI Ra 1609244B67</t>
  </si>
  <si>
    <t>1600.A01.S8V-000</t>
  </si>
  <si>
    <t>Apoyo</t>
  </si>
  <si>
    <t>1600.A01.SH6-000</t>
  </si>
  <si>
    <t>Grupo De Montaje Carcasa</t>
  </si>
  <si>
    <t>1600.A01.T3V-000</t>
  </si>
  <si>
    <t>ESTATOR</t>
  </si>
  <si>
    <t>1600.A01.T49-000</t>
  </si>
  <si>
    <t>Rueda de aletas</t>
  </si>
  <si>
    <t>1600.A01.T4A-000</t>
  </si>
  <si>
    <t>Correa Plana</t>
  </si>
  <si>
    <t>1600.A01.T4C-000</t>
  </si>
  <si>
    <t>Tobera</t>
  </si>
  <si>
    <t>1600.A01.T91-000</t>
  </si>
  <si>
    <t>ANILLO DE ACOPLAMIENTO</t>
  </si>
  <si>
    <t>1600.A01.TA7-000</t>
  </si>
  <si>
    <t>Tornillo de cabeza plana</t>
  </si>
  <si>
    <t>1600.A01.TD0-000</t>
  </si>
  <si>
    <t>Eje De Piston Ra 1613105020 </t>
  </si>
  <si>
    <t>1600.A01.TJ5-000</t>
  </si>
  <si>
    <t>TORNILLO DE CABEZA</t>
  </si>
  <si>
    <t>1600.A01.TN9-000</t>
  </si>
  <si>
    <t>1600.A01.U33-000</t>
  </si>
  <si>
    <t>Cojinete de accionamiento</t>
  </si>
  <si>
    <t>1600.A01.U34-000</t>
  </si>
  <si>
    <t>EMBOLO DEL MARTILLO Ra1617000557</t>
  </si>
  <si>
    <t>1600.A01.UT1-000</t>
  </si>
  <si>
    <t>Placa De Compensacion</t>
  </si>
  <si>
    <t>1600.A01.V56-000</t>
  </si>
  <si>
    <t>JUEGO DE CONVERSION</t>
  </si>
  <si>
    <t>1600.A01.V6E-000</t>
  </si>
  <si>
    <t>cubierta plástica</t>
  </si>
  <si>
    <t>1600.A01.V6F-000</t>
  </si>
  <si>
    <t>1600.A01.V6K-000</t>
  </si>
  <si>
    <t>1600.A01.V6L-000</t>
  </si>
  <si>
    <t>1600.A01.VF0-000</t>
  </si>
  <si>
    <t>Goma</t>
  </si>
  <si>
    <t>1600.A01.VF1-000</t>
  </si>
  <si>
    <t>1600.A01.VP3-000</t>
  </si>
  <si>
    <t>Unidad tapa-junta anular</t>
  </si>
  <si>
    <t>1600.A01.YB7-000</t>
  </si>
  <si>
    <t>Caperuza de Goma 8V-400</t>
  </si>
  <si>
    <t>1600.A01.YE8-000</t>
  </si>
  <si>
    <t>Portabrocas Rapido</t>
  </si>
  <si>
    <t>1600.A01.YV1-000</t>
  </si>
  <si>
    <t>1600.A01.ZK6-000</t>
  </si>
  <si>
    <t>Semiacoplamiento 8V-400</t>
  </si>
  <si>
    <t>1600.A01.ZK8-000</t>
  </si>
  <si>
    <t>Arbol Intermediario 8V-400</t>
  </si>
  <si>
    <t>1600.A01.ZM8-000</t>
  </si>
  <si>
    <t>Juego Piezas Interruptor</t>
  </si>
  <si>
    <t>1600.A01.ZN0-000</t>
  </si>
  <si>
    <t>1600.A01.ZT9-000</t>
  </si>
  <si>
    <t>1600.A02.0T1-000</t>
  </si>
  <si>
    <t>Modulo Electronico</t>
  </si>
  <si>
    <t>1600.A02.0WP-000</t>
  </si>
  <si>
    <t>Estuche</t>
  </si>
  <si>
    <t>1600.A02.0XW-000</t>
  </si>
  <si>
    <t>Línea De Puesta A Tierra</t>
  </si>
  <si>
    <t>1600.A02.10V-000</t>
  </si>
  <si>
    <t>Etiqueta</t>
  </si>
  <si>
    <t>1600.A02.13M-000</t>
  </si>
  <si>
    <t>Arbol Intermediario</t>
  </si>
  <si>
    <t>1600.A02.13N-000</t>
  </si>
  <si>
    <t>Arbol Receptor</t>
  </si>
  <si>
    <t>1600.A02.21L-000</t>
  </si>
  <si>
    <t>VAINA PROTECTORA</t>
  </si>
  <si>
    <t>1600.A02.2BK-000</t>
  </si>
  <si>
    <t>Cuna De Partir</t>
  </si>
  <si>
    <t>1600.A02.2BL-000</t>
  </si>
  <si>
    <t>1600.A02.2BM-000</t>
  </si>
  <si>
    <t>Contraarandela</t>
  </si>
  <si>
    <t>1600.A02.2BN-000</t>
  </si>
  <si>
    <t>1600.A02.2BP-000</t>
  </si>
  <si>
    <t>1600.A02.2BR-000</t>
  </si>
  <si>
    <t>1600.A02.2BS-000</t>
  </si>
  <si>
    <t>1600.A02.2BT-000</t>
  </si>
  <si>
    <t>Perno De Trinquete</t>
  </si>
  <si>
    <t>1600.A02.2BW-000</t>
  </si>
  <si>
    <t>Pin</t>
  </si>
  <si>
    <t>1600.A02.2BY-000</t>
  </si>
  <si>
    <t>Abrazadera De Apriete</t>
  </si>
  <si>
    <t>1600.A02.2C0-000</t>
  </si>
  <si>
    <t>Boton</t>
  </si>
  <si>
    <t>1600.A02.2C3-000</t>
  </si>
  <si>
    <t>Muelle De Torsion</t>
  </si>
  <si>
    <t>1600.A02.2C4-000</t>
  </si>
  <si>
    <t>Resorte De Conexion</t>
  </si>
  <si>
    <t>1600.A02.2C7-000</t>
  </si>
  <si>
    <t>1600.A02.2C9-000</t>
  </si>
  <si>
    <t>1600.A02.2CC-000</t>
  </si>
  <si>
    <t>Empaquetadura Plana</t>
  </si>
  <si>
    <t>1600.A02.2CD-000</t>
  </si>
  <si>
    <t>1600.A02.2CF-000</t>
  </si>
  <si>
    <t>Tuerca</t>
  </si>
  <si>
    <t>1600.A02.2CG-000</t>
  </si>
  <si>
    <t>1600.A02.2CH-000</t>
  </si>
  <si>
    <t>1600.A02.2CJ-000</t>
  </si>
  <si>
    <t>1600.A02.2CK-000</t>
  </si>
  <si>
    <t>1600.A02.2CL-000</t>
  </si>
  <si>
    <t>1600.A02.2CM-000</t>
  </si>
  <si>
    <t>Perno</t>
  </si>
  <si>
    <t>1600.A02.2CN-000</t>
  </si>
  <si>
    <t>1600.A02.2CP-000</t>
  </si>
  <si>
    <t>1600.A02.2CX-000</t>
  </si>
  <si>
    <t>palanca de bloqueo</t>
  </si>
  <si>
    <t>1600.A02.2CY-000</t>
  </si>
  <si>
    <t>Protección</t>
  </si>
  <si>
    <t>1600.A02.2CZ-000</t>
  </si>
  <si>
    <t>1600.A02.2D0-000</t>
  </si>
  <si>
    <t>1600.A02.2D1-000</t>
  </si>
  <si>
    <t>Aguja</t>
  </si>
  <si>
    <t>1600.A02.2D6-000</t>
  </si>
  <si>
    <t>Tapa De Interruptor</t>
  </si>
  <si>
    <t>1600.A02.2D7-000</t>
  </si>
  <si>
    <t>Varilla De Empuje</t>
  </si>
  <si>
    <t>1600.A02.2D8-000</t>
  </si>
  <si>
    <t>Barra</t>
  </si>
  <si>
    <t>1600.A02.2DA-000</t>
  </si>
  <si>
    <t>1600.A02.2DD-000</t>
  </si>
  <si>
    <t>Asiento</t>
  </si>
  <si>
    <t>1600.A02.2DE-000</t>
  </si>
  <si>
    <t>1600.A02.2DF-000</t>
  </si>
  <si>
    <t>1600.A02.2DG-000</t>
  </si>
  <si>
    <t>1600.A02.2DH-000</t>
  </si>
  <si>
    <t>1600.A02.2DJ-000</t>
  </si>
  <si>
    <t>1600.A02.2DK-000</t>
  </si>
  <si>
    <t>1600.A02.2DL-000</t>
  </si>
  <si>
    <t>1600.A02.2DM-000</t>
  </si>
  <si>
    <t>Placa De Tope</t>
  </si>
  <si>
    <t>1600.A02.2DN-000</t>
  </si>
  <si>
    <t>1600.A02.2DP-000</t>
  </si>
  <si>
    <t>placa de montaje</t>
  </si>
  <si>
    <t>1600.A02.2DS-000</t>
  </si>
  <si>
    <t>Chapa</t>
  </si>
  <si>
    <t>1600.A02.2DT-000</t>
  </si>
  <si>
    <t>1600.A02.2DU-000</t>
  </si>
  <si>
    <t>1600.A02.2DV-000</t>
  </si>
  <si>
    <t>1600.A02.2DY-000</t>
  </si>
  <si>
    <t>1600.A02.2DZ-000</t>
  </si>
  <si>
    <t>1600.A02.2E0-000</t>
  </si>
  <si>
    <t>1600.A02.2E1-000</t>
  </si>
  <si>
    <t>1600.A02.2E2-000</t>
  </si>
  <si>
    <t>1600.A02.2E3-000</t>
  </si>
  <si>
    <t>1600.A02.2E4-000</t>
  </si>
  <si>
    <t>1600.A02.2E5-000</t>
  </si>
  <si>
    <t>1600.A02.2E8-000</t>
  </si>
  <si>
    <t>1600.A02.2E9-000</t>
  </si>
  <si>
    <t>1600.A02.2EA-000</t>
  </si>
  <si>
    <t>Manguito</t>
  </si>
  <si>
    <t>1600.A02.2EB-000</t>
  </si>
  <si>
    <t>1600.A02.2EC-000</t>
  </si>
  <si>
    <t>1600.A02.2ED-000</t>
  </si>
  <si>
    <t>Asa</t>
  </si>
  <si>
    <t>1600.A02.2EG-000</t>
  </si>
  <si>
    <t>Tope</t>
  </si>
  <si>
    <t>1600.A02.2EL-000</t>
  </si>
  <si>
    <t>Hilo De Conexion</t>
  </si>
  <si>
    <t>1600.A02.2EP-000</t>
  </si>
  <si>
    <t>Escala</t>
  </si>
  <si>
    <t>1600.A02.2ER-000</t>
  </si>
  <si>
    <t>1600.A02.2ES-000</t>
  </si>
  <si>
    <t>Brazo De Sujecion</t>
  </si>
  <si>
    <t>1600.A02.2ET-000</t>
  </si>
  <si>
    <t>Base</t>
  </si>
  <si>
    <t>1600.A02.2EU-000</t>
  </si>
  <si>
    <t>1600.A02.2EX-000</t>
  </si>
  <si>
    <t>Bastidor</t>
  </si>
  <si>
    <t>1600.A02.2EY-000</t>
  </si>
  <si>
    <t>Soporte-Pie</t>
  </si>
  <si>
    <t>1600.A02.2EZ-000</t>
  </si>
  <si>
    <t>Disparador</t>
  </si>
  <si>
    <t>1600.A02.2F1-000</t>
  </si>
  <si>
    <t>1600.A02.2F2-000</t>
  </si>
  <si>
    <t>Grapa</t>
  </si>
  <si>
    <t>1600.A02.2F4-000</t>
  </si>
  <si>
    <t>anillo elastico</t>
  </si>
  <si>
    <t>1600.A02.2F5-000</t>
  </si>
  <si>
    <t>Placa De Mesa</t>
  </si>
  <si>
    <t>1600.A02.2F6-000</t>
  </si>
  <si>
    <t>1600.A02.2F7-000</t>
  </si>
  <si>
    <t>1600.A02.2F8-000</t>
  </si>
  <si>
    <t>Rueda Indice</t>
  </si>
  <si>
    <t>1600.A02.2F9-000</t>
  </si>
  <si>
    <t>Indicador</t>
  </si>
  <si>
    <t>1600.A02.2FA-000</t>
  </si>
  <si>
    <t>Brida</t>
  </si>
  <si>
    <t>1600.A02.2FB-000</t>
  </si>
  <si>
    <t>1600.A02.2FD-000</t>
  </si>
  <si>
    <t>1600.A02.2FE-000</t>
  </si>
  <si>
    <t>Rueda</t>
  </si>
  <si>
    <t>1600.A02.2FF-000</t>
  </si>
  <si>
    <t>1600.A02.2FG-000</t>
  </si>
  <si>
    <t>Eje</t>
  </si>
  <si>
    <t>1600.A02.2FK-000</t>
  </si>
  <si>
    <t>1600.A02.2FM-000</t>
  </si>
  <si>
    <t>Palanca De Apriete</t>
  </si>
  <si>
    <t>1600.A02.2FN-000</t>
  </si>
  <si>
    <t>1600.A02.2FP-000</t>
  </si>
  <si>
    <t>Chaveta De Disco</t>
  </si>
  <si>
    <t>1600.A02.2FR-000</t>
  </si>
  <si>
    <t>1600.A02.2FS-000</t>
  </si>
  <si>
    <t>pad</t>
  </si>
  <si>
    <t>1600.A02.2FT-000</t>
  </si>
  <si>
    <t>Canalizador</t>
  </si>
  <si>
    <t>1600.A02.2FU-000</t>
  </si>
  <si>
    <t>1600.A02.2FV-000</t>
  </si>
  <si>
    <t>Pata De Mesa</t>
  </si>
  <si>
    <t>1600.A02.2FW-000</t>
  </si>
  <si>
    <t>Chaveta De Sujecion</t>
  </si>
  <si>
    <t>1600.A02.2FX-000</t>
  </si>
  <si>
    <t>Llave De Montaje</t>
  </si>
  <si>
    <t>1600.A02.2FY-000</t>
  </si>
  <si>
    <t>Soporte Para Equipos</t>
  </si>
  <si>
    <t>1600.A02.2FZ-000</t>
  </si>
  <si>
    <t>Cuerpo</t>
  </si>
  <si>
    <t>1600.A02.2G5-000</t>
  </si>
  <si>
    <t>1600.A02.30T-000</t>
  </si>
  <si>
    <t>1600.A02.354-000</t>
  </si>
  <si>
    <t>CUBIERTA</t>
  </si>
  <si>
    <t>1600.A02.3G7-000</t>
  </si>
  <si>
    <t>gancho de plastico</t>
  </si>
  <si>
    <t>1600.A02.3J3-000</t>
  </si>
  <si>
    <t>SOLENOIDE</t>
  </si>
  <si>
    <t>1600.A02.3VS-000</t>
  </si>
  <si>
    <t>1600.A02.3VT-000</t>
  </si>
  <si>
    <t>Tecla</t>
  </si>
  <si>
    <t>1600.A02.3VV-000</t>
  </si>
  <si>
    <t>1600.A02.4AU-000</t>
  </si>
  <si>
    <t>ferrita</t>
  </si>
  <si>
    <t>1600.A02.4AZ-000</t>
  </si>
  <si>
    <t>1600.A02.4N1-000</t>
  </si>
  <si>
    <t>1600.A02.4SC-000</t>
  </si>
  <si>
    <t>1600.A02.4SG-000</t>
  </si>
  <si>
    <t>Rueda Dentada Interior</t>
  </si>
  <si>
    <t>1600.A02.4X4-000</t>
  </si>
  <si>
    <t>PAR DE ENGRANAJES 7 "</t>
  </si>
  <si>
    <t>1600.A02.4X5-000</t>
  </si>
  <si>
    <t>PAR DE ENGRANAJES 9 "</t>
  </si>
  <si>
    <t>1600.A02.4YV-000</t>
  </si>
  <si>
    <t>Juego De Ruedas Conicas</t>
  </si>
  <si>
    <t>1600.A02.4YW-000</t>
  </si>
  <si>
    <t>Juego De Ruedas Conicas Ra 1607000CN7</t>
  </si>
  <si>
    <t>1600.A02.50N-000</t>
  </si>
  <si>
    <t>PAR DE ENGRANAJES 22U</t>
  </si>
  <si>
    <t>1600.A02.5F2-000</t>
  </si>
  <si>
    <t>1600.A02.5FA-000</t>
  </si>
  <si>
    <t>Resorte Oscilante</t>
  </si>
  <si>
    <t>1600.A02.5FB-000</t>
  </si>
  <si>
    <t>Barrilete</t>
  </si>
  <si>
    <t>1600.A02.5V9-000</t>
  </si>
  <si>
    <t>TERMINAL BLOQUEO POSITIVO AISLADOR 6.3X0</t>
  </si>
  <si>
    <t>1600.A02.61R-000</t>
  </si>
  <si>
    <t>SEPARADOR</t>
  </si>
  <si>
    <t>1600.A02.6DC-000</t>
  </si>
  <si>
    <t>Cremallera</t>
  </si>
  <si>
    <t>1600.A02.6DE-000</t>
  </si>
  <si>
    <t>Brida De Apoyo</t>
  </si>
  <si>
    <t>1600.A02.6PN-000</t>
  </si>
  <si>
    <t>1600.A02.6PP-000</t>
  </si>
  <si>
    <t>Semiacoplamiento</t>
  </si>
  <si>
    <t>1600.A02.6YU-000</t>
  </si>
  <si>
    <t>1600.A02.7H7-000</t>
  </si>
  <si>
    <t>RUEDA DENTADA EXCENTRICA</t>
  </si>
  <si>
    <t>1600.A02.7VK-000</t>
  </si>
  <si>
    <t>Conj. Mandril - GSB13</t>
  </si>
  <si>
    <t>1600.A02.7W8-000</t>
  </si>
  <si>
    <t>PORTABROCAS RAPIDO Ra 1600A01606</t>
  </si>
  <si>
    <t>1600.A02.8H1-000</t>
  </si>
  <si>
    <t>ELEMENTO DE AQUECIMENTO 220V 8003</t>
  </si>
  <si>
    <t>1600.A02.9B2-000</t>
  </si>
  <si>
    <t>COMUTADOR REVERSÃO</t>
  </si>
  <si>
    <t>1600.A02.9GR-000</t>
  </si>
  <si>
    <t>INTERRUPTOR</t>
  </si>
  <si>
    <t>1601.000.001-000</t>
  </si>
  <si>
    <t>CONTRA CUCHILLA 0850.0</t>
  </si>
  <si>
    <t>1601.000.013-000</t>
  </si>
  <si>
    <t>PLACA 1,5MM(1106/1107/71/3219/6423</t>
  </si>
  <si>
    <t>1601.000.016-000</t>
  </si>
  <si>
    <t>PLACA 2 MM 1106 - DISCONTINUADO</t>
  </si>
  <si>
    <t>1601.006.006-000</t>
  </si>
  <si>
    <t>PLACA</t>
  </si>
  <si>
    <t>1601.006.011-000</t>
  </si>
  <si>
    <t>JUNTA 18B8/18B7</t>
  </si>
  <si>
    <t>1601.006.014-000</t>
  </si>
  <si>
    <t>ANILLO 1825</t>
  </si>
  <si>
    <t>1601.008.005-000</t>
  </si>
  <si>
    <t>PLACA AISLANTE 1H25.0/1G90.0</t>
  </si>
  <si>
    <t>1601.010.007-000</t>
  </si>
  <si>
    <t>PLACA DE GUIA 3270/1274</t>
  </si>
  <si>
    <t>1601.010.009-000</t>
  </si>
  <si>
    <t>JUNTA 0836.1/1597</t>
  </si>
  <si>
    <t>1601.010.010-000</t>
  </si>
  <si>
    <t>PLACA AISLANTE</t>
  </si>
  <si>
    <t>1601.010.058-000</t>
  </si>
  <si>
    <t>PLACA AISLANTE  11900</t>
  </si>
  <si>
    <t>1601.014.000-000</t>
  </si>
  <si>
    <t>CORDON DE JUNTA 2209/2305</t>
  </si>
  <si>
    <t>1601.014.005-000</t>
  </si>
  <si>
    <t>CINTA 1321-DICONTINUADO</t>
  </si>
  <si>
    <t>1601.015.011-000</t>
  </si>
  <si>
    <t>JUNTA  2334.1</t>
  </si>
  <si>
    <t>1601.015.013-000</t>
  </si>
  <si>
    <t>1601.015.016-000</t>
  </si>
  <si>
    <t>JUNTA 1557.0</t>
  </si>
  <si>
    <t>1601.015.035-000</t>
  </si>
  <si>
    <t>PLACA DE AJUSTE 0836.1/1597</t>
  </si>
  <si>
    <t>1601.016.013-000</t>
  </si>
  <si>
    <t>PIEZA 11256.2</t>
  </si>
  <si>
    <t>1601.021.005-000</t>
  </si>
  <si>
    <t>CHAPA 11250.7</t>
  </si>
  <si>
    <t>1601.025.001-000</t>
  </si>
  <si>
    <t>GUÍA CABLE GDC 14-40</t>
  </si>
  <si>
    <t>1601.030.022-000</t>
  </si>
  <si>
    <t>CHAPA DE FIJACION 1366/.6/1551.1/1619</t>
  </si>
  <si>
    <t>1601.030.024-000</t>
  </si>
  <si>
    <t>PLACA DISCONTINUADO</t>
  </si>
  <si>
    <t>1601.030.025-000</t>
  </si>
  <si>
    <t>1601.034.025-000</t>
  </si>
  <si>
    <t>PLACA BASE-DISCONTINUADO</t>
  </si>
  <si>
    <t>1601.034.035-000</t>
  </si>
  <si>
    <t>PLACA OBSOLETO</t>
  </si>
  <si>
    <t>1601.035.008-000</t>
  </si>
  <si>
    <t>Sujetador De Cable</t>
  </si>
  <si>
    <t>1601.037.006-000</t>
  </si>
  <si>
    <t>PLACA AISLA 1321-22-31-32 DISCONTINUADO</t>
  </si>
  <si>
    <t>1601.037.007-000</t>
  </si>
  <si>
    <t>1601.038.026-000</t>
  </si>
  <si>
    <t>PLACA BASE 3254.0 OBSOLETO</t>
  </si>
  <si>
    <t>1601.038.029-000</t>
  </si>
  <si>
    <t>BASE 1285 DISCONTINUADO</t>
  </si>
  <si>
    <t>1601.071.000-000</t>
  </si>
  <si>
    <t>PLACA AISLANTE 1H31</t>
  </si>
  <si>
    <t>1601.098.005-000</t>
  </si>
  <si>
    <t>PLACA 3270.0 RX 2601098040-000</t>
  </si>
  <si>
    <t>1601.098.006-000</t>
  </si>
  <si>
    <t>PLACA 3270 DISCONTINUADO.</t>
  </si>
  <si>
    <t>1601.098.008-000</t>
  </si>
  <si>
    <t>PORTAESPADA 0836.1/1597</t>
  </si>
  <si>
    <t>1601.099.011-000</t>
  </si>
  <si>
    <t>CORREDERA DISCONT.</t>
  </si>
  <si>
    <t>1601.106.999-000</t>
  </si>
  <si>
    <t>PLACA DE CARACT 1274 RX 1601.106.032-000</t>
  </si>
  <si>
    <t>1601.118.035-000</t>
  </si>
  <si>
    <t>PLACA DE MARCA 0822</t>
  </si>
  <si>
    <t>1601.118.969-000</t>
  </si>
  <si>
    <t>PLACA DE CARACTERISTICAS 0822</t>
  </si>
  <si>
    <t>1601.118.A55-000</t>
  </si>
  <si>
    <t>CHAPA IDENTIFICACION 1619 RX 1601118T270</t>
  </si>
  <si>
    <t>1601.118.A64-000</t>
  </si>
  <si>
    <t>ADHESIVO "TIRAR" 0836.1/1597</t>
  </si>
  <si>
    <t>1601.118.A77-000</t>
  </si>
  <si>
    <t>PLACA DE MARCA 1805</t>
  </si>
  <si>
    <t>1601.118.S69-000</t>
  </si>
  <si>
    <t>1601.118.T27-000</t>
  </si>
  <si>
    <t>PLACA DE ADVERTENCIA</t>
  </si>
  <si>
    <t>1601.11A.3H0-000</t>
  </si>
  <si>
    <t>1601.11A.3H3-000</t>
  </si>
  <si>
    <t>nameplate</t>
  </si>
  <si>
    <t>1601.11A.3H5-000</t>
  </si>
  <si>
    <t>PLACA DE CARACTERÍSTICAS 1C36.0</t>
  </si>
  <si>
    <t>1601.11A.3H9-000</t>
  </si>
  <si>
    <t>1601.11A.3RV-000</t>
  </si>
  <si>
    <t>1601.11A.4AX-000</t>
  </si>
  <si>
    <t>PLACA DE MARCA 193A3</t>
  </si>
  <si>
    <t>1601.11A.4XG-000</t>
  </si>
  <si>
    <t>1601.11A.51D-000</t>
  </si>
  <si>
    <t>Placa de nombre</t>
  </si>
  <si>
    <t>1601.11A.54D-000</t>
  </si>
  <si>
    <t>1601.11A.55Y-000</t>
  </si>
  <si>
    <t>1601.11A.5BE-000</t>
  </si>
  <si>
    <t>1601.11A.5CK-000</t>
  </si>
  <si>
    <t>1601.11A.5CU-000</t>
  </si>
  <si>
    <t>PLACA DE MARCA 19H2</t>
  </si>
  <si>
    <t>1601.11A.5D1-000</t>
  </si>
  <si>
    <t>CARTA FIRMA</t>
  </si>
  <si>
    <t>1601.11A.5MZ-000</t>
  </si>
  <si>
    <t>ETIQUETA DEL MODELO</t>
  </si>
  <si>
    <t>1601.11A.632-000</t>
  </si>
  <si>
    <t>Placa de identificación</t>
  </si>
  <si>
    <t>1601.11A.6JB-000</t>
  </si>
  <si>
    <t>1601.11A.6JR-000</t>
  </si>
  <si>
    <t>1601.11A.6LF-000</t>
  </si>
  <si>
    <t>PLACA DE IDENTIFICACIÓN -19G80</t>
  </si>
  <si>
    <t>1601.11A.6LK-000</t>
  </si>
  <si>
    <t>1601.11A.6YS-000</t>
  </si>
  <si>
    <t>1601.11A.6Z1-000</t>
  </si>
  <si>
    <t>Etiqueta de plantilla</t>
  </si>
  <si>
    <t>1601.11A.70H-000</t>
  </si>
  <si>
    <t>1601.11A.72H-000</t>
  </si>
  <si>
    <t>1601.11A.75E-000</t>
  </si>
  <si>
    <t>1601.11A.76H-000</t>
  </si>
  <si>
    <t>1601.11A.7Y7-000</t>
  </si>
  <si>
    <t>1601.11A.81V-000</t>
  </si>
  <si>
    <t>1601.11C.0P1-000</t>
  </si>
  <si>
    <t>1601.11C.0RD-000</t>
  </si>
  <si>
    <t>Placa De Marca</t>
  </si>
  <si>
    <t>1601.11C.0RN-000</t>
  </si>
  <si>
    <t>1601.11C.0RP-000</t>
  </si>
  <si>
    <t>1601.11C.0RX-000</t>
  </si>
  <si>
    <t>PLACA INDICADORA 119090</t>
  </si>
  <si>
    <t>1601.11C.0WU-000</t>
  </si>
  <si>
    <t>CARTA DE ADVERTENCIA</t>
  </si>
  <si>
    <t>1601.11C.0WW-000</t>
  </si>
  <si>
    <t>1601.11C.0YP-000</t>
  </si>
  <si>
    <t>PLACA INDICADORA</t>
  </si>
  <si>
    <t>1601.11C.12V-000</t>
  </si>
  <si>
    <t>Adhesivo</t>
  </si>
  <si>
    <t>1601.11C.1KU-000</t>
  </si>
  <si>
    <t>PEGATINA</t>
  </si>
  <si>
    <t>1601.11C.21G-000</t>
  </si>
  <si>
    <t>1601.11C.21T-000</t>
  </si>
  <si>
    <t>1601.11C.21W-000</t>
  </si>
  <si>
    <t>1601.11C.227-000</t>
  </si>
  <si>
    <t>Placa de identificación del fabricante</t>
  </si>
  <si>
    <t>1601.11C.25M-000</t>
  </si>
  <si>
    <t>1601.11C.25N-000</t>
  </si>
  <si>
    <t>1601.11C.297-000</t>
  </si>
  <si>
    <t>PLACA DEL FABRICANTE</t>
  </si>
  <si>
    <t>1601.11C.299-000</t>
  </si>
  <si>
    <t>1601.11C.2DV-000</t>
  </si>
  <si>
    <t>1601.11C.2EM-000</t>
  </si>
  <si>
    <t>1601.11C.2MU-000</t>
  </si>
  <si>
    <t>Señalización de la empresa</t>
  </si>
  <si>
    <t>1601.11C.2N0-000</t>
  </si>
  <si>
    <t>1601.11C.2N1-000</t>
  </si>
  <si>
    <t>1601.11C.2PR-000</t>
  </si>
  <si>
    <t>1601.11C.2RY-000</t>
  </si>
  <si>
    <t>Etiqueta Adhesiva</t>
  </si>
  <si>
    <t>1601.11C.2SE-000</t>
  </si>
  <si>
    <t>1601.11C.2TN-000</t>
  </si>
  <si>
    <t>1601.11C.2TS-000</t>
  </si>
  <si>
    <t>ETIQUETA ADHESIVA</t>
  </si>
  <si>
    <t>1601.11C.2TW-000</t>
  </si>
  <si>
    <t>1601.11C.2UV-000</t>
  </si>
  <si>
    <t>CARTA DE FIRMA - 19G80</t>
  </si>
  <si>
    <t>1601.11C.2WB-000</t>
  </si>
  <si>
    <t>1601.11C.322-000</t>
  </si>
  <si>
    <t>1601.11C.324-000</t>
  </si>
  <si>
    <t>1601.11C.327-000</t>
  </si>
  <si>
    <t>Placa Indicadora</t>
  </si>
  <si>
    <t>1601.11C.32F-000</t>
  </si>
  <si>
    <t>1601.11C.36W-000</t>
  </si>
  <si>
    <t>CARTA FIRME</t>
  </si>
  <si>
    <t>1601.11C.375-000</t>
  </si>
  <si>
    <t>1601.11C.376-000</t>
  </si>
  <si>
    <t>1601.11C.37H-000</t>
  </si>
  <si>
    <t>1601.11C.3BV-000</t>
  </si>
  <si>
    <t>1601.11C.3ND-000</t>
  </si>
  <si>
    <t>1601.11C.3TM-000</t>
  </si>
  <si>
    <t>1601.11C.3U5-000</t>
  </si>
  <si>
    <t>ETIQUETA -19J85</t>
  </si>
  <si>
    <t>1601.11C.3WM-000</t>
  </si>
  <si>
    <t>1601.11C.41S-000</t>
  </si>
  <si>
    <t>1601.200.006-000</t>
  </si>
  <si>
    <t>MUELLE DE LAMINA</t>
  </si>
  <si>
    <t>1601.200.00C-000</t>
  </si>
  <si>
    <t>Muelle De Lamina</t>
  </si>
  <si>
    <t>1601.234.002-000</t>
  </si>
  <si>
    <t>MUELLE - DISCONTINUADO</t>
  </si>
  <si>
    <t>1601.253.007-000</t>
  </si>
  <si>
    <t>1601.290.007-000</t>
  </si>
  <si>
    <t>JUNTA 1385/3343/1701</t>
  </si>
  <si>
    <t>1601.290.008-000</t>
  </si>
  <si>
    <t>MUELLE DE LAMINA 1367</t>
  </si>
  <si>
    <t>1601.290.013-000</t>
  </si>
  <si>
    <t>ELEMEN ELASTICO 1H25/1821/1829/1820/1H31</t>
  </si>
  <si>
    <t>1601.300.004-000</t>
  </si>
  <si>
    <t>1601.302.017-000</t>
  </si>
  <si>
    <t>1601.302.018-000</t>
  </si>
  <si>
    <t>ABRAZADERA 18B8/18B7/11335/1B65</t>
  </si>
  <si>
    <t>1601.302.019-000</t>
  </si>
  <si>
    <t>ABRAZADERA 1C16.8</t>
  </si>
  <si>
    <t>1601.303.003-000</t>
  </si>
  <si>
    <t>ABRAZADERA  2334.1.05</t>
  </si>
  <si>
    <t>1601.323.007-000</t>
  </si>
  <si>
    <t>PORTACARBONES DISCONTINUADO</t>
  </si>
  <si>
    <t>1601.323.023-000</t>
  </si>
  <si>
    <t>1601.323.025-000</t>
  </si>
  <si>
    <t>1601.323.029-000</t>
  </si>
  <si>
    <t>PORTAESCOBILLAS 1GA3.1</t>
  </si>
  <si>
    <t>1601.328.005-000</t>
  </si>
  <si>
    <t>ARO DEFLECT DE AIRE 1347/3278/1282</t>
  </si>
  <si>
    <t>1601.329.009-000</t>
  </si>
  <si>
    <t>PALANCA 3254</t>
  </si>
  <si>
    <t>1601.329.038-000</t>
  </si>
  <si>
    <t>CHAPA DE GUIA 0836.1</t>
  </si>
  <si>
    <t>1601.329.040-000</t>
  </si>
  <si>
    <t>PUENTE 11250.7</t>
  </si>
  <si>
    <t>1601.330.010-000</t>
  </si>
  <si>
    <t>SOPORTE 3258 obsoleto</t>
  </si>
  <si>
    <t>1601.331.032-000</t>
  </si>
  <si>
    <t>SOPORTE ANG.11304 Discontinuado</t>
  </si>
  <si>
    <t>1601.331.039-000</t>
  </si>
  <si>
    <t>ESCUADRA</t>
  </si>
  <si>
    <t>1601.332.010-000</t>
  </si>
  <si>
    <t>ESCUADRA DE FIJACION 2334.1 RX3601023015</t>
  </si>
  <si>
    <t>1601.332.018-000</t>
  </si>
  <si>
    <t>Escuadra De Tope</t>
  </si>
  <si>
    <t>1601.334.008-000</t>
  </si>
  <si>
    <t>ANILLO DE RETENC</t>
  </si>
  <si>
    <t>1601.334.009-000</t>
  </si>
  <si>
    <t>PINZA DE SUJECION GWS 2000</t>
  </si>
  <si>
    <t>1601.334.010-000</t>
  </si>
  <si>
    <t>PINZA DE FIJACION 1755.4/55.4/56.4</t>
  </si>
  <si>
    <t>1601.334.011-000</t>
  </si>
  <si>
    <t>CHAPA DE FIJACION 17A1/2/1283</t>
  </si>
  <si>
    <t>1601.990.001-000</t>
  </si>
  <si>
    <t>HOJA DE BLOQUEO 1367</t>
  </si>
  <si>
    <t>1601.990.002-000</t>
  </si>
  <si>
    <t>PALANCA DE BLOQUEO 1367</t>
  </si>
  <si>
    <t>1601.990.004-000</t>
  </si>
  <si>
    <t>CORREDERA 1755/6 1855/6.G</t>
  </si>
  <si>
    <t>1601.990.012-000</t>
  </si>
  <si>
    <t>CORREDERA DE ENCASTRE 1893/1895/1892</t>
  </si>
  <si>
    <t>1602.002.006-000</t>
  </si>
  <si>
    <t>PALANCA TENSORA</t>
  </si>
  <si>
    <t>1602.002.007-000</t>
  </si>
  <si>
    <t>PALANCA 0836.1 RX 008</t>
  </si>
  <si>
    <t>1602.002.008-000</t>
  </si>
  <si>
    <t>PALANCA 0836.1/1597 Ra 007</t>
  </si>
  <si>
    <t>1602.002.014-000</t>
  </si>
  <si>
    <t>ELEMENTO DE PARADA 18A1/18A6/18A5/17A1/2</t>
  </si>
  <si>
    <t>1602.025.022-000</t>
  </si>
  <si>
    <t>EMPUNADURA ADICIONAL M14 NEGRO</t>
  </si>
  <si>
    <t>1602.025.026-000</t>
  </si>
  <si>
    <t>EMPUNHADEIRA REP SAG BL SK Ra 2602025067</t>
  </si>
  <si>
    <t>1602.025.030-000</t>
  </si>
  <si>
    <t>MANGO reempl. 160202509Z</t>
  </si>
  <si>
    <t>1602025030-001</t>
  </si>
  <si>
    <t>1602.025.030-001</t>
  </si>
  <si>
    <t>EMPUÑADURA ADICIONAL 2334.1</t>
  </si>
  <si>
    <t>1602.025.031-000</t>
  </si>
  <si>
    <t>EMPUÑADURA ADICIONAL M10 ANTIVIBRACION</t>
  </si>
  <si>
    <t>1602.025.051-000</t>
  </si>
  <si>
    <t>Empunadura Adicional</t>
  </si>
  <si>
    <t>1602.025.052-000</t>
  </si>
  <si>
    <t>MANGO ADICIONAL ANTIV. RX 16020250A0</t>
  </si>
  <si>
    <t>1602.025.071-000</t>
  </si>
  <si>
    <t>BOTON INTERRUPTOR</t>
  </si>
  <si>
    <t>1602.025.07H-000</t>
  </si>
  <si>
    <t>Cable adicional</t>
  </si>
  <si>
    <t>1602.025.07R-000</t>
  </si>
  <si>
    <t>EMPUNADURA ADICIONAL 1B28.1</t>
  </si>
  <si>
    <t>1602.025.07U-000</t>
  </si>
  <si>
    <t>MANGO ADIC. 11318.7/11321 RA 1612025061</t>
  </si>
  <si>
    <t>1602.025.07W-000</t>
  </si>
  <si>
    <t>MANGO  5301</t>
  </si>
  <si>
    <t>1602.025.07X-000</t>
  </si>
  <si>
    <t>EMPUNADURA ADICIONAL 1JF1.3</t>
  </si>
  <si>
    <t>1602.025.07Y-000</t>
  </si>
  <si>
    <t>1602.025.080-000</t>
  </si>
  <si>
    <t>1602.025.081-000</t>
  </si>
  <si>
    <t>EMPUNADURA ADICIONAL 1C36.0</t>
  </si>
  <si>
    <t>1602.025.082-000</t>
  </si>
  <si>
    <t>TAPON AZUL 1H31</t>
  </si>
  <si>
    <t>1602.025.08D-000</t>
  </si>
  <si>
    <t>EMPUNADURA ADICIONAL</t>
  </si>
  <si>
    <t>1602.025.08E-000</t>
  </si>
  <si>
    <t>EMPUÑADURA MARTILLO DEMOLEDOR GSH 11 E</t>
  </si>
  <si>
    <t>1602.025.08J-000</t>
  </si>
  <si>
    <t>1602.025.08K-000</t>
  </si>
  <si>
    <t>EMPUÑADURA MARTILLO DEMOLEDOR GSH 16-28</t>
  </si>
  <si>
    <t>1602.025.08T-000</t>
  </si>
  <si>
    <t>1602.025.08X-000</t>
  </si>
  <si>
    <t>MANGO ADICIONAL</t>
  </si>
  <si>
    <t>1602.025.08Y-000</t>
  </si>
  <si>
    <t>EMPUNADURA ADICIONAL 1B3A.0</t>
  </si>
  <si>
    <t>1602.025.090-000</t>
  </si>
  <si>
    <t>EMPUNADURA ADICIONAL 19E1</t>
  </si>
  <si>
    <t>1602.025.096-000</t>
  </si>
  <si>
    <t>CABLE ADICIONAL</t>
  </si>
  <si>
    <t>1602.025.097-000</t>
  </si>
  <si>
    <t>CABO ADICIONAL 1C21.0</t>
  </si>
  <si>
    <t>1602.025.098-000</t>
  </si>
  <si>
    <t>EMPUNADURA ADICIONAL 1C77.5</t>
  </si>
  <si>
    <t>1602.025.09C-000</t>
  </si>
  <si>
    <t>Empuñadura auxiliar</t>
  </si>
  <si>
    <t>1602.025.09T-000</t>
  </si>
  <si>
    <t>1602.025.09X-000</t>
  </si>
  <si>
    <t>1602.025.09Z-000</t>
  </si>
  <si>
    <t>MANIJA AUXILIAR</t>
  </si>
  <si>
    <t>1602.025.0A0-000</t>
  </si>
  <si>
    <t>1602.026.026-000</t>
  </si>
  <si>
    <t>1602.026.030-000</t>
  </si>
  <si>
    <t>PALANCA INTERRUP.AMOL. 2501 2335.05.034</t>
  </si>
  <si>
    <t>1602.026.038-000</t>
  </si>
  <si>
    <t>PALANCA DE MANDO  2334.1</t>
  </si>
  <si>
    <t>1602.026.041-000</t>
  </si>
  <si>
    <t>PALANCA 1321/1331</t>
  </si>
  <si>
    <t>1602.026.044-000</t>
  </si>
  <si>
    <t>PALANCA 1121.1</t>
  </si>
  <si>
    <t>1602.026.054-000</t>
  </si>
  <si>
    <t>BOTON 1338/1215.078</t>
  </si>
  <si>
    <t>1602.026.055-000</t>
  </si>
  <si>
    <t>BOTON GIRATORIO</t>
  </si>
  <si>
    <t>1602.026.064-000</t>
  </si>
  <si>
    <t>BOTON DE AJUSTE 1367</t>
  </si>
  <si>
    <t>1602.026.068-000</t>
  </si>
  <si>
    <t>EMPUNADURA DE INTERRUPTOR 1375</t>
  </si>
  <si>
    <t>1602.026.076-000</t>
  </si>
  <si>
    <t>PERILLA INT. 9121 RX078</t>
  </si>
  <si>
    <t>1602.026.078-000</t>
  </si>
  <si>
    <t>PERILLA INT. 9121 Ra 076</t>
  </si>
  <si>
    <t>1602.026.095-000</t>
  </si>
  <si>
    <t>Palanca De Reenvio</t>
  </si>
  <si>
    <t>1602.026.10B-000</t>
  </si>
  <si>
    <t>Maneta</t>
  </si>
  <si>
    <t>1602.051.001-000</t>
  </si>
  <si>
    <t>1602.098.006-000</t>
  </si>
  <si>
    <t>PALANCA 1270/1274</t>
  </si>
  <si>
    <t>1602.099.001-000</t>
  </si>
  <si>
    <t>PALANCA 1285</t>
  </si>
  <si>
    <t>1602.120.006-000</t>
  </si>
  <si>
    <t>HORQUILLA</t>
  </si>
  <si>
    <t>1602.210.012-000</t>
  </si>
  <si>
    <t>DISCO EXCENTRICO 3254 DISCONTINUADO</t>
  </si>
  <si>
    <t>1602.210.015-000</t>
  </si>
  <si>
    <t>EXCENTRICO 1285 - DISCONTINUADO</t>
  </si>
  <si>
    <t>1602.317.006-000</t>
  </si>
  <si>
    <t>GUIA 0836.1</t>
  </si>
  <si>
    <t>1602.317.012-000</t>
  </si>
  <si>
    <t>GUIA 1597</t>
  </si>
  <si>
    <t>1602.319.002-000</t>
  </si>
  <si>
    <t>CORREDER DE AJUS 1347.1/3278.2/1282</t>
  </si>
  <si>
    <t>1602.319.007-000</t>
  </si>
  <si>
    <t>BOTON PALANCA CAMBIO (1385)</t>
  </si>
  <si>
    <t>1602.319.009-000</t>
  </si>
  <si>
    <t>CORREDERA DE AJUSTE 1375.0/.6/1223</t>
  </si>
  <si>
    <t>1602.319.010-000</t>
  </si>
  <si>
    <t>CORREDERA DE AJUSTE 33433/1800/1220/1G90</t>
  </si>
  <si>
    <t>1602.319.011-000</t>
  </si>
  <si>
    <t>CORREDERA DE AJUSTE 1H25.0</t>
  </si>
  <si>
    <t>1602.319.013-000</t>
  </si>
  <si>
    <t>TRINQUETE 1385          RA006</t>
  </si>
  <si>
    <t>1602.319.017-000</t>
  </si>
  <si>
    <t>CORREDERA DE AJUSTE 1934 - DISCONTINUADO</t>
  </si>
  <si>
    <t>1602.319.018-000</t>
  </si>
  <si>
    <t>CORREDERA 0836.1</t>
  </si>
  <si>
    <t>1602.319.019-000</t>
  </si>
  <si>
    <t>CORREDERA 1597</t>
  </si>
  <si>
    <t>1602.319.020-000</t>
  </si>
  <si>
    <t>BOTON DE ENCENDIDO 1830/1389</t>
  </si>
  <si>
    <t>1602.319.022-000</t>
  </si>
  <si>
    <t>Pusher</t>
  </si>
  <si>
    <t>1602.319.023-000</t>
  </si>
  <si>
    <t>CORDÓN DE AJUSTE</t>
  </si>
  <si>
    <t>1602.319.024-000</t>
  </si>
  <si>
    <t>CORREDERA DE AJUSTE 1C89.0/1H30.2</t>
  </si>
  <si>
    <t>1602.319.025-000</t>
  </si>
  <si>
    <t>CORREDERA DE AJUSTE 1793</t>
  </si>
  <si>
    <t>1602.381.001-000</t>
  </si>
  <si>
    <t>1602.386.002-000</t>
  </si>
  <si>
    <t>AMORTIGUADOR</t>
  </si>
  <si>
    <t>1602.388.006-000</t>
  </si>
  <si>
    <t>JUNTA 2209</t>
  </si>
  <si>
    <t>1602.388.007-000</t>
  </si>
  <si>
    <t>JUNTA 2209/2305</t>
  </si>
  <si>
    <t>1602.388.016-000</t>
  </si>
  <si>
    <t>PLACA DE GOMA 3254</t>
  </si>
  <si>
    <t>1602.388.026-000</t>
  </si>
  <si>
    <t>SEPARAD ANTID 1356-57-61 Rx 1602.388.029</t>
  </si>
  <si>
    <t>1602.388.027-000</t>
  </si>
  <si>
    <t>CONDUCTO DE CABLES 2240/42/43 2331/34</t>
  </si>
  <si>
    <t>1602.388.029-000</t>
  </si>
  <si>
    <t>APOYO 1366.7</t>
  </si>
  <si>
    <t>1602.388.035-000</t>
  </si>
  <si>
    <t>1603.023.003-000</t>
  </si>
  <si>
    <t>BARRA 1597</t>
  </si>
  <si>
    <t>1603.100.013-000</t>
  </si>
  <si>
    <t>PERNO</t>
  </si>
  <si>
    <t>1603.100.036-000</t>
  </si>
  <si>
    <t>TOPE DE GOMA 3310</t>
  </si>
  <si>
    <t>1603.101.018-000</t>
  </si>
  <si>
    <t>GOMA 3254</t>
  </si>
  <si>
    <t>1603.106.001-000</t>
  </si>
  <si>
    <t>GOMA</t>
  </si>
  <si>
    <t>1603.123.011-000</t>
  </si>
  <si>
    <t>EJE PORTA MANDRIL 2335.034</t>
  </si>
  <si>
    <t>1603.123.030-000</t>
  </si>
  <si>
    <t>PERNO 1321/2 -RX9618085479</t>
  </si>
  <si>
    <t>1603.123.032-000</t>
  </si>
  <si>
    <t>PIN DE DETENCIÓN</t>
  </si>
  <si>
    <t>1603.123.045-000</t>
  </si>
  <si>
    <t>HUSILLO  5301</t>
  </si>
  <si>
    <t>1603.123.04B-000</t>
  </si>
  <si>
    <t>Perno De Arrastre</t>
  </si>
  <si>
    <t>1603.123.04R-000</t>
  </si>
  <si>
    <t>ESPIGA DE GUIA  5301</t>
  </si>
  <si>
    <t>1603.123.055-000</t>
  </si>
  <si>
    <t>PERNO DE FIJACION 4751</t>
  </si>
  <si>
    <t>1603.123.056-000</t>
  </si>
  <si>
    <t>HUSILLO ROSCADO 6000</t>
  </si>
  <si>
    <t>1603.123.05U-000</t>
  </si>
  <si>
    <t>EJE 1 RX 160312305W/1600A01LX7</t>
  </si>
  <si>
    <t>1603.123.05W-000</t>
  </si>
  <si>
    <t>HUSILLO DE MOLIENDA</t>
  </si>
  <si>
    <t>1603.123.05Z-000</t>
  </si>
  <si>
    <t>HUSILLO PORTAMUELA</t>
  </si>
  <si>
    <t>1603.123.062-000</t>
  </si>
  <si>
    <t>EJE TRAB M14 RX 1600A01LX8</t>
  </si>
  <si>
    <t>1603.123.067-000</t>
  </si>
  <si>
    <t>Perno De Cojinete</t>
  </si>
  <si>
    <t>1603.123.07V-000</t>
  </si>
  <si>
    <t>Husillo De La Broca</t>
  </si>
  <si>
    <t>1603.124.035-000</t>
  </si>
  <si>
    <t>1603.124.060-000</t>
  </si>
  <si>
    <t>PERNO DE PRESION 7661</t>
  </si>
  <si>
    <t>1603.124.085-000</t>
  </si>
  <si>
    <t>PERNO 7661/7457</t>
  </si>
  <si>
    <t>1603.124.103-000</t>
  </si>
  <si>
    <t>EJE 3237</t>
  </si>
  <si>
    <t>1603.124.105-000</t>
  </si>
  <si>
    <t>ARBOL DE ACCIONA.1557</t>
  </si>
  <si>
    <t>1603.124.114-000</t>
  </si>
  <si>
    <t>EJE DE SALIDA 3224</t>
  </si>
  <si>
    <t>1603.129.014-000</t>
  </si>
  <si>
    <t>1603.201.023-000</t>
  </si>
  <si>
    <t>PERNO obsoleto</t>
  </si>
  <si>
    <t>1603.231.008-000</t>
  </si>
  <si>
    <t>BOTON 1321/2 - Discontinuado</t>
  </si>
  <si>
    <t>1603.231.014-000</t>
  </si>
  <si>
    <t>ELEMENTO DE ENCLAVAMIENT 1668/67</t>
  </si>
  <si>
    <t>1603.231.020-000</t>
  </si>
  <si>
    <t>TECLA DE EMPUJE 0836.1/1597</t>
  </si>
  <si>
    <t>1603.231.023-000</t>
  </si>
  <si>
    <t>BOTON PULSADOR 1934</t>
  </si>
  <si>
    <t>1603.300.009-000</t>
  </si>
  <si>
    <t>TUERCA P/PI#ON 1331/32.5</t>
  </si>
  <si>
    <t>1603.300.017-000</t>
  </si>
  <si>
    <t>TUERCA 1366.7 /7352.1</t>
  </si>
  <si>
    <t>1603.300.018-000</t>
  </si>
  <si>
    <t>TUERCA P/INDUCIDO NVO. 1321-22</t>
  </si>
  <si>
    <t>1603.339.005-000</t>
  </si>
  <si>
    <t>Tuerca De Mariposa</t>
  </si>
  <si>
    <t>1603.339.006-000</t>
  </si>
  <si>
    <t>PERILLA 1551.1/1276/46   RA349013</t>
  </si>
  <si>
    <t>1603.340.027-000</t>
  </si>
  <si>
    <t>TUERCA DE CIERRE RAPIDO M14, SDS-CLIC 18</t>
  </si>
  <si>
    <t>1603.344.024-000</t>
  </si>
  <si>
    <t>ANILLO ROSCADO</t>
  </si>
  <si>
    <t>1603.344.029-000</t>
  </si>
  <si>
    <t>ANILLO ROSCADO 2305</t>
  </si>
  <si>
    <t>1603.344.050-000</t>
  </si>
  <si>
    <t>ANILLO - DISCONTINUAR</t>
  </si>
  <si>
    <t>1603.344.051-000</t>
  </si>
  <si>
    <t>1603.345.042-000</t>
  </si>
  <si>
    <t>TUERCA DE FIJACION 1367</t>
  </si>
  <si>
    <t>1603.349.010-000</t>
  </si>
  <si>
    <t>TUERCA DE AJUSTE 7260.1 RX 3603340018000</t>
  </si>
  <si>
    <t>1603.349.014-000</t>
  </si>
  <si>
    <t>MANDO 3261/1368</t>
  </si>
  <si>
    <t>1603.349.017-000</t>
  </si>
  <si>
    <t>TUERCA 1270 Rx 2603339005</t>
  </si>
  <si>
    <t>1603.402.002-000</t>
  </si>
  <si>
    <t>VARILLA ROSCADA 2209</t>
  </si>
  <si>
    <t>1603.402.004-000</t>
  </si>
  <si>
    <t>VARILLA ROSCADA 2305</t>
  </si>
  <si>
    <t>1603.410.014-000</t>
  </si>
  <si>
    <t>TORNILLO DE CABEZA CIL. M4X10 MM 18B8/18</t>
  </si>
  <si>
    <t>1603.412.005-000</t>
  </si>
  <si>
    <t>TORNILLO P/CAB.A 1273 obsoleto</t>
  </si>
  <si>
    <t>1603.413.005-000</t>
  </si>
  <si>
    <t>1603.414.025-000</t>
  </si>
  <si>
    <t>TORNILLO CON COLLAR 1H92.H/1H93.H</t>
  </si>
  <si>
    <t>1603.414.026-000</t>
  </si>
  <si>
    <t>1603.415.004-000</t>
  </si>
  <si>
    <t>TORNILLO DE CABEZA ABOMB 1GA3.1</t>
  </si>
  <si>
    <t>1603.415.005-000</t>
  </si>
  <si>
    <t>PARAFUSO CAB ABAULADA</t>
  </si>
  <si>
    <t>1603.421.003-000</t>
  </si>
  <si>
    <t>TORNILLO 0836.1/1597</t>
  </si>
  <si>
    <t>1603.429.000-000</t>
  </si>
  <si>
    <t>TORN P/CAB ANGU(REEX2603435018</t>
  </si>
  <si>
    <t>1603.429.001-000</t>
  </si>
  <si>
    <t>TORNILLO P/CARC. - Discontinuados</t>
  </si>
  <si>
    <t>1603.430.00A-000</t>
  </si>
  <si>
    <t>TORNILLO AUTORROSCANTE 12A0</t>
  </si>
  <si>
    <t>1603.430.00H-000</t>
  </si>
  <si>
    <t>TORNILLO 1831</t>
  </si>
  <si>
    <t>1603.430.00J-000</t>
  </si>
  <si>
    <t>1603.430.00K-000</t>
  </si>
  <si>
    <t>1603.430.00V-000</t>
  </si>
  <si>
    <t>TORNILLO TORX LONTICULAR</t>
  </si>
  <si>
    <t>1603.430.01B-000</t>
  </si>
  <si>
    <t>TORNILLO RANURA CRUCIF.  5200</t>
  </si>
  <si>
    <t>1603.430.01C-000</t>
  </si>
  <si>
    <t>TORNILLO AUTORROSCANTE  5200</t>
  </si>
  <si>
    <t>1603.430.01D-000</t>
  </si>
  <si>
    <t>TORNILLO AUTORROSCANTE 5200</t>
  </si>
  <si>
    <t>1603.430.01E-000</t>
  </si>
  <si>
    <t>1603.430.01F-000</t>
  </si>
  <si>
    <t>1603.430.01G-000</t>
  </si>
  <si>
    <t>1603.430.01H-000</t>
  </si>
  <si>
    <t>1603.430.01J-000</t>
  </si>
  <si>
    <t>1603.430.01K-000</t>
  </si>
  <si>
    <t>1603.430.01M-000</t>
  </si>
  <si>
    <t>1603.430.01N-000</t>
  </si>
  <si>
    <t>1603.430.02C-000</t>
  </si>
  <si>
    <t>TORNILLO PARA CHAPA 4751</t>
  </si>
  <si>
    <t>1603.430.02D-000</t>
  </si>
  <si>
    <t>1603.430.02L-000</t>
  </si>
  <si>
    <t>TORNILLO 6000</t>
  </si>
  <si>
    <t>1603.430.03T-000</t>
  </si>
  <si>
    <t>1603.430.03V-000</t>
  </si>
  <si>
    <t>TORNILLO PARA CHAPA 6520</t>
  </si>
  <si>
    <t>1603.430.03W-000</t>
  </si>
  <si>
    <t>1603.430.046-000</t>
  </si>
  <si>
    <t>TORNILLO 4380</t>
  </si>
  <si>
    <t>1603.430.05U-000</t>
  </si>
  <si>
    <t>1603.430.05Y-000</t>
  </si>
  <si>
    <t>1603.430.08V-000</t>
  </si>
  <si>
    <t>1603.430.08W-000</t>
  </si>
  <si>
    <t>1603.430.08Y-000</t>
  </si>
  <si>
    <t>1603.430.08Z-000</t>
  </si>
  <si>
    <t>1603.430.090-000</t>
  </si>
  <si>
    <t>1603.430.091-000</t>
  </si>
  <si>
    <t>1603.430.092-000</t>
  </si>
  <si>
    <t>1603.430.093-000</t>
  </si>
  <si>
    <t>1603.430.094-000</t>
  </si>
  <si>
    <t>1603.430.095-000</t>
  </si>
  <si>
    <t>1603.430.096-000</t>
  </si>
  <si>
    <t>1603.430.097-000</t>
  </si>
  <si>
    <t>1603.430.098-000</t>
  </si>
  <si>
    <t>1603.430.099-000</t>
  </si>
  <si>
    <t>1603.430.09A-000</t>
  </si>
  <si>
    <t>1603.430.09B-000</t>
  </si>
  <si>
    <t>1603.430.09C-000</t>
  </si>
  <si>
    <t>1603.430.09D-000</t>
  </si>
  <si>
    <t>1603.430.09E-000</t>
  </si>
  <si>
    <t>1603.430.09F-000</t>
  </si>
  <si>
    <t>1603.430.09G-000</t>
  </si>
  <si>
    <t>1603.430.09H-000</t>
  </si>
  <si>
    <t>1603.430.09L-000</t>
  </si>
  <si>
    <t>1603.430.09M-000</t>
  </si>
  <si>
    <t>1603.430.09N-000</t>
  </si>
  <si>
    <t>1603.430.09P-000</t>
  </si>
  <si>
    <t>1603.430.09R-000</t>
  </si>
  <si>
    <t>1603.430.0A7-000</t>
  </si>
  <si>
    <t>1603.434.003-000</t>
  </si>
  <si>
    <t>T0RNILLO - DISCONTINUADO</t>
  </si>
  <si>
    <t>1603.435.006-000</t>
  </si>
  <si>
    <t>TORNILLO AJUSTE 1321-22 - DISCONTINUADO</t>
  </si>
  <si>
    <t>1603.435.008-000</t>
  </si>
  <si>
    <t>TORNILLO 11214</t>
  </si>
  <si>
    <t>1603.435.015-000</t>
  </si>
  <si>
    <t>1603.435.023-000</t>
  </si>
  <si>
    <t>TORNILLO AUTORROSCANTE TT M5X18 MM 18B8/</t>
  </si>
  <si>
    <t>1603.435.024-000</t>
  </si>
  <si>
    <t>TORNILLO AUTORROSCANTE C4,8X63 MM 18B8/1</t>
  </si>
  <si>
    <t>1603.435.026-000</t>
  </si>
  <si>
    <t>TORNILLO CON ROSCA 1801.0/1825/1805/1621</t>
  </si>
  <si>
    <t>1603.435.036-000</t>
  </si>
  <si>
    <t>Tornillo autorroscante</t>
  </si>
  <si>
    <t>1603.435.042-000</t>
  </si>
  <si>
    <t>TORNILLO ROSCA CORTANTE ST3,9X12 18B8/18</t>
  </si>
  <si>
    <t>1603.435.051-000</t>
  </si>
  <si>
    <t>TORNILLO 11322/11264</t>
  </si>
  <si>
    <t>1603.435.060-000</t>
  </si>
  <si>
    <t>Tapping Screw</t>
  </si>
  <si>
    <t>1603.435.068-000</t>
  </si>
  <si>
    <t>TORNILLO AUT DIN 7500 GWS 670/193A/1C94</t>
  </si>
  <si>
    <t>1603.435.071-000</t>
  </si>
  <si>
    <t>Tornillo penetrante</t>
  </si>
  <si>
    <t>1603.435.075-000</t>
  </si>
  <si>
    <t>TORNILLO 18A1/6/17A1/2</t>
  </si>
  <si>
    <t>1603.435.076-000</t>
  </si>
  <si>
    <t>TORNILLO AUTOROSCANTE 2334 - ALTA FREC.</t>
  </si>
  <si>
    <t>1603.435.07A-000</t>
  </si>
  <si>
    <t>TORNILLO AVALLANADO TORX 1B66.0</t>
  </si>
  <si>
    <t>1603.435.07C-000</t>
  </si>
  <si>
    <t>1603.435.07D-000</t>
  </si>
  <si>
    <t>1603.435.07P-000</t>
  </si>
  <si>
    <t>TORNILLO CON COLLAR  5301</t>
  </si>
  <si>
    <t>1603.435.07U-000</t>
  </si>
  <si>
    <t>TORNILLO AUTORROSCANTE 119090</t>
  </si>
  <si>
    <t>1603.435.07X-000</t>
  </si>
  <si>
    <t>1603.435.07Y-000</t>
  </si>
  <si>
    <t>1603.435.07Z-000</t>
  </si>
  <si>
    <t>1603.435.082-000</t>
  </si>
  <si>
    <t>1603.435.086-000</t>
  </si>
  <si>
    <t>TORNILLO TORX VALONA</t>
  </si>
  <si>
    <t>1603.435.08V-000</t>
  </si>
  <si>
    <t>1603.435.08X-000</t>
  </si>
  <si>
    <t>1603.435.091-000</t>
  </si>
  <si>
    <t>1603.435.092-000</t>
  </si>
  <si>
    <t>1603.435.098-000</t>
  </si>
  <si>
    <t>1603.480.003-000</t>
  </si>
  <si>
    <t>MARIPOSA</t>
  </si>
  <si>
    <t>1603.480.018-000</t>
  </si>
  <si>
    <t>Tornillo Cabeza Mariposa</t>
  </si>
  <si>
    <t>1603.490.000-000</t>
  </si>
  <si>
    <t>MARIPOSA - Discontinuado</t>
  </si>
  <si>
    <t>1603.490.005-000</t>
  </si>
  <si>
    <t>TORNILLO AVALLANADO TORX 1H92.H/1H93.H</t>
  </si>
  <si>
    <t>1603.490.A07-000</t>
  </si>
  <si>
    <t>TORNILLO DE CABLE. RESTAURACION</t>
  </si>
  <si>
    <t>1603.490.A08-000</t>
  </si>
  <si>
    <t>1603.490.A0C-000</t>
  </si>
  <si>
    <t>CONJ. TORNILLO TORX 8003JB/8005(10)</t>
  </si>
  <si>
    <t>1603.501.018-000</t>
  </si>
  <si>
    <t>PERNO ROSCADO 3261</t>
  </si>
  <si>
    <t>1603.502.000-000</t>
  </si>
  <si>
    <t>1603.523.032-000</t>
  </si>
  <si>
    <t>HUSILLO 1321.0-22.0-31-32</t>
  </si>
  <si>
    <t>1603.523.090-000</t>
  </si>
  <si>
    <t>HUSILLO</t>
  </si>
  <si>
    <t>1603.523.100-000</t>
  </si>
  <si>
    <t>HUSILLO AMOLA 1361/62/56/57/66</t>
  </si>
  <si>
    <t>1603.523.107-000</t>
  </si>
  <si>
    <t>EJE 1367</t>
  </si>
  <si>
    <t>1603.523.110-000</t>
  </si>
  <si>
    <t>EJE 1805/00/179M/1H31/193A RX1607000D6A</t>
  </si>
  <si>
    <t>1603.523.111-000</t>
  </si>
  <si>
    <t>HUSILLO PORTAMUELA M10, SW12 1396.0</t>
  </si>
  <si>
    <t>1603.523.113-000</t>
  </si>
  <si>
    <t>EJE RX 1603.123.05U</t>
  </si>
  <si>
    <t>1603.523.122-000</t>
  </si>
  <si>
    <t>HUSILLO 5/8" 1821/GWS 18-125</t>
  </si>
  <si>
    <t>1603.523.123-000</t>
  </si>
  <si>
    <t>EJE SALIDA 1863/4</t>
  </si>
  <si>
    <t>1603.524.010-000</t>
  </si>
  <si>
    <t>ARBOL  ACCIONAMIENTO 1270 RX2606333900</t>
  </si>
  <si>
    <t>1604.010.152-000</t>
  </si>
  <si>
    <t>INDUCIDO 1328</t>
  </si>
  <si>
    <t>1604.010.175-000</t>
  </si>
  <si>
    <t>INDUCIDO 1507 DISCONTINUADO</t>
  </si>
  <si>
    <t>1604.010.183-000</t>
  </si>
  <si>
    <t>INDUCIDO 3224</t>
  </si>
  <si>
    <t>1604.010.187-000</t>
  </si>
  <si>
    <t>INDUCIDO 1121.0/1557 - DISCONT.</t>
  </si>
  <si>
    <t>1604.010.214-000</t>
  </si>
  <si>
    <t>INDUCIDO 1338 DISCONTINUADO</t>
  </si>
  <si>
    <t>1604.010.228-000</t>
  </si>
  <si>
    <t>INDUCIDO 3254</t>
  </si>
  <si>
    <t>1604.010.235-000</t>
  </si>
  <si>
    <t>INDUCIDO 3256</t>
  </si>
  <si>
    <t>1604.010.236-000</t>
  </si>
  <si>
    <t>INDUCIDO 3258</t>
  </si>
  <si>
    <t>1604.010.240-000</t>
  </si>
  <si>
    <t>INDUCIDO 1270 DISCONTINUADO</t>
  </si>
  <si>
    <t>1604.010.248-000</t>
  </si>
  <si>
    <t>INDUCIDO 1612</t>
  </si>
  <si>
    <t>1604.010.252-000</t>
  </si>
  <si>
    <t>INDUCIDO 3270   DISCONTINUADO</t>
  </si>
  <si>
    <t>1604.010.332-000</t>
  </si>
  <si>
    <t>INDUCIDO 1121.1 (ALEMAN)RX1619P13608</t>
  </si>
  <si>
    <t>1604.010.425-000</t>
  </si>
  <si>
    <t>INDUCIDO 1347  RXF000600061</t>
  </si>
  <si>
    <t>1604.010.434-000</t>
  </si>
  <si>
    <t>INDUCIDO 1120.5 Rx 1619P13609</t>
  </si>
  <si>
    <t>1604.010.445-000</t>
  </si>
  <si>
    <t>INDUCIDO 1385/73</t>
  </si>
  <si>
    <t>1604.010.640-000</t>
  </si>
  <si>
    <t>INDUCIDO 3343</t>
  </si>
  <si>
    <t>1604.010.650-000</t>
  </si>
  <si>
    <t>INDUCIDO 1705/1773/1805</t>
  </si>
  <si>
    <t>1604.010.654-000</t>
  </si>
  <si>
    <t>INDUCIDO CON VENTILADOR 1621</t>
  </si>
  <si>
    <t>1604.010.660-000</t>
  </si>
  <si>
    <t>INDUCIDO 1701/1801.0</t>
  </si>
  <si>
    <t>1604.010.A21-000</t>
  </si>
  <si>
    <t>INDUCIDO 1822</t>
  </si>
  <si>
    <t>1604.010.A23-000</t>
  </si>
  <si>
    <t>INDUCIDO CON VENTILADOR 1829</t>
  </si>
  <si>
    <t>1604.010.A29-000</t>
  </si>
  <si>
    <t>INDUCIDO 1297</t>
  </si>
  <si>
    <t>1604.010.A44-000</t>
  </si>
  <si>
    <t>INDUCIDO CON VENT 1830.2</t>
  </si>
  <si>
    <t>1604.010.A58-000</t>
  </si>
  <si>
    <t>INDUCIDO 1980  RX 1604.010.B1E</t>
  </si>
  <si>
    <t>1604.010.B06-000</t>
  </si>
  <si>
    <t>INDUCIDO 220V - GWS 26 LVI</t>
  </si>
  <si>
    <t>1604.010.B1E-000</t>
  </si>
  <si>
    <t>INDUCIDO 1980 Ra 1604010A58</t>
  </si>
  <si>
    <t>1604.010.B38-000</t>
  </si>
  <si>
    <t>Inducido</t>
  </si>
  <si>
    <t>1604.010.B3V-000</t>
  </si>
  <si>
    <t>INDUCIDO 123D</t>
  </si>
  <si>
    <t>1604.010.B41-000</t>
  </si>
  <si>
    <t>INDUCIDO 127V</t>
  </si>
  <si>
    <t>1604.010.B60-000</t>
  </si>
  <si>
    <t>INDUCIDO 4751 - CORRECTO</t>
  </si>
  <si>
    <t>1604.010.B6A-000</t>
  </si>
  <si>
    <t>INDUCIDO - 220V 6000</t>
  </si>
  <si>
    <t>1604.010.B6R-000</t>
  </si>
  <si>
    <t>INDUCIDO 1575.1</t>
  </si>
  <si>
    <t>1604.010.B74-000</t>
  </si>
  <si>
    <t>INDUZIDO 220V - 15486</t>
  </si>
  <si>
    <t>1604.010.B7E-000</t>
  </si>
  <si>
    <t>INDUCIDO-16B1</t>
  </si>
  <si>
    <t>1604.010.B7H-000</t>
  </si>
  <si>
    <t>INDUCIDO 220V 6600</t>
  </si>
  <si>
    <t>1604.010.B7L-000</t>
  </si>
  <si>
    <t>INDUCIDO 220V 6520</t>
  </si>
  <si>
    <t>1604.010.B8S-000</t>
  </si>
  <si>
    <t>INDUCIDO 220V 6604</t>
  </si>
  <si>
    <t>1604.010.B9F-000</t>
  </si>
  <si>
    <t>INDUCIDO 220V 1AB5.0</t>
  </si>
  <si>
    <t>1604.010.B9H-000</t>
  </si>
  <si>
    <t>INDUCIDO 220V 1C77  RX 1604010B9G</t>
  </si>
  <si>
    <t>1604.010.B9L-000</t>
  </si>
  <si>
    <t>INDUCIDO 1EA8.0</t>
  </si>
  <si>
    <t>1604.010.B9N-000</t>
  </si>
  <si>
    <t>INDUCIDO 12A2.0</t>
  </si>
  <si>
    <t>1604.010.B9U-000</t>
  </si>
  <si>
    <t>1604.010.BC1-000</t>
  </si>
  <si>
    <t>INDUCIDO 1855-6.G Ra 1604011932</t>
  </si>
  <si>
    <t>1604.010.BC2-000</t>
  </si>
  <si>
    <t>1604.010.BD2-000</t>
  </si>
  <si>
    <t>INDUCIDO 1HF3</t>
  </si>
  <si>
    <t>1604.010.BD4-000</t>
  </si>
  <si>
    <t>Inducido GWS 28-180</t>
  </si>
  <si>
    <t>1604.010.BE6-000</t>
  </si>
  <si>
    <t>1604.010.BG3-000</t>
  </si>
  <si>
    <t>1604.010.BN9-000</t>
  </si>
  <si>
    <t>INDUZIDO GSB13 750W 220V</t>
  </si>
  <si>
    <t>1604.010.BP1-000</t>
  </si>
  <si>
    <t>INDUZIDO GSB16 850W 220V</t>
  </si>
  <si>
    <t>1604.010.BS1-000</t>
  </si>
  <si>
    <t>INDUZIDO GSB20 870W 220V</t>
  </si>
  <si>
    <t>1604.010.BS4-000</t>
  </si>
  <si>
    <t>1604.011.116-000</t>
  </si>
  <si>
    <t>INDUCIDO DISCONTINUADO</t>
  </si>
  <si>
    <t>1604.011.121-000</t>
  </si>
  <si>
    <t>INDUCIDO 1321-21.4/1322.4 DISCONTINUADO</t>
  </si>
  <si>
    <t>1604.011.141-000</t>
  </si>
  <si>
    <t>INDUCIDO 1351/1352 RX F000605067</t>
  </si>
  <si>
    <t>1604.011.148-000</t>
  </si>
  <si>
    <t>INDUCIDO 1356/1357</t>
  </si>
  <si>
    <t>1604.011.149-000</t>
  </si>
  <si>
    <t>INDUCIDO - 220V - RX F000605128</t>
  </si>
  <si>
    <t>1604.011.156-000</t>
  </si>
  <si>
    <t>INDUCIDO 1361-62-68      Ra153</t>
  </si>
  <si>
    <t>1604.011.182-000</t>
  </si>
  <si>
    <t>INDUCIDO 1755/6 C/VENTILADOR</t>
  </si>
  <si>
    <t>1604.011.223-000</t>
  </si>
  <si>
    <t>INDUCIDO 1321.0.1/1322.0.1 - DISCONT.</t>
  </si>
  <si>
    <t>1604.011.257-000</t>
  </si>
  <si>
    <t>INDUCIDO 1863/4 Rx 2610914543</t>
  </si>
  <si>
    <t>1604.011.297-000</t>
  </si>
  <si>
    <t>INDUCIDO 1891/1890</t>
  </si>
  <si>
    <t>1604.011.298-000</t>
  </si>
  <si>
    <t>INDUCIDO 1893 220V - GWS 24 LVI</t>
  </si>
  <si>
    <t>1604.011.932-000</t>
  </si>
  <si>
    <t>INDUCIDO 1855-6.G Rx.1604010BC1</t>
  </si>
  <si>
    <t>1604.012.000-000</t>
  </si>
  <si>
    <t>INDUCIDO 1331/1332.5  DISCONT.</t>
  </si>
  <si>
    <t>1604.012.039-000</t>
  </si>
  <si>
    <t>INDUCIDO 1331/1332.4-RA013-DISCONT.</t>
  </si>
  <si>
    <t>1604.012.044-000</t>
  </si>
  <si>
    <t>INDUCIDO 1331/1332.4    RA013</t>
  </si>
  <si>
    <t>1604.080.036-000</t>
  </si>
  <si>
    <t>INDUCIDO 2501/2305</t>
  </si>
  <si>
    <t>1604.080.038-000</t>
  </si>
  <si>
    <t>INDUCIDO SIN BOBINADO 2213</t>
  </si>
  <si>
    <t>1604.080.079-000</t>
  </si>
  <si>
    <t>INDUCIDO SIN ARROLLAMIENTO 2373</t>
  </si>
  <si>
    <t>1604.220.039-000</t>
  </si>
  <si>
    <t>ESTATOR 1331/32.4-DISCONTINUO</t>
  </si>
  <si>
    <t>1604.220.109-000</t>
  </si>
  <si>
    <t>ESTATOR 1321.0.1/1322.0.1-DISCONT.</t>
  </si>
  <si>
    <t>1604.220.140-000</t>
  </si>
  <si>
    <t>ESTATOR -REEMP X 245</t>
  </si>
  <si>
    <t>1604.220.149-000</t>
  </si>
  <si>
    <t>ESTATOR 3254</t>
  </si>
  <si>
    <t>1604.220.159-000</t>
  </si>
  <si>
    <t>ESTATOR 1507</t>
  </si>
  <si>
    <t>1604.220.171-000</t>
  </si>
  <si>
    <t>ESTATOR 1338 Discontinuado</t>
  </si>
  <si>
    <t>1604.220.175-000</t>
  </si>
  <si>
    <t>ESTATOR 1121.0/1557</t>
  </si>
  <si>
    <t>1604.220.194-000</t>
  </si>
  <si>
    <t>ESTATOR 3224/3270</t>
  </si>
  <si>
    <t>1604.220.215-000</t>
  </si>
  <si>
    <t>ESTATOR 1321.4/1322.4</t>
  </si>
  <si>
    <t>1604.220.220-000</t>
  </si>
  <si>
    <t>ESTATOR 1612</t>
  </si>
  <si>
    <t>1604.220.228-000</t>
  </si>
  <si>
    <t>ESTATOR 1121.1</t>
  </si>
  <si>
    <t>1604.220.23P-000</t>
  </si>
  <si>
    <t>EXPANSION POLAR 230V 1B66.0</t>
  </si>
  <si>
    <t>1604.220.245-000</t>
  </si>
  <si>
    <t>ESTATOR 1331.4.5/1332.4.5 DISCONT</t>
  </si>
  <si>
    <t>1604.220.254-000</t>
  </si>
  <si>
    <t>ESTAT 1184/11226/1423</t>
  </si>
  <si>
    <t>1604.220.258-000</t>
  </si>
  <si>
    <t>ESTATOR 1351/1352-1356/1357 RXF000635416</t>
  </si>
  <si>
    <t>1604.220.262-000</t>
  </si>
  <si>
    <t>ESTATOR 1361/62/68 BR - OBSOLETO</t>
  </si>
  <si>
    <t>1604.220.266-000</t>
  </si>
  <si>
    <t>ESTATOR 1189.7</t>
  </si>
  <si>
    <t>1604.220.272-000</t>
  </si>
  <si>
    <t>ESTATOR 1347.1</t>
  </si>
  <si>
    <t>1604.220.282-000</t>
  </si>
  <si>
    <t>ESTATOR 1800/1820/1H31 RX 1604220458</t>
  </si>
  <si>
    <t>1604.220.283-000</t>
  </si>
  <si>
    <t>ESTATOR 1701/1801.0/1821/1830.2</t>
  </si>
  <si>
    <t>1604.220.284-000</t>
  </si>
  <si>
    <t>ESTATOR 1385 RX 160422054U</t>
  </si>
  <si>
    <t>1604.220.301-000</t>
  </si>
  <si>
    <t>ESTATOR 3343.3</t>
  </si>
  <si>
    <t>1604.220.332-000</t>
  </si>
  <si>
    <t>ESTATOR 1755/6 RX 382</t>
  </si>
  <si>
    <t>1604.220.334-000</t>
  </si>
  <si>
    <t>ESTATOR 1753.1 RX 381</t>
  </si>
  <si>
    <t>1604.220.343-000</t>
  </si>
  <si>
    <t>ESTATOR 11216/30/309/13  RA097</t>
  </si>
  <si>
    <t>1604.220.354-000</t>
  </si>
  <si>
    <t>Estator 0835.1</t>
  </si>
  <si>
    <t>1604.220.358-000</t>
  </si>
  <si>
    <t>ESTATOR 0835.2</t>
  </si>
  <si>
    <t>1604.220.375-000</t>
  </si>
  <si>
    <t>ESTATOR 1120.5 Ra3604220046</t>
  </si>
  <si>
    <t>1604.220.380-000</t>
  </si>
  <si>
    <t>EXPANSION POLAR  1851/52</t>
  </si>
  <si>
    <t>1604.220.381-000</t>
  </si>
  <si>
    <t>ESTATOR 1753.1 Ra 1604220334</t>
  </si>
  <si>
    <t>1604.220.382-000</t>
  </si>
  <si>
    <t>ESTATOR 1755/56 - 1855/6.G</t>
  </si>
  <si>
    <t>1604.220.401-000</t>
  </si>
  <si>
    <t>CAMPO</t>
  </si>
  <si>
    <t>1604.220.408-000</t>
  </si>
  <si>
    <t>EXPANSION POLAR 230-240V 1K70.7</t>
  </si>
  <si>
    <t>1604.220.411-000</t>
  </si>
  <si>
    <t>ESTATOR 1297 RX 2609120299000</t>
  </si>
  <si>
    <t>1604.220.417-000</t>
  </si>
  <si>
    <t>EXPANSION POLAR 220-240V 1C89.0/1H30.2</t>
  </si>
  <si>
    <t>1604.220.422-000</t>
  </si>
  <si>
    <t>ESTATOR 220V - GWS 24 LVI RX1607000C4L</t>
  </si>
  <si>
    <t>1604.220.429-000</t>
  </si>
  <si>
    <t>ESTATOR 1891/1893/1890 RX1607000C4K</t>
  </si>
  <si>
    <t>1604.220.433-000</t>
  </si>
  <si>
    <t>ESTATOR 1821</t>
  </si>
  <si>
    <t>1604.220.439-000</t>
  </si>
  <si>
    <t>ESTATOR 1980</t>
  </si>
  <si>
    <t>1604.220.459-000</t>
  </si>
  <si>
    <t>EXPANSION POLAR</t>
  </si>
  <si>
    <t>1604.220.470-000</t>
  </si>
  <si>
    <t>EXPANSION POLAR 230V 1G90.0</t>
  </si>
  <si>
    <t>1604.220.478-000</t>
  </si>
  <si>
    <t>EXPANSION POLAR 230V 1G76.0</t>
  </si>
  <si>
    <t>1604.220.501-000</t>
  </si>
  <si>
    <t>ESTATOR 1894/1895 RX 1607000C4M</t>
  </si>
  <si>
    <t>1604.220.52C-000</t>
  </si>
  <si>
    <t>EXPANSION POLAR 220V 1831</t>
  </si>
  <si>
    <t>1604.220.52F-000</t>
  </si>
  <si>
    <t>ESTATOR VC - 11336 Ra 1614220196</t>
  </si>
  <si>
    <t>1604.220.52M-000</t>
  </si>
  <si>
    <t>ESTATOR 11335 220V Ra 1614220187</t>
  </si>
  <si>
    <t>1604.220.52R-000</t>
  </si>
  <si>
    <t>ESTATOR 1130A</t>
  </si>
  <si>
    <t>1604.220.52X-000</t>
  </si>
  <si>
    <t>ESTATOR 1800/1820/1H31 Rx 1604220458</t>
  </si>
  <si>
    <t>1604.220.52Y-000</t>
  </si>
  <si>
    <t>1604.220.52Z-000</t>
  </si>
  <si>
    <t>CAMPO 13-125 / 12-125 CI</t>
  </si>
  <si>
    <t>1604.220.532-000</t>
  </si>
  <si>
    <t>CONJUNTO ESTATOR 220-230V 1G9M.0</t>
  </si>
  <si>
    <t>1604.220.53J-000</t>
  </si>
  <si>
    <t>EXPANSION POLAR-16B1</t>
  </si>
  <si>
    <t>1604.220.53U-000</t>
  </si>
  <si>
    <t>EXPANSION POLAR 220V 9002 MODELO NUEVO</t>
  </si>
  <si>
    <t>1604.220.53Y-000</t>
  </si>
  <si>
    <t>1604.220.54A-000</t>
  </si>
  <si>
    <t>EXPANSION POLAR 220V 1B3D.5</t>
  </si>
  <si>
    <t>1604.220.54D-000</t>
  </si>
  <si>
    <t>ESTATOR 4751 - CORRECTO</t>
  </si>
  <si>
    <t>1604.220.54G-000</t>
  </si>
  <si>
    <t>EXPANSION POLAR - 220V 6000</t>
  </si>
  <si>
    <t>1604.220.54J-000</t>
  </si>
  <si>
    <t>Zapato Polar</t>
  </si>
  <si>
    <t>1604.220.54U-000</t>
  </si>
  <si>
    <t>ESTATOR 1805  RA 1604220284</t>
  </si>
  <si>
    <t>1604.220.552-000</t>
  </si>
  <si>
    <t>ESTATOR 6600/6604</t>
  </si>
  <si>
    <t>1604.220.558-000</t>
  </si>
  <si>
    <t>EXPANSION POLAR 220V 6520</t>
  </si>
  <si>
    <t>1604.220.56P-000</t>
  </si>
  <si>
    <t>EXPANSION POLAR 1GA3.1</t>
  </si>
  <si>
    <t>1604.220.570-000</t>
  </si>
  <si>
    <t>EXPANSION POLAR 220V 1AB5.0</t>
  </si>
  <si>
    <t>1604.220.575-000</t>
  </si>
  <si>
    <t>EXPANSION POLAR 1EA8.0</t>
  </si>
  <si>
    <t>1604.220.577-000</t>
  </si>
  <si>
    <t>EXPANSION POLAR 12A2.0</t>
  </si>
  <si>
    <t>1604.220.57G-000</t>
  </si>
  <si>
    <t>1604.220.57K-000</t>
  </si>
  <si>
    <t>ESTATOR 17531 RA1604220334 Ra1604220381</t>
  </si>
  <si>
    <t>1604.220.580-000</t>
  </si>
  <si>
    <t>1604.220.582-000</t>
  </si>
  <si>
    <t>1604.220.58H-000</t>
  </si>
  <si>
    <t>1604.220.58V-000</t>
  </si>
  <si>
    <t>1604.220.59K-000</t>
  </si>
  <si>
    <t>ESTATOR GSB13 750W 220V</t>
  </si>
  <si>
    <t>1604.220.59M-000</t>
  </si>
  <si>
    <t>ESTATOR GSB16 850W 220V</t>
  </si>
  <si>
    <t>1604.220.5A4-000</t>
  </si>
  <si>
    <t>ESTATOR GSB20 870W 220V</t>
  </si>
  <si>
    <t>1604.229.100-000</t>
  </si>
  <si>
    <t>ESTATOR 2305</t>
  </si>
  <si>
    <t>1604.229.192-000</t>
  </si>
  <si>
    <t>ESTATOR 2373</t>
  </si>
  <si>
    <t>1604.321.129-000</t>
  </si>
  <si>
    <t>CARBONES 1980</t>
  </si>
  <si>
    <t>1604.321.15J-000</t>
  </si>
  <si>
    <t>CABONES 6550/6552/6552BR</t>
  </si>
  <si>
    <t>1604.321.16M-000</t>
  </si>
  <si>
    <t>CARBONES 6520</t>
  </si>
  <si>
    <t>1604.321.16Z-000</t>
  </si>
  <si>
    <t>JUEGO DE ESCOBILLAS 220V 6520</t>
  </si>
  <si>
    <t>1604.321.175-000</t>
  </si>
  <si>
    <t>7GO.CARBONES SKIL 6600</t>
  </si>
  <si>
    <t>1604.321.179-000</t>
  </si>
  <si>
    <t>CARBONES  1FB3.0</t>
  </si>
  <si>
    <t>1604.321.17B-000</t>
  </si>
  <si>
    <t>ESCOBILLA DE CARBON 1EA8.0</t>
  </si>
  <si>
    <t>1604.321.186-000</t>
  </si>
  <si>
    <t>Escobilla De Carbon</t>
  </si>
  <si>
    <t>1604.321.900-000</t>
  </si>
  <si>
    <t>CARBONES 1288/3161/3230</t>
  </si>
  <si>
    <t>1604.336.008-000</t>
  </si>
  <si>
    <t>PORTAESCOBILLAS 1619</t>
  </si>
  <si>
    <t>1604.336.016-000</t>
  </si>
  <si>
    <t>PORTACARBONES 0835.1</t>
  </si>
  <si>
    <t>1604.336.017-000</t>
  </si>
  <si>
    <t>PORTACARBON 1121 RA 1614336001</t>
  </si>
  <si>
    <t>1604.336.018-000</t>
  </si>
  <si>
    <t>PORTACARB.1120/1366/1551 RXF000600113</t>
  </si>
  <si>
    <t>1604.336.021-000</t>
  </si>
  <si>
    <t>PORT CARB 1361-2-8-51-2-6-7 BR</t>
  </si>
  <si>
    <t>1604.336.031-000</t>
  </si>
  <si>
    <t>PORTACARBONES 1385 OBSOLETO</t>
  </si>
  <si>
    <t>1604.336.035-000</t>
  </si>
  <si>
    <t>PORTAESCOBILLAS 1375</t>
  </si>
  <si>
    <t>1604.336.036-000</t>
  </si>
  <si>
    <t>PORTACARBON 1755/6  RX048</t>
  </si>
  <si>
    <t>1604.336.052-000</t>
  </si>
  <si>
    <t>PORTACARBONES 1980</t>
  </si>
  <si>
    <t>1604.336.053-000</t>
  </si>
  <si>
    <t>PORTAESCOBILLAS 1B370</t>
  </si>
  <si>
    <t>1604.336.058-000</t>
  </si>
  <si>
    <t>PORTACARBONES 4751</t>
  </si>
  <si>
    <t>1604.336.059-000</t>
  </si>
  <si>
    <t>PORTA CARBONES 6000</t>
  </si>
  <si>
    <t>1604.336.05A-000</t>
  </si>
  <si>
    <t>PORTA ESCOBILLAS 6520</t>
  </si>
  <si>
    <t>1604.336.05B-000</t>
  </si>
  <si>
    <t>PORTACARBON SKIL 6600</t>
  </si>
  <si>
    <t>1604.360.04S-000</t>
  </si>
  <si>
    <t>1604.400.00B-000</t>
  </si>
  <si>
    <t>CABLE DE CONEXION 6000</t>
  </si>
  <si>
    <t>1604.400.00C-000</t>
  </si>
  <si>
    <t>1604.400.01A-000</t>
  </si>
  <si>
    <t>1604.400.01N-000</t>
  </si>
  <si>
    <t>1604.400.01P-000</t>
  </si>
  <si>
    <t>1604.413.007-000</t>
  </si>
  <si>
    <t>CABLE</t>
  </si>
  <si>
    <t>1604.413.008-000</t>
  </si>
  <si>
    <t>1604.431.005-000</t>
  </si>
  <si>
    <t>CABLE DE CONEXION 1597</t>
  </si>
  <si>
    <t>1604.431.006-000</t>
  </si>
  <si>
    <t>1604.448.005-000</t>
  </si>
  <si>
    <t>CONEXION 1347 - DISCONTINUADO</t>
  </si>
  <si>
    <t>1604.448.006-000</t>
  </si>
  <si>
    <t>CONEXION 1347/3278 - DISCONTINUADO</t>
  </si>
  <si>
    <t>1604.448.013-000</t>
  </si>
  <si>
    <t>CABLE DE CONEXION L=90 MM BLANCO 1G90.0</t>
  </si>
  <si>
    <t>1604.448.023-000</t>
  </si>
  <si>
    <t>Cable De Enlace</t>
  </si>
  <si>
    <t>1604.448.025-000</t>
  </si>
  <si>
    <t>CABLE DE CONEXION 1GA3.1</t>
  </si>
  <si>
    <t>1604.449.002-000</t>
  </si>
  <si>
    <t>1604.460.126-000</t>
  </si>
  <si>
    <t>CABLE CONEXION - 1361/62 - DISCONTIUADO</t>
  </si>
  <si>
    <t>1604.460.163-000</t>
  </si>
  <si>
    <t>CABLE DE CONEXION 3364</t>
  </si>
  <si>
    <t>1604.460.230-000</t>
  </si>
  <si>
    <t>Linea De Conexion A Red</t>
  </si>
  <si>
    <t>1604.460.231-000</t>
  </si>
  <si>
    <t>LINEA DE CONEXION A RED 1805</t>
  </si>
  <si>
    <t>1604.460.234-000</t>
  </si>
  <si>
    <t>CABLE CON PLUGUE - AR 12A7</t>
  </si>
  <si>
    <t>1604.460.235-000</t>
  </si>
  <si>
    <t>LINEA DE CONEXION A RED  1070/1C87</t>
  </si>
  <si>
    <t>1604.460.240-000</t>
  </si>
  <si>
    <t>LINEA DE CONEXION A RED 4,15M 2X1,5MMH07</t>
  </si>
  <si>
    <t>1604.460.247-000</t>
  </si>
  <si>
    <t>Línea de conexión principal</t>
  </si>
  <si>
    <t>1604.460.301-000</t>
  </si>
  <si>
    <t>LINEA DE CONEXION A RED 1597</t>
  </si>
  <si>
    <t>1604.460.394-000</t>
  </si>
  <si>
    <t>Power supply cord</t>
  </si>
  <si>
    <t>1604.460.707-000</t>
  </si>
  <si>
    <t>1604.460.71X-000</t>
  </si>
  <si>
    <t>LINEA DE CONEXION A RED 5200</t>
  </si>
  <si>
    <t>1604.460.734-000</t>
  </si>
  <si>
    <t>LINEA DE CONEXION A RED</t>
  </si>
  <si>
    <t>1604.460.73W-000</t>
  </si>
  <si>
    <t>LINEA DE CONEXION A RED AR</t>
  </si>
  <si>
    <t>1604.460.74F-000</t>
  </si>
  <si>
    <t>LINEA DE CONEXION A RED 6604</t>
  </si>
  <si>
    <t>1604.460.74H-000</t>
  </si>
  <si>
    <t>LINEA DE CONEXION RED 6600 RX1604460762</t>
  </si>
  <si>
    <t>1604.460.762-000</t>
  </si>
  <si>
    <t>LINEA DE CONEXION A RED RA 160446074H</t>
  </si>
  <si>
    <t>1604.460.765-000</t>
  </si>
  <si>
    <t>CABLE DE CONEXIÓN 1AB6.0 RX 160446074E</t>
  </si>
  <si>
    <t>1604.460.767-000</t>
  </si>
  <si>
    <t>L. DE RED AR 1AB6.0 RA 160446074H</t>
  </si>
  <si>
    <t>1604.460.76C-000</t>
  </si>
  <si>
    <t>LINEA A RED BR 2MX0,75MM H05 VV-F 1C77.5</t>
  </si>
  <si>
    <t>1604.460.76D-000</t>
  </si>
  <si>
    <t>LINEA DE CONEXION A RED ARG 2M 2X.75MM</t>
  </si>
  <si>
    <t>1604.460.78E-000</t>
  </si>
  <si>
    <t>1604.465.101-000</t>
  </si>
  <si>
    <t>PORTACARBONES 3254</t>
  </si>
  <si>
    <t>1604.465.103-000</t>
  </si>
  <si>
    <t>PORTACARBON 3224</t>
  </si>
  <si>
    <t>1604.477.005-000</t>
  </si>
  <si>
    <t>Clavija Aplanada</t>
  </si>
  <si>
    <t>1604.477.020-000</t>
  </si>
  <si>
    <t>SOPORTE DE ENCHUFE 1C36.0</t>
  </si>
  <si>
    <t>1604.478.015-000</t>
  </si>
  <si>
    <t>CONECTOR ELETCRICO 1H31</t>
  </si>
  <si>
    <t>1604.503.015-000</t>
  </si>
  <si>
    <t>BOBINA 1855-6.G</t>
  </si>
  <si>
    <t>1604.503.017-000</t>
  </si>
  <si>
    <t>REGULADOR 1863/4</t>
  </si>
  <si>
    <t>1604.601.028-000</t>
  </si>
  <si>
    <t>1604.601.02S-000</t>
  </si>
  <si>
    <t>1604.601.031-000</t>
  </si>
  <si>
    <t>1604.601.032-000</t>
  </si>
  <si>
    <t>1604.601.037-000</t>
  </si>
  <si>
    <t>1604.601.03K-000</t>
  </si>
  <si>
    <t>ANILLO DE RETENCIÓN -19J85</t>
  </si>
  <si>
    <t>1604.601.03M-000</t>
  </si>
  <si>
    <t>ANILLO ELÁSTICO</t>
  </si>
  <si>
    <t>1604.601.040-000</t>
  </si>
  <si>
    <t>1604.611.004-000</t>
  </si>
  <si>
    <t>MUELLE 7661</t>
  </si>
  <si>
    <t>1604.611.019-000</t>
  </si>
  <si>
    <t>MUELLE 7661/7457</t>
  </si>
  <si>
    <t>1604.611.022-000</t>
  </si>
  <si>
    <t>RESORTE 1121</t>
  </si>
  <si>
    <t>1604.611.024-000</t>
  </si>
  <si>
    <t>RESORTE 17A1/2</t>
  </si>
  <si>
    <t>1604.611.026-000</t>
  </si>
  <si>
    <t>RESORT801/25/05/00/1282/1H25/1G90.0 x10u</t>
  </si>
  <si>
    <t>1604.611.037-000</t>
  </si>
  <si>
    <t>MUELLE 11250.7</t>
  </si>
  <si>
    <t>1604.611.039-000</t>
  </si>
  <si>
    <t>RESORTE 1821/1H31 Rx 1604611042</t>
  </si>
  <si>
    <t>1604.611.041-000</t>
  </si>
  <si>
    <t>MUELLE DE COMPRESION 1GA3.1</t>
  </si>
  <si>
    <t>1604.611.042-000</t>
  </si>
  <si>
    <t>1604.612.00N-000</t>
  </si>
  <si>
    <t>1604.612.00R-000</t>
  </si>
  <si>
    <t>1604.612.00X-000</t>
  </si>
  <si>
    <t>RESORTE DE CIERRE 1831</t>
  </si>
  <si>
    <t>1604.612.01E-000</t>
  </si>
  <si>
    <t>MUELLE DE COMPRESION 1E8J.3</t>
  </si>
  <si>
    <t>1604.612.01P-000</t>
  </si>
  <si>
    <t>RESORTE DE COMPRESION 4751</t>
  </si>
  <si>
    <t>1604.612.01U-000</t>
  </si>
  <si>
    <t>1604.612.01X-000</t>
  </si>
  <si>
    <t>1604.612.028-000</t>
  </si>
  <si>
    <t>RESORTE DE COMPRESIÓN 19H2</t>
  </si>
  <si>
    <t>1604.612.02N-000</t>
  </si>
  <si>
    <t>1604.612.03M-000</t>
  </si>
  <si>
    <t>1604.613.006-000</t>
  </si>
  <si>
    <t>1604.616.022-000</t>
  </si>
  <si>
    <t>MUELLE DE COMPRESION 1H92.H/1H93.H</t>
  </si>
  <si>
    <t>1604.617.008-000</t>
  </si>
  <si>
    <t>MUELLE 0836.1/1597</t>
  </si>
  <si>
    <t>1604.617.009-000</t>
  </si>
  <si>
    <t>MUELLE 0836.1</t>
  </si>
  <si>
    <t>1604.617.015-000</t>
  </si>
  <si>
    <t>MUELLE DE COMPRESION 1597</t>
  </si>
  <si>
    <t>1604.617.016-000</t>
  </si>
  <si>
    <t>MUELLE DE COMPRESION 1597 RX017</t>
  </si>
  <si>
    <t>1604.617.017-000</t>
  </si>
  <si>
    <t>1604.619.017-000</t>
  </si>
  <si>
    <t>1604.619.018-000</t>
  </si>
  <si>
    <t>MUELLE DE COMPRESION</t>
  </si>
  <si>
    <t>1604.643.003-000</t>
  </si>
  <si>
    <t>MUELLE DE COMPRESION 1753.1</t>
  </si>
  <si>
    <t>1604.643.005-000</t>
  </si>
  <si>
    <t>RESORTE CONICO 11250.7</t>
  </si>
  <si>
    <t>1604.650.010-000</t>
  </si>
  <si>
    <t>RESORTE 3224</t>
  </si>
  <si>
    <t>1604.650.016-000</t>
  </si>
  <si>
    <t>1604.651.004-000</t>
  </si>
  <si>
    <t>RESORTE - Discontinuado</t>
  </si>
  <si>
    <t>1604.651.007-000</t>
  </si>
  <si>
    <t>RESORTE 3281 OBSOLETO</t>
  </si>
  <si>
    <t>1604.651.01C-000</t>
  </si>
  <si>
    <t>Muelle Con Patas</t>
  </si>
  <si>
    <t>1604.651.01F-000</t>
  </si>
  <si>
    <t>1604.652.002-000</t>
  </si>
  <si>
    <t>RESORTE 1321-22-31-32-61 RX F000635165</t>
  </si>
  <si>
    <t>1604.652.004-000</t>
  </si>
  <si>
    <t>RESORTE 3230</t>
  </si>
  <si>
    <t>1604.652.006-000</t>
  </si>
  <si>
    <t>Muelle Espiral</t>
  </si>
  <si>
    <t>1604.652.009-000</t>
  </si>
  <si>
    <t>RESORTE ESPIRAL 1557</t>
  </si>
  <si>
    <t>1604.652.013-000</t>
  </si>
  <si>
    <t>RESORT./05/1773/1375/1H31/1C77/1C94/1H25</t>
  </si>
  <si>
    <t>1604.652.016-000</t>
  </si>
  <si>
    <t>RESORTE 1755/6  RX1604336048</t>
  </si>
  <si>
    <t>1604.652.018-000</t>
  </si>
  <si>
    <t>CINTA DE FRENO 0836.1 RX 020</t>
  </si>
  <si>
    <t>1604.652.020-000</t>
  </si>
  <si>
    <t>CINTA DE FRENO 0836.1/1597 RA 018</t>
  </si>
  <si>
    <t>1604.652.021-000</t>
  </si>
  <si>
    <t>1604.652.024-000</t>
  </si>
  <si>
    <t>RESORTE 5301</t>
  </si>
  <si>
    <t>1604.652.027-000</t>
  </si>
  <si>
    <t>MUELLE ESPIRAL 5402</t>
  </si>
  <si>
    <t>1604.652.029-000</t>
  </si>
  <si>
    <t>MUELLE ESPIRAL 1FB3.0</t>
  </si>
  <si>
    <t>1604.652.02A-000</t>
  </si>
  <si>
    <t>1604.652.02D-000</t>
  </si>
  <si>
    <t>MUELLE ESPIRAL 8005 V2</t>
  </si>
  <si>
    <t>1604.652.02F-000</t>
  </si>
  <si>
    <t>1604.652.02M-000</t>
  </si>
  <si>
    <t>1604.730.001-000</t>
  </si>
  <si>
    <t>CADENA DE CORTE 0836.1 RX 2609.007.364</t>
  </si>
  <si>
    <t>1604.730.004-000</t>
  </si>
  <si>
    <t>CADENA DE SIERRA 1597 RX 2609.006.251-00</t>
  </si>
  <si>
    <t>1604.736.004-000</t>
  </si>
  <si>
    <t>CORREA DENTADA 3258 DISCONTINUADO.</t>
  </si>
  <si>
    <t>1604.736.005-000</t>
  </si>
  <si>
    <t>CORREA DENTADA 1270/3272</t>
  </si>
  <si>
    <t>1605.104.067-000</t>
  </si>
  <si>
    <t>CARCASA 3254</t>
  </si>
  <si>
    <t>1605.108.127-000</t>
  </si>
  <si>
    <t>CARCASA DE MOTOR 3278 obsoleto</t>
  </si>
  <si>
    <t>1605.108.137-000</t>
  </si>
  <si>
    <t>CARCASA 3224</t>
  </si>
  <si>
    <t>1605.108.144-000</t>
  </si>
  <si>
    <t>CARCASA 1356/1357</t>
  </si>
  <si>
    <t>1605.108.145-000</t>
  </si>
  <si>
    <t>CARCASA DE MOTOR 1361-62-68</t>
  </si>
  <si>
    <t>1605.108.151-000</t>
  </si>
  <si>
    <t>CARCASA DE MOTOR 1347.1 RX 16051082CC000</t>
  </si>
  <si>
    <t>1605.108.162-000</t>
  </si>
  <si>
    <t>CARCASA DE MOTOR 1373/85</t>
  </si>
  <si>
    <t>1605.108.174-000</t>
  </si>
  <si>
    <t>CARCASA DEL MOTOR 1375 SUST.1619P09772</t>
  </si>
  <si>
    <t>1605.108.180-000</t>
  </si>
  <si>
    <t>CARCASA DE MOTOR 3343.3 Discont.</t>
  </si>
  <si>
    <t>1605.108.190-000</t>
  </si>
  <si>
    <t>CARCASA DE MOTOR 1755/6</t>
  </si>
  <si>
    <t>1605.108.208-000</t>
  </si>
  <si>
    <t>CARCASA 1701/05/73/71801.0/05/1621 RA176</t>
  </si>
  <si>
    <t>1605.108.222-000</t>
  </si>
  <si>
    <t>CARCASA 12A7/1H31</t>
  </si>
  <si>
    <t>1605.108.231-000</t>
  </si>
  <si>
    <t>CARCASA 1934</t>
  </si>
  <si>
    <t>1605.108.233-000</t>
  </si>
  <si>
    <t>CARCASA DEL MOTOR 1849/1850</t>
  </si>
  <si>
    <t>1605.108.236-000</t>
  </si>
  <si>
    <t>CARCASA DE MOTOR 1863/4</t>
  </si>
  <si>
    <t>1605.108.239-000</t>
  </si>
  <si>
    <t>CARCASA MOTOR 1855-6.G</t>
  </si>
  <si>
    <t>1605.108.241-000</t>
  </si>
  <si>
    <t>CARCASA 1597</t>
  </si>
  <si>
    <t>1605.108.248-000</t>
  </si>
  <si>
    <t>CARCASA 1822/1220/1221</t>
  </si>
  <si>
    <t>1605.108.249-000</t>
  </si>
  <si>
    <t>CARCASA DEL MOTOR AZUL OSCURO 1H25.0</t>
  </si>
  <si>
    <t>1605.108.264-000</t>
  </si>
  <si>
    <t>CARCASA 1891/1893/1894/1895/1892/1890</t>
  </si>
  <si>
    <t>1605.108.269-000</t>
  </si>
  <si>
    <t>CARCASA DEL MOTOR 1829</t>
  </si>
  <si>
    <t>1605.108.270-000</t>
  </si>
  <si>
    <t>CARCASA DEL MOTOR 1980</t>
  </si>
  <si>
    <t>1605.108.282-000</t>
  </si>
  <si>
    <t>SEGMENTOS DE VIVIENDA</t>
  </si>
  <si>
    <t>1605.108.283-000</t>
  </si>
  <si>
    <t>CARCASA DEL MOTOR 1G76.0</t>
  </si>
  <si>
    <t>1605.108.287-000</t>
  </si>
  <si>
    <t>CARCASA DEL MOTOR 1G90.0</t>
  </si>
  <si>
    <t>1605.108.292-000</t>
  </si>
  <si>
    <t>1605.108.29B-000</t>
  </si>
  <si>
    <t>Carcasa Del Motor</t>
  </si>
  <si>
    <t>1605.108.2AD-000</t>
  </si>
  <si>
    <t>CARCASA MOTOR 6555 RX 1607000C8W</t>
  </si>
  <si>
    <t>1605.108.2AF-000</t>
  </si>
  <si>
    <t>CARCASA DEL MOTOR 1831</t>
  </si>
  <si>
    <t>1605.108.2AW-000</t>
  </si>
  <si>
    <t>CARCASA DEL MOTOR 8003JB</t>
  </si>
  <si>
    <t>1605.108.2B2-000</t>
  </si>
  <si>
    <t>1605.108.2B8-000</t>
  </si>
  <si>
    <t>CARCASA DEL MOTOR</t>
  </si>
  <si>
    <t>1605.108.2BB-000</t>
  </si>
  <si>
    <t>CARCASA 4380</t>
  </si>
  <si>
    <t>1605.108.2BG-000</t>
  </si>
  <si>
    <t>1605.108.2BZ-000</t>
  </si>
  <si>
    <t>CARCASA MOTOR</t>
  </si>
  <si>
    <t>1605.108.2C0-000</t>
  </si>
  <si>
    <t>CARCASA DEL MOTOR 1B3D.5</t>
  </si>
  <si>
    <t>1605.108.2CC-000</t>
  </si>
  <si>
    <t>Carcasa del motor</t>
  </si>
  <si>
    <t>1605.108.2CH-000</t>
  </si>
  <si>
    <t>CARCASA DEL MOTOR 8005 V2</t>
  </si>
  <si>
    <t>1605.108.2CU-000</t>
  </si>
  <si>
    <t>CARCASA 9004(830W)</t>
  </si>
  <si>
    <t>1605.108.2CZ-000</t>
  </si>
  <si>
    <t>CARCASA DEL MOTOR 5402</t>
  </si>
  <si>
    <t>1605.108.2D1-000</t>
  </si>
  <si>
    <t>CARCASA DEL MOTOR 4751</t>
  </si>
  <si>
    <t>1605.108.2D5-000</t>
  </si>
  <si>
    <t>CARCASA DEL MOTOR 6000</t>
  </si>
  <si>
    <t>1605.108.2DB-000</t>
  </si>
  <si>
    <t>CARCASA 4400</t>
  </si>
  <si>
    <t>1605.108.2E5-000</t>
  </si>
  <si>
    <t>CARCASA DEL MOTOR 6520</t>
  </si>
  <si>
    <t>1605.108.2EL-000</t>
  </si>
  <si>
    <t>1605.108.2F0-000</t>
  </si>
  <si>
    <t>CARCASA DEL MOTOR 1GA3.1</t>
  </si>
  <si>
    <t>1605.108.2FG-000</t>
  </si>
  <si>
    <t>Segmentos de Carcaca</t>
  </si>
  <si>
    <t>1605.108.2FT-000</t>
  </si>
  <si>
    <t>CARCASA DEL MOTOR 6600</t>
  </si>
  <si>
    <t>1605.108.2FV-000</t>
  </si>
  <si>
    <t>CARCASA DEL MOTOR 6604</t>
  </si>
  <si>
    <t>1605.108.2G8-000</t>
  </si>
  <si>
    <t>1605.108.2HP-000</t>
  </si>
  <si>
    <t>Tapa De Cierre           lussdeckel</t>
  </si>
  <si>
    <t>1605.108.2HZ-000</t>
  </si>
  <si>
    <t>1605.108.2JL-000</t>
  </si>
  <si>
    <t>1605.108.2JX-000</t>
  </si>
  <si>
    <t>1605.108.2K9-000</t>
  </si>
  <si>
    <t>1605.108.2LZ-000</t>
  </si>
  <si>
    <t>CARCASA GWS 2200-180</t>
  </si>
  <si>
    <t>1605.108.2M0-000</t>
  </si>
  <si>
    <t>CARCASA GWS25-180</t>
  </si>
  <si>
    <t>1605.108.2M1-000</t>
  </si>
  <si>
    <t>CARCASA GWS 28-180</t>
  </si>
  <si>
    <t>1605.108.2NX-000</t>
  </si>
  <si>
    <t>CARCASA GWS 2200-230</t>
  </si>
  <si>
    <t>1605.108.2NY-000</t>
  </si>
  <si>
    <t>CARCASA GWS 25-230</t>
  </si>
  <si>
    <t>1605.108.2NZ-000</t>
  </si>
  <si>
    <t>CARCASA GWS 28-230</t>
  </si>
  <si>
    <t>1605.108.2P0-000</t>
  </si>
  <si>
    <t>CARCASA GWS 22U</t>
  </si>
  <si>
    <t>1605.108.2RT-000</t>
  </si>
  <si>
    <t>1605.108.2RU-000</t>
  </si>
  <si>
    <t>1605.108.2S0-000</t>
  </si>
  <si>
    <t>CARCACA MOTOR - REPOSIÇÃO</t>
  </si>
  <si>
    <t>1605.108.2S1-000</t>
  </si>
  <si>
    <t>1605.108.2TR-000</t>
  </si>
  <si>
    <t>1605.132.009-000</t>
  </si>
  <si>
    <t>CACHA AZUL 1C89.0</t>
  </si>
  <si>
    <t>1605.132.010-000</t>
  </si>
  <si>
    <t>CACHA AZUL 1GA3.1</t>
  </si>
  <si>
    <t>1605.132.067-000</t>
  </si>
  <si>
    <t>MANGO AMOLAD. A.F. 2331/2334 2334.1</t>
  </si>
  <si>
    <t>1605.132.079-000</t>
  </si>
  <si>
    <t>EMPUÑADURA    RA 104 DISCONT.</t>
  </si>
  <si>
    <t>1605.132.104-000</t>
  </si>
  <si>
    <t>EMPUÑADURA (REEMP.X9618086597)</t>
  </si>
  <si>
    <t>1605.132.109-000</t>
  </si>
  <si>
    <t>EMPUÑADURA TRASERA 9652-80 DISCONT.</t>
  </si>
  <si>
    <t>1605.132.122-000</t>
  </si>
  <si>
    <t>EMPUÑADURA 1367</t>
  </si>
  <si>
    <t>1605.132.130-000</t>
  </si>
  <si>
    <t>MANGO TRASERO 1755/6 1855/6.G/1863</t>
  </si>
  <si>
    <t>1605.132.140-000</t>
  </si>
  <si>
    <t>MANGO 1849/1850</t>
  </si>
  <si>
    <t>1605.132.144-000</t>
  </si>
  <si>
    <t>MANGO  1893 RX 1605132154000</t>
  </si>
  <si>
    <t>1605.132.145-000</t>
  </si>
  <si>
    <t>MANGO  1891 - SUB 1605132155-000</t>
  </si>
  <si>
    <t>1605.132.146-000</t>
  </si>
  <si>
    <t>CARCASA   AZUL 1830.2</t>
  </si>
  <si>
    <t>1605.132.147-000</t>
  </si>
  <si>
    <t>MANGO</t>
  </si>
  <si>
    <t>1605.132.154-000</t>
  </si>
  <si>
    <t>MANGO AZUL 1H92.H/1H93.H</t>
  </si>
  <si>
    <t>1605.132.155-000</t>
  </si>
  <si>
    <t>MANGO 1891 RA 145  1890</t>
  </si>
  <si>
    <t>1605.132.159-000</t>
  </si>
  <si>
    <t>MANGO 1980 RA 1605132147</t>
  </si>
  <si>
    <t>1605.132.163-000</t>
  </si>
  <si>
    <t>MANGO 1C35.0</t>
  </si>
  <si>
    <t>1605.132.16N-000</t>
  </si>
  <si>
    <t>MANGO 6520</t>
  </si>
  <si>
    <t>1605.132.17B-000</t>
  </si>
  <si>
    <t>ASA (ASA; ASA)</t>
  </si>
  <si>
    <t>1605.132.17U-000</t>
  </si>
  <si>
    <t>MANGO 1FB3.0</t>
  </si>
  <si>
    <t>1605.132.17V-000</t>
  </si>
  <si>
    <t>1605.132.17Z-000</t>
  </si>
  <si>
    <t>Mango</t>
  </si>
  <si>
    <t>1605.132.181-000</t>
  </si>
  <si>
    <t>Carter Inferior</t>
  </si>
  <si>
    <t>1605.132.182-000</t>
  </si>
  <si>
    <t>Carcasa Tapa</t>
  </si>
  <si>
    <t>1605.132.18U-000</t>
  </si>
  <si>
    <t>ENCARGARSE DE</t>
  </si>
  <si>
    <t>1605.132.18X-000</t>
  </si>
  <si>
    <t>1605.132.18Y-000</t>
  </si>
  <si>
    <t>1605.132.19G-000</t>
  </si>
  <si>
    <t>1605.132.19J-000</t>
  </si>
  <si>
    <t>1605.132.19K-000</t>
  </si>
  <si>
    <t>1605.133.015-000</t>
  </si>
  <si>
    <t>EMPUÑADURA REEMx3605133010</t>
  </si>
  <si>
    <t>1605.133.029-000</t>
  </si>
  <si>
    <t>EMPUÑADURA</t>
  </si>
  <si>
    <t>1605.133.036-000</t>
  </si>
  <si>
    <t>MANGO 1274</t>
  </si>
  <si>
    <t>1605.133.045-000</t>
  </si>
  <si>
    <t>MANGO 0836.1/1597</t>
  </si>
  <si>
    <t>1605.133.046-000</t>
  </si>
  <si>
    <t>CACHA 0836.1</t>
  </si>
  <si>
    <t>1605.133.047-000</t>
  </si>
  <si>
    <t>CACHA 1597</t>
  </si>
  <si>
    <t>1605.190.026-000</t>
  </si>
  <si>
    <t>CUADRO DE ASPIRACION 1367</t>
  </si>
  <si>
    <t>1605.190.038-000</t>
  </si>
  <si>
    <t>CAJA DE CONECTORES 1356/7</t>
  </si>
  <si>
    <t>1605.190.048-000</t>
  </si>
  <si>
    <t>CAJA DE RESORTE 1367</t>
  </si>
  <si>
    <t>1605.190.068-000</t>
  </si>
  <si>
    <t>CAJA DE HEMBRILLAS GWS 2000</t>
  </si>
  <si>
    <t>1605.190.091-000</t>
  </si>
  <si>
    <t>ACC. INTERRUP. INF. 0843.0</t>
  </si>
  <si>
    <t>1605.190.190-000</t>
  </si>
  <si>
    <t>TAPA 0836.1/1597</t>
  </si>
  <si>
    <t>1605.190.195-000</t>
  </si>
  <si>
    <t>CARCASA DEL MOTOR 1597</t>
  </si>
  <si>
    <t>1605.190.228-000</t>
  </si>
  <si>
    <t>CARCASA MOTOR 0836.1</t>
  </si>
  <si>
    <t>1605.190.265-000</t>
  </si>
  <si>
    <t>TOBERA 1980</t>
  </si>
  <si>
    <t>1605.405.004-000</t>
  </si>
  <si>
    <t>DEPOSITO DE ACEITE 0836.1/1597</t>
  </si>
  <si>
    <t>1605.411.01G-000</t>
  </si>
  <si>
    <t>CONTENEDOR PARA PO</t>
  </si>
  <si>
    <t>1605.411.01H-000</t>
  </si>
  <si>
    <t>1605.411.034-000</t>
  </si>
  <si>
    <t>BOLSA DE POLVO 1980</t>
  </si>
  <si>
    <t>1605.430.003-000</t>
  </si>
  <si>
    <t>GRASA FT1V27 PARA ENGRANES ESMERILES 225</t>
  </si>
  <si>
    <t>1605.437.003-000</t>
  </si>
  <si>
    <t>BOMBA DE ACEITE 0836.1/1597</t>
  </si>
  <si>
    <t>1605.438.1G2-000</t>
  </si>
  <si>
    <t>Maleta De Transporte</t>
  </si>
  <si>
    <t>1605.500.089-000</t>
  </si>
  <si>
    <t>TAPA 1121/1321/2/31/2/66/.6/1551</t>
  </si>
  <si>
    <t>1605.500.109-000</t>
  </si>
  <si>
    <t>TAPA DE CIERE</t>
  </si>
  <si>
    <t>1605.500.112-000</t>
  </si>
  <si>
    <t>TAPA CARCAZA TRASERA</t>
  </si>
  <si>
    <t>1605.500.120-000</t>
  </si>
  <si>
    <t>TAPA 1270/1274</t>
  </si>
  <si>
    <t>1605.500.122-000</t>
  </si>
  <si>
    <t>TAPA 1270.1/1274</t>
  </si>
  <si>
    <t>1605.500.124-000</t>
  </si>
  <si>
    <t>1605.500.139-000</t>
  </si>
  <si>
    <t>TAPA P/CARBONES 3224</t>
  </si>
  <si>
    <t>1605.500.150-000</t>
  </si>
  <si>
    <t>TAPA PORTACARBON 1351-2-7/1288</t>
  </si>
  <si>
    <t>1605.500.174-000</t>
  </si>
  <si>
    <t>TAPA DEL CUERPO 1385</t>
  </si>
  <si>
    <t>1605.500.194-000</t>
  </si>
  <si>
    <t>TAPA DEL CUERPO 1375</t>
  </si>
  <si>
    <t>1605.500.206-000</t>
  </si>
  <si>
    <t>TAPA DE SELLADO</t>
  </si>
  <si>
    <t>1605.500.226-000</t>
  </si>
  <si>
    <t>TAPA DEL CUERPO /1801.0/1805</t>
  </si>
  <si>
    <t>1605.500.227-000</t>
  </si>
  <si>
    <t>TAPA 1H25.0</t>
  </si>
  <si>
    <t>1605.500.228-000</t>
  </si>
  <si>
    <t>TAPA \ AZUL/1801.0/1821</t>
  </si>
  <si>
    <t>1605.500.233-000</t>
  </si>
  <si>
    <t>TAPA DE CIERRE 1850</t>
  </si>
  <si>
    <t>1605.500.236-000</t>
  </si>
  <si>
    <t>TAPA CARBONES 1863/4</t>
  </si>
  <si>
    <t>1605.500.237-000</t>
  </si>
  <si>
    <t>TAPA DEL CUERPO 1934</t>
  </si>
  <si>
    <t>1605.500.251-000</t>
  </si>
  <si>
    <t>TAPA DEL CUERPO AZUL OSCURO 1H25.0</t>
  </si>
  <si>
    <t>1605.500.258-000</t>
  </si>
  <si>
    <t>TAPA NEGRO 1C89.0</t>
  </si>
  <si>
    <t>1605.500.260-000</t>
  </si>
  <si>
    <t>CUBIERTA PROTECCIÓN 1GA3.1</t>
  </si>
  <si>
    <t>1605.500.263-000</t>
  </si>
  <si>
    <t>TAPA NEGRO 1GA3.1</t>
  </si>
  <si>
    <t>1605.500.264-000</t>
  </si>
  <si>
    <t>TAPA DE CIERRE NEGRO 1H92.H/1H93.H</t>
  </si>
  <si>
    <t>1605.500.265-000</t>
  </si>
  <si>
    <t>1605.500.266-000</t>
  </si>
  <si>
    <t>TAPA NEGRO 1H92.H/1H93.H</t>
  </si>
  <si>
    <t>1605.500.275-000</t>
  </si>
  <si>
    <t>TAPA 1G9M.0</t>
  </si>
  <si>
    <t>1605.500.276-000</t>
  </si>
  <si>
    <t>TAPA DEL CUERPO 1G9M.0</t>
  </si>
  <si>
    <t>1605.500.277-000</t>
  </si>
  <si>
    <t>TAPA ESCOBILLAS 1G9M.0</t>
  </si>
  <si>
    <t>1605.500.278-000</t>
  </si>
  <si>
    <t>TAPA DEL CUERPO 1792/1G90.0</t>
  </si>
  <si>
    <t>1605.500.279-000</t>
  </si>
  <si>
    <t>TAPA 1790/92/1G90.0</t>
  </si>
  <si>
    <t>1605.500.28R-000</t>
  </si>
  <si>
    <t>TAPA DEL CUERPO 1831</t>
  </si>
  <si>
    <t>1605.500.2A4-000</t>
  </si>
  <si>
    <t>TAPA DEL CUERPO  5301</t>
  </si>
  <si>
    <t>1605.500.2A5-000</t>
  </si>
  <si>
    <t>ARO DEFLECTOR DE AIRE  5301</t>
  </si>
  <si>
    <t>1605.500.2A8-000</t>
  </si>
  <si>
    <t>TAPA 5402/1FB3.0</t>
  </si>
  <si>
    <t>1605.500.2AC-000</t>
  </si>
  <si>
    <t>TAPA 9002(700W)</t>
  </si>
  <si>
    <t>1605.500.2AU-000</t>
  </si>
  <si>
    <t>TAPA 9004(830W)</t>
  </si>
  <si>
    <t>1605.500.2BV-000</t>
  </si>
  <si>
    <t>1605.500.2C5-000</t>
  </si>
  <si>
    <t>ANILLO DE JUNTA 6520</t>
  </si>
  <si>
    <t>1605.500.2CF-000</t>
  </si>
  <si>
    <t>TAPA 11267</t>
  </si>
  <si>
    <t>1605.500.2CJ-000</t>
  </si>
  <si>
    <t>1605.500.2DV-000</t>
  </si>
  <si>
    <t>TAPA 19H2</t>
  </si>
  <si>
    <t>1605.500.2EP-000</t>
  </si>
  <si>
    <t>TAPA CUERPO 11321 Ra 16055002D0</t>
  </si>
  <si>
    <t>1605.500.2F9-000</t>
  </si>
  <si>
    <t>Tapa</t>
  </si>
  <si>
    <t>1605.500.2FA-000</t>
  </si>
  <si>
    <t>1605.500.2GJ-000</t>
  </si>
  <si>
    <t>1605.500.2GW-000</t>
  </si>
  <si>
    <t>Tampa De Bateria</t>
  </si>
  <si>
    <t>1605.500.2HL-000</t>
  </si>
  <si>
    <t>1605.500.2HM-000</t>
  </si>
  <si>
    <t>1605.500.2HN-000</t>
  </si>
  <si>
    <t>1605.500.2J9-000</t>
  </si>
  <si>
    <t>Extensor</t>
  </si>
  <si>
    <t>1605.500.2JA-000</t>
  </si>
  <si>
    <t>1605.500.44M-000</t>
  </si>
  <si>
    <t>TAPA 1B66.0</t>
  </si>
  <si>
    <t>1605.510.122-000</t>
  </si>
  <si>
    <t>TAPA 3237</t>
  </si>
  <si>
    <t>1605.510.125-000</t>
  </si>
  <si>
    <t>CUBIERTA DE PROTECCION 1557.0-DISCONT.</t>
  </si>
  <si>
    <t>1605.510.127-000</t>
  </si>
  <si>
    <t>CUBIERTA DE PROTECCION - DISCONTINUADO</t>
  </si>
  <si>
    <t>1605.510.139-000</t>
  </si>
  <si>
    <t>CUBIERTA DE PROTECCION Discontinuado</t>
  </si>
  <si>
    <t>1605.510.140-000</t>
  </si>
  <si>
    <t>TAPA 3258 obsoleto</t>
  </si>
  <si>
    <t>1605.510.141-000</t>
  </si>
  <si>
    <t>1605.510.142-000</t>
  </si>
  <si>
    <t>1605.510.173-000</t>
  </si>
  <si>
    <t>CUBIERTA PROTECTORA \ Ø 230 MM  2334.1</t>
  </si>
  <si>
    <t>1605.510.227-000</t>
  </si>
  <si>
    <t>CUBREDISCO 1367</t>
  </si>
  <si>
    <t>1605.510.249-000</t>
  </si>
  <si>
    <t>CUBIERTA PROTECTORA 1375</t>
  </si>
  <si>
    <t>1605.510.315-000</t>
  </si>
  <si>
    <t>PANTALLA PROTECTORA 1597</t>
  </si>
  <si>
    <t>1605.510.329-000</t>
  </si>
  <si>
    <t>CUBRECADENA 1597</t>
  </si>
  <si>
    <t>1605.510.333-000</t>
  </si>
  <si>
    <t>CUBIERTA PROTECTORA 1597</t>
  </si>
  <si>
    <t>1605.510.355-000</t>
  </si>
  <si>
    <t>CUBIERTA PROTECTORA 1H31</t>
  </si>
  <si>
    <t>1605.510.356-000</t>
  </si>
  <si>
    <t>CUBIERTA PROTECTORA 1821 RX 1600A00XK9</t>
  </si>
  <si>
    <t>1605.510.378-000</t>
  </si>
  <si>
    <t>CUBIERTA PROTECTORA  Ø 125 MM 1830.2</t>
  </si>
  <si>
    <t>1605.510.397-000</t>
  </si>
  <si>
    <t>GUARDA ESMERILES 7"  LVI  RX 1600A01R95</t>
  </si>
  <si>
    <t>1605.510.398-000</t>
  </si>
  <si>
    <t>GUARDA ESMERILES 9"  LVI  RX 1600A00Z9L</t>
  </si>
  <si>
    <t>1605.510.406-000</t>
  </si>
  <si>
    <t>CUBIERTA PROTECTORA Ø180 RX 1600A00XL9</t>
  </si>
  <si>
    <t>1605.510.407-000</t>
  </si>
  <si>
    <t>GUARDA ESMERILES 9" RX 1600A00XM0</t>
  </si>
  <si>
    <t>1605.703.061-000</t>
  </si>
  <si>
    <t>1605.703.069-000</t>
  </si>
  <si>
    <t>PLATILLO DE APRIETE 1557</t>
  </si>
  <si>
    <t>1605.703.071-000</t>
  </si>
  <si>
    <t>ARANDELA DE FIJACION</t>
  </si>
  <si>
    <t>1605.703.075-000</t>
  </si>
  <si>
    <t>BRIDA DE FIJACION 1121</t>
  </si>
  <si>
    <t>1605.703.107-000</t>
  </si>
  <si>
    <t>1605.703.108-000</t>
  </si>
  <si>
    <t>CONTRABRIDA 3224</t>
  </si>
  <si>
    <t>1605.703.140-000</t>
  </si>
  <si>
    <t>BRIDA DE ALOJAMIENTO 1396.0</t>
  </si>
  <si>
    <t>1605.801.018-000</t>
  </si>
  <si>
    <t>BUJE 1436.8</t>
  </si>
  <si>
    <t>1605.805.022-000</t>
  </si>
  <si>
    <t>1605.805.043-000</t>
  </si>
  <si>
    <t>BRIDA 1321.4-22-31-32 RX F.000.635.461</t>
  </si>
  <si>
    <t>1605.805.054-000</t>
  </si>
  <si>
    <t>ENGRANAJE 1338</t>
  </si>
  <si>
    <t>1605.805.061-000</t>
  </si>
  <si>
    <t>CUERPO 3278 / 1282</t>
  </si>
  <si>
    <t>1605.805.063-000</t>
  </si>
  <si>
    <t>SOPORTE 1361/1362/66</t>
  </si>
  <si>
    <t>1605.805.065-000</t>
  </si>
  <si>
    <t>SOPORTE 1357</t>
  </si>
  <si>
    <t>1605.805.070-000</t>
  </si>
  <si>
    <t>BRIDA 1347 RXF000635317</t>
  </si>
  <si>
    <t>1605.805.079-000</t>
  </si>
  <si>
    <t>BRIDA DE CABEZ. 1385/3343/1701</t>
  </si>
  <si>
    <t>1605.805.090-000</t>
  </si>
  <si>
    <t>BRIDA DE COJINETE 1375</t>
  </si>
  <si>
    <t>1605.805.099-000</t>
  </si>
  <si>
    <t>BRIDA 1751/ 1753.0 RX 063</t>
  </si>
  <si>
    <t>1605.805.100-000</t>
  </si>
  <si>
    <t>BRIDA 1754/1752,0 RX 063 1366/.6</t>
  </si>
  <si>
    <t>1605.805.105-000</t>
  </si>
  <si>
    <t>BRIDA 1800.0 - SUBS 1607.000.347-000</t>
  </si>
  <si>
    <t>1605.805.126-000</t>
  </si>
  <si>
    <t>BRIDA DE COJINETE 1820/1H31</t>
  </si>
  <si>
    <t>1605.805.158-000</t>
  </si>
  <si>
    <t>BRIDA DE RODAMIENTO</t>
  </si>
  <si>
    <t>1605.805.159-000</t>
  </si>
  <si>
    <t>1605.805.15D-000</t>
  </si>
  <si>
    <t>COJINETE  5301</t>
  </si>
  <si>
    <t>1605.805.15F-000</t>
  </si>
  <si>
    <t>BRAZO DE COJINETE 6520</t>
  </si>
  <si>
    <t>1605.805.592-000</t>
  </si>
  <si>
    <t>CABEZAL 1361-2-8-56-7 RA 1607000920</t>
  </si>
  <si>
    <t>1605.806.202-000</t>
  </si>
  <si>
    <t>COJINETE DE HUSILLO 2209</t>
  </si>
  <si>
    <t>1605.806.368-000</t>
  </si>
  <si>
    <t>COJINETE DE HUSILLO 1120.5</t>
  </si>
  <si>
    <t>1605.806.382-000</t>
  </si>
  <si>
    <t>SOPORTE 1121.0</t>
  </si>
  <si>
    <t>1605.806.396-000</t>
  </si>
  <si>
    <t>CABEZAL 1321.4/9652 DISCONTINUADO</t>
  </si>
  <si>
    <t>1605.806.401-000</t>
  </si>
  <si>
    <t>CARCASA 1338-RA402</t>
  </si>
  <si>
    <t>1605.806.402-000</t>
  </si>
  <si>
    <t>CABEZAL 1338-DISCONTINUADO</t>
  </si>
  <si>
    <t>1605.806.409-000</t>
  </si>
  <si>
    <t>CABEZAL 1347/9500/1282</t>
  </si>
  <si>
    <t>1605.806.429-000</t>
  </si>
  <si>
    <t>CABEZAL 3278.2</t>
  </si>
  <si>
    <t>1605.806.437-000</t>
  </si>
  <si>
    <t>TAPA  3224</t>
  </si>
  <si>
    <t>1605.806.450-000</t>
  </si>
  <si>
    <t>CAJA DE ENGRANAJES 1800.0 RX 1605.806510</t>
  </si>
  <si>
    <t>1605.806.451-000</t>
  </si>
  <si>
    <t>CABEZAL 1385/1705/1373/1701/1801.0/1805</t>
  </si>
  <si>
    <t>1605.806.465-000</t>
  </si>
  <si>
    <t>CAJA DE ENGRANAJES 3343.3</t>
  </si>
  <si>
    <t>1605.806.466-000</t>
  </si>
  <si>
    <t>CAJA DE ENGRANAJES 1375.0/.6</t>
  </si>
  <si>
    <t>1605.806.473-000</t>
  </si>
  <si>
    <t>CABEZAL 3278.3</t>
  </si>
  <si>
    <t>1605.806.509-000</t>
  </si>
  <si>
    <t>CAJA DE ENGRANAJES 1800 RX 510</t>
  </si>
  <si>
    <t>1605.806.510-000</t>
  </si>
  <si>
    <t>CAJA ENGRANA 1800/1820/1H31 RX16058065G9</t>
  </si>
  <si>
    <t>1605.806.515-000</t>
  </si>
  <si>
    <t>CAJA DE ENGRANAJES 1821 RX 16058065SB</t>
  </si>
  <si>
    <t>1605.806.518-000</t>
  </si>
  <si>
    <t>CAJA DE ENGRANAJE  1820/21/22 RX 806.5SC</t>
  </si>
  <si>
    <t>1605.806.525-000</t>
  </si>
  <si>
    <t>CAJA DE ENGRANAJE 1830.2</t>
  </si>
  <si>
    <t>1605.806.533-000</t>
  </si>
  <si>
    <t>CAJA DE ENGRANAJES 1829</t>
  </si>
  <si>
    <t>1605.806.57C-000</t>
  </si>
  <si>
    <t>1605.806.57F-000</t>
  </si>
  <si>
    <t>CARCASA 1B28.1</t>
  </si>
  <si>
    <t>1605.806.57S-000</t>
  </si>
  <si>
    <t>CARCASA 8050</t>
  </si>
  <si>
    <t>1605.806.58F-000</t>
  </si>
  <si>
    <t>1605.806.58T-000</t>
  </si>
  <si>
    <t>CARCASA DEL MOTOR 17A1/2</t>
  </si>
  <si>
    <t>1605.806.59B-000</t>
  </si>
  <si>
    <t>CAJA DE ENGRANAJES 1B28.1</t>
  </si>
  <si>
    <t>1605.806.5B1-000</t>
  </si>
  <si>
    <t>CAJA DE ENGRANAJES - 1773</t>
  </si>
  <si>
    <t>1605.806.5ET-000</t>
  </si>
  <si>
    <t>CAJA DE ENGRANAJES 6520</t>
  </si>
  <si>
    <t>1605.806.5KW-000</t>
  </si>
  <si>
    <t>CARCASA 19H2</t>
  </si>
  <si>
    <t>1605.806.5LV-000</t>
  </si>
  <si>
    <t>1605.806.5LW-000</t>
  </si>
  <si>
    <t>1605.806.5M0-000</t>
  </si>
  <si>
    <t>1605.806.5M2-000</t>
  </si>
  <si>
    <t>1605.806.5RA-000</t>
  </si>
  <si>
    <t>JUEGO DE CASO</t>
  </si>
  <si>
    <t>1605.806.5RB-000</t>
  </si>
  <si>
    <t>CARCASA DEL MOTOR 1AB5.0</t>
  </si>
  <si>
    <t>1605.806.5S3-000</t>
  </si>
  <si>
    <t>Caja De Engranajes</t>
  </si>
  <si>
    <t>1605.806.5S4-000</t>
  </si>
  <si>
    <t>CARCASA 19H5</t>
  </si>
  <si>
    <t>1605.806.5SB-000</t>
  </si>
  <si>
    <t>CAJA DE ENGRANAJES 1821/1H25.0</t>
  </si>
  <si>
    <t>1605.806.5SC-000</t>
  </si>
  <si>
    <t>1605.806.5TR-000</t>
  </si>
  <si>
    <t>1605.806.5W7-000</t>
  </si>
  <si>
    <t>1605.806.5XA-000</t>
  </si>
  <si>
    <t>EQUIPO DE CASA</t>
  </si>
  <si>
    <t>CUBIERTA DEL ELEMENTO</t>
  </si>
  <si>
    <t>1605.806.5Y4-000</t>
  </si>
  <si>
    <t>1605.806.606-000</t>
  </si>
  <si>
    <t>1605.806.60K-000</t>
  </si>
  <si>
    <t>1605.806.61K-000</t>
  </si>
  <si>
    <t>Caja De Engranajes 8V-400</t>
  </si>
  <si>
    <t>1605.806.62M-000</t>
  </si>
  <si>
    <t>Parachoque</t>
  </si>
  <si>
    <t>1605.806.62W-000</t>
  </si>
  <si>
    <t>1605.806.64R-000</t>
  </si>
  <si>
    <t>1605.806.64U-000</t>
  </si>
  <si>
    <t>1605.806.64W-000</t>
  </si>
  <si>
    <t>1605.807.011-000</t>
  </si>
  <si>
    <t>SOPORTE</t>
  </si>
  <si>
    <t>1605.807.012-000</t>
  </si>
  <si>
    <t>SOPORTE CONJUNTO 1923/3237 obsoleto</t>
  </si>
  <si>
    <t>1605.807.013-000</t>
  </si>
  <si>
    <t>BRAZO COJINETE 3270/1274</t>
  </si>
  <si>
    <t>1605.808.054-000</t>
  </si>
  <si>
    <t>DISCO DE FIJACION 1321-2-31-32 - DISCONT</t>
  </si>
  <si>
    <t>1605.808.059-000</t>
  </si>
  <si>
    <t>TAPA 1557</t>
  </si>
  <si>
    <t>1605.808.08U-000</t>
  </si>
  <si>
    <t>BRIDA DE COJINETE 9002</t>
  </si>
  <si>
    <t>1605.808.0A8-000</t>
  </si>
  <si>
    <t>BRIDA DE COJINETE</t>
  </si>
  <si>
    <t>1605.808.0EW-000</t>
  </si>
  <si>
    <t>FLANGE DE MANCAL-13775</t>
  </si>
  <si>
    <t>1605.820.23G-000</t>
  </si>
  <si>
    <t>Tapa de cojinete</t>
  </si>
  <si>
    <t>1605.A00.047-000</t>
  </si>
  <si>
    <t>Juego De Carcasa</t>
  </si>
  <si>
    <t>1605.A00.048-000</t>
  </si>
  <si>
    <t>protección de ondas</t>
  </si>
  <si>
    <t>1605.A00.0CT-000</t>
  </si>
  <si>
    <t>1605.A00.0D0-000</t>
  </si>
  <si>
    <t>1605.A00.0DX-000</t>
  </si>
  <si>
    <t>1605.A00.0DY-000</t>
  </si>
  <si>
    <t>batería</t>
  </si>
  <si>
    <t>1606.100.039-000</t>
  </si>
  <si>
    <t>EJE 0836.1/1597</t>
  </si>
  <si>
    <t>1606.135.017-000</t>
  </si>
  <si>
    <t>BUJE 1121</t>
  </si>
  <si>
    <t>1606.300.00V-000</t>
  </si>
  <si>
    <t>ENGRANAJE 6000</t>
  </si>
  <si>
    <t>1606.300.00W-000</t>
  </si>
  <si>
    <t>RUEDA DE ENGRANAJE 6600/6604/1AB5.0</t>
  </si>
  <si>
    <t>1606.300.00X-000</t>
  </si>
  <si>
    <t>RUEDA DE ENGRANAJE 6520</t>
  </si>
  <si>
    <t>1606.300.013-000</t>
  </si>
  <si>
    <t>RUEDA DE ENGRANAJE 1AB6.0</t>
  </si>
  <si>
    <t>1606.309.036-000</t>
  </si>
  <si>
    <t>ARBOL CON ENGRANAJE 1170/02/03</t>
  </si>
  <si>
    <t>1606.309.065-000</t>
  </si>
  <si>
    <t>EJE CON ENGRANAJE 1121.0</t>
  </si>
  <si>
    <t>1606.309.066-000</t>
  </si>
  <si>
    <t>ARBOLDENTADO 1121</t>
  </si>
  <si>
    <t>1606.317.074-000</t>
  </si>
  <si>
    <t>ENGRANAJE 1121</t>
  </si>
  <si>
    <t>1606.317.080-000</t>
  </si>
  <si>
    <t>ENGRANAJE 1120.5</t>
  </si>
  <si>
    <t>1606.317.081-000</t>
  </si>
  <si>
    <t>1606.317.082-000</t>
  </si>
  <si>
    <t>1606.317.084-000</t>
  </si>
  <si>
    <t>RUEDA DENTADA 1121 RX 3606316108</t>
  </si>
  <si>
    <t>1606.320.028-000</t>
  </si>
  <si>
    <t>ENGRANAJE 2213</t>
  </si>
  <si>
    <t>1606.320.040-000</t>
  </si>
  <si>
    <t>CORONA  2373</t>
  </si>
  <si>
    <t>1606.320.075-000</t>
  </si>
  <si>
    <t>ENGRANAJE 3237 - DISCONTINUADO</t>
  </si>
  <si>
    <t>1606.320.076-000</t>
  </si>
  <si>
    <t>ENGRANAJE 1557 DISCONTINUADO.</t>
  </si>
  <si>
    <t>1606.320.077-000</t>
  </si>
  <si>
    <t>1606.320.080-000</t>
  </si>
  <si>
    <t>ENGRANAJE 3224</t>
  </si>
  <si>
    <t>1606.325.025-000</t>
  </si>
  <si>
    <t>EJE 1121</t>
  </si>
  <si>
    <t>1606.325.027-000</t>
  </si>
  <si>
    <t>1606.333.053-000</t>
  </si>
  <si>
    <t>PI¥ON 1317/2309 - DISCONTINUADO</t>
  </si>
  <si>
    <t>1606.333.066-000</t>
  </si>
  <si>
    <t>CORONA 1307</t>
  </si>
  <si>
    <t>1606.333.087-000</t>
  </si>
  <si>
    <t>CORONA 2501/2305</t>
  </si>
  <si>
    <t>1606.333.119-000</t>
  </si>
  <si>
    <t>PIÑON 2313</t>
  </si>
  <si>
    <t>1606.333.144-000</t>
  </si>
  <si>
    <t>CORONA 1321/1322.0.1- DISCONT.</t>
  </si>
  <si>
    <t>1606.333.145-000</t>
  </si>
  <si>
    <t>PIÑON 1322.0.1</t>
  </si>
  <si>
    <t>1606.333.147-000</t>
  </si>
  <si>
    <t>CORONA 1321.0.1 - DISCONT.</t>
  </si>
  <si>
    <t>1606.333.148-000</t>
  </si>
  <si>
    <t>PIÑON 1321.0.1- DISCONT.</t>
  </si>
  <si>
    <t>1606.333.150-000</t>
  </si>
  <si>
    <t>CORONA 1332.5 - DISCONTINUADO</t>
  </si>
  <si>
    <t>1606.333.168-000</t>
  </si>
  <si>
    <t>CORONA 1328  DISCONTINUADO</t>
  </si>
  <si>
    <t>1606.333.198-000</t>
  </si>
  <si>
    <t>ENGRANAJE 1321.4--DISCONTINUADO</t>
  </si>
  <si>
    <t>1606.333.199-000</t>
  </si>
  <si>
    <t>PIÑON 1321.4 - Ø 11 MM</t>
  </si>
  <si>
    <t>1606.333.200-000</t>
  </si>
  <si>
    <t>ENGRANAJE 1322.4 - DISCONT.</t>
  </si>
  <si>
    <t>1606.333.201-000</t>
  </si>
  <si>
    <t>PIÑON 1322.4 DISCONTINUADO</t>
  </si>
  <si>
    <t>1606.333.202-000</t>
  </si>
  <si>
    <t>CORONA 1338</t>
  </si>
  <si>
    <t>1606.333.204-000</t>
  </si>
  <si>
    <t>PIÑON 1338</t>
  </si>
  <si>
    <t>1606.333.207-000</t>
  </si>
  <si>
    <t>PIÑON 1332.4 - DISCONTINUADO</t>
  </si>
  <si>
    <t>1606.333.208-000</t>
  </si>
  <si>
    <t>CORONA 1332.4 DISCONT.</t>
  </si>
  <si>
    <t>1606.333.209-000</t>
  </si>
  <si>
    <t>PIÑON 1331.4 DISCONTINUADO</t>
  </si>
  <si>
    <t>1606.333.210-000</t>
  </si>
  <si>
    <t>CORONA 1331.4 DISCONT.</t>
  </si>
  <si>
    <t>1606.333.216-000</t>
  </si>
  <si>
    <t>PIÑON 1347.1  RXF000635180</t>
  </si>
  <si>
    <t>1606.333.217-000</t>
  </si>
  <si>
    <t>PIÑON 1321.4 NVO. MOD.  -DISCONT.</t>
  </si>
  <si>
    <t>1606.333.218-000</t>
  </si>
  <si>
    <t>PIÑON 1322.4 - DISCONTINUADO</t>
  </si>
  <si>
    <t>1606.333.234-000</t>
  </si>
  <si>
    <t>PIÑON 1612</t>
  </si>
  <si>
    <t>1606.333.235-000</t>
  </si>
  <si>
    <t>CORONA 1612</t>
  </si>
  <si>
    <t>1606.333.237-000</t>
  </si>
  <si>
    <t>PIÑON  1751/3/.0.4/18A1/3/</t>
  </si>
  <si>
    <t>1606.333.239-000</t>
  </si>
  <si>
    <t>CORONA 1368-57-RE X 1606333626</t>
  </si>
  <si>
    <t>1606.333.245-000</t>
  </si>
  <si>
    <t>PIÑON 1368</t>
  </si>
  <si>
    <t>1606.333.246-000</t>
  </si>
  <si>
    <t>PIÑON 1356 - DISCONTINUADO</t>
  </si>
  <si>
    <t>1606.333.247-000</t>
  </si>
  <si>
    <t>CORONA 1368</t>
  </si>
  <si>
    <t>1606.333.248-000</t>
  </si>
  <si>
    <t>CORONA 1361 - DISCONTINUADO</t>
  </si>
  <si>
    <t>1606.333.253-000</t>
  </si>
  <si>
    <t>CORONA 1366.7 RX F000635074</t>
  </si>
  <si>
    <t>1606.333.259-000</t>
  </si>
  <si>
    <t>PIÑON 1801.0/1825/21/05 RX1600A0022W</t>
  </si>
  <si>
    <t>1606.333.260-000</t>
  </si>
  <si>
    <t>CORONA 1367</t>
  </si>
  <si>
    <t>1606.333.261-000</t>
  </si>
  <si>
    <t>RUEDA CONICA 1621 Rx 1607000A4P000</t>
  </si>
  <si>
    <t>1606.333.262-000</t>
  </si>
  <si>
    <t>PIÑON 1367</t>
  </si>
  <si>
    <t>1606.333.265-000</t>
  </si>
  <si>
    <t>PIÑON  1752/4/6.0 RX F000617061000</t>
  </si>
  <si>
    <t>1606.333.269-000</t>
  </si>
  <si>
    <t>RUEDA DENTADA DE ANGULO 1934/1821</t>
  </si>
  <si>
    <t>1606.333.274-000</t>
  </si>
  <si>
    <t>PIÑON RX F000635702</t>
  </si>
  <si>
    <t>1606.333.2BW-000</t>
  </si>
  <si>
    <t>PIÑON 9002(700W)</t>
  </si>
  <si>
    <t>1606.333.2FF-000</t>
  </si>
  <si>
    <t>Rueda Conica</t>
  </si>
  <si>
    <t>1606.333.601-000</t>
  </si>
  <si>
    <t>CORONA 1347.1</t>
  </si>
  <si>
    <t>1606.333.610-000</t>
  </si>
  <si>
    <t>CORONA 1385/1705/0 RX 1600A0022W</t>
  </si>
  <si>
    <t>1606.333.611-000</t>
  </si>
  <si>
    <t>RUEDA DENT DE ANGULO 1621 Rx 1607000A4P</t>
  </si>
  <si>
    <t>1606.333.617-000</t>
  </si>
  <si>
    <t>PIÑON Rx 1607000D4Y</t>
  </si>
  <si>
    <t>1606.333.618-000</t>
  </si>
  <si>
    <t>CORONA 1751/3/5.0 RX 1607.000.C5F-000</t>
  </si>
  <si>
    <t>1606.333.626-000</t>
  </si>
  <si>
    <t>CORONA 1752/4/6.0 Rx 1607000C5G</t>
  </si>
  <si>
    <t>1606.333.627-000</t>
  </si>
  <si>
    <t>CORONA 1752.4/1754.4/1756.4</t>
  </si>
  <si>
    <t>1606.333.628-000</t>
  </si>
  <si>
    <t>CORONA 1751.4/55.4</t>
  </si>
  <si>
    <t>1606.333.633-000</t>
  </si>
  <si>
    <t>PIÑON 193A</t>
  </si>
  <si>
    <t>1606.333.634-000</t>
  </si>
  <si>
    <t>CORONA 193A</t>
  </si>
  <si>
    <t>1606.442.000-000</t>
  </si>
  <si>
    <t>ACOPLE 2209</t>
  </si>
  <si>
    <t>1606.610.058-000</t>
  </si>
  <si>
    <t>Fan</t>
  </si>
  <si>
    <t>1606.610.069-000</t>
  </si>
  <si>
    <t>VENTILADOR  2334.1</t>
  </si>
  <si>
    <t>1606.610.116-000</t>
  </si>
  <si>
    <t>VENTILADOR 1135/3364/1420</t>
  </si>
  <si>
    <t>1606.610.117-000</t>
  </si>
  <si>
    <t>VENTILADOR 1285 obsoleto</t>
  </si>
  <si>
    <t>1606.610.118-000</t>
  </si>
  <si>
    <t>1606.610.120-000</t>
  </si>
  <si>
    <t>1606.610.121-000</t>
  </si>
  <si>
    <t>VENTILADOR 1347</t>
  </si>
  <si>
    <t>1606.610.122-000</t>
  </si>
  <si>
    <t>VENTILADOR 1120/1121</t>
  </si>
  <si>
    <t>1606.610.124-000</t>
  </si>
  <si>
    <t>VENTILADOR 1331/32.4 obsoleto</t>
  </si>
  <si>
    <t>1606.610.127-000</t>
  </si>
  <si>
    <t>VENTILADOR GWS 2000</t>
  </si>
  <si>
    <t>1606.610.129-000</t>
  </si>
  <si>
    <t>1606.610.132-000</t>
  </si>
  <si>
    <t>VENTILADOR 1H25.0/1G90.0</t>
  </si>
  <si>
    <t>1606.610.138-000</t>
  </si>
  <si>
    <t>PORTACARRETEL 0821      Ra130</t>
  </si>
  <si>
    <t>1606.610.141-000</t>
  </si>
  <si>
    <t>VENTILADOR 2230</t>
  </si>
  <si>
    <t>1606.610.142-000</t>
  </si>
  <si>
    <t>VENTILADOR 1755/6/3 1855/6.G</t>
  </si>
  <si>
    <t>1606.610.150-000</t>
  </si>
  <si>
    <t>VENTILADOR 1H92.H/1H93.H</t>
  </si>
  <si>
    <t>1606.610.151-000</t>
  </si>
  <si>
    <t>VENTILADOR 1980 RX 1606610156</t>
  </si>
  <si>
    <t>1606.610.156-000</t>
  </si>
  <si>
    <t>VENTILADOR 1980 Ra1606610151</t>
  </si>
  <si>
    <t>1606.610.15K-000</t>
  </si>
  <si>
    <t>VENTILADOR</t>
  </si>
  <si>
    <t>1606.610.16E-000</t>
  </si>
  <si>
    <t>1606.610.900-000</t>
  </si>
  <si>
    <t>VENTILADOR 2213</t>
  </si>
  <si>
    <t>1606.625.025-000</t>
  </si>
  <si>
    <t>POLEA 1270/3258/3270 OBSOLETO</t>
  </si>
  <si>
    <t>1606.625.026-000</t>
  </si>
  <si>
    <t>POLEA 3270 - DISCONTINUADO</t>
  </si>
  <si>
    <t>1607.000.027-000</t>
  </si>
  <si>
    <t>KIT 19 AGUJAS -7.560.502</t>
  </si>
  <si>
    <t>1607.000.032-000</t>
  </si>
  <si>
    <t>JUEGO DE PIEZAS</t>
  </si>
  <si>
    <t>1607.000.036-000</t>
  </si>
  <si>
    <t>INTERR.AMOL.A.F.2304/2305/2501</t>
  </si>
  <si>
    <t>1607.000.038-000</t>
  </si>
  <si>
    <t>JUEGO DE JUNTAS</t>
  </si>
  <si>
    <t>1607.000.039-000</t>
  </si>
  <si>
    <t>JUEGO DE JUNTAS 2305</t>
  </si>
  <si>
    <t>1607.000.044-000</t>
  </si>
  <si>
    <t>1607.000.189-000</t>
  </si>
  <si>
    <t>PORTACARB.1120/1366/1551 Ra1604336018</t>
  </si>
  <si>
    <t>1607.000.206-000</t>
  </si>
  <si>
    <t>CONJ.TRABA DISCOS AMOL.7" Y 9"</t>
  </si>
  <si>
    <t>1607.000.218-000</t>
  </si>
  <si>
    <t>TAPA EJE DE SALIDA 3224 - Discontinuado</t>
  </si>
  <si>
    <t>1607.000.227-000</t>
  </si>
  <si>
    <t>CABLE AMOL./MART. 4,15M 2 X 1,0MM H07 RN</t>
  </si>
  <si>
    <t>1607.000.228-000</t>
  </si>
  <si>
    <t>CABLE 1356/7/62/62 1855/6.G - DISCONT</t>
  </si>
  <si>
    <t>1607.000.231-000</t>
  </si>
  <si>
    <t>INT. 1613/14/3224 RA2607200177</t>
  </si>
  <si>
    <t>1607.000.253-000</t>
  </si>
  <si>
    <t>TRABA DISCO 1705/1773/1801.0/00/1H31</t>
  </si>
  <si>
    <t>1607.000.285-000</t>
  </si>
  <si>
    <t>REGULADOR ELECT. 1385 Ra233044 DISCONTIN</t>
  </si>
  <si>
    <t>1607.000.295-000</t>
  </si>
  <si>
    <t>REGULADOR ELECTRONICO 1373 DESCONTINUADO</t>
  </si>
  <si>
    <t>1607.000.316-000</t>
  </si>
  <si>
    <t>ARANDELA DE RETENCION 1755/6 RXC3E000</t>
  </si>
  <si>
    <t>1607.000.326-000</t>
  </si>
  <si>
    <t>PIÑON Y CORONA 1756 RX 381</t>
  </si>
  <si>
    <t>1607.000.342-000</t>
  </si>
  <si>
    <t>ARANDELA DE RETENCION 18B8/18B7</t>
  </si>
  <si>
    <t>1607.000.357-000</t>
  </si>
  <si>
    <t>CONJ. PIÑON Y CORONA 1855.G RX1619P09483</t>
  </si>
  <si>
    <t>1607.000.358-000</t>
  </si>
  <si>
    <t>CONJ.PIÑON YCORONA1856.G RX 1607.000.381</t>
  </si>
  <si>
    <t>1607.000.360-000</t>
  </si>
  <si>
    <t>CONJ. PIÑON Y CORONA 1863 Rx 1619P02775</t>
  </si>
  <si>
    <t>1607.000.363-000</t>
  </si>
  <si>
    <t>ZAPATA DE FRENO 1863/4</t>
  </si>
  <si>
    <t>1607.000.368-000</t>
  </si>
  <si>
    <t>APOYO SALIDA 1863/4</t>
  </si>
  <si>
    <t>1607.000.374-000</t>
  </si>
  <si>
    <t>BRIDA DE COJINETE 1825/1821 RX1607000448</t>
  </si>
  <si>
    <t>1607.000.381-000</t>
  </si>
  <si>
    <t>PIÑON Y CORONA 1756 Rx 1619.P02.776-000</t>
  </si>
  <si>
    <t>1607.000.382-000</t>
  </si>
  <si>
    <t>PIÑON Y CORONA 1756  RX1600.A00.5BH-000</t>
  </si>
  <si>
    <t>1607.000.385-000</t>
  </si>
  <si>
    <t>LINEA DE CONEXION 1375/1049 - DISCONT</t>
  </si>
  <si>
    <t>1607.000.386-000</t>
  </si>
  <si>
    <t>1607.000.395-000</t>
  </si>
  <si>
    <t>ESTATOR 1822</t>
  </si>
  <si>
    <t>1607.000.397-000</t>
  </si>
  <si>
    <t>EXPANSION POLAR 220-240V 1H25.0</t>
  </si>
  <si>
    <t>1607.000.429-000</t>
  </si>
  <si>
    <t>JUEGO DE RUEDAS CONICAS 1H93.H</t>
  </si>
  <si>
    <t>1607.000.430-000</t>
  </si>
  <si>
    <t>JUEGO DE RUEDAS CONICAS 1H92.H</t>
  </si>
  <si>
    <t>1607.000.431-000</t>
  </si>
  <si>
    <t>BOTON PULSADOR 1891/1893/1895/1892</t>
  </si>
  <si>
    <t>1607.000.432-000</t>
  </si>
  <si>
    <t>1607.000.434-000</t>
  </si>
  <si>
    <t>JUEGO DE RUEDAS CONICAS RX 1607000D50</t>
  </si>
  <si>
    <t>1607.000.448-000</t>
  </si>
  <si>
    <t>BRIDA DE COJINETE RX 1607000D6C</t>
  </si>
  <si>
    <t>1607.000.449-000</t>
  </si>
  <si>
    <t>BRIDA DE COJINETE 1829/179M RX1607000D6D</t>
  </si>
  <si>
    <t>1607.000.481-000</t>
  </si>
  <si>
    <t>ESCOBILLAS 10 X 1 617 014 126 1C16.8</t>
  </si>
  <si>
    <t>1607.000.482-000</t>
  </si>
  <si>
    <t>Juego De Escobillas X 10 1607014176</t>
  </si>
  <si>
    <t>1607.000.494-000</t>
  </si>
  <si>
    <t>CARBONES X 10 2604321941</t>
  </si>
  <si>
    <t>1607.000.504-000</t>
  </si>
  <si>
    <t>TRINQUETE</t>
  </si>
  <si>
    <t>1607.000.744-000</t>
  </si>
  <si>
    <t>INTERRUPTOR 1H31</t>
  </si>
  <si>
    <t>1607.000.751-000</t>
  </si>
  <si>
    <t>MOTOR CORRIENTE CONTINUA</t>
  </si>
  <si>
    <t>1607.000.821-000</t>
  </si>
  <si>
    <t>CABEZA DE CORTE</t>
  </si>
  <si>
    <t>1607.000.849-000</t>
  </si>
  <si>
    <t>CARCASA DE MOTOR 0822</t>
  </si>
  <si>
    <t>1607.000.850-000</t>
  </si>
  <si>
    <t>MOTOR 0822.4</t>
  </si>
  <si>
    <t>1607.000.883-000</t>
  </si>
  <si>
    <t>CARCASA 0836.1 RX A44</t>
  </si>
  <si>
    <t>1607.000.884-000</t>
  </si>
  <si>
    <t>CARCASA 0836.1</t>
  </si>
  <si>
    <t>1607.000.885-000</t>
  </si>
  <si>
    <t>PIÑON 0836.1/1597</t>
  </si>
  <si>
    <t>1607.000.886-000</t>
  </si>
  <si>
    <t>TAPA DE ACEITE 0836.1</t>
  </si>
  <si>
    <t>1607.000.887-000</t>
  </si>
  <si>
    <t>CUBIERTA 0836.1</t>
  </si>
  <si>
    <t>1607.000.896-000</t>
  </si>
  <si>
    <t>JGO. DE PIEZAS 0836.1 RX A43</t>
  </si>
  <si>
    <t>1607.000.902-000</t>
  </si>
  <si>
    <t>PLACA BASE 3254 DISCONTINUADO</t>
  </si>
  <si>
    <t>1607.000.907-000</t>
  </si>
  <si>
    <t>CARCASA 1338</t>
  </si>
  <si>
    <t>1607.000.920-000</t>
  </si>
  <si>
    <t>CABEZAL 1361-2-8-56-7 RX1605805592</t>
  </si>
  <si>
    <t>1607.000.921-000</t>
  </si>
  <si>
    <t>JUEGO DE PIEZAS 1356/1361</t>
  </si>
  <si>
    <t>1607.000.922-000</t>
  </si>
  <si>
    <t>JUEGO DE PIEZAS 1362-57</t>
  </si>
  <si>
    <t>1607.000.933-000</t>
  </si>
  <si>
    <t>CONJ. PZA DE RECAMB 1347 - DISCONTINUADO</t>
  </si>
  <si>
    <t>1607.000.936-000</t>
  </si>
  <si>
    <t>FLANGE DE MANCAL</t>
  </si>
  <si>
    <t>1607.000.938-000</t>
  </si>
  <si>
    <t>MATRIZ</t>
  </si>
  <si>
    <t>1607.000.943-000</t>
  </si>
  <si>
    <t>JUEGO DE PIEZAS 3278</t>
  </si>
  <si>
    <t>1607.000.949-000</t>
  </si>
  <si>
    <t>CAPERUZA PROTECTORA 0821.1</t>
  </si>
  <si>
    <t>1607.000.950-000</t>
  </si>
  <si>
    <t>PORTACARRETEL BORD 821/2 RX F016102658</t>
  </si>
  <si>
    <t>1607.000.954-000</t>
  </si>
  <si>
    <t>PROTECTOR 0822 OBSOLETO</t>
  </si>
  <si>
    <t>1607.000.968-000</t>
  </si>
  <si>
    <t>CAJA ENGRANAJES 1755/6</t>
  </si>
  <si>
    <t>1607.000.970-000</t>
  </si>
  <si>
    <t>INTERRUPTOR 1855-6.G</t>
  </si>
  <si>
    <t>1607.000.985-000</t>
  </si>
  <si>
    <t>CJTO.BRIDA COJIN.1755/6- RA959</t>
  </si>
  <si>
    <t>1607.000.986-000</t>
  </si>
  <si>
    <t>CJTO.BRIDA COJIN.1755/6  RA958</t>
  </si>
  <si>
    <t>1607.000.A06-000</t>
  </si>
  <si>
    <t>ENGRANAJE 0836.1/1597</t>
  </si>
  <si>
    <t>1607.000.A26-000</t>
  </si>
  <si>
    <t>MOTOR  1934</t>
  </si>
  <si>
    <t>1607.000.A27-000</t>
  </si>
  <si>
    <t>CAJA DE ENGRANAJES 1934</t>
  </si>
  <si>
    <t>1607.000.A30-000</t>
  </si>
  <si>
    <t>RUEDA CONICA 1934</t>
  </si>
  <si>
    <t>1607.000.A32-000</t>
  </si>
  <si>
    <t>BRIDA DE COJINETE 1934</t>
  </si>
  <si>
    <t>1607.000.A36-000</t>
  </si>
  <si>
    <t>1607.000.A38-000</t>
  </si>
  <si>
    <t>MOTOR CORRIENTE ALTERNA 1597 - DISCONT</t>
  </si>
  <si>
    <t>1607.000.A40-000</t>
  </si>
  <si>
    <t>CC: CONJUNTO MOTOR - DISCONT</t>
  </si>
  <si>
    <t>1607.000.A41-000</t>
  </si>
  <si>
    <t>BRAZO 0836.1</t>
  </si>
  <si>
    <t>1607.000.A42-000</t>
  </si>
  <si>
    <t>CC: MOLA DE PRESSAO</t>
  </si>
  <si>
    <t>1607.000.A43-000</t>
  </si>
  <si>
    <t>JGO. DE PIEZAS 0836.1 RA 896</t>
  </si>
  <si>
    <t>1607.000.A44-000</t>
  </si>
  <si>
    <t>CARCASA 0836.1 RA 883</t>
  </si>
  <si>
    <t>1607.000.A47-000</t>
  </si>
  <si>
    <t>TAPA DE DEPOSITO 1597</t>
  </si>
  <si>
    <t>1607.000.A71-000</t>
  </si>
  <si>
    <t>BOTON PULSADOR 1H25.0</t>
  </si>
  <si>
    <t>1607.000.A87-000</t>
  </si>
  <si>
    <t>Carcasa Ra 1607000A35</t>
  </si>
  <si>
    <t>1607.000.A88-000</t>
  </si>
  <si>
    <t>Housing Section</t>
  </si>
  <si>
    <t>1607.000.C00-000</t>
  </si>
  <si>
    <t>CAJA DE ENGRANAJES 1850</t>
  </si>
  <si>
    <t>1607.000.C03-000</t>
  </si>
  <si>
    <t>CABEZAL 1855-6.G</t>
  </si>
  <si>
    <t>1607.000.C04-000</t>
  </si>
  <si>
    <t>BRIDA 1863/4</t>
  </si>
  <si>
    <t>1607.000.C05-000</t>
  </si>
  <si>
    <t>BRIDA 1856.G</t>
  </si>
  <si>
    <t>1607.000.C07-000</t>
  </si>
  <si>
    <t>ESTATOR 1863/4</t>
  </si>
  <si>
    <t>1607.000.C13-000</t>
  </si>
  <si>
    <t>INTERRUPTOR 1891/1890</t>
  </si>
  <si>
    <t>1607.000.C17-000</t>
  </si>
  <si>
    <t>CAJA DE ENGRANAJES 1H92.H/1H93.H</t>
  </si>
  <si>
    <t>1607.000.C21-000</t>
  </si>
  <si>
    <t>BRIDA DE COJINETE 1849</t>
  </si>
  <si>
    <t>1607.000.C22-000</t>
  </si>
  <si>
    <t>BRIDA DE COJINETE 1849 -1850</t>
  </si>
  <si>
    <t>1607.000.C24-000</t>
  </si>
  <si>
    <t>BRIDA DE COJINETE Ø230 MM</t>
  </si>
  <si>
    <t>1607.000.C26-000</t>
  </si>
  <si>
    <t>BRIDA DE COJINETE 1H92.H</t>
  </si>
  <si>
    <t>1607.000.C3E-000</t>
  </si>
  <si>
    <t>Arandela de retención</t>
  </si>
  <si>
    <t>1607.000.C3M-000</t>
  </si>
  <si>
    <t>EMBOLO DEL MARTILLO 11335 RA 1617000711</t>
  </si>
  <si>
    <t>1607.000.C3N-000</t>
  </si>
  <si>
    <t>Embolo Del Martillo</t>
  </si>
  <si>
    <t>1607.000.C3P-000</t>
  </si>
  <si>
    <t>BIELA 1C35.0</t>
  </si>
  <si>
    <t>1607.000.C3R-000</t>
  </si>
  <si>
    <t>Embrag Reudas Dent Rectas</t>
  </si>
  <si>
    <t>1607.000.C3S-000</t>
  </si>
  <si>
    <t>Engranaje de acero</t>
  </si>
  <si>
    <t>1607.000.C3V-000</t>
  </si>
  <si>
    <t>CONJUNTO 1245.7</t>
  </si>
  <si>
    <t>1607.000.C3Y-000</t>
  </si>
  <si>
    <t>CONJUNTO INDUZIDO 230V 1B66.0</t>
  </si>
  <si>
    <t>1607.000.C3Z-000</t>
  </si>
  <si>
    <t>JUEGO DE ESCOBILLAS 1B66.0</t>
  </si>
  <si>
    <t>1607.000.C40-000</t>
  </si>
  <si>
    <t>1607.000.C41-000</t>
  </si>
  <si>
    <t>1607.000.C42-000</t>
  </si>
  <si>
    <t>JUEGO PORTAHERRAMIENTAS 1B66.0</t>
  </si>
  <si>
    <t>1607.000.C43-000</t>
  </si>
  <si>
    <t>TUBO DE MARTILLO 1B66.0</t>
  </si>
  <si>
    <t>1607.000.C44-000</t>
  </si>
  <si>
    <t>CAJA-MECANISMO PERCUTOR 1B66.0</t>
  </si>
  <si>
    <t>1607.000.C45-000</t>
  </si>
  <si>
    <t>CLAVIJA DE PERCUSION 1B66.0</t>
  </si>
  <si>
    <t>1607.000.C46-000</t>
  </si>
  <si>
    <t>HORQUILLA DE MANDO 1B66.0</t>
  </si>
  <si>
    <t>1607.000.C47-000</t>
  </si>
  <si>
    <t>CASQUILLO-GUIA 1B66.0</t>
  </si>
  <si>
    <t>1607.000.C48-000</t>
  </si>
  <si>
    <t>EMBOLO DEL MARTILLO 1B66.0</t>
  </si>
  <si>
    <t>1607.000.C49-000</t>
  </si>
  <si>
    <t>GOLPEADOR 1B66.0</t>
  </si>
  <si>
    <t>1607.000.C4A-000</t>
  </si>
  <si>
    <t>PEDESTAL DE COJINETE 1B66.0</t>
  </si>
  <si>
    <t>1607.000.C4B-000</t>
  </si>
  <si>
    <t>EMBRAG REUDAS DENT RECTAS 1B66.0</t>
  </si>
  <si>
    <t>1607.000.C4C-000</t>
  </si>
  <si>
    <t>EXCENTRICO 1B66.0</t>
  </si>
  <si>
    <t>1607.000.C4D-000</t>
  </si>
  <si>
    <t>TAPA DEL CUERPO 1B66.0</t>
  </si>
  <si>
    <t>1607.000.C4E-000</t>
  </si>
  <si>
    <t>EMPUNADURA ADICIONAL 1B66.0</t>
  </si>
  <si>
    <t>1607.000.C4F-000</t>
  </si>
  <si>
    <t>MEMBRANA 1B66.0</t>
  </si>
  <si>
    <t>1607.000.C4G-000</t>
  </si>
  <si>
    <t>KIT DE MANTENIMIENTO 11266.0/.1</t>
  </si>
  <si>
    <t>1607.000.C4J-000</t>
  </si>
  <si>
    <t>MANGO 5402</t>
  </si>
  <si>
    <t>1607.000.C4K-000</t>
  </si>
  <si>
    <t>ESTATOR 1891/1893/1890 RA 1604220429</t>
  </si>
  <si>
    <t>1607.000.C5H-000</t>
  </si>
  <si>
    <t>PORTAESCOBILLAS 1B66.0</t>
  </si>
  <si>
    <t>1607.000.C5N-000</t>
  </si>
  <si>
    <t>1607.000.C68-000</t>
  </si>
  <si>
    <t>CRISTAL DE PROTECCION 1D46.4</t>
  </si>
  <si>
    <t>1607.000.C69-000</t>
  </si>
  <si>
    <t>PIE-SOPORTE 1D46.4</t>
  </si>
  <si>
    <t>1607.000.C6B-000</t>
  </si>
  <si>
    <t>Anel de vedação</t>
  </si>
  <si>
    <t>1607.000.C6C-000</t>
  </si>
  <si>
    <t>TAMPA DA BATERIA</t>
  </si>
  <si>
    <t>1607.000.C8U-000</t>
  </si>
  <si>
    <t>PORTAHERRAMIENTAS 1130A</t>
  </si>
  <si>
    <t>1607.000.C8W-000</t>
  </si>
  <si>
    <t>CARCASA DEL MOTOR 6555 Ra 16051082AD</t>
  </si>
  <si>
    <t>1607.000.C8X-000</t>
  </si>
  <si>
    <t>BRIDA INTERMEDIA 119090</t>
  </si>
  <si>
    <t>1607.000.C8Y-000</t>
  </si>
  <si>
    <t>CRIDA DE COJINETE 119090</t>
  </si>
  <si>
    <t>1607.000.C8Z-000</t>
  </si>
  <si>
    <t>TUBO 119090</t>
  </si>
  <si>
    <t>1607.000.C9S-000</t>
  </si>
  <si>
    <t>VENTANILLA GCL 2-15/2-50 C</t>
  </si>
  <si>
    <t>1607.000.C9T-000</t>
  </si>
  <si>
    <t>VENTANILLA GCL 2-15/ 2-50 C</t>
  </si>
  <si>
    <t>1607.000.C9U-000</t>
  </si>
  <si>
    <t>VENTANILLA GCL 2-15/G/2-50 C</t>
  </si>
  <si>
    <t>1607.000.C9Z-000</t>
  </si>
  <si>
    <t>VENTANA GRÜN GLL 2-15 G</t>
  </si>
  <si>
    <t>1607.000.CA0-000</t>
  </si>
  <si>
    <t>1607.000.CA3-000</t>
  </si>
  <si>
    <t>MOTOR DE CORRIENTE CONTINUA</t>
  </si>
  <si>
    <t>1607.000.CA4-000</t>
  </si>
  <si>
    <t>1607.000.CA5-000</t>
  </si>
  <si>
    <t>Árbol de rueda de conica</t>
  </si>
  <si>
    <t>1607.000.CA6-000</t>
  </si>
  <si>
    <t>1607.000.CA8-000</t>
  </si>
  <si>
    <t>Unidad reductora</t>
  </si>
  <si>
    <t>1607.000.CA9-000</t>
  </si>
  <si>
    <t>UNIDAD DE FILTRO</t>
  </si>
  <si>
    <t>1607.000.CC0-000</t>
  </si>
  <si>
    <t>JUEGO DE CARBONES RX 1607000CZ1</t>
  </si>
  <si>
    <t>1607.000.CC8-000</t>
  </si>
  <si>
    <t>ARBOL INTERMEDIARIO 1J04.0</t>
  </si>
  <si>
    <t>1607.000.CD1-000</t>
  </si>
  <si>
    <t>Separador</t>
  </si>
  <si>
    <t>1607.000.CD6-000</t>
  </si>
  <si>
    <t>CONMUTADOR DESLIZANTE GCL 2-50 C</t>
  </si>
  <si>
    <t>1607.000.CD7-000</t>
  </si>
  <si>
    <t>ACOPLAMIENTO PORTABROCAS  19F6</t>
  </si>
  <si>
    <t>1607.000.CD9-000</t>
  </si>
  <si>
    <t>PORTABROCAS  19F6</t>
  </si>
  <si>
    <t>1607.000.CE0-000</t>
  </si>
  <si>
    <t>ACOPLAMIENTO ANGULAR  19F6</t>
  </si>
  <si>
    <t>1607.000.CE1-000</t>
  </si>
  <si>
    <t>ACOPLAMIENTO EXCÉNTRICO  19F6</t>
  </si>
  <si>
    <t>1607.000.CF0-000</t>
  </si>
  <si>
    <t>ENGRANAJE DE MOTOR ZSB</t>
  </si>
  <si>
    <t>1607.000.CF2-000</t>
  </si>
  <si>
    <t>BARRA DE INCLINACIÓN</t>
  </si>
  <si>
    <t>1607.000.CF9-000</t>
  </si>
  <si>
    <t>PORTAHERRAMIENTAS GBH 2-24D BR</t>
  </si>
  <si>
    <t>1607.000.CG7-000</t>
  </si>
  <si>
    <t>MÓDULO DE ACCIONAMIENTO 19H2</t>
  </si>
  <si>
    <t>1607.000.CG9-000</t>
  </si>
  <si>
    <t>USB cable</t>
  </si>
  <si>
    <t>1607.000.CH4-000</t>
  </si>
  <si>
    <t>UNIDAD DE MANEJO</t>
  </si>
  <si>
    <t>1607.000.CH6-000</t>
  </si>
  <si>
    <t>1607.000.CH8-000</t>
  </si>
  <si>
    <t>PLACA DE AJUSTE</t>
  </si>
  <si>
    <t>1607.000.CJ0-000</t>
  </si>
  <si>
    <t>INTERRUPTOR AUTOMÁTICO</t>
  </si>
  <si>
    <t>1607.000.CJ1-000</t>
  </si>
  <si>
    <t>CARBONES  6437/113C Ra 2607014011</t>
  </si>
  <si>
    <t>1607.000.CM2-000</t>
  </si>
  <si>
    <t>1607.000.CM3-000</t>
  </si>
  <si>
    <t>EJE DE ACCIONAMIENTO</t>
  </si>
  <si>
    <t>1607.000.CM4-000</t>
  </si>
  <si>
    <t>Referenzstift</t>
  </si>
  <si>
    <t>1607.000.CM5-000</t>
  </si>
  <si>
    <t>1607.000.CN6-000</t>
  </si>
  <si>
    <t>PIÑON Y CORONA GWS 24 /26 180 LVI</t>
  </si>
  <si>
    <t>1607.000.CN7-000</t>
  </si>
  <si>
    <t>Juego De Ruedas Conicas Rx 1600A024YW</t>
  </si>
  <si>
    <t>1607.000.CP1-000</t>
  </si>
  <si>
    <t>1607.000.CP2-000</t>
  </si>
  <si>
    <t>1607.000.CR4-000</t>
  </si>
  <si>
    <t>JUEGO DE MUELLES 1D46.4</t>
  </si>
  <si>
    <t>1607.000.CU5-000</t>
  </si>
  <si>
    <t>1607.000.CV1-000</t>
  </si>
  <si>
    <t>1607.000.CW1-000</t>
  </si>
  <si>
    <t>TORNILLO 1BA6.2</t>
  </si>
  <si>
    <t>1607.000.CW9-000</t>
  </si>
  <si>
    <t>CARCASA DEL MOTOR 1FB3.0</t>
  </si>
  <si>
    <t>1607.000.CX0-000</t>
  </si>
  <si>
    <t>BLISTER CARBONES 300/395/3000</t>
  </si>
  <si>
    <t>1607.000.CX2-000</t>
  </si>
  <si>
    <t>CARCASA DEL MOTOR 12A2.0</t>
  </si>
  <si>
    <t>1607.000.CX3-000</t>
  </si>
  <si>
    <t>VENTILADOR 12A2.0</t>
  </si>
  <si>
    <t>CARCASA DEL MOTOR 1G9M.0</t>
  </si>
  <si>
    <t>CARCASA DEL MOTOR 1EA8.0</t>
  </si>
  <si>
    <t>1607.000.CY7-000</t>
  </si>
  <si>
    <t>1607.000.D09-000</t>
  </si>
  <si>
    <t>LINEA DE CONEXION A RED 1BA6.2</t>
  </si>
  <si>
    <t>1607.000.D0A-000</t>
  </si>
  <si>
    <t>LINEA DE CONEXION A RED BA62</t>
  </si>
  <si>
    <t>1607.000.D0C-000</t>
  </si>
  <si>
    <t>CARCACA -12A62</t>
  </si>
  <si>
    <t>1607.000.D0D-000</t>
  </si>
  <si>
    <t>Tarjeta Circ Impreso</t>
  </si>
  <si>
    <t>1607.000.D0H-000</t>
  </si>
  <si>
    <t>TUBO PROTECTOR 1BA6.2</t>
  </si>
  <si>
    <t>1607.000.D0S-000</t>
  </si>
  <si>
    <t>CARCASA 1BA6.2</t>
  </si>
  <si>
    <t>1607.000.D10-000</t>
  </si>
  <si>
    <t>1607.000.D1F-000</t>
  </si>
  <si>
    <t>CAJA DE ENGRANAJE 18302</t>
  </si>
  <si>
    <t>1607.000.D1V-000</t>
  </si>
  <si>
    <t>1607.000.D2J-000</t>
  </si>
  <si>
    <t>1607.000.D3M-000</t>
  </si>
  <si>
    <t>CARCASA DEL MOTOR 1C77.5</t>
  </si>
  <si>
    <t>1607.000.D4F-000</t>
  </si>
  <si>
    <t>LETRERO</t>
  </si>
  <si>
    <t>1607.000.D4H-000</t>
  </si>
  <si>
    <t>NAMEPLATE AR</t>
  </si>
  <si>
    <t>1607.000.D5C-000</t>
  </si>
  <si>
    <t>1607.000.D5D-000</t>
  </si>
  <si>
    <t>1607.000.D5G-000</t>
  </si>
  <si>
    <t>Juego De Piezas</t>
  </si>
  <si>
    <t>1607.000.D5J-000</t>
  </si>
  <si>
    <t>CONJUNTO DE PIEZAS</t>
  </si>
  <si>
    <t>1607.000.D5V-000</t>
  </si>
  <si>
    <t>1607.000.D5W-000</t>
  </si>
  <si>
    <t>1607.000.D5X-000</t>
  </si>
  <si>
    <t>1607.000.D5Z-000</t>
  </si>
  <si>
    <t>1607.000.D6D-000</t>
  </si>
  <si>
    <t>1607.000.D77-000</t>
  </si>
  <si>
    <t>Alojamiento De Husillo</t>
  </si>
  <si>
    <t>1607.000.D78-000</t>
  </si>
  <si>
    <t>1607.000.D7K-000</t>
  </si>
  <si>
    <t>1607.000.D7Y-000</t>
  </si>
  <si>
    <t>1607.000.D81-000</t>
  </si>
  <si>
    <t>1607.000.D83-000</t>
  </si>
  <si>
    <t>1607.000.D90-000</t>
  </si>
  <si>
    <t>1607.000.D91-000</t>
  </si>
  <si>
    <t>1607.000.D92-000</t>
  </si>
  <si>
    <t>PORTAHERRAMIENTAS</t>
  </si>
  <si>
    <t>1607.000.D97-000</t>
  </si>
  <si>
    <t>CARCASA DEL MOTOR G9E0</t>
  </si>
  <si>
    <t>1607.000.D99-000</t>
  </si>
  <si>
    <t>1607.000.D9Z-000</t>
  </si>
  <si>
    <t>Regulador de revoluciones</t>
  </si>
  <si>
    <t>1607.000.DA2-000</t>
  </si>
  <si>
    <t>Regulador de rev Ra 1607233475</t>
  </si>
  <si>
    <t>1607.000.DF1-000</t>
  </si>
  <si>
    <t>Palanca Basculante</t>
  </si>
  <si>
    <t>1607.000.DF2-000</t>
  </si>
  <si>
    <t>Placa Distanciadora</t>
  </si>
  <si>
    <t>1607.000.DF3-000</t>
  </si>
  <si>
    <t>Membrana</t>
  </si>
  <si>
    <t>1607.000.DF4-000</t>
  </si>
  <si>
    <t>Guardapolvo</t>
  </si>
  <si>
    <t>1607.000.DF5-000</t>
  </si>
  <si>
    <t>1607.000.DF6-000</t>
  </si>
  <si>
    <t>Riel</t>
  </si>
  <si>
    <t>1607.000.DK5-000</t>
  </si>
  <si>
    <t>1607.000.DL2-000</t>
  </si>
  <si>
    <t>Unidad De Accionamiento</t>
  </si>
  <si>
    <t>1607.000.DL3-000</t>
  </si>
  <si>
    <t>1607.000.DL4-000</t>
  </si>
  <si>
    <t>1607.000.DL5-000</t>
  </si>
  <si>
    <t>1607.000.DL7-000</t>
  </si>
  <si>
    <t>1607.000.DL8-000</t>
  </si>
  <si>
    <t>Portacontactos</t>
  </si>
  <si>
    <t>1607.000.DL9-000</t>
  </si>
  <si>
    <t>Caja-Mecanismo Percutor</t>
  </si>
  <si>
    <t>1607.000.DM8-000</t>
  </si>
  <si>
    <t>GPO MOTOR DE REPUESTO 19H5</t>
  </si>
  <si>
    <t>1607.000.DN0-000</t>
  </si>
  <si>
    <t>1607.000.DN1-000</t>
  </si>
  <si>
    <t>1607.000.DN4-000</t>
  </si>
  <si>
    <t>Motor DC sin escobillas</t>
  </si>
  <si>
    <t>1607.000.DN5-000</t>
  </si>
  <si>
    <t>1607.000.DN6-000</t>
  </si>
  <si>
    <t>1607.000.E07-000</t>
  </si>
  <si>
    <t>1607.000.E0N-000</t>
  </si>
  <si>
    <t>1607.000.E18-000</t>
  </si>
  <si>
    <t>1607.000.E1D-000</t>
  </si>
  <si>
    <t>1607.000.E1R-000</t>
  </si>
  <si>
    <t>1607.000.E46-000</t>
  </si>
  <si>
    <t>CONJUNTO INDUCIDO</t>
  </si>
  <si>
    <t>1607.000.E4F-000</t>
  </si>
  <si>
    <t>1607.000.E58-000</t>
  </si>
  <si>
    <t>1607.000.E59-000</t>
  </si>
  <si>
    <t>1607.000.E5A-000</t>
  </si>
  <si>
    <t>1607.000.E5B-000</t>
  </si>
  <si>
    <t>1607.000.E5C-000</t>
  </si>
  <si>
    <t>1607.000.E5D-000</t>
  </si>
  <si>
    <t>Jaula</t>
  </si>
  <si>
    <t>1607.000.E5E-000</t>
  </si>
  <si>
    <t>Empujador</t>
  </si>
  <si>
    <t>1607.000.E60-000</t>
  </si>
  <si>
    <t>Elemento Desacoplamiento</t>
  </si>
  <si>
    <t>1607.000.E61-000</t>
  </si>
  <si>
    <t>1607.000.E62-000</t>
  </si>
  <si>
    <t>1607.000.E69-000</t>
  </si>
  <si>
    <t>1607.000.E6A-000</t>
  </si>
  <si>
    <t>JUEGO DE TORNILLOS</t>
  </si>
  <si>
    <t>1607.000.E6G-000</t>
  </si>
  <si>
    <t>1607.000.E6H-000</t>
  </si>
  <si>
    <t>ARANDELA DE FRICCIÓN</t>
  </si>
  <si>
    <t>1607.000.E6J-000</t>
  </si>
  <si>
    <t>UNIDAD ENGRANAJE</t>
  </si>
  <si>
    <t>1607.000.E6K-000</t>
  </si>
  <si>
    <t>1607.000.E6U-000</t>
  </si>
  <si>
    <t>1607.000.E79-000</t>
  </si>
  <si>
    <t>Dispos.prueba alta tens.</t>
  </si>
  <si>
    <t>1607.000.E7U-000</t>
  </si>
  <si>
    <t>1607.000.EC3-000</t>
  </si>
  <si>
    <t>Manguera</t>
  </si>
  <si>
    <t>1607.000.EH2-000</t>
  </si>
  <si>
    <t>1607.000.V14-000</t>
  </si>
  <si>
    <t>PIÑON Y CORONA 1796 RX 1600A0022W</t>
  </si>
  <si>
    <t>1607.000.V38-000</t>
  </si>
  <si>
    <t>1607.000.V39-000</t>
  </si>
  <si>
    <t>1607.000.V42-000</t>
  </si>
  <si>
    <t>1607.000.V43-000</t>
  </si>
  <si>
    <t>PORTAESCOBILLAS 1G9M.0</t>
  </si>
  <si>
    <t>1607.000.V44-000</t>
  </si>
  <si>
    <t>JUEGO ENGRANAJES 1793/1G90.0RX1607000D4Y</t>
  </si>
  <si>
    <t>1607.000.V49-000</t>
  </si>
  <si>
    <t>INDUCIDO CON VENTILADOR 230V 1G90.0</t>
  </si>
  <si>
    <t>1607.000.V55-000</t>
  </si>
  <si>
    <t>CAJA DE ENGRANAJES 1792/1G90.0</t>
  </si>
  <si>
    <t>1607.014.100-000</t>
  </si>
  <si>
    <t>1607.014.116-000</t>
  </si>
  <si>
    <t>CARBONES 1347/3278/9500 (=F000611029)</t>
  </si>
  <si>
    <t>1607.014.124-000</t>
  </si>
  <si>
    <t>CARBON 1285 OBSOLETO</t>
  </si>
  <si>
    <t>1607.014.126-000</t>
  </si>
  <si>
    <t>CARBONES 1119/20/74      RA122</t>
  </si>
  <si>
    <t>1607.014.128-000</t>
  </si>
  <si>
    <t>1607.014.129-000</t>
  </si>
  <si>
    <t>CARBONES  3227</t>
  </si>
  <si>
    <t>1607.014.130-000</t>
  </si>
  <si>
    <t>CARBONES AMOLAD. 7"Y9" RX1607014171000</t>
  </si>
  <si>
    <t>1607.014.138-000</t>
  </si>
  <si>
    <t>CARBONES 3343/1801.0 RX F000611019</t>
  </si>
  <si>
    <t>1607.014.148-000</t>
  </si>
  <si>
    <t>CARBONES 1385.9</t>
  </si>
  <si>
    <t>1607.014.151-000</t>
  </si>
  <si>
    <t>CARBONES 1701/1705 RX138</t>
  </si>
  <si>
    <t>1607.014.154-000</t>
  </si>
  <si>
    <t>CARBONES 1753.1 RX F000600209</t>
  </si>
  <si>
    <t>1607.014.170-000</t>
  </si>
  <si>
    <t>CARBONES 1597</t>
  </si>
  <si>
    <t>1607.014.171-000</t>
  </si>
  <si>
    <t>CARBONES 1B370 RX F000611090</t>
  </si>
  <si>
    <t>1607.014.172-000</t>
  </si>
  <si>
    <t>CARBONES 1825/1805/1821 RX 176</t>
  </si>
  <si>
    <t>1607.014.17H-000</t>
  </si>
  <si>
    <t>JUEGO DE ESCOBILLAS 1831</t>
  </si>
  <si>
    <t>1607.014.17J-000</t>
  </si>
  <si>
    <t>JUEGO DE ESCOBILLAS 1575.1</t>
  </si>
  <si>
    <t>1607.014.17U-000</t>
  </si>
  <si>
    <t>CARBONES 6000</t>
  </si>
  <si>
    <t>1607.014.188-000</t>
  </si>
  <si>
    <t>BLISTER CARB GOP 250CE/30-28-GWS7-115/ET</t>
  </si>
  <si>
    <t>1607.014.189-000</t>
  </si>
  <si>
    <t>BLISTER GWS12/13/15/17-125 CI/CIE/INOX</t>
  </si>
  <si>
    <t>1607.014.18A-000</t>
  </si>
  <si>
    <t>BLISTER CARBONES GKS7/4/GDC14-40/D/12-34</t>
  </si>
  <si>
    <t>1607.014.18D-000</t>
  </si>
  <si>
    <t>BLISTER JG.CARBONES 127V GDC 150/1</t>
  </si>
  <si>
    <t>1607.014.18G-000</t>
  </si>
  <si>
    <t>BLISTER JG.CARBONES 220V GWS 20 A 26</t>
  </si>
  <si>
    <t>1607.014.18H-000</t>
  </si>
  <si>
    <t>BLISTER CARBONES GKS 7000</t>
  </si>
  <si>
    <t>1607.014.18J-000</t>
  </si>
  <si>
    <t>BLISTER JG.CARBONES 127V GDC 9815</t>
  </si>
  <si>
    <t>1607.014.18K-000</t>
  </si>
  <si>
    <t>BLISTER CARBONES SKIL 9815JD/5402</t>
  </si>
  <si>
    <t>1607.014.18L-000</t>
  </si>
  <si>
    <t>BLISTER CARBONES SKIL 9004 -MODELO NUEVO</t>
  </si>
  <si>
    <t>1607.014.18M-000</t>
  </si>
  <si>
    <t>BLISTER CARBONES SKIL 9002 -MODELO NUEVO</t>
  </si>
  <si>
    <t>1607.014.18S-000</t>
  </si>
  <si>
    <t>BLISTER CARBONES 9002 - MODELO ANTIGUO</t>
  </si>
  <si>
    <t>1607.014.18T-000</t>
  </si>
  <si>
    <t>BLISTER CARBONES SKIL 9071</t>
  </si>
  <si>
    <t>1607.014.18U-000</t>
  </si>
  <si>
    <t>BLISTER JG. CARBONES 5300 / 5401</t>
  </si>
  <si>
    <t>1607.014.18V-000</t>
  </si>
  <si>
    <t>BLISTER CARBONES GWS 7-115/8-15/P</t>
  </si>
  <si>
    <t>1607.014.18W-000</t>
  </si>
  <si>
    <t>BLISTER JG. CARBONES 3710</t>
  </si>
  <si>
    <t>1607.014.18X-000</t>
  </si>
  <si>
    <t>BLISTER CARBONES GWS 6-115 - GGS 28/L</t>
  </si>
  <si>
    <t>1607.014.18Y-000</t>
  </si>
  <si>
    <t>BLISTER CARBONES GWS 6/7/GNS 5-100/9021</t>
  </si>
  <si>
    <t>1607.014.18Z-000</t>
  </si>
  <si>
    <t>BLISTER CARBON SKIL 9004 -MODELO ANTIGUO</t>
  </si>
  <si>
    <t>1607.016.028-000</t>
  </si>
  <si>
    <t>CONJ.ENGRAN.-DISCONTINUADO</t>
  </si>
  <si>
    <t>1607.022.568-000</t>
  </si>
  <si>
    <t>MOTOR CC 19A2.0</t>
  </si>
  <si>
    <t>1607.022.604-000</t>
  </si>
  <si>
    <t>MOTOR CORRIENTE CONTINUA 19A2.1</t>
  </si>
  <si>
    <t>1607.022.608-000</t>
  </si>
  <si>
    <t>MOTOR GSB 14,4 VE-2-LI  1862.4</t>
  </si>
  <si>
    <t>1607.022.64L-000</t>
  </si>
  <si>
    <t>1607.022.661-000</t>
  </si>
  <si>
    <t>1607.022.66M-000</t>
  </si>
  <si>
    <t>MOTOR CORRIENTE CONTINUA 14,4V 1JF8.0</t>
  </si>
  <si>
    <t>1607.022.66W-000</t>
  </si>
  <si>
    <t>MOTOR DC 19H2</t>
  </si>
  <si>
    <t>1607.022.66Y-000</t>
  </si>
  <si>
    <t>1607.022.67D-000</t>
  </si>
  <si>
    <t>Motor CD sin escobillas</t>
  </si>
  <si>
    <t>1607.022.67K-000</t>
  </si>
  <si>
    <t>Motor CD sin escobillas  1000</t>
  </si>
  <si>
    <t>1607.022.67M-000</t>
  </si>
  <si>
    <t>MOTOR CORRIENTE CONTINUA 19G5.2</t>
  </si>
  <si>
    <t>1607.022.69Z-000</t>
  </si>
  <si>
    <t>1607.031.144-000</t>
  </si>
  <si>
    <t>CADENA 0870 - DISCONTINUADO</t>
  </si>
  <si>
    <t>1607.031.29W-000</t>
  </si>
  <si>
    <t>PLACA DE CARACTERÍSTICAS</t>
  </si>
  <si>
    <t>1607.031.2AE-000</t>
  </si>
  <si>
    <t>1607.031.2DL-000</t>
  </si>
  <si>
    <t>BRAZO DE SUJECION 1FB3.0</t>
  </si>
  <si>
    <t>1607.031.2DM-000</t>
  </si>
  <si>
    <t>1607.031.2DN-000</t>
  </si>
  <si>
    <t>CHAPA 1FB3.0</t>
  </si>
  <si>
    <t>1607.031.2DP-000</t>
  </si>
  <si>
    <t>BOTÓN 1FB3.0</t>
  </si>
  <si>
    <t>1607.031.2DR-000</t>
  </si>
  <si>
    <t>HUSILLO 1FB3.0</t>
  </si>
  <si>
    <t>1607.031.2DU-000</t>
  </si>
  <si>
    <t>COJINETE INTERMEDIO 1EA8.0</t>
  </si>
  <si>
    <t>1607.031.2DW-000</t>
  </si>
  <si>
    <t>ENGRANAJE 1EA8.0</t>
  </si>
  <si>
    <t>1607.031.2DY-000</t>
  </si>
  <si>
    <t>RODILLO 1EA8.0</t>
  </si>
  <si>
    <t>1607.031.2DZ-000</t>
  </si>
  <si>
    <t>ADAPTADOR 1EA8.0</t>
  </si>
  <si>
    <t>1607.031.2E0-000</t>
  </si>
  <si>
    <t>PORTAESCOBILLAS 12A2.0</t>
  </si>
  <si>
    <t>1607.031.2E7-000</t>
  </si>
  <si>
    <t>1607.200.006-000</t>
  </si>
  <si>
    <t>INTERRUPTOR 2313</t>
  </si>
  <si>
    <t>1607.200.017-000</t>
  </si>
  <si>
    <t>INTERRUPT.P/AMOL.2331/2334 AF 2334.1</t>
  </si>
  <si>
    <t>1607.200.020-000</t>
  </si>
  <si>
    <t>INTERRUPTOR 2209</t>
  </si>
  <si>
    <t>1607.200.025-000</t>
  </si>
  <si>
    <t>1607.200.032-000</t>
  </si>
  <si>
    <t>LLAVE CONMUTADOR</t>
  </si>
  <si>
    <t>1607.200.048-000</t>
  </si>
  <si>
    <t>INTERRUPTOR 1321/1331</t>
  </si>
  <si>
    <t>1607.200.060-000</t>
  </si>
  <si>
    <t>INTERRUPTOR  obsoleto</t>
  </si>
  <si>
    <t>1607.200.064-000</t>
  </si>
  <si>
    <t>INTERRUPTOR 9652-80</t>
  </si>
  <si>
    <t>1607.200.075-000</t>
  </si>
  <si>
    <t>INTERRUPTOR 1120.5</t>
  </si>
  <si>
    <t>1607.200.078-000</t>
  </si>
  <si>
    <t>INTERRUPTOR 1121</t>
  </si>
  <si>
    <t>1607.200.103-000</t>
  </si>
  <si>
    <t>INTERRUPTOR 1361-62/1356-57</t>
  </si>
  <si>
    <t>1607.200.107-000</t>
  </si>
  <si>
    <t>INTERRUPTOR 0835 OBSOLETO</t>
  </si>
  <si>
    <t>1607.200.113-000</t>
  </si>
  <si>
    <t>INTERRUPTOR 3293</t>
  </si>
  <si>
    <t>1607.200.115-000</t>
  </si>
  <si>
    <t>INTERRUPTOR 1385/3293/1373 OBSOLETO</t>
  </si>
  <si>
    <t>1607.200.137-000</t>
  </si>
  <si>
    <t>INTERRUPTOR 1705/1805</t>
  </si>
  <si>
    <t>1607.200.146-000</t>
  </si>
  <si>
    <t>INTERRUPTOR 1375/1388/9230/9050/1223</t>
  </si>
  <si>
    <t>1607.200.150-000</t>
  </si>
  <si>
    <t>INTERRUPTOR  1773/1621</t>
  </si>
  <si>
    <t>1607.200.156-000</t>
  </si>
  <si>
    <t>INTERRUPTOR 0836.1</t>
  </si>
  <si>
    <t>1607.200.158-000</t>
  </si>
  <si>
    <t>INTERRUPTOR 1E94.3</t>
  </si>
  <si>
    <t>1607.200.179-000</t>
  </si>
  <si>
    <t>INTERRUPTOR 1375.0/.6/SAW MAX/1388</t>
  </si>
  <si>
    <t>1607.200.183-000</t>
  </si>
  <si>
    <t>INTERRUPTOR 4121</t>
  </si>
  <si>
    <t>1607.200.187-000</t>
  </si>
  <si>
    <t>INTERRUPTOR  6426 DISCONTINUADO</t>
  </si>
  <si>
    <t>1607.200.190-000</t>
  </si>
  <si>
    <t>INTERRUPTOR 1BA2.0/1C87.5</t>
  </si>
  <si>
    <t>1607.200.193-000</t>
  </si>
  <si>
    <t>INTERRUPTOR 1597</t>
  </si>
  <si>
    <t>1607.200.195-000</t>
  </si>
  <si>
    <t>INTERRUPTOR DE SEGURIDAD 1597</t>
  </si>
  <si>
    <t>1607.200.199-000</t>
  </si>
  <si>
    <t>INTERRUPTOR 1822/1220/1221</t>
  </si>
  <si>
    <t>1607.200.200-000</t>
  </si>
  <si>
    <t>INTERRUPTOR 1H25.0</t>
  </si>
  <si>
    <t>1607.200.256-000</t>
  </si>
  <si>
    <t>INTERRUPTOR 1796/179M</t>
  </si>
  <si>
    <t>1607.200.257-000</t>
  </si>
  <si>
    <t>Montaje Interruptor</t>
  </si>
  <si>
    <t>1607.200.266-000</t>
  </si>
  <si>
    <t>INTERRUPTOR DE LUZ</t>
  </si>
  <si>
    <t>1607.200.30F-000</t>
  </si>
  <si>
    <t>1607.200.31D-000</t>
  </si>
  <si>
    <t>INTERRUPTOR 1831</t>
  </si>
  <si>
    <t>1607.200.31E-000</t>
  </si>
  <si>
    <t>1607.200.31S-000</t>
  </si>
  <si>
    <t>Switch</t>
  </si>
  <si>
    <t>1607.200.31X-000</t>
  </si>
  <si>
    <t>1607.200.31Y-000</t>
  </si>
  <si>
    <t>INTERRUPTOR 1396.0</t>
  </si>
  <si>
    <t>1607.200.32U-000</t>
  </si>
  <si>
    <t>INTERRUPTOR 5402/1FB3.0</t>
  </si>
  <si>
    <t>1607.200.334-000</t>
  </si>
  <si>
    <t>1607.200.33H-000</t>
  </si>
  <si>
    <t>INTERRUPTOR 4751</t>
  </si>
  <si>
    <t>1607.200.33L-000</t>
  </si>
  <si>
    <t>INTERRUPTOR - 220V /50HZ 6000</t>
  </si>
  <si>
    <t>1607.200.342-000</t>
  </si>
  <si>
    <t>1607.200.344-000</t>
  </si>
  <si>
    <t>INTERRUPTOR 220V 6520</t>
  </si>
  <si>
    <t>1607.200.34E-000</t>
  </si>
  <si>
    <t>INTERRUPTOR 6604 RA 1607200507</t>
  </si>
  <si>
    <t>1607.200.358-000</t>
  </si>
  <si>
    <t>1607.200.35A-000</t>
  </si>
  <si>
    <t>1607.200.35M-000</t>
  </si>
  <si>
    <t>INTERRUPTOR 1EA8.0</t>
  </si>
  <si>
    <t>1607.200.35P-000</t>
  </si>
  <si>
    <t>INTERRUPTOR 12A2.0</t>
  </si>
  <si>
    <t>1607.200.35W-000</t>
  </si>
  <si>
    <t>1607.200.36A-000</t>
  </si>
  <si>
    <t>INTERRUPTOR 1FB2.0</t>
  </si>
  <si>
    <t>1607.200.370-000</t>
  </si>
  <si>
    <t>INTERRUPTOR 220V</t>
  </si>
  <si>
    <t>1607.200.372-000</t>
  </si>
  <si>
    <t>1607.200.37L-000</t>
  </si>
  <si>
    <t>1607.200.507-000</t>
  </si>
  <si>
    <t>INTERRUPTOR 1247/6555  RX 160720034E</t>
  </si>
  <si>
    <t>1607.200.515-000</t>
  </si>
  <si>
    <t>INTERRUPTOR 1AA2.0</t>
  </si>
  <si>
    <t>1607.220.07S-000</t>
  </si>
  <si>
    <t>MOTOR DC</t>
  </si>
  <si>
    <t>1607.233.008-000</t>
  </si>
  <si>
    <t>REGULADOR ELOCTRONICO 1612</t>
  </si>
  <si>
    <t>1607.233.040-000</t>
  </si>
  <si>
    <t>REGULADOR ELECTRONICO 1368 - DISCONT</t>
  </si>
  <si>
    <t>1607.233.095-000</t>
  </si>
  <si>
    <t>PORTACARBONES 3307</t>
  </si>
  <si>
    <t>1607.233.110-000</t>
  </si>
  <si>
    <t>REG. ELECTRONICO 1705/1805 - Ra 113</t>
  </si>
  <si>
    <t>1607.233.113-000</t>
  </si>
  <si>
    <t>REG. ELECTRONICO 3343.3 - DISCONT</t>
  </si>
  <si>
    <t>1607.233.146-000</t>
  </si>
  <si>
    <t>REGULADOR DE VELOCIDAD 1619 - Discontinu</t>
  </si>
  <si>
    <t>1607.233.148-000</t>
  </si>
  <si>
    <t>REGULADOR 1773/1621 - DISCONT</t>
  </si>
  <si>
    <t>1607.233.153-000</t>
  </si>
  <si>
    <t>UNIDADE DE COMANDO 1613 - DISCONT</t>
  </si>
  <si>
    <t>1607.233.154-000</t>
  </si>
  <si>
    <t>REGULADOR DE VELOCIDAD 1597 - DISCONT</t>
  </si>
  <si>
    <t>1607.233.156-000</t>
  </si>
  <si>
    <t>REGULADOR DE VELOCIDAD 1189 DISCONT</t>
  </si>
  <si>
    <t>1607.233.177-000</t>
  </si>
  <si>
    <t>REGULADOR DE VELOCIDAD 1619</t>
  </si>
  <si>
    <t>1607.233.196-000</t>
  </si>
  <si>
    <t>REGULADOR DE VELOCIDAD  1070</t>
  </si>
  <si>
    <t>1607.233.209-000</t>
  </si>
  <si>
    <t>MODULO ELECTRONICO 11900</t>
  </si>
  <si>
    <t>1607.233.215-000</t>
  </si>
  <si>
    <t>INTERRUPTOR CON PLAQUETA 1992 DISCONT.</t>
  </si>
  <si>
    <t>1607.233.220-000</t>
  </si>
  <si>
    <t>REGULADOR DE VELOCIDAD 1825 RX292</t>
  </si>
  <si>
    <t>1607.233.256-000</t>
  </si>
  <si>
    <t>REGULADOR DE REVOLUCIONES 1389</t>
  </si>
  <si>
    <t>1607.233.278-000</t>
  </si>
  <si>
    <t>REGULADOR DE REVOLUCIONES 1829</t>
  </si>
  <si>
    <t>1607.233.289-000</t>
  </si>
  <si>
    <t>REGULADOR DE VELOCIDAD 1822</t>
  </si>
  <si>
    <t>1607.233.292-000</t>
  </si>
  <si>
    <t>REGULADOR DE REVOLUCIONES 220-240V 1H25.</t>
  </si>
  <si>
    <t>1607.233.298-000</t>
  </si>
  <si>
    <t>MODULO ELECTRONICO 19A4.3/.4</t>
  </si>
  <si>
    <t>1607.233.299-000</t>
  </si>
  <si>
    <t>MODULO ELECTRONICO GSR 18-2 LI</t>
  </si>
  <si>
    <t>1607.233.300-000</t>
  </si>
  <si>
    <t>MÓDULO ELECTRÓNICO 1860.4</t>
  </si>
  <si>
    <t>1607.233.301-000</t>
  </si>
  <si>
    <t>MODULO ELECTRONICO 19A1 RX 1607233479</t>
  </si>
  <si>
    <t>1607.233.302-000</t>
  </si>
  <si>
    <t>INTERRUPTOR 1860.3</t>
  </si>
  <si>
    <t>1607.233.311-000</t>
  </si>
  <si>
    <t>INTERRUPTOR  1992 RX1607233352</t>
  </si>
  <si>
    <t>1607.233.320-000</t>
  </si>
  <si>
    <t>REGULADOR DE VEL. 1893 RX 552</t>
  </si>
  <si>
    <t>1607.233.331-000</t>
  </si>
  <si>
    <t>MODULO ELECTRONICO 1859.T</t>
  </si>
  <si>
    <t>1607.233.334-000</t>
  </si>
  <si>
    <t>1607.233.336-000</t>
  </si>
  <si>
    <t>MÓDULO ELECTRÓNICO 1F4J.0</t>
  </si>
  <si>
    <t>1607.233.338-000</t>
  </si>
  <si>
    <t>MÓDULO ELECTRÓNICO 158J RX 1607233518000</t>
  </si>
  <si>
    <t>1607.233.340-000</t>
  </si>
  <si>
    <t>1607.233.344-000</t>
  </si>
  <si>
    <t>MODULO ELECTRONICO 1858 RX 423</t>
  </si>
  <si>
    <t>1607.233.345-000</t>
  </si>
  <si>
    <t>INTERRUPTOR 1868.0 RX 1607.233.508-000</t>
  </si>
  <si>
    <t>1607.233.348-000</t>
  </si>
  <si>
    <t>REGULADOR DE REVOLUCIONES 1980</t>
  </si>
  <si>
    <t>1607.233.352-000</t>
  </si>
  <si>
    <t>INTERRUPTOR 1992 RA 1607233311</t>
  </si>
  <si>
    <t>1607.233.376-000</t>
  </si>
  <si>
    <t>MODULO ELECTRONICO 11904</t>
  </si>
  <si>
    <t>1607.233.377-000</t>
  </si>
  <si>
    <t>MÓDULO ELECTRÓNICO 1868.1 RX 485</t>
  </si>
  <si>
    <t>1607.233.378-000</t>
  </si>
  <si>
    <t>MODULO ELECTRONICO 19A6 (=16072335DD)</t>
  </si>
  <si>
    <t>1607.233.410-000</t>
  </si>
  <si>
    <t>MODULO ELECTRONICO 19A2.1</t>
  </si>
  <si>
    <t>1607.233.414-000</t>
  </si>
  <si>
    <t>1607.233.422-000</t>
  </si>
  <si>
    <t>MODULO ELECTRONICO 1992 RX 488</t>
  </si>
  <si>
    <t>1607.233.423-000</t>
  </si>
  <si>
    <t>1607.233.437-000</t>
  </si>
  <si>
    <t>MÓDULO ELECTRÓNICO 1B37.0</t>
  </si>
  <si>
    <t>1607.233.439-000</t>
  </si>
  <si>
    <t>REGULADOR DE REVOLUCIONES 137B</t>
  </si>
  <si>
    <t>1607.233.446-000</t>
  </si>
  <si>
    <t>Módulo de electrónica</t>
  </si>
  <si>
    <t>1607.233.459-000</t>
  </si>
  <si>
    <t>Regulador de revoluciones =16072335R2</t>
  </si>
  <si>
    <t>1607.233.461-000</t>
  </si>
  <si>
    <t>REGULADOR DE REVOLUCIONES 1B66.0</t>
  </si>
  <si>
    <t>1607.233.472-000</t>
  </si>
  <si>
    <t>REGULADOR DE REVOLUCIONES 1793</t>
  </si>
  <si>
    <t>1607.233.479-000</t>
  </si>
  <si>
    <t>1607.233.485-000</t>
  </si>
  <si>
    <t>MÓDULO ELECTRÓNICO 1868.1 RX 16072335DK</t>
  </si>
  <si>
    <t>1607.233.488-000</t>
  </si>
  <si>
    <t>MODULO ELECTRONICO 1992 RA422=1607233485</t>
  </si>
  <si>
    <t>1607.233.493-000</t>
  </si>
  <si>
    <t>MODULO ELECTRÓNICO EXACT</t>
  </si>
  <si>
    <t>1607.233.508-000</t>
  </si>
  <si>
    <t>1607.233.514-000</t>
  </si>
  <si>
    <t>1607.233.515-000</t>
  </si>
  <si>
    <t>MODULO ELECTRONICO Rx 1607.233.524-000</t>
  </si>
  <si>
    <t>1607.233.516-000</t>
  </si>
  <si>
    <t>PLACA INDICADORA EXACT</t>
  </si>
  <si>
    <t>1607.233.518-000</t>
  </si>
  <si>
    <t>MÓDULO ELECTRÓNICO 1E8J.3</t>
  </si>
  <si>
    <t>1607.233.520-000</t>
  </si>
  <si>
    <t>MODULO ELECTRONICO 1JA. 3</t>
  </si>
  <si>
    <t>1607.233.524-000</t>
  </si>
  <si>
    <t>1607.233.528-000</t>
  </si>
  <si>
    <t>1607.233.542-000</t>
  </si>
  <si>
    <t>1607.233.563-000</t>
  </si>
  <si>
    <t>1607.233.581-000</t>
  </si>
  <si>
    <t>1607.233.58M-000</t>
  </si>
  <si>
    <t>REGULADOR DE REVOLUCIONES 1396.1</t>
  </si>
  <si>
    <t>1607.233.59J-000</t>
  </si>
  <si>
    <t>MÓDULO ELECTRÓNICO 11909(GBH 18V-26)</t>
  </si>
  <si>
    <t>1607.233.59P-000</t>
  </si>
  <si>
    <t>MÓDULO ELECTRÓNICO 1JE6.1</t>
  </si>
  <si>
    <t>1607.233.5A2-000</t>
  </si>
  <si>
    <t>1607.233.5A5-000</t>
  </si>
  <si>
    <t>1607.233.5A7-000</t>
  </si>
  <si>
    <t>1607.233.5A9-000</t>
  </si>
  <si>
    <t>MÓDULO ELECTRÓNICO 18V 1JE9.1</t>
  </si>
  <si>
    <t>1607.233.5AB-000</t>
  </si>
  <si>
    <t>MÓDULO ELECTRÓNICO 19F1</t>
  </si>
  <si>
    <t>1607.233.5AS-000</t>
  </si>
  <si>
    <t>Regulador de revoluciones GBH 8-45 D</t>
  </si>
  <si>
    <t>1607.233.5BK-000</t>
  </si>
  <si>
    <t>REGULADOR DE TRANSISTORES 1831</t>
  </si>
  <si>
    <t>1607.233.5BL-000</t>
  </si>
  <si>
    <t>REGULADOR DE REVOLUCIONES 1831</t>
  </si>
  <si>
    <t>1607.233.5D3-000</t>
  </si>
  <si>
    <t>1607.233.5DD-000</t>
  </si>
  <si>
    <t>MÓDULO ELECTRÓNICO 1JA6.9</t>
  </si>
  <si>
    <t>1607.233.5DH-000</t>
  </si>
  <si>
    <t>1607.233.5DW-000</t>
  </si>
  <si>
    <t>REGULADOR DE TRANSISTORES 4751</t>
  </si>
  <si>
    <t>1607.233.5EA-000</t>
  </si>
  <si>
    <t>REGULADOR DE REVOLUCIONES 1GA3.1</t>
  </si>
  <si>
    <t>1607.233.5EH-000</t>
  </si>
  <si>
    <t>1607.233.5EP-000</t>
  </si>
  <si>
    <t>1607.233.5EZ-000</t>
  </si>
  <si>
    <t>1607.233.5F7-000</t>
  </si>
  <si>
    <t>1607.233.5FM-000</t>
  </si>
  <si>
    <t>1607.233.5FP-000</t>
  </si>
  <si>
    <t>1607.233.5FR-000</t>
  </si>
  <si>
    <t>1607.233.5FZ-000</t>
  </si>
  <si>
    <t>1607.233.5G5-000</t>
  </si>
  <si>
    <t>REGULADOR DE REVOLUCIONES 1EA8.0</t>
  </si>
  <si>
    <t>1607.233.5G6-000</t>
  </si>
  <si>
    <t>1607.233.5G8-000</t>
  </si>
  <si>
    <t>1607.233.5GB-000</t>
  </si>
  <si>
    <t>1607.233.5GD-000</t>
  </si>
  <si>
    <t>1607.233.5GP-000</t>
  </si>
  <si>
    <t>1607.233.5JG-000</t>
  </si>
  <si>
    <t>1607.233.5LG-000</t>
  </si>
  <si>
    <t>1607.233.5LH-000</t>
  </si>
  <si>
    <t>1607.233.5LS-000</t>
  </si>
  <si>
    <t>1607.233.5LX-000</t>
  </si>
  <si>
    <t>1607.233.5M7-000</t>
  </si>
  <si>
    <t>Regulador de velocidad</t>
  </si>
  <si>
    <t>1607.233.5MR-000</t>
  </si>
  <si>
    <t>1607.233.5N0-000</t>
  </si>
  <si>
    <t>REGULADOR DE REVOLUCIONES</t>
  </si>
  <si>
    <t>1607.233.5NR-000</t>
  </si>
  <si>
    <t>MODULO</t>
  </si>
  <si>
    <t>1607.233.5R2-000</t>
  </si>
  <si>
    <t>Regulador de revoluciones SP =1607233459</t>
  </si>
  <si>
    <t>1607.328.035-000</t>
  </si>
  <si>
    <t>CONDENSADOR ANTIPARASIT.1367</t>
  </si>
  <si>
    <t>1607.328.039-000</t>
  </si>
  <si>
    <t>CONDENSADOR 1701/1801.0</t>
  </si>
  <si>
    <t>1607.328.042-000</t>
  </si>
  <si>
    <t>CONDENSADOR 3343.3/1805/1621</t>
  </si>
  <si>
    <t>1607.328.043-000</t>
  </si>
  <si>
    <t>CONDENSADOR ANTIPARASI1375 RX1.619P07647</t>
  </si>
  <si>
    <t>1607.328.059-000</t>
  </si>
  <si>
    <t>CONDENSADOR 1821</t>
  </si>
  <si>
    <t>1607.431.000-000</t>
  </si>
  <si>
    <t>COLADOR 0836.1/1597</t>
  </si>
  <si>
    <t>1607.502.627-000</t>
  </si>
  <si>
    <t>MICROINTERRUPTOR EXACT.</t>
  </si>
  <si>
    <t>1607.502.694-000</t>
  </si>
  <si>
    <t>FERRITO</t>
  </si>
  <si>
    <t>1607.502.832-000</t>
  </si>
  <si>
    <t>SISTEMA ELECRONICO DE ACC. EXACT.</t>
  </si>
  <si>
    <t>1607.503.182-000</t>
  </si>
  <si>
    <t>PLACA IMPRESA EQUIPADA 19F1</t>
  </si>
  <si>
    <t>1607.503.333-000</t>
  </si>
  <si>
    <t>PLACA CIRC. IMPR. MONTADO</t>
  </si>
  <si>
    <t>1607.503.369-000</t>
  </si>
  <si>
    <t>1607.503.438-000</t>
  </si>
  <si>
    <t>1607.503.565-000</t>
  </si>
  <si>
    <t>Cable de cinta plana</t>
  </si>
  <si>
    <t>1607.503.566-000</t>
  </si>
  <si>
    <t>Cable plano</t>
  </si>
  <si>
    <t>1607.503.567-000</t>
  </si>
  <si>
    <t>Conductor eléctrico con terminal</t>
  </si>
  <si>
    <t>1607.950.052-000</t>
  </si>
  <si>
    <t>Llave Espigas Frontales</t>
  </si>
  <si>
    <t>1607.950.060-000</t>
  </si>
  <si>
    <t>LLAVE TUERCA DISCO 1H31</t>
  </si>
  <si>
    <t>1607.950.061-000</t>
  </si>
  <si>
    <t>LLAVE ESMERILES 7" / 9"</t>
  </si>
  <si>
    <t>1607.A35.040-000</t>
  </si>
  <si>
    <t>BATERÍA  BBS COMPACT 12V 2.0AH (BEU)</t>
  </si>
  <si>
    <t>1607.A35.063-000</t>
  </si>
  <si>
    <t>Kit acumulador</t>
  </si>
  <si>
    <t>1607.A35.06A-000</t>
  </si>
  <si>
    <t>1607.A35.071-000</t>
  </si>
  <si>
    <t>BLOQUE DE ACUMULADORES GBA 18V 3.0 AH 19</t>
  </si>
  <si>
    <t>1607.A35.0AT-000</t>
  </si>
  <si>
    <t>Bloque De Acumuladores -Ion 5S2P</t>
  </si>
  <si>
    <t>1607.A35.0B2-000</t>
  </si>
  <si>
    <t>BATERIA 18V / 3,0AH LITIO Ra 2607336235</t>
  </si>
  <si>
    <t>1607.A35.0B9-000</t>
  </si>
  <si>
    <t>1607.A35.0BG-000</t>
  </si>
  <si>
    <t>GBA 18V 2.0Ah Rx 1607A350MA</t>
  </si>
  <si>
    <t>1607.A35.0C5-000</t>
  </si>
  <si>
    <t>Bloque De Acumuladores   -Ion 3s1p</t>
  </si>
  <si>
    <t>1607.A35.0C8-000</t>
  </si>
  <si>
    <t>BAT 414 10,8/12V 2,0AH</t>
  </si>
  <si>
    <t>1607.A35.0DX-000</t>
  </si>
  <si>
    <t>KIT ACUMULADOR N 3S1P</t>
  </si>
  <si>
    <t>1607.A35.0F7-000</t>
  </si>
  <si>
    <t>CONJ. ACUMULADOR  1JE9.1 X 2607336721</t>
  </si>
  <si>
    <t>1607.A35.0H7-000</t>
  </si>
  <si>
    <t>BATERIA 12V MAX 2.0AH O-A Ra2607336773</t>
  </si>
  <si>
    <t>1607.A35.0MA-000</t>
  </si>
  <si>
    <t>GBA 18V 2.0Ah Ra 1607A350BG</t>
  </si>
  <si>
    <t>1608.000.064-000</t>
  </si>
  <si>
    <t>PLACA BASE 3236.2</t>
  </si>
  <si>
    <t>1608.000.091-000</t>
  </si>
  <si>
    <t>PLACA BASE 3258/3272</t>
  </si>
  <si>
    <t>1608.005.003-000</t>
  </si>
  <si>
    <t>ARMAZON INFERIOR 3270</t>
  </si>
  <si>
    <t>1608.040.113-000</t>
  </si>
  <si>
    <t>SOPORTE CARRETEL 0822</t>
  </si>
  <si>
    <t>1608.040.114-000</t>
  </si>
  <si>
    <t>GUIA 1367</t>
  </si>
  <si>
    <t>1608.040.11B-000</t>
  </si>
  <si>
    <t>OJETE PROTECTOR 6520</t>
  </si>
  <si>
    <t>1608.570.025-000</t>
  </si>
  <si>
    <t>PINZA DE TENZADO 2209</t>
  </si>
  <si>
    <t>1608.570.058-000</t>
  </si>
  <si>
    <t>BOQUILLA 1/4" 2209-2238-2228</t>
  </si>
  <si>
    <t>1608.571.069-000</t>
  </si>
  <si>
    <t>Mandril Portabrocas</t>
  </si>
  <si>
    <t>1608.571.079-000</t>
  </si>
  <si>
    <t>PORTABROCAS 10MM6600/6604 RX1600.A00.Z9R</t>
  </si>
  <si>
    <t>1608.571.088-000</t>
  </si>
  <si>
    <t>MANDRIL PORTABROCAS 1B53.7</t>
  </si>
  <si>
    <t>1608.571.089-000</t>
  </si>
  <si>
    <t>PORTABR CORONA DENTADA 12A0</t>
  </si>
  <si>
    <t>1608.573.003-000</t>
  </si>
  <si>
    <t>MANDRIL</t>
  </si>
  <si>
    <t>1609.120.498-000</t>
  </si>
  <si>
    <t>CARREGADOR GLM 80</t>
  </si>
  <si>
    <t>1609.200.016-000</t>
  </si>
  <si>
    <t>POLEA 3252 discontinued</t>
  </si>
  <si>
    <t>1609.200.031-000</t>
  </si>
  <si>
    <t>1609.200.039-000</t>
  </si>
  <si>
    <t>1609.200.043-000</t>
  </si>
  <si>
    <t>1609.200.044-000</t>
  </si>
  <si>
    <t>1609.200.052-000</t>
  </si>
  <si>
    <t>ARRASTRADOR</t>
  </si>
  <si>
    <t>1609.200.070-000</t>
  </si>
  <si>
    <t>CARCASA 1270 Alem</t>
  </si>
  <si>
    <t>1609.200.147-000</t>
  </si>
  <si>
    <t>ESPIGA DE ATORNILLADOR 1860.4/3</t>
  </si>
  <si>
    <t>1609.200.574-000</t>
  </si>
  <si>
    <t>1609.200.578-000</t>
  </si>
  <si>
    <t>1609.200.581-000</t>
  </si>
  <si>
    <t>CORREA DENTADA DISCONTINUADO</t>
  </si>
  <si>
    <t>1609.200.582-000</t>
  </si>
  <si>
    <t>POLEA</t>
  </si>
  <si>
    <t>1609.200.583-000</t>
  </si>
  <si>
    <t>ARBOL DE ACOPLAM.</t>
  </si>
  <si>
    <t>1609.200.584-000</t>
  </si>
  <si>
    <t>CASQUILLO RULEMAN</t>
  </si>
  <si>
    <t>1609.200.591-000</t>
  </si>
  <si>
    <t>TAPON ROSCADO</t>
  </si>
  <si>
    <t>1609.200.593-000</t>
  </si>
  <si>
    <t>TAPA DE CORREA</t>
  </si>
  <si>
    <t>1609.200.597-000</t>
  </si>
  <si>
    <t>1609.200.598-000</t>
  </si>
  <si>
    <t>EMPUÑADURA ADICIONAL 0270</t>
  </si>
  <si>
    <t>1609.200.600-000</t>
  </si>
  <si>
    <t>PLACA UNID</t>
  </si>
  <si>
    <t>1609.200.601-000</t>
  </si>
  <si>
    <t>ARANDELA SEGURIDAD</t>
  </si>
  <si>
    <t>1609.200.602-000</t>
  </si>
  <si>
    <t>BASE DE APOYO BA</t>
  </si>
  <si>
    <t>1609.200.604-000</t>
  </si>
  <si>
    <t>ARANDELA DE SEGURIDAD</t>
  </si>
  <si>
    <t>1609.200.605-000</t>
  </si>
  <si>
    <t>1609.200.700-000</t>
  </si>
  <si>
    <t>1609.200.704-000</t>
  </si>
  <si>
    <t>1609.200.705-000</t>
  </si>
  <si>
    <t>1609.200.706-000</t>
  </si>
  <si>
    <t>1609.200.748-000</t>
  </si>
  <si>
    <t>INTERRUPTOR - DISCONTINUADO</t>
  </si>
  <si>
    <t>1609.200.772-000</t>
  </si>
  <si>
    <t>INDUCIDO 0270</t>
  </si>
  <si>
    <t>1609.200.833-000</t>
  </si>
  <si>
    <t>ARANDELA DE APOYO 0270</t>
  </si>
  <si>
    <t>1609.200.847-000</t>
  </si>
  <si>
    <t>1609.200.889-000</t>
  </si>
  <si>
    <t>1609.200.891-000</t>
  </si>
  <si>
    <t>SOPORTE DE POLEA-DISCONTINUADO</t>
  </si>
  <si>
    <t>1609.200.893-000</t>
  </si>
  <si>
    <t>1609.200.894-000</t>
  </si>
  <si>
    <t>CORREA DENTADA 3252</t>
  </si>
  <si>
    <t>1609.200.906-000</t>
  </si>
  <si>
    <t>CARCASA SUPERIOR</t>
  </si>
  <si>
    <t>1609.200.910-000</t>
  </si>
  <si>
    <t>JUEGO RUEDAS DENTADAS 0831/2</t>
  </si>
  <si>
    <t>1609.200.914-000</t>
  </si>
  <si>
    <t>BATERIA 0831/2/3221</t>
  </si>
  <si>
    <t>1609.200.917-000</t>
  </si>
  <si>
    <t>MOTOR CC 3921-Discontinuado</t>
  </si>
  <si>
    <t>1609.200.920-000</t>
  </si>
  <si>
    <t>1609.200.948-000</t>
  </si>
  <si>
    <t>BASE 1974</t>
  </si>
  <si>
    <t>1609.200.952-000</t>
  </si>
  <si>
    <t>FLOTADOR 1974/75 OBSOLETO</t>
  </si>
  <si>
    <t>1609.201.215-000</t>
  </si>
  <si>
    <t>CORREA 3252</t>
  </si>
  <si>
    <t>1609.201.481-000</t>
  </si>
  <si>
    <t>CARCASA 3268</t>
  </si>
  <si>
    <t>1609.201.483-000</t>
  </si>
  <si>
    <t>DISCO 3268</t>
  </si>
  <si>
    <t>1609.201.484-000</t>
  </si>
  <si>
    <t>TUBO PROTECTOR 3268.6</t>
  </si>
  <si>
    <t>1609.201.490-000</t>
  </si>
  <si>
    <t>JUNTA DE PAPEL 3268</t>
  </si>
  <si>
    <t>1609.201.491-000</t>
  </si>
  <si>
    <t>1609.201.500-000</t>
  </si>
  <si>
    <t>INTERRUPTOR (3268.1)</t>
  </si>
  <si>
    <t>1609.201.501-000</t>
  </si>
  <si>
    <t>ELEMENTO DE CALEFACCION 3268 Discont.</t>
  </si>
  <si>
    <t>1609.201.503-000</t>
  </si>
  <si>
    <t>ELEMENTO DE CALEF. Discontinuado</t>
  </si>
  <si>
    <t>1609.201.505-000</t>
  </si>
  <si>
    <t>PLACA IMPRESA 3268 obsoleto</t>
  </si>
  <si>
    <t>1609.201.571-000</t>
  </si>
  <si>
    <t>TAPA 3268</t>
  </si>
  <si>
    <t>1609.201.572-000</t>
  </si>
  <si>
    <t>MOTOR 3268-3360</t>
  </si>
  <si>
    <t>1609.201.654-000</t>
  </si>
  <si>
    <t>LUZ DE CONTROL  1988</t>
  </si>
  <si>
    <t>1609.201.658-000</t>
  </si>
  <si>
    <t>INTERRUPTOR 1975</t>
  </si>
  <si>
    <t>1609.201.660-000</t>
  </si>
  <si>
    <t>PLACA AMORTIGUADORA 1976.7</t>
  </si>
  <si>
    <t>1609.201.662-000</t>
  </si>
  <si>
    <t>VIBRADOR ACOPLABLE 1988</t>
  </si>
  <si>
    <t>1609.201.663-000</t>
  </si>
  <si>
    <t>JUNTA  1988</t>
  </si>
  <si>
    <t>1609.201.666-000</t>
  </si>
  <si>
    <t>ARO DEFLECTOR DE AIRE 1974/75</t>
  </si>
  <si>
    <t>1609.201.668-000</t>
  </si>
  <si>
    <t>ANILLO DE JUNTA 1976.7</t>
  </si>
  <si>
    <t>1609.201.669-000</t>
  </si>
  <si>
    <t>JUNTA 1974/75/1988</t>
  </si>
  <si>
    <t>1609.201.676-000</t>
  </si>
  <si>
    <t>ANILLO DE JUNTA 1975</t>
  </si>
  <si>
    <t>1609.201.677-000</t>
  </si>
  <si>
    <t>FILTRO DE AIRE 1974/75</t>
  </si>
  <si>
    <t>1609.201.684-000</t>
  </si>
  <si>
    <t>CESTA ASPIRADOR 1975.9</t>
  </si>
  <si>
    <t>1609.201.685-000</t>
  </si>
  <si>
    <t>RESORTE 1976.7/1988</t>
  </si>
  <si>
    <t>1609.201.721-000</t>
  </si>
  <si>
    <t>BASE 1975</t>
  </si>
  <si>
    <t>1609.201.722-000</t>
  </si>
  <si>
    <t>CARCASA DE MOTOR 3268</t>
  </si>
  <si>
    <t>1609.201.724-000</t>
  </si>
  <si>
    <t>PLACA 3268</t>
  </si>
  <si>
    <t>1609.201.728-000</t>
  </si>
  <si>
    <t>INTERRUPTOR 3268 obsoleto</t>
  </si>
  <si>
    <t>1609.201.729-000</t>
  </si>
  <si>
    <t>ELEMENTO CALEFACCION 3268 Discontinuado</t>
  </si>
  <si>
    <t>1609.201.770-000</t>
  </si>
  <si>
    <t>JGO DE PIEZAS(3270) Ra200586</t>
  </si>
  <si>
    <t>1609.201.893-000</t>
  </si>
  <si>
    <t>OJETE PROTECTOR</t>
  </si>
  <si>
    <t>1609.201.894-000</t>
  </si>
  <si>
    <t>PANTALLA PROTECTORA 0824</t>
  </si>
  <si>
    <t>1609.201.898-000</t>
  </si>
  <si>
    <t>CARRETEL 0824</t>
  </si>
  <si>
    <t>1609.202.009-000</t>
  </si>
  <si>
    <t>1609.202.193-000</t>
  </si>
  <si>
    <t>1609.202.313-000</t>
  </si>
  <si>
    <t>MEDIA CARCASA</t>
  </si>
  <si>
    <t>1609.202.315-000</t>
  </si>
  <si>
    <t>MOTOR 3239.5</t>
  </si>
  <si>
    <t>1609.202.316-000</t>
  </si>
  <si>
    <t>CARBONES 3239</t>
  </si>
  <si>
    <t>1609.202.317-000</t>
  </si>
  <si>
    <t>PLACA DEL MOTOR</t>
  </si>
  <si>
    <t>1609.202.319-000</t>
  </si>
  <si>
    <t>1609.202.322-000</t>
  </si>
  <si>
    <t>MOTOR 3239</t>
  </si>
  <si>
    <t>1609.202.323-000</t>
  </si>
  <si>
    <t>1609.202.324-000</t>
  </si>
  <si>
    <t>SOPORTE PRESOR        Ra201899</t>
  </si>
  <si>
    <t>1609.202.408-000</t>
  </si>
  <si>
    <t>MOTOR 0824 DESCONTINUADO</t>
  </si>
  <si>
    <t>1609.202.525-000</t>
  </si>
  <si>
    <t>TUBO DE AJUSTE  1988</t>
  </si>
  <si>
    <t>1609.202.526-000</t>
  </si>
  <si>
    <t>TOBERA DE ASPIRACION  1988</t>
  </si>
  <si>
    <t>1609.202.527-000</t>
  </si>
  <si>
    <t>TUBO DE ASPIRACION  Ø 35x500 1988</t>
  </si>
  <si>
    <t>1609.202.532-000</t>
  </si>
  <si>
    <t>BOQUILLA PARA JUNTAS  Ø 35 MM 1988</t>
  </si>
  <si>
    <t>1609.202.551-000</t>
  </si>
  <si>
    <t>MEDIA CARCASA 0824 DISCONTINUADO.</t>
  </si>
  <si>
    <t>1609.202.552-000</t>
  </si>
  <si>
    <t>MEDIA CARCASA 0824</t>
  </si>
  <si>
    <t>1609.202.604-000</t>
  </si>
  <si>
    <t>TOBERA PUNTA 3290.0/.6</t>
  </si>
  <si>
    <t>1609.202.606-000</t>
  </si>
  <si>
    <t>OJETE PROTECTOR 194C.7</t>
  </si>
  <si>
    <t>1609.202.607-000</t>
  </si>
  <si>
    <t>BOTON DE INTERRUPCION 3290.0.6</t>
  </si>
  <si>
    <t>1609.202.611-000</t>
  </si>
  <si>
    <t>MOTOR CORRIENTE 3290/194C RA1609203611</t>
  </si>
  <si>
    <t>1609.202.612-000</t>
  </si>
  <si>
    <t>INTERRUPTOR 3290.0/.6</t>
  </si>
  <si>
    <t>1609.202.613-000</t>
  </si>
  <si>
    <t>RESISTENCIA P/1943.7/3290.6 DISCONT</t>
  </si>
  <si>
    <t>1609.202.615-000</t>
  </si>
  <si>
    <t>CARCASA 3290.0/.6</t>
  </si>
  <si>
    <t>1609.202.617-000</t>
  </si>
  <si>
    <t>MOTOR CC 3290</t>
  </si>
  <si>
    <t>1609.202.618-000</t>
  </si>
  <si>
    <t>ELEMENTO DE CALEFACCION 3290.0 DISCONT</t>
  </si>
  <si>
    <t>1609.202.686-000</t>
  </si>
  <si>
    <t>BLOQUE DE ACOPLAMIENTO 3290</t>
  </si>
  <si>
    <t>1609.202.687-000</t>
  </si>
  <si>
    <t>BLOQUE ACOPLAMIENTO 3290 DISCONT</t>
  </si>
  <si>
    <t>1609.202.688-000</t>
  </si>
  <si>
    <t>INTERRUPTOR 3290.7</t>
  </si>
  <si>
    <t>1609.202.704-000</t>
  </si>
  <si>
    <t>SOPLADOR DE ASPIRACION 1974/75 RX 203G98</t>
  </si>
  <si>
    <t>1609.202.708-000</t>
  </si>
  <si>
    <t>OBTURADOR DE TENSION 1975.9</t>
  </si>
  <si>
    <t>1609.202.710-000</t>
  </si>
  <si>
    <t>ASA DE TRANSPORTE 1975.9</t>
  </si>
  <si>
    <t>1609.202.713-000</t>
  </si>
  <si>
    <t>CUBIERTA  1975.9/1976.7</t>
  </si>
  <si>
    <t>1609.202.716-000</t>
  </si>
  <si>
    <t>BOTON GIRATORIO 1975</t>
  </si>
  <si>
    <t>1609.202.717-000</t>
  </si>
  <si>
    <t>CIRCUITO MONOLITICO 1975 OBSOLETO</t>
  </si>
  <si>
    <t>1609.202.727-000</t>
  </si>
  <si>
    <t>TAPON  1988</t>
  </si>
  <si>
    <t>1609.202.734-000</t>
  </si>
  <si>
    <t>PLAQUETA 1976</t>
  </si>
  <si>
    <t>1609.202.735-000</t>
  </si>
  <si>
    <t>MANGUITO GUIA 1976.7</t>
  </si>
  <si>
    <t>1609.202.747-000</t>
  </si>
  <si>
    <t>MOTOR 1976.7 RX 1.609.203.G99</t>
  </si>
  <si>
    <t>1609.202.749-000</t>
  </si>
  <si>
    <t>ESTRIBO DE SEJECION 1976.7</t>
  </si>
  <si>
    <t>1609.202.764-000</t>
  </si>
  <si>
    <t>PLACA AMORTIGUADORA 1975.9/1976.7</t>
  </si>
  <si>
    <t>1609.202.768-000</t>
  </si>
  <si>
    <t>BOTON PULSADOR 1976.7</t>
  </si>
  <si>
    <t>1609.202.799-000</t>
  </si>
  <si>
    <t>INTERRUPTOR 3360</t>
  </si>
  <si>
    <t>1609.203.102-000</t>
  </si>
  <si>
    <t>ABRAZADERA 194C.7</t>
  </si>
  <si>
    <t>1609.203.181-000</t>
  </si>
  <si>
    <t>INTERRUPTOR PULSADOR 1975</t>
  </si>
  <si>
    <t>1609.203.182-000</t>
  </si>
  <si>
    <t>ANILLO DE RETENCION 1976.7 obsoleto</t>
  </si>
  <si>
    <t>1609.203.326-000</t>
  </si>
  <si>
    <t>INTERRUPTOR 1976.7</t>
  </si>
  <si>
    <t>1609.203.330-000</t>
  </si>
  <si>
    <t>DISPOSIT.CONEX..1974/75 obsoleto</t>
  </si>
  <si>
    <t>1609.203.339-000</t>
  </si>
  <si>
    <t>JUNTA  3315.1</t>
  </si>
  <si>
    <t>1609.203.340-000</t>
  </si>
  <si>
    <t>INTERRUPTOR BASE 3315.1,</t>
  </si>
  <si>
    <t>1609.203.343-000</t>
  </si>
  <si>
    <t>TAPA DE DEPOSITO 3315.1</t>
  </si>
  <si>
    <t>1609.203.354-000</t>
  </si>
  <si>
    <t>PORTACRISTAL 0860.3</t>
  </si>
  <si>
    <t>1609.203.362-000</t>
  </si>
  <si>
    <t>INTERRUPTOR 0860.3 obsoleto</t>
  </si>
  <si>
    <t>1609.203.363-000</t>
  </si>
  <si>
    <t>PROTECT.INTERRUPTOR 0860.3</t>
  </si>
  <si>
    <t>1609.203.364-000</t>
  </si>
  <si>
    <t>VALVULA GIRATORIA 0860</t>
  </si>
  <si>
    <t>1609.203.366-000</t>
  </si>
  <si>
    <t>PALANC. DE INVERSION 0860.3</t>
  </si>
  <si>
    <t>1609.203.367-000</t>
  </si>
  <si>
    <t>MANGO 0860.3</t>
  </si>
  <si>
    <t>1609.203.368-000</t>
  </si>
  <si>
    <t>BOTON DE AJUSTE 0860.3</t>
  </si>
  <si>
    <t>1609.203.372-000</t>
  </si>
  <si>
    <t>JUNTA 0860.3</t>
  </si>
  <si>
    <t>1609.203.375-000</t>
  </si>
  <si>
    <t>MOTOR 0860.3 DISCONT</t>
  </si>
  <si>
    <t>1609.203.376-000</t>
  </si>
  <si>
    <t>TORNILLO APLAST. 0860.3</t>
  </si>
  <si>
    <t>1609.203.417-000</t>
  </si>
  <si>
    <t>ESTRIBO SUJECION 1975.9</t>
  </si>
  <si>
    <t>1609.203.423-000</t>
  </si>
  <si>
    <t>PLACA DE AMORTIG. 1975</t>
  </si>
  <si>
    <t>1609.203.474-000</t>
  </si>
  <si>
    <t>BRIDA INTERMEDIA 1976.7</t>
  </si>
  <si>
    <t>1609.203.478-000</t>
  </si>
  <si>
    <t>1609.203.487-000</t>
  </si>
  <si>
    <t>BLOQUE ACOPLAM. 3360 DISCONT</t>
  </si>
  <si>
    <t>1609.203.539-000</t>
  </si>
  <si>
    <t>CUBRECADENA 0870</t>
  </si>
  <si>
    <t>1609.203.542-000</t>
  </si>
  <si>
    <t>CARCASA DE MOTOR 0870 OBSOLETO</t>
  </si>
  <si>
    <t>1609.203.543-000</t>
  </si>
  <si>
    <t>MANGO TELESCOPICO 0870</t>
  </si>
  <si>
    <t>1609.203.545-000</t>
  </si>
  <si>
    <t>EMPUÑADURA 0870 OBSOLETO</t>
  </si>
  <si>
    <t>1609.203.546-000</t>
  </si>
  <si>
    <t>MOTOR 0870</t>
  </si>
  <si>
    <t>1609.203.547-000</t>
  </si>
  <si>
    <t>COJINETE 0870</t>
  </si>
  <si>
    <t>1609.203.548-000</t>
  </si>
  <si>
    <t>ARANDELA 0870</t>
  </si>
  <si>
    <t>1609.203.549-000</t>
  </si>
  <si>
    <t>PIÑON 0870</t>
  </si>
  <si>
    <t>1609.203.550-000</t>
  </si>
  <si>
    <t>ENGRANAJE 0870</t>
  </si>
  <si>
    <t>1609.203.551-000</t>
  </si>
  <si>
    <t>ENGRANAJE DE TRANSMIS.0870</t>
  </si>
  <si>
    <t>1609.203.552-000</t>
  </si>
  <si>
    <t>COJINETE 0870 obsoleto</t>
  </si>
  <si>
    <t>1609.203.553-000</t>
  </si>
  <si>
    <t>PERNO 0870</t>
  </si>
  <si>
    <t>1609.203.554-000</t>
  </si>
  <si>
    <t>MUELLE DE LAMINA 0870</t>
  </si>
  <si>
    <t>1609.203.556-000</t>
  </si>
  <si>
    <t>GUIA DE CADENA 0870</t>
  </si>
  <si>
    <t>1609.203.558-000</t>
  </si>
  <si>
    <t>PIÑON DE CADENA 0870</t>
  </si>
  <si>
    <t>1609.203.559-000</t>
  </si>
  <si>
    <t>TAPON 0870</t>
  </si>
  <si>
    <t>1609.203.561-000</t>
  </si>
  <si>
    <t>TORNILLO TENSOR 0870 OBSOLETO</t>
  </si>
  <si>
    <t>1609.203.562-000</t>
  </si>
  <si>
    <t>PLACA DE TOPE 0870</t>
  </si>
  <si>
    <t>1609.203.563-000</t>
  </si>
  <si>
    <t>TORNILLO HEXAGONAL 0870</t>
  </si>
  <si>
    <t>1609.203.566-000</t>
  </si>
  <si>
    <t>MUELLE DE COMPRESION 0870</t>
  </si>
  <si>
    <t>1609.203.567-000</t>
  </si>
  <si>
    <t>BOTON DE SEGURIDAD 0870</t>
  </si>
  <si>
    <t>1609.203.569-000</t>
  </si>
  <si>
    <t>INTERRUPTOR 0870</t>
  </si>
  <si>
    <t>1609.203.574-000</t>
  </si>
  <si>
    <t>PULSADOR 0870</t>
  </si>
  <si>
    <t>1609.203.601-000</t>
  </si>
  <si>
    <t>CALIBRE 0870-Discontinuado</t>
  </si>
  <si>
    <t>1609.203.611-000</t>
  </si>
  <si>
    <t>MOTOR 194C Rx 1609202611</t>
  </si>
  <si>
    <t>1609.203.664-000</t>
  </si>
  <si>
    <t>FILETE INSERTO 1190.0</t>
  </si>
  <si>
    <t>1609.203.691-000</t>
  </si>
  <si>
    <t>CARRO GUIA 1190.0</t>
  </si>
  <si>
    <t>1609.203.704-000</t>
  </si>
  <si>
    <t>PALANCA DE AVANCE 1190.0</t>
  </si>
  <si>
    <t>1609.203.706-000</t>
  </si>
  <si>
    <t>PITON DE BLOQUE 1190.0</t>
  </si>
  <si>
    <t>1609.203.991-000</t>
  </si>
  <si>
    <t>CARCASA 3360</t>
  </si>
  <si>
    <t>1609.203.992-000</t>
  </si>
  <si>
    <t>ELEM.CALEFACCION 3360 DISCONT</t>
  </si>
  <si>
    <t>1609.203.A40-000</t>
  </si>
  <si>
    <t>MOTOR 3395.0 DISCONT</t>
  </si>
  <si>
    <t>1609.203.A55-000</t>
  </si>
  <si>
    <t>MARCO PORTA FILTRO 3395.0</t>
  </si>
  <si>
    <t>1609.203.B13-000</t>
  </si>
  <si>
    <t>ANILLO DE JUNTA  1988</t>
  </si>
  <si>
    <t>1609.203.B14-000</t>
  </si>
  <si>
    <t>MOTOR C.A. 1988 RX 1609203Z37000</t>
  </si>
  <si>
    <t>1609.203.C10-000</t>
  </si>
  <si>
    <t>ADAPTADOR PARA TRÍPODE</t>
  </si>
  <si>
    <t>1609.203.C27-000</t>
  </si>
  <si>
    <t>DEDO DE CONTACTO  1988</t>
  </si>
  <si>
    <t>1609.203.C28-000</t>
  </si>
  <si>
    <t>MUELLE DE LAMINA  1988</t>
  </si>
  <si>
    <t>1609.203.C29-000</t>
  </si>
  <si>
    <t>ESTERA INSONORIZANTE  1988</t>
  </si>
  <si>
    <t>1609.203.C30-000</t>
  </si>
  <si>
    <t>1609.203.C32-000</t>
  </si>
  <si>
    <t>CORDON DE JUNTA  3 M 1988</t>
  </si>
  <si>
    <t>1609.203.C33-000</t>
  </si>
  <si>
    <t>CORDON DE JUNTA  1,5 M 1988</t>
  </si>
  <si>
    <t>1609.203.C34-000</t>
  </si>
  <si>
    <t>FILTRO DE AIRE  1988</t>
  </si>
  <si>
    <t>1609.203.C39-000</t>
  </si>
  <si>
    <t>BRIDA INTERMEDIA  1988</t>
  </si>
  <si>
    <t>1609.203.C40-000</t>
  </si>
  <si>
    <t>CLAVIJA DE ENCHUFE  1988</t>
  </si>
  <si>
    <t>1609.203.C42-000</t>
  </si>
  <si>
    <t>CAPUCHA COBERTURA  1988</t>
  </si>
  <si>
    <t>1609.203.C43-000</t>
  </si>
  <si>
    <t>MANIJA 1988</t>
  </si>
  <si>
    <t>1609.203.C46-000</t>
  </si>
  <si>
    <t>PIEZA DE PRESION  1988</t>
  </si>
  <si>
    <t>1609.203.C48-000</t>
  </si>
  <si>
    <t>CHAPA SOPORTE  1988</t>
  </si>
  <si>
    <t>1609.203.C49-000</t>
  </si>
  <si>
    <t>ESTRIBO DE CONTACTO  1988</t>
  </si>
  <si>
    <t>1609.203.C50-000</t>
  </si>
  <si>
    <t>BORNE  1988</t>
  </si>
  <si>
    <t>1609.203.C51-000</t>
  </si>
  <si>
    <t>PRENSACHAPAS  1988</t>
  </si>
  <si>
    <t>1609.203.C52-000</t>
  </si>
  <si>
    <t>RESORTE 1988</t>
  </si>
  <si>
    <t>1609.203.C53-000</t>
  </si>
  <si>
    <t>CABLE DE RED 1988 DISCONT</t>
  </si>
  <si>
    <t>1609.203.C54-000</t>
  </si>
  <si>
    <t>SUJETADOR DE CABLE 1988</t>
  </si>
  <si>
    <t>1609.203.C58-000</t>
  </si>
  <si>
    <t>BOTON DE MANDO  1988</t>
  </si>
  <si>
    <t>1609.203.C59-000</t>
  </si>
  <si>
    <t>REVESTIMIENTO FRONTAL  1988</t>
  </si>
  <si>
    <t>1609.203.C60-000</t>
  </si>
  <si>
    <t>MANGUERA AIRE ANTIESTAT.   1988</t>
  </si>
  <si>
    <t>1609.203.C61-000</t>
  </si>
  <si>
    <t>DISCO DE BLOQUEO  1988</t>
  </si>
  <si>
    <t>1609.203.C62-000</t>
  </si>
  <si>
    <t>1609.203.C63-000</t>
  </si>
  <si>
    <t>TOMA DE CORRIENTE  1988</t>
  </si>
  <si>
    <t>1609.203.C65-000</t>
  </si>
  <si>
    <t>MANGUERA SINTETICA  1988</t>
  </si>
  <si>
    <t>1609.203.C66-000</t>
  </si>
  <si>
    <t>1609.203.C69-000</t>
  </si>
  <si>
    <t>SIRENA  1988</t>
  </si>
  <si>
    <t>1609.203.C70-000</t>
  </si>
  <si>
    <t>PERNO DE COJINETE  1988</t>
  </si>
  <si>
    <t>1609.203.C71-000</t>
  </si>
  <si>
    <t>CLAVIJA DE CIERRE  1988</t>
  </si>
  <si>
    <t>1609.203.C72-000</t>
  </si>
  <si>
    <t>ESLABON DE CIERRE  1988</t>
  </si>
  <si>
    <t>1609.203.C73-000</t>
  </si>
  <si>
    <t>RESORTE DE CIERRE  1988</t>
  </si>
  <si>
    <t>1609.203.C74-000</t>
  </si>
  <si>
    <t>SOPORTE  1988</t>
  </si>
  <si>
    <t>1609.203.C75-000</t>
  </si>
  <si>
    <t>CONTACTO DE HEMBRILLA  1988</t>
  </si>
  <si>
    <t>1609.203.C76-000</t>
  </si>
  <si>
    <t>PRECINTO 1988</t>
  </si>
  <si>
    <t>1609.203.C77-000</t>
  </si>
  <si>
    <t>REJILLA PROTECTORA  1988</t>
  </si>
  <si>
    <t>1609.203.C78-000</t>
  </si>
  <si>
    <t>FILTRO DE AIRE 1989</t>
  </si>
  <si>
    <t>1609.203.C80-000</t>
  </si>
  <si>
    <t>BOLSA DE POLVO  1988 Rx 1609203N74000</t>
  </si>
  <si>
    <t>1609.203.C81-000</t>
  </si>
  <si>
    <t>CARBONES 1988</t>
  </si>
  <si>
    <t>1609.203.C86-000</t>
  </si>
  <si>
    <t>RUEDA DELANTERA 1988</t>
  </si>
  <si>
    <t>1609.203.C90-000</t>
  </si>
  <si>
    <t>EJE  DE RUEDAS 1988</t>
  </si>
  <si>
    <t>1609.203.C91-000</t>
  </si>
  <si>
    <t>RUEDA TRASERAS 1988</t>
  </si>
  <si>
    <t>1609.203.C93-000</t>
  </si>
  <si>
    <t>MANIJA DE TRANSPORTE 1988</t>
  </si>
  <si>
    <t>1609.203.C94-000</t>
  </si>
  <si>
    <t>MUELLE DE BLOQUEO  1988</t>
  </si>
  <si>
    <t>1609.203.C95-000</t>
  </si>
  <si>
    <t>CABLE DE CONEXION  1988</t>
  </si>
  <si>
    <t>1609.203.C96-000</t>
  </si>
  <si>
    <t>1609.203.C97-000</t>
  </si>
  <si>
    <t>1609.203.C98-000</t>
  </si>
  <si>
    <t>1609.203.C99-000</t>
  </si>
  <si>
    <t>FILTRO DE AIRE  198</t>
  </si>
  <si>
    <t>1609.203.D06-000</t>
  </si>
  <si>
    <t>CARCASA DEL MOTOR  1988</t>
  </si>
  <si>
    <t>1609.203.D07-000</t>
  </si>
  <si>
    <t>CC: FECHO DE TRAVAMENTO</t>
  </si>
  <si>
    <t>1609.203.D08-000</t>
  </si>
  <si>
    <t>CUERPO INTERMEDIO  1988</t>
  </si>
  <si>
    <t>1609.203.D09-000</t>
  </si>
  <si>
    <t>CERRADURA 1988</t>
  </si>
  <si>
    <t>1609.203.D13-000</t>
  </si>
  <si>
    <t>BOTON GIRATORIO  1988</t>
  </si>
  <si>
    <t>1609.203.D14-000</t>
  </si>
  <si>
    <t>RECIPIENTE DE POLVO  1988</t>
  </si>
  <si>
    <t>1609.203.D16-000</t>
  </si>
  <si>
    <t>PLAQUETA IMPRESA 1988</t>
  </si>
  <si>
    <t>1609.203.E24-000</t>
  </si>
  <si>
    <t>PLACA DE PRESION  1988</t>
  </si>
  <si>
    <t>1609.203.G68-000</t>
  </si>
  <si>
    <t>RUEDA DE ENGRANAJE  1B21.0</t>
  </si>
  <si>
    <t>1609.203.G71-000</t>
  </si>
  <si>
    <t>TUERCA DE SEGURIDAD  1B21</t>
  </si>
  <si>
    <t>1609.203.G72-000</t>
  </si>
  <si>
    <t>ARANDELA DENTADA  1B21</t>
  </si>
  <si>
    <t>1609.203.G73-000</t>
  </si>
  <si>
    <t>TORNILLO 1B21.0</t>
  </si>
  <si>
    <t>1609.203.G74-000</t>
  </si>
  <si>
    <t>TUERCA 1B21.0</t>
  </si>
  <si>
    <t>1609.203.G75-000</t>
  </si>
  <si>
    <t>TORNILLO  1B21</t>
  </si>
  <si>
    <t>1609.203.G76-000</t>
  </si>
  <si>
    <t>TUERCA HEX  1B21</t>
  </si>
  <si>
    <t>1609.203.G79-000</t>
  </si>
  <si>
    <t>MANGO 1B21.0</t>
  </si>
  <si>
    <t>1609.203.G80-000</t>
  </si>
  <si>
    <t>1609.203.G81-000</t>
  </si>
  <si>
    <t>NUCLEO DE FERRITA 1B20.0</t>
  </si>
  <si>
    <t>1609.203.G83-000</t>
  </si>
  <si>
    <t>INSERTO  1B21</t>
  </si>
  <si>
    <t>1609.203.G84-000</t>
  </si>
  <si>
    <t>TAPA 1B21.0</t>
  </si>
  <si>
    <t>1609.203.G86-000</t>
  </si>
  <si>
    <t>1609.203.G91-000</t>
  </si>
  <si>
    <t>PERNO DE COJINETE 1B21.0/1B20.0</t>
  </si>
  <si>
    <t>1609.203.G92-000</t>
  </si>
  <si>
    <t>PLACA DE CUBIERTA 1B21.0/1B20.0</t>
  </si>
  <si>
    <t>1609.203.G93-000</t>
  </si>
  <si>
    <t>MUELLE CON PATAS  1B21</t>
  </si>
  <si>
    <t>1609.203.G94-000</t>
  </si>
  <si>
    <t>1609.203.G95-000</t>
  </si>
  <si>
    <t>CUBIERTA PROTECTORA 1B21.0</t>
  </si>
  <si>
    <t>1609.203.G98-000</t>
  </si>
  <si>
    <t>MOTOR 1974/1975 obsoleto</t>
  </si>
  <si>
    <t>1609.203.G99-000</t>
  </si>
  <si>
    <t>MOTOR 1976.7  Ra 1609202747</t>
  </si>
  <si>
    <t>1609.203.H18-000</t>
  </si>
  <si>
    <t>SUJETADOR ESTATOR 1863/4</t>
  </si>
  <si>
    <t>1609.203.H33-000</t>
  </si>
  <si>
    <t>CC: ALAVANCA - quality issue</t>
  </si>
  <si>
    <t>1609.203.H34-000</t>
  </si>
  <si>
    <t>1609.203.H39-000</t>
  </si>
  <si>
    <t>CABLE 1B21 DISCONT</t>
  </si>
  <si>
    <t>1609.203.H52-000</t>
  </si>
  <si>
    <t>MOTOR 329A DISCONT</t>
  </si>
  <si>
    <t>1609.203.H53-000</t>
  </si>
  <si>
    <t>BLOQUE ACOPLAMIENTO 329A DISCONT</t>
  </si>
  <si>
    <t>1609.203.H55-000</t>
  </si>
  <si>
    <t>ELEMENTO DE CALEFACCION 329A DISCONT</t>
  </si>
  <si>
    <t>1609.203.H61-000</t>
  </si>
  <si>
    <t>TUBO PROTECTOR 194C</t>
  </si>
  <si>
    <t>1609.203.H62-000</t>
  </si>
  <si>
    <t>CAPERUZA EMPUNADURA 194C.7</t>
  </si>
  <si>
    <t>1609.203.H65-000</t>
  </si>
  <si>
    <t>BASE DE GOMA 194C.7</t>
  </si>
  <si>
    <t>1609.203.H66-000</t>
  </si>
  <si>
    <t>BOTON DE MANDO 194C.7</t>
  </si>
  <si>
    <t>1609.203.H67-000</t>
  </si>
  <si>
    <t>ELEMENTO DE CALEFACCION 194C</t>
  </si>
  <si>
    <t>1609.203.H79-000</t>
  </si>
  <si>
    <t>PALANCA  1B20.0</t>
  </si>
  <si>
    <t>1609.203.H81-000</t>
  </si>
  <si>
    <t>BRIDA  1B20.0</t>
  </si>
  <si>
    <t>1609.203.H90-000</t>
  </si>
  <si>
    <t>LISTON DE TOPE 1B20.0</t>
  </si>
  <si>
    <t>1609.203.H94-000</t>
  </si>
  <si>
    <t>ARTICULACION ANGULAR 1B20.0</t>
  </si>
  <si>
    <t>1609.203.H96-000</t>
  </si>
  <si>
    <t>MANGO 1B20.0</t>
  </si>
  <si>
    <t>1609.203.H98-000</t>
  </si>
  <si>
    <t>RESORTE 1B20.0</t>
  </si>
  <si>
    <t>1609.203.H99-000</t>
  </si>
  <si>
    <t>1609.203.J00-000</t>
  </si>
  <si>
    <t>MANGUITO DE CABLE  1B20.0</t>
  </si>
  <si>
    <t>1609.203.J01-000</t>
  </si>
  <si>
    <t>ABRAZADERA 1M15.0</t>
  </si>
  <si>
    <t>1609.203.J02-000</t>
  </si>
  <si>
    <t>LLAVE 1B20.0</t>
  </si>
  <si>
    <t>1609.203.J05-000</t>
  </si>
  <si>
    <t>ESTATOR  1B20.0</t>
  </si>
  <si>
    <t>1609.203.J06-000</t>
  </si>
  <si>
    <t>ARO DEFLECTOR DE AIRE  1B20.0</t>
  </si>
  <si>
    <t>1609.203.J08-000</t>
  </si>
  <si>
    <t>INDUCIDO  1B20.0  S/R</t>
  </si>
  <si>
    <t>1609.203.J09-000</t>
  </si>
  <si>
    <t>TORNILLO CON ARANDELA 1B20.0</t>
  </si>
  <si>
    <t>1609.203.J10-000</t>
  </si>
  <si>
    <t>CARCASA DEL MOTOR  1B20.0</t>
  </si>
  <si>
    <t>1609.203.J11-000</t>
  </si>
  <si>
    <t>CAJA DE ENGRANAJES  1B20.0</t>
  </si>
  <si>
    <t>1609.203.J12-000</t>
  </si>
  <si>
    <t>SUJETAESCOBILLA  1B20.0</t>
  </si>
  <si>
    <t>1609.203.J13-000</t>
  </si>
  <si>
    <t>CARBONES  1B20.0/1B21.0 - Rx 1619P04451</t>
  </si>
  <si>
    <t>1609.203.J14-000</t>
  </si>
  <si>
    <t>TAPA  1B20.0</t>
  </si>
  <si>
    <t>1609.203.J15-000</t>
  </si>
  <si>
    <t>PERNO DE TRINQUETE  1B20.0</t>
  </si>
  <si>
    <t>1609.203.J17-000</t>
  </si>
  <si>
    <t>RESORTE  1B20.0</t>
  </si>
  <si>
    <t>1609.203.J18-000</t>
  </si>
  <si>
    <t>COJINETE 1B20.0</t>
  </si>
  <si>
    <t>1609.203.J19-000</t>
  </si>
  <si>
    <t>RUEDA DE ENGRANAJE  1B20.0</t>
  </si>
  <si>
    <t>1609.203.J20-000</t>
  </si>
  <si>
    <t>RODAMIENTO 1B20.0</t>
  </si>
  <si>
    <t>1609.203.J21-000</t>
  </si>
  <si>
    <t>ARANDELA ELASTICA 1B20.0</t>
  </si>
  <si>
    <t>1609.203.J22-000</t>
  </si>
  <si>
    <t>BRIDA DE COJINETE  1B20.0</t>
  </si>
  <si>
    <t>1609.203.J23-000</t>
  </si>
  <si>
    <t>TORNILLO RANURA CRUCIF.  1B20.0</t>
  </si>
  <si>
    <t>1609.203.J24-000</t>
  </si>
  <si>
    <t>CHAVETA PARALELA  1B20.0</t>
  </si>
  <si>
    <t>1609.203.J25-000</t>
  </si>
  <si>
    <t>HUSILLO AMOLADOR  1B20.0</t>
  </si>
  <si>
    <t>1609.203.J26-000</t>
  </si>
  <si>
    <t>TAPA 1B20.0</t>
  </si>
  <si>
    <t>1609.203.J29-000</t>
  </si>
  <si>
    <t>LINEA DE CONEXION A RED  1B20.0</t>
  </si>
  <si>
    <t>1609.203.J56-000</t>
  </si>
  <si>
    <t>ESTATOR  230V 1B20.5</t>
  </si>
  <si>
    <t>1609.203.J59-000</t>
  </si>
  <si>
    <t>LINEA DE CONEXION A RED  RX 1609.902.075</t>
  </si>
  <si>
    <t>1609.203.J60-000</t>
  </si>
  <si>
    <t>NUCLEO DE FERRITA 1B20.5</t>
  </si>
  <si>
    <t>1609.203.J61-000</t>
  </si>
  <si>
    <t>SUJETACABLES 1B20.5</t>
  </si>
  <si>
    <t>1609.203.J63-000</t>
  </si>
  <si>
    <t>CABLE  1B20.5</t>
  </si>
  <si>
    <t>1609.203.J66-000</t>
  </si>
  <si>
    <t>CUBIERTA DE PROTECCION 1B20.5</t>
  </si>
  <si>
    <t>1609.203.J68-000</t>
  </si>
  <si>
    <t>CUBIERTA DE PROTECCION  1B20.5</t>
  </si>
  <si>
    <t>1609.203.J69-000</t>
  </si>
  <si>
    <t>TORNILLO  1B20.5</t>
  </si>
  <si>
    <t>1609.203.J70-000</t>
  </si>
  <si>
    <t>BRIDA  1B20.5</t>
  </si>
  <si>
    <t>1609.203.J71-000</t>
  </si>
  <si>
    <t>1609.203.J72-000</t>
  </si>
  <si>
    <t>TOPE PARA INGLETES  1B20.5</t>
  </si>
  <si>
    <t>1609.203.J74-000</t>
  </si>
  <si>
    <t>LLAVE DE VASO 1B20.5</t>
  </si>
  <si>
    <t>1609.203.J88-000</t>
  </si>
  <si>
    <t>LLAVE EXAGONAL DE TUBO 1B20.5</t>
  </si>
  <si>
    <t>1609.203.K41-000</t>
  </si>
  <si>
    <t>CARCASA 194C</t>
  </si>
  <si>
    <t>1609.203.K86-000</t>
  </si>
  <si>
    <t>ZAPATO POLAR</t>
  </si>
  <si>
    <t>1609.203.K88-000</t>
  </si>
  <si>
    <t>INTERRUPTOR 1B30.0/.2</t>
  </si>
  <si>
    <t>1609.203.K89-000</t>
  </si>
  <si>
    <t>LINEA DE CONEXION A RED 1B30.0/.2</t>
  </si>
  <si>
    <t>1609.203.K90-000</t>
  </si>
  <si>
    <t>MANGUITO DE CABLE 1B30.0/.2</t>
  </si>
  <si>
    <t>1609.203.K91-000</t>
  </si>
  <si>
    <t>PANEL FRONTAL 1B30.0/.2</t>
  </si>
  <si>
    <t>1609.203.K93-000</t>
  </si>
  <si>
    <t>BRIDA DE FIJACION 1M30.5</t>
  </si>
  <si>
    <t>1609.203.K94-000</t>
  </si>
  <si>
    <t>VOLANTE DE MANO 1B30.0/.2</t>
  </si>
  <si>
    <t>1609.203.K95-000</t>
  </si>
  <si>
    <t>CAJA DE INTERRUPTOR 1B30.0/.2</t>
  </si>
  <si>
    <t>1609.203.K96-000</t>
  </si>
  <si>
    <t>SUJETACABLES 1M30.5</t>
  </si>
  <si>
    <t>1609.203.K97-000</t>
  </si>
  <si>
    <t>REGLA GRADUADA 1B30.0/.2</t>
  </si>
  <si>
    <t>1609.203.K99-000</t>
  </si>
  <si>
    <t>BARRA 1B30.0/.2</t>
  </si>
  <si>
    <t>1609.203.L00-000</t>
  </si>
  <si>
    <t>ETIQUETA ADHESIVA 1B30.0/.2</t>
  </si>
  <si>
    <t>1609.203.L03-000</t>
  </si>
  <si>
    <t>TOPE 1B30.0/.2</t>
  </si>
  <si>
    <t>1609.203.L04-000</t>
  </si>
  <si>
    <t>CHAPA DE APRIETE 1B30.0/.2</t>
  </si>
  <si>
    <t>1609.203.L05-000</t>
  </si>
  <si>
    <t>TORNILLO 1B30.0/.2</t>
  </si>
  <si>
    <t>1609.203.L06-000</t>
  </si>
  <si>
    <t>TORNILLO CABEZA MARIPOSA 1B30.0/.2</t>
  </si>
  <si>
    <t>1609.203.L07-000</t>
  </si>
  <si>
    <t>RIEL DE PERFIL 1B30.0/.2</t>
  </si>
  <si>
    <t>1609.203.L08-000</t>
  </si>
  <si>
    <t>PERNO 1B30.0/.2</t>
  </si>
  <si>
    <t>1609.203.L09-000</t>
  </si>
  <si>
    <t>CHAPA PROTECTORA 1B30.0/.2</t>
  </si>
  <si>
    <t>1609.203.L10-000</t>
  </si>
  <si>
    <t>ARANDELA 1B30.0/.2</t>
  </si>
  <si>
    <t>1609.203.L11-000</t>
  </si>
  <si>
    <t>TUERCA 1B30.0/.2</t>
  </si>
  <si>
    <t>1609.203.L12-000</t>
  </si>
  <si>
    <t>CHAPA SOPORTE 1B30.0/.2</t>
  </si>
  <si>
    <t>1609.203.L13-000</t>
  </si>
  <si>
    <t>1609.203.L14-000</t>
  </si>
  <si>
    <t>1609.203.L15-000</t>
  </si>
  <si>
    <t>1609.203.L16-000</t>
  </si>
  <si>
    <t>CHAPA PROTECT. 1B30.0/.2 - DISCONTINUADO</t>
  </si>
  <si>
    <t>1609.203.L18-000</t>
  </si>
  <si>
    <t>CORREDERA 1B30.0/.2</t>
  </si>
  <si>
    <t>1609.203.L19-000</t>
  </si>
  <si>
    <t>1609.203.L30-000</t>
  </si>
  <si>
    <t>RECIPIENTE 1B30</t>
  </si>
  <si>
    <t>1609.203.L32-000</t>
  </si>
  <si>
    <t>CARCASA 1B30.0/.2</t>
  </si>
  <si>
    <t>1609.203.L33-000</t>
  </si>
  <si>
    <t>CABLE DE CONEXION 1B30.0/.2</t>
  </si>
  <si>
    <t>1609.203.L34-000</t>
  </si>
  <si>
    <t>1609.203.L36-000</t>
  </si>
  <si>
    <t>PLACA DE MESA 1B30.0/.2</t>
  </si>
  <si>
    <t>1609.203.L37-000</t>
  </si>
  <si>
    <t>INSERTO 1B30.0/.2</t>
  </si>
  <si>
    <t>1609.203.L38-000</t>
  </si>
  <si>
    <t>1609.203.L39-000</t>
  </si>
  <si>
    <t>PERFIL DE GUIA 1B30.0/.2</t>
  </si>
  <si>
    <t>1609.203.L40-000</t>
  </si>
  <si>
    <t>1609.203.L41-000</t>
  </si>
  <si>
    <t>CUBIERTA PROTECTORA 1B30</t>
  </si>
  <si>
    <t>1609.203.L42-000</t>
  </si>
  <si>
    <t>TOPE LONGITUDINAL 1B30</t>
  </si>
  <si>
    <t>1609.203.L43-000</t>
  </si>
  <si>
    <t>TOPE PARA INGLETES 1B30</t>
  </si>
  <si>
    <t>1609.203.L51-000</t>
  </si>
  <si>
    <t>BLOQUE ACOPLAMIENTO 194C</t>
  </si>
  <si>
    <t>1609.203.L64-000</t>
  </si>
  <si>
    <t>TORNILLO 1B20.0</t>
  </si>
  <si>
    <t>1609.203.L96-000</t>
  </si>
  <si>
    <t>OBTURADOR DE TENSION  1988</t>
  </si>
  <si>
    <t>1609.203.M06-000</t>
  </si>
  <si>
    <t>RACOR DE EMPALME  1988</t>
  </si>
  <si>
    <t>1609.203.M07-000</t>
  </si>
  <si>
    <t>1609.203.M81-000</t>
  </si>
  <si>
    <t>CARCASA 194C.7 Ra 1609203M80</t>
  </si>
  <si>
    <t>1609.203.M84-000</t>
  </si>
  <si>
    <t>ELECTRODO 1988</t>
  </si>
  <si>
    <t>1609.203.S98-000</t>
  </si>
  <si>
    <t>TAPA DE LAS PILAS D TECT 150</t>
  </si>
  <si>
    <t>1609.203.S99-000</t>
  </si>
  <si>
    <t>REVESTIMIENTO D TECT 150</t>
  </si>
  <si>
    <t>1609.203.U04-000</t>
  </si>
  <si>
    <t>1609.203.U05-000</t>
  </si>
  <si>
    <t>ESTUCHE DMF 10 ZOOM</t>
  </si>
  <si>
    <t>1609.203.W42-000</t>
  </si>
  <si>
    <t>EJE  1988</t>
  </si>
  <si>
    <t>1609.203.X16-000</t>
  </si>
  <si>
    <t>CAJA DE BATERIAS 1015</t>
  </si>
  <si>
    <t>1609.203.X36-000</t>
  </si>
  <si>
    <t>TAPA DE PILAS 1016</t>
  </si>
  <si>
    <t>1609.203.X48-000</t>
  </si>
  <si>
    <t>JUEGO DE PIEZAS 1016</t>
  </si>
  <si>
    <t>1609.203.X73-000</t>
  </si>
  <si>
    <t>TAPA DE BATERIA GTL 3</t>
  </si>
  <si>
    <t>1609.203.X78-000</t>
  </si>
  <si>
    <t>TAPA DE CAJA DE BATERIA LR 2</t>
  </si>
  <si>
    <t>1609.203.Z37-000</t>
  </si>
  <si>
    <t>MOTOR ASPIRACION - 1988</t>
  </si>
  <si>
    <t>1609.203.Z57-000</t>
  </si>
  <si>
    <t>CONJUNTO CAJA DE PILAS GLM 250</t>
  </si>
  <si>
    <t>1609.209.006-000</t>
  </si>
  <si>
    <t>RODAMIENTO DE AGUJAS</t>
  </si>
  <si>
    <t>1609.213.000-000</t>
  </si>
  <si>
    <t>1609.233.000-000</t>
  </si>
  <si>
    <t>TUERCA MARIPOSA</t>
  </si>
  <si>
    <t>1609.244.A01-000</t>
  </si>
  <si>
    <t>EXTRACTOR PARA PIÑONES DE INDUCIDOS</t>
  </si>
  <si>
    <t>1609.244.A07-000</t>
  </si>
  <si>
    <t>DISP. APLICABLE EN:11204-11209-11305</t>
  </si>
  <si>
    <t>1609.244.A14-000</t>
  </si>
  <si>
    <t>DISP. APLICABLE EN :11304-12306</t>
  </si>
  <si>
    <t>1609.244.A15-000</t>
  </si>
  <si>
    <t>PERNO P/EJE ROSCAD.KDEW8001/15</t>
  </si>
  <si>
    <t>1609.244.A16-000</t>
  </si>
  <si>
    <t>PERNO P/EJE ROSCAD.KDEW8001/16</t>
  </si>
  <si>
    <t>1609.244.A17-000</t>
  </si>
  <si>
    <t>EXTRACTOR DE RODAMIENTOS (KDEW 8004)</t>
  </si>
  <si>
    <t>1609.244.A29-000</t>
  </si>
  <si>
    <t>EXTRACTOR DE RULEMANES DE AGUJA</t>
  </si>
  <si>
    <t>1609.244.A30-000</t>
  </si>
  <si>
    <t>1609.244.A32-000</t>
  </si>
  <si>
    <t>DISPOSITIVO FIJACIÓN 11210-11205</t>
  </si>
  <si>
    <t>1609.244.A41-000</t>
  </si>
  <si>
    <t>LLAVE DE PIPA SIMPLE - ALTA FRECUENCIA</t>
  </si>
  <si>
    <t>1609.244.A42-000</t>
  </si>
  <si>
    <t>1609.244.A43-000</t>
  </si>
  <si>
    <t>1609.244.A46-000</t>
  </si>
  <si>
    <t>PUNTA TORX (T10) 152MM.</t>
  </si>
  <si>
    <t>1609.244.A47-000</t>
  </si>
  <si>
    <t>PUNTA TORX (T20) 152MM.</t>
  </si>
  <si>
    <t>1609.244.A53-000</t>
  </si>
  <si>
    <t>VASTAGO DE MONTAJE ( DISCO OSCILANTE )</t>
  </si>
  <si>
    <t>1609.244.A54-000</t>
  </si>
  <si>
    <t>EXTRACTOR ( ASIENTO DE VALVULAS )</t>
  </si>
  <si>
    <t>1609.244.A55-000</t>
  </si>
  <si>
    <t>VASTAGO</t>
  </si>
  <si>
    <t>1609.244.A56-000</t>
  </si>
  <si>
    <t>EXTRACTOR ( MACHO DE LA VALVULAS )</t>
  </si>
  <si>
    <t>1609.244.A57-000</t>
  </si>
  <si>
    <t>CAPERUZA PARA BOQUILLA</t>
  </si>
  <si>
    <t>1609.244.A58-000</t>
  </si>
  <si>
    <t>PLACA DE MONTAJE</t>
  </si>
  <si>
    <t>1609.244.A59-000</t>
  </si>
  <si>
    <t>DEPÓSITO DE ACEITE</t>
  </si>
  <si>
    <t>1609.244.A60-000</t>
  </si>
  <si>
    <t>HERRAMIENTA DE MONTAJE</t>
  </si>
  <si>
    <t>1609.244.A62-000</t>
  </si>
  <si>
    <t>EXTRACTOR ( DISCO OSCILANTE )</t>
  </si>
  <si>
    <t>1609.244.A63-000</t>
  </si>
  <si>
    <t>JGO. DE HERRAMIENTAS ( A53-A59-A60-A62)</t>
  </si>
  <si>
    <t>1609.244.A64-000</t>
  </si>
  <si>
    <t>PALETA MEDIDORA PARA GRASA CON ESPATULA</t>
  </si>
  <si>
    <t>1609.244.A67-000</t>
  </si>
  <si>
    <t>DISPOSITIVO DE APOYO AJUSTABLE</t>
  </si>
  <si>
    <t>1609.244.A68-000</t>
  </si>
  <si>
    <t>PLACA DE AGUJEROS</t>
  </si>
  <si>
    <t>1609.244.A71-000</t>
  </si>
  <si>
    <t>MORDAZAS PARA TORNILLO DE BANCO</t>
  </si>
  <si>
    <t>1609.244.A72-000</t>
  </si>
  <si>
    <t>SUPLEMENTO POLIAMIDA</t>
  </si>
  <si>
    <t>1609.244.A75-000</t>
  </si>
  <si>
    <t>DISPOSITIVO DE SEPARACIÓN  Ø 60MM</t>
  </si>
  <si>
    <t>1609.244.A76-000</t>
  </si>
  <si>
    <t>DISPOSITIVO DE SEPARACIÓN  Ø 75MM</t>
  </si>
  <si>
    <t>1609.244.A77-000</t>
  </si>
  <si>
    <t>EXTRACTORES PARA DISPOSITIVOS SEPARACION</t>
  </si>
  <si>
    <t>1609.244.A78-000</t>
  </si>
  <si>
    <t>EXTRACTOR DE 2 BRAZOS  Ø 47-100MM</t>
  </si>
  <si>
    <t>1609.244.A79-000</t>
  </si>
  <si>
    <t>EXTRACTOR DE 2 BRAZOS  Ø 47-200MM</t>
  </si>
  <si>
    <t>1609.244.A80-000</t>
  </si>
  <si>
    <t>EXTRACTOR DE INTERIORES   Ø 5-7MM</t>
  </si>
  <si>
    <t>1609.244.A86-000</t>
  </si>
  <si>
    <t>CONTRAPOYO EN CONJUNTO CON LOS EXTRACT.</t>
  </si>
  <si>
    <t>1609.244.A87-000</t>
  </si>
  <si>
    <t>SUPLEMENTOS PRISMATICOS DE POLIAMIDA</t>
  </si>
  <si>
    <t>1609.244.A88-000</t>
  </si>
  <si>
    <t>PUNTA TORX (T15) 152MM.</t>
  </si>
  <si>
    <t>1609.244.A91-000</t>
  </si>
  <si>
    <t>1609.244.A92-000</t>
  </si>
  <si>
    <t>ADAPTADOR JUNTO AL DISPOSITIVO A91 11231</t>
  </si>
  <si>
    <t>1609.244.A97-000</t>
  </si>
  <si>
    <t>1609.244.A98-000</t>
  </si>
  <si>
    <t>1609.244.B01-000</t>
  </si>
  <si>
    <t>EXTRACTOR PARA RUEDA DENTADA</t>
  </si>
  <si>
    <t>1609.244.B02-000</t>
  </si>
  <si>
    <t>PLACA DE APOYO PARA CAJA DE ENGRANAJES</t>
  </si>
  <si>
    <t>1609.244.B03-000</t>
  </si>
  <si>
    <t>BARA PULIDORA PARA COLECTORES Ø 5MM</t>
  </si>
  <si>
    <t>1609.244.B42-000</t>
  </si>
  <si>
    <t>CASQUILLO MONTAJE 11321</t>
  </si>
  <si>
    <t>1609.244.B43-000</t>
  </si>
  <si>
    <t>CANCAMO 11321</t>
  </si>
  <si>
    <t>1609.244.B58-000</t>
  </si>
  <si>
    <t>PROBADOR DE BATERIAS</t>
  </si>
  <si>
    <t>1609.244.B60-000</t>
  </si>
  <si>
    <t>ADAPTADOR BATERIAS L y O</t>
  </si>
  <si>
    <t>1609.244.B61-000</t>
  </si>
  <si>
    <t>ADAPTADOR DE BASES DE CARGA ANTIGUAS</t>
  </si>
  <si>
    <t>1609.244.B62-000</t>
  </si>
  <si>
    <t>ADAPTADOR BATERIAS 10,8V-Li</t>
  </si>
  <si>
    <t>1609.244.B63-000</t>
  </si>
  <si>
    <t>ADAPTADOR DE BAT. SERIE VERDE LI 14,4V,</t>
  </si>
  <si>
    <t>1609.244.B67-000</t>
  </si>
  <si>
    <t>ADAPTADOR BATERIAS 36V-Li</t>
  </si>
  <si>
    <t>1609.244.C02-000</t>
  </si>
  <si>
    <t>PROBADOR DE INDUCIDOS</t>
  </si>
  <si>
    <t>1609.244.C03-000</t>
  </si>
  <si>
    <t>SONDA DE ENSAYO PARA INDUCIDOS</t>
  </si>
  <si>
    <t>1609.244.C04-000</t>
  </si>
  <si>
    <t>PUNTA PROBADOR DE INDUCIDO</t>
  </si>
  <si>
    <t>1609.244.C05-000</t>
  </si>
  <si>
    <t>Tacómetro</t>
  </si>
  <si>
    <t>1609.244.C06-000</t>
  </si>
  <si>
    <t>Sonda reflexión para tacómetro</t>
  </si>
  <si>
    <t>1609.244.C42-000</t>
  </si>
  <si>
    <t>ADAPTADOR UNIVERSAL CON PUNTA COCODRILO</t>
  </si>
  <si>
    <t>1609.244.C44-000</t>
  </si>
  <si>
    <t>Termómetro digital</t>
  </si>
  <si>
    <t>1609.244.C45-000</t>
  </si>
  <si>
    <t>Sonda de temperatura</t>
  </si>
  <si>
    <t>1609.271.281-000</t>
  </si>
  <si>
    <t>TORNILLO CABEZA CILINDR. 1B64.0</t>
  </si>
  <si>
    <t>1609.271.BS3-000</t>
  </si>
  <si>
    <t>MÓDULO</t>
  </si>
  <si>
    <t>1609.280.157-000</t>
  </si>
  <si>
    <t>CONTACTO 11256.2</t>
  </si>
  <si>
    <t>1609.280.416-000</t>
  </si>
  <si>
    <t>PORTACONTACTOS EXACT</t>
  </si>
  <si>
    <t>1609.280.425-000</t>
  </si>
  <si>
    <t>PORTACONTACTOS 11900</t>
  </si>
  <si>
    <t>1609.280.474-000</t>
  </si>
  <si>
    <t>PORTACONTACTOS 1860.4/1859.T</t>
  </si>
  <si>
    <t>1609.280.477-000</t>
  </si>
  <si>
    <t>1609.280.478-000</t>
  </si>
  <si>
    <t>1609.280.820-000</t>
  </si>
  <si>
    <t>1609.300.094-000</t>
  </si>
  <si>
    <t>ENGRASADOR POR ACEITE  7450.5</t>
  </si>
  <si>
    <t>1609.300.694-000</t>
  </si>
  <si>
    <t>PERNO 7450593</t>
  </si>
  <si>
    <t>1609.301.049-000</t>
  </si>
  <si>
    <t>PIN 7450593</t>
  </si>
  <si>
    <t>1609.301.054-000</t>
  </si>
  <si>
    <t>JUNTA 7450593</t>
  </si>
  <si>
    <t>1609.301.055-000</t>
  </si>
  <si>
    <t>BUJE 7450791</t>
  </si>
  <si>
    <t>1609.301.087-000</t>
  </si>
  <si>
    <t>VALVULA 7450593</t>
  </si>
  <si>
    <t>1609.301.104-000</t>
  </si>
  <si>
    <t>TAPA 7450593</t>
  </si>
  <si>
    <t>1609.301.105-000</t>
  </si>
  <si>
    <t>CUERPO DE CILINDRO</t>
  </si>
  <si>
    <t>1609.301.106-000</t>
  </si>
  <si>
    <t>INDUCIDO 7450593</t>
  </si>
  <si>
    <t>1609.301.109-000</t>
  </si>
  <si>
    <t>DISCO DE CUBIERTA 7540593</t>
  </si>
  <si>
    <t>1609.301.120-000</t>
  </si>
  <si>
    <t>1609.301.133-000</t>
  </si>
  <si>
    <t>1609.301.135-000</t>
  </si>
  <si>
    <t>LAMINA  7450593</t>
  </si>
  <si>
    <t>1609.301.141-000</t>
  </si>
  <si>
    <t>O'RING  7450593</t>
  </si>
  <si>
    <t>1609.301.142-000</t>
  </si>
  <si>
    <t>ANILLO  7450593</t>
  </si>
  <si>
    <t>1609.301.213-000</t>
  </si>
  <si>
    <t>BOLILLA  7450593</t>
  </si>
  <si>
    <t>1609.301.323-000</t>
  </si>
  <si>
    <t>ESTRANGULADOR  7450593</t>
  </si>
  <si>
    <t>1609.301.390-000</t>
  </si>
  <si>
    <t>1609.301.393-000</t>
  </si>
  <si>
    <t>BOLA  7450.5</t>
  </si>
  <si>
    <t>1609.301.402-000</t>
  </si>
  <si>
    <t>PIN  7450593</t>
  </si>
  <si>
    <t>1609.301.408-000</t>
  </si>
  <si>
    <t>BUJE  7450593</t>
  </si>
  <si>
    <t>1609.301.415-000</t>
  </si>
  <si>
    <t>MANGO 7450.593</t>
  </si>
  <si>
    <t>1609.301.508-000</t>
  </si>
  <si>
    <t>PERNO  7450593</t>
  </si>
  <si>
    <t>1609.301.509-000</t>
  </si>
  <si>
    <t>RESORTE  7450593</t>
  </si>
  <si>
    <t>1609.301.510-000</t>
  </si>
  <si>
    <t>RACOR DE EMPALME  7450.5</t>
  </si>
  <si>
    <t>1609.301.511-000</t>
  </si>
  <si>
    <t>REGULADOR 7450593</t>
  </si>
  <si>
    <t>1609.301.512-000</t>
  </si>
  <si>
    <t>1609.301.513-000</t>
  </si>
  <si>
    <t>1609.301.514-000</t>
  </si>
  <si>
    <t>RESORTE 7450593</t>
  </si>
  <si>
    <t>1609.301.515-000</t>
  </si>
  <si>
    <t>CONTROL VALVULA 7450593</t>
  </si>
  <si>
    <t>1609.301.517-000</t>
  </si>
  <si>
    <t>PALANCA DE MANDO  7450.5</t>
  </si>
  <si>
    <t>1609.301.519-000</t>
  </si>
  <si>
    <t>1609.301.520-000</t>
  </si>
  <si>
    <t>1609.301.522-000</t>
  </si>
  <si>
    <t>TAPA DEL CUERPO  7450.5</t>
  </si>
  <si>
    <t>1609.301.523-000</t>
  </si>
  <si>
    <t>BUJE 7450593</t>
  </si>
  <si>
    <t>1609.301.524-000</t>
  </si>
  <si>
    <t>P/ DE IMPACTO 7450593</t>
  </si>
  <si>
    <t>1609.301.525-000</t>
  </si>
  <si>
    <t>P/ DE GOLPE 7450593</t>
  </si>
  <si>
    <t>1609.301.526-000</t>
  </si>
  <si>
    <t>1609.301.527-000</t>
  </si>
  <si>
    <t>EJE 7450593</t>
  </si>
  <si>
    <t>1609.301.528-000</t>
  </si>
  <si>
    <t>CAJA-MECANISMO PERCUTOR  7450.5</t>
  </si>
  <si>
    <t>1609.302.051-000</t>
  </si>
  <si>
    <t>O'RING 7450791</t>
  </si>
  <si>
    <t>1609.302.052-000</t>
  </si>
  <si>
    <t>RESORTE 7450791</t>
  </si>
  <si>
    <t>1609.302.061-000</t>
  </si>
  <si>
    <t>ESTATOR 7450791</t>
  </si>
  <si>
    <t>1609.302.072-000</t>
  </si>
  <si>
    <t>RULEMAN 7450791</t>
  </si>
  <si>
    <t>1609.302.077-000</t>
  </si>
  <si>
    <t>CRIQUE 7450791</t>
  </si>
  <si>
    <t>1609.302.082-000</t>
  </si>
  <si>
    <t>PIN  7450791</t>
  </si>
  <si>
    <t>1609.302.083-000</t>
  </si>
  <si>
    <t>PALANCA DE CRIQUE  7450791</t>
  </si>
  <si>
    <t>1609.302.085-000</t>
  </si>
  <si>
    <t>RESORTE  7450791</t>
  </si>
  <si>
    <t>1609.302.086-000</t>
  </si>
  <si>
    <t>BOLILLA  7450791</t>
  </si>
  <si>
    <t>1609.302.089-000</t>
  </si>
  <si>
    <t>1609.340.001-000</t>
  </si>
  <si>
    <t>INTERRUPTOR     Rx2607200294</t>
  </si>
  <si>
    <t>1609.340.003-000</t>
  </si>
  <si>
    <t>MOTOR CC 3921 obsoleto</t>
  </si>
  <si>
    <t>1609.340.004-000</t>
  </si>
  <si>
    <t>PIÑON 1921-Reem x 2606316112</t>
  </si>
  <si>
    <t>1609.340.005-000</t>
  </si>
  <si>
    <t>ENGRANAJE 1921</t>
  </si>
  <si>
    <t>1609.340.007-000</t>
  </si>
  <si>
    <t>ENGRANAJE 1921 - DISCONTINUADO</t>
  </si>
  <si>
    <t>1609.350.001-000</t>
  </si>
  <si>
    <t>CARCASA SUPERIOR 0810</t>
  </si>
  <si>
    <t>1609.350.003-000</t>
  </si>
  <si>
    <t>RODILLO 0810</t>
  </si>
  <si>
    <t>1609.350.004-000</t>
  </si>
  <si>
    <t>TECLA DE EMPUJE 0810</t>
  </si>
  <si>
    <t>1609.350.006-000</t>
  </si>
  <si>
    <t>TORNILLO 6x20 - 0813 obsoleto</t>
  </si>
  <si>
    <t>1609.350.007-000</t>
  </si>
  <si>
    <t>CUERPO INTERMEDIO 0810</t>
  </si>
  <si>
    <t>1609.350.009-000</t>
  </si>
  <si>
    <t>INTERRUPTOR 0810 DISCONT.</t>
  </si>
  <si>
    <t>1609.350.015-000</t>
  </si>
  <si>
    <t>CONDENSADOR 0810</t>
  </si>
  <si>
    <t>1609.350.016-000</t>
  </si>
  <si>
    <t>ARANDELA 0810</t>
  </si>
  <si>
    <t>1609.350.017-000</t>
  </si>
  <si>
    <t>VENTILADOR HIDROLAVADORA 0810</t>
  </si>
  <si>
    <t>1609.350.018-000</t>
  </si>
  <si>
    <t>MOTOR 0810 - DISC.</t>
  </si>
  <si>
    <t>1609.350.019-000</t>
  </si>
  <si>
    <t>JUEGO DE REPARACION 0810/3</t>
  </si>
  <si>
    <t>1609.350.020-000</t>
  </si>
  <si>
    <t>RODAMIENTO AXIAL 0810</t>
  </si>
  <si>
    <t>1609.350.021-000</t>
  </si>
  <si>
    <t>BLOQUE DE CILINDROS 0810</t>
  </si>
  <si>
    <t>1609.350.023-000</t>
  </si>
  <si>
    <t>CAPUCHON 0810</t>
  </si>
  <si>
    <t>1609.350.025-000</t>
  </si>
  <si>
    <t>PRENSACABLE 0813</t>
  </si>
  <si>
    <t>1609.350.027-000</t>
  </si>
  <si>
    <t>RESORTE 0810</t>
  </si>
  <si>
    <t>1609.350.028-000</t>
  </si>
  <si>
    <t>CULATA 0810 DISCONTINUADO</t>
  </si>
  <si>
    <t>1609.350.029-000</t>
  </si>
  <si>
    <t>JUEGO DE PIEZAS 0810</t>
  </si>
  <si>
    <t>1609.350.032-000</t>
  </si>
  <si>
    <t>TAMIZ FILTRADOR 0810</t>
  </si>
  <si>
    <t>1609.350.033-000</t>
  </si>
  <si>
    <t>ANILLO DE MUELLE 0810</t>
  </si>
  <si>
    <t>1609.350.034-000</t>
  </si>
  <si>
    <t>CARCASA DE VALVULA 0810 Discontinuado</t>
  </si>
  <si>
    <t>1609.350.035-000</t>
  </si>
  <si>
    <t>MANGUITO DE GOMA 0810 DISCONTINUADO</t>
  </si>
  <si>
    <t>1609.350.036-000</t>
  </si>
  <si>
    <t>ANILLO DE PRESION 0810 x 1</t>
  </si>
  <si>
    <t>1609.350.037-000</t>
  </si>
  <si>
    <t>RETEN OBTURADOR 0810 x 1 Discont.</t>
  </si>
  <si>
    <t>1609.350.038-000</t>
  </si>
  <si>
    <t>JUEGO DE PIEZAS 0810 DISCONTINUADO</t>
  </si>
  <si>
    <t>1609.350.039-000</t>
  </si>
  <si>
    <t>1609.350.041-000</t>
  </si>
  <si>
    <t>BASE DE CARCASA 0810</t>
  </si>
  <si>
    <t>1609.350.044-000</t>
  </si>
  <si>
    <t>JUEGO DE JUNTAS 0810 X 1 DISCONT.</t>
  </si>
  <si>
    <t>1609.350.045-000</t>
  </si>
  <si>
    <t>VALVULA ASPIRACION IMPULS.0810 DISCONT.</t>
  </si>
  <si>
    <t>1609.350.047-000</t>
  </si>
  <si>
    <t>DOSIFICADOR P/DETERGENTE DISCONT.</t>
  </si>
  <si>
    <t>1609.350.050-000</t>
  </si>
  <si>
    <t>1609.350.055-000</t>
  </si>
  <si>
    <t>LIMPIADOR DESAGUES 15 MTS.-Discont.</t>
  </si>
  <si>
    <t>1609.350.062-000</t>
  </si>
  <si>
    <t>ESTRANGULADOR 0810</t>
  </si>
  <si>
    <t>1609.350.063-000</t>
  </si>
  <si>
    <t>VALVULA 0810</t>
  </si>
  <si>
    <t>1609.350.066-000</t>
  </si>
  <si>
    <t>CASQUILLO OBTURADOR 0810</t>
  </si>
  <si>
    <t>1609.350.067-000</t>
  </si>
  <si>
    <t>NIPLE 0810/3 DISCONT.</t>
  </si>
  <si>
    <t>1609.350.074-000</t>
  </si>
  <si>
    <t>JUEGO DE PIEZAS 0810/3</t>
  </si>
  <si>
    <t>1609.350.080-000</t>
  </si>
  <si>
    <t>CONJ.RETEN PIST.HIDROL. 0810</t>
  </si>
  <si>
    <t>1609.350.089-000</t>
  </si>
  <si>
    <t>TUBO DE UNION 0810</t>
  </si>
  <si>
    <t>1609.350.092-000</t>
  </si>
  <si>
    <t>CAPERUZA DE ESTANQUEIDAD 0810</t>
  </si>
  <si>
    <t>1609.350.093-000</t>
  </si>
  <si>
    <t>DEFLECTOR DE SALPICADURAS 0810</t>
  </si>
  <si>
    <t>1609.350.098-000</t>
  </si>
  <si>
    <t>ANILLO TOROIDAL 0810</t>
  </si>
  <si>
    <t>1609.350.124-000</t>
  </si>
  <si>
    <t>AGUJA DE LIMPIEZA 0813</t>
  </si>
  <si>
    <t>1609.350.146-000</t>
  </si>
  <si>
    <t>PORTAINYECTOR 0810</t>
  </si>
  <si>
    <t>1609.350.176-000</t>
  </si>
  <si>
    <t>CONJUNTO PIEZAS RECAMBIO 0810 obsoleto</t>
  </si>
  <si>
    <t>1609.350.179-000</t>
  </si>
  <si>
    <t>ANILLO 0810</t>
  </si>
  <si>
    <t>1609.350.192-000</t>
  </si>
  <si>
    <t>JGO.PIEZAS P/HIDROLAV.AHR-900</t>
  </si>
  <si>
    <t>1609.350.194-000</t>
  </si>
  <si>
    <t>INTERR. P/HIDROLAV.AHR-900 DISCONT.</t>
  </si>
  <si>
    <t>1609.350.195-000</t>
  </si>
  <si>
    <t>JGO.REPARAC.P/HIDROLAV.AHR-900</t>
  </si>
  <si>
    <t>1609.350.196-000</t>
  </si>
  <si>
    <t>CARCAS.VALVULA HIDROL.AHR-900 DISCONT</t>
  </si>
  <si>
    <t>1609.350.197-000</t>
  </si>
  <si>
    <t>ESTRANGUL.P/HIDROLAV.AHR-900 OBSOLETO</t>
  </si>
  <si>
    <t>1609.350.199-000</t>
  </si>
  <si>
    <t>PISTOLA HIDROLAVADORA DISCONT.</t>
  </si>
  <si>
    <t>1609.350.202-000</t>
  </si>
  <si>
    <t>MOTOR 0813 OBSOLETO</t>
  </si>
  <si>
    <t>1609.350.291-000</t>
  </si>
  <si>
    <t>CARCASA HIDROLAV.AHR-900</t>
  </si>
  <si>
    <t>1609.350.306-000</t>
  </si>
  <si>
    <t>TAPON P/HIDROLAV.AHR-900 RA111</t>
  </si>
  <si>
    <t>1609.350.307-000</t>
  </si>
  <si>
    <t>MANOMETRO P/HIDROL.0810 RA 064</t>
  </si>
  <si>
    <t>1609.350.308-000</t>
  </si>
  <si>
    <t>TAPON P/HIDROLAV.AHR-900 RA114</t>
  </si>
  <si>
    <t>1609.350.309-000</t>
  </si>
  <si>
    <t>CONJ.PIEZAS.P/HIDROLAV.AHR-900</t>
  </si>
  <si>
    <t>1609.350.481-000</t>
  </si>
  <si>
    <t>CACHA PISTOLA  AHR-1100</t>
  </si>
  <si>
    <t>1609.350.482-000</t>
  </si>
  <si>
    <t>MUELLE PISTOLA  AHR-1100</t>
  </si>
  <si>
    <t>1609.350.483-000</t>
  </si>
  <si>
    <t>JGO. PIEZAS  AHR-1100</t>
  </si>
  <si>
    <t>1609.350.484-000</t>
  </si>
  <si>
    <t>TECLA DE EMPUJE  AHR-1100</t>
  </si>
  <si>
    <t>1609.350.485-000</t>
  </si>
  <si>
    <t>PIEZA POR ESTAMP.0816.0</t>
  </si>
  <si>
    <t>1609.350.486-000</t>
  </si>
  <si>
    <t>CONECTOR PISTOLA  AHR-1100</t>
  </si>
  <si>
    <t>1609.350.487-000</t>
  </si>
  <si>
    <t>ANILLO TOROIDAL  AHR-1100</t>
  </si>
  <si>
    <t>1609.350.491-000</t>
  </si>
  <si>
    <t>1609.350.504-000</t>
  </si>
  <si>
    <t>MANGUERA SINTETICA 0810  RA200 DISCONT.</t>
  </si>
  <si>
    <t>1609.351.079-000</t>
  </si>
  <si>
    <t>GRAMPAS SUJECION 0800</t>
  </si>
  <si>
    <t>1609.390.209-000</t>
  </si>
  <si>
    <t>TUBO C. FILTRO</t>
  </si>
  <si>
    <t>1609.390.298-000</t>
  </si>
  <si>
    <t>CINZEL P/ CORTAR TUBOS</t>
  </si>
  <si>
    <t>1609.390.303-000</t>
  </si>
  <si>
    <t>REBITADOR</t>
  </si>
  <si>
    <t>1609.390.493-000</t>
  </si>
  <si>
    <t>CEPILLO PLANO  1988</t>
  </si>
  <si>
    <t>1609.390.494-000</t>
  </si>
  <si>
    <t>1609.390.495-000</t>
  </si>
  <si>
    <t>CEPILLO  1988</t>
  </si>
  <si>
    <t>1609.390.578-000</t>
  </si>
  <si>
    <t>RACOR DE EMPALME 35MM - 1976.7</t>
  </si>
  <si>
    <t>1609.390.580-000</t>
  </si>
  <si>
    <t>RACOR DE EMPALME 49MM - 1976.7</t>
  </si>
  <si>
    <t>1609.902.000-000</t>
  </si>
  <si>
    <t>ANILLO DE RETENCION  1B20.0</t>
  </si>
  <si>
    <t>1609.902.002-000</t>
  </si>
  <si>
    <t>CAPERUZA DEL COJINETE  1B20.0</t>
  </si>
  <si>
    <t>1609.902.003-000</t>
  </si>
  <si>
    <t>TORNILLO CON ARANDELA  1B20.0</t>
  </si>
  <si>
    <t>1609.902.004-000</t>
  </si>
  <si>
    <t>VARILLA ROSCADA  1B20.0</t>
  </si>
  <si>
    <t>1609.902.005-000</t>
  </si>
  <si>
    <t>TORNILLO  1B20.0</t>
  </si>
  <si>
    <t>1609.902.006-000</t>
  </si>
  <si>
    <t>1609.902.022-000</t>
  </si>
  <si>
    <t>TUERCA CILINDRICA 1B30</t>
  </si>
  <si>
    <t>1609.902.023-000</t>
  </si>
  <si>
    <t>PERNO 1B30</t>
  </si>
  <si>
    <t>1609.902.024-000</t>
  </si>
  <si>
    <t>TUERCA 1B30</t>
  </si>
  <si>
    <t>1609.902.025-000</t>
  </si>
  <si>
    <t>TAPA PROTECTORA VIRABLE 1B30.0/.2</t>
  </si>
  <si>
    <t>1609.902.026-000</t>
  </si>
  <si>
    <t>1609.902.027-000</t>
  </si>
  <si>
    <t>CUNA DE PARTIR1B30.0/.2</t>
  </si>
  <si>
    <t>1609.902.028-000</t>
  </si>
  <si>
    <t>1609.902.029-000</t>
  </si>
  <si>
    <t>1609.902.030-000</t>
  </si>
  <si>
    <t>SUJETADOR P/PROTECTOR 1B30.0/.2</t>
  </si>
  <si>
    <t>1609.902.031-000</t>
  </si>
  <si>
    <t>MUELLE DE TRACCION 1B30</t>
  </si>
  <si>
    <t>1609.902.032-000</t>
  </si>
  <si>
    <t>ARANDELA PLATILLO 1B30</t>
  </si>
  <si>
    <t>1609.902.033-000</t>
  </si>
  <si>
    <t>TORNILLO 1B30</t>
  </si>
  <si>
    <t>1609.902.039-000</t>
  </si>
  <si>
    <t>PIEZA DE ARTICULACION 1B30</t>
  </si>
  <si>
    <t>1609.902.040-000</t>
  </si>
  <si>
    <t>1609.902.041-000</t>
  </si>
  <si>
    <t>ARANDELA 1B30</t>
  </si>
  <si>
    <t>1609.902.042-000</t>
  </si>
  <si>
    <t>1609.902.043-000</t>
  </si>
  <si>
    <t>1609.902.044-000</t>
  </si>
  <si>
    <t>1609.902.045-000</t>
  </si>
  <si>
    <t>PLACA DE CUBIERTA 1B30.0/.2</t>
  </si>
  <si>
    <t>1609.902.046-000</t>
  </si>
  <si>
    <t>1609.902.047-000</t>
  </si>
  <si>
    <t>1609.902.048-000</t>
  </si>
  <si>
    <t>BOBINA 1B30</t>
  </si>
  <si>
    <t>1609.902.050-000</t>
  </si>
  <si>
    <t>CINTA PARA CABLES 1B30</t>
  </si>
  <si>
    <t>1609.902.051-000</t>
  </si>
  <si>
    <t>1609.902.052-000</t>
  </si>
  <si>
    <t>ARANDELA ELASTICA 1B30</t>
  </si>
  <si>
    <t>1609.902.053-000</t>
  </si>
  <si>
    <t>1609.902.054-000</t>
  </si>
  <si>
    <t>VARILLA ROSCADA 1M30.5</t>
  </si>
  <si>
    <t>1609.902.055-000</t>
  </si>
  <si>
    <t>1609.902.056-000</t>
  </si>
  <si>
    <t>1609.902.057-000</t>
  </si>
  <si>
    <t>1609.902.058-000</t>
  </si>
  <si>
    <t>1609.902.059-000</t>
  </si>
  <si>
    <t>1609.902.060-000</t>
  </si>
  <si>
    <t>MARQUILLA 1B30</t>
  </si>
  <si>
    <t>1609.902.061-000</t>
  </si>
  <si>
    <t>1609.902.062-000</t>
  </si>
  <si>
    <t>VARILLAJE  1B20.5 OBSOLETO</t>
  </si>
  <si>
    <t>1609.902.063-000</t>
  </si>
  <si>
    <t>LENTE 1B30</t>
  </si>
  <si>
    <t>1609.902.064-000</t>
  </si>
  <si>
    <t>BRAZO DE SUJECION 1B20.5</t>
  </si>
  <si>
    <t>1609.902.065-000</t>
  </si>
  <si>
    <t>TORNILLO 1B20.5</t>
  </si>
  <si>
    <t>1609.902.066-000</t>
  </si>
  <si>
    <t>PALANCA  1B20.5</t>
  </si>
  <si>
    <t>1609.902.067-000</t>
  </si>
  <si>
    <t>ANILLO DE RETENCION 1B20.5</t>
  </si>
  <si>
    <t>1609.902.068-000</t>
  </si>
  <si>
    <t>CHAPA 1B20.5</t>
  </si>
  <si>
    <t>1609.902.069-000</t>
  </si>
  <si>
    <t>MUELLE DE TORSION  1B20.5</t>
  </si>
  <si>
    <t>1609.902.070-000</t>
  </si>
  <si>
    <t>TUERCA 1B20.5</t>
  </si>
  <si>
    <t>1609.902.071-000</t>
  </si>
  <si>
    <t>TAPA 1B20.5</t>
  </si>
  <si>
    <t>1609.902.073-000</t>
  </si>
  <si>
    <t>CONDENSADOR  1B20.5</t>
  </si>
  <si>
    <t>1609.902.074-000</t>
  </si>
  <si>
    <t>MANGUITO 1B20.5</t>
  </si>
  <si>
    <t>1609.902.075-000</t>
  </si>
  <si>
    <t>JUEGO DE CABLES  1B20.5</t>
  </si>
  <si>
    <t>1609.902.076-000</t>
  </si>
  <si>
    <t>MANETA 1B30</t>
  </si>
  <si>
    <t>1609.902.077-000</t>
  </si>
  <si>
    <t>BARRA 1B30</t>
  </si>
  <si>
    <t>1609.902.078-000</t>
  </si>
  <si>
    <t>TENAZA DE APRIETE 1B30</t>
  </si>
  <si>
    <t>1609.902.079-000</t>
  </si>
  <si>
    <t>1609.902.080-000</t>
  </si>
  <si>
    <t>1609.902.082-000</t>
  </si>
  <si>
    <t>EMPALMADOR DE CABLES  1B20.0</t>
  </si>
  <si>
    <t>1609.902.099-000</t>
  </si>
  <si>
    <t>MANGO  1B20.0</t>
  </si>
  <si>
    <t>1609.902.100-000</t>
  </si>
  <si>
    <t>1609.902.102-000</t>
  </si>
  <si>
    <t>CARBONES 1B20.5 SUB1609203L02</t>
  </si>
  <si>
    <t>1609.902.103-000</t>
  </si>
  <si>
    <t>PASADOR ELASTICO  1B20.0</t>
  </si>
  <si>
    <t>1609.902.108-000</t>
  </si>
  <si>
    <t>ABRAZADERA 1B20.5</t>
  </si>
  <si>
    <t>1609.902.111-000</t>
  </si>
  <si>
    <t>TECLA 1B20.0</t>
  </si>
  <si>
    <t>1609.902.112-000</t>
  </si>
  <si>
    <t>MUELLE DE COMPRESION  1B20.0</t>
  </si>
  <si>
    <t>1609.902.114-000</t>
  </si>
  <si>
    <t>CUBIERTA DE PROTECCION  1B20.0</t>
  </si>
  <si>
    <t>1609.902.177-000</t>
  </si>
  <si>
    <t>BOTON DE MANDO  1B20.0</t>
  </si>
  <si>
    <t>1609.902.178-000</t>
  </si>
  <si>
    <t>DISP. FIJACION RAPIDA  1B20.5</t>
  </si>
  <si>
    <t>1609.902.199-000</t>
  </si>
  <si>
    <t>BRIDA 1B20.5</t>
  </si>
  <si>
    <t>1609.902.323-000</t>
  </si>
  <si>
    <t>INTERRUPTOR DISCONTINUED</t>
  </si>
  <si>
    <t>1609.902.368-000</t>
  </si>
  <si>
    <t>BRIDA  1B21</t>
  </si>
  <si>
    <t>1609.902.369-000</t>
  </si>
  <si>
    <t>1609.902.377-000</t>
  </si>
  <si>
    <t>CUBIERTA PROTECTORA  1B21</t>
  </si>
  <si>
    <t>1609.902.392-000</t>
  </si>
  <si>
    <t>PIEDRA DE APRIETE 1B20.5</t>
  </si>
  <si>
    <t>1609.902.393-000</t>
  </si>
  <si>
    <t>BOLSA DE POLVO 1B20.5</t>
  </si>
  <si>
    <t>1609.902.447-000</t>
  </si>
  <si>
    <t>1609.902.474-000</t>
  </si>
  <si>
    <t>1609.902.475-000</t>
  </si>
  <si>
    <t>RODILLO 1B21.0</t>
  </si>
  <si>
    <t>1609.902.476-000</t>
  </si>
  <si>
    <t>PALANCA DE BLOQUEO 1B21.0</t>
  </si>
  <si>
    <t>1609.902.477-000</t>
  </si>
  <si>
    <t>ARANDELA  1B21</t>
  </si>
  <si>
    <t>1609.902.478-000</t>
  </si>
  <si>
    <t>PERNO  1B21</t>
  </si>
  <si>
    <t>1609.902.531-000</t>
  </si>
  <si>
    <t>CARCASA DEL MOTOR  1B20.5</t>
  </si>
  <si>
    <t>1609.902.550-000</t>
  </si>
  <si>
    <t>PLACA DE CARACTERISTICAS  1B20.5</t>
  </si>
  <si>
    <t>1609.902.551-000</t>
  </si>
  <si>
    <t>1609.902.582-000</t>
  </si>
  <si>
    <t>1609.902.584-000</t>
  </si>
  <si>
    <t>PERNO ROSCADO 1B21.0</t>
  </si>
  <si>
    <t>1609.902.585-000</t>
  </si>
  <si>
    <t>PERNO ROSCADO  1B21</t>
  </si>
  <si>
    <t>1609.902.586-000</t>
  </si>
  <si>
    <t>1609.902.588-000</t>
  </si>
  <si>
    <t>1609.902.594-000</t>
  </si>
  <si>
    <t>TUERCA HEX 1B21.0/1B20.0</t>
  </si>
  <si>
    <t>1609.902.596-000</t>
  </si>
  <si>
    <t>BOLSA DE POLVO  1B21</t>
  </si>
  <si>
    <t>1609.902.600-000</t>
  </si>
  <si>
    <t>RODAMIENTO RIGIDO BOLAS 1B21.0</t>
  </si>
  <si>
    <t>1609.902.604-000</t>
  </si>
  <si>
    <t>ARTICULACION ANGULAR 1B21.0</t>
  </si>
  <si>
    <t>1609.902.605-000</t>
  </si>
  <si>
    <t>PLACA DE BASE 1B21.0</t>
  </si>
  <si>
    <t>1609.902.606-000</t>
  </si>
  <si>
    <t>CUBIERTA DE PROTECCION  1B21</t>
  </si>
  <si>
    <t>1609.902.607-000</t>
  </si>
  <si>
    <t>LISTON DE TOPE 1B21.0</t>
  </si>
  <si>
    <t>1609.902.608-000</t>
  </si>
  <si>
    <t>1609.902.609-000</t>
  </si>
  <si>
    <t>ESCUADRA DE FIJACION 1B21.0</t>
  </si>
  <si>
    <t>1609.902.610-000</t>
  </si>
  <si>
    <t>CONDENSADOR 1B21.0</t>
  </si>
  <si>
    <t>1609.902.612-000</t>
  </si>
  <si>
    <t>INTERRUPTOR  1B21.0</t>
  </si>
  <si>
    <t>1609.902.613-000</t>
  </si>
  <si>
    <t>PLACA DE CARACTERISTICAS  1B20.0</t>
  </si>
  <si>
    <t>1609.902.619-000</t>
  </si>
  <si>
    <t>LINEA DE CONEXION A RED  1B21</t>
  </si>
  <si>
    <t>1609.902.622-000</t>
  </si>
  <si>
    <t>CABLE  1B21</t>
  </si>
  <si>
    <t>1609.902.624-000</t>
  </si>
  <si>
    <t>PLACA DE CARACTERISTICAS  1B21</t>
  </si>
  <si>
    <t>1609.902.639-000</t>
  </si>
  <si>
    <t>1609.902.655-000</t>
  </si>
  <si>
    <t>1609.902.666-000</t>
  </si>
  <si>
    <t>1609.902.668-000</t>
  </si>
  <si>
    <t>ARANDELA ELASTICA 1B20.5</t>
  </si>
  <si>
    <t>1609.902.669-000</t>
  </si>
  <si>
    <t>VARILLA ROSCADA 1B30.0/.2</t>
  </si>
  <si>
    <t>1609.902.670-000</t>
  </si>
  <si>
    <t>1609.902.672-000</t>
  </si>
  <si>
    <t>ARANDELA ELASTICA 1B30.0/.2</t>
  </si>
  <si>
    <t>1609.902.684-000</t>
  </si>
  <si>
    <t>TUERCA HEX 1B20.5</t>
  </si>
  <si>
    <t>1609.902.685-000</t>
  </si>
  <si>
    <t>PERNO DE FIJACION 1B20.5</t>
  </si>
  <si>
    <t>1609.902.686-000</t>
  </si>
  <si>
    <t>1609.902.688-000</t>
  </si>
  <si>
    <t>1609.902.689-000</t>
  </si>
  <si>
    <t>1609.902.690-000</t>
  </si>
  <si>
    <t>PALANCA DE CIERRE 1B20.5</t>
  </si>
  <si>
    <t>1609.902.696-000</t>
  </si>
  <si>
    <t>1609.902.697-000</t>
  </si>
  <si>
    <t>1609.902.699-000</t>
  </si>
  <si>
    <t>TORNILLO 1B30.0/.2/1B21</t>
  </si>
  <si>
    <t>1609.902.703-000</t>
  </si>
  <si>
    <t>PASADOR DE SUJECION 1B30.0/.2</t>
  </si>
  <si>
    <t>1609.922.1KP-000</t>
  </si>
  <si>
    <t>Clip de fijacion al cintu</t>
  </si>
  <si>
    <t>1609.929.D56-000</t>
  </si>
  <si>
    <t>SERVICE DVD-ROM VERSION 01.05</t>
  </si>
  <si>
    <t>1609.929.D58-000</t>
  </si>
  <si>
    <t>SERVICE DVD-ROM VERSION 07.05</t>
  </si>
  <si>
    <t>1609.929.D62-000</t>
  </si>
  <si>
    <t>SERVICE DVD-ROM</t>
  </si>
  <si>
    <t>1609.929.D64-000</t>
  </si>
  <si>
    <t>SERVICE CD-ROM</t>
  </si>
  <si>
    <t>1609.929.DB2-000</t>
  </si>
  <si>
    <t>SERVICE CD-ROM VERSION 01.05</t>
  </si>
  <si>
    <t>1609.929.DB4-000</t>
  </si>
  <si>
    <t>SERVICE CD-ROM VERSION 07.05</t>
  </si>
  <si>
    <t>1609.929.DB8-000</t>
  </si>
  <si>
    <t>1609.929.DC1-000</t>
  </si>
  <si>
    <t>1609.B00.046-000</t>
  </si>
  <si>
    <t>INDUCIDO 1B17 RA 1619P03911</t>
  </si>
  <si>
    <t>1609.B00.055-000</t>
  </si>
  <si>
    <t>PINZA DE SUJECION 1B370</t>
  </si>
  <si>
    <t>1609.B00.057-000</t>
  </si>
  <si>
    <t>COJINETE 1B370</t>
  </si>
  <si>
    <t>1609.B00.068-000</t>
  </si>
  <si>
    <t>JUNTA TORICA 1B370</t>
  </si>
  <si>
    <t>1609.B00.105-000</t>
  </si>
  <si>
    <t>VENTILADOR 1B20.1</t>
  </si>
  <si>
    <t>1609.B00.119-000</t>
  </si>
  <si>
    <t>ESTATOR 1B20.1</t>
  </si>
  <si>
    <t>1609.B00.123-000</t>
  </si>
  <si>
    <t>ESTATOR 1B17</t>
  </si>
  <si>
    <t>1609.B00.129-000</t>
  </si>
  <si>
    <t>EXPANSION POLAR 230-240V 1M17.5</t>
  </si>
  <si>
    <t>1609.B00.135-000</t>
  </si>
  <si>
    <t>EXPANSION POLAR 220-240V 1M37.1</t>
  </si>
  <si>
    <t>1609.B00.137-000</t>
  </si>
  <si>
    <t>EXPANSION POLAR 220-240V 12A7</t>
  </si>
  <si>
    <t>1609.B00.201-000</t>
  </si>
  <si>
    <t>PLACA DE DESGASTE</t>
  </si>
  <si>
    <t>1609.B00.203-000</t>
  </si>
  <si>
    <t>PIVOTE</t>
  </si>
  <si>
    <t>1609.B00.204-000</t>
  </si>
  <si>
    <t>MUELLE TORCAO</t>
  </si>
  <si>
    <t>1609.B00.205-000</t>
  </si>
  <si>
    <t>1609.B00.206-000</t>
  </si>
  <si>
    <t>1609.B00.207-000</t>
  </si>
  <si>
    <t>CINTURON PLANO</t>
  </si>
  <si>
    <t>1609.B00.210-000</t>
  </si>
  <si>
    <t>BRIDA DE SOPORTE -1B43</t>
  </si>
  <si>
    <t>1609.B00.211-000</t>
  </si>
  <si>
    <t>LLAVE DE ACERO -1B43</t>
  </si>
  <si>
    <t>1609.B00.212-000</t>
  </si>
  <si>
    <t>1609.B00.213-000</t>
  </si>
  <si>
    <t>SOMBRERO BRIDA</t>
  </si>
  <si>
    <t>1609.B00.222-000</t>
  </si>
  <si>
    <t>PLACA DESLIZANTE 1M23.6</t>
  </si>
  <si>
    <t>1609.B00.223-000</t>
  </si>
  <si>
    <t>1609.B00.225-000</t>
  </si>
  <si>
    <t>NUEZ</t>
  </si>
  <si>
    <t>1609.B00.226-000</t>
  </si>
  <si>
    <t>CHAPA CORREDIZA</t>
  </si>
  <si>
    <t>1609.B00.227-000</t>
  </si>
  <si>
    <t>CASQUILLO DE GOMA 1B23</t>
  </si>
  <si>
    <t>1609.B00.228-000</t>
  </si>
  <si>
    <t>BASTIDOR COMPLEMENTARIO</t>
  </si>
  <si>
    <t>1609.B00.229-000</t>
  </si>
  <si>
    <t>1609.B00.230-000</t>
  </si>
  <si>
    <t>ARBOL ALARGADERO</t>
  </si>
  <si>
    <t>1609.B00.231-000</t>
  </si>
  <si>
    <t>1609.B00.232-000</t>
  </si>
  <si>
    <t>1609.B00.233-000</t>
  </si>
  <si>
    <t>1609.B00.234-000</t>
  </si>
  <si>
    <t>1609.B00.235-000</t>
  </si>
  <si>
    <t>1609.B00.236-000</t>
  </si>
  <si>
    <t>TORNILLO DE SOPORTE</t>
  </si>
  <si>
    <t>1609.B00.237-000</t>
  </si>
  <si>
    <t>1609.B00.238-000</t>
  </si>
  <si>
    <t>1609.B00.244-000</t>
  </si>
  <si>
    <t>MANGUITO DE APRIETE 1M23.6</t>
  </si>
  <si>
    <t>1609.B00.245-000</t>
  </si>
  <si>
    <t>PALANCA DE BLOQUEO 1M23.6</t>
  </si>
  <si>
    <t>1609.B00.246-000</t>
  </si>
  <si>
    <t>1609.B00.247-000</t>
  </si>
  <si>
    <t>1609.B00.248-000</t>
  </si>
  <si>
    <t>PERNO 1M23.6</t>
  </si>
  <si>
    <t>1609.B00.249-000</t>
  </si>
  <si>
    <t>MUELLE DE COMPRESION 1M23.6</t>
  </si>
  <si>
    <t>1609.B00.250-000</t>
  </si>
  <si>
    <t>1609.B00.251-000</t>
  </si>
  <si>
    <t>1609.B00.252-000</t>
  </si>
  <si>
    <t>TORNILLO DE RETENCION</t>
  </si>
  <si>
    <t>1609.B00.253-000</t>
  </si>
  <si>
    <t>1609.B00.254-000</t>
  </si>
  <si>
    <t>ESCALA</t>
  </si>
  <si>
    <t>1609.B00.255-000</t>
  </si>
  <si>
    <t>MUELLE BRACADEIRA</t>
  </si>
  <si>
    <t>1609.B00.256-000</t>
  </si>
  <si>
    <t>TOMA DE LLAVE</t>
  </si>
  <si>
    <t>1609.B00.263-000</t>
  </si>
  <si>
    <t>1609.B00.273-000</t>
  </si>
  <si>
    <t>VINO CON DESTACADOS</t>
  </si>
  <si>
    <t>1609.B00.275-000</t>
  </si>
  <si>
    <t>1609.B00.276-000</t>
  </si>
  <si>
    <t>BARRA</t>
  </si>
  <si>
    <t>1609.B00.277-000</t>
  </si>
  <si>
    <t>ESCUADRA DE SOPORTE</t>
  </si>
  <si>
    <t>1609.B00.278-000</t>
  </si>
  <si>
    <t>MORDAZA DESLIZANTE</t>
  </si>
  <si>
    <t>1609.B00.279-000</t>
  </si>
  <si>
    <t>1609.B00.280-000</t>
  </si>
  <si>
    <t>1609.B00.281-000</t>
  </si>
  <si>
    <t>1609.B00.282-000</t>
  </si>
  <si>
    <t>1609.B00.283-000</t>
  </si>
  <si>
    <t>1609.B00.284-000</t>
  </si>
  <si>
    <t>1609.B00.285-000</t>
  </si>
  <si>
    <t>1609.B00.286-000</t>
  </si>
  <si>
    <t>DISCO DE EXCÉNTRICO</t>
  </si>
  <si>
    <t>1609.B00.287-000</t>
  </si>
  <si>
    <t>VARILLAJE</t>
  </si>
  <si>
    <t>1609.B00.288-000</t>
  </si>
  <si>
    <t>1609.B00.289-000</t>
  </si>
  <si>
    <t>SOPORTE DE GUÍA</t>
  </si>
  <si>
    <t>1609.B00.291-000</t>
  </si>
  <si>
    <t>1609.B00.292-000</t>
  </si>
  <si>
    <t>1609.B00.293-000</t>
  </si>
  <si>
    <t>EJE DE PALANCA</t>
  </si>
  <si>
    <t>1609.B00.294-000</t>
  </si>
  <si>
    <t>1609.B00.295-000</t>
  </si>
  <si>
    <t>1609.B00.296-000</t>
  </si>
  <si>
    <t>1609.B00.297-000</t>
  </si>
  <si>
    <t>APRIETE PINÉA</t>
  </si>
  <si>
    <t>1609.B00.298-000</t>
  </si>
  <si>
    <t>BISNAGA</t>
  </si>
  <si>
    <t>1609.B00.299-000</t>
  </si>
  <si>
    <t>1609.B00.301-000</t>
  </si>
  <si>
    <t>CUBIERTA 1B23</t>
  </si>
  <si>
    <t>1609.B00.302-000</t>
  </si>
  <si>
    <t>PIN DE ENGANCHE</t>
  </si>
  <si>
    <t>1609.B00.303-000</t>
  </si>
  <si>
    <t>1609.B00.304-000</t>
  </si>
  <si>
    <t>PALANCA DE BLOQUEO</t>
  </si>
  <si>
    <t>1609.B00.305-000</t>
  </si>
  <si>
    <t>PIERNA</t>
  </si>
  <si>
    <t>1609.B00.306-000</t>
  </si>
  <si>
    <t>1609.B00.308-000</t>
  </si>
  <si>
    <t>1609.B00.309-000</t>
  </si>
  <si>
    <t>MUELLE DE TORSION</t>
  </si>
  <si>
    <t>1609.B00.310-000</t>
  </si>
  <si>
    <t>AGUJA</t>
  </si>
  <si>
    <t>1609.B00.311-000</t>
  </si>
  <si>
    <t>1609.B00.312-000</t>
  </si>
  <si>
    <t>TABLERO</t>
  </si>
  <si>
    <t>1609.B00.325-000</t>
  </si>
  <si>
    <t>SOPORTE DE MÓDULO</t>
  </si>
  <si>
    <t>1609.B00.331-000</t>
  </si>
  <si>
    <t>BISAGRA</t>
  </si>
  <si>
    <t>1609.B00.335-000</t>
  </si>
  <si>
    <t>1609.B00.337-000</t>
  </si>
  <si>
    <t>ÁRBOL</t>
  </si>
  <si>
    <t>1609.B00.338-000</t>
  </si>
  <si>
    <t>1609.B00.339-000</t>
  </si>
  <si>
    <t>SUJETADOR DE CABLE 1B23</t>
  </si>
  <si>
    <t>1609.B00.342-000</t>
  </si>
  <si>
    <t>1609.B00.343-000</t>
  </si>
  <si>
    <t>COJINETE DE COJINETE</t>
  </si>
  <si>
    <t>1609.B00.344-000</t>
  </si>
  <si>
    <t>CINTA TENSORA 1B23</t>
  </si>
  <si>
    <t>1609.B00.345-000</t>
  </si>
  <si>
    <t>1609.B00.346-000</t>
  </si>
  <si>
    <t>1609.B00.347-000</t>
  </si>
  <si>
    <t>PIN DE AJUSTE</t>
  </si>
  <si>
    <t>1609.B00.348-000</t>
  </si>
  <si>
    <t>1609.B00.349-000</t>
  </si>
  <si>
    <t>1609.B00.350-000</t>
  </si>
  <si>
    <t>1609.B00.351-000</t>
  </si>
  <si>
    <t>1609.B00.352-000</t>
  </si>
  <si>
    <t>Guante de acoplamiento -1B43</t>
  </si>
  <si>
    <t>1609.B00.353-000</t>
  </si>
  <si>
    <t>PLACA DE RETENCION</t>
  </si>
  <si>
    <t>1609.B00.354-000</t>
  </si>
  <si>
    <t>1609.B00.355-000</t>
  </si>
  <si>
    <t>DISCO DE FRENO</t>
  </si>
  <si>
    <t>1609.B00.356-000</t>
  </si>
  <si>
    <t>ESPACIADOR</t>
  </si>
  <si>
    <t>1609.B00.357-000</t>
  </si>
  <si>
    <t>PUNTERO</t>
  </si>
  <si>
    <t>1609.B00.358-000</t>
  </si>
  <si>
    <t>1609.B00.359-000</t>
  </si>
  <si>
    <t>1609.B00.361-000</t>
  </si>
  <si>
    <t>1609.B00.362-000</t>
  </si>
  <si>
    <t>APARCAMIENTO FINAL C</t>
  </si>
  <si>
    <t>1609.B00.364-000</t>
  </si>
  <si>
    <t>1609.B00.367-000</t>
  </si>
  <si>
    <t>1609.B00.368-000</t>
  </si>
  <si>
    <t>TAPÓN DE CAUCHO</t>
  </si>
  <si>
    <t>1609.B00.369-000</t>
  </si>
  <si>
    <t>1609.B00.370-000</t>
  </si>
  <si>
    <t>1609.B00.371-000</t>
  </si>
  <si>
    <t>1609.B00.382-000</t>
  </si>
  <si>
    <t>1609.B00.384-000</t>
  </si>
  <si>
    <t>CUBIERTA DE ENGRANAJES</t>
  </si>
  <si>
    <t>1609.B00.385-000</t>
  </si>
  <si>
    <t>1609.B00.386-000</t>
  </si>
  <si>
    <t>ENGRANAJES</t>
  </si>
  <si>
    <t>1609.B00.387-000</t>
  </si>
  <si>
    <t>PIÑÓN</t>
  </si>
  <si>
    <t>1609.B00.388-000</t>
  </si>
  <si>
    <t>1609.B00.389-000</t>
  </si>
  <si>
    <t>COBERTURA PARA CINTAS</t>
  </si>
  <si>
    <t>1609.B00.390-000</t>
  </si>
  <si>
    <t>LLAVE</t>
  </si>
  <si>
    <t>1609.B00.391-000</t>
  </si>
  <si>
    <t>PIN DE CIERRE</t>
  </si>
  <si>
    <t>1609.B00.392-000</t>
  </si>
  <si>
    <t>1609.B00.404-000</t>
  </si>
  <si>
    <t>LÁSER</t>
  </si>
  <si>
    <t>1609.B00.405-000</t>
  </si>
  <si>
    <t>PULSERA APRIETE</t>
  </si>
  <si>
    <t>1609.B00.414-000</t>
  </si>
  <si>
    <t>1609.B00.415-000</t>
  </si>
  <si>
    <t>1609.B00.417-000</t>
  </si>
  <si>
    <t>1609.B00.418-000</t>
  </si>
  <si>
    <t>GUANTE</t>
  </si>
  <si>
    <t>1609.B00.419-000</t>
  </si>
  <si>
    <t>AURICULARES DE GOMA</t>
  </si>
  <si>
    <t>1609.B00.446-000</t>
  </si>
  <si>
    <t>MANGUITO DE CABLE</t>
  </si>
  <si>
    <t>1609.B00.448-000</t>
  </si>
  <si>
    <t>1609.B00.449-000</t>
  </si>
  <si>
    <t>1609.B00.451-000</t>
  </si>
  <si>
    <t>1609.B00.453-000</t>
  </si>
  <si>
    <t>1609.B00.454-000</t>
  </si>
  <si>
    <t>1609.B00.455-000</t>
  </si>
  <si>
    <t>1609.B00.457-000</t>
  </si>
  <si>
    <t>1609.B00.458-000</t>
  </si>
  <si>
    <t>CIERRE RAPIDO</t>
  </si>
  <si>
    <t>1609.B00.460-000</t>
  </si>
  <si>
    <t>1609.B00.471-000</t>
  </si>
  <si>
    <t>PLACA DE SUJECION</t>
  </si>
  <si>
    <t>1609.B00.476-000</t>
  </si>
  <si>
    <t>PARED DE BARRERA DE SONIDO</t>
  </si>
  <si>
    <t>1609.B00.478-000</t>
  </si>
  <si>
    <t>CUBIERTA CEPILLO</t>
  </si>
  <si>
    <t>1609.B00.479-000</t>
  </si>
  <si>
    <t>INSERCIÓN</t>
  </si>
  <si>
    <t>1609.B00.480-000</t>
  </si>
  <si>
    <t>CASQUILLO DE GOMA</t>
  </si>
  <si>
    <t>1609.B00.482-000</t>
  </si>
  <si>
    <t>TORNILLO DE AJUSTE</t>
  </si>
  <si>
    <t>1609.B00.483-000</t>
  </si>
  <si>
    <t>PLACA PORTADORA</t>
  </si>
  <si>
    <t>1609.B00.501-000</t>
  </si>
  <si>
    <t>CAMARA 1M23.6</t>
  </si>
  <si>
    <t>1609.B00.502-000</t>
  </si>
  <si>
    <t>PLACA DE GOMA</t>
  </si>
  <si>
    <t>1609.B00.504-000</t>
  </si>
  <si>
    <t>CUBIERTA CINTURÓN</t>
  </si>
  <si>
    <t>1609.B00.505-000</t>
  </si>
  <si>
    <t>CONECTOR</t>
  </si>
  <si>
    <t>1609.B00.506-000</t>
  </si>
  <si>
    <t>BOLSA DE POLVO</t>
  </si>
  <si>
    <t>1609.B00.523-000</t>
  </si>
  <si>
    <t>1609.B00.532-000</t>
  </si>
  <si>
    <t>ANILLO ADHESIVO</t>
  </si>
  <si>
    <t>1609.B00.533-000</t>
  </si>
  <si>
    <t>1609.B00.542-000</t>
  </si>
  <si>
    <t>1609.B00.543-000</t>
  </si>
  <si>
    <t>1609.B00.549-000</t>
  </si>
  <si>
    <t>1609.B00.582-000</t>
  </si>
  <si>
    <t>GANCHO DE PLÁSTICO</t>
  </si>
  <si>
    <t>1609.B00.583-000</t>
  </si>
  <si>
    <t>TUBO RETRACTABLE</t>
  </si>
  <si>
    <t>1609.B00.592-000</t>
  </si>
  <si>
    <t>1609.B00.593-000</t>
  </si>
  <si>
    <t>1609.B00.594-000</t>
  </si>
  <si>
    <t>1609.B00.596-000</t>
  </si>
  <si>
    <t>COJINETE 1M23.6</t>
  </si>
  <si>
    <t>1609.B00.597-000</t>
  </si>
  <si>
    <t>1609.B00.599-000</t>
  </si>
  <si>
    <t>1609.B00.600-000</t>
  </si>
  <si>
    <t>COJINETE 1M211</t>
  </si>
  <si>
    <t>1609.B00.601-000</t>
  </si>
  <si>
    <t>1609.B00.602-000</t>
  </si>
  <si>
    <t>1609.B00.603-000</t>
  </si>
  <si>
    <t>TUERCA DE APRIETE</t>
  </si>
  <si>
    <t>1609.B00.604-000</t>
  </si>
  <si>
    <t>1609.B00.605-000</t>
  </si>
  <si>
    <t>1609.B00.608-000</t>
  </si>
  <si>
    <t>1609.B00.609-000</t>
  </si>
  <si>
    <t>1609.B00.610-000</t>
  </si>
  <si>
    <t>1609.B00.612-000</t>
  </si>
  <si>
    <t>1609.B00.614-000</t>
  </si>
  <si>
    <t>1609.B00.615-000</t>
  </si>
  <si>
    <t>1609.B00.616-000</t>
  </si>
  <si>
    <t>1609.B00.617-000</t>
  </si>
  <si>
    <t>VARILLA ROSCADA</t>
  </si>
  <si>
    <t>1609.B00.618-000</t>
  </si>
  <si>
    <t>1609.B00.620-000</t>
  </si>
  <si>
    <t>1609.B00.621-000</t>
  </si>
  <si>
    <t>1609.B00.622-000</t>
  </si>
  <si>
    <t>REMACHE DE ENGANCHE</t>
  </si>
  <si>
    <t>1609.B00.623-000</t>
  </si>
  <si>
    <t>1609.B00.624-000</t>
  </si>
  <si>
    <t>1609.B00.625-000</t>
  </si>
  <si>
    <t>1609.B00.627-000</t>
  </si>
  <si>
    <t>1609.B00.628-000</t>
  </si>
  <si>
    <t>1609.B00.630-000</t>
  </si>
  <si>
    <t>1609.B00.631-000</t>
  </si>
  <si>
    <t>1609.B00.632-000</t>
  </si>
  <si>
    <t>1609.B00.633-000</t>
  </si>
  <si>
    <t>1609.B00.634-000</t>
  </si>
  <si>
    <t>1609.B00.636-000</t>
  </si>
  <si>
    <t>1609.B00.637-000</t>
  </si>
  <si>
    <t>1609.B00.638-000</t>
  </si>
  <si>
    <t>ALFILER</t>
  </si>
  <si>
    <t>1609.B00.641-000</t>
  </si>
  <si>
    <t>1609.B00.642-000</t>
  </si>
  <si>
    <t>1609.B00.643-000</t>
  </si>
  <si>
    <t>1609.B00.644-000</t>
  </si>
  <si>
    <t>1609.B00.645-000</t>
  </si>
  <si>
    <t>1609.B00.647-000</t>
  </si>
  <si>
    <t>1609.B00.649-000</t>
  </si>
  <si>
    <t>1609.B00.650-000</t>
  </si>
  <si>
    <t>1609.B00.652-000</t>
  </si>
  <si>
    <t>1609.B00.653-000</t>
  </si>
  <si>
    <t>1609.B00.654-000</t>
  </si>
  <si>
    <t>1609.B00.655-000</t>
  </si>
  <si>
    <t>1609.B00.656-000</t>
  </si>
  <si>
    <t>1609.B00.658-000</t>
  </si>
  <si>
    <t>LAVADORA DE JAMONES</t>
  </si>
  <si>
    <t>1609.B00.660-000</t>
  </si>
  <si>
    <t>1609.B00.661-000</t>
  </si>
  <si>
    <t>1609.B00.662-000</t>
  </si>
  <si>
    <t>1609.B00.664-000</t>
  </si>
  <si>
    <t>1609.B00.665-000</t>
  </si>
  <si>
    <t>1609.B00.667-000</t>
  </si>
  <si>
    <t>1609.B00.669-000</t>
  </si>
  <si>
    <t>1609.B00.670-000</t>
  </si>
  <si>
    <t>Arandela</t>
  </si>
  <si>
    <t>1609.B00.672-000</t>
  </si>
  <si>
    <t>1609.B00.673-000</t>
  </si>
  <si>
    <t>1609.B00.674-000</t>
  </si>
  <si>
    <t>1609.B00.675-000</t>
  </si>
  <si>
    <t>ARANDELA 1M211</t>
  </si>
  <si>
    <t>1609.B00.676-000</t>
  </si>
  <si>
    <t>1609.B00.678-000</t>
  </si>
  <si>
    <t>1609.B00.680-000</t>
  </si>
  <si>
    <t>1609.B00.681-000</t>
  </si>
  <si>
    <t>1609.B00.682-000</t>
  </si>
  <si>
    <t>1609.B00.687-000</t>
  </si>
  <si>
    <t>1609.B00.688-000</t>
  </si>
  <si>
    <t>1609.B00.689-000</t>
  </si>
  <si>
    <t>1609.B00.690-000</t>
  </si>
  <si>
    <t>1609.B00.691-000</t>
  </si>
  <si>
    <t>1609.B00.700-000</t>
  </si>
  <si>
    <t>1609.B00.705-000</t>
  </si>
  <si>
    <t>CASQUILLO DE GOMA 1B20.1</t>
  </si>
  <si>
    <t>1609.B00.706-000</t>
  </si>
  <si>
    <t>1609.B00.709-000</t>
  </si>
  <si>
    <t>ESCALA 1B20.1</t>
  </si>
  <si>
    <t>1609.B00.711-000</t>
  </si>
  <si>
    <t>MESA 1B20.1</t>
  </si>
  <si>
    <t>1609.B00.713-000</t>
  </si>
  <si>
    <t>1609.B00.714-000</t>
  </si>
  <si>
    <t>JUNTA TORICA 1B20.1</t>
  </si>
  <si>
    <t>1609.B00.715-000</t>
  </si>
  <si>
    <t>CHAPA CORREDIZA 1B20.1</t>
  </si>
  <si>
    <t>1609.B00.716-000</t>
  </si>
  <si>
    <t>TENSOR-EQUILIBRADOR 1B20.1</t>
  </si>
  <si>
    <t>1609.B00.717-000</t>
  </si>
  <si>
    <t>AGUJA 1B20.1</t>
  </si>
  <si>
    <t>1609.B00.719-000</t>
  </si>
  <si>
    <t>PERNO ROSCADO 1B20.1</t>
  </si>
  <si>
    <t>1609.B00.721-000</t>
  </si>
  <si>
    <t>TUERCA DE APRIETE 1B20.1</t>
  </si>
  <si>
    <t>1609.B00.722-000</t>
  </si>
  <si>
    <t>TORNILLO 1B20.1</t>
  </si>
  <si>
    <t>1609.B00.723-000</t>
  </si>
  <si>
    <t>1609.B00.725-000</t>
  </si>
  <si>
    <t>PALANCA DE BLOQUEO 1B20.1</t>
  </si>
  <si>
    <t>1609.B00.726-000</t>
  </si>
  <si>
    <t>RESORTE 1B20.1</t>
  </si>
  <si>
    <t>1609.B00.727-000</t>
  </si>
  <si>
    <t>BARRILETE 1B20.1</t>
  </si>
  <si>
    <t>1609.B00.728-000</t>
  </si>
  <si>
    <t>BLOQUE 1B20.1</t>
  </si>
  <si>
    <t>1609.B00.730-000</t>
  </si>
  <si>
    <t>1609.B00.732-000</t>
  </si>
  <si>
    <t>1609.B00.734-000</t>
  </si>
  <si>
    <t>1609.B00.735-000</t>
  </si>
  <si>
    <t>EMPUÑADURA 1B20.1</t>
  </si>
  <si>
    <t>1609.B00.736-000</t>
  </si>
  <si>
    <t>PLACA DE PRESION 1B20.1</t>
  </si>
  <si>
    <t>1609.B00.742-000</t>
  </si>
  <si>
    <t>INSERTO DE PLASTICO 1B20.1</t>
  </si>
  <si>
    <t>1609.B00.744-000</t>
  </si>
  <si>
    <t>CUBIERTA DE PROTECCION 1B20.1</t>
  </si>
  <si>
    <t>1609.B00.748-000</t>
  </si>
  <si>
    <t>1609.B00.749-000</t>
  </si>
  <si>
    <t>CONDENSADOR ANTIPARASIT 1B20.1</t>
  </si>
  <si>
    <t>1609.B00.750-000</t>
  </si>
  <si>
    <t>ANILLO DE RETENCION 1B20.1</t>
  </si>
  <si>
    <t>1609.B00.751-000</t>
  </si>
  <si>
    <t>PIVOTE 1B20.1</t>
  </si>
  <si>
    <t>1609.B00.753-000</t>
  </si>
  <si>
    <t>PALANCA 1B20.1</t>
  </si>
  <si>
    <t>1609.B00.754-000</t>
  </si>
  <si>
    <t>1609.B00.757-000</t>
  </si>
  <si>
    <t>Arandela plana</t>
  </si>
  <si>
    <t>1609.B00.758-000</t>
  </si>
  <si>
    <t>1609.B00.760-000</t>
  </si>
  <si>
    <t>PERNO DE FIJACION 1B20.1</t>
  </si>
  <si>
    <t>1609.B00.761-000</t>
  </si>
  <si>
    <t>1609.B00.762-000</t>
  </si>
  <si>
    <t>1609.B00.763-000</t>
  </si>
  <si>
    <t>1609.B00.764-000</t>
  </si>
  <si>
    <t>ARBOL SOPORTE 1B20.1</t>
  </si>
  <si>
    <t>1609.B00.765-000</t>
  </si>
  <si>
    <t>MUELLE DE TORSION 1B20.1 RX1609B04124000</t>
  </si>
  <si>
    <t>1609.B00.766-000</t>
  </si>
  <si>
    <t>MANGUITO 1B20.1</t>
  </si>
  <si>
    <t>1609.B00.767-000</t>
  </si>
  <si>
    <t>SEPARADOR DE POLVO 1B20.1</t>
  </si>
  <si>
    <t>1609.B00.769-000</t>
  </si>
  <si>
    <t>BRAZO 1B20.1</t>
  </si>
  <si>
    <t>1609.B00.771-000</t>
  </si>
  <si>
    <t>1609.B00.772-000</t>
  </si>
  <si>
    <t>PLACA DE DESGASTE 1B20.1</t>
  </si>
  <si>
    <t>1609.B00.773-000</t>
  </si>
  <si>
    <t>1609.B00.774-000</t>
  </si>
  <si>
    <t>PERNO DE TRINQUETE 1B20.1</t>
  </si>
  <si>
    <t>1609.B00.775-000</t>
  </si>
  <si>
    <t>MUELLE DE COMPRESION 1B20.1</t>
  </si>
  <si>
    <t>1609.B00.777-000</t>
  </si>
  <si>
    <t>RODAMIENTO DE AGUJAS 1B20.1</t>
  </si>
  <si>
    <t>1609.B00.779-000</t>
  </si>
  <si>
    <t>RODAMIENTO RIGIDO BOLAS 1M211</t>
  </si>
  <si>
    <t>1609.B00.780-000</t>
  </si>
  <si>
    <t>1609.B00.781-000</t>
  </si>
  <si>
    <t>ESPIGA 1B20.1</t>
  </si>
  <si>
    <t>1609.B00.784-000</t>
  </si>
  <si>
    <t>PLACA DE CUBIERTA 1B20.1</t>
  </si>
  <si>
    <t>1609.B00.785-000</t>
  </si>
  <si>
    <t>1609.B00.786-000</t>
  </si>
  <si>
    <t>BRIDA 1B20.1 S/R</t>
  </si>
  <si>
    <t>1609.B00.787-000</t>
  </si>
  <si>
    <t>ARANDELA INTERIOR 1B20.1</t>
  </si>
  <si>
    <t>1609.B00.788-000</t>
  </si>
  <si>
    <t>ANILLO 1B20.1</t>
  </si>
  <si>
    <t>1609.B00.798-000</t>
  </si>
  <si>
    <t>1609.B00.799-000</t>
  </si>
  <si>
    <t>CASQUILLO 1B20.1</t>
  </si>
  <si>
    <t>1609.B00.800-000</t>
  </si>
  <si>
    <t>1609.B00.802-000</t>
  </si>
  <si>
    <t>MUELLE DE TORSION 1B20.1</t>
  </si>
  <si>
    <t>1609.B00.803-000</t>
  </si>
  <si>
    <t>1609.B00.804-000</t>
  </si>
  <si>
    <t>PLACA DE MESA 1B20.1</t>
  </si>
  <si>
    <t>1609.B00.806-000</t>
  </si>
  <si>
    <t>RODILLO 1B20.1</t>
  </si>
  <si>
    <t>1609.B00.807-000</t>
  </si>
  <si>
    <t>RUEDA DE ALETAS 1B20.1</t>
  </si>
  <si>
    <t>1609.B00.810-000</t>
  </si>
  <si>
    <t>1609.B00.811-000</t>
  </si>
  <si>
    <t>RODILLO  1B21.1</t>
  </si>
  <si>
    <t>1609.B00.812-000</t>
  </si>
  <si>
    <t>COJINETE 1B20.1</t>
  </si>
  <si>
    <t>1609.B00.813-000</t>
  </si>
  <si>
    <t>ANILLO 1M211</t>
  </si>
  <si>
    <t>1609.B00.815-000</t>
  </si>
  <si>
    <t>1609.B00.816-000</t>
  </si>
  <si>
    <t>1609.B00.820-000</t>
  </si>
  <si>
    <t>OJETE PROTECTOR 1B20.1</t>
  </si>
  <si>
    <t>1609.B00.822-000</t>
  </si>
  <si>
    <t>DISPARADOR 1B20.1</t>
  </si>
  <si>
    <t>1609.B00.823-000</t>
  </si>
  <si>
    <t>1609.B00.824-000</t>
  </si>
  <si>
    <t>1609.B00.828-000</t>
  </si>
  <si>
    <t>1609.B00.829-000</t>
  </si>
  <si>
    <t>1609.B00.834-000</t>
  </si>
  <si>
    <t>TORNILLO 1B20.1 RX1609B00810000</t>
  </si>
  <si>
    <t>1609.B00.835-000</t>
  </si>
  <si>
    <t>1609.B00.838-000</t>
  </si>
  <si>
    <t>ARO DEFLECTOR DE AIRE 1B20.1</t>
  </si>
  <si>
    <t>1609.B00.872-000</t>
  </si>
  <si>
    <t>SUJECION 1B20.1</t>
  </si>
  <si>
    <t>1609.B00.882-000</t>
  </si>
  <si>
    <t>1609.B00.917-000</t>
  </si>
  <si>
    <t>VARILLAJE 1B20.1</t>
  </si>
  <si>
    <t>1609.B00.918-000</t>
  </si>
  <si>
    <t>DESVIADOR DE VIRUTAS 1B20.1</t>
  </si>
  <si>
    <t>1609.B00.919-000</t>
  </si>
  <si>
    <t>1609.B00.920-000</t>
  </si>
  <si>
    <t>CHAPA PROTECTORA 1B20.1</t>
  </si>
  <si>
    <t>1609.B00.921-000</t>
  </si>
  <si>
    <t>Special Screw</t>
  </si>
  <si>
    <t>1609.B00.930-000</t>
  </si>
  <si>
    <t>TORNILLO DE RETENCION 1B20.1</t>
  </si>
  <si>
    <t>1609.B00.960-000</t>
  </si>
  <si>
    <t>PIERNA CON COLLAR</t>
  </si>
  <si>
    <t>1609.B00.969-000</t>
  </si>
  <si>
    <t>Tornillo Con Arandela</t>
  </si>
  <si>
    <t>1609.B00.981-000</t>
  </si>
  <si>
    <t>INDUCIDO 1B20.1</t>
  </si>
  <si>
    <t>1609.B00.982-000</t>
  </si>
  <si>
    <t>ARBOL DE ACCIONAMIENTO 1B20.1</t>
  </si>
  <si>
    <t>1609.B00.983-000</t>
  </si>
  <si>
    <t>TORNILLO ESPECIAL 1B20.1</t>
  </si>
  <si>
    <t>1609.B00.984-000</t>
  </si>
  <si>
    <t>1609.B00.985-000</t>
  </si>
  <si>
    <t>TOPE PARA INGLETES 1B20.1</t>
  </si>
  <si>
    <t>1609.B00.986-000</t>
  </si>
  <si>
    <t>1609.B00.987-000</t>
  </si>
  <si>
    <t>1609.B00.988-000</t>
  </si>
  <si>
    <t>MANGO 1B20.1</t>
  </si>
  <si>
    <t>1609.B00.989-000</t>
  </si>
  <si>
    <t>1609.B00.990-000</t>
  </si>
  <si>
    <t>1609.B00.991-000</t>
  </si>
  <si>
    <t>CARCASA DEL MOTOR 1B20.1</t>
  </si>
  <si>
    <t>1609.B00.992-000</t>
  </si>
  <si>
    <t>TAPA DEL CUERPO 1B20.1 GCM 10M</t>
  </si>
  <si>
    <t>1609.B01.041-000</t>
  </si>
  <si>
    <t>1609.B01.046-000</t>
  </si>
  <si>
    <t>Tornillo  Para Plastico</t>
  </si>
  <si>
    <t>1609.B01.050-000</t>
  </si>
  <si>
    <t>1609.B01.186-000</t>
  </si>
  <si>
    <t>Casquillo-Cojinete</t>
  </si>
  <si>
    <t>1609.B01.196-000</t>
  </si>
  <si>
    <t>1609.B01.243-000</t>
  </si>
  <si>
    <t>1609.B01.253-000</t>
  </si>
  <si>
    <t>1609.B01.281-000</t>
  </si>
  <si>
    <t>1609.B01.282-000</t>
  </si>
  <si>
    <t>1609.B01.287-000</t>
  </si>
  <si>
    <t>1609.B01.322-000</t>
  </si>
  <si>
    <t>Perno Para Bridas</t>
  </si>
  <si>
    <t>1609.B01.356-000</t>
  </si>
  <si>
    <t>TORNILLO CILINDRIO CHAPA 1M211</t>
  </si>
  <si>
    <t>1609.B01.397-000</t>
  </si>
  <si>
    <t>BORNE 1M211</t>
  </si>
  <si>
    <t>1609.B01.427-000</t>
  </si>
  <si>
    <t>CHAPA DE ENCLAVAMIENTO 1M211</t>
  </si>
  <si>
    <t>1609.B01.428-000</t>
  </si>
  <si>
    <t>PLACA DESLIZANTE 1M211</t>
  </si>
  <si>
    <t>1609.B01.431-000</t>
  </si>
  <si>
    <t>SOPORTE PE</t>
  </si>
  <si>
    <t>1609.B01.435-000</t>
  </si>
  <si>
    <t>TORNILLO FIJADOR 1M211</t>
  </si>
  <si>
    <t>1609.B01.436-000</t>
  </si>
  <si>
    <t>1609.B01.442-000</t>
  </si>
  <si>
    <t>TOPE INGLETE</t>
  </si>
  <si>
    <t>1609.B01.452-000</t>
  </si>
  <si>
    <t>MESA 1M211</t>
  </si>
  <si>
    <t>1609.B01.453-000</t>
  </si>
  <si>
    <t>1609.B01.454-000</t>
  </si>
  <si>
    <t>EJE 1M211</t>
  </si>
  <si>
    <t>1609.B01.457-000</t>
  </si>
  <si>
    <t>PLACA DE DESGASTE 1M211</t>
  </si>
  <si>
    <t>1609.B01.458-000</t>
  </si>
  <si>
    <t>CORREDERA DE DESLIZAMIEN 1M211</t>
  </si>
  <si>
    <t>1609.B01.459-000</t>
  </si>
  <si>
    <t>TORNILLO DE RESALTO 1M211</t>
  </si>
  <si>
    <t>1609.B01.460-000</t>
  </si>
  <si>
    <t>ROTOR 1M211</t>
  </si>
  <si>
    <t>1609.B01.461-000</t>
  </si>
  <si>
    <t>ARRIETE 1M211</t>
  </si>
  <si>
    <t>1609.B01.462-000</t>
  </si>
  <si>
    <t>1609.B01.463-000</t>
  </si>
  <si>
    <t>1609.B01.464-000</t>
  </si>
  <si>
    <t>MORDAZA DESLIZANTE 1M211</t>
  </si>
  <si>
    <t>1609.B01.465-000</t>
  </si>
  <si>
    <t>AGUJA 1M211</t>
  </si>
  <si>
    <t>1609.B01.466-000</t>
  </si>
  <si>
    <t>BRAZO DE SUJECION 1M211</t>
  </si>
  <si>
    <t>1609.B01.469-000</t>
  </si>
  <si>
    <t>ESPIGA 1M211</t>
  </si>
  <si>
    <t>1609.B01.470-000</t>
  </si>
  <si>
    <t>BOTON 1M211</t>
  </si>
  <si>
    <t>1609.B01.472-000</t>
  </si>
  <si>
    <t>ABRAZADERA 1M211</t>
  </si>
  <si>
    <t>1609.B01.473-000</t>
  </si>
  <si>
    <t>MUELLE DE COMPRESION 1M211</t>
  </si>
  <si>
    <t>1609.B01.474-000</t>
  </si>
  <si>
    <t>1609.B01.475-000</t>
  </si>
  <si>
    <t>DISPARADOR 1M211</t>
  </si>
  <si>
    <t>1609.B01.476-000</t>
  </si>
  <si>
    <t>RESORTE OSCILANTE 1M211</t>
  </si>
  <si>
    <t>1609.B01.477-000</t>
  </si>
  <si>
    <t>PERNO UNION DE RODILLOS 1M211</t>
  </si>
  <si>
    <t>1609.B01.479-000</t>
  </si>
  <si>
    <t>1609.B01.482-000</t>
  </si>
  <si>
    <t>ASA/MANIJA 1M211</t>
  </si>
  <si>
    <t>1609.B01.483-000</t>
  </si>
  <si>
    <t>TORNILLO 1B370</t>
  </si>
  <si>
    <t>1609.B01.499-000</t>
  </si>
  <si>
    <t>1609.B01.501-000</t>
  </si>
  <si>
    <t>CUERPO DE COJINETE 1M211</t>
  </si>
  <si>
    <t>1609.B01.504-000</t>
  </si>
  <si>
    <t>CUBRECOJINETE 1M211</t>
  </si>
  <si>
    <t>1609.B01.507-000</t>
  </si>
  <si>
    <t>CHAPA DEFLECTORA 1M211</t>
  </si>
  <si>
    <t>1609.B01.508-000</t>
  </si>
  <si>
    <t>CAPERUZA FINAL 1M211</t>
  </si>
  <si>
    <t>1609.B01.509-000</t>
  </si>
  <si>
    <t>1609.B01.513-000</t>
  </si>
  <si>
    <t>1609.B01.514-000</t>
  </si>
  <si>
    <t>GUIA DE VIRUTAS 1M211</t>
  </si>
  <si>
    <t>1609.B01.515-000</t>
  </si>
  <si>
    <t>1609.B01.522-000</t>
  </si>
  <si>
    <t>ALOJAMIENTO PARA HUSILLO 1M211</t>
  </si>
  <si>
    <t>1609.B01.525-000</t>
  </si>
  <si>
    <t>ASA/MANIJA  1B21.1</t>
  </si>
  <si>
    <t>1609.B01.530-000</t>
  </si>
  <si>
    <t>1609.B01.531-000</t>
  </si>
  <si>
    <t>1609.B01.538-000</t>
  </si>
  <si>
    <t>CINTA AISLANTE PARA CABLES</t>
  </si>
  <si>
    <t>1609.B01.539-000</t>
  </si>
  <si>
    <t>ACOLCHADO 1M211</t>
  </si>
  <si>
    <t>1609.B01.560-000</t>
  </si>
  <si>
    <t>MUELLE DE TORSIÓN 1M211</t>
  </si>
  <si>
    <t>1609.B01.561-000</t>
  </si>
  <si>
    <t>TORNILLO 1M211</t>
  </si>
  <si>
    <t>1609.B01.570-000</t>
  </si>
  <si>
    <t>REVESTIMIENTO 1M211</t>
  </si>
  <si>
    <t>1609.B01.574-000</t>
  </si>
  <si>
    <t>BRIDA 1M211</t>
  </si>
  <si>
    <t>1609.B01.575-000</t>
  </si>
  <si>
    <t>1609.B01.576-000</t>
  </si>
  <si>
    <t>1609.B01.580-000</t>
  </si>
  <si>
    <t>1609.B01.584-000</t>
  </si>
  <si>
    <t>CANAL 1M211</t>
  </si>
  <si>
    <t>1609.B01.586-000</t>
  </si>
  <si>
    <t>1609.B01.587-000</t>
  </si>
  <si>
    <t>CONDENSADOR ANTIPARASIT. 1M211</t>
  </si>
  <si>
    <t>1609.B01.592-000</t>
  </si>
  <si>
    <t>1609.B01.593-000</t>
  </si>
  <si>
    <t>PALANCA DE REGULACION 1M211</t>
  </si>
  <si>
    <t>1609.B01.594-000</t>
  </si>
  <si>
    <t>BULON TENSOR 1M211</t>
  </si>
  <si>
    <t>1609.B01.595-000</t>
  </si>
  <si>
    <t>1609.B01.596-000</t>
  </si>
  <si>
    <t>1609.B01.597-000</t>
  </si>
  <si>
    <t>1609.B01.598-000</t>
  </si>
  <si>
    <t>PLAQUITA DE APOYO 1M211</t>
  </si>
  <si>
    <t>1609.B01.599-000</t>
  </si>
  <si>
    <t>TORNILLO DE REGULADOR 1M211</t>
  </si>
  <si>
    <t>1609.B01.600-000</t>
  </si>
  <si>
    <t>ESPIGA SOPORTE 1M211</t>
  </si>
  <si>
    <t>1609.B01.601-000</t>
  </si>
  <si>
    <t>1609.B01.602-000</t>
  </si>
  <si>
    <t>1609.B01.603-000</t>
  </si>
  <si>
    <t>1609.B01.604-000</t>
  </si>
  <si>
    <t>1609.B01.605-000</t>
  </si>
  <si>
    <t>CASQUILLO-COJINETE 1M211</t>
  </si>
  <si>
    <t>1609.B01.606-000</t>
  </si>
  <si>
    <t>VARILLAJE 1M211</t>
  </si>
  <si>
    <t>1609.B01.607-000</t>
  </si>
  <si>
    <t>1609.B01.611-000</t>
  </si>
  <si>
    <t>RECIPIENTE DE POLVO 1M211</t>
  </si>
  <si>
    <t>1609.B01.612-000</t>
  </si>
  <si>
    <t>PLANCHA DE GOMA 1M211</t>
  </si>
  <si>
    <t>1609.B01.613-000</t>
  </si>
  <si>
    <t>ADAPTADOR 1M211</t>
  </si>
  <si>
    <t>1609.B01.621-000</t>
  </si>
  <si>
    <t>ESTATOR 1B21.1</t>
  </si>
  <si>
    <t>1609.B01.631-000</t>
  </si>
  <si>
    <t>TOPE PARA INGLETES 1B21.1</t>
  </si>
  <si>
    <t>1609.B01.632-000</t>
  </si>
  <si>
    <t>1609.B01.651-000</t>
  </si>
  <si>
    <t>1609.B01.652-000</t>
  </si>
  <si>
    <t>1609.B01.654-000</t>
  </si>
  <si>
    <t>VASO 1B370</t>
  </si>
  <si>
    <t>1609.B01.655-000</t>
  </si>
  <si>
    <t>VASO 1M211</t>
  </si>
  <si>
    <t>1609.B01.656-000</t>
  </si>
  <si>
    <t>1609.B01.660-000</t>
  </si>
  <si>
    <t>1609.B01.665-000</t>
  </si>
  <si>
    <t>1609.B01.668-000</t>
  </si>
  <si>
    <t>1609.B01.670-000</t>
  </si>
  <si>
    <t>Casquillo De Goma</t>
  </si>
  <si>
    <t>1609.B01.672-000</t>
  </si>
  <si>
    <t>1609.B01.674-000</t>
  </si>
  <si>
    <t>EMPAQUETADURA ANULAR 1M211</t>
  </si>
  <si>
    <t>1609.B01.680-000</t>
  </si>
  <si>
    <t>1609.B01.689-000</t>
  </si>
  <si>
    <t>1609.B01.690-000</t>
  </si>
  <si>
    <t>1609.B01.692-000</t>
  </si>
  <si>
    <t>1609.B01.693-000</t>
  </si>
  <si>
    <t>1609.B01.696-000</t>
  </si>
  <si>
    <t>1609.B01.701-000</t>
  </si>
  <si>
    <t>1609.B01.708-000</t>
  </si>
  <si>
    <t>MANGO 1M211</t>
  </si>
  <si>
    <t>1609.B01.710-000</t>
  </si>
  <si>
    <t>Engranaje</t>
  </si>
  <si>
    <t>1609.B01.713-000</t>
  </si>
  <si>
    <t>CARCASA DEL MOTOR 1M211</t>
  </si>
  <si>
    <t>1609.B01.715-000</t>
  </si>
  <si>
    <t>PATA 1M211</t>
  </si>
  <si>
    <t>1609.B01.716-000</t>
  </si>
  <si>
    <t>BOLSA DE POLVO 1M211</t>
  </si>
  <si>
    <t>1609.B01.717-000</t>
  </si>
  <si>
    <t>CULATA 1M211</t>
  </si>
  <si>
    <t>1609.B01.719-000</t>
  </si>
  <si>
    <t>PROTECCIÓN  1B21.1</t>
  </si>
  <si>
    <t>1609.B01.720-000</t>
  </si>
  <si>
    <t>MESA DE ALIMENTACION 1M211</t>
  </si>
  <si>
    <t>1609.B01.721-000</t>
  </si>
  <si>
    <t>1609.B01.722-000</t>
  </si>
  <si>
    <t>TECLA 1M211</t>
  </si>
  <si>
    <t>1609.B01.723-000</t>
  </si>
  <si>
    <t>1609.B01.727-000</t>
  </si>
  <si>
    <t>BRAZO 1M211</t>
  </si>
  <si>
    <t>1609.B01.785-000</t>
  </si>
  <si>
    <t>MANGO 1M37.1 Ra. 1609B03614</t>
  </si>
  <si>
    <t>1609.B01.992-000</t>
  </si>
  <si>
    <t>Clip terminal</t>
  </si>
  <si>
    <t>1609.B02.101-000</t>
  </si>
  <si>
    <t>TOPE PARA INGLETES 1M23.6</t>
  </si>
  <si>
    <t>1609.B02.102-000</t>
  </si>
  <si>
    <t>1609.B02.103-000</t>
  </si>
  <si>
    <t>TOPE PARALELO 1M23.6</t>
  </si>
  <si>
    <t>1609.B02.104-000</t>
  </si>
  <si>
    <t>1609.B02.105-000</t>
  </si>
  <si>
    <t>ARANDELA ACO</t>
  </si>
  <si>
    <t>1609.B02.119-000</t>
  </si>
  <si>
    <t>1609.B02.120-000</t>
  </si>
  <si>
    <t>1609.B02.122-000</t>
  </si>
  <si>
    <t>1609.B02.145-000</t>
  </si>
  <si>
    <t>1609.B02.146-000</t>
  </si>
  <si>
    <t>1609.B02.152-000</t>
  </si>
  <si>
    <t>OJETE PROTECTOR 1B370</t>
  </si>
  <si>
    <t>1609.B02.153-000</t>
  </si>
  <si>
    <t>SUJETADOR DE CABLE 12A7</t>
  </si>
  <si>
    <t>1609.B02.157-000</t>
  </si>
  <si>
    <t>LINEA DE CONEXION A RED BR 12A7</t>
  </si>
  <si>
    <t>1609.B02.159-000</t>
  </si>
  <si>
    <t>TAPA DE CUERPO 119B.4/11A5</t>
  </si>
  <si>
    <t>1609.B02.160-000</t>
  </si>
  <si>
    <t>LINEA DE CONEXION A RED CL 12A7</t>
  </si>
  <si>
    <t>1609.B02.174-000</t>
  </si>
  <si>
    <t>1609.B02.178-000</t>
  </si>
  <si>
    <t>1609.B02.181-000</t>
  </si>
  <si>
    <t>1609.B02.183-000</t>
  </si>
  <si>
    <t>1609.B02.184-000</t>
  </si>
  <si>
    <t>ANILLO TOROIDAL</t>
  </si>
  <si>
    <t>1609.B02.189-000</t>
  </si>
  <si>
    <t>1609.B02.190-000</t>
  </si>
  <si>
    <t>TORNILLO PARA CHAPA</t>
  </si>
  <si>
    <t>1609.B02.191-000</t>
  </si>
  <si>
    <t>1609.B02.192-000</t>
  </si>
  <si>
    <t>TORNILLO 1M23.6</t>
  </si>
  <si>
    <t>1609.B02.302-000</t>
  </si>
  <si>
    <t>1609.B02.303-000</t>
  </si>
  <si>
    <t>1609.B02.304-000</t>
  </si>
  <si>
    <t>1609.B02.305-000</t>
  </si>
  <si>
    <t>1609.B02.307-000</t>
  </si>
  <si>
    <t>1609.B02.309-000</t>
  </si>
  <si>
    <t>1609.B02.310-000</t>
  </si>
  <si>
    <t>1609.B02.314-000</t>
  </si>
  <si>
    <t>CARBONES 1B23</t>
  </si>
  <si>
    <t>1609.B02.316-000</t>
  </si>
  <si>
    <t>1609.B02.351-000</t>
  </si>
  <si>
    <t>1609.B02.352-000</t>
  </si>
  <si>
    <t>1609.B02.355-000</t>
  </si>
  <si>
    <t>1609.B02.356-000</t>
  </si>
  <si>
    <t>1609.B02.357-000</t>
  </si>
  <si>
    <t>ORNILLO 1B370</t>
  </si>
  <si>
    <t>1609.B02.358-000</t>
  </si>
  <si>
    <t>1609.B02.359-000</t>
  </si>
  <si>
    <t>PLACA DE DESGASTE 1B23</t>
  </si>
  <si>
    <t>1609.B02.362-000</t>
  </si>
  <si>
    <t>BASE 1M37.1</t>
  </si>
  <si>
    <t>1609.B02.363-000</t>
  </si>
  <si>
    <t>GUARDIA</t>
  </si>
  <si>
    <t>1609.B02.365-000</t>
  </si>
  <si>
    <t>PLACA RESPALDO</t>
  </si>
  <si>
    <t>1609.B02.367-000</t>
  </si>
  <si>
    <t>SOPORTE-PIE</t>
  </si>
  <si>
    <t>1609.B02.368-000</t>
  </si>
  <si>
    <t>ESCALA 1B23</t>
  </si>
  <si>
    <t>1609.B02.371-000</t>
  </si>
  <si>
    <t>ENGANCHE</t>
  </si>
  <si>
    <t>1609.B02.375-000</t>
  </si>
  <si>
    <t>PLACA DE APOYO</t>
  </si>
  <si>
    <t>1609.B02.377-000</t>
  </si>
  <si>
    <t>BOTON</t>
  </si>
  <si>
    <t>1609.B02.380-000</t>
  </si>
  <si>
    <t>ASA DE TRANSPORTE</t>
  </si>
  <si>
    <t>1609.B02.381-000</t>
  </si>
  <si>
    <t>BANDEJA MOLDEADA</t>
  </si>
  <si>
    <t>1609.B02.383-000</t>
  </si>
  <si>
    <t>EJE DE PALANCA DE MANDO</t>
  </si>
  <si>
    <t>1609.B02.384-000</t>
  </si>
  <si>
    <t>1609.B02.391-000</t>
  </si>
  <si>
    <t>CAJA DE TERMINALES</t>
  </si>
  <si>
    <t>1609.B02.392-000</t>
  </si>
  <si>
    <t>1609.B02.395-000</t>
  </si>
  <si>
    <t>CHAPA DE APOYO 1M37.1</t>
  </si>
  <si>
    <t>1609.B02.396-000</t>
  </si>
  <si>
    <t>MANGO SUPERIOR 1B23</t>
  </si>
  <si>
    <t>1609.B02.397-000</t>
  </si>
  <si>
    <t>MANGO INFERIOR 1B23</t>
  </si>
  <si>
    <t>1609.B02.399-000</t>
  </si>
  <si>
    <t>DISPARADOR</t>
  </si>
  <si>
    <t>1609.B02.405-000</t>
  </si>
  <si>
    <t>CONDENSADOR ANTIPARASIT.</t>
  </si>
  <si>
    <t>1609.B02.406-000</t>
  </si>
  <si>
    <t>CONECTOR FLI</t>
  </si>
  <si>
    <t>1609.B02.408-000</t>
  </si>
  <si>
    <t>SUJETACABLES</t>
  </si>
  <si>
    <t>1609.B02.411-000</t>
  </si>
  <si>
    <t>1609.B02.412-000</t>
  </si>
  <si>
    <t>1609.B02.415-000</t>
  </si>
  <si>
    <t>BOQUILLA DE CABLE DE PASO</t>
  </si>
  <si>
    <t>1609.B02.416-000</t>
  </si>
  <si>
    <t>1609.B02.423-000</t>
  </si>
  <si>
    <t>Soporte de jamba</t>
  </si>
  <si>
    <t>1609.B02.425-000</t>
  </si>
  <si>
    <t>CUBIERTA DE PROTECCION 1M23.6</t>
  </si>
  <si>
    <t>1609.B02.426-000</t>
  </si>
  <si>
    <t>COBERTURA DE PROTECCIÓN</t>
  </si>
  <si>
    <t>1609.B02.427-000</t>
  </si>
  <si>
    <t>1609.B02.428-000</t>
  </si>
  <si>
    <t>CLAVIJA DE DERIVACION</t>
  </si>
  <si>
    <t>1609.B02.429-000</t>
  </si>
  <si>
    <t>1609.B02.430-000</t>
  </si>
  <si>
    <t>1609.B02.431-000</t>
  </si>
  <si>
    <t>UNIDAD TAPA</t>
  </si>
  <si>
    <t>1609.B02.432-000</t>
  </si>
  <si>
    <t>MANGA DE COBERTURA</t>
  </si>
  <si>
    <t>1609.B02.433-000</t>
  </si>
  <si>
    <t>1609.B02.434-000</t>
  </si>
  <si>
    <t>PLACA DE SOPORTE</t>
  </si>
  <si>
    <t>1609.B02.437-000</t>
  </si>
  <si>
    <t>1609.B02.438-000</t>
  </si>
  <si>
    <t>LAVADORA ARANDELA</t>
  </si>
  <si>
    <t>1609.B02.439-000</t>
  </si>
  <si>
    <t>LÁSER 1M23.6</t>
  </si>
  <si>
    <t>1609.B02.440-000</t>
  </si>
  <si>
    <t>LASER</t>
  </si>
  <si>
    <t>1609.B02.465-000</t>
  </si>
  <si>
    <t>1609.B02.467-000</t>
  </si>
  <si>
    <t>1609.B02.468-000</t>
  </si>
  <si>
    <t>Tuerca De Martillo</t>
  </si>
  <si>
    <t>1609.B02.478-000</t>
  </si>
  <si>
    <t>REVESTIMIENTO PROTECT 1M37.1</t>
  </si>
  <si>
    <t>1609.B02.482-000</t>
  </si>
  <si>
    <t>TAPA DEL CUERPO 1M23.6</t>
  </si>
  <si>
    <t>1609.B02.484-000</t>
  </si>
  <si>
    <t>EXPANSION POLAR 220V 1M23.6</t>
  </si>
  <si>
    <t>1609.B02.490-000</t>
  </si>
  <si>
    <t>LLAVE DE VASO</t>
  </si>
  <si>
    <t>1609.B02.497-000</t>
  </si>
  <si>
    <t>TAPA PROTECTORA VIRABLE 1M37.1</t>
  </si>
  <si>
    <t>1609.B02.499-000</t>
  </si>
  <si>
    <t>PALANCA DE CIERRE</t>
  </si>
  <si>
    <t>1609.B02.552-000</t>
  </si>
  <si>
    <t>1609.B02.562-000</t>
  </si>
  <si>
    <t>APARATO DE ALIMENTACION 1M23.6</t>
  </si>
  <si>
    <t>1609.B02.572-000</t>
  </si>
  <si>
    <t>SOPORTE DE CABLE</t>
  </si>
  <si>
    <t>1609.B02.574-000</t>
  </si>
  <si>
    <t>1609.B02.581-000</t>
  </si>
  <si>
    <t>1609.B02.583-000</t>
  </si>
  <si>
    <t>1609.B02.585-000</t>
  </si>
  <si>
    <t>PRENSA DE TORNILLO 1B23 Rx1609B06203</t>
  </si>
  <si>
    <t>1609.B02.590-000</t>
  </si>
  <si>
    <t>INDUCIDO 220-240V 1M23.6</t>
  </si>
  <si>
    <t>1609.B02.591-000</t>
  </si>
  <si>
    <t>1609.B02.592-000</t>
  </si>
  <si>
    <t>SOPORTE DEL COJINETE 1M23.6</t>
  </si>
  <si>
    <t>1609.B02.593-000</t>
  </si>
  <si>
    <t>TECLA</t>
  </si>
  <si>
    <t>1609.B02.594-000</t>
  </si>
  <si>
    <t>BRAZO 1M23.6</t>
  </si>
  <si>
    <t>1609.B02.595-000</t>
  </si>
  <si>
    <t>BOLSA DE POLVO 1B23</t>
  </si>
  <si>
    <t>1609.B02.597-000</t>
  </si>
  <si>
    <t>1609.B02.598-000</t>
  </si>
  <si>
    <t>1609.B02.751-000</t>
  </si>
  <si>
    <t>1609.B02.941-000</t>
  </si>
  <si>
    <t>1609.B02.953-000</t>
  </si>
  <si>
    <t>1609.B02.958-000</t>
  </si>
  <si>
    <t>1609.B02.964-000</t>
  </si>
  <si>
    <t>ANTECEDENTES COMPLEMENTARIOS</t>
  </si>
  <si>
    <t>1609.B02.965-000</t>
  </si>
  <si>
    <t>1609.B02.966-000</t>
  </si>
  <si>
    <t>1609.B02.967-000</t>
  </si>
  <si>
    <t>1609.B02.968-000</t>
  </si>
  <si>
    <t>PUÑETAZO</t>
  </si>
  <si>
    <t>1609.B02.970-000</t>
  </si>
  <si>
    <t>BIEN</t>
  </si>
  <si>
    <t>1609.B02.973-000</t>
  </si>
  <si>
    <t>1609.B02.974-000</t>
  </si>
  <si>
    <t>1609.B02.986-000</t>
  </si>
  <si>
    <t>1609.B02.987-000</t>
  </si>
  <si>
    <t>1609.B02.988-000</t>
  </si>
  <si>
    <t>1609.B02.991-000</t>
  </si>
  <si>
    <t>1609.B02.995-000</t>
  </si>
  <si>
    <t>TAPA DE LA CARCASA</t>
  </si>
  <si>
    <t>1609.B02.997-000</t>
  </si>
  <si>
    <t>BRAZO</t>
  </si>
  <si>
    <t>1609.B02.998-000</t>
  </si>
  <si>
    <t>CONDENSADOR SUPRESOR</t>
  </si>
  <si>
    <t>1609.B02.999-000</t>
  </si>
  <si>
    <t>CORDEL</t>
  </si>
  <si>
    <t>1609.B03.179-000</t>
  </si>
  <si>
    <t>1609.B03.361-000</t>
  </si>
  <si>
    <t>1609.B03.500-000</t>
  </si>
  <si>
    <t>BASE 1M17</t>
  </si>
  <si>
    <t>1609.B03.501-000</t>
  </si>
  <si>
    <t>BRAZO 1B17</t>
  </si>
  <si>
    <t>1609.B03.502-000</t>
  </si>
  <si>
    <t>SOPORTE-PIE 1M17</t>
  </si>
  <si>
    <t>1609.B03.503-000</t>
  </si>
  <si>
    <t>ARBOL SOPORTE 1M17</t>
  </si>
  <si>
    <t>1609.B03.505-000</t>
  </si>
  <si>
    <t>INDUCIDO 1B17</t>
  </si>
  <si>
    <t>1609.B03.506-000</t>
  </si>
  <si>
    <t>COJINETE 1M17.5</t>
  </si>
  <si>
    <t>1609.B03.513-000</t>
  </si>
  <si>
    <t>ARANDELA 1B370</t>
  </si>
  <si>
    <t>1609.B03.516-000</t>
  </si>
  <si>
    <t>PROTECCION CONTRA CONTACT 1M17</t>
  </si>
  <si>
    <t>1609.B03.517-000</t>
  </si>
  <si>
    <t>1609.B03.518-000</t>
  </si>
  <si>
    <t>BRIDA 1M17</t>
  </si>
  <si>
    <t>1609.B03.519-000</t>
  </si>
  <si>
    <t>LLAVE DE AJUSTE 1M17.5</t>
  </si>
  <si>
    <t>1609.B03.520-000</t>
  </si>
  <si>
    <t>BRIDA DE APRIETE 1M17</t>
  </si>
  <si>
    <t>1609.B03.522-000</t>
  </si>
  <si>
    <t>TORNILLO DE APRIETE 1M17</t>
  </si>
  <si>
    <t>1609.B03.523-000</t>
  </si>
  <si>
    <t>MANETA 1M17</t>
  </si>
  <si>
    <t>1609.B03.524-000</t>
  </si>
  <si>
    <t>CUBIERTA 1M17</t>
  </si>
  <si>
    <t>1609.B03.525-000</t>
  </si>
  <si>
    <t>REVESTIMIENTO PROTECT 1M17</t>
  </si>
  <si>
    <t>1609.B03.526-000</t>
  </si>
  <si>
    <t>VARA DE ENLACE 1M17</t>
  </si>
  <si>
    <t>1609.B03.528-000</t>
  </si>
  <si>
    <t>CADENA 1M17</t>
  </si>
  <si>
    <t>1609.B03.529-000</t>
  </si>
  <si>
    <t>CLAVIJA DE CIERRE 1M17</t>
  </si>
  <si>
    <t>1609.B03.530-000</t>
  </si>
  <si>
    <t>CAPERUZA FINAL 1B17</t>
  </si>
  <si>
    <t>1609.B03.532-000</t>
  </si>
  <si>
    <t>ESCUADRA DE TOPE 1M17</t>
  </si>
  <si>
    <t>1609.B03.533-000</t>
  </si>
  <si>
    <t>SOPORTE DEL COJINETE 1M17.5</t>
  </si>
  <si>
    <t>1609.B03.535-000</t>
  </si>
  <si>
    <t>TORNILLO CABEZA MARIPOSA 1M17 S/R</t>
  </si>
  <si>
    <t>1609.B03.544-000</t>
  </si>
  <si>
    <t>ARO DEFLECTOR DE AIRE 1M17</t>
  </si>
  <si>
    <t>1609.B03.566-000</t>
  </si>
  <si>
    <t>INDUCIDO 220-240V 1M17.5</t>
  </si>
  <si>
    <t>1609.B03.576-000</t>
  </si>
  <si>
    <t>PIEDRA DE APRIETE 1B370</t>
  </si>
  <si>
    <t>1609.B03.590-000</t>
  </si>
  <si>
    <t>BASE 1B370</t>
  </si>
  <si>
    <t>1609.B03.591-000</t>
  </si>
  <si>
    <t>BRAZO 1B370</t>
  </si>
  <si>
    <t>1609.B03.592-000</t>
  </si>
  <si>
    <t>BRIDA 1B370</t>
  </si>
  <si>
    <t>1609.B03.594-000</t>
  </si>
  <si>
    <t>SOPORTE-PIE 1B370</t>
  </si>
  <si>
    <t>1609.B03.598-000</t>
  </si>
  <si>
    <t>TORNILLO DE APRIETE 1B370</t>
  </si>
  <si>
    <t>1609.B03.600-000</t>
  </si>
  <si>
    <t>CARCASA DEL MOTOR 12A7</t>
  </si>
  <si>
    <t>1609.B03.601-000</t>
  </si>
  <si>
    <t>CARCASA DEL MOTOR 1M37.1</t>
  </si>
  <si>
    <t>1609.B03.602-000</t>
  </si>
  <si>
    <t>TAPA ESCOBILLAS 1B370</t>
  </si>
  <si>
    <t>1609.B03.604-000</t>
  </si>
  <si>
    <t>ARO DEFLECTOR DE AIRE 1B370</t>
  </si>
  <si>
    <t>1609.B03.605-000</t>
  </si>
  <si>
    <t>REVESTIMIENTO PROTECT 1B370</t>
  </si>
  <si>
    <t>1609.B03.607-000</t>
  </si>
  <si>
    <t>PROTECCION CONTRA CONTACT</t>
  </si>
  <si>
    <t>1609.B03.608-000</t>
  </si>
  <si>
    <t>TAPA PROTECTORA VIRABLE 1B370</t>
  </si>
  <si>
    <t>1609.B03.610-000</t>
  </si>
  <si>
    <t>CLAVIJA DE CIERRE 1B370</t>
  </si>
  <si>
    <t>1609.B03.612-000</t>
  </si>
  <si>
    <t>TAPA DEL ENGRANAJE 1B370</t>
  </si>
  <si>
    <t>1609.B03.614-000</t>
  </si>
  <si>
    <t>MANGO 1B370 Rx 1609B01785</t>
  </si>
  <si>
    <t>1609.B03.615-000</t>
  </si>
  <si>
    <t>OJETE PROTECTOR 1M37.1</t>
  </si>
  <si>
    <t>1609.B03.616-000</t>
  </si>
  <si>
    <t>CLIP DE APARATO 1B370</t>
  </si>
  <si>
    <t>1609.B03.617-000</t>
  </si>
  <si>
    <t>PORTALLAVE 1B370</t>
  </si>
  <si>
    <t>1609.B03.618-000</t>
  </si>
  <si>
    <t>ARBOL SOPORTE 1B370</t>
  </si>
  <si>
    <t>1609.B03.619-000</t>
  </si>
  <si>
    <t>MUELLE DE COMPRESION 1B370</t>
  </si>
  <si>
    <t>1609.B03.622-000</t>
  </si>
  <si>
    <t>LLAVE EXAGONAL DE TUBO 1B370</t>
  </si>
  <si>
    <t>1609.B03.623-000</t>
  </si>
  <si>
    <t>EJE 1B370</t>
  </si>
  <si>
    <t>1609.B03.624-000</t>
  </si>
  <si>
    <t>CAPERUZA 1B370</t>
  </si>
  <si>
    <t>1609.B03.625-000</t>
  </si>
  <si>
    <t>ARANDELA PLANA 1B370</t>
  </si>
  <si>
    <t>1609.B03.626-000</t>
  </si>
  <si>
    <t>ALOJAMIENTO DE SUJECIÓN 1B370</t>
  </si>
  <si>
    <t>1609.B03.627-000</t>
  </si>
  <si>
    <t>Tapa Escobillas</t>
  </si>
  <si>
    <t>1609.B03.628-000</t>
  </si>
  <si>
    <t>1609.B03.629-000</t>
  </si>
  <si>
    <t>TORNILLO CON ARANDELA 1B370</t>
  </si>
  <si>
    <t>1609.B03.630-000</t>
  </si>
  <si>
    <t>1609.B03.631-000</t>
  </si>
  <si>
    <t>CUBIERTA 1B370</t>
  </si>
  <si>
    <t>1609.B03.637-000</t>
  </si>
  <si>
    <t>TORNILLO 12A7 RX 1609B01483</t>
  </si>
  <si>
    <t>1609.B03.638-000</t>
  </si>
  <si>
    <t>CONJUNTO INDUCIDO 220-240V 1B370</t>
  </si>
  <si>
    <t>1609.B03.639-000</t>
  </si>
  <si>
    <t>CONJUNTO INDUZIDO 220-240V 1M37.1</t>
  </si>
  <si>
    <t>1609.B03.640-000</t>
  </si>
  <si>
    <t>JUEGO RUEDAS DE ENGRANAJE 1B370</t>
  </si>
  <si>
    <t>1609.B03.641-000</t>
  </si>
  <si>
    <t>TORNILLO DE RESALTO 1B370</t>
  </si>
  <si>
    <t>1609.B03.642-000</t>
  </si>
  <si>
    <t>CHAPA DE APOYO 1B370</t>
  </si>
  <si>
    <t>1609.B03.644-000</t>
  </si>
  <si>
    <t>1609.B03.645-000</t>
  </si>
  <si>
    <t>HOJAS DE AVISO 1B370</t>
  </si>
  <si>
    <t>1609.B03.667-000</t>
  </si>
  <si>
    <t>SOPORTE DE TOPE 1B370</t>
  </si>
  <si>
    <t>1609.B03.674-000</t>
  </si>
  <si>
    <t>BRIDA DE APRIETE 1B370</t>
  </si>
  <si>
    <t>1609.B03.675-000</t>
  </si>
  <si>
    <t>BIELA 1B370</t>
  </si>
  <si>
    <t>1609.B03.686-000</t>
  </si>
  <si>
    <t>1609.B03.691-000</t>
  </si>
  <si>
    <t>INTERRUPTOR 12A7</t>
  </si>
  <si>
    <t>1609.B03.776-000</t>
  </si>
  <si>
    <t>Perno De Tope</t>
  </si>
  <si>
    <t>1609.B03.777-000</t>
  </si>
  <si>
    <t>1609.B03.829-000</t>
  </si>
  <si>
    <t>Arandela Especial</t>
  </si>
  <si>
    <t>1609.B03.863-000</t>
  </si>
  <si>
    <t>Limpiador De Polvo</t>
  </si>
  <si>
    <t>1609.B03.874-000</t>
  </si>
  <si>
    <t>1609.B03.886-000</t>
  </si>
  <si>
    <t>1609.B03.891-000</t>
  </si>
  <si>
    <t>Atornilladora Adaptable</t>
  </si>
  <si>
    <t>1609.B03.913-000</t>
  </si>
  <si>
    <t>Arandela Interior</t>
  </si>
  <si>
    <t>1609.B03.915-000</t>
  </si>
  <si>
    <t>1609.B03.916-000</t>
  </si>
  <si>
    <t>1609.B03.923-000</t>
  </si>
  <si>
    <t>Tornillo De Retencion</t>
  </si>
  <si>
    <t>1609.B03.929-000</t>
  </si>
  <si>
    <t>Tornillo De Regulación</t>
  </si>
  <si>
    <t>1609.B03.937-000</t>
  </si>
  <si>
    <t>1609.B03.944-000</t>
  </si>
  <si>
    <t>Tapa Del Engranaje</t>
  </si>
  <si>
    <t>1609.B03.947-000</t>
  </si>
  <si>
    <t>1609.B03.948-000</t>
  </si>
  <si>
    <t>Tapa De Cojinete</t>
  </si>
  <si>
    <t>1609.B03.959-000</t>
  </si>
  <si>
    <t>Unidad de prolongación</t>
  </si>
  <si>
    <t>1609.B03.960-000</t>
  </si>
  <si>
    <t>1609.B03.961-000</t>
  </si>
  <si>
    <t>1609.B03.963-000</t>
  </si>
  <si>
    <t>Placa</t>
  </si>
  <si>
    <t>1609.B03.964-000</t>
  </si>
  <si>
    <t>Escuadra De Fijacion</t>
  </si>
  <si>
    <t>1609.B03.965-000</t>
  </si>
  <si>
    <t>Liston De Agarre</t>
  </si>
  <si>
    <t>1609.B03.966-000</t>
  </si>
  <si>
    <t>Curva/Leva</t>
  </si>
  <si>
    <t>1609.B03.967-000</t>
  </si>
  <si>
    <t>Semiarticulacion</t>
  </si>
  <si>
    <t>1609.B03.968-000</t>
  </si>
  <si>
    <t>1609.B03.969-000</t>
  </si>
  <si>
    <t>1609.B03.970-000</t>
  </si>
  <si>
    <t>1609.B03.971-000</t>
  </si>
  <si>
    <t>Vara</t>
  </si>
  <si>
    <t>1609.B03.972-000</t>
  </si>
  <si>
    <t>Chapa De Ballestas</t>
  </si>
  <si>
    <t>1609.B03.973-000</t>
  </si>
  <si>
    <t>1609.B03.974-000</t>
  </si>
  <si>
    <t>Remache De Encastre</t>
  </si>
  <si>
    <t>1609.B03.975-000</t>
  </si>
  <si>
    <t>Tuerca de brida</t>
  </si>
  <si>
    <t>1609.B03.976-000</t>
  </si>
  <si>
    <t>1609.B03.978-000</t>
  </si>
  <si>
    <t>1609.B03.979-000</t>
  </si>
  <si>
    <t>placa frontal</t>
  </si>
  <si>
    <t>1609.B03.981-000</t>
  </si>
  <si>
    <t>1609.B03.983-000</t>
  </si>
  <si>
    <t>1609.B03.984-000</t>
  </si>
  <si>
    <t>Tubo De Envasa</t>
  </si>
  <si>
    <t>1609.B03.985-000</t>
  </si>
  <si>
    <t>Placa Inferior</t>
  </si>
  <si>
    <t>1609.B03.986-000</t>
  </si>
  <si>
    <t>Tapa De La Pata</t>
  </si>
  <si>
    <t>1609.B03.988-000</t>
  </si>
  <si>
    <t>1609.B03.990-000</t>
  </si>
  <si>
    <t>1609.B03.993-000</t>
  </si>
  <si>
    <t>1609.B03.994-000</t>
  </si>
  <si>
    <t>1609.B03.995-000</t>
  </si>
  <si>
    <t>1609.B04.082-000</t>
  </si>
  <si>
    <t>1609.B04.117-000</t>
  </si>
  <si>
    <t>TORNILLO -1B43</t>
  </si>
  <si>
    <t>1609.B04.225-000</t>
  </si>
  <si>
    <t>1609.B04.227-000</t>
  </si>
  <si>
    <t>TUERCA DE AJUSTE</t>
  </si>
  <si>
    <t>1609.B04.278-000</t>
  </si>
  <si>
    <t>Tapa de la carcasa</t>
  </si>
  <si>
    <t>1609.B04.380-000</t>
  </si>
  <si>
    <t>TECHO</t>
  </si>
  <si>
    <t>1609.B04.411-000</t>
  </si>
  <si>
    <t>1609.B04.462-000</t>
  </si>
  <si>
    <t>REGLA DE MEDIA CALLE</t>
  </si>
  <si>
    <t>1609.B04.463-000</t>
  </si>
  <si>
    <t>1609.B04.470-000</t>
  </si>
  <si>
    <t>1609.B04.471-000</t>
  </si>
  <si>
    <t>PLACA DE DESPLAZAMIENTO</t>
  </si>
  <si>
    <t>1609.B04.477-000</t>
  </si>
  <si>
    <t>RESORTE DE LAMINA</t>
  </si>
  <si>
    <t>1609.B04.479-000</t>
  </si>
  <si>
    <t>VARILLA</t>
  </si>
  <si>
    <t>1609.B04.480-000</t>
  </si>
  <si>
    <t>1609.B04.481-000</t>
  </si>
  <si>
    <t>1609.B04.485-000</t>
  </si>
  <si>
    <t>1609.B04.486-000</t>
  </si>
  <si>
    <t>Varillas</t>
  </si>
  <si>
    <t>1609.B04.487-000</t>
  </si>
  <si>
    <t>1609.B04.488-000</t>
  </si>
  <si>
    <t>1609.B04.491-000</t>
  </si>
  <si>
    <t>FUENTE DE ALIMENTACIÓN GCM 12 GDL</t>
  </si>
  <si>
    <t>1609.B04.492-000</t>
  </si>
  <si>
    <t>1609.B04.493-000</t>
  </si>
  <si>
    <t>1609.B04.494-000</t>
  </si>
  <si>
    <t>1609.B04.517-000</t>
  </si>
  <si>
    <t>Carro</t>
  </si>
  <si>
    <t>1609.B04.519-000</t>
  </si>
  <si>
    <t>Perfil De Guia</t>
  </si>
  <si>
    <t>1609.B04.520-000</t>
  </si>
  <si>
    <t>1609.B04.522-000</t>
  </si>
  <si>
    <t>1609.B04.523-000</t>
  </si>
  <si>
    <t>Casquillo</t>
  </si>
  <si>
    <t>1609.B04.524-000</t>
  </si>
  <si>
    <t>1609.B04.525-000</t>
  </si>
  <si>
    <t>Arbol De Accionamiento</t>
  </si>
  <si>
    <t>1609.B04.528-000</t>
  </si>
  <si>
    <t>Manivela</t>
  </si>
  <si>
    <t>1609.B04.529-000</t>
  </si>
  <si>
    <t>Ciguenal</t>
  </si>
  <si>
    <t>1609.B04.530-000</t>
  </si>
  <si>
    <t>manguito de soporte</t>
  </si>
  <si>
    <t>1609.B04.531-000</t>
  </si>
  <si>
    <t>1609.B04.533-000</t>
  </si>
  <si>
    <t>1609.B04.541-000</t>
  </si>
  <si>
    <t>1609.B04.551-000</t>
  </si>
  <si>
    <t>Tapón</t>
  </si>
  <si>
    <t>1609.B04.560-000</t>
  </si>
  <si>
    <t>1609.B04.562-000</t>
  </si>
  <si>
    <t>Varilla Roscada</t>
  </si>
  <si>
    <t>1609.B04.590-000</t>
  </si>
  <si>
    <t>Regleta-Guia</t>
  </si>
  <si>
    <t>1609.B04.626-000</t>
  </si>
  <si>
    <t>1609.B04.725-000</t>
  </si>
  <si>
    <t>1609.B04.809-000</t>
  </si>
  <si>
    <t>EJE DE TRANSMISIÓN -1B43</t>
  </si>
  <si>
    <t>1609.B04.810-000</t>
  </si>
  <si>
    <t>1609.B04.811-000</t>
  </si>
  <si>
    <t>FUSIBLE -1B43</t>
  </si>
  <si>
    <t>1609.B04.838-000</t>
  </si>
  <si>
    <t>RESORTE DE COMPRESIÓN -1B43</t>
  </si>
  <si>
    <t>1609.B04.865-000</t>
  </si>
  <si>
    <t>1609.B04.872-000</t>
  </si>
  <si>
    <t>1609.B04.876-000</t>
  </si>
  <si>
    <t>TORNILLO DE SOPORTE -1B43</t>
  </si>
  <si>
    <t>1609.B04.936-000</t>
  </si>
  <si>
    <t>1609.B04.954-000</t>
  </si>
  <si>
    <t>1609.B04.955-000</t>
  </si>
  <si>
    <t>1609.B04.959-000</t>
  </si>
  <si>
    <t>1609.B05.010-000</t>
  </si>
  <si>
    <t>Bolsa colectora de polvo</t>
  </si>
  <si>
    <t>1609.B05.017-000</t>
  </si>
  <si>
    <t>1609.B05.025-000</t>
  </si>
  <si>
    <t>1609.B05.115-000</t>
  </si>
  <si>
    <t>BOLSA DE PO</t>
  </si>
  <si>
    <t>1609.B05.166-000</t>
  </si>
  <si>
    <t>CORRIENTE -1B43</t>
  </si>
  <si>
    <t>1609.B05.179-000</t>
  </si>
  <si>
    <t>CABLE CONDUCTOR</t>
  </si>
  <si>
    <t>1609.B05.286-000</t>
  </si>
  <si>
    <t>Clip De Aparato</t>
  </si>
  <si>
    <t>1609.B05.390-000</t>
  </si>
  <si>
    <t>Tornillo cilíndrica  hex</t>
  </si>
  <si>
    <t>1609.B05.392-000</t>
  </si>
  <si>
    <t>INTERRUPTOR GCM 12 GDL</t>
  </si>
  <si>
    <t>1609.B05.657-000</t>
  </si>
  <si>
    <t>Unidad De Sujecion</t>
  </si>
  <si>
    <t>1609.B05.713-000</t>
  </si>
  <si>
    <t>1609.B05.715-000</t>
  </si>
  <si>
    <t>Patin</t>
  </si>
  <si>
    <t>1609.B05.720-000</t>
  </si>
  <si>
    <t>1609.B06.200-000</t>
  </si>
  <si>
    <t>1609.B06.203-000</t>
  </si>
  <si>
    <t>PRENSA DE TORNILLO</t>
  </si>
  <si>
    <t>1609.B06.214-000</t>
  </si>
  <si>
    <t>1609.B06.217-000</t>
  </si>
  <si>
    <t>1609.B06.223-000</t>
  </si>
  <si>
    <t>1609.B06.236-000</t>
  </si>
  <si>
    <t>ACORTAR</t>
  </si>
  <si>
    <t>1609.B06.246-000</t>
  </si>
  <si>
    <t>1609.B06.265-000</t>
  </si>
  <si>
    <t>1609.B06.284-000</t>
  </si>
  <si>
    <t>MÓDULO ELECTRÓNICO -1B43</t>
  </si>
  <si>
    <t>1609.B06.287-000</t>
  </si>
  <si>
    <t>CAUCHO -1B43</t>
  </si>
  <si>
    <t>1609.B06.333-000</t>
  </si>
  <si>
    <t>Caja De Distribucion</t>
  </si>
  <si>
    <t>1609.B06.340-000</t>
  </si>
  <si>
    <t>1609.B06.341-000</t>
  </si>
  <si>
    <t>1609.B06.352-000</t>
  </si>
  <si>
    <t>Elem.sujecion de caucho</t>
  </si>
  <si>
    <t>1609.B06.362-000</t>
  </si>
  <si>
    <t>Rueda De Dentado Inclina</t>
  </si>
  <si>
    <t>1609.B06.363-000</t>
  </si>
  <si>
    <t>Aspiracion De Polvo</t>
  </si>
  <si>
    <t>1609.B06.368-000</t>
  </si>
  <si>
    <t>1609.B06.378-000</t>
  </si>
  <si>
    <t>1609.B06.380-000</t>
  </si>
  <si>
    <t>1609.B06.382-000</t>
  </si>
  <si>
    <t>1609.B06.383-000</t>
  </si>
  <si>
    <t>1609.B06.384-000</t>
  </si>
  <si>
    <t>1609.B06.385-000</t>
  </si>
  <si>
    <t>1609.B06.400-000</t>
  </si>
  <si>
    <t>1609.B06.405-000</t>
  </si>
  <si>
    <t>1609.B06.406-000</t>
  </si>
  <si>
    <t>1609.B06.410-000</t>
  </si>
  <si>
    <t>Avance Piezas A Maquin</t>
  </si>
  <si>
    <t>1609.B06.413-000</t>
  </si>
  <si>
    <t>1609.B06.415-000</t>
  </si>
  <si>
    <t>Chapa Fijadora</t>
  </si>
  <si>
    <t>1609.B06.421-000</t>
  </si>
  <si>
    <t>1609.B06.423-000</t>
  </si>
  <si>
    <t>Tope Para Ingletes</t>
  </si>
  <si>
    <t>1609.B06.424-000</t>
  </si>
  <si>
    <t>Juego Piezas De Fijacion</t>
  </si>
  <si>
    <t>1609.B06.426-000</t>
  </si>
  <si>
    <t>TORNILLO AUTORROSCANTE 1B370</t>
  </si>
  <si>
    <t>1609.B06.427-000</t>
  </si>
  <si>
    <t>BLOQUE DE ACOPLAMIENTO 1M37.1</t>
  </si>
  <si>
    <t>1609.B06.429-000</t>
  </si>
  <si>
    <t>Accidente de contacto de Protec</t>
  </si>
  <si>
    <t>1609.B06.431-000</t>
  </si>
  <si>
    <t>CABLE ELÉCTRICO -1B43</t>
  </si>
  <si>
    <t>1609.B06.433-000</t>
  </si>
  <si>
    <t>CUBIERTA DE CAJA -1B43</t>
  </si>
  <si>
    <t>1609.B06.434-000</t>
  </si>
  <si>
    <t>1609.B06.435-000</t>
  </si>
  <si>
    <t>1609.B06.440-000</t>
  </si>
  <si>
    <t>VIVIENDA -1B43</t>
  </si>
  <si>
    <t>1609.B06.441-000</t>
  </si>
  <si>
    <t>1609.B06.443-000</t>
  </si>
  <si>
    <t>Escuadra De Soporte</t>
  </si>
  <si>
    <t>1609.B06.444-000</t>
  </si>
  <si>
    <t>1609.B06.445-000</t>
  </si>
  <si>
    <t>COBERTURA -1B43</t>
  </si>
  <si>
    <t>1609.B06.446-000</t>
  </si>
  <si>
    <t>VÁSTAGO DEL CURSOR -1B43</t>
  </si>
  <si>
    <t>1609.B06.447-000</t>
  </si>
  <si>
    <t>1609.B06.448-000</t>
  </si>
  <si>
    <t>PASADOR DE ACERO -1B43</t>
  </si>
  <si>
    <t>1609.B06.449-000</t>
  </si>
  <si>
    <t>SOPORTE -1B43</t>
  </si>
  <si>
    <t>1609.B06.455-000</t>
  </si>
  <si>
    <t>1609.B06.456-000</t>
  </si>
  <si>
    <t>1609.B06.457-000</t>
  </si>
  <si>
    <t>MUELLE TORCAO -1B43</t>
  </si>
  <si>
    <t>1609.B06.458-000</t>
  </si>
  <si>
    <t>1609.B06.459-000</t>
  </si>
  <si>
    <t>PAQUETE DE ACERO -1B43</t>
  </si>
  <si>
    <t>1609.B06.460-000</t>
  </si>
  <si>
    <t>1609.B06.462-000</t>
  </si>
  <si>
    <t>CUBIERTA DE PROTECCIÓN -1B43</t>
  </si>
  <si>
    <t>1609.B06.464-000</t>
  </si>
  <si>
    <t>Brazo</t>
  </si>
  <si>
    <t>1609.B06.468-000</t>
  </si>
  <si>
    <t>1609.B06.469-000</t>
  </si>
  <si>
    <t>1609.B06.471-000</t>
  </si>
  <si>
    <t>LENTE DE ILUMINACIÓN -1B43</t>
  </si>
  <si>
    <t>1609.B06.474-000</t>
  </si>
  <si>
    <t>CABLE FLEXIBLE -1B43</t>
  </si>
  <si>
    <t>1609.B06.478-000</t>
  </si>
  <si>
    <t>1609.B06.479-000</t>
  </si>
  <si>
    <t>1609.B06.480-000</t>
  </si>
  <si>
    <t>1609.B06.482-000</t>
  </si>
  <si>
    <t>CARCASA DE ENGRANAJES DE PLÁSTICO -1B43</t>
  </si>
  <si>
    <t>1609.B06.483-000</t>
  </si>
  <si>
    <t>1609.B06.486-000</t>
  </si>
  <si>
    <t>1609.B06.487-000</t>
  </si>
  <si>
    <t>CASQUILLO DE COJINETE -1B43</t>
  </si>
  <si>
    <t>1609.B06.545-000</t>
  </si>
  <si>
    <t>TUERCA 1M37.1</t>
  </si>
  <si>
    <t>1609.B06.547-000</t>
  </si>
  <si>
    <t>1609.B06.557-000</t>
  </si>
  <si>
    <t>1609.B06.560-000</t>
  </si>
  <si>
    <t>1609.B06.561-000</t>
  </si>
  <si>
    <t>1609.B06.589-000</t>
  </si>
  <si>
    <t>tornillo de resalto</t>
  </si>
  <si>
    <t>1609.B06.601-000</t>
  </si>
  <si>
    <t>1609.B06.685-000</t>
  </si>
  <si>
    <t>Camisa Del Motor</t>
  </si>
  <si>
    <t>1609.B06.686-000</t>
  </si>
  <si>
    <t>1609.B06.687-000</t>
  </si>
  <si>
    <t>Soporte Horquilla</t>
  </si>
  <si>
    <t>1609.B06.688-000</t>
  </si>
  <si>
    <t>1609.B06.689-000</t>
  </si>
  <si>
    <t>Placa De Sujecion</t>
  </si>
  <si>
    <t>1609.B06.690-000</t>
  </si>
  <si>
    <t>1609.B06.691-000</t>
  </si>
  <si>
    <t>Soporte Tapa Guardapolvo</t>
  </si>
  <si>
    <t>1609.B06.694-000</t>
  </si>
  <si>
    <t>Fuelle</t>
  </si>
  <si>
    <t>1609.B06.697-000</t>
  </si>
  <si>
    <t>1609.B06.698-000</t>
  </si>
  <si>
    <t>1609.B06.699-000</t>
  </si>
  <si>
    <t>1609.B06.702-000</t>
  </si>
  <si>
    <t>1609.B06.704-000</t>
  </si>
  <si>
    <t>Regleta Para Union Por E</t>
  </si>
  <si>
    <t>1609.B06.705-000</t>
  </si>
  <si>
    <t>1609.B06.706-000</t>
  </si>
  <si>
    <t>Portabaterias</t>
  </si>
  <si>
    <t>1609.B06.707-000</t>
  </si>
  <si>
    <t>1609.B06.708-000</t>
  </si>
  <si>
    <t>1609.B06.711-000</t>
  </si>
  <si>
    <t>1609.B06.715-000</t>
  </si>
  <si>
    <t>1609.B06.718-000</t>
  </si>
  <si>
    <t>1609.B06.720-000</t>
  </si>
  <si>
    <t>1609.B06.734-000</t>
  </si>
  <si>
    <t>PLEGABLE -1B43</t>
  </si>
  <si>
    <t>1609.B06.743-000</t>
  </si>
  <si>
    <t>Hojas De Aviso</t>
  </si>
  <si>
    <t>1609.B06.744-000</t>
  </si>
  <si>
    <t>1609.B06.747-000</t>
  </si>
  <si>
    <t>ETIQUETA -1B43</t>
  </si>
  <si>
    <t>1609.B06.753-000</t>
  </si>
  <si>
    <t>módulo láser</t>
  </si>
  <si>
    <t>1609.B06.754-000</t>
  </si>
  <si>
    <t>Caperuza De Cadena</t>
  </si>
  <si>
    <t>1609.B06.755-000</t>
  </si>
  <si>
    <t>Bisagra</t>
  </si>
  <si>
    <t>1609.B06.756-000</t>
  </si>
  <si>
    <t>1609.B06.758-000</t>
  </si>
  <si>
    <t>CASQUILLO DE ACERO -1B43</t>
  </si>
  <si>
    <t>1609.B06.759-000</t>
  </si>
  <si>
    <t>TABLERO DE PAPEL AISLANTE -1B43</t>
  </si>
  <si>
    <t>1609.B06.772-000</t>
  </si>
  <si>
    <t>Camara</t>
  </si>
  <si>
    <t>1609.B06.781-000</t>
  </si>
  <si>
    <t>Parte Superior De Protec</t>
  </si>
  <si>
    <t>1609.B06.785-000</t>
  </si>
  <si>
    <t>1609.B06.801-000</t>
  </si>
  <si>
    <t>1609.B06.802-000</t>
  </si>
  <si>
    <t>1609.B06.807-000</t>
  </si>
  <si>
    <t>1609.B06.808-000</t>
  </si>
  <si>
    <t>1609.B06.809-000</t>
  </si>
  <si>
    <t>1609.B06.921-000</t>
  </si>
  <si>
    <t>JUEGO DE BRIDA</t>
  </si>
  <si>
    <t>1609.BN0.232-000</t>
  </si>
  <si>
    <t>1609.BN0.312-000</t>
  </si>
  <si>
    <t>1609.BN0.407-000</t>
  </si>
  <si>
    <t>1609.BN0.414-000</t>
  </si>
  <si>
    <t>1609.BP7.039-000</t>
  </si>
  <si>
    <t>Tuerca autoblocante</t>
  </si>
  <si>
    <t>1609.BP7.042-000</t>
  </si>
  <si>
    <t>1609.BP7.045-000</t>
  </si>
  <si>
    <t>1609.BP7.059-000</t>
  </si>
  <si>
    <t>LÍNEA DE CONEXIÓN PRINCIPAL</t>
  </si>
  <si>
    <t>1609.BP7.098-000</t>
  </si>
  <si>
    <t>1609.BP7.124-000</t>
  </si>
  <si>
    <t>1609.BP7.137-000</t>
  </si>
  <si>
    <t>1609.BP7.138-000</t>
  </si>
  <si>
    <t>1609.BT4.033-000</t>
  </si>
  <si>
    <t>1610.005.002-000</t>
  </si>
  <si>
    <t>DISCO DE FIELTRO 11230-15X39MM</t>
  </si>
  <si>
    <t>1610.009.007-000</t>
  </si>
  <si>
    <t>DISTANCIADOR 1245.7</t>
  </si>
  <si>
    <t>1610.009.008-000</t>
  </si>
  <si>
    <t>DISTANCIADOR 1130A</t>
  </si>
  <si>
    <t>1610.021.004-000</t>
  </si>
  <si>
    <t>SECCIÓN DE CONEXIÓN</t>
  </si>
  <si>
    <t>1610.021.005-000</t>
  </si>
  <si>
    <t>ROLDANA</t>
  </si>
  <si>
    <t>1610.021.006-000</t>
  </si>
  <si>
    <t>PLACA EXCITACION</t>
  </si>
  <si>
    <t>1610.026.002-000</t>
  </si>
  <si>
    <t>Amortiguador De Goma</t>
  </si>
  <si>
    <t>1610.026.003-000</t>
  </si>
  <si>
    <t>1610.026.004-000</t>
  </si>
  <si>
    <t>AMORTIGUADOR DE GOMA 1B65.0</t>
  </si>
  <si>
    <t>1610.031.005-000</t>
  </si>
  <si>
    <t>ARANDELA 11241.7/11264/11269</t>
  </si>
  <si>
    <t>1610.099.004-000</t>
  </si>
  <si>
    <t>ESTRIBO DE SUJECION 1C37.0</t>
  </si>
  <si>
    <t>1610.099.005-000</t>
  </si>
  <si>
    <t>SUPORTE 11321</t>
  </si>
  <si>
    <t>1610.099.006-000</t>
  </si>
  <si>
    <t>ESTRIBO DE SUJECION 11263</t>
  </si>
  <si>
    <t>1610.099.008-000</t>
  </si>
  <si>
    <t>1610.099.009-000</t>
  </si>
  <si>
    <t>Pieza De Apriete</t>
  </si>
  <si>
    <t>1610.099.013-000</t>
  </si>
  <si>
    <t>PLACA DISTANCIADORA NEGRO 1B3A.0</t>
  </si>
  <si>
    <t>1610.099.018-000</t>
  </si>
  <si>
    <t>PLACA DISTANCIADORA 1B65.0</t>
  </si>
  <si>
    <t>1610.099.019-000</t>
  </si>
  <si>
    <t>1610.100.003-000</t>
  </si>
  <si>
    <t>DISCO 11210.0/11210.5</t>
  </si>
  <si>
    <t>1610.100.007-000</t>
  </si>
  <si>
    <t>ARANDELA DE AJUSTE 11225.7/56.2</t>
  </si>
  <si>
    <t>1610.100.008-000</t>
  </si>
  <si>
    <t>JUNTA 11225.7/56.2</t>
  </si>
  <si>
    <t>1610.100.016-000</t>
  </si>
  <si>
    <t>1610.100.021-000</t>
  </si>
  <si>
    <t>DISCO 1C36.0</t>
  </si>
  <si>
    <t>1610.100.023-000</t>
  </si>
  <si>
    <t>Arandela de acero</t>
  </si>
  <si>
    <t>1610.100.602-000</t>
  </si>
  <si>
    <t>ANILLO COMPENSADOR 3304</t>
  </si>
  <si>
    <t>1610.100.604-000</t>
  </si>
  <si>
    <t>ARANDELA 3245</t>
  </si>
  <si>
    <t>1610.100.605-000</t>
  </si>
  <si>
    <t>1610.100.608-000</t>
  </si>
  <si>
    <t>ARANDELAS 3245</t>
  </si>
  <si>
    <t>1610.100.612-000</t>
  </si>
  <si>
    <t>DISCO-SOPORTE  11239.7</t>
  </si>
  <si>
    <t>1610.101.008-000</t>
  </si>
  <si>
    <t>ARANDELA 11309/313/230</t>
  </si>
  <si>
    <t>1610.101.011-000</t>
  </si>
  <si>
    <t>ARANDELA DE AJUSTE 1,2 MM GROSOR 12A0</t>
  </si>
  <si>
    <t>1610.101.014-000</t>
  </si>
  <si>
    <t>ARANDELA 11214/216/230</t>
  </si>
  <si>
    <t>1610.101.015-000</t>
  </si>
  <si>
    <t>Ajuste de lavadora o Calco</t>
  </si>
  <si>
    <t>1610.101.018-000</t>
  </si>
  <si>
    <t>DISCO 11250.7</t>
  </si>
  <si>
    <t>1610.101.020-000</t>
  </si>
  <si>
    <t>1610.101.023-000</t>
  </si>
  <si>
    <t>ARANDELA DE APOYO 1B66.0/1C36.0</t>
  </si>
  <si>
    <t>1610.101.024-000</t>
  </si>
  <si>
    <t>ARANDELA DE TOPE 1C36.0</t>
  </si>
  <si>
    <t>1610.101.603-000</t>
  </si>
  <si>
    <t>ARANDELA AJUSTE\0,2 MM\GROSOR 7352.1</t>
  </si>
  <si>
    <t>1610.101.607-000</t>
  </si>
  <si>
    <t>ARO DE APOYO 11206</t>
  </si>
  <si>
    <t>1610.101.608-000</t>
  </si>
  <si>
    <t>ARO DE APOYO 11311/16</t>
  </si>
  <si>
    <t>1610.101.609-000</t>
  </si>
  <si>
    <t>ARANDELA 11206 - DISCONTINUADO</t>
  </si>
  <si>
    <t>1610.101.616-000</t>
  </si>
  <si>
    <t>ARANDELA DE AJUSTE 11231</t>
  </si>
  <si>
    <t>1610.101.617-000</t>
  </si>
  <si>
    <t>ARANDELA 11214</t>
  </si>
  <si>
    <t>1610.101.618-000</t>
  </si>
  <si>
    <t>1610.101.621-000</t>
  </si>
  <si>
    <t>1610.101.622-000</t>
  </si>
  <si>
    <t>ARANDELA 11230</t>
  </si>
  <si>
    <t>1610.101.626-000</t>
  </si>
  <si>
    <t>1610.101.627-000</t>
  </si>
  <si>
    <t>ARANDELA APOYO 11236</t>
  </si>
  <si>
    <t>1610.101.629-000</t>
  </si>
  <si>
    <t>DISCO GUÍA</t>
  </si>
  <si>
    <t>1610.102.010-000</t>
  </si>
  <si>
    <t>ARANDELA 11304</t>
  </si>
  <si>
    <t>1610.102.013-000</t>
  </si>
  <si>
    <t>ARANDELA 11305</t>
  </si>
  <si>
    <t>1610.102.017-000</t>
  </si>
  <si>
    <t>1610.102.022-000</t>
  </si>
  <si>
    <t>ARANDELA 11210.0  7557.5</t>
  </si>
  <si>
    <t>1610.102.025-000</t>
  </si>
  <si>
    <t>1610.102.026-000</t>
  </si>
  <si>
    <t>ANILLO 11226-18-36-28</t>
  </si>
  <si>
    <t>1610.102.029-000</t>
  </si>
  <si>
    <t>1610.102.030-000</t>
  </si>
  <si>
    <t>DISCO SOPORTE 3304 11256.2</t>
  </si>
  <si>
    <t>1610.102.032-000</t>
  </si>
  <si>
    <t>ARANDELA DE APOYO 2,0 MM GROSOR 1245.7</t>
  </si>
  <si>
    <t>1610.102.036-000</t>
  </si>
  <si>
    <t>ARANDELA DE AJUSTE 0,2 MM GROSOR 1245.7</t>
  </si>
  <si>
    <t>1610.102.037-000</t>
  </si>
  <si>
    <t>ARANDELA 11223-Discontinuado</t>
  </si>
  <si>
    <t>1610.102.045-000</t>
  </si>
  <si>
    <t>ARANDELA DE FRICCIÓN 1MM GROSOR 1J04.0</t>
  </si>
  <si>
    <t>1610.102.046-000</t>
  </si>
  <si>
    <t>ARANDELA DE AJUSTE 11235-Discont.</t>
  </si>
  <si>
    <t>1610.102.047-000</t>
  </si>
  <si>
    <t>DISCO SOPORTE 11235/11263</t>
  </si>
  <si>
    <t>1610.102.048-000</t>
  </si>
  <si>
    <t>ARAND DE AJUSTE\0,30 MM\GROSOR 11235/263</t>
  </si>
  <si>
    <t>1610.102.049-000</t>
  </si>
  <si>
    <t>ARAN DE AJUSTE \0,45 MM\GROSOR 11235/263</t>
  </si>
  <si>
    <t>1610.102.051-000</t>
  </si>
  <si>
    <t>ARANDELA DE AJUSTE  11239.7</t>
  </si>
  <si>
    <t>1610.102.052-000</t>
  </si>
  <si>
    <t>1610.102.053-000</t>
  </si>
  <si>
    <t>ARANDELA DE AJUSTE 11239.7</t>
  </si>
  <si>
    <t>1610.102.054-000</t>
  </si>
  <si>
    <t>DISCO-SOPORTE 11318.7/11321</t>
  </si>
  <si>
    <t>1610.102.056-000</t>
  </si>
  <si>
    <t>1610.102.057-000</t>
  </si>
  <si>
    <t>1610.102.058-000</t>
  </si>
  <si>
    <t>1610.102.059-000</t>
  </si>
  <si>
    <t>DISCO-SOPORTE 11241.7/11264/11269</t>
  </si>
  <si>
    <t>1610.102.072-000</t>
  </si>
  <si>
    <t>1610.102.073-000</t>
  </si>
  <si>
    <t>ARANDELA DE FRICCION</t>
  </si>
  <si>
    <t>1610.102.079-000</t>
  </si>
  <si>
    <t>ARANDELA DE AJUSTE 0,8 MM GROSOR</t>
  </si>
  <si>
    <t>1610.102.080-000</t>
  </si>
  <si>
    <t>1610.102.081-000</t>
  </si>
  <si>
    <t>1610.102.082-000</t>
  </si>
  <si>
    <t>ARANDELAAJUSTE 11231/1123A RX 1610102089</t>
  </si>
  <si>
    <t>1610.102.084-000</t>
  </si>
  <si>
    <t>ANILLO DE TOPE 1B3A.0</t>
  </si>
  <si>
    <t>1610.102.086-000</t>
  </si>
  <si>
    <t>ARANDELA DE AJUSTE 0,3MM 1B3A.0</t>
  </si>
  <si>
    <t>1610.102.087-000</t>
  </si>
  <si>
    <t>1610.102.089-000</t>
  </si>
  <si>
    <t>Arandela De Fricción</t>
  </si>
  <si>
    <t>1610.102.090-000</t>
  </si>
  <si>
    <t>ARANDELA DE AJUSTE 0,45MM 1B3A.0</t>
  </si>
  <si>
    <t>1610.102.092-000</t>
  </si>
  <si>
    <t>DISCO DE PISTA</t>
  </si>
  <si>
    <t>1610.102.094-000</t>
  </si>
  <si>
    <t>ARANDELA DE APOYO 1130A</t>
  </si>
  <si>
    <t>1610.102.095-000</t>
  </si>
  <si>
    <t>Lavadora de compensación</t>
  </si>
  <si>
    <t>1610.102.096-000</t>
  </si>
  <si>
    <t>1610.102.614-000</t>
  </si>
  <si>
    <t>ARANDELA 11206</t>
  </si>
  <si>
    <t>1610.102.615-000</t>
  </si>
  <si>
    <t>ARANDELA 11206 - Discontinuar</t>
  </si>
  <si>
    <t>1610.102.616-000</t>
  </si>
  <si>
    <t>ARANDELA 11304/1130A</t>
  </si>
  <si>
    <t>1610.102.617-000</t>
  </si>
  <si>
    <t>1610.102.618-000</t>
  </si>
  <si>
    <t>ARANDELA 11210.0</t>
  </si>
  <si>
    <t>1610.102.622-000</t>
  </si>
  <si>
    <t>ARANDELA 11216//230</t>
  </si>
  <si>
    <t>1610.102.623-000</t>
  </si>
  <si>
    <t>ARANDELA APOYO 11231</t>
  </si>
  <si>
    <t>1610.102.627-000</t>
  </si>
  <si>
    <t>ARANDELA AJUSTE 11230 OBSOLETO</t>
  </si>
  <si>
    <t>1610.102.630-000</t>
  </si>
  <si>
    <t>ARANDELA APOYO 11231 obsoleto</t>
  </si>
  <si>
    <t>1610.102.634-000</t>
  </si>
  <si>
    <t>1610.102.635-000</t>
  </si>
  <si>
    <t>ARANDELA DE APOYO 11335</t>
  </si>
  <si>
    <t>1610.102.637-000</t>
  </si>
  <si>
    <t>ARANDELA DE AJUSTE 11904</t>
  </si>
  <si>
    <t>1610.102.638-000</t>
  </si>
  <si>
    <t>ARANDELA DE FRICCIÓN 1B67.3</t>
  </si>
  <si>
    <t>1610.103.019-000</t>
  </si>
  <si>
    <t>ARANDELA DE TOPE 11231</t>
  </si>
  <si>
    <t>1610.103.021-000</t>
  </si>
  <si>
    <t>ARANDELA DE APOYO 11235/11263</t>
  </si>
  <si>
    <t>1610.103.025-000</t>
  </si>
  <si>
    <t>Disco de apoyo</t>
  </si>
  <si>
    <t>1610.103.026-000</t>
  </si>
  <si>
    <t>JGO.PIEZAS DESGASTE 11265 RX 1600A004E60</t>
  </si>
  <si>
    <t>1610.103.027-000</t>
  </si>
  <si>
    <t>ARANDELA DE APOYO 11265 RX 1600220029000</t>
  </si>
  <si>
    <t>1610.108.012-000</t>
  </si>
  <si>
    <t>JUNTA 11305</t>
  </si>
  <si>
    <t>1610.108.013-000</t>
  </si>
  <si>
    <t>1610.108.014-000</t>
  </si>
  <si>
    <t>TOPE  11214/231</t>
  </si>
  <si>
    <t>1610.108.020-000</t>
  </si>
  <si>
    <t>FIELTRO 11311        RA015/017</t>
  </si>
  <si>
    <t>1610.108.021-000</t>
  </si>
  <si>
    <t>ANILLO DE FIELTRO 11313 - DISCONTINUADO</t>
  </si>
  <si>
    <t>1610.109.017-000</t>
  </si>
  <si>
    <t>JUNTA 11231.7 obsoleto</t>
  </si>
  <si>
    <t>1610.109.019-000</t>
  </si>
  <si>
    <t>ARANDELA DE CAUCHO 1B3A.0</t>
  </si>
  <si>
    <t>1610.113.005-000</t>
  </si>
  <si>
    <t>ARANDELA AISLANTE 11305</t>
  </si>
  <si>
    <t>1610.113.012-000</t>
  </si>
  <si>
    <t>ARANDELA 11321</t>
  </si>
  <si>
    <t>1610.114.015-000</t>
  </si>
  <si>
    <t>PLACA DE TOPE 11305</t>
  </si>
  <si>
    <t>1610.114.020-000</t>
  </si>
  <si>
    <t>ARANDELA DE APOYO 1245.7</t>
  </si>
  <si>
    <t>1610.115.001-000</t>
  </si>
  <si>
    <t>MANGUITO 11241.7 Rx.1619P10303</t>
  </si>
  <si>
    <t>1610.116.003-000</t>
  </si>
  <si>
    <t>ANILLO DE SEGURIDAD 11216/230 OBSOLETO</t>
  </si>
  <si>
    <t>1610.116.004-000</t>
  </si>
  <si>
    <t>ANILLO SEGURIDAD 11214/16/30/1</t>
  </si>
  <si>
    <t>1610.116.007-000</t>
  </si>
  <si>
    <t>CASQUILLO-TOPE 11264</t>
  </si>
  <si>
    <t>1610.119.004-000</t>
  </si>
  <si>
    <t>ANILLO RX 2916660023 - DISCONTINUADO</t>
  </si>
  <si>
    <t>1610.119.007-000</t>
  </si>
  <si>
    <t>1610.119.008-000</t>
  </si>
  <si>
    <t>ANILLO SEGURIDAD 11216/230</t>
  </si>
  <si>
    <t>1610.119.009-000</t>
  </si>
  <si>
    <t>ANILLO DE MUELLE 11236</t>
  </si>
  <si>
    <t>1610.119.010-000</t>
  </si>
  <si>
    <t>SEGURO 11311/16</t>
  </si>
  <si>
    <t>1610.119.011-000</t>
  </si>
  <si>
    <t>ANILLO DE SEGURIDAD 11235</t>
  </si>
  <si>
    <t>1610.119.012-000</t>
  </si>
  <si>
    <t>ANILLO DE SEGURIDAD 1C37.0</t>
  </si>
  <si>
    <t>1610.134.005-000</t>
  </si>
  <si>
    <t>ARANDELA 0,1MM 11222-36</t>
  </si>
  <si>
    <t>1610.134.006-000</t>
  </si>
  <si>
    <t>ARANDELA 0,2MM 11222-36</t>
  </si>
  <si>
    <t>1610.134.007-000</t>
  </si>
  <si>
    <t>ESPACIADOR 11222- 0,3MM</t>
  </si>
  <si>
    <t>1610.147.008-000</t>
  </si>
  <si>
    <t>PIEZA SOPORTE 11304</t>
  </si>
  <si>
    <t>1610.151.007-000</t>
  </si>
  <si>
    <t>ARANDELA ELÁSTICA 1304.1/1C0A.0</t>
  </si>
  <si>
    <t>1610.190.010-000</t>
  </si>
  <si>
    <t>DISCO DE MANDO 11309/313-DISCONTINUADO</t>
  </si>
  <si>
    <t>1610.190.011-000</t>
  </si>
  <si>
    <t>1610.190.016-000</t>
  </si>
  <si>
    <t>DISCO PERFORADO 11236</t>
  </si>
  <si>
    <t>1610.190.018-000</t>
  </si>
  <si>
    <t>ARANDELA DE MUELLE 11316 Rx1610190053</t>
  </si>
  <si>
    <t>1610.190.019-000</t>
  </si>
  <si>
    <t>ACOPLE 11311/16</t>
  </si>
  <si>
    <t>1610.190.020-000</t>
  </si>
  <si>
    <t>SOPORTE 3304 11256.2</t>
  </si>
  <si>
    <t>1610.190.021-000</t>
  </si>
  <si>
    <t>1610.190.022-000</t>
  </si>
  <si>
    <t>ARANDELA  PORTA HERRAM.11226/11228 OBSOL</t>
  </si>
  <si>
    <t>1610.190.023-000</t>
  </si>
  <si>
    <t>ANILLO SEGUR.11216/230 RA012</t>
  </si>
  <si>
    <t>1610.190.024-000</t>
  </si>
  <si>
    <t>DISCO DE MANDO 1245.7</t>
  </si>
  <si>
    <t>1610.190.026-000</t>
  </si>
  <si>
    <t>ARANDELA DE TOPE 1245.7</t>
  </si>
  <si>
    <t>1610.190.027-000</t>
  </si>
  <si>
    <t>Disco de respaldo</t>
  </si>
  <si>
    <t>1610.190.028-000</t>
  </si>
  <si>
    <t>1610.190.029-000</t>
  </si>
  <si>
    <t>ARANDELA PARA COJINETE A 1245.7</t>
  </si>
  <si>
    <t>1610.190.030-000</t>
  </si>
  <si>
    <t>CHAPA SOPORTE 11230</t>
  </si>
  <si>
    <t>1610.190.033-000</t>
  </si>
  <si>
    <t>MANGO DISTANCIADOR</t>
  </si>
  <si>
    <t>1610.190.038-000</t>
  </si>
  <si>
    <t>Disco Obturador</t>
  </si>
  <si>
    <t>1610.190.040-000</t>
  </si>
  <si>
    <t>SOPORTE  11239.7</t>
  </si>
  <si>
    <t>1610.190.045-000</t>
  </si>
  <si>
    <t>ARANDELA 11250.7</t>
  </si>
  <si>
    <t>1610.190.046-000</t>
  </si>
  <si>
    <t>1610.190.048-000</t>
  </si>
  <si>
    <t>ARANDELA DE ENCASTRE 11253/112A0</t>
  </si>
  <si>
    <t>1610.190.049-000</t>
  </si>
  <si>
    <t>ARANDELA 11250.7/53/112A0/1123A</t>
  </si>
  <si>
    <t>1610.190.053-000</t>
  </si>
  <si>
    <t>ARANDELA DE ENCASTRE 1316.7</t>
  </si>
  <si>
    <t>1610.190.054-000</t>
  </si>
  <si>
    <t>ARANDELA DE APOYO 11258</t>
  </si>
  <si>
    <t>1610.190.055-000</t>
  </si>
  <si>
    <t>DISTANCIADOR 1H31</t>
  </si>
  <si>
    <t>1610.190.058-000</t>
  </si>
  <si>
    <t>ARANDELA DE TOPE 11335</t>
  </si>
  <si>
    <t>1610.190.060-000</t>
  </si>
  <si>
    <t>DISCO DE SOPORTE</t>
  </si>
  <si>
    <t>1610.190.065-000</t>
  </si>
  <si>
    <t>ARANDELA DE RETENCION 11231/11267/1123A</t>
  </si>
  <si>
    <t>1610.190.066-000</t>
  </si>
  <si>
    <t>ANILLO DE AGUJEROS 1C36.0</t>
  </si>
  <si>
    <t>1610.190.067-000</t>
  </si>
  <si>
    <t>1610.190.069-000</t>
  </si>
  <si>
    <t>DISCO DE MANDO 1C36.0</t>
  </si>
  <si>
    <t>1610.190.071-000</t>
  </si>
  <si>
    <t>MANGUITO DISTANCIADOR 1B65.0/1B65.1</t>
  </si>
  <si>
    <t>1610.190.073-000</t>
  </si>
  <si>
    <t>ANILLO DE JUNTA 1B65.0/1B65.1</t>
  </si>
  <si>
    <t>1610.190.078-000</t>
  </si>
  <si>
    <t>CASQUILLO DISTANCIADOR 1B66.0</t>
  </si>
  <si>
    <t>1610.190.079-000</t>
  </si>
  <si>
    <t>MANGUITO DISTANCIADOR 11265</t>
  </si>
  <si>
    <t>1610.190.080-000</t>
  </si>
  <si>
    <t>1610.200.014-000</t>
  </si>
  <si>
    <t>ANILLO DE RETENCION</t>
  </si>
  <si>
    <t>1610.200.018-000</t>
  </si>
  <si>
    <t>PLACA 11214/231          Ra017</t>
  </si>
  <si>
    <t>1610.200.020-000</t>
  </si>
  <si>
    <t>CASQUILLO DE AGUJAS 11236</t>
  </si>
  <si>
    <t>1610.200.025-000</t>
  </si>
  <si>
    <t>ANILLO DE APOYO 112A0.1</t>
  </si>
  <si>
    <t>1610.200.027-000</t>
  </si>
  <si>
    <t>1610.200.028-000</t>
  </si>
  <si>
    <t>1610.200.029-000</t>
  </si>
  <si>
    <t>ANILLO DE APOYO 11332</t>
  </si>
  <si>
    <t>1610.200.032-000</t>
  </si>
  <si>
    <t>ANILLO DE RETENCION 1C36.0</t>
  </si>
  <si>
    <t>1610.202.012-000</t>
  </si>
  <si>
    <t>1610.202.014-000</t>
  </si>
  <si>
    <t>ARO INTERIOR 11231</t>
  </si>
  <si>
    <t>1610.202.015-000</t>
  </si>
  <si>
    <t>1610.202.016-000</t>
  </si>
  <si>
    <t>ANILLO 11309/13/230/1  RA013</t>
  </si>
  <si>
    <t>1610.202.018-000</t>
  </si>
  <si>
    <t>ARANDELA DE APOYO 11239.7</t>
  </si>
  <si>
    <t>1610.202.020-000</t>
  </si>
  <si>
    <t>COJINETE 11250.7</t>
  </si>
  <si>
    <t>1610.202.021-000</t>
  </si>
  <si>
    <t>COJINETE DESLIZANTE</t>
  </si>
  <si>
    <t>1610.202.024-000</t>
  </si>
  <si>
    <t>1610.202.026-000</t>
  </si>
  <si>
    <t>RODAMIENTOS DE AGUJAS 11210/50</t>
  </si>
  <si>
    <t>1610.202.031-000</t>
  </si>
  <si>
    <t>1610.205.002-000</t>
  </si>
  <si>
    <t>FIELTRO 11206</t>
  </si>
  <si>
    <t>1610.205.006-000</t>
  </si>
  <si>
    <t>FELPA 11309</t>
  </si>
  <si>
    <t>1610.205.008-000</t>
  </si>
  <si>
    <t>ANILLO DE FIELTRO 11239.7</t>
  </si>
  <si>
    <t>1610.205.012-000</t>
  </si>
  <si>
    <t>Anillo De Fieltro</t>
  </si>
  <si>
    <t>1610.205.014-000</t>
  </si>
  <si>
    <t>DISCO DE FIELTRO 1B3A.0</t>
  </si>
  <si>
    <t>1610.205.016-000</t>
  </si>
  <si>
    <t>FIELTRO 1B66.0</t>
  </si>
  <si>
    <t>1610.206.016-000</t>
  </si>
  <si>
    <t>1610.206.017-000</t>
  </si>
  <si>
    <t>1610.206.021-000</t>
  </si>
  <si>
    <t>BUJE DE GOMA 11210.0-18-26-36-28</t>
  </si>
  <si>
    <t>1610.206.023-000</t>
  </si>
  <si>
    <t>ANILLO 11210.0</t>
  </si>
  <si>
    <t>1610.206.027-000</t>
  </si>
  <si>
    <t>Labio de sellado</t>
  </si>
  <si>
    <t>1610.206.028-000</t>
  </si>
  <si>
    <t>ANILLO DE TOPE 1C36.0</t>
  </si>
  <si>
    <t>1610.209.006-000</t>
  </si>
  <si>
    <t>ANILLO DE APOYO  11239.7</t>
  </si>
  <si>
    <t>1610.209.007-000</t>
  </si>
  <si>
    <t>ANILLO DE JUNTA 1304.1</t>
  </si>
  <si>
    <t>1610.209.008-000</t>
  </si>
  <si>
    <t>Elemento De Sujecion</t>
  </si>
  <si>
    <t>1610.209.009-000</t>
  </si>
  <si>
    <t>Pieza De Sujecion</t>
  </si>
  <si>
    <t>1610.209.011-000</t>
  </si>
  <si>
    <t>ANILLO MAGNETICO 11336</t>
  </si>
  <si>
    <t>1610.209.015-000</t>
  </si>
  <si>
    <t>ELEMENTO DE APRIETE 1B66.0</t>
  </si>
  <si>
    <t>1610.209.016-000</t>
  </si>
  <si>
    <t>1610.209.017-000</t>
  </si>
  <si>
    <t>ANILLO DE FIELTRO 1C36.0</t>
  </si>
  <si>
    <t>1610.210.008-000</t>
  </si>
  <si>
    <t>ANILLO TOROIDAL 11304/1130A/11335</t>
  </si>
  <si>
    <t>1610.210.013-000</t>
  </si>
  <si>
    <t>JUNTA TORICA 19D0.3</t>
  </si>
  <si>
    <t>1610.210.014-000</t>
  </si>
  <si>
    <t>ANILLO OBSOLETO</t>
  </si>
  <si>
    <t>1610.210.026-000</t>
  </si>
  <si>
    <t>ANILLO 11309</t>
  </si>
  <si>
    <t>1610.210.034-000</t>
  </si>
  <si>
    <t>RETEN</t>
  </si>
  <si>
    <t>1610.210.035-000</t>
  </si>
  <si>
    <t>ANILLO 11205</t>
  </si>
  <si>
    <t>1610.210.036-000</t>
  </si>
  <si>
    <t>ARANDELA DE GOMA</t>
  </si>
  <si>
    <t>1610.210.041-000</t>
  </si>
  <si>
    <t>ANILLO DE GOMA 11305</t>
  </si>
  <si>
    <t>1610.210.042-000</t>
  </si>
  <si>
    <t>ANILLO 11305</t>
  </si>
  <si>
    <t>1610.210.043-000</t>
  </si>
  <si>
    <t>1610.210.045-000</t>
  </si>
  <si>
    <t>JUNTA TORICA 23,0X3,0 MM 1K70.7</t>
  </si>
  <si>
    <t>1610.210.046-000</t>
  </si>
  <si>
    <t>1610.210.057-000</t>
  </si>
  <si>
    <t>ANILLO 11210 DISCONT.</t>
  </si>
  <si>
    <t>1610.210.058-000</t>
  </si>
  <si>
    <t>1610.210.067-000</t>
  </si>
  <si>
    <t>ANILLO RX1610210073</t>
  </si>
  <si>
    <t>1610.210.068-000</t>
  </si>
  <si>
    <t>1610.210.069-000</t>
  </si>
  <si>
    <t>1610.210.073-000</t>
  </si>
  <si>
    <t>1610.210.075-000</t>
  </si>
  <si>
    <t>1610.210.081-000</t>
  </si>
  <si>
    <t>ANILLO 11216/30/11309/13</t>
  </si>
  <si>
    <t>1610.210.082-000</t>
  </si>
  <si>
    <t>1610.210.084-000</t>
  </si>
  <si>
    <t>JUNTA TORICA 34,0X2,0 MM 1245.7</t>
  </si>
  <si>
    <t>1610.210.086-000</t>
  </si>
  <si>
    <t>ANILLO TOROIDAL 3245/11258 obsoleto</t>
  </si>
  <si>
    <t>1610.210.087-000</t>
  </si>
  <si>
    <t>JUNTA TORICA 7452</t>
  </si>
  <si>
    <t>1610.210.089-000</t>
  </si>
  <si>
    <t>ANILLO  11205 obsoleto</t>
  </si>
  <si>
    <t>1610.210.090-000</t>
  </si>
  <si>
    <t>ANILLO 11216/11309</t>
  </si>
  <si>
    <t>1610.210.092-000</t>
  </si>
  <si>
    <t>1610.210.093-000</t>
  </si>
  <si>
    <t>ANILLO 11214/6/30/1/11309/13</t>
  </si>
  <si>
    <t>1610.210.094-000</t>
  </si>
  <si>
    <t>ANILLO TOROIDAL 11216/230</t>
  </si>
  <si>
    <t>1610.210.096-000</t>
  </si>
  <si>
    <t>ANILLO TOROIDAL 11216/230/245</t>
  </si>
  <si>
    <t>1610.210.098-000</t>
  </si>
  <si>
    <t>JUNTA TORICA GBH 8 DCE obsoleto</t>
  </si>
  <si>
    <t>1610.210.099-000</t>
  </si>
  <si>
    <t>SELLO 11214/231</t>
  </si>
  <si>
    <t>1610.210.100-000</t>
  </si>
  <si>
    <t>ANILLO TOROIDAL 11214/6/30/1 OBSOLETO</t>
  </si>
  <si>
    <t>1610.210.101-000</t>
  </si>
  <si>
    <t>1610.210.103-000</t>
  </si>
  <si>
    <t>1610.210.106-000</t>
  </si>
  <si>
    <t>JUNTA TORICA 11218-22-26-36-28/1283</t>
  </si>
  <si>
    <t>1610.210.109-000</t>
  </si>
  <si>
    <t>JUEGO DE SELLOS 11214/231/235</t>
  </si>
  <si>
    <t>1610.210.116-000</t>
  </si>
  <si>
    <t>ANILLO 14X2 MM - 11216/30</t>
  </si>
  <si>
    <t>1610.210.118-000</t>
  </si>
  <si>
    <t>ANILLO 11214</t>
  </si>
  <si>
    <t>1610.210.119-000</t>
  </si>
  <si>
    <t>ANILLO 11226/50.7/28             RX187</t>
  </si>
  <si>
    <t>1610.210.123-000</t>
  </si>
  <si>
    <t>1610.210.125-000</t>
  </si>
  <si>
    <t>ANILLO TOROIDAL 11225.7/56.2</t>
  </si>
  <si>
    <t>1610.210.127-000</t>
  </si>
  <si>
    <t>1610.210.129-000</t>
  </si>
  <si>
    <t>ANILLO 11311</t>
  </si>
  <si>
    <t>1610.210.130-000</t>
  </si>
  <si>
    <t>ANILLO 11311/16/1221/1223</t>
  </si>
  <si>
    <t>1610.210.132-000</t>
  </si>
  <si>
    <t>JUNTA TORICA 45,0X6,0 MM 1245.7</t>
  </si>
  <si>
    <t>1610.210.133-000</t>
  </si>
  <si>
    <t>ANILLO 11223/245</t>
  </si>
  <si>
    <t>1610.210.134-000</t>
  </si>
  <si>
    <t>1610.210.138-000</t>
  </si>
  <si>
    <t>ANILLO DE JUNTA 11225.7/56.2</t>
  </si>
  <si>
    <t>1610.210.139-000</t>
  </si>
  <si>
    <t>JUNTA TORICA 30,0X2,5 MM 1245.7</t>
  </si>
  <si>
    <t>1610.210.140-000</t>
  </si>
  <si>
    <t>ANILLO MUELLE 11235</t>
  </si>
  <si>
    <t>1610.210.141-000</t>
  </si>
  <si>
    <t>ANILLO TOROIDAL \ 2,5X27 11235</t>
  </si>
  <si>
    <t>1610.210.142-000</t>
  </si>
  <si>
    <t>ANILLO TOROIDAL 11235</t>
  </si>
  <si>
    <t>1610.210.145-000</t>
  </si>
  <si>
    <t>1610.210.146-000</t>
  </si>
  <si>
    <t>ANILLO 11237</t>
  </si>
  <si>
    <t>1610.210.147-000</t>
  </si>
  <si>
    <t>ANILLO 11311/16         RA126</t>
  </si>
  <si>
    <t>1610.210.148-000</t>
  </si>
  <si>
    <t>ANILLO TOROIDAL 11235/11263</t>
  </si>
  <si>
    <t>1610.210.149-000</t>
  </si>
  <si>
    <t>1610.210.155-000</t>
  </si>
  <si>
    <t>JUNTA TORICA 11239.7</t>
  </si>
  <si>
    <t>1610.210.156-000</t>
  </si>
  <si>
    <t>JUNTA TORICA 39,0X3,0 MM</t>
  </si>
  <si>
    <t>1610.210.157-000</t>
  </si>
  <si>
    <t>1610.210.159-000</t>
  </si>
  <si>
    <t>ANILLO 11236/11222</t>
  </si>
  <si>
    <t>1610.210.160-000</t>
  </si>
  <si>
    <t>1610.210.161-000</t>
  </si>
  <si>
    <t>ANILLO 11241.7</t>
  </si>
  <si>
    <t>1610.210.163-000</t>
  </si>
  <si>
    <t>1610.210.172-000</t>
  </si>
  <si>
    <t>1610.210.173-000</t>
  </si>
  <si>
    <t>JUNTA TORICA 32,0X1,5 MM 1C37.0</t>
  </si>
  <si>
    <t>1610.210.174-000</t>
  </si>
  <si>
    <t>1610.210.177-000</t>
  </si>
  <si>
    <t>ANILLO 11250.7</t>
  </si>
  <si>
    <t>1610.210.184-000</t>
  </si>
  <si>
    <t>1610.210.185-000</t>
  </si>
  <si>
    <t>JUNTA TORICA 11904</t>
  </si>
  <si>
    <t>1610.210.191-000</t>
  </si>
  <si>
    <t>1610.210.192-000</t>
  </si>
  <si>
    <t>1610.210.193-000</t>
  </si>
  <si>
    <t>JUNTA TORICA 11335 RX 1610290118</t>
  </si>
  <si>
    <t>1610.210.194-000</t>
  </si>
  <si>
    <t>1610.210.196-000</t>
  </si>
  <si>
    <t>JUNTA TORICA 46,0X3,5 MM</t>
  </si>
  <si>
    <t>1610.210.198-000</t>
  </si>
  <si>
    <t>1610.210.199-000</t>
  </si>
  <si>
    <t>o-ring</t>
  </si>
  <si>
    <t>1610.210.202-000</t>
  </si>
  <si>
    <t>JUNTA TORICA 56,0X3,5 MM</t>
  </si>
  <si>
    <t>1610.210.205-000</t>
  </si>
  <si>
    <t>1610.210.206-000</t>
  </si>
  <si>
    <t>ANILLO DE JUNTA 63,0X5,0 MM</t>
  </si>
  <si>
    <t>1610.210.207-000</t>
  </si>
  <si>
    <t>JUNTA TORICA 11231/1123A RX1610210245000</t>
  </si>
  <si>
    <t>1610.210.208-000</t>
  </si>
  <si>
    <t>JUNTA TORICA 24,0X2,0 MM</t>
  </si>
  <si>
    <t>1610.210.209-000</t>
  </si>
  <si>
    <t>ANILLO DE SEGURIDAD GBH 36 V-LI PLUS</t>
  </si>
  <si>
    <t>1610.210.211-000</t>
  </si>
  <si>
    <t>1610.210.212-000</t>
  </si>
  <si>
    <t>1610.210.214-000</t>
  </si>
  <si>
    <t>JUNTA 1C36.0</t>
  </si>
  <si>
    <t>1610.210.215-000</t>
  </si>
  <si>
    <t>JUNTA TORICA 1C36.0</t>
  </si>
  <si>
    <t>1610.210.216-000</t>
  </si>
  <si>
    <t>1610.210.219-000</t>
  </si>
  <si>
    <t>AMORTIGUADOR GSH 11 VC 11336</t>
  </si>
  <si>
    <t>1610.210.222-000</t>
  </si>
  <si>
    <t>1610.210.224-000</t>
  </si>
  <si>
    <t>1610.210.226-000</t>
  </si>
  <si>
    <t>JUNTA TORICA 11265 RX1610210246000</t>
  </si>
  <si>
    <t>1610.210.227-000</t>
  </si>
  <si>
    <t>Amortiguador</t>
  </si>
  <si>
    <t>1610.210.228-000</t>
  </si>
  <si>
    <t>JUNTA TORICA 11265 RX 1600210080</t>
  </si>
  <si>
    <t>1610.210.229-000</t>
  </si>
  <si>
    <t>JUNTA TORICA 1B65.0</t>
  </si>
  <si>
    <t>1610.210.233-000</t>
  </si>
  <si>
    <t>1610.210.236-000</t>
  </si>
  <si>
    <t>JUNTA TORICA 1B66.0</t>
  </si>
  <si>
    <t>1610.210.237-000</t>
  </si>
  <si>
    <t>1610.210.238-000</t>
  </si>
  <si>
    <t>1610.210.239-000</t>
  </si>
  <si>
    <t>1610.210.240-000</t>
  </si>
  <si>
    <t>ANILLO AMORTIGUADOR 1B66.0</t>
  </si>
  <si>
    <t>1610.210.241-000</t>
  </si>
  <si>
    <t>1610.210.242-000</t>
  </si>
  <si>
    <t>1610.210.244-000</t>
  </si>
  <si>
    <t>1610.210.245-000</t>
  </si>
  <si>
    <t>JUNTA TORICA 1B3A.0</t>
  </si>
  <si>
    <t>1610.210.246-000</t>
  </si>
  <si>
    <t>1610.211.019-000</t>
  </si>
  <si>
    <t>MANGUITO DISTANCIADOR 1C32.1</t>
  </si>
  <si>
    <t>1610.220.009-000</t>
  </si>
  <si>
    <t>CASQUILLO-GUIA 1304.1</t>
  </si>
  <si>
    <t>1610.221.001-000</t>
  </si>
  <si>
    <t>ANILLO DE APOYO (11216)-DISCONT.</t>
  </si>
  <si>
    <t>1610.222.008-000</t>
  </si>
  <si>
    <t>CASQUILLO 11216/30 RA 400030/516010</t>
  </si>
  <si>
    <t>1610.222.010-000</t>
  </si>
  <si>
    <t>ANILLO DE RETENCION 11230</t>
  </si>
  <si>
    <t>1610.224.001-000</t>
  </si>
  <si>
    <t>1610.224.005-000</t>
  </si>
  <si>
    <t>ANILLO D RETENCION 11235 - DISCONTINUADO</t>
  </si>
  <si>
    <t>1610.224.006-000</t>
  </si>
  <si>
    <t>ANILLO DE SEGURIDAD  11239.7</t>
  </si>
  <si>
    <t>1610.224.009-000</t>
  </si>
  <si>
    <t>ANILLO ELÁSTICO 1C37.0</t>
  </si>
  <si>
    <t>1610.224.010-000</t>
  </si>
  <si>
    <t>MUELLE DE COMPRESIÓN 1B64.0</t>
  </si>
  <si>
    <t>1610.224.011-000</t>
  </si>
  <si>
    <t>ANILLO DE SEGURIDAD 1C36.0</t>
  </si>
  <si>
    <t>1610.224.012-000</t>
  </si>
  <si>
    <t>1610.224.013-000</t>
  </si>
  <si>
    <t>1610.224.015-000</t>
  </si>
  <si>
    <t>Anillo de fijación</t>
  </si>
  <si>
    <t>1610.231.000-000</t>
  </si>
  <si>
    <t>CASQUILLO GUIA 11235/11263</t>
  </si>
  <si>
    <t>1610.231.001-000</t>
  </si>
  <si>
    <t>CASQUILLO-GUIA 1C37.0</t>
  </si>
  <si>
    <t>1610.231.004-000</t>
  </si>
  <si>
    <t>Sello trasero Cj</t>
  </si>
  <si>
    <t>1610.241.000-000</t>
  </si>
  <si>
    <t>ARANDELA 11318.7/11321</t>
  </si>
  <si>
    <t>1610.250.007-000</t>
  </si>
  <si>
    <t>ANILLO DE RODADURA 11216/230</t>
  </si>
  <si>
    <t>1610.250.010-000</t>
  </si>
  <si>
    <t>ARO INTERIOR  11239.7</t>
  </si>
  <si>
    <t>1610.251.001-000</t>
  </si>
  <si>
    <t>ANILLO 11210.0 RX1617000163</t>
  </si>
  <si>
    <t>1610.251.006-000</t>
  </si>
  <si>
    <t>ARANDELA 11241.7/318.7/11321/264</t>
  </si>
  <si>
    <t>1610.280.006-000</t>
  </si>
  <si>
    <t>SELLO DE GOMA 3304 11256.2</t>
  </si>
  <si>
    <t>1610.283.004-000</t>
  </si>
  <si>
    <t>RETEN 11304</t>
  </si>
  <si>
    <t>1610.283.012-000</t>
  </si>
  <si>
    <t>RETEN DE EJE</t>
  </si>
  <si>
    <t>1610.283.013-000</t>
  </si>
  <si>
    <t>RETEN DE EJE OBSOLETO</t>
  </si>
  <si>
    <t>1610.283.014-000</t>
  </si>
  <si>
    <t>1610.283.017-000</t>
  </si>
  <si>
    <t>ANILLO 11210.0/11210.5/11250.7</t>
  </si>
  <si>
    <t>1610.283.019-000</t>
  </si>
  <si>
    <t>RETÉN PARA EJES 1B5A.4</t>
  </si>
  <si>
    <t>1610.283.020-000</t>
  </si>
  <si>
    <t>1610.283.023-000</t>
  </si>
  <si>
    <t>RETEN  11222/11236</t>
  </si>
  <si>
    <t>1610.283.024-000</t>
  </si>
  <si>
    <t>RETEN 11222/11236</t>
  </si>
  <si>
    <t>1610.283.025-000</t>
  </si>
  <si>
    <t>RETEN 11311 RX 1610283030000</t>
  </si>
  <si>
    <t>1610.283.026-000</t>
  </si>
  <si>
    <t>RETEN 11223/245</t>
  </si>
  <si>
    <t>1610.283.027-000</t>
  </si>
  <si>
    <t>RETEN 11313</t>
  </si>
  <si>
    <t>1610.283.028-000</t>
  </si>
  <si>
    <t>RETEN 11230     _ RA2916730079</t>
  </si>
  <si>
    <t>1610.283.030-000</t>
  </si>
  <si>
    <t>RETEN DE ARBOL 11316/11332  RX 1600A01MK</t>
  </si>
  <si>
    <t>1610.283.031-000</t>
  </si>
  <si>
    <t>ANILLO OBTURADOR RADIAL 11239.7</t>
  </si>
  <si>
    <t>1610.283.032-000</t>
  </si>
  <si>
    <t>1610.283.033-000</t>
  </si>
  <si>
    <t>1610.283.035-000</t>
  </si>
  <si>
    <t>ANILLO DE JUNTA DE EJE</t>
  </si>
  <si>
    <t>1610.283.036-000</t>
  </si>
  <si>
    <t>1610.283.039-000</t>
  </si>
  <si>
    <t>ANILLO OBTUR 11332/267/23A RX1600A009VC</t>
  </si>
  <si>
    <t>1610.283.041-000</t>
  </si>
  <si>
    <t>RETEN 11222/11236 RA 1610283024</t>
  </si>
  <si>
    <t>1610.283.042-000</t>
  </si>
  <si>
    <t>ANILLO OBTURADORRADIAL11332 RX1600A0089A</t>
  </si>
  <si>
    <t>1610.283.043-000</t>
  </si>
  <si>
    <t>RETEN 11231 RX 1610283047000</t>
  </si>
  <si>
    <t>1610.283.045-000</t>
  </si>
  <si>
    <t>RETÉN PARA EJES 1125A OBSOLETO</t>
  </si>
  <si>
    <t>1610.283.047-000</t>
  </si>
  <si>
    <t>Anillo de sello del eje</t>
  </si>
  <si>
    <t>1610.283.052-000</t>
  </si>
  <si>
    <t>ANILLO OBTURADOR GSH 11VC</t>
  </si>
  <si>
    <t>1610.284.000-000</t>
  </si>
  <si>
    <t>FUELLE 11241.7/11318.7/11321/11264</t>
  </si>
  <si>
    <t>1610.284.001-000</t>
  </si>
  <si>
    <t>FUELLE 1C32.1</t>
  </si>
  <si>
    <t>1610.284.002-000</t>
  </si>
  <si>
    <t>FUELLE 1B3A.0</t>
  </si>
  <si>
    <t>1610.284.007-000</t>
  </si>
  <si>
    <t>1610.284.012-000</t>
  </si>
  <si>
    <t>FUELLE 1B66.0</t>
  </si>
  <si>
    <t>1610.284.013-000</t>
  </si>
  <si>
    <t>1610.290.003-000</t>
  </si>
  <si>
    <t>ANILLO DE APOYO 11206 OBSOLETO</t>
  </si>
  <si>
    <t>1610.290.008-000</t>
  </si>
  <si>
    <t>RETEN 11237</t>
  </si>
  <si>
    <t>1610.290.009-000</t>
  </si>
  <si>
    <t>JUNTA 11237</t>
  </si>
  <si>
    <t>1610.290.012-000</t>
  </si>
  <si>
    <t>CORONA 11309</t>
  </si>
  <si>
    <t>1610.290.015-000</t>
  </si>
  <si>
    <t>ANILLO DE MANDO 11216/230-.DISCONT.</t>
  </si>
  <si>
    <t>1610.290.016-000</t>
  </si>
  <si>
    <t>ANILLO DE EMBRAGUE 11216-DISCONT.</t>
  </si>
  <si>
    <t>1610.290.024-000</t>
  </si>
  <si>
    <t>ANILLO DE EMBRAGUE 11216/230 DISCONT.</t>
  </si>
  <si>
    <t>1610.290.025-000</t>
  </si>
  <si>
    <t>TAMBOR DE EXCENTRICA 11231/23/313/35/45/</t>
  </si>
  <si>
    <t>1610.290.026-000</t>
  </si>
  <si>
    <t>1610.290.027-000</t>
  </si>
  <si>
    <t>ANILLO 11311/16/11266.0/.1</t>
  </si>
  <si>
    <t>1610.290.030-000</t>
  </si>
  <si>
    <t>ANILLO AMORTIGUADOR 1245.7</t>
  </si>
  <si>
    <t>1610.290.031-000</t>
  </si>
  <si>
    <t>1610.290.032-000</t>
  </si>
  <si>
    <t>ANILLO INTERMEDIO 1245.7</t>
  </si>
  <si>
    <t>1610.290.034-000</t>
  </si>
  <si>
    <t>ANILLO DE TOPE GBH 11DE</t>
  </si>
  <si>
    <t>1610.290.035-000</t>
  </si>
  <si>
    <t>ANILLO DEL COJINETE 1245.7</t>
  </si>
  <si>
    <t>1610.290.036-000</t>
  </si>
  <si>
    <t>JUNTA 1245.7</t>
  </si>
  <si>
    <t>1610.290.037-000</t>
  </si>
  <si>
    <t>ARO INTERIOR 1245.7</t>
  </si>
  <si>
    <t>1610.290.043-000</t>
  </si>
  <si>
    <t>ANILLO DE CENTRADO 11225.7/56.2</t>
  </si>
  <si>
    <t>1610.290.046-000</t>
  </si>
  <si>
    <t>CASQUILLO 11235/11263/1B65</t>
  </si>
  <si>
    <t>1610.290.049-000</t>
  </si>
  <si>
    <t>ANILLO AMORTIGUADOR 1B64.0</t>
  </si>
  <si>
    <t>1610.290.050-000</t>
  </si>
  <si>
    <t>RETEN 11235/11263</t>
  </si>
  <si>
    <t>1610.290.051-000</t>
  </si>
  <si>
    <t>ANILLO DE MUELLE 11235</t>
  </si>
  <si>
    <t>1610.290.052-000</t>
  </si>
  <si>
    <t>DISCO SOPORTE  11235/11263</t>
  </si>
  <si>
    <t>1610.290.057-000</t>
  </si>
  <si>
    <t>ANILLO DE GUIA 11226/28 RA 1617000348</t>
  </si>
  <si>
    <t>1610.290.059-000</t>
  </si>
  <si>
    <t>ARANDERAL DE FRICCION  11239.7</t>
  </si>
  <si>
    <t>1610.290.061-000</t>
  </si>
  <si>
    <t>1610.290.062-000</t>
  </si>
  <si>
    <t>1610.290.064-000</t>
  </si>
  <si>
    <t>CASQUILLO 1C37.0</t>
  </si>
  <si>
    <t>1610.290.066-000</t>
  </si>
  <si>
    <t>ANILLO 11241.7/318.7/11321/11264/11269</t>
  </si>
  <si>
    <t>1610.290.068-000</t>
  </si>
  <si>
    <t>1610.290.071-000</t>
  </si>
  <si>
    <t>ANILLO  11239.7</t>
  </si>
  <si>
    <t>1610.290.078-000</t>
  </si>
  <si>
    <t>ANILLO 11256.2</t>
  </si>
  <si>
    <t>1610.290.079-000</t>
  </si>
  <si>
    <t>ANILLO 11250.7/53</t>
  </si>
  <si>
    <t>1610.290.081-000</t>
  </si>
  <si>
    <t>ANILLO 11250.7/53 RX 2608670712000</t>
  </si>
  <si>
    <t>1610.290.084-000</t>
  </si>
  <si>
    <t>ANILLO DE CENTRADO 11900</t>
  </si>
  <si>
    <t>1610.290.085-000</t>
  </si>
  <si>
    <t>ANILLO DE MANDO 1C32.1</t>
  </si>
  <si>
    <t>1610.290.089-000</t>
  </si>
  <si>
    <t>JUNTA TORICA 1125A</t>
  </si>
  <si>
    <t>1610.290.090-000</t>
  </si>
  <si>
    <t>ANILLO DE GOMA 11904 RX 1610290116000</t>
  </si>
  <si>
    <t>1610.290.092-000</t>
  </si>
  <si>
    <t>1610.290.093-000</t>
  </si>
  <si>
    <t>AMORTIGUADOR DE GOMA 1C37.0</t>
  </si>
  <si>
    <t>1610.290.094-000</t>
  </si>
  <si>
    <t>ANILLO GBH 540 DCE</t>
  </si>
  <si>
    <t>1610.290.095-000</t>
  </si>
  <si>
    <t>ANILLO AMORTIGUADOR 11264/11269</t>
  </si>
  <si>
    <t>1610.290.096-000</t>
  </si>
  <si>
    <t>1610.290.098-000</t>
  </si>
  <si>
    <t>ANILLO DE MANDO 1B3A.0</t>
  </si>
  <si>
    <t>1610.290.099-000</t>
  </si>
  <si>
    <t>ANILLO DE TOPE 1BA0.1</t>
  </si>
  <si>
    <t>1610.290.101-000</t>
  </si>
  <si>
    <t>ANILLO DE APOYO 1130A</t>
  </si>
  <si>
    <t>1610.290.102-000</t>
  </si>
  <si>
    <t>ANILLO DEL COJINETE 1B3A.0</t>
  </si>
  <si>
    <t>1610.290.103-000</t>
  </si>
  <si>
    <t>ANILLO AMORTIGUADOR 1130A</t>
  </si>
  <si>
    <t>1610.290.104-000</t>
  </si>
  <si>
    <t>JUNTA TORICA 59,5X5,0 MM</t>
  </si>
  <si>
    <t>1610.290.105-000</t>
  </si>
  <si>
    <t>TAMBOR DE EXCENTRICA GSH 11 VC 11336</t>
  </si>
  <si>
    <t>1610.290.106-000</t>
  </si>
  <si>
    <t>ANILLO AMORTIGUADOR 1C36.0</t>
  </si>
  <si>
    <t>1610.290.108-000</t>
  </si>
  <si>
    <t>1610.290.109-000</t>
  </si>
  <si>
    <t>TAMBOR DE EXC. 1B65.0/1B65.1Rx1600A019WL</t>
  </si>
  <si>
    <t>1610.290.110-000</t>
  </si>
  <si>
    <t>ANILLO AMORTIGUADOR 11265</t>
  </si>
  <si>
    <t>1610.290.111-000</t>
  </si>
  <si>
    <t>1610.290.112-000</t>
  </si>
  <si>
    <t>1610.290.113-000</t>
  </si>
  <si>
    <t>ANILLO OBTURADOR RADIAL 11265</t>
  </si>
  <si>
    <t>1610.290.115-000</t>
  </si>
  <si>
    <t>ANILLO DISTANCIADOR 11265 OBSOLETO</t>
  </si>
  <si>
    <t>1610.290.116-000</t>
  </si>
  <si>
    <t>ANILLO DE JUNTA 1J04.0</t>
  </si>
  <si>
    <t>1610.290.118-000</t>
  </si>
  <si>
    <t>JUNTA TORICA 11335 RA 210193</t>
  </si>
  <si>
    <t>1610.290.119-000</t>
  </si>
  <si>
    <t>RETÉN PARA EJES 1B66.0</t>
  </si>
  <si>
    <t>1610.290.122-000</t>
  </si>
  <si>
    <t>ANILLO DISTANCIADOR 1B66.0</t>
  </si>
  <si>
    <t>1610.290.123-000</t>
  </si>
  <si>
    <t>1610.290.124-000</t>
  </si>
  <si>
    <t>ANILLO OBTURADOR RADIAL 1B66.0</t>
  </si>
  <si>
    <t>1610.290.125-000</t>
  </si>
  <si>
    <t>Anillo de sellado</t>
  </si>
  <si>
    <t>1610.290.128-000</t>
  </si>
  <si>
    <t>Anillo espaciador</t>
  </si>
  <si>
    <t>1610.290.129-000</t>
  </si>
  <si>
    <t>1610.290.12A-000</t>
  </si>
  <si>
    <t>1610.290.226-000</t>
  </si>
  <si>
    <t>1610.300.033-000</t>
  </si>
  <si>
    <t>CLAVIJA 11304/1130A</t>
  </si>
  <si>
    <t>1610.300.034-000</t>
  </si>
  <si>
    <t>BUJE 11304</t>
  </si>
  <si>
    <t>1610.300.043-000</t>
  </si>
  <si>
    <t>1610.300.046-000</t>
  </si>
  <si>
    <t>1610.300.058-000</t>
  </si>
  <si>
    <t>BULON DE PISTON 11305    RA048</t>
  </si>
  <si>
    <t>1610.300.060-000</t>
  </si>
  <si>
    <t>CASQUILLO 11235/11263</t>
  </si>
  <si>
    <t>1610.300.063-000</t>
  </si>
  <si>
    <t>CASQUILLO 1245.7</t>
  </si>
  <si>
    <t>1610.300.064-000</t>
  </si>
  <si>
    <t>CASQUILLO 11264/11269</t>
  </si>
  <si>
    <t>1610.300.067-000</t>
  </si>
  <si>
    <t>1610.300.076-000</t>
  </si>
  <si>
    <t>1610.300.079-000</t>
  </si>
  <si>
    <t>Cojinete de cojinete</t>
  </si>
  <si>
    <t>1610.300.080-000</t>
  </si>
  <si>
    <t>1610.300.082-000</t>
  </si>
  <si>
    <t>CASQUILLO DE DENTADO EXT 1B66.0</t>
  </si>
  <si>
    <t>1610.300.086-000</t>
  </si>
  <si>
    <t>CASQUILLO 1B65.0/1B65.1</t>
  </si>
  <si>
    <t>1610.301.000-000</t>
  </si>
  <si>
    <t>CASQUILLO 11234.0</t>
  </si>
  <si>
    <t>1610.301.004-000</t>
  </si>
  <si>
    <t>COJINETE DE DESLIZAMIENT 11258</t>
  </si>
  <si>
    <t>1610.301.007-000</t>
  </si>
  <si>
    <t>1610.311.016-000</t>
  </si>
  <si>
    <t>PERCUTOR  11239.7</t>
  </si>
  <si>
    <t>1610.311.017-000</t>
  </si>
  <si>
    <t>ARO INTERIOR 11241.7/318.7</t>
  </si>
  <si>
    <t>1610.311.018-000</t>
  </si>
  <si>
    <t>GOLPEADOR 12A0</t>
  </si>
  <si>
    <t>1610.311.019-000</t>
  </si>
  <si>
    <t>GOLPEADOR 1B3A.0</t>
  </si>
  <si>
    <t>1610.312.003-000</t>
  </si>
  <si>
    <t>DISTANCIADOR 11335.0 OBSOLETO</t>
  </si>
  <si>
    <t>1610.312.004-000</t>
  </si>
  <si>
    <t>MANGUITO DISTANCIADOR11335 RX1617000740</t>
  </si>
  <si>
    <t>1610.314.003-000</t>
  </si>
  <si>
    <t>CASQUILLO OBTURADOR 11239.7</t>
  </si>
  <si>
    <t>1610.314.004-000</t>
  </si>
  <si>
    <t>1610.314.005-000</t>
  </si>
  <si>
    <t>Casquillo Obturador</t>
  </si>
  <si>
    <t>1610.314.006-000</t>
  </si>
  <si>
    <t>CASQUILLO OBTURADOR 11332</t>
  </si>
  <si>
    <t>1610.320.015-000</t>
  </si>
  <si>
    <t>PERNO EXCENTRICO 11336</t>
  </si>
  <si>
    <t>1610.322.007-000</t>
  </si>
  <si>
    <t>CASQUILLO C/BORDE 11309 OBSOLETO</t>
  </si>
  <si>
    <t>1610.322.009-000</t>
  </si>
  <si>
    <t>DISCO-SOPORTE 11241.7/318.7</t>
  </si>
  <si>
    <t>1610.322.014-000</t>
  </si>
  <si>
    <t>ELEMENTO DE CONMUTACION 11258</t>
  </si>
  <si>
    <t>1610.322.017-000</t>
  </si>
  <si>
    <t>MANGUITO DE GUIA 1C36.0</t>
  </si>
  <si>
    <t>1610.322.018-000</t>
  </si>
  <si>
    <t>Buje de control</t>
  </si>
  <si>
    <t>1610.322.019-000</t>
  </si>
  <si>
    <t>CASQUILLO DE MANDO 1B66.0</t>
  </si>
  <si>
    <t>1610.328.010-000</t>
  </si>
  <si>
    <t>1610.328.011-000</t>
  </si>
  <si>
    <t>CASQUILLO 11206.0 DISCONTINUADO</t>
  </si>
  <si>
    <t>1610.328.013-000</t>
  </si>
  <si>
    <t>ANILLO DE APOYO 11216/11309</t>
  </si>
  <si>
    <t>1610.328.016-000</t>
  </si>
  <si>
    <t>1610.328.018-000</t>
  </si>
  <si>
    <t>CASQUILLO 11318.7/11321</t>
  </si>
  <si>
    <t>1610.390.007-000</t>
  </si>
  <si>
    <t>1610.390.011-000</t>
  </si>
  <si>
    <t>CASQUILLO 11210.0</t>
  </si>
  <si>
    <t>1610.390.014-000</t>
  </si>
  <si>
    <t>1610.390.015-000</t>
  </si>
  <si>
    <t>MANG.11216/30/1/309/13 - DISCONTINUADO</t>
  </si>
  <si>
    <t>1610.390.016-000</t>
  </si>
  <si>
    <t>CASQUILLO GUIA 11218-26-36</t>
  </si>
  <si>
    <t>1610.390.022-000</t>
  </si>
  <si>
    <t>SOPORTE REEMPL. X 1610390028</t>
  </si>
  <si>
    <t>1610.390.025-000</t>
  </si>
  <si>
    <t>CASQUILLO 11222/11236</t>
  </si>
  <si>
    <t>1610.390.026-000</t>
  </si>
  <si>
    <t>1610.390.027-000</t>
  </si>
  <si>
    <t>CASQUILLO ROSCADO 11236 - DISCONTINUADO</t>
  </si>
  <si>
    <t>1610.390.028-000</t>
  </si>
  <si>
    <t>CASQUIL.GUIA 11231/11214 RA022</t>
  </si>
  <si>
    <t>1610.390.029-000</t>
  </si>
  <si>
    <t>1610.390.030-000</t>
  </si>
  <si>
    <t>MANGUITO DISTANCIADOR 11313 OBSOLETO</t>
  </si>
  <si>
    <t>1610.390.032-000</t>
  </si>
  <si>
    <t>CASQUILLO AMORTIGUADOR 11222</t>
  </si>
  <si>
    <t>1610.390.038-000</t>
  </si>
  <si>
    <t>CASQUILLO-GUIA 11226/28</t>
  </si>
  <si>
    <t>1610.390.043-000</t>
  </si>
  <si>
    <t>CASQUILLO C/ROSCA  11239.7</t>
  </si>
  <si>
    <t>1610.390.053-000</t>
  </si>
  <si>
    <t>1610.390.056-000</t>
  </si>
  <si>
    <t>CAPA PROTECTORA 11332</t>
  </si>
  <si>
    <t>1610.390.066-000</t>
  </si>
  <si>
    <t>CASQUILLO-GUIA 1BA0.1</t>
  </si>
  <si>
    <t>1610.390.068-000</t>
  </si>
  <si>
    <t>CASQUILLO-GUIA 1B3A.0</t>
  </si>
  <si>
    <t>1610.390.069-000</t>
  </si>
  <si>
    <t>CASQUILLO 1B3A.0</t>
  </si>
  <si>
    <t>1610.400.022-000</t>
  </si>
  <si>
    <t>MANGU.DE COJINETE-DISCONTINUO</t>
  </si>
  <si>
    <t>1610.400.029-000</t>
  </si>
  <si>
    <t>CASQUILLO 11206 - DISCONTINUADO</t>
  </si>
  <si>
    <t>1610.400.030-000</t>
  </si>
  <si>
    <t>MANGUITO DISTANCIADOR (11216) OBSOLETO</t>
  </si>
  <si>
    <t>1610.400.039-000</t>
  </si>
  <si>
    <t>CASQUILLO-GUIA  11911 RX 1600A00FL3</t>
  </si>
  <si>
    <t>1610.415.003-000</t>
  </si>
  <si>
    <t>FUELLE 1C36.0</t>
  </si>
  <si>
    <t>1610.415.004-000</t>
  </si>
  <si>
    <t>FUELLE 1B65.0</t>
  </si>
  <si>
    <t>1610.415.005-000</t>
  </si>
  <si>
    <t>1610.420.004-000</t>
  </si>
  <si>
    <t>ANILLO 11309/311</t>
  </si>
  <si>
    <t>1610.420.005-000</t>
  </si>
  <si>
    <t>CASQUILLO DE MANDO 11311/16</t>
  </si>
  <si>
    <t>1610.420.006-000</t>
  </si>
  <si>
    <t>CASQUILLO DE MANDO 1C36.0</t>
  </si>
  <si>
    <t>1610.422.012-000</t>
  </si>
  <si>
    <t>ANILLO TOPE  11239.7</t>
  </si>
  <si>
    <t>1610.422.017-000</t>
  </si>
  <si>
    <t>1610.422.021-000</t>
  </si>
  <si>
    <t>1610.499.008-000</t>
  </si>
  <si>
    <t>VAINA PROTEC. 11210.0-0.5 RX 1617000163</t>
  </si>
  <si>
    <t>1610.499.010-000</t>
  </si>
  <si>
    <t>MANGUITO AISLANTE 11213</t>
  </si>
  <si>
    <t>1610.499.012-000</t>
  </si>
  <si>
    <t>VAINA PROTECTORA 11226/28</t>
  </si>
  <si>
    <t>1610.499.015-000</t>
  </si>
  <si>
    <t>BOQUILLA 11309/13</t>
  </si>
  <si>
    <t>1610.499.016-000</t>
  </si>
  <si>
    <t>MANGUITO C/MUESCA 11309/13</t>
  </si>
  <si>
    <t>1610.499.022-000</t>
  </si>
  <si>
    <t>MANGUITO CON MUESCA 11311/16</t>
  </si>
  <si>
    <t>1610.499.025-000</t>
  </si>
  <si>
    <t>ANILLO 11223   RX 1610.499.032-000</t>
  </si>
  <si>
    <t>1610.499.027-000</t>
  </si>
  <si>
    <t>CAPA PROTECTORA 11222  (RA021)</t>
  </si>
  <si>
    <t>1610.499.032-000</t>
  </si>
  <si>
    <t>ANILLO 11223</t>
  </si>
  <si>
    <t>1610.499.042-000</t>
  </si>
  <si>
    <t>VAINA PROTECTORA  11239.7</t>
  </si>
  <si>
    <t>1610.499.054-000</t>
  </si>
  <si>
    <t>GUANTE DE PROTECCION</t>
  </si>
  <si>
    <t>1610.499.059-000</t>
  </si>
  <si>
    <t>CASQUILLO DE AGARRE 112A0.1</t>
  </si>
  <si>
    <t>1610.499.064-000</t>
  </si>
  <si>
    <t>CASQUILLO DE MANDO 11321</t>
  </si>
  <si>
    <t>1610.499.067-000</t>
  </si>
  <si>
    <t>CASQUILLO DE CENTRADO 11904</t>
  </si>
  <si>
    <t>1610.499.069-000</t>
  </si>
  <si>
    <t>CASQUILLO DE AGARRE NEGRO 1B64.0</t>
  </si>
  <si>
    <t>1610.499.070-000</t>
  </si>
  <si>
    <t>CASQUILLO DE MANDO 11264/11269</t>
  </si>
  <si>
    <t>1610.499.073-000</t>
  </si>
  <si>
    <t>ANILLO DE RETENCION 11264/11269</t>
  </si>
  <si>
    <t>1610.499.076-000</t>
  </si>
  <si>
    <t>CASQUILLO DE AGARRE GSH 11 VC 11336</t>
  </si>
  <si>
    <t>1610.499.078-000</t>
  </si>
  <si>
    <t>VAINA PROTECTORA GSH 11 VC 11336</t>
  </si>
  <si>
    <t>1610.499.080-000</t>
  </si>
  <si>
    <t>VAINA PROTECTORA 1J04.0</t>
  </si>
  <si>
    <t>1610.500.004-000</t>
  </si>
  <si>
    <t>ANILLO 11206 - DISCONTINUADO</t>
  </si>
  <si>
    <t>1610.500.013-000</t>
  </si>
  <si>
    <t>ARO 11214/231</t>
  </si>
  <si>
    <t>1610.500.016-000</t>
  </si>
  <si>
    <t>CASQUILLO 11235 RX 021</t>
  </si>
  <si>
    <t>1610.500.021-000</t>
  </si>
  <si>
    <t>1610.500.023-000</t>
  </si>
  <si>
    <t>1610.500.024-000</t>
  </si>
  <si>
    <t>1610.500.025-000</t>
  </si>
  <si>
    <t>Eje el borde</t>
  </si>
  <si>
    <t>1610.500.026-000</t>
  </si>
  <si>
    <t>CASQUILLO CON BORDE 1B66.0</t>
  </si>
  <si>
    <t>1610.501.031-000</t>
  </si>
  <si>
    <t>1610.501.036-000</t>
  </si>
  <si>
    <t>CASQUILLO 11313</t>
  </si>
  <si>
    <t>1610.502.011-000</t>
  </si>
  <si>
    <t>ARANDELA APOYO</t>
  </si>
  <si>
    <t>1610.502.012-000</t>
  </si>
  <si>
    <t>1610.506.013-000</t>
  </si>
  <si>
    <t>CASQUILLO 11206-DISCONT.</t>
  </si>
  <si>
    <t>1610.506.015-000</t>
  </si>
  <si>
    <t>CASQUILLO 11206</t>
  </si>
  <si>
    <t>1610.506.019-000</t>
  </si>
  <si>
    <t>CASQUILLO DE MANDO 11335</t>
  </si>
  <si>
    <t>1610.508.006-000</t>
  </si>
  <si>
    <t>1610.508.008-000</t>
  </si>
  <si>
    <t>TAPA 11210.0/11226/28</t>
  </si>
  <si>
    <t>1610.508.017-000</t>
  </si>
  <si>
    <t>CAPER PROT 11214/6/30/1/309/13</t>
  </si>
  <si>
    <t>1610.508.021-000</t>
  </si>
  <si>
    <t>CAPERUZA PROTECTORA 112257/56.2</t>
  </si>
  <si>
    <t>1610.508.023-000</t>
  </si>
  <si>
    <t>CAPERUZA DE PROTECCIÓN 1245.7</t>
  </si>
  <si>
    <t>1610.508.027-000</t>
  </si>
  <si>
    <t>CAPERUZA PROT.11223/45/311/16</t>
  </si>
  <si>
    <t>1610.508.029-000</t>
  </si>
  <si>
    <t>CAPERUZA PROTECTORA 11222</t>
  </si>
  <si>
    <t>1610.508.030-000</t>
  </si>
  <si>
    <t>TAPA 11230</t>
  </si>
  <si>
    <t>1610.508.034-000</t>
  </si>
  <si>
    <t>CAPERUZA PROT.11238/50.7 RX1610.508.047</t>
  </si>
  <si>
    <t>1610.508.035-000</t>
  </si>
  <si>
    <t>CAPERUZA PROTECTORA 11235/11263</t>
  </si>
  <si>
    <t>1610.508.039-000</t>
  </si>
  <si>
    <t>CAPERUZA PROTECTORA 11239</t>
  </si>
  <si>
    <t>1610.508.050-000</t>
  </si>
  <si>
    <t>TAPON 11263/11321/1130A/11335</t>
  </si>
  <si>
    <t>1610.508.051-000</t>
  </si>
  <si>
    <t>CASQUILLO DE GOMA 1B5A.4</t>
  </si>
  <si>
    <t>1610.508.052-000</t>
  </si>
  <si>
    <t>1610.508.054-000</t>
  </si>
  <si>
    <t>DISTANCIADOR 11335</t>
  </si>
  <si>
    <t>1610.508.057-000</t>
  </si>
  <si>
    <t>CAPERUZA DE PROTECCION 11264</t>
  </si>
  <si>
    <t>1610.508.058-000</t>
  </si>
  <si>
    <t>Cojinete deslizante</t>
  </si>
  <si>
    <t>1610.516.007-000</t>
  </si>
  <si>
    <t>TAPA DE CIERRE 1304.1</t>
  </si>
  <si>
    <t>1610.516.010-000</t>
  </si>
  <si>
    <t>CASQUILLO DE SEGURO (11216) RX222.008</t>
  </si>
  <si>
    <t>1610.516.013-000</t>
  </si>
  <si>
    <t>BRIDA 1C37.0</t>
  </si>
  <si>
    <t>1610.516.015-000</t>
  </si>
  <si>
    <t>MANGUITO C/RET.  11239.7</t>
  </si>
  <si>
    <t>1610.516.016-000</t>
  </si>
  <si>
    <t>PRENSA 11321 RX 1600A0073C</t>
  </si>
  <si>
    <t>1610.516.017-000</t>
  </si>
  <si>
    <t>TAPA DE CIERRE 1130A</t>
  </si>
  <si>
    <t>1610.520.001-000</t>
  </si>
  <si>
    <t>CASQUILLO-TOPE 1245.7</t>
  </si>
  <si>
    <t>1610.520.003-000</t>
  </si>
  <si>
    <t>MANGUITO DISTANCIADOR 11335</t>
  </si>
  <si>
    <t>1610.520.005-000</t>
  </si>
  <si>
    <t>CASQUILLO-TOPE 1C36.0</t>
  </si>
  <si>
    <t>1610.520.006-000</t>
  </si>
  <si>
    <t>Buje de límite</t>
  </si>
  <si>
    <t>1610.520.007-000</t>
  </si>
  <si>
    <t>CASQUILLO-TOPE 1B66.0</t>
  </si>
  <si>
    <t>1610.521.011-000</t>
  </si>
  <si>
    <t>BUJE 11311/16</t>
  </si>
  <si>
    <t>1610.522.005-000</t>
  </si>
  <si>
    <t>1610.522.008-000</t>
  </si>
  <si>
    <t>ARO DEFLECTOR DE AIRE</t>
  </si>
  <si>
    <t>1610.522.009-000</t>
  </si>
  <si>
    <t>DEFLECTOR DE AIRE 11226-18-28</t>
  </si>
  <si>
    <t>1610.522.012-000</t>
  </si>
  <si>
    <t>DEFLECTOR 11250.7</t>
  </si>
  <si>
    <t>1610.522.013-000</t>
  </si>
  <si>
    <t>ARO DEFLECTOR DE AIRE 1B53.7</t>
  </si>
  <si>
    <t>1610.522.015-000</t>
  </si>
  <si>
    <t>ARO DEFLECTOR DE AIRE 11267/112A0</t>
  </si>
  <si>
    <t>1610.590.002-000</t>
  </si>
  <si>
    <t>ANILLO DE RETENCION 11309/13</t>
  </si>
  <si>
    <t>1610.590.004-000</t>
  </si>
  <si>
    <t>ANILLO DE RETENCION 11311/16</t>
  </si>
  <si>
    <t>1610.590.006-000</t>
  </si>
  <si>
    <t>MANGUITO DISTANCIADOR 1245.7</t>
  </si>
  <si>
    <t>1610.590.016-000</t>
  </si>
  <si>
    <t>MANGUITO CON REBORDE 1BA0.1</t>
  </si>
  <si>
    <t>1610.590.018-000</t>
  </si>
  <si>
    <t>MANGUITO DE ALOJAMIENTO 1BA0.1</t>
  </si>
  <si>
    <t>1610.590.019-000</t>
  </si>
  <si>
    <t>CASQUILLO-TOPE 11264/11269</t>
  </si>
  <si>
    <t>1610.590.020-000</t>
  </si>
  <si>
    <t>MANGUITO DE ALOJAMIENTO 1B3A.0</t>
  </si>
  <si>
    <t>1610.591.001-000</t>
  </si>
  <si>
    <t>CAPERUZA DE PROTECCIÓN 1304.1</t>
  </si>
  <si>
    <t>1610.591.008-000</t>
  </si>
  <si>
    <t>TAPON 11237</t>
  </si>
  <si>
    <t>1610.591.009-000</t>
  </si>
  <si>
    <t>VAINA PROTECCION 11214/6/30/1</t>
  </si>
  <si>
    <t>1610.591.011-000</t>
  </si>
  <si>
    <t>DEFLECTOR DE AIRE 11236</t>
  </si>
  <si>
    <t>1610.591.012-000</t>
  </si>
  <si>
    <t>1610.591.013-000</t>
  </si>
  <si>
    <t>MANCAL RX 1610.591.016-000</t>
  </si>
  <si>
    <t>1610.591.014-000</t>
  </si>
  <si>
    <t>VAINA PROTECTORA 11223/45</t>
  </si>
  <si>
    <t>1610.591.015-000</t>
  </si>
  <si>
    <t>TAPON 1245.7</t>
  </si>
  <si>
    <t>1610.591.017-000</t>
  </si>
  <si>
    <t>ARO DEFLECTOR 11225,7</t>
  </si>
  <si>
    <t>1610.591.021-000</t>
  </si>
  <si>
    <t>VAINA PROTECTORA11235/11263 RX 042</t>
  </si>
  <si>
    <t>1610.591.022-000</t>
  </si>
  <si>
    <t>PLACA DE CIERRE 11235</t>
  </si>
  <si>
    <t>1610.591.023-000</t>
  </si>
  <si>
    <t>DEFLECTOR  11235/11263</t>
  </si>
  <si>
    <t>1610.591.027-000</t>
  </si>
  <si>
    <t>VAINA PROTECTORA GBH 5-40 DCE</t>
  </si>
  <si>
    <t>1610.591.028-000</t>
  </si>
  <si>
    <t>ARO DEFLECTOR DE AIRE 1B64.0</t>
  </si>
  <si>
    <t>1610.591.030-000</t>
  </si>
  <si>
    <t>VAINA PROTECTORA 11321</t>
  </si>
  <si>
    <t>1610.591.039-000</t>
  </si>
  <si>
    <t>PLACA DE CIERRE 11263</t>
  </si>
  <si>
    <t>1610.591.042-000</t>
  </si>
  <si>
    <t>VAINA PROTECTORA 11235/11263 RA 021</t>
  </si>
  <si>
    <t>1610.591.043-000</t>
  </si>
  <si>
    <t>ARO DEFLECTOR DE AIRE NEGRO 1C32.1</t>
  </si>
  <si>
    <t>1610.591.045-000</t>
  </si>
  <si>
    <t>VAINA PROTECTORA 11264</t>
  </si>
  <si>
    <t>1610.591.046-000</t>
  </si>
  <si>
    <t>1610.591.047-000</t>
  </si>
  <si>
    <t>DEFLECTOR DE AIRE GSH 11 VC</t>
  </si>
  <si>
    <t>1610.591.048-000</t>
  </si>
  <si>
    <t>CONDUCCION DE AIRE 1C36.0</t>
  </si>
  <si>
    <t>1610.591.052-000</t>
  </si>
  <si>
    <t>Suyector de piezas</t>
  </si>
  <si>
    <t>1610.591.053-000</t>
  </si>
  <si>
    <t>PISA 1B66.0</t>
  </si>
  <si>
    <t>1610.591.054-000</t>
  </si>
  <si>
    <t>VAINA PROTECTORA 1B66.0</t>
  </si>
  <si>
    <t>1610.703.011-000</t>
  </si>
  <si>
    <t>1610.703.019-000</t>
  </si>
  <si>
    <t>PROTECTOR DE CABLE 11304</t>
  </si>
  <si>
    <t>1610.703.054-000</t>
  </si>
  <si>
    <t>PROTECTOR DE CABLE 11236 RX 260070301800</t>
  </si>
  <si>
    <t>1610.703.055-000</t>
  </si>
  <si>
    <t>OJETE PROTECTOR 11304.1/1130A</t>
  </si>
  <si>
    <t>1610.703.056-000</t>
  </si>
  <si>
    <t>PROT. CABLE 11241.7/318.7 RX1600703035</t>
  </si>
  <si>
    <t>1610.703.057-000</t>
  </si>
  <si>
    <t>MANGUITO DE CABLE 1130A</t>
  </si>
  <si>
    <t>1610.707.000-000</t>
  </si>
  <si>
    <t>MANGA AISLANTE 1304.1</t>
  </si>
  <si>
    <t>1610.900.013-000</t>
  </si>
  <si>
    <t>RODAMIENTO 11305</t>
  </si>
  <si>
    <t>1610.900.015-000</t>
  </si>
  <si>
    <t>RODAMIENTO 11304/1130A</t>
  </si>
  <si>
    <t>1610.900.023-000</t>
  </si>
  <si>
    <t>RODAMIENTO 11214/231</t>
  </si>
  <si>
    <t>1610.900.025-000</t>
  </si>
  <si>
    <t>RODAMIENTO RIGIDO BOLAS 2209</t>
  </si>
  <si>
    <t>1610.900.026-000</t>
  </si>
  <si>
    <t>RODAMIENTO 628LBV 11264/1132/11269/1B65</t>
  </si>
  <si>
    <t>1610.900.027-000</t>
  </si>
  <si>
    <t>RODAMIENTO 11304.1/1130A</t>
  </si>
  <si>
    <t>1610.900.030-000</t>
  </si>
  <si>
    <t>RODAMIENTO RIGIDO BOLAS 20X47X14 11335</t>
  </si>
  <si>
    <t>1610.900.033-000</t>
  </si>
  <si>
    <t>RODAMIENTO RIGIDO BOLAS 20X47X14</t>
  </si>
  <si>
    <t>1610.900.034-000</t>
  </si>
  <si>
    <t>RODAMIENTO RIGIDO BOLAS 20X42X12</t>
  </si>
  <si>
    <t>1610.905.001-000</t>
  </si>
  <si>
    <t>1610.905.005-000</t>
  </si>
  <si>
    <t>RODAMIENTO RIGIDO BOLAS 9X24X7</t>
  </si>
  <si>
    <t>1610.905.006-000</t>
  </si>
  <si>
    <t>RODAMIENTO RIGIDO BOLAS =1610905048</t>
  </si>
  <si>
    <t>1610.905.007-000</t>
  </si>
  <si>
    <t>RODAMIENTO 11230 - DISCONTINUADO</t>
  </si>
  <si>
    <t>1610.905.011-000</t>
  </si>
  <si>
    <t>1610.905.014-000</t>
  </si>
  <si>
    <t>RODAMIENTO 11216/230</t>
  </si>
  <si>
    <t>1610.905.015-000</t>
  </si>
  <si>
    <t>RODAMIENTO DE BOLAS 11313 (RA 027)</t>
  </si>
  <si>
    <t>1610.905.024-000</t>
  </si>
  <si>
    <t>RODAMIENTO 11231.7 OBSOLETO</t>
  </si>
  <si>
    <t>1610.905.025-000</t>
  </si>
  <si>
    <t>RODAMIENTO RIGIDO BOLAS 7X19X6</t>
  </si>
  <si>
    <t>1610.905.026-000</t>
  </si>
  <si>
    <t>RODAMIENTO  11239.7</t>
  </si>
  <si>
    <t>1610.905.028-000</t>
  </si>
  <si>
    <t>RODAMIENTO RIGIDO BOLAS 12X32X10</t>
  </si>
  <si>
    <t>1610.905.031-000</t>
  </si>
  <si>
    <t>1610.905.032-000</t>
  </si>
  <si>
    <t>RODRODAMIENTO RIGIDO BOLAS 7X19X6 12A0</t>
  </si>
  <si>
    <t>1610.905.033-000</t>
  </si>
  <si>
    <t>RODAMIENTO 11258</t>
  </si>
  <si>
    <t>1610.905.034-000</t>
  </si>
  <si>
    <t>1610.905.035-000</t>
  </si>
  <si>
    <t>RODAMIENTO 1158</t>
  </si>
  <si>
    <t>1610.905.036-000</t>
  </si>
  <si>
    <t>1610.905.039-000</t>
  </si>
  <si>
    <t>RODAMIENTO 11904</t>
  </si>
  <si>
    <t>1610.905.041-000</t>
  </si>
  <si>
    <t>RODAMIENTO RIGIDO 11269</t>
  </si>
  <si>
    <t>1610.905.044-000</t>
  </si>
  <si>
    <t>RODAMIENTO RIGIDO BOLAS 1B3A.0</t>
  </si>
  <si>
    <t>1610.905.048-000</t>
  </si>
  <si>
    <t>RODAMIENTO RIGIDO BOLAS =1610905006</t>
  </si>
  <si>
    <t>1610.910.007-000</t>
  </si>
  <si>
    <t>RODAMIENTO 11218</t>
  </si>
  <si>
    <t>1610.910.012-000</t>
  </si>
  <si>
    <t>RODAMIENTO 11304 62X30X16MM.</t>
  </si>
  <si>
    <t>1610.910.035-000</t>
  </si>
  <si>
    <t>RODAMIENTO DE AGUJAS D20XD37X17</t>
  </si>
  <si>
    <t>1610.910.049-000</t>
  </si>
  <si>
    <t>1610.910.051-000</t>
  </si>
  <si>
    <t>1610.910.052-000</t>
  </si>
  <si>
    <t>1610.910.056-000</t>
  </si>
  <si>
    <t>1610.910.057-000</t>
  </si>
  <si>
    <t>CASQUILLO DE AGUJAS Ø8XØ12X10 MM</t>
  </si>
  <si>
    <t>1610.910.058-000</t>
  </si>
  <si>
    <t>1610.910.063-000</t>
  </si>
  <si>
    <t>1610.910.064-000</t>
  </si>
  <si>
    <t>CASQUILLO DE AGUJA 11218-26-36-28/7557.5</t>
  </si>
  <si>
    <t>1610.910.067-000</t>
  </si>
  <si>
    <t>CASQUILLO DE AGUJAS 11206.0</t>
  </si>
  <si>
    <t>1610.910.068-000</t>
  </si>
  <si>
    <t>CASQUILLO DE AGUJAS 11214/6/31 OBSOLETO</t>
  </si>
  <si>
    <t>1610.910.069-000</t>
  </si>
  <si>
    <t>CASQUILLO D AGUJAS 11309 - DISCONTINUADO</t>
  </si>
  <si>
    <t>1610.910.070-000</t>
  </si>
  <si>
    <t>1610.910.071-000</t>
  </si>
  <si>
    <t>CASQUILLO DE AGUJAS 3245</t>
  </si>
  <si>
    <t>1610.910.072-000</t>
  </si>
  <si>
    <t>CASQUILLO DE AGUJAS 11309</t>
  </si>
  <si>
    <t>1610.910.073-000</t>
  </si>
  <si>
    <t>RODAM. DE AGUJAS 11218-26-36/28 OBSOLETO</t>
  </si>
  <si>
    <t>1610.910.074-000</t>
  </si>
  <si>
    <t>RODAMIENTO 11226-18-28</t>
  </si>
  <si>
    <t>1610.910.077-000</t>
  </si>
  <si>
    <t>RODAMIENTO 3304 11256.2</t>
  </si>
  <si>
    <t>1610.910.080-000</t>
  </si>
  <si>
    <t>1610.910.081-000</t>
  </si>
  <si>
    <t>Cojinete de agujas</t>
  </si>
  <si>
    <t>1610.910.085-000</t>
  </si>
  <si>
    <t>RODAMIENTO DE AGUJAS 1245.7</t>
  </si>
  <si>
    <t>1610.910.087-000</t>
  </si>
  <si>
    <t>RODAMIENTO 11313 OBSOLETO</t>
  </si>
  <si>
    <t>1610.910.088-000</t>
  </si>
  <si>
    <t>RODAMIENTO 11313</t>
  </si>
  <si>
    <t>1610.910.094-000</t>
  </si>
  <si>
    <t>RODAMIENTO DE AGUJAS D25XD37X17</t>
  </si>
  <si>
    <t>1610.910.096-000</t>
  </si>
  <si>
    <t>Rodamiento De Agujas</t>
  </si>
  <si>
    <t>1610.910.097-000</t>
  </si>
  <si>
    <t>RODAMIENTO DE AGUJAS 1130A</t>
  </si>
  <si>
    <t>1610.910.098-000</t>
  </si>
  <si>
    <t>1610.913.000-000</t>
  </si>
  <si>
    <t>CORONA AXIAL DE AGUJAS 7457</t>
  </si>
  <si>
    <t>1610.913.001-000</t>
  </si>
  <si>
    <t>JAULA DE AGUJAS 11305</t>
  </si>
  <si>
    <t>1610.913.002-000</t>
  </si>
  <si>
    <t>JAULA DE AGUJAS 11206 OBSOLETO</t>
  </si>
  <si>
    <t>1610.913.004-000</t>
  </si>
  <si>
    <t>CORONA AGUJAS Rx 1610913029</t>
  </si>
  <si>
    <t>1610.913.005-000</t>
  </si>
  <si>
    <t>JAULA DE AGUJAS 11304/1130A</t>
  </si>
  <si>
    <t>1610.913.008-000</t>
  </si>
  <si>
    <t>CORONA DE AGUJAS 3245</t>
  </si>
  <si>
    <t>1610.913.009-000</t>
  </si>
  <si>
    <t>CORONA DE AGUJAS 11216/230 OBSOLETO</t>
  </si>
  <si>
    <t>1610.913.010-000</t>
  </si>
  <si>
    <t>RODAM.DE AGUJAS 11218-26-36-28</t>
  </si>
  <si>
    <t>1610.913.011-000</t>
  </si>
  <si>
    <t>CORONA DE AGUJAS 11230/45/335/263</t>
  </si>
  <si>
    <t>1610.913.013-000</t>
  </si>
  <si>
    <t>CORONA AGUJAS GSH 11 E</t>
  </si>
  <si>
    <t>1610.913.015-000</t>
  </si>
  <si>
    <t>RODAMIENTO DE AGUJAS  11239.7</t>
  </si>
  <si>
    <t>1610.913.020-000</t>
  </si>
  <si>
    <t>1610.913.023-000</t>
  </si>
  <si>
    <t>Portaagujas</t>
  </si>
  <si>
    <t>1610.913.029-000</t>
  </si>
  <si>
    <t>CORONA AGUJAS Ra 1610913004</t>
  </si>
  <si>
    <t>1610.920.001-000</t>
  </si>
  <si>
    <t>JAULA DE AGUJAS</t>
  </si>
  <si>
    <t>1610.920.002-000</t>
  </si>
  <si>
    <t>RODAMIENTO AXIAL 3245/11210</t>
  </si>
  <si>
    <t>1610.920.003-000</t>
  </si>
  <si>
    <t>RODAMIENTO 11210.0</t>
  </si>
  <si>
    <t>1610.920.004-000</t>
  </si>
  <si>
    <t>RODAMIENTO AXIAL 11210.0</t>
  </si>
  <si>
    <t>1610.920.005-000</t>
  </si>
  <si>
    <t>RODAMIENTO AXIAL (3245)</t>
  </si>
  <si>
    <t>1610.920.006-000</t>
  </si>
  <si>
    <t>RODAMIENTO AXIAL 3245</t>
  </si>
  <si>
    <t>1610.920.007-000</t>
  </si>
  <si>
    <t>RODAM.A BOLILLA 1614/11222</t>
  </si>
  <si>
    <t>1610.920.008-000</t>
  </si>
  <si>
    <t>RODAMIENTOS 3304 11256.2 RX1610920012</t>
  </si>
  <si>
    <t>1610.920.009-000</t>
  </si>
  <si>
    <t>RODAMIENTO AXIAL 11225.7/56.2</t>
  </si>
  <si>
    <t>1610.920.012-000</t>
  </si>
  <si>
    <t>RODAMIENTOS 3304 11256.2 RA1610920008</t>
  </si>
  <si>
    <t>1611.006.008-000</t>
  </si>
  <si>
    <t>Holding Plate</t>
  </si>
  <si>
    <t>1611.010.006-000</t>
  </si>
  <si>
    <t>GANCHO DE CONEXION 1B64.0</t>
  </si>
  <si>
    <t>1611.014.002-000</t>
  </si>
  <si>
    <t>JUNTA 11239.7</t>
  </si>
  <si>
    <t>1611.015.006-000</t>
  </si>
  <si>
    <t>JUNTA</t>
  </si>
  <si>
    <t>1611.015.007-000</t>
  </si>
  <si>
    <t>1611.015.012-000</t>
  </si>
  <si>
    <t>PLACA DE JUNTA</t>
  </si>
  <si>
    <t>1611.015.015-000</t>
  </si>
  <si>
    <t>1611.015.017-000</t>
  </si>
  <si>
    <t>1611.015.018-000</t>
  </si>
  <si>
    <t>MARCO DE EMPAQUET</t>
  </si>
  <si>
    <t>1611.015.020-000</t>
  </si>
  <si>
    <t>JUNTA 11206.0</t>
  </si>
  <si>
    <t>1611.015.021-000</t>
  </si>
  <si>
    <t>PLACA DE JUNTA 11304/1130A</t>
  </si>
  <si>
    <t>1611.015.030-000</t>
  </si>
  <si>
    <t>JUNTA  11214/231</t>
  </si>
  <si>
    <t>1611.015.031-000</t>
  </si>
  <si>
    <t>JUNTA 11214/231</t>
  </si>
  <si>
    <t>1611.015.033-000</t>
  </si>
  <si>
    <t>JUNTA 3245</t>
  </si>
  <si>
    <t>1611.015.034-000</t>
  </si>
  <si>
    <t>ANILLO DE JUNTA 3245</t>
  </si>
  <si>
    <t>1611.015.035-000</t>
  </si>
  <si>
    <t>1611.015.036-000</t>
  </si>
  <si>
    <t>JUNTA 11216/230</t>
  </si>
  <si>
    <t>1611.015.040-000</t>
  </si>
  <si>
    <t>JUNTA CARCASA 3304</t>
  </si>
  <si>
    <t>1611.015.041-000</t>
  </si>
  <si>
    <t>ANILLO SELLADOR CARCASA 3304 11256.2</t>
  </si>
  <si>
    <t>1611.015.042-000</t>
  </si>
  <si>
    <t>ANILLO SELLADOR CARCASA 3304</t>
  </si>
  <si>
    <t>1611.015.043-000</t>
  </si>
  <si>
    <t>1611.015.045-000</t>
  </si>
  <si>
    <t>1611.015.047-000</t>
  </si>
  <si>
    <t>JUNTA 11235/11263</t>
  </si>
  <si>
    <t>1611.015.050-000</t>
  </si>
  <si>
    <t>JUNTA 11318.7/11321</t>
  </si>
  <si>
    <t>1611.015.053-000</t>
  </si>
  <si>
    <t>JUNTA 11241.7/11264/11269</t>
  </si>
  <si>
    <t>1611.015.055-000</t>
  </si>
  <si>
    <t>JUNTA 11258</t>
  </si>
  <si>
    <t>1611.015.058-000</t>
  </si>
  <si>
    <t>JUNTA 11332</t>
  </si>
  <si>
    <t>1611.015.059-000</t>
  </si>
  <si>
    <t>JUNTA 11335</t>
  </si>
  <si>
    <t>1611.015.061-000</t>
  </si>
  <si>
    <t>ANILLO RECTANGULAR 1130A</t>
  </si>
  <si>
    <t>1611.015.062-000</t>
  </si>
  <si>
    <t>JUNTA 11904</t>
  </si>
  <si>
    <t>1611.015.063-000</t>
  </si>
  <si>
    <t>1611.015.064-000</t>
  </si>
  <si>
    <t>Recorte de sellado</t>
  </si>
  <si>
    <t>1611.015.065-000</t>
  </si>
  <si>
    <t>JUNTA 1B66.0</t>
  </si>
  <si>
    <t>1611.031.005-000</t>
  </si>
  <si>
    <t>CHAPA 3245 - DISCONTINUADO</t>
  </si>
  <si>
    <t>1611.035.005-000</t>
  </si>
  <si>
    <t>1611.035.007-000</t>
  </si>
  <si>
    <t>UJETADOR DE CABLE 1B5A.4</t>
  </si>
  <si>
    <t>1611.038.018-000</t>
  </si>
  <si>
    <t>PIEZA PARA INSERTAR 1C36.0</t>
  </si>
  <si>
    <t>1611.091.002-000</t>
  </si>
  <si>
    <t>BORNE</t>
  </si>
  <si>
    <t>1611.091.003-000</t>
  </si>
  <si>
    <t>1611.091.006-000</t>
  </si>
  <si>
    <t>BORNE DE 2 CONTACTOS 11239.7/1130A</t>
  </si>
  <si>
    <t>1611.098.004-000</t>
  </si>
  <si>
    <t>CHAPA 11309/313 OBSOLETO</t>
  </si>
  <si>
    <t>1611.098.005-000</t>
  </si>
  <si>
    <t>1611.099.003-000</t>
  </si>
  <si>
    <t>JUNTA DE INTERRUPTOR 11304</t>
  </si>
  <si>
    <t>1611.099.004-000</t>
  </si>
  <si>
    <t>PLACA DE FIJACION</t>
  </si>
  <si>
    <t>1611.104.999-000</t>
  </si>
  <si>
    <t>PLACA DE CARACTERISTICAS</t>
  </si>
  <si>
    <t>1611.110.855-000</t>
  </si>
  <si>
    <t>ETIQUETA ADHESIVA 1C16.8</t>
  </si>
  <si>
    <t>1611.110.D43-000</t>
  </si>
  <si>
    <t>1611.110.W39-000</t>
  </si>
  <si>
    <t>PLACA INDICADORA 1BA0.0</t>
  </si>
  <si>
    <t>1611.110.X17-000</t>
  </si>
  <si>
    <t>1611.302.011-000</t>
  </si>
  <si>
    <t>ABRAZADERA 1304.1</t>
  </si>
  <si>
    <t>1611.302.015-000</t>
  </si>
  <si>
    <t>ABRAZADERA 1130A</t>
  </si>
  <si>
    <t>1611.316.006-000</t>
  </si>
  <si>
    <t>CINTA TENSORA Ø43 MM7557.5 11250.7/26/28</t>
  </si>
  <si>
    <t>1611.316.010-000</t>
  </si>
  <si>
    <t>CINTA TENSORA 1C16.8</t>
  </si>
  <si>
    <t>1611.316.018-000</t>
  </si>
  <si>
    <t>CINTA TENSORA 11239.7</t>
  </si>
  <si>
    <t>1611.316.019-000</t>
  </si>
  <si>
    <t>CINTA TENSORA Ø62 MM 1C32.1/1B64.0</t>
  </si>
  <si>
    <t>1611.316.021-000</t>
  </si>
  <si>
    <t>CINTURÓN DE APRIETE</t>
  </si>
  <si>
    <t>1611.316.022-000</t>
  </si>
  <si>
    <t>CINT TENSORA EMP. AUX. 11318.7/11321</t>
  </si>
  <si>
    <t>1611.316.024-000</t>
  </si>
  <si>
    <t>CINTA TENSORA 11335 RX 1611316034</t>
  </si>
  <si>
    <t>1611.316.029-000</t>
  </si>
  <si>
    <t>CINTA TENSORA 1C36.0</t>
  </si>
  <si>
    <t>1611.316.038-000</t>
  </si>
  <si>
    <t>CINTA TENSORA 1B66.0</t>
  </si>
  <si>
    <t>1611.322.004-000</t>
  </si>
  <si>
    <t>1611.323.002-000</t>
  </si>
  <si>
    <t>ESTRIBO DE CONTACTO 11236</t>
  </si>
  <si>
    <t>1611.323.003-000</t>
  </si>
  <si>
    <t>PORTACARBONES 11225.7 - DISCONTINUADO</t>
  </si>
  <si>
    <t>1611.329.009-000</t>
  </si>
  <si>
    <t>PALANCA DE PRESION (3245)</t>
  </si>
  <si>
    <t>1611.329.011-000</t>
  </si>
  <si>
    <t>CHAPA SOPORTE 11216</t>
  </si>
  <si>
    <t>1611.329.016-000</t>
  </si>
  <si>
    <t>PLACA DE ENCLAVAMIENTO 1245.7</t>
  </si>
  <si>
    <t>1611.329.019-000</t>
  </si>
  <si>
    <t>HORQUILLA  11239.7</t>
  </si>
  <si>
    <t>1611.329.020-000</t>
  </si>
  <si>
    <t>FIJACION  11239.7</t>
  </si>
  <si>
    <t>1611.329.030-000</t>
  </si>
  <si>
    <t>HORQUILLA DE MANDO NEGRO 1C32.1</t>
  </si>
  <si>
    <t>1611.390.005-000</t>
  </si>
  <si>
    <t>CONECTOR 11335</t>
  </si>
  <si>
    <t>1611.911.000-000</t>
  </si>
  <si>
    <t>LEVA DE PERCUSION 3304/11256.2</t>
  </si>
  <si>
    <t>1611.921.001-000</t>
  </si>
  <si>
    <t>PLACA DE GUIA 11264/11269</t>
  </si>
  <si>
    <t>1612.001.027-000</t>
  </si>
  <si>
    <t>BIELA 11304 RX040</t>
  </si>
  <si>
    <t>1612.001.029-000</t>
  </si>
  <si>
    <t>BIELA DE MARTILLO 11305</t>
  </si>
  <si>
    <t>1612.001.030-000</t>
  </si>
  <si>
    <t>BIELA 11205 OBSOLETO</t>
  </si>
  <si>
    <t>1612.001.031-000</t>
  </si>
  <si>
    <t>BIELA 11309/313 OBSOLETO</t>
  </si>
  <si>
    <t>1612.001.032-000</t>
  </si>
  <si>
    <t>BIELA 11216</t>
  </si>
  <si>
    <t>1612.001.034-000</t>
  </si>
  <si>
    <t>BIELA 11223/45</t>
  </si>
  <si>
    <t>1612.001.040-000</t>
  </si>
  <si>
    <t>BIELA 1304.1</t>
  </si>
  <si>
    <t>1612.001.041-000</t>
  </si>
  <si>
    <t>Biela Articulada</t>
  </si>
  <si>
    <t>1612.001.042-000</t>
  </si>
  <si>
    <t>BIELA 11335</t>
  </si>
  <si>
    <t>1612.025.004-000</t>
  </si>
  <si>
    <t>EMPUÑADURA ROTOMARTILLO GBH 8-45 D / DV</t>
  </si>
  <si>
    <t>1612.025.019-000</t>
  </si>
  <si>
    <t>EMPUÑADURA ADICIONAL 11226/11228 DISCON.</t>
  </si>
  <si>
    <t>1612.025.031-000</t>
  </si>
  <si>
    <t>EMPUÑADURA TAL 1/2"YMAYOR RX1619.P10.682</t>
  </si>
  <si>
    <t>1612.025.043-000</t>
  </si>
  <si>
    <t>EMPUNADURA ADICIONAL 1245.7</t>
  </si>
  <si>
    <t>1612.025.050-000</t>
  </si>
  <si>
    <t>EMPU#ADURA 11245- Rx 1612025060</t>
  </si>
  <si>
    <t>1612.025.055-000</t>
  </si>
  <si>
    <t>EMPUÑADURA ROTOMARTILLO GBH 5-40 DCE</t>
  </si>
  <si>
    <t>1612.025.057-000</t>
  </si>
  <si>
    <t>EMPUÑA.AUX.GBH 2-20/2-26/28/RX160202508X</t>
  </si>
  <si>
    <t>1612.025.058-000</t>
  </si>
  <si>
    <t>MANGO EMPUÑA.GBH 2-20/3-28/2-26/2-28/36V</t>
  </si>
  <si>
    <t>1612.025.060-000</t>
  </si>
  <si>
    <t>EMPUÑAD 11245/266/4/337 RX 160202507H</t>
  </si>
  <si>
    <t>1612.025.061-000</t>
  </si>
  <si>
    <t>EMPUÑADURA AUXILIAR 11321 RX1602025097</t>
  </si>
  <si>
    <t>1612.025.070-000</t>
  </si>
  <si>
    <t>ASA DE TRANSPORTE 11335</t>
  </si>
  <si>
    <t>1612.025.079-000</t>
  </si>
  <si>
    <t>EMPUNADURA ADICIONAL 1C32.1</t>
  </si>
  <si>
    <t>1612.025.086-000</t>
  </si>
  <si>
    <t>EMPUNADURA 11231/1123A RX 1602.025.08Y</t>
  </si>
  <si>
    <t>1612.026.011-000</t>
  </si>
  <si>
    <t>PALANCA 11304</t>
  </si>
  <si>
    <t>1612.026.015-000</t>
  </si>
  <si>
    <t>PERILLA P. CAMBIO 11205</t>
  </si>
  <si>
    <t>1612.026.023-000</t>
  </si>
  <si>
    <t>MANETA UBH 2-20 SE</t>
  </si>
  <si>
    <t>1612.026.029-000</t>
  </si>
  <si>
    <t>LEVA 11309</t>
  </si>
  <si>
    <t>1612.026.033-000</t>
  </si>
  <si>
    <t>MANETA 11214/231</t>
  </si>
  <si>
    <t>1612.026.035-000</t>
  </si>
  <si>
    <t>1612.026.043-000</t>
  </si>
  <si>
    <t>TRINQUETE 11216/230</t>
  </si>
  <si>
    <t>1612.026.049-000</t>
  </si>
  <si>
    <t>CORREDERA 11311/16</t>
  </si>
  <si>
    <t>1612.026.050-000</t>
  </si>
  <si>
    <t>TRINQUETE 11222</t>
  </si>
  <si>
    <t>1612.026.056-000</t>
  </si>
  <si>
    <t>TRINQUETE 11223</t>
  </si>
  <si>
    <t>1612.026.057-000</t>
  </si>
  <si>
    <t>CONMUTADOR 11223/45</t>
  </si>
  <si>
    <t>1612.026.063-000</t>
  </si>
  <si>
    <t>TAPA INTERRUPTOR 11311/16 RA 048</t>
  </si>
  <si>
    <t>1612.026.078-000</t>
  </si>
  <si>
    <t>BOTON PALANCA CAMBIO 11235</t>
  </si>
  <si>
    <t>1612.026.083-000</t>
  </si>
  <si>
    <t>Shift-Lever Knob</t>
  </si>
  <si>
    <t>1612.026.084-000</t>
  </si>
  <si>
    <t>TRINQUETE 11245</t>
  </si>
  <si>
    <t>1612.026.090-000</t>
  </si>
  <si>
    <t>MANETA  11239.7</t>
  </si>
  <si>
    <t>1612.026.097-000</t>
  </si>
  <si>
    <t>MANETA 11250.7</t>
  </si>
  <si>
    <t>1612.026.100-000</t>
  </si>
  <si>
    <t>BOTON PALANCA DE CAMBIO 11263</t>
  </si>
  <si>
    <t>1612.026.114-000</t>
  </si>
  <si>
    <t>BOTON DE MANDO 1J04.0</t>
  </si>
  <si>
    <t>1612.026.126-000</t>
  </si>
  <si>
    <t>Trinquete</t>
  </si>
  <si>
    <t>1612.026.151-000</t>
  </si>
  <si>
    <t>MANETA 113BA</t>
  </si>
  <si>
    <t>1612.026.153-000</t>
  </si>
  <si>
    <t>TRINQUETE 1130A</t>
  </si>
  <si>
    <t>1612.099.000-000</t>
  </si>
  <si>
    <t>CORREDERA DE CONEXION 1C32.1</t>
  </si>
  <si>
    <t>1612.099.001-000</t>
  </si>
  <si>
    <t>1612.099.002-000</t>
  </si>
  <si>
    <t>1612.099.005-000</t>
  </si>
  <si>
    <t>PALANCA BASCULANTE 1B65.0</t>
  </si>
  <si>
    <t>1612.210.118-000</t>
  </si>
  <si>
    <t>EXCENTRICO  11239.7</t>
  </si>
  <si>
    <t>1612.300.027-000</t>
  </si>
  <si>
    <t>Cuerpo de bloqueo</t>
  </si>
  <si>
    <t>1612.300.034-000</t>
  </si>
  <si>
    <t>CUERPO DE BLOQUEO 1B64.0</t>
  </si>
  <si>
    <t>1612.301.002-000</t>
  </si>
  <si>
    <t>CORREDERA</t>
  </si>
  <si>
    <t>1612.310.009-000</t>
  </si>
  <si>
    <t>BRIDA PARA EMPU¥ADURA 11304</t>
  </si>
  <si>
    <t>1612.380.010-000</t>
  </si>
  <si>
    <t>JUNTA 11235</t>
  </si>
  <si>
    <t>1612.386.004-000</t>
  </si>
  <si>
    <t>ESTRIBO DE SUJECION 1245.7</t>
  </si>
  <si>
    <t>1612.386.006-000</t>
  </si>
  <si>
    <t>Friso de sujeción</t>
  </si>
  <si>
    <t>1612.386.007-000</t>
  </si>
  <si>
    <t>PIEZA DE SOPORTE 1B66.0</t>
  </si>
  <si>
    <t>1612.388.019-000</t>
  </si>
  <si>
    <t>REJILLA PROTECTORA 3245 OBSOLETO</t>
  </si>
  <si>
    <t>1612.388.021-000</t>
  </si>
  <si>
    <t>PIEZA PERFILADA 11230</t>
  </si>
  <si>
    <t>1613.001.008-000</t>
  </si>
  <si>
    <t>1613.001.009-000</t>
  </si>
  <si>
    <t>PARADA DE PROFUNDIDAD</t>
  </si>
  <si>
    <t>1613.023.005-000</t>
  </si>
  <si>
    <t>Barra de cursor</t>
  </si>
  <si>
    <t>1613.023.007-000</t>
  </si>
  <si>
    <t>VASTAGO DE GUIA 1B5A.4 RA 1600A0013W</t>
  </si>
  <si>
    <t>1613.060.005-000</t>
  </si>
  <si>
    <t>ARBOL DENTADO 11304/1130A</t>
  </si>
  <si>
    <t>1613.060.009-000</t>
  </si>
  <si>
    <t>ENGRANAJE 11209</t>
  </si>
  <si>
    <t>1613.060.010-000</t>
  </si>
  <si>
    <t>ARBOL DENTADO 11210.0  7557.5</t>
  </si>
  <si>
    <t>1613.060.012-000</t>
  </si>
  <si>
    <t>EJE 11214/231</t>
  </si>
  <si>
    <t>1613.060.021-000</t>
  </si>
  <si>
    <t>EJE 11218-26 RX1617000518 DISCONTINUADO</t>
  </si>
  <si>
    <t>1613.060.038-000</t>
  </si>
  <si>
    <t>ARBOL DENTADO 11250.7 RX 1617000892000</t>
  </si>
  <si>
    <t>1613.060.049-000</t>
  </si>
  <si>
    <t>CUBO DENTADO 11335</t>
  </si>
  <si>
    <t>1613.060.050-000</t>
  </si>
  <si>
    <t>ARBOL DENTADO 11335</t>
  </si>
  <si>
    <t>1613.060.910-000</t>
  </si>
  <si>
    <t>SD</t>
  </si>
  <si>
    <t>1613.100.005-000</t>
  </si>
  <si>
    <t>ESPINA 11304 - RX 1617000429</t>
  </si>
  <si>
    <t>1613.100.011-000</t>
  </si>
  <si>
    <t>1613.100.013-000</t>
  </si>
  <si>
    <t>CLAVIJA 11210.0 7557.5</t>
  </si>
  <si>
    <t>1613.100.015-000</t>
  </si>
  <si>
    <t>CLAVIJA CILINDRICA 11216</t>
  </si>
  <si>
    <t>1613.100.020-000</t>
  </si>
  <si>
    <t>CLAVIJA CILINDRICA</t>
  </si>
  <si>
    <t>1613.100.021-000</t>
  </si>
  <si>
    <t>ESPIGA DE COJINETE 11225.7/56.2</t>
  </si>
  <si>
    <t>1613.100.030-000</t>
  </si>
  <si>
    <t>AGUJA PARA RODAMIENTO 119090</t>
  </si>
  <si>
    <t>1613.100.032-000</t>
  </si>
  <si>
    <t>1613.100.033-000</t>
  </si>
  <si>
    <t>ESPIGA DE GUIA  11258</t>
  </si>
  <si>
    <t>1613.100.034-000</t>
  </si>
  <si>
    <t>PIN DE ENCHUFE</t>
  </si>
  <si>
    <t>1613.100.040-000</t>
  </si>
  <si>
    <t>EJE DE PISTON 1B66.0</t>
  </si>
  <si>
    <t>1613.101.005-000</t>
  </si>
  <si>
    <t>PERNO DE PISTON 11309/313</t>
  </si>
  <si>
    <t>1613.101.011-000</t>
  </si>
  <si>
    <t>ARBOL DE TRANSMISSION 11258</t>
  </si>
  <si>
    <t>1613.101.012-000</t>
  </si>
  <si>
    <t>Eje De Piston</t>
  </si>
  <si>
    <t>1613.101.014-000</t>
  </si>
  <si>
    <t>CLAVIJA CILINDRICA 11336</t>
  </si>
  <si>
    <t>1613.103.006-000</t>
  </si>
  <si>
    <t>PIEZA BLOQUEO 3245</t>
  </si>
  <si>
    <t>1613.103.012-000</t>
  </si>
  <si>
    <t>PERNO DE BLOQUEO 1C36.0</t>
  </si>
  <si>
    <t>1613.105.010-000</t>
  </si>
  <si>
    <t>1613.105.012-000</t>
  </si>
  <si>
    <t>EJE DE PISTON 12A0</t>
  </si>
  <si>
    <t>1613.105.020-000</t>
  </si>
  <si>
    <t>PIN DE ENCHUFE Rx 1600A01TD0</t>
  </si>
  <si>
    <t>1613.120.015-000</t>
  </si>
  <si>
    <t>CLAVIJA DE PERCUSION 11305</t>
  </si>
  <si>
    <t>1613.120.017-000</t>
  </si>
  <si>
    <t>PERNO UBH 2-20 SE</t>
  </si>
  <si>
    <t>1613.120.018-000</t>
  </si>
  <si>
    <t>PERNO DE ARRASTRE</t>
  </si>
  <si>
    <t>1613.120.022-000</t>
  </si>
  <si>
    <t>PERNO DE FIJACION 1B23/11269</t>
  </si>
  <si>
    <t>1613.120.023-000</t>
  </si>
  <si>
    <t>Pin de arrastre</t>
  </si>
  <si>
    <t>1613.120.024-000</t>
  </si>
  <si>
    <t>MEMBRANA 1B65.0</t>
  </si>
  <si>
    <t>1613.120.025-000</t>
  </si>
  <si>
    <t>PERNO DE ARRASTRE 1B66.0</t>
  </si>
  <si>
    <t>1613.123.003-000</t>
  </si>
  <si>
    <t>CLAVIJA DE PERCUSION 1304.1</t>
  </si>
  <si>
    <t>1613.123.004-000</t>
  </si>
  <si>
    <t>1613.123.013-000</t>
  </si>
  <si>
    <t>Arbol Excentrico</t>
  </si>
  <si>
    <t>1613.123.014-000</t>
  </si>
  <si>
    <t>CLAVIJA DE PERCUSION RX 1600A014TU</t>
  </si>
  <si>
    <t>1613.124.019-000</t>
  </si>
  <si>
    <t>ARBOL P. MART. R.</t>
  </si>
  <si>
    <t>1613.124.026-000</t>
  </si>
  <si>
    <t>CLAVIJA DE PERCUSION 11210.0</t>
  </si>
  <si>
    <t>1613.124.027-000</t>
  </si>
  <si>
    <t>CLAVIJA PERCUSION 11205</t>
  </si>
  <si>
    <t>1613.124.029-000</t>
  </si>
  <si>
    <t>PERCUTOR 11206           RA020</t>
  </si>
  <si>
    <t>1613.124.036-000</t>
  </si>
  <si>
    <t>CLAVIJA DE PERCUSION 11230 OBSOLETO</t>
  </si>
  <si>
    <t>1613.124.037-000</t>
  </si>
  <si>
    <t>CLAVIJA PERCUSION 11231 DISCONT</t>
  </si>
  <si>
    <t>1613.124.038-000</t>
  </si>
  <si>
    <t>CLAVIJA PERCUSION 11231</t>
  </si>
  <si>
    <t>1613.124.043-000</t>
  </si>
  <si>
    <t>PERCUTOR 11222/11236</t>
  </si>
  <si>
    <t>1613.124.046-000</t>
  </si>
  <si>
    <t>CLAVIJA DE PERCUSION 1245.7 RX1600A01BG6</t>
  </si>
  <si>
    <t>1613.124.053-000</t>
  </si>
  <si>
    <t>CLAVIJA DE PERCUSION 11235 RX1617000474</t>
  </si>
  <si>
    <t>1613.124.077-000</t>
  </si>
  <si>
    <t>CLAVIJA DE PERCUSION 11250.7</t>
  </si>
  <si>
    <t>1613.124.078-000</t>
  </si>
  <si>
    <t>CLAVIJA DE PERCUSION 11253</t>
  </si>
  <si>
    <t>1613.124.080-000</t>
  </si>
  <si>
    <t>PERCUTOR</t>
  </si>
  <si>
    <t>1613.124.081-000</t>
  </si>
  <si>
    <t>1613.124.082-000</t>
  </si>
  <si>
    <t>CLAVIJA DE PERCUSION 1BA0.1</t>
  </si>
  <si>
    <t>1613.124.084-000</t>
  </si>
  <si>
    <t>1613.124.099-000</t>
  </si>
  <si>
    <t>CLAVIJA PERCUSION11231/1123ARX1613124098</t>
  </si>
  <si>
    <t>1613.160.008-000</t>
  </si>
  <si>
    <t>ARBOL DENTADO 3245</t>
  </si>
  <si>
    <t>1613.160.022-000</t>
  </si>
  <si>
    <t>CLAVIJA CILINDRICA 11225.7/56.2</t>
  </si>
  <si>
    <t>1613.180.002-000</t>
  </si>
  <si>
    <t>1613.200.007-000</t>
  </si>
  <si>
    <t>PERNO 11226/11236/28      RA017</t>
  </si>
  <si>
    <t>1613.200.019-000</t>
  </si>
  <si>
    <t>RODILLO CILINDRICO 1B64.0</t>
  </si>
  <si>
    <t>1613.200.022-000</t>
  </si>
  <si>
    <t>RODILLO CILINDRICO 1B66.0</t>
  </si>
  <si>
    <t>1613.219.001-000</t>
  </si>
  <si>
    <t>EJE DE PISTON 11231 OBSOLETO</t>
  </si>
  <si>
    <t>1613.230.003-000</t>
  </si>
  <si>
    <t>BOLA Ø7,3 MM 1B3A.0</t>
  </si>
  <si>
    <t>1613.231.006-000</t>
  </si>
  <si>
    <t>CORRED.ACCIONAMIENT. 11225.7/56.2</t>
  </si>
  <si>
    <t>1613.231.007-000</t>
  </si>
  <si>
    <t>CORRED.ENCLAVAMIENTO 11225,7</t>
  </si>
  <si>
    <t>1613.231.010-000</t>
  </si>
  <si>
    <t>BOTÓN PRES</t>
  </si>
  <si>
    <t>1613.231.014-000</t>
  </si>
  <si>
    <t>TABLILLA DE CONEXIONES  11258</t>
  </si>
  <si>
    <t>1613.231.016-000</t>
  </si>
  <si>
    <t>CONMUTADOR 11258</t>
  </si>
  <si>
    <t>1613.231.017-000</t>
  </si>
  <si>
    <t>CORREDERA DE CONEXION 11900</t>
  </si>
  <si>
    <t>1613.231.029-000</t>
  </si>
  <si>
    <t>CORREDERA DE CONEXION 11904</t>
  </si>
  <si>
    <t>1613.231.030-000</t>
  </si>
  <si>
    <t>CONMUTADOR 1B5A.4</t>
  </si>
  <si>
    <t>1613.231.031-000</t>
  </si>
  <si>
    <t>CHAPA DE EXCITACION 1J04.0</t>
  </si>
  <si>
    <t>1613.300.006-000</t>
  </si>
  <si>
    <t>TUERCA HEX</t>
  </si>
  <si>
    <t>1613.300.007-000</t>
  </si>
  <si>
    <t>TUERCA HEX 1B65.0/1B65.1</t>
  </si>
  <si>
    <t>1613.300.008-000</t>
  </si>
  <si>
    <t>TUERCA HEX DIN 936-M8X1-8 1C37.0</t>
  </si>
  <si>
    <t>1613.300.009-000</t>
  </si>
  <si>
    <t>TOPE DE PROFUNDIDAD SW 6X210 MM 11911</t>
  </si>
  <si>
    <t>1613.313.000-000</t>
  </si>
  <si>
    <t>TUERCA.HEX.DIN.985-M12X1.1130A</t>
  </si>
  <si>
    <t>1613.344.002-000</t>
  </si>
  <si>
    <t>TUERCA 11206 DISCONTINUADO.</t>
  </si>
  <si>
    <t>1613.344.005-000</t>
  </si>
  <si>
    <t>CASQUILLO C/BORDE 11313 OBSOLETO</t>
  </si>
  <si>
    <t>1613.349.017-000</t>
  </si>
  <si>
    <t>MANDO ESTRELLADO 11316/11321</t>
  </si>
  <si>
    <t>1613.349.020-000</t>
  </si>
  <si>
    <t>TUERCA HEX 11335</t>
  </si>
  <si>
    <t>1613.349.021-000</t>
  </si>
  <si>
    <t>1613.412.001-000</t>
  </si>
  <si>
    <t>TORNILLO AUTORROSCANTE B 4,8X68 MM 1B65</t>
  </si>
  <si>
    <t>1613.414.006-000</t>
  </si>
  <si>
    <t>TORNILLO 11206</t>
  </si>
  <si>
    <t>1613.414.009-000</t>
  </si>
  <si>
    <t>TORNILLO HEXAGONAL 11305</t>
  </si>
  <si>
    <t>1613.414.014-000</t>
  </si>
  <si>
    <t>TORNI MICROENCAP \ DIN 912-M5X1 11235</t>
  </si>
  <si>
    <t>1613.414.021-000</t>
  </si>
  <si>
    <t>TORNILLO MICROENCAPSULADO 1245.7</t>
  </si>
  <si>
    <t>1613.414.023-000</t>
  </si>
  <si>
    <t>1613.414.026-000</t>
  </si>
  <si>
    <t>Tornillo de cabeza Abaul Torx</t>
  </si>
  <si>
    <t>1613.421.000-000</t>
  </si>
  <si>
    <t>1613.433.001-000</t>
  </si>
  <si>
    <t>TORNILLO CON ARANDELA \ 6,3X32 11235</t>
  </si>
  <si>
    <t>1613.435.007-000</t>
  </si>
  <si>
    <t>TORNILLO RANURA CRUCIF.11332</t>
  </si>
  <si>
    <t>1613.435.008-000</t>
  </si>
  <si>
    <t>TORNILLO 11235 RX 1613435028000</t>
  </si>
  <si>
    <t>1613.435.009-000</t>
  </si>
  <si>
    <t>TORNILLO AUTORROSCANTE 1C37.0</t>
  </si>
  <si>
    <t>1613.435.010-000</t>
  </si>
  <si>
    <t>TORNILLO AVALLANADO TORX 5,5X25 1245.7</t>
  </si>
  <si>
    <t>1613.435.011-000</t>
  </si>
  <si>
    <t>TORNILLO AVALLAN TORX 11235/263</t>
  </si>
  <si>
    <t>1613.435.012-000</t>
  </si>
  <si>
    <t>TORNILLO AVALLANADO 1C37.0</t>
  </si>
  <si>
    <t>1613.435.013-000</t>
  </si>
  <si>
    <t>TORNILLO AVALLANADO  1C37.0</t>
  </si>
  <si>
    <t>1613.435.014-000</t>
  </si>
  <si>
    <t>TORNILLO 11321/11269</t>
  </si>
  <si>
    <t>1613.435.015-000</t>
  </si>
  <si>
    <t>TORNILLO AVALLANADO TORX M5X12-TORX,T25</t>
  </si>
  <si>
    <t>1613.435.016-000</t>
  </si>
  <si>
    <t>TORNILLO AVALLANADO 11264</t>
  </si>
  <si>
    <t>1613.435.019-000</t>
  </si>
  <si>
    <t>TORNILLO CON ARANDELA 1B64.0</t>
  </si>
  <si>
    <t>1613.435.020-000</t>
  </si>
  <si>
    <t>TORNILLO 11241 / 11318</t>
  </si>
  <si>
    <t>1613.435.022-000</t>
  </si>
  <si>
    <t>TORNILLO PENETRANTE</t>
  </si>
  <si>
    <t>1613.435.023-000</t>
  </si>
  <si>
    <t>1613.435.028-000</t>
  </si>
  <si>
    <t>TORNILLO CON ARANDELA 11263</t>
  </si>
  <si>
    <t>1613.435.029-000</t>
  </si>
  <si>
    <t>1613.435.034-000</t>
  </si>
  <si>
    <t>Tornillo De Cabeza Abomb</t>
  </si>
  <si>
    <t>1613.435.036-000</t>
  </si>
  <si>
    <t>TORNILLO AVALLANADO TORX 35X16 1J04.0</t>
  </si>
  <si>
    <t>1613.435.037-000</t>
  </si>
  <si>
    <t>TORNILLO AUTORROSCANTE 1B3A.0</t>
  </si>
  <si>
    <t>1613.435.038-000</t>
  </si>
  <si>
    <t>1613.435.039-000</t>
  </si>
  <si>
    <t>TORNILLO AVALLANADO TORX 1B5A.4</t>
  </si>
  <si>
    <t>1613.435.040-000</t>
  </si>
  <si>
    <t>Tornillo Lonticular Torx</t>
  </si>
  <si>
    <t>1613.435.041-000</t>
  </si>
  <si>
    <t>1613.435.042-000</t>
  </si>
  <si>
    <t>TORNILLO AUTORROSCANTE 1B67.3</t>
  </si>
  <si>
    <t>1613.435.043-000</t>
  </si>
  <si>
    <t>1613.454.001-000</t>
  </si>
  <si>
    <t>1613.454.002-000</t>
  </si>
  <si>
    <t>TORNILLLO OBSOLETO</t>
  </si>
  <si>
    <t>1613.461.001-000</t>
  </si>
  <si>
    <t>ANILLO ROSCADO 11230 OBSOLETE</t>
  </si>
  <si>
    <t>1613.465.001-000</t>
  </si>
  <si>
    <t>TORNILLO 11304/1130A</t>
  </si>
  <si>
    <t>1613.465.003-000</t>
  </si>
  <si>
    <t>TAPON ROSCADO 11209</t>
  </si>
  <si>
    <t>1613.490.001-000</t>
  </si>
  <si>
    <t>TORNILLO CON CABEZA DE M M8X80 MM 1B3A.0</t>
  </si>
  <si>
    <t>1613.490.002-000</t>
  </si>
  <si>
    <t>MARTILLO DE CABEZA PARAF</t>
  </si>
  <si>
    <t>1613.490.005-000</t>
  </si>
  <si>
    <t>TORNILLO AVALLANADO TORX M4X10</t>
  </si>
  <si>
    <t>1613.490.007-000</t>
  </si>
  <si>
    <t>TORNILLO 11335/11332</t>
  </si>
  <si>
    <t>1613.490.008-000</t>
  </si>
  <si>
    <t>1613.490.009-000</t>
  </si>
  <si>
    <t>1613.490.010-000</t>
  </si>
  <si>
    <t>TORNILLO TORX 11335</t>
  </si>
  <si>
    <t>1613.490.011-000</t>
  </si>
  <si>
    <t>TORNILLO AVALLANADO TORX M6X50 11335</t>
  </si>
  <si>
    <t>1613.490.013-000</t>
  </si>
  <si>
    <t>TORNILLO AUTORROSCANTE 1C32.1</t>
  </si>
  <si>
    <t>1613.490.014-000</t>
  </si>
  <si>
    <t>Tornillo Autorroscante</t>
  </si>
  <si>
    <t>1613.490.015-000</t>
  </si>
  <si>
    <t>TORNILLO AVALLANADO TORX 1B64.0</t>
  </si>
  <si>
    <t>1613.490.017-000</t>
  </si>
  <si>
    <t>1613.490.019-000</t>
  </si>
  <si>
    <t>TORNILLO CABEZA HEX 1C36.0</t>
  </si>
  <si>
    <t>1613.490.021-000</t>
  </si>
  <si>
    <t>TORNILLO AVALLANADO TORX 1130A</t>
  </si>
  <si>
    <t>1613.490.022-000</t>
  </si>
  <si>
    <t>TORNILLO AVALLANADO TORX 6X30</t>
  </si>
  <si>
    <t>1613.490.023-000</t>
  </si>
  <si>
    <t>TORNILLO AVALLANADO TORX 11336</t>
  </si>
  <si>
    <t>1613.490.024-000</t>
  </si>
  <si>
    <t>TORNILLO AVALLANADO TORX M5X20</t>
  </si>
  <si>
    <t>1613.490.025-000</t>
  </si>
  <si>
    <t>TORNILLO AVALLANADO TORX 6X20</t>
  </si>
  <si>
    <t>1613.490.026-000</t>
  </si>
  <si>
    <t>TORNILLO AVALLANADO TORX 5X25</t>
  </si>
  <si>
    <t>1613.490.027-000</t>
  </si>
  <si>
    <t>TORNILLO AVALLANADO TORX 3,5X16</t>
  </si>
  <si>
    <t>1613.490.028-000</t>
  </si>
  <si>
    <t>1613.521.002-000</t>
  </si>
  <si>
    <t>PERNO 11210 OBSOLETO</t>
  </si>
  <si>
    <t>1613.523.011-000</t>
  </si>
  <si>
    <t>ESP MANDRILES 1/2" SDS-PLUS RX1617000154</t>
  </si>
  <si>
    <t>1614.010.013-000</t>
  </si>
  <si>
    <t>INDUCIDO 11206   DISCONT.</t>
  </si>
  <si>
    <t>1614.010.035-000</t>
  </si>
  <si>
    <t>INDUCIDO 11210.003</t>
  </si>
  <si>
    <t>1614.010.039-000</t>
  </si>
  <si>
    <t>INDUCIDO 11210.5</t>
  </si>
  <si>
    <t>1614.010.051-000</t>
  </si>
  <si>
    <t>INDUCIDO 11213</t>
  </si>
  <si>
    <t>1614.010.052-000</t>
  </si>
  <si>
    <t>INDUCIDO 11210.0/11234.0</t>
  </si>
  <si>
    <t>1614.010.085-000</t>
  </si>
  <si>
    <t>INDUCIDO 3245 OBSOLETO</t>
  </si>
  <si>
    <t>1614.010.106-000</t>
  </si>
  <si>
    <t>INDUCIDO 11218 C/VENT.  RX 732</t>
  </si>
  <si>
    <t>1614.010.128-000</t>
  </si>
  <si>
    <t>INDUCIDO 11222/11236</t>
  </si>
  <si>
    <t>1614.010.144-000</t>
  </si>
  <si>
    <t>INDUCIDO 3304</t>
  </si>
  <si>
    <t>1614.010.169-000</t>
  </si>
  <si>
    <t>INDUCIDO 11228/11226 RX 227</t>
  </si>
  <si>
    <t>1614.010.180-000</t>
  </si>
  <si>
    <t>INDUCIDO 11216/309  DISCONT</t>
  </si>
  <si>
    <t>1614.010.186-000</t>
  </si>
  <si>
    <t>INDUCIDO 11230/313 OBSOLETO</t>
  </si>
  <si>
    <t>1614.010.207-000</t>
  </si>
  <si>
    <t>INDUCIDO 11237</t>
  </si>
  <si>
    <t>1614.010.213-000</t>
  </si>
  <si>
    <t>INDUCIDO 11235 -(R.A 204)</t>
  </si>
  <si>
    <t>1614.010.227-000</t>
  </si>
  <si>
    <t>INDUCIDO 11228/11226</t>
  </si>
  <si>
    <t>1614.010.267-000</t>
  </si>
  <si>
    <t>INDUCIDO 230V 11B65.0/1B65.1</t>
  </si>
  <si>
    <t>1614.010.705-000</t>
  </si>
  <si>
    <t>INDUCIDO  11239.7</t>
  </si>
  <si>
    <t>1614.010.732-000</t>
  </si>
  <si>
    <t>INDUCIDO 11218-11226</t>
  </si>
  <si>
    <t>1614.010.B1C-000</t>
  </si>
  <si>
    <t>INDUCIDO 230V 1B5A.4 RX 1614010711</t>
  </si>
  <si>
    <t>1614.011.019-000</t>
  </si>
  <si>
    <t>INDUCIDO 11305</t>
  </si>
  <si>
    <t>1614.011.054-000</t>
  </si>
  <si>
    <t>INDUCIDO 11214 OBSOLETO</t>
  </si>
  <si>
    <t>1614.011.061-000</t>
  </si>
  <si>
    <t>INDUCIDO 11231 OBSOLETO</t>
  </si>
  <si>
    <t>1614.011.117-000</t>
  </si>
  <si>
    <t>INDUCIDO 11335</t>
  </si>
  <si>
    <t>1614.220.054-000</t>
  </si>
  <si>
    <t>ESTATOR 11206 OBSOLETO</t>
  </si>
  <si>
    <t>1614.220.059-000</t>
  </si>
  <si>
    <t>ESTATOR 11304  RX 1617000849</t>
  </si>
  <si>
    <t>1614.220.097-000</t>
  </si>
  <si>
    <t>ESTATOR - REE X 1604220343</t>
  </si>
  <si>
    <t>1614.220.101-000</t>
  </si>
  <si>
    <t>ESTATOR 11214/230 OBSOLETO</t>
  </si>
  <si>
    <t>1614.220.102-000</t>
  </si>
  <si>
    <t>ESTAT 1184/11226 RX 1604220254</t>
  </si>
  <si>
    <t>1614.220.117-000</t>
  </si>
  <si>
    <t>ESTATOR 11236/11253</t>
  </si>
  <si>
    <t>1614.220.118-000</t>
  </si>
  <si>
    <t>ESTATOR 11239.7</t>
  </si>
  <si>
    <t>1614.220.121-000</t>
  </si>
  <si>
    <t>ESTATOR 11245-11316 RX 1607000C3V</t>
  </si>
  <si>
    <t>1614.220.124-000</t>
  </si>
  <si>
    <t>EXPANSION POLAR 220-240V 1B65.0/1B65.1</t>
  </si>
  <si>
    <t>1614.220.156-000</t>
  </si>
  <si>
    <t>EXPANSION POLAR 220-240V 1304.1</t>
  </si>
  <si>
    <t>1614.220.172-000</t>
  </si>
  <si>
    <t>ESTATOR 11228.7</t>
  </si>
  <si>
    <t>1614.220.182-000</t>
  </si>
  <si>
    <t>ESTATOR 11258</t>
  </si>
  <si>
    <t>1614.220.187-000</t>
  </si>
  <si>
    <t>ESTATOR 11335 220V RX 160422052M</t>
  </si>
  <si>
    <t>1614.220.190-000</t>
  </si>
  <si>
    <t>ESTATOR 11332 RX1619P08340</t>
  </si>
  <si>
    <t>1614.220.196-000</t>
  </si>
  <si>
    <t>ESTATOR VC - 11336 RX 160422052F</t>
  </si>
  <si>
    <t>1614.220.207-000</t>
  </si>
  <si>
    <t>ESTATOR 1130A RX160422052R000</t>
  </si>
  <si>
    <t>1614.220.212-000</t>
  </si>
  <si>
    <t>ESTATOR 1125A 220V</t>
  </si>
  <si>
    <t>1614.220.221-000</t>
  </si>
  <si>
    <t>EXPANSION POLAR 220V 1B67.3</t>
  </si>
  <si>
    <t>1614.229.127-000</t>
  </si>
  <si>
    <t>ESTATOR 12314</t>
  </si>
  <si>
    <t>1614.336.000-000</t>
  </si>
  <si>
    <t>PORTACARBONES 11206</t>
  </si>
  <si>
    <t>1614.336.001-000</t>
  </si>
  <si>
    <t>PORTACARBON 1121 RX 1604336017</t>
  </si>
  <si>
    <t>1614.336.002-000</t>
  </si>
  <si>
    <t>PORTACARBONES 11304 OBSOLETO</t>
  </si>
  <si>
    <t>1614.336.005-000</t>
  </si>
  <si>
    <t>SOPORTE PORTAESCOBILLA 11214</t>
  </si>
  <si>
    <t>1614.336.009-000</t>
  </si>
  <si>
    <t>PLATO PORTACAR 11216-30/309-13 OBSOLETO</t>
  </si>
  <si>
    <t>1614.336.016-000</t>
  </si>
  <si>
    <t>PORTA CARBON - DISCONTINUADO</t>
  </si>
  <si>
    <t>1614.336.017-000</t>
  </si>
  <si>
    <t>GUIA DE ESCOBILLAS 11335/1245.7</t>
  </si>
  <si>
    <t>1614.336.019-000</t>
  </si>
  <si>
    <t>PLATO PORTACARBONES 11222</t>
  </si>
  <si>
    <t>1614.336.022-000</t>
  </si>
  <si>
    <t>PORTACARBONES 11226</t>
  </si>
  <si>
    <t>1614.336.026-000</t>
  </si>
  <si>
    <t>PLATO PORTACARBONES GBH 7-46DE</t>
  </si>
  <si>
    <t>1614.336.036-000</t>
  </si>
  <si>
    <t>PORTACARBONES 11245-11316 RX1600A005AF</t>
  </si>
  <si>
    <t>1614.336.045-000</t>
  </si>
  <si>
    <t>PORTACARBONES 11304.1/1130A</t>
  </si>
  <si>
    <t>1614.336.046-000</t>
  </si>
  <si>
    <t>PORTACARBONES 11241.7/318.7</t>
  </si>
  <si>
    <t>1614.336.051-000</t>
  </si>
  <si>
    <t>PORTACARBONES 11250.7 RX 061</t>
  </si>
  <si>
    <t>1614.336.064-000</t>
  </si>
  <si>
    <t>PLATO PORTAESCOBILLAS 1B3A.0</t>
  </si>
  <si>
    <t>1614.336.072-000</t>
  </si>
  <si>
    <t>PORTAESCOBILLAS 1C32.1</t>
  </si>
  <si>
    <t>1614.336.075-000</t>
  </si>
  <si>
    <t>PLACA DE APOYO 1C32.1</t>
  </si>
  <si>
    <t>1614.336.078-000</t>
  </si>
  <si>
    <t>PORTAESCOBILLAS 11335</t>
  </si>
  <si>
    <t>1614.336.085-000</t>
  </si>
  <si>
    <t>PORTAESCOBILLAS 11321/11264</t>
  </si>
  <si>
    <t>1614.336.086-000</t>
  </si>
  <si>
    <t>Plato Portaescobillas</t>
  </si>
  <si>
    <t>1614.336.089-000</t>
  </si>
  <si>
    <t>PORTAESCOBILLAS 11265</t>
  </si>
  <si>
    <t>1614.336.090-000</t>
  </si>
  <si>
    <t>PORTAESCOBILLAS 1B65.0/1B65.1</t>
  </si>
  <si>
    <t>1614.336.093-000</t>
  </si>
  <si>
    <t>PLATO PORTAESCOBILLAS 12A0</t>
  </si>
  <si>
    <t>1614.337.000-000</t>
  </si>
  <si>
    <t>PORTACARBONES     RX2609992600</t>
  </si>
  <si>
    <t>1614.412.055-000</t>
  </si>
  <si>
    <t>Cable De Conexion</t>
  </si>
  <si>
    <t>1614.412.056-000</t>
  </si>
  <si>
    <t>1614.413.009-000</t>
  </si>
  <si>
    <t>MAZO DE CABLES 1C0A.0</t>
  </si>
  <si>
    <t>1614.413.010-000</t>
  </si>
  <si>
    <t xml:space="preserve"> MAZO DE CABLES</t>
  </si>
  <si>
    <t>1614.431.023-000</t>
  </si>
  <si>
    <t>CONEXION 11210.5  DISCONTINUED</t>
  </si>
  <si>
    <t>1614.431.028-000</t>
  </si>
  <si>
    <t>CABLE DE CONEXION 11239.7</t>
  </si>
  <si>
    <t>1614.437.017-000</t>
  </si>
  <si>
    <t>1614.437.018-000</t>
  </si>
  <si>
    <t>CABLE DE CONEXION 11239.7</t>
  </si>
  <si>
    <t>1614.448.014-000</t>
  </si>
  <si>
    <t>CABLE DE CONEXION 119B</t>
  </si>
  <si>
    <t>1614.448.017-000</t>
  </si>
  <si>
    <t>CONEXION 11210.5 DISCONT</t>
  </si>
  <si>
    <t>1614.448.035-000</t>
  </si>
  <si>
    <t>CABLE DE CONEXION 11236.7 DISCONT</t>
  </si>
  <si>
    <t>1614.448.037-000</t>
  </si>
  <si>
    <t>CABLE DE CONEXION 1304.1/1C0A.0</t>
  </si>
  <si>
    <t>1614.448.038-000</t>
  </si>
  <si>
    <t>CABLE DE CONEXION 1C35.0</t>
  </si>
  <si>
    <t>1614.449.012-000</t>
  </si>
  <si>
    <t>1614.449.014-000</t>
  </si>
  <si>
    <t>1614.449.015-000</t>
  </si>
  <si>
    <t>CABLE DE CONEXION 1BA0.0/B67.3/1BA0.1</t>
  </si>
  <si>
    <t>1614.460.000-000</t>
  </si>
  <si>
    <t>CABLE 11304/11214</t>
  </si>
  <si>
    <t>1614.460.086-000</t>
  </si>
  <si>
    <t>LINEA DE CONEXIÓN A RED 11321/11264</t>
  </si>
  <si>
    <t>1614.460.087-000</t>
  </si>
  <si>
    <t>1614.460.094-000</t>
  </si>
  <si>
    <t>LINEA DE CONEXION A RED BR</t>
  </si>
  <si>
    <t>1614.465.003-000</t>
  </si>
  <si>
    <t>1614.465.012-000</t>
  </si>
  <si>
    <t>MODULO DE ADAP.11267/112A0/=1600A0032J</t>
  </si>
  <si>
    <t>1614.482.048-000</t>
  </si>
  <si>
    <t>CONECTOR MACHO</t>
  </si>
  <si>
    <t>1614.482.049-000</t>
  </si>
  <si>
    <t>TOMA P/MAQUINA-CONECTOR MACHO</t>
  </si>
  <si>
    <t>1614.482.050-000</t>
  </si>
  <si>
    <t>CONECTOR MACHO P/TODAS HF-32 A</t>
  </si>
  <si>
    <t>1614.482.062-000</t>
  </si>
  <si>
    <t>ENCHUFE 63 AMP.</t>
  </si>
  <si>
    <t>1614.484.010-000</t>
  </si>
  <si>
    <t>CONECTOR HEMBRA</t>
  </si>
  <si>
    <t>1614.484.011-000</t>
  </si>
  <si>
    <t>ENCHUFE DE ACOPLAMIENTO RA000</t>
  </si>
  <si>
    <t>1614.484.012-000</t>
  </si>
  <si>
    <t>TOMA CORRIENTE 32A-FIJAC.CABLE</t>
  </si>
  <si>
    <t>1614.485.025-000</t>
  </si>
  <si>
    <t>CAJAS DE PARED</t>
  </si>
  <si>
    <t>1614.485.026-000</t>
  </si>
  <si>
    <t>TOMA CORRIENTE 32A-FIJAC.PARED</t>
  </si>
  <si>
    <t>1614.485.034-000</t>
  </si>
  <si>
    <t>TOMA CORR.63A-42V-EW560/2571</t>
  </si>
  <si>
    <t>1614.485.035-000</t>
  </si>
  <si>
    <t>TOMA CORRIENTE 63A-FIJAC.PARED</t>
  </si>
  <si>
    <t>1614.490.015-000</t>
  </si>
  <si>
    <t>CABLE DE CONEXION 1B3A.0</t>
  </si>
  <si>
    <t>1614.490.016-000</t>
  </si>
  <si>
    <t>CABLE DE CONEXIÓN 1AB5.0 RA1600A015Z4</t>
  </si>
  <si>
    <t>1614.503.007-000</t>
  </si>
  <si>
    <t>FILTRO ANTIPARASITARIO 11335</t>
  </si>
  <si>
    <t>1614.503.011-000</t>
  </si>
  <si>
    <t>FILTRO ANTIPARASITARIO 1130A</t>
  </si>
  <si>
    <t>1614.542.000-000</t>
  </si>
  <si>
    <t>IMAN 11266.0</t>
  </si>
  <si>
    <t>1614.601.009-000</t>
  </si>
  <si>
    <t>ANILLO 11210      RA2916600013</t>
  </si>
  <si>
    <t>1614.601.011-000</t>
  </si>
  <si>
    <t>ANILLO 11226-36-28</t>
  </si>
  <si>
    <t>1614.601.016-000</t>
  </si>
  <si>
    <t>ANILLO EXACT 2/3/6/7/8/14/15/2490/91</t>
  </si>
  <si>
    <t>1614.601.017-000</t>
  </si>
  <si>
    <t>ANILLO DE MUELLE 11225.7</t>
  </si>
  <si>
    <t>1614.601.018-000</t>
  </si>
  <si>
    <t>ANILLO 3304 11256.2</t>
  </si>
  <si>
    <t>1614.601.020-000</t>
  </si>
  <si>
    <t>ANILLO ELÁSTICO 1245.7</t>
  </si>
  <si>
    <t>1614.601.021-000</t>
  </si>
  <si>
    <t>ANILLO 11235/45/63/1/318/21/11264/11269</t>
  </si>
  <si>
    <t>1614.601.022-000</t>
  </si>
  <si>
    <t>ANILLO ELÁSTICO 1B66.0</t>
  </si>
  <si>
    <t>1614.601.028-000</t>
  </si>
  <si>
    <t>1614.601.029-000</t>
  </si>
  <si>
    <t>ANILLO DE MUELLE 11235/11263</t>
  </si>
  <si>
    <t>1614.601.030-000</t>
  </si>
  <si>
    <t>1614.601.032-000</t>
  </si>
  <si>
    <t>RESORTE  11239.7</t>
  </si>
  <si>
    <t>1614.601.033-000</t>
  </si>
  <si>
    <t>1614.601.034-000</t>
  </si>
  <si>
    <t>ANILLO ELÁSTICO 119090</t>
  </si>
  <si>
    <t>1614.601.036-000</t>
  </si>
  <si>
    <t>ANILLO SEGER  11239.7</t>
  </si>
  <si>
    <t>1614.601.037-000</t>
  </si>
  <si>
    <t>ANILLO ELASTICO 11264</t>
  </si>
  <si>
    <t>1614.601.039-000</t>
  </si>
  <si>
    <t>ANILLO ELÁSTICO Ø54,2XØ2,8</t>
  </si>
  <si>
    <t>1614.601.046-000</t>
  </si>
  <si>
    <t>ANILLO ELÁSTICO 1BA0.1</t>
  </si>
  <si>
    <t>1614.601.047-000</t>
  </si>
  <si>
    <t>1614.601.052-000</t>
  </si>
  <si>
    <t>ARANDELA PLANA 11258</t>
  </si>
  <si>
    <t>1614.601.054-000</t>
  </si>
  <si>
    <t>ANILLO ELASTICO  11258</t>
  </si>
  <si>
    <t>1614.601.055-000</t>
  </si>
  <si>
    <t>1614.601.056-000</t>
  </si>
  <si>
    <t>ANILLO 11263</t>
  </si>
  <si>
    <t>1614.601.057-000</t>
  </si>
  <si>
    <t>ANILLO 11250.7 RA 2916550011</t>
  </si>
  <si>
    <t>1614.601.060-000</t>
  </si>
  <si>
    <t>ANILLO ELÁSTICO 1C32.1</t>
  </si>
  <si>
    <t>1614.601.061-000</t>
  </si>
  <si>
    <t>ANILLO DE SEGURIDAD 11332</t>
  </si>
  <si>
    <t>1614.601.062-000</t>
  </si>
  <si>
    <t>ANILLO DE SEGURIDAD 1C32.1</t>
  </si>
  <si>
    <t>1614.601.065-000</t>
  </si>
  <si>
    <t>ANILLO ELASTICO 11321</t>
  </si>
  <si>
    <t>1614.601.067-000</t>
  </si>
  <si>
    <t>ANILLO ELÁSTICO 1B3A.0</t>
  </si>
  <si>
    <t>1614.601.070-000</t>
  </si>
  <si>
    <t>ANILLO DE MUELLE 11236/11269</t>
  </si>
  <si>
    <t>1614.601.071-000</t>
  </si>
  <si>
    <t>ANILLO ELASTICO GBH 12-52DV</t>
  </si>
  <si>
    <t>1614.601.072-000</t>
  </si>
  <si>
    <t>1614.601.073-000</t>
  </si>
  <si>
    <t>1614.601.074-000</t>
  </si>
  <si>
    <t>1614.601.077-000</t>
  </si>
  <si>
    <t>1614.601.080-000</t>
  </si>
  <si>
    <t>1614.610.005-000</t>
  </si>
  <si>
    <t>MUELLE DE COMPRESION 3245 OBSOLETO</t>
  </si>
  <si>
    <t>1614.610.008-000</t>
  </si>
  <si>
    <t>RESORTE 11223- REEM. A 006</t>
  </si>
  <si>
    <t>1614.610.010-000</t>
  </si>
  <si>
    <t>MUELLE DE COMPRESION 11235/11263</t>
  </si>
  <si>
    <t>1614.610.015-000</t>
  </si>
  <si>
    <t>MUELLE DE COMPRESION 11900</t>
  </si>
  <si>
    <t>1614.611.006-000</t>
  </si>
  <si>
    <t>1614.611.007-000</t>
  </si>
  <si>
    <t>RESORTE 11218</t>
  </si>
  <si>
    <t>1614.611.009-000</t>
  </si>
  <si>
    <t>RESORTE 11226-28</t>
  </si>
  <si>
    <t>1614.611.012-000</t>
  </si>
  <si>
    <t>MUELLE DE COMPRESION 11225,7</t>
  </si>
  <si>
    <t>1614.611.016-000</t>
  </si>
  <si>
    <t>MUELLE DE COMPRESION 1C32.1</t>
  </si>
  <si>
    <t>1614.611.019-000</t>
  </si>
  <si>
    <t>MUELLE DE COMPRESION 1B64.0</t>
  </si>
  <si>
    <t>1614.611.020-000</t>
  </si>
  <si>
    <t>1614.611.021-000</t>
  </si>
  <si>
    <t>1614.611.022-000</t>
  </si>
  <si>
    <t>1614.611.023-000</t>
  </si>
  <si>
    <t>MUELLE DE COMPRESION 11332</t>
  </si>
  <si>
    <t>1614.611.024-000</t>
  </si>
  <si>
    <t>1614.611.025-000</t>
  </si>
  <si>
    <t>1614.611.026-000</t>
  </si>
  <si>
    <t>1614.611.028-000</t>
  </si>
  <si>
    <t>BASE DE PALANCA 1B65.0</t>
  </si>
  <si>
    <t>1614.614.001-000</t>
  </si>
  <si>
    <t>RESORTE 11210.0</t>
  </si>
  <si>
    <t>1614.614.007-000</t>
  </si>
  <si>
    <t>1614.615.002-000</t>
  </si>
  <si>
    <t>MUELLE DE COMPRESION 11313</t>
  </si>
  <si>
    <t>1614.615.003-000</t>
  </si>
  <si>
    <t>1614.615.004-000</t>
  </si>
  <si>
    <t>1614.615.008-000</t>
  </si>
  <si>
    <t>MUELLE DE COMPRESION 1B3A.0</t>
  </si>
  <si>
    <t>1614.616.003-000</t>
  </si>
  <si>
    <t>RESORTE DISCONTINUADO</t>
  </si>
  <si>
    <t>1614.616.008-000</t>
  </si>
  <si>
    <t>RESORTE 11216/230</t>
  </si>
  <si>
    <t>1614.616.009-000</t>
  </si>
  <si>
    <t>RESORTE 11231 OBSOLETO</t>
  </si>
  <si>
    <t>1614.617.003-000</t>
  </si>
  <si>
    <t>RESORTE 11241.7</t>
  </si>
  <si>
    <t>1614.617.004-000</t>
  </si>
  <si>
    <t>1614.619.004-000</t>
  </si>
  <si>
    <t>RESORTE 11206</t>
  </si>
  <si>
    <t>1614.619.005-000</t>
  </si>
  <si>
    <t>MUELLE DE COMPRESION 1304.1</t>
  </si>
  <si>
    <t>1614.619.009-000</t>
  </si>
  <si>
    <t>RESORTE 11231</t>
  </si>
  <si>
    <t>1614.621.000-000</t>
  </si>
  <si>
    <t>MUELLE DE COMPRESION 11337/11269/1245.7</t>
  </si>
  <si>
    <t>1614.621.001-000</t>
  </si>
  <si>
    <t>RESORTE 11214/231</t>
  </si>
  <si>
    <t>1614.621.002-000</t>
  </si>
  <si>
    <t>MUELLE DE COMPRESION 11311/16</t>
  </si>
  <si>
    <t>1614.621.003-000</t>
  </si>
  <si>
    <t>1614.621.004-000</t>
  </si>
  <si>
    <t>RESORTE DE PORTAHERRAM. 11235/11263</t>
  </si>
  <si>
    <t>1614.621.005-000</t>
  </si>
  <si>
    <t>RESORTE 11235/11263</t>
  </si>
  <si>
    <t>1614.621.007-000</t>
  </si>
  <si>
    <t>MUELLE COMPRESION 11321</t>
  </si>
  <si>
    <t>1614.621.008-000</t>
  </si>
  <si>
    <t>1614.621.009-000</t>
  </si>
  <si>
    <t>MUELLE DE COMPRESION 1C36.0</t>
  </si>
  <si>
    <t>1614.621.010-000</t>
  </si>
  <si>
    <t>Resorte de compresión</t>
  </si>
  <si>
    <t>1614.621.012-000</t>
  </si>
  <si>
    <t>MUELLE DE COMPRESION 1B66.0</t>
  </si>
  <si>
    <t>1614.621.013-000</t>
  </si>
  <si>
    <t>1614.621.014-000</t>
  </si>
  <si>
    <t>RESORTE CÓNICO 1C36.0</t>
  </si>
  <si>
    <t>1614.621.015-000</t>
  </si>
  <si>
    <t>1614.621.016-000</t>
  </si>
  <si>
    <t>1614.621.017-000</t>
  </si>
  <si>
    <t>1614.621.018-000</t>
  </si>
  <si>
    <t>1614.621.020-000</t>
  </si>
  <si>
    <t>1614.630.002-000</t>
  </si>
  <si>
    <t>MUELLE DE COMPRESION 11258</t>
  </si>
  <si>
    <t>1614.630.003-000</t>
  </si>
  <si>
    <t>1614.633.001-000</t>
  </si>
  <si>
    <t>RESORTE 11210.0 7557.5</t>
  </si>
  <si>
    <t>1614.634.005-000</t>
  </si>
  <si>
    <t>RESORTE 11226/28</t>
  </si>
  <si>
    <t>1614.634.006-000</t>
  </si>
  <si>
    <t>RESORTE 11236</t>
  </si>
  <si>
    <t>1614.634.007-000</t>
  </si>
  <si>
    <t>RESORTE 3304</t>
  </si>
  <si>
    <t>1614.634.008-000</t>
  </si>
  <si>
    <t>MUELLE 11256.2</t>
  </si>
  <si>
    <t>1614.640.000-000</t>
  </si>
  <si>
    <t>MUELLE DE COMPRESION 11304</t>
  </si>
  <si>
    <t>1614.643.001-000</t>
  </si>
  <si>
    <t>RESORTE 11210.0 OBSOLETO</t>
  </si>
  <si>
    <t>1614.643.003-000</t>
  </si>
  <si>
    <t>1614.643.016-000</t>
  </si>
  <si>
    <t>MUELLE DE COMPRESION 1BA0.1</t>
  </si>
  <si>
    <t>1614.643.023-000</t>
  </si>
  <si>
    <t>1614.643.025-000</t>
  </si>
  <si>
    <t>1614.643.027-000</t>
  </si>
  <si>
    <t>MUELLE DE COMPRESION 1B67.3</t>
  </si>
  <si>
    <t>1614.651.014-000</t>
  </si>
  <si>
    <t>RESORTE DE CONEXION 11218-26</t>
  </si>
  <si>
    <t>1614.652.000-000</t>
  </si>
  <si>
    <t>RESORTE 11214</t>
  </si>
  <si>
    <t>1614.652.001-000</t>
  </si>
  <si>
    <t>RESORTE 11304/1619/1130A</t>
  </si>
  <si>
    <t>1614.652.002-000</t>
  </si>
  <si>
    <t>1614.652.003-000</t>
  </si>
  <si>
    <t>1614.652.004-000</t>
  </si>
  <si>
    <t>MUELLE ESPIR. 1318/21/1264/337/1269/1245</t>
  </si>
  <si>
    <t>1614.652.006-000</t>
  </si>
  <si>
    <t>MUELLE ESPIRAL 11900</t>
  </si>
  <si>
    <t>1614.652.007-000</t>
  </si>
  <si>
    <t>1614.680.002-000</t>
  </si>
  <si>
    <t>RESORTE 11207</t>
  </si>
  <si>
    <t>1614.690.001-000</t>
  </si>
  <si>
    <t>MUELLE DE SUJECIÓN UBH 2-20 SE</t>
  </si>
  <si>
    <t>1614.690.002-000</t>
  </si>
  <si>
    <t>ARRASTRAR PIN</t>
  </si>
  <si>
    <t>1614.690.005-000</t>
  </si>
  <si>
    <t>MUELLE CON PATAS  11258</t>
  </si>
  <si>
    <t>1614.690.008-000</t>
  </si>
  <si>
    <t>MUELLE DE LAMINA 1B3A.0</t>
  </si>
  <si>
    <t>1614.690.009-000</t>
  </si>
  <si>
    <t>1614.690.010-000</t>
  </si>
  <si>
    <t>MUELLE CON PATAS 1J04.0</t>
  </si>
  <si>
    <t>1615.100.007-000</t>
  </si>
  <si>
    <t>CARCASA DE MOTOR 11213</t>
  </si>
  <si>
    <t>1615.100.008-000</t>
  </si>
  <si>
    <t>ESTATOR 11225.7/56.2 RX1615100009</t>
  </si>
  <si>
    <t>1615.100.009-000</t>
  </si>
  <si>
    <t>ESTATOR RX2610942109000</t>
  </si>
  <si>
    <t>1615.102.137-000</t>
  </si>
  <si>
    <t>CARCASA DE MOTOR 11206</t>
  </si>
  <si>
    <t>1615.102.142-000</t>
  </si>
  <si>
    <t>CARCASA MOTOR 11216/30/309/13</t>
  </si>
  <si>
    <t>1615.102.155-000</t>
  </si>
  <si>
    <t>CARCASA MOTOR 11241.7/318.7</t>
  </si>
  <si>
    <t>1615.102.161-000</t>
  </si>
  <si>
    <t>CARCASA MOTOR 11321/11264</t>
  </si>
  <si>
    <t>1615.102.162-000</t>
  </si>
  <si>
    <t>PIEZA POSTERIOR CAJA 1B65.0</t>
  </si>
  <si>
    <t>1615.102.164-000</t>
  </si>
  <si>
    <t>PIEZA POSTERIOR CAJA 1B66.0</t>
  </si>
  <si>
    <t>1615.104.001-000</t>
  </si>
  <si>
    <t>CARCASA 3245</t>
  </si>
  <si>
    <t>1615.104.002-000</t>
  </si>
  <si>
    <t>CARCASA 3245 - DISCONTINUADO</t>
  </si>
  <si>
    <t>1615.104.011-000</t>
  </si>
  <si>
    <t>CARCASA 11225.7</t>
  </si>
  <si>
    <t>1615.104.016-000</t>
  </si>
  <si>
    <t>1615.104.017-000</t>
  </si>
  <si>
    <t>CARCASA  11239.7</t>
  </si>
  <si>
    <t>1615.104.018-000</t>
  </si>
  <si>
    <t>TAPA  11239.7</t>
  </si>
  <si>
    <t>1615.104.030-000</t>
  </si>
  <si>
    <t>CARCASA 11256.2</t>
  </si>
  <si>
    <t>1615.104.049-000</t>
  </si>
  <si>
    <t>1615.104.063-000</t>
  </si>
  <si>
    <t>CARCASA 11904</t>
  </si>
  <si>
    <t>1615.104.066-000</t>
  </si>
  <si>
    <t>CARCASA 1J04.0</t>
  </si>
  <si>
    <t>1615.106.021-000</t>
  </si>
  <si>
    <t>CARCASA DE MOTOR 11305</t>
  </si>
  <si>
    <t>1615.106.031-000</t>
  </si>
  <si>
    <t>CARCASA DE MOTOR 11304 RX 1617000851</t>
  </si>
  <si>
    <t>1615.106.053-000</t>
  </si>
  <si>
    <t>CARCASA DEL MOTOR 11335</t>
  </si>
  <si>
    <t>1615.108.006-000</t>
  </si>
  <si>
    <t>ALOJAMIENTO P/MOTOR 11304</t>
  </si>
  <si>
    <t>1615.108.045-000</t>
  </si>
  <si>
    <t>JGO. PIEZAS 11210        RA039</t>
  </si>
  <si>
    <t>1615.108.046-000</t>
  </si>
  <si>
    <t>CARCASA MOTOR 11210/11213 -DISCONTINUADO</t>
  </si>
  <si>
    <t>1615.108.059-000</t>
  </si>
  <si>
    <t>CARC.MOTOR 11222/11236</t>
  </si>
  <si>
    <t>1615.108.078-000</t>
  </si>
  <si>
    <t>CARCASA DE MOTOR  11235 RX 131</t>
  </si>
  <si>
    <t>1615.108.081-000</t>
  </si>
  <si>
    <t>CARCASA DE MOTOR 11234.0 RA072 // RX 112</t>
  </si>
  <si>
    <t>1615.108.091-000</t>
  </si>
  <si>
    <t>CARCASA MOTOR 11245/11316/1245.7</t>
  </si>
  <si>
    <t>1615.108.103-000</t>
  </si>
  <si>
    <t>CAJA AISLANTE  11239.7</t>
  </si>
  <si>
    <t>1615.108.104-000</t>
  </si>
  <si>
    <t>CAJA AISLANTE 11304.1/1130A</t>
  </si>
  <si>
    <t>1615.108.112-000</t>
  </si>
  <si>
    <t>CARCASA DE MOTOR 11234.0 RA072 Y RA 081</t>
  </si>
  <si>
    <t>1615.108.131-000</t>
  </si>
  <si>
    <t>CARCASA DE MOTOR GBH 7-46 DE</t>
  </si>
  <si>
    <t>1615.108.150-000</t>
  </si>
  <si>
    <t>CARCASA DEL MOTOR NEGRO 1C32.1</t>
  </si>
  <si>
    <t>1615.108.154-000</t>
  </si>
  <si>
    <t>TAPA NEGRO 1B3A.0</t>
  </si>
  <si>
    <t>1615.108.157-000</t>
  </si>
  <si>
    <t>CARCASA DE MOTOR GSH 11VC</t>
  </si>
  <si>
    <t>1615.108.165-000</t>
  </si>
  <si>
    <t>CARCASA DEL MOTOR 1B65.0/1B65.1</t>
  </si>
  <si>
    <t>1615.108.172-000</t>
  </si>
  <si>
    <t>CARCASA DEL MOTOR 1B66.0</t>
  </si>
  <si>
    <t>1615.132.010-000</t>
  </si>
  <si>
    <t>EMPUÑADURA INTER. 11304</t>
  </si>
  <si>
    <t>1615.132.011-000</t>
  </si>
  <si>
    <t>EMPUÑADURA GSH 27 (11304)</t>
  </si>
  <si>
    <t>1615.132.019-000</t>
  </si>
  <si>
    <t>MANGO 11206 OBSOLETO</t>
  </si>
  <si>
    <t>1615.132.031-000</t>
  </si>
  <si>
    <t>TAPA 11210.003</t>
  </si>
  <si>
    <t>1615.132.032-000</t>
  </si>
  <si>
    <t>TAPA DEL CUERPO 11213</t>
  </si>
  <si>
    <t>1615.132.034-000</t>
  </si>
  <si>
    <t>CONTRATAPA MANGO 11210.5</t>
  </si>
  <si>
    <t>1615.132.041-000</t>
  </si>
  <si>
    <t>TAPA DE MANGO 11213</t>
  </si>
  <si>
    <t>1615.132.043-000</t>
  </si>
  <si>
    <t>EMPUÑADURA 11309/313</t>
  </si>
  <si>
    <t>1615.132.045-000</t>
  </si>
  <si>
    <t>MANGO 11216/230</t>
  </si>
  <si>
    <t>1615.132.051-000</t>
  </si>
  <si>
    <t>EMPUÑADURA 11311</t>
  </si>
  <si>
    <t>1615.132.054-000</t>
  </si>
  <si>
    <t>TAPA DE EMPU¥AD.11226 RX1615132077</t>
  </si>
  <si>
    <t>1615.132.055-000</t>
  </si>
  <si>
    <t>EMPUÑADURA TRASERA 11223</t>
  </si>
  <si>
    <t>1615.132.065-000</t>
  </si>
  <si>
    <t>CARCASA EMPUÑ 11234.0/11238</t>
  </si>
  <si>
    <t>1615.132.074-000</t>
  </si>
  <si>
    <t>MANGO  11235 RX 1615132102000</t>
  </si>
  <si>
    <t>1615.132.075-000</t>
  </si>
  <si>
    <t>EMPUÑADURA  11239.7</t>
  </si>
  <si>
    <t>1615.132.077-000</t>
  </si>
  <si>
    <t>TAPA EMPUÑADURA 11226 RX1615132089</t>
  </si>
  <si>
    <t>1615.132.082-000</t>
  </si>
  <si>
    <t>MANGO 11316</t>
  </si>
  <si>
    <t>1615.132.083-000</t>
  </si>
  <si>
    <t>MANGO AZUL 1245.7</t>
  </si>
  <si>
    <t>1615.132.087-000</t>
  </si>
  <si>
    <t>MANGO 11241.7/318.7</t>
  </si>
  <si>
    <t>1615.132.088-000</t>
  </si>
  <si>
    <t>CACHA NEGRO 1B64.0</t>
  </si>
  <si>
    <t>1615.132.089-000</t>
  </si>
  <si>
    <t>TAPA DEL CUERPO 11226/28 RA1615.132.077</t>
  </si>
  <si>
    <t>1615.132.102-000</t>
  </si>
  <si>
    <t>MANGO 11263</t>
  </si>
  <si>
    <t>1615.132.109-000</t>
  </si>
  <si>
    <t>EMPUNADURA ADICIONAL 11321</t>
  </si>
  <si>
    <t>1615.132.116-000</t>
  </si>
  <si>
    <t>PIEZA DE APRIETE 11335 RX 1611316034</t>
  </si>
  <si>
    <t>1615.132.118-000</t>
  </si>
  <si>
    <t>Mango azul</t>
  </si>
  <si>
    <t>1615.132.124-000</t>
  </si>
  <si>
    <t>MANGO GSH 27 VC</t>
  </si>
  <si>
    <t>1615.132.125-000</t>
  </si>
  <si>
    <t>MANGO 1130A</t>
  </si>
  <si>
    <t>1615.132.129-000</t>
  </si>
  <si>
    <t>MANGO 11336</t>
  </si>
  <si>
    <t>1615.132.131-000</t>
  </si>
  <si>
    <t>EMPUNADURA ADICIONAL 11336 RX160202508J</t>
  </si>
  <si>
    <t>1615.132.132-000</t>
  </si>
  <si>
    <t>MANGO GSH 11 VC 11336</t>
  </si>
  <si>
    <t>1615.132.13B-000</t>
  </si>
  <si>
    <t>MANGO 11266.1</t>
  </si>
  <si>
    <t>1615.133.021-000</t>
  </si>
  <si>
    <t>MANIJA 11305</t>
  </si>
  <si>
    <t>1615.133.027-000</t>
  </si>
  <si>
    <t>EMPUÑADURA 11214/231</t>
  </si>
  <si>
    <t>1615.133.030-000</t>
  </si>
  <si>
    <t>TAPA 11236</t>
  </si>
  <si>
    <t>1615.133.031-000</t>
  </si>
  <si>
    <t>CARCASA 11236</t>
  </si>
  <si>
    <t>1615.133.033-000</t>
  </si>
  <si>
    <t>MANGO AZUL 1B3A.0</t>
  </si>
  <si>
    <t>1615.133.038-000</t>
  </si>
  <si>
    <t>MANGO 1B65.0</t>
  </si>
  <si>
    <t>1615.133.039-000</t>
  </si>
  <si>
    <t>MANGO 1B65.1</t>
  </si>
  <si>
    <t>1615.190.023-000</t>
  </si>
  <si>
    <t>CARCASA 11309</t>
  </si>
  <si>
    <t>1615.190.026-000</t>
  </si>
  <si>
    <t>CUBIERTA 11216</t>
  </si>
  <si>
    <t>1615.190.027-000</t>
  </si>
  <si>
    <t>CAJA DE ENGRANAJES 11214/230</t>
  </si>
  <si>
    <t>1615.190.028-000</t>
  </si>
  <si>
    <t>CAPERUZA PROTECT. 11214/231 OBSOLETO</t>
  </si>
  <si>
    <t>1615.190.052-000</t>
  </si>
  <si>
    <t>CARCASA 11311 RA1615.190.052</t>
  </si>
  <si>
    <t>1615.190.056-000</t>
  </si>
  <si>
    <t>CUBIERTA 11223</t>
  </si>
  <si>
    <t>1615.190.057-000</t>
  </si>
  <si>
    <t>1615.190.073-000</t>
  </si>
  <si>
    <t>CUBIERTA 11313</t>
  </si>
  <si>
    <t>1615.190.074-000</t>
  </si>
  <si>
    <t>CUBIERTA 11230</t>
  </si>
  <si>
    <t>1615.190.079-000</t>
  </si>
  <si>
    <t>CUBIERTA 11235</t>
  </si>
  <si>
    <t>1615.190.080-000</t>
  </si>
  <si>
    <t>CUBIERTA 11235 RX1615190108</t>
  </si>
  <si>
    <t>1615.190.086-000</t>
  </si>
  <si>
    <t>CUERPO ASPIRACION 11237</t>
  </si>
  <si>
    <t>1615.190.087-000</t>
  </si>
  <si>
    <t>COJINETE   11239.7</t>
  </si>
  <si>
    <t>1615.190.093-000</t>
  </si>
  <si>
    <t>CUBIERTA 11316 RA1615.190.052</t>
  </si>
  <si>
    <t>1615.190.094-000</t>
  </si>
  <si>
    <t>CUBIERTA PROTECCIÓN AZUL 1245.7</t>
  </si>
  <si>
    <t>1615.190.096-000</t>
  </si>
  <si>
    <t>1615.190.101-000</t>
  </si>
  <si>
    <t>CUBIERTA 11241.7</t>
  </si>
  <si>
    <t>1615.190.105-000</t>
  </si>
  <si>
    <t>TAMPA DE COBERTURA</t>
  </si>
  <si>
    <t>1615.190.108-000</t>
  </si>
  <si>
    <t>CUBIERTA 11235 RA 1615190080</t>
  </si>
  <si>
    <t>1615.190.142-000</t>
  </si>
  <si>
    <t>CUBIERTA 11263</t>
  </si>
  <si>
    <t>1615.190.158-000</t>
  </si>
  <si>
    <t>CAPUCHACOBERTURA 11321</t>
  </si>
  <si>
    <t>1615.190.159-000</t>
  </si>
  <si>
    <t>CUBIERTA PROTECCIÓN AZUL 1B64.0</t>
  </si>
  <si>
    <t>1615.190.168-000</t>
  </si>
  <si>
    <t>CAJA-MECANISMO PERCUTOR 11332</t>
  </si>
  <si>
    <t>1615.190.173-000</t>
  </si>
  <si>
    <t>CUBIERTA PROTECCIÓN 1C36.0</t>
  </si>
  <si>
    <t>1615.190.177-000</t>
  </si>
  <si>
    <t>Cubierto</t>
  </si>
  <si>
    <t>1615.190.178-000</t>
  </si>
  <si>
    <t>CUBIERTA PROTECCIÓN 1B65.0/1B65.1</t>
  </si>
  <si>
    <t>1615.190.181-000</t>
  </si>
  <si>
    <t>Pieza de guía</t>
  </si>
  <si>
    <t>1615.190.182-000</t>
  </si>
  <si>
    <t>1615.190.186-000</t>
  </si>
  <si>
    <t>CUBIERTA PROTECCIÓN 1B66.0</t>
  </si>
  <si>
    <t>1615.190.187-000</t>
  </si>
  <si>
    <t>PIEZA DE GUIA 1B66.0</t>
  </si>
  <si>
    <t>1615.430.002-000</t>
  </si>
  <si>
    <t>GRASA GLL6N3 X225ML ESP. ENGR.</t>
  </si>
  <si>
    <t>1615.430.015-000</t>
  </si>
  <si>
    <t>TUBO DE GRASA 225ML 11335/1130A/1245.7</t>
  </si>
  <si>
    <t>1615.430.019-000</t>
  </si>
  <si>
    <t>DEPOSITO DE ACEITE 1000 ML 1B53.7</t>
  </si>
  <si>
    <t>1615.437.503-000</t>
  </si>
  <si>
    <t>ACEITE   11239.7 RX509</t>
  </si>
  <si>
    <t>1615.437.509-000</t>
  </si>
  <si>
    <t>ACEITE + JUNTA 11239 RA503</t>
  </si>
  <si>
    <t>1615.437.512-000</t>
  </si>
  <si>
    <t>ACEITE + JUNTA 11318</t>
  </si>
  <si>
    <t>1615.438.409-000</t>
  </si>
  <si>
    <t>Trabar</t>
  </si>
  <si>
    <t>1615.438.426-000</t>
  </si>
  <si>
    <t>CIERRE PARA 1615438395 1B3A.0</t>
  </si>
  <si>
    <t>1615.438.431-000</t>
  </si>
  <si>
    <t>CIERRE PARA 1 615 438 429 Y 1 615 438 43</t>
  </si>
  <si>
    <t>1615.438.461-000</t>
  </si>
  <si>
    <t>CAJA DE PLASTICO</t>
  </si>
  <si>
    <t>1615.500.094-000</t>
  </si>
  <si>
    <t>TAPA DE CUERPO 11304 RX 325</t>
  </si>
  <si>
    <t>1615.500.122-000</t>
  </si>
  <si>
    <t>TAPA DE CIERRE</t>
  </si>
  <si>
    <t>1615.500.123-000</t>
  </si>
  <si>
    <t>1615.500.168-000</t>
  </si>
  <si>
    <t>CUBIERTA 11209</t>
  </si>
  <si>
    <t>1615.500.194-000</t>
  </si>
  <si>
    <t>1615.500.205-000</t>
  </si>
  <si>
    <t>TAPA P. MARTILLO 11206</t>
  </si>
  <si>
    <t>1615.500.210-000</t>
  </si>
  <si>
    <t>CUB. VENT. P/MARTILLO 11304</t>
  </si>
  <si>
    <t>1615.500.211-000</t>
  </si>
  <si>
    <t>PIEZA SOPORTE 11304 RX1615500330</t>
  </si>
  <si>
    <t>1615.500.212-000</t>
  </si>
  <si>
    <t>TAPA DE INTERRUPTOR 1304.1</t>
  </si>
  <si>
    <t>1615.500.213-000</t>
  </si>
  <si>
    <t>TAPA ENGRANAJE 11304</t>
  </si>
  <si>
    <t>1615.500.269-000</t>
  </si>
  <si>
    <t>TAPA EMPU#ADURA 11214/231</t>
  </si>
  <si>
    <t>1615.500.270-000</t>
  </si>
  <si>
    <t>TAPA EMPU¥ADURA 11237</t>
  </si>
  <si>
    <t>1615.500.276-000</t>
  </si>
  <si>
    <t>TAPA 11305  RA 167</t>
  </si>
  <si>
    <t>1615.500.282-000</t>
  </si>
  <si>
    <t>TAPA DE CIERRE 11209/204 RA166</t>
  </si>
  <si>
    <t>1615.500.286-000</t>
  </si>
  <si>
    <t>TAPA CAJA DE ENGRANAJES 11309 - DISCONTI</t>
  </si>
  <si>
    <t>1615.500.289-000</t>
  </si>
  <si>
    <t>TAPA MOTOR 11222</t>
  </si>
  <si>
    <t>1615.500.291-000</t>
  </si>
  <si>
    <t>TAPA DEL CUERPO 1245.7</t>
  </si>
  <si>
    <t>1615.500.294-000</t>
  </si>
  <si>
    <t>TAPA DEL CUERPO 11313 - DISCONTINUADO</t>
  </si>
  <si>
    <t>1615.500.296-000</t>
  </si>
  <si>
    <t>TAPA DE VENTILADOR 11235 RX 305</t>
  </si>
  <si>
    <t>1615.500.298-000</t>
  </si>
  <si>
    <t>TAPA DE CARCASA 11236</t>
  </si>
  <si>
    <t>1615.500.305-000</t>
  </si>
  <si>
    <t>TAPA DE VENTILADOR</t>
  </si>
  <si>
    <t>1615.500.310-000</t>
  </si>
  <si>
    <t>TAPA CARBONES  11239.7</t>
  </si>
  <si>
    <t>1615.500.313-000</t>
  </si>
  <si>
    <t>CUBIERTA 11304.1 RX1600A00C0N000</t>
  </si>
  <si>
    <t>1615.500.315-000</t>
  </si>
  <si>
    <t>PEDESTAL 11241.7</t>
  </si>
  <si>
    <t>1615.500.319-000</t>
  </si>
  <si>
    <t>TAPA CUERPO 11318.7 RX 360</t>
  </si>
  <si>
    <t>1615.500.321-000</t>
  </si>
  <si>
    <t>TAMPA</t>
  </si>
  <si>
    <t>1615.500.322-000</t>
  </si>
  <si>
    <t>TAPA VENT.11241.7/318.7 SUST.1615500410</t>
  </si>
  <si>
    <t>1615.500.323-000</t>
  </si>
  <si>
    <t>TAPA DEL ENGRANAJE 1304.1</t>
  </si>
  <si>
    <t>1615.500.324-000</t>
  </si>
  <si>
    <t>TAPA DE VENTILADOR 1304.1</t>
  </si>
  <si>
    <t>1615.500.325-000</t>
  </si>
  <si>
    <t>TAPA DE CUERPO 11304 RA 1615500094</t>
  </si>
  <si>
    <t>1615.500.330-000</t>
  </si>
  <si>
    <t>TAPA AISLANTE 1304.1</t>
  </si>
  <si>
    <t>1615.500.334-000</t>
  </si>
  <si>
    <t>TAPA DE CUERPO 11250.7</t>
  </si>
  <si>
    <t>1615.500.343-000</t>
  </si>
  <si>
    <t>TAPA DEL CUERPO AZUL 1B53.7</t>
  </si>
  <si>
    <t>1615.500.360-000</t>
  </si>
  <si>
    <t>TAMPA DA CARCACA</t>
  </si>
  <si>
    <t>1615.500.372-000</t>
  </si>
  <si>
    <t>CACHA 11332</t>
  </si>
  <si>
    <t>1615.500.376-000</t>
  </si>
  <si>
    <t>TAPA DE COJINETE 11335</t>
  </si>
  <si>
    <t>1615.500.377-000</t>
  </si>
  <si>
    <t>1615.500.380-000</t>
  </si>
  <si>
    <t>TAPA DE VENTILADOR 11335</t>
  </si>
  <si>
    <t>1615.500.383-000</t>
  </si>
  <si>
    <t>TAPA DEL CUERPO 11335</t>
  </si>
  <si>
    <t>1615.500.384-000</t>
  </si>
  <si>
    <t>TAPA DE VENTILADOR NEGRO 1C32.1</t>
  </si>
  <si>
    <t>1615.500.387-000</t>
  </si>
  <si>
    <t>TAPA CUERPO 11321</t>
  </si>
  <si>
    <t>1615.500.390-000</t>
  </si>
  <si>
    <t>PEDESTAL COJINETE 11321</t>
  </si>
  <si>
    <t>1615.500.393-000</t>
  </si>
  <si>
    <t>PEDESTAL DE COJINETE 1B64.0</t>
  </si>
  <si>
    <t>1615.500.404-000</t>
  </si>
  <si>
    <t>TAPA 1B3A.0</t>
  </si>
  <si>
    <t>1615.500.410-000</t>
  </si>
  <si>
    <t>TAPA DE VENTILADOR NEGRO 1B64.0</t>
  </si>
  <si>
    <t>1615.500.411-000</t>
  </si>
  <si>
    <t>TAPA DEL CUERPO 1C32.1</t>
  </si>
  <si>
    <t>1615.500.414-000</t>
  </si>
  <si>
    <t>CUBIERTA PROTECCIÓN 1130A</t>
  </si>
  <si>
    <t>1615.500.416-000</t>
  </si>
  <si>
    <t>TAPA DEL ENGRANAJE 1130A</t>
  </si>
  <si>
    <t>1615.500.417-000</t>
  </si>
  <si>
    <t>TAPA VENTILADOR 1130A</t>
  </si>
  <si>
    <t>1615.500.418-000</t>
  </si>
  <si>
    <t>TAPA DE INTERRUPTOR 1130A</t>
  </si>
  <si>
    <t>1615.500.424-000</t>
  </si>
  <si>
    <t>TAPA DEL CUERPO 1C36.0</t>
  </si>
  <si>
    <t>1615.500.425-000</t>
  </si>
  <si>
    <t>1615.500.426-000</t>
  </si>
  <si>
    <t>TAPA ESCOBILLAS 11336</t>
  </si>
  <si>
    <t>1615.500.427-000</t>
  </si>
  <si>
    <t>PISA 1C36.0</t>
  </si>
  <si>
    <t>1615.500.428-000</t>
  </si>
  <si>
    <t>TAPA DEL CUERPO 112A0/112A0.1/11267.3</t>
  </si>
  <si>
    <t>1615.500.429-000</t>
  </si>
  <si>
    <t>TAPA 1B67.3</t>
  </si>
  <si>
    <t>1615.500.431-000</t>
  </si>
  <si>
    <t>REJILLA DE VENTILACION 1130A</t>
  </si>
  <si>
    <t>1615.500.435-000</t>
  </si>
  <si>
    <t>TAPA ESCOBILLAS 1B65.0/1B65.1</t>
  </si>
  <si>
    <t>1615.500.438-000</t>
  </si>
  <si>
    <t>TAPA 1B65.0/1B65.1</t>
  </si>
  <si>
    <t>1615.500.444-000</t>
  </si>
  <si>
    <t>1615.500.447-000</t>
  </si>
  <si>
    <t>TAPA ESCOBILLAS 1B66.0</t>
  </si>
  <si>
    <t>1615.510.003-000</t>
  </si>
  <si>
    <t>PLAQ.PROTECT. 11226/8</t>
  </si>
  <si>
    <t>1615.510.004-000</t>
  </si>
  <si>
    <t>PANTALLA 0836.1</t>
  </si>
  <si>
    <t>1615.700.017-000</t>
  </si>
  <si>
    <t>BRIDA INTERMEDIA 11304.1</t>
  </si>
  <si>
    <t>1615.700.021-000</t>
  </si>
  <si>
    <t>BRIDA INTERMEDIA 11210.0   RX 037</t>
  </si>
  <si>
    <t>1615.700.026-000</t>
  </si>
  <si>
    <t>PORTA HERRAMIENTA 11309 RX 033</t>
  </si>
  <si>
    <t>1615.700.027-000</t>
  </si>
  <si>
    <t>TAPA COJINETE 3245 RA022 - DISCONTINUADO</t>
  </si>
  <si>
    <t>1615.700.031-000</t>
  </si>
  <si>
    <t>PORTA HERRAMIENTAS 11311</t>
  </si>
  <si>
    <t>1615.700.033-000</t>
  </si>
  <si>
    <t>BRIDA ALOJAMIENTO 11313 RA 026</t>
  </si>
  <si>
    <t>1615.700.034-000</t>
  </si>
  <si>
    <t>BRIDA ALOJAMIENTO 11316 RA031</t>
  </si>
  <si>
    <t>1615.700.035-000</t>
  </si>
  <si>
    <t>BRIDA INTERMEDIA 11226/28</t>
  </si>
  <si>
    <t>1615.700.037-000</t>
  </si>
  <si>
    <t>BRIDA INTERMEDIA UBH 2-20SE</t>
  </si>
  <si>
    <t>1615.700.041-000</t>
  </si>
  <si>
    <t>PLACA INTERMEDIA 1304.1</t>
  </si>
  <si>
    <t>1615.700.042-000</t>
  </si>
  <si>
    <t>1615.700.044-000</t>
  </si>
  <si>
    <t>PLACA MANDAL</t>
  </si>
  <si>
    <t>1615.700.057-000</t>
  </si>
  <si>
    <t>PLACA INTERMEDIA 1130A</t>
  </si>
  <si>
    <t>1615.700.058-000</t>
  </si>
  <si>
    <t>1615.700.059-000</t>
  </si>
  <si>
    <t>1615.700.061-000</t>
  </si>
  <si>
    <t>BRIDA INTERMEDIA RX 1615700073</t>
  </si>
  <si>
    <t>1615.700.073-000</t>
  </si>
  <si>
    <t>BRIDA INTERMEDIA RA 1615700061</t>
  </si>
  <si>
    <t>1615.719.016-000</t>
  </si>
  <si>
    <t>CONSOLA 11213</t>
  </si>
  <si>
    <t>1615.801.027-000</t>
  </si>
  <si>
    <t>CASQUILLO 1B66.0</t>
  </si>
  <si>
    <t>1615.805.054-000</t>
  </si>
  <si>
    <t>TAPA COJINETE 11304 RX 1615805068</t>
  </si>
  <si>
    <t>1615.805.060-000</t>
  </si>
  <si>
    <t>BRIDA DEL COJINETE 11305 RA050</t>
  </si>
  <si>
    <t>1615.805.062-000</t>
  </si>
  <si>
    <t>BRIDA DE COJINETE 11231</t>
  </si>
  <si>
    <t>1615.805.064-000</t>
  </si>
  <si>
    <t>BRIDA DE COJINETE 11222/11236</t>
  </si>
  <si>
    <t>1615.805.067-000</t>
  </si>
  <si>
    <t>SOPORTE 11235/11263</t>
  </si>
  <si>
    <t>1615.805.068-000</t>
  </si>
  <si>
    <t>TAPA DE COJINETE 1304.1</t>
  </si>
  <si>
    <t>1615.805.069-000</t>
  </si>
  <si>
    <t>Pedestal de cojinete gsh 16 28</t>
  </si>
  <si>
    <t>1615.805.073-000</t>
  </si>
  <si>
    <t>TAPA DE COJINETE 1130A</t>
  </si>
  <si>
    <t>1615.805.074-000</t>
  </si>
  <si>
    <t>1615.805.079-000</t>
  </si>
  <si>
    <t>1615.805.080-000</t>
  </si>
  <si>
    <t>COJINETE DE DESLIZAMIENT 1B66.0</t>
  </si>
  <si>
    <t>1615.806.017-000</t>
  </si>
  <si>
    <t>CAJA DE ENGRANAJES 11201/2/3</t>
  </si>
  <si>
    <t>1615.806.024-000</t>
  </si>
  <si>
    <t>1615.806.026-000</t>
  </si>
  <si>
    <t>CAJA P. ENGRANAJES 11206</t>
  </si>
  <si>
    <t>1615.806.029-000</t>
  </si>
  <si>
    <t>GUIA DE PISTON 11304</t>
  </si>
  <si>
    <t>1615.806.047-000</t>
  </si>
  <si>
    <t>TUBO 11239.7</t>
  </si>
  <si>
    <t>1615.806.077-000</t>
  </si>
  <si>
    <t>CAJA DE ENGRANAJES 11210</t>
  </si>
  <si>
    <t>1615.806.086-000</t>
  </si>
  <si>
    <t>CILINDRO 11309/313</t>
  </si>
  <si>
    <t>1615.806.089-000</t>
  </si>
  <si>
    <t>TUBO MARTILLO 11216/230 - DISCONTINUADO</t>
  </si>
  <si>
    <t>1615.806.090-000</t>
  </si>
  <si>
    <t>TUBO GUIA 11216</t>
  </si>
  <si>
    <t>1615.806.093-000</t>
  </si>
  <si>
    <t>CAJA DE ENGRANAJES 11228</t>
  </si>
  <si>
    <t>1615.806.108-000</t>
  </si>
  <si>
    <t>TUBO DE MARTILLO 1316.7</t>
  </si>
  <si>
    <t>1615.806.113-000</t>
  </si>
  <si>
    <t>TUBO 11223/45</t>
  </si>
  <si>
    <t>1615.806.121-000</t>
  </si>
  <si>
    <t>TUBO GUIA 11230 OBSOLETO</t>
  </si>
  <si>
    <t>1615.806.134-000</t>
  </si>
  <si>
    <t>TUBO DE MARTILLO 11235 OBSOLETO</t>
  </si>
  <si>
    <t>1615.806.156-000</t>
  </si>
  <si>
    <t>TUBO DE MARTILLO 11263</t>
  </si>
  <si>
    <t>1615.806.162-000</t>
  </si>
  <si>
    <t>1615.806.185-000</t>
  </si>
  <si>
    <t>CAJA DE ENGRANAJES 11226 - DISCONTINUADO</t>
  </si>
  <si>
    <t>1615.806.187-000</t>
  </si>
  <si>
    <t>BRAZO DE COJINETE 11258/1125A</t>
  </si>
  <si>
    <t>1615.806.188-000</t>
  </si>
  <si>
    <t>TUBO DE MARTILLO 11258 RA 1619.P02.138</t>
  </si>
  <si>
    <t>1615.806.214-000</t>
  </si>
  <si>
    <t>TUBO MARTILLO 11321</t>
  </si>
  <si>
    <t>1615.806.220-000</t>
  </si>
  <si>
    <t>TUBO DE MARTILLO 11264</t>
  </si>
  <si>
    <t>1615.806.229-000</t>
  </si>
  <si>
    <t>1615.806.230-000</t>
  </si>
  <si>
    <t>TUBO DE MARTILLO 1C32.1</t>
  </si>
  <si>
    <t>1615.806.233-000</t>
  </si>
  <si>
    <t>1615.806.236-000</t>
  </si>
  <si>
    <t>TUBO DE MARTILLO 1125A RX 1619P09815</t>
  </si>
  <si>
    <t>1615.806.243-000</t>
  </si>
  <si>
    <t>TUBO DE MARTILLO 1C36.0</t>
  </si>
  <si>
    <t>1615.806.249-000</t>
  </si>
  <si>
    <t>Tubo de martillo</t>
  </si>
  <si>
    <t>1615.808.039-000</t>
  </si>
  <si>
    <t>TAPA MOTOR LATERAL 11305</t>
  </si>
  <si>
    <t>1615.808.046-000</t>
  </si>
  <si>
    <t>TAPA INTERMEDIA 11206</t>
  </si>
  <si>
    <t>1615.808.059-000</t>
  </si>
  <si>
    <t>TAPA DE COJINETES 11231</t>
  </si>
  <si>
    <t>1615.808.068-000</t>
  </si>
  <si>
    <t>TAPA VENTILACION 11214/231</t>
  </si>
  <si>
    <t>1615.808.072-000</t>
  </si>
  <si>
    <t>TAPA DEL COJINETE 11309 DISCONT</t>
  </si>
  <si>
    <t>1615.808.078-000</t>
  </si>
  <si>
    <t>TAPA DE COJINETE 11313/11230</t>
  </si>
  <si>
    <t>1615.808.082-000</t>
  </si>
  <si>
    <t>TAPA ENGRANAJE  11239.7</t>
  </si>
  <si>
    <t>1615.808.102-000</t>
  </si>
  <si>
    <t>TAPA DEL ENGRANAJE AZUL 1B3A.0</t>
  </si>
  <si>
    <t>1615.808.106-000</t>
  </si>
  <si>
    <t>SOPORTE PARA COJINETES 1B67.3</t>
  </si>
  <si>
    <t>1615.819.002-000</t>
  </si>
  <si>
    <t>SOPORTE P. MARTILLO 11206</t>
  </si>
  <si>
    <t>1615.819.005-000</t>
  </si>
  <si>
    <t>EXCENTRICO 11210.0</t>
  </si>
  <si>
    <t>1615.819.011-000</t>
  </si>
  <si>
    <t>EXCENTRICO 11214/230 OBSOLETO</t>
  </si>
  <si>
    <t>1615.819.012-000</t>
  </si>
  <si>
    <t>TAPA LADO ACCIONAMIENTO 3245</t>
  </si>
  <si>
    <t>1615.819.013-000</t>
  </si>
  <si>
    <t>CASQUILLO DE AGARRE 3245</t>
  </si>
  <si>
    <t>1615.819.016-000</t>
  </si>
  <si>
    <t>TRABA 11309/313 - DISCONTINUADO</t>
  </si>
  <si>
    <t>1615.819.017-000</t>
  </si>
  <si>
    <t>EXCENTRICO 11226 / 11228 RX 018</t>
  </si>
  <si>
    <t>1615.819.018-000</t>
  </si>
  <si>
    <t>EXCENTRICO 11226/11228 - RA 017</t>
  </si>
  <si>
    <t>1615.819.022-000</t>
  </si>
  <si>
    <t>CONJUNTO DE PIEZAS 11222/11236</t>
  </si>
  <si>
    <t>1615.820.090-000</t>
  </si>
  <si>
    <t>ELEMENT DE CONMUTACIO 11218-26</t>
  </si>
  <si>
    <t>1615.820.091-000</t>
  </si>
  <si>
    <t>CUERPO 11214/231</t>
  </si>
  <si>
    <t>1615.820.103-000</t>
  </si>
  <si>
    <t>ELEMENTO DE CONMUTACION  1B5A</t>
  </si>
  <si>
    <t>1615.820.104-000</t>
  </si>
  <si>
    <t>1616.110.013-000</t>
  </si>
  <si>
    <t>ENGRANAJE 11201/2</t>
  </si>
  <si>
    <t>1616.110.025-000</t>
  </si>
  <si>
    <t>EJE C. ENGRANAJE 11206</t>
  </si>
  <si>
    <t>1616.110.027-000</t>
  </si>
  <si>
    <t>EXCENTRICO 11304</t>
  </si>
  <si>
    <t>1616.110.029-000</t>
  </si>
  <si>
    <t>EXCENTRICO 11209</t>
  </si>
  <si>
    <t>1616.110.032-000</t>
  </si>
  <si>
    <t>ARBOL EXCENTRICO 11305  RA015</t>
  </si>
  <si>
    <t>1616.110.037-000</t>
  </si>
  <si>
    <t>ARBOL DE EXCENTRICA 11335 Rx 1600A014TW</t>
  </si>
  <si>
    <t>1616.110.041-000</t>
  </si>
  <si>
    <t>ARBOL DE EXCENTRICA 1130A RX 044</t>
  </si>
  <si>
    <t>1616.110.044-000</t>
  </si>
  <si>
    <t>ARBOL DE EXCENTRICA 1130A RA 041</t>
  </si>
  <si>
    <t>1616.232.000-000</t>
  </si>
  <si>
    <t>MUELLE DE LAMINA 1B65.0</t>
  </si>
  <si>
    <t>1616.232.006-000</t>
  </si>
  <si>
    <t>1616.303.001-000</t>
  </si>
  <si>
    <t>ENGRANAJE 11206</t>
  </si>
  <si>
    <t>1616.312.000-000</t>
  </si>
  <si>
    <t>ENGRANAJE 11206 - DISCONT.</t>
  </si>
  <si>
    <t>1616.312.002-000</t>
  </si>
  <si>
    <t>ENGRANAJE 11250.7</t>
  </si>
  <si>
    <t>1616.312.003-000</t>
  </si>
  <si>
    <t>1616.312.005-000</t>
  </si>
  <si>
    <t>RUEDA DENTADA RECTA  11239.7</t>
  </si>
  <si>
    <t>1616.312.010-000</t>
  </si>
  <si>
    <t>ELEMENTO DE CONEXION 1B67.3</t>
  </si>
  <si>
    <t>1616.316.602-000</t>
  </si>
  <si>
    <t>PIÑON MOTRIZ 11225.7/56 - DISCONTINUADO</t>
  </si>
  <si>
    <t>1616.317.015-000</t>
  </si>
  <si>
    <t>ENGRANAJE 11305</t>
  </si>
  <si>
    <t>1616.317.023-000</t>
  </si>
  <si>
    <t>ENGRANAJE 11205</t>
  </si>
  <si>
    <t>1616.317.024-000</t>
  </si>
  <si>
    <t>1616.317.027-000</t>
  </si>
  <si>
    <t>1616.317.034-000</t>
  </si>
  <si>
    <t>ENGRANAJE 3245 - DISCONTINUADO</t>
  </si>
  <si>
    <t>1616.317.037-000</t>
  </si>
  <si>
    <t>ENGRANAJE EXCENTRICO 11309 OBSOLETO</t>
  </si>
  <si>
    <t>1616.317.041-000</t>
  </si>
  <si>
    <t>ENGRANAJE 11214/231 OBSOLETO</t>
  </si>
  <si>
    <t>1616.317.045-000</t>
  </si>
  <si>
    <t>ENGRANAJE 11311/16 RX 1600A012Y7</t>
  </si>
  <si>
    <t>1616.317.051-000</t>
  </si>
  <si>
    <t>ENGRANAJE EXCENTRICO 11313 OBSOLETO</t>
  </si>
  <si>
    <t>1616.317.056-000</t>
  </si>
  <si>
    <t>ENGRANAJE 11235/11263</t>
  </si>
  <si>
    <t>1616.317.057-000</t>
  </si>
  <si>
    <t>ENGRANAJE EXCENTRICO11235 RX1616.317.067</t>
  </si>
  <si>
    <t>1616.317.061-000</t>
  </si>
  <si>
    <t>ENGRANAJE  11239.7</t>
  </si>
  <si>
    <t>1616.317.062-000</t>
  </si>
  <si>
    <t>ENGRANAJE 11318.7</t>
  </si>
  <si>
    <t>1616.317.064-000</t>
  </si>
  <si>
    <t>ENGRANAJE 11241.7</t>
  </si>
  <si>
    <t>1616.317.067-000</t>
  </si>
  <si>
    <t>ENGRANAJE 11263 RA 1616.317.057</t>
  </si>
  <si>
    <t>1616.317.069-000</t>
  </si>
  <si>
    <t>PIÑON 11258</t>
  </si>
  <si>
    <t>1616.317.070-000</t>
  </si>
  <si>
    <t>RUEDA DENTADA RECTA 11258</t>
  </si>
  <si>
    <t>1616.317.072-000</t>
  </si>
  <si>
    <t>1616.317.076-000</t>
  </si>
  <si>
    <t>Rueda Dentada Recta</t>
  </si>
  <si>
    <t>1616.317.077-000</t>
  </si>
  <si>
    <t>RUEDA DENTADA EXCENTRICA 11332</t>
  </si>
  <si>
    <t>1616.317.080-000</t>
  </si>
  <si>
    <t>RUEDA DENTADA RECTA 11335 RX161631709300</t>
  </si>
  <si>
    <t>1616.317.083-000</t>
  </si>
  <si>
    <t>RUEDA EXCENTRICA 11321 Rx 1600A014S6</t>
  </si>
  <si>
    <t>1616.317.084-000</t>
  </si>
  <si>
    <t>1616.317.085-000</t>
  </si>
  <si>
    <t>1616.317.086-000</t>
  </si>
  <si>
    <t>RUEDA DENTADA RECTA 11335</t>
  </si>
  <si>
    <t>1616.317.090-000</t>
  </si>
  <si>
    <t>1616.317.093-000</t>
  </si>
  <si>
    <t>RUEDA DENTADA RECTA 1C35.0</t>
  </si>
  <si>
    <t>1616.317.600-000</t>
  </si>
  <si>
    <t>ENGRANAJE 3245</t>
  </si>
  <si>
    <t>1616.317.602-000</t>
  </si>
  <si>
    <t>ENGRANAJE 11218 / 11226/8 / 11236</t>
  </si>
  <si>
    <t>1616.317.608-000</t>
  </si>
  <si>
    <t>ENGRANAJE 3304</t>
  </si>
  <si>
    <t>1616.317.613-000</t>
  </si>
  <si>
    <t>ENGRANAJ. 53 DIENTES- 11225.7/56.2</t>
  </si>
  <si>
    <t>1616.317.620-000</t>
  </si>
  <si>
    <t>Pinhao Reto</t>
  </si>
  <si>
    <t>1616.317.622-000</t>
  </si>
  <si>
    <t>RUEDA DENTADA EXCENTRICA 1B66.0</t>
  </si>
  <si>
    <t>1616.318.009-000</t>
  </si>
  <si>
    <t>ENGRANAJE 11304/1130A</t>
  </si>
  <si>
    <t>1616.320.002-000</t>
  </si>
  <si>
    <t>ENGRANAJE 11210.0        RA006</t>
  </si>
  <si>
    <t>1616.320.004-000</t>
  </si>
  <si>
    <t>ENGRANAJE 11210.0</t>
  </si>
  <si>
    <t>1616.320.007-000</t>
  </si>
  <si>
    <t>ENGRANAJE 11210/3</t>
  </si>
  <si>
    <t>1616.325.002-000</t>
  </si>
  <si>
    <t>GRUPO DE CONEXION GBH 36 VLI PLUS</t>
  </si>
  <si>
    <t>1616.328.025-000</t>
  </si>
  <si>
    <t>CONJ.DE ENGRANAJE 11305</t>
  </si>
  <si>
    <t>1616.328.036-000</t>
  </si>
  <si>
    <t>JUEGO DE ENGRANAJES 11304/1130A</t>
  </si>
  <si>
    <t>1616.328.041-000</t>
  </si>
  <si>
    <t>ENGRANAJE RX 042</t>
  </si>
  <si>
    <t>1616.328.044-000</t>
  </si>
  <si>
    <t>CASQUILLO DENTADO EXT. 11222</t>
  </si>
  <si>
    <t>1616.328.049-000</t>
  </si>
  <si>
    <t>CASQUILLO DE DENTADO EXT 1C32.1</t>
  </si>
  <si>
    <t>1616.328.053-000</t>
  </si>
  <si>
    <t>ENGRANAJE DE ACERO</t>
  </si>
  <si>
    <t>1616.333.001-000</t>
  </si>
  <si>
    <t>CORONA 11202/3</t>
  </si>
  <si>
    <t>1616.333.003-000</t>
  </si>
  <si>
    <t>PIÑON</t>
  </si>
  <si>
    <t>1616.333.005-000</t>
  </si>
  <si>
    <t>ENGRANAJE</t>
  </si>
  <si>
    <t>1616.333.010-000</t>
  </si>
  <si>
    <t>1616.333.011-000</t>
  </si>
  <si>
    <t>ENGRANAJE 11206 OBSOLETO</t>
  </si>
  <si>
    <t>1616.333.023-000</t>
  </si>
  <si>
    <t>CORONA 11216/230 - DISCONTINUADO</t>
  </si>
  <si>
    <t>1616.333.025-000</t>
  </si>
  <si>
    <t>ENGR.HELICOIDAL 11214 OBSOLETO</t>
  </si>
  <si>
    <t>1616.333.029-000</t>
  </si>
  <si>
    <t>ENGRANAJE CONICO 11236</t>
  </si>
  <si>
    <t>1616.333.031-000</t>
  </si>
  <si>
    <t>RUEDA DENTADA DE ANGULO Z=49 1245.7</t>
  </si>
  <si>
    <t>1616.333.032-000</t>
  </si>
  <si>
    <t>CORONA 11231 DISCONTINUADO</t>
  </si>
  <si>
    <t>1616.333.035-000</t>
  </si>
  <si>
    <t>CORONA DENTADA</t>
  </si>
  <si>
    <t>1616.333.038-000</t>
  </si>
  <si>
    <t>ENGRANAJE 11239.7</t>
  </si>
  <si>
    <t>1616.333.039-000</t>
  </si>
  <si>
    <t>PIÑON 11239.7</t>
  </si>
  <si>
    <t>1616.333.041-000</t>
  </si>
  <si>
    <t>EMBRAGUE 11241.7/11264/11269</t>
  </si>
  <si>
    <t>1616.333.044-000</t>
  </si>
  <si>
    <t>RUEDA DENTADA DE ANGULO 11332</t>
  </si>
  <si>
    <t>1616.333.046-000</t>
  </si>
  <si>
    <t>1616.333.048-000</t>
  </si>
  <si>
    <t>PIÑON 11332</t>
  </si>
  <si>
    <t>1616.333.049-000</t>
  </si>
  <si>
    <t>CASQUILLO DE DENTADO EXT 1B3A.0</t>
  </si>
  <si>
    <t>1616.333.052-000</t>
  </si>
  <si>
    <t>RUEDA DENT DE ANGULO 11265 RX 1607000C3S</t>
  </si>
  <si>
    <t>1616.333.053-000</t>
  </si>
  <si>
    <t>RUEDA DENTADA DE ANGULO 1B66.0</t>
  </si>
  <si>
    <t>1616.333.29D-000</t>
  </si>
  <si>
    <t>Rueda de corona</t>
  </si>
  <si>
    <t>1616.334.010-000</t>
  </si>
  <si>
    <t>MANGO COJINETE - 11205</t>
  </si>
  <si>
    <t>1616.334.011-000</t>
  </si>
  <si>
    <t>CASQUILLO DE DENTADO EXT 1245.7</t>
  </si>
  <si>
    <t>1616.334.012-000</t>
  </si>
  <si>
    <t>ANILLO DE MANDO 11241.7/11264/11269</t>
  </si>
  <si>
    <t>1616.337.003-000</t>
  </si>
  <si>
    <t>ENGRANAJE 11216 - DISCONTINUADO</t>
  </si>
  <si>
    <t>1616.337.004-000</t>
  </si>
  <si>
    <t>ENGRANAJE EXCENTRICO 11230 OBSOLETO</t>
  </si>
  <si>
    <t>1616.409.012-000</t>
  </si>
  <si>
    <t>ARRASTRE 3304 / 11256.2</t>
  </si>
  <si>
    <t>1616.409.019-000</t>
  </si>
  <si>
    <t>1616.409.020-000</t>
  </si>
  <si>
    <t>1616.409.023-000</t>
  </si>
  <si>
    <t>UBO DEL EMBRAGUE 11258</t>
  </si>
  <si>
    <t>1616.409.024-000</t>
  </si>
  <si>
    <t>Anillo De Embrague</t>
  </si>
  <si>
    <t>1616.455.006-000</t>
  </si>
  <si>
    <t>EXCENTRICO 11332</t>
  </si>
  <si>
    <t>1616.455.007-000</t>
  </si>
  <si>
    <t>Hembrilla De Embrague</t>
  </si>
  <si>
    <t>1616.490.005-000</t>
  </si>
  <si>
    <t>ARRASTRE 11206 - DISCONTINUADO</t>
  </si>
  <si>
    <t>1616.490.007-000</t>
  </si>
  <si>
    <t>1616.490.008-000</t>
  </si>
  <si>
    <t>1616.490.009-000</t>
  </si>
  <si>
    <t>ARRASTRADOR 11205</t>
  </si>
  <si>
    <t>1616.490.011-000</t>
  </si>
  <si>
    <t>ESTRIADO 11205 OBSOLETO</t>
  </si>
  <si>
    <t>1616.490.060-000</t>
  </si>
  <si>
    <t>MANGU.C/MUESCA 11226/8</t>
  </si>
  <si>
    <t>1616.490.068-000</t>
  </si>
  <si>
    <t>PORTAHERRAMIENTA 11250.7 RX 2608.670.729</t>
  </si>
  <si>
    <t>1616.490.071-000</t>
  </si>
  <si>
    <t>ARRASTRADOR 1C36.0</t>
  </si>
  <si>
    <t>1616.610.047-000</t>
  </si>
  <si>
    <t>VENTILADOR 11305 OBSOLETO</t>
  </si>
  <si>
    <t>1616.610.052-000</t>
  </si>
  <si>
    <t>1616.610.053-000</t>
  </si>
  <si>
    <t>VENTILADOR DISCONTINUADO</t>
  </si>
  <si>
    <t>1616.610.056-000</t>
  </si>
  <si>
    <t>VENTILADOR 11304 - DESCONTINUED</t>
  </si>
  <si>
    <t>1616.610.067-000</t>
  </si>
  <si>
    <t>VENTILADOR 11214 OBSOLETO</t>
  </si>
  <si>
    <t>1616.610.069-000</t>
  </si>
  <si>
    <t>VENTILADOR 11237</t>
  </si>
  <si>
    <t>1616.610.071-000</t>
  </si>
  <si>
    <t>VENTILADOR 11216/11309</t>
  </si>
  <si>
    <t>1616.610.072-000</t>
  </si>
  <si>
    <t>VENTILADOR 11218</t>
  </si>
  <si>
    <t>1616.610.078-000</t>
  </si>
  <si>
    <t>VENTILADOR 11311 - DISCONTINUADO</t>
  </si>
  <si>
    <t>1616.610.080-000</t>
  </si>
  <si>
    <t>VENTILADOR 11225,7</t>
  </si>
  <si>
    <t>1616.610.081-000</t>
  </si>
  <si>
    <t>VENTILADOR 11235 OBSOLETO</t>
  </si>
  <si>
    <t>1616.610.085-000</t>
  </si>
  <si>
    <t>VENTILADOR 1C38.7</t>
  </si>
  <si>
    <t>1616.610.088-000</t>
  </si>
  <si>
    <t>VENTILADOR  11239.7</t>
  </si>
  <si>
    <t>1616.610.089-000</t>
  </si>
  <si>
    <t>VENTILADOR 11304 /1130A</t>
  </si>
  <si>
    <t>1616.610.090-000</t>
  </si>
  <si>
    <t>1616.610.092-000</t>
  </si>
  <si>
    <t>VENTILADOR 11256.2</t>
  </si>
  <si>
    <t>1616.610.093-000</t>
  </si>
  <si>
    <t>VENTILADOR 11250.7</t>
  </si>
  <si>
    <t>1616.610.094-000</t>
  </si>
  <si>
    <t>1616.610.095-000</t>
  </si>
  <si>
    <t>VENTILADOR 11228.7</t>
  </si>
  <si>
    <t>1616.610.100-000</t>
  </si>
  <si>
    <t>1616.610.104-000</t>
  </si>
  <si>
    <t>1616.610.106-000</t>
  </si>
  <si>
    <t>VENTILADOR GSH 11 VC</t>
  </si>
  <si>
    <t>1616.610.109-000</t>
  </si>
  <si>
    <t>VENTILADOR 1B65.0/1B65.1</t>
  </si>
  <si>
    <t>1616.610.113-000</t>
  </si>
  <si>
    <t>VENTILADOR 1B5A.4</t>
  </si>
  <si>
    <t>1616.610.114-000</t>
  </si>
  <si>
    <t>VENTILADOR 1B66.0</t>
  </si>
  <si>
    <t>1616.B00.224-000</t>
  </si>
  <si>
    <t>ESTRIBO DE GUIA</t>
  </si>
  <si>
    <t>1616.B10.268-000</t>
  </si>
  <si>
    <t>EXPANSION POLAR 1E8F.0</t>
  </si>
  <si>
    <t>1616.B10.269-000</t>
  </si>
  <si>
    <t>1617.000.014-000</t>
  </si>
  <si>
    <t>PERNO 11214</t>
  </si>
  <si>
    <t>1617.000.036-000</t>
  </si>
  <si>
    <t>KIT DE MANTENIMIENTO 11305</t>
  </si>
  <si>
    <t>1617.000.037-000</t>
  </si>
  <si>
    <t>PORTAHERRAMIENTAS 11305</t>
  </si>
  <si>
    <t>1617.000.038-000</t>
  </si>
  <si>
    <t>JGO DE PIEZAS EMP. 11206</t>
  </si>
  <si>
    <t>1617.000.050-000</t>
  </si>
  <si>
    <t>KIT DE MANTENIMIENTO 11304</t>
  </si>
  <si>
    <t>1617.000.057-000</t>
  </si>
  <si>
    <t>KIT DE MANTENIMIENTO 11206</t>
  </si>
  <si>
    <t>1617.000.059-000</t>
  </si>
  <si>
    <t>CARCASA DE EST.11305</t>
  </si>
  <si>
    <t>1617.000.060-000</t>
  </si>
  <si>
    <t>CARCASA DE MOT. 11205</t>
  </si>
  <si>
    <t>1617.000.079-000</t>
  </si>
  <si>
    <t>EXCENTRICO 11206        RA030</t>
  </si>
  <si>
    <t>1617.000.085-000</t>
  </si>
  <si>
    <t>PISTON 11205</t>
  </si>
  <si>
    <t>1617.000.130-000</t>
  </si>
  <si>
    <t>PORTACARBONES 11210.003</t>
  </si>
  <si>
    <t>1617.000.134-000</t>
  </si>
  <si>
    <t>CONMUTADOR DE GIRO 11210.5</t>
  </si>
  <si>
    <t>1617.000.136-000</t>
  </si>
  <si>
    <t>1617.000.154-000</t>
  </si>
  <si>
    <t>ESP MANDRILES 1/2" SDS-PLUS RA1613523011</t>
  </si>
  <si>
    <t>1617.000.169-000</t>
  </si>
  <si>
    <t>JUEGO DE PIEZAS 11214/231 OBSOLETO</t>
  </si>
  <si>
    <t>1617.000.171-000</t>
  </si>
  <si>
    <t>CINT. TENSORA EMP. AUX 11313 (Ø43MM)</t>
  </si>
  <si>
    <t>1617.000.172-000</t>
  </si>
  <si>
    <t>JUEG PIEZAS 11305 RA1610280004</t>
  </si>
  <si>
    <t>1617.000.177-000</t>
  </si>
  <si>
    <t>MANETA 3245  RA1612026024</t>
  </si>
  <si>
    <t>1617.000.180-000</t>
  </si>
  <si>
    <t>KIT DE MANTENIMIENTO 11214</t>
  </si>
  <si>
    <t>1617.000.186-000</t>
  </si>
  <si>
    <t>KIT DE MANT. 11309</t>
  </si>
  <si>
    <t>1617.000.188-000</t>
  </si>
  <si>
    <t>CINTA TENSORA Ø50 MM 1316.7</t>
  </si>
  <si>
    <t>1617000190-001</t>
  </si>
  <si>
    <t>1617.000.190-001</t>
  </si>
  <si>
    <t>C.11316 2/3 KIT MANT.11316 RX 190-000</t>
  </si>
  <si>
    <t>1617.000.196-000</t>
  </si>
  <si>
    <t>PIÑON 11222/11236</t>
  </si>
  <si>
    <t>1617.000.198-000</t>
  </si>
  <si>
    <t>KIT DE MANTENIMIENTO 11222/236</t>
  </si>
  <si>
    <t>1617000198-001</t>
  </si>
  <si>
    <t>1617.000.198-001</t>
  </si>
  <si>
    <t>C.11236 2/4 KIT MANTEN. 11236 RX -000</t>
  </si>
  <si>
    <t>1617.000.215-000</t>
  </si>
  <si>
    <t>JGO DE PIEZAS 3245 RA144 OBSOLETO</t>
  </si>
  <si>
    <t>1617.000.224-000</t>
  </si>
  <si>
    <t>JUEGO DE PIEZAS DESGASTE 1245.7</t>
  </si>
  <si>
    <t>1617.000.225-000</t>
  </si>
  <si>
    <t>KIT DE MANTENIMIENTO 11223/45/1245.7</t>
  </si>
  <si>
    <t>1617000225-001</t>
  </si>
  <si>
    <t>1617.000.225-001</t>
  </si>
  <si>
    <t>C.11245 2/3 KIT MANTENIMIENTO 11245</t>
  </si>
  <si>
    <t>1617.000.240-000</t>
  </si>
  <si>
    <t>BOLILLA GSH 11E</t>
  </si>
  <si>
    <t>1617.000.241-000</t>
  </si>
  <si>
    <t>CILINDRO 11223/245</t>
  </si>
  <si>
    <t>1617.000.248-000</t>
  </si>
  <si>
    <t>KIT DE MANTENIMIENTO 11231</t>
  </si>
  <si>
    <t>1617.000.270-000</t>
  </si>
  <si>
    <t>KIT DE MANTENIMIENTO 11313</t>
  </si>
  <si>
    <t>1617.000.271-000</t>
  </si>
  <si>
    <t>RODILLOS CILINDR.11230/11216</t>
  </si>
  <si>
    <t>1617.000.273-000</t>
  </si>
  <si>
    <t>KIT DE MANTENIMIENTO 11216/30</t>
  </si>
  <si>
    <t>1617.000.291-000</t>
  </si>
  <si>
    <t>ESTRIBO SUJECION 11230/11216 OBSOLETO</t>
  </si>
  <si>
    <t>1617.000.293-000</t>
  </si>
  <si>
    <t>ANILLO 11230 OBSOLETO</t>
  </si>
  <si>
    <t>1617.000.294-000</t>
  </si>
  <si>
    <t>CASQUILLO DE MANDO 1245.7</t>
  </si>
  <si>
    <t>1617.000.297-000</t>
  </si>
  <si>
    <t>CORREDERA 11313/11309 - DISCONTINUADO</t>
  </si>
  <si>
    <t>1617.000.298-000</t>
  </si>
  <si>
    <t>CORREDERA 11309 OBSOLETO</t>
  </si>
  <si>
    <t>1617.000.303-000</t>
  </si>
  <si>
    <t>CONJ.PORTAHERRAM. 3304/11225/56.2</t>
  </si>
  <si>
    <t>1617.000.313-000</t>
  </si>
  <si>
    <t>CONJ. PERCUSION COMPL. 11225.7 RX 375</t>
  </si>
  <si>
    <t>1617.000.314-000</t>
  </si>
  <si>
    <t>EJE INTERMEDIO 11225.7/56.2</t>
  </si>
  <si>
    <t>1617.000.315-000</t>
  </si>
  <si>
    <t>CAJA DE ENGRANAJE 11236</t>
  </si>
  <si>
    <t>1617.000.316-000</t>
  </si>
  <si>
    <t>CARBON+PORTACARBON 11234.0</t>
  </si>
  <si>
    <t>1617.000.319-000</t>
  </si>
  <si>
    <t>INDUCIDO 11225,7</t>
  </si>
  <si>
    <t>1617.000.320-000</t>
  </si>
  <si>
    <t>CONJ. PERCUSION 11225.7/56.2</t>
  </si>
  <si>
    <t>1617.000.321-000</t>
  </si>
  <si>
    <t>CARCASA 3304      RX 1617.000.362-000</t>
  </si>
  <si>
    <t>1617.000.322-000</t>
  </si>
  <si>
    <t>PALANCA CONMUTACION 3304 11256.2</t>
  </si>
  <si>
    <t>1617.000.324-000</t>
  </si>
  <si>
    <t>BRIDA 11210.7/11210.003  RA932</t>
  </si>
  <si>
    <t>1617.000.325-000</t>
  </si>
  <si>
    <t>PORTAHERRAMIENTAS 11238</t>
  </si>
  <si>
    <t>1617.000.326-000</t>
  </si>
  <si>
    <t>PORTAHERRAM.COMPLET 11238</t>
  </si>
  <si>
    <t>1617.000.332-000</t>
  </si>
  <si>
    <t>MANDRIL INTERCAMB. P/11238</t>
  </si>
  <si>
    <t>1617.000.337-000</t>
  </si>
  <si>
    <t>PLATO PORTACARBONES 11237</t>
  </si>
  <si>
    <t>1617.000.338-000</t>
  </si>
  <si>
    <t>PERCUT.11234.0/11210.0.5/11213</t>
  </si>
  <si>
    <t>1617.000.343-000</t>
  </si>
  <si>
    <t>Brush Holder</t>
  </si>
  <si>
    <t>1617.000.345-000</t>
  </si>
  <si>
    <t>CAJA DE PERCUSION 11236</t>
  </si>
  <si>
    <t>1617.000.348-000</t>
  </si>
  <si>
    <t>ANIL.GUIA 11226/8</t>
  </si>
  <si>
    <t>1617.000.349-000</t>
  </si>
  <si>
    <t>CONJ.DE PERCUSION 3304</t>
  </si>
  <si>
    <t>1617.000.357-000</t>
  </si>
  <si>
    <t>PORTACARBON 11236.7</t>
  </si>
  <si>
    <t>1617.000.361-000</t>
  </si>
  <si>
    <t>CARCASA 11226/8   RX477</t>
  </si>
  <si>
    <t>1617.000.362-000</t>
  </si>
  <si>
    <t>CARCASA 3304-RA 321</t>
  </si>
  <si>
    <t>1617.000.375-000</t>
  </si>
  <si>
    <t>CONJ.DE PERCUSION 11225.7/56.2 RA 313</t>
  </si>
  <si>
    <t>1617.000.376-000</t>
  </si>
  <si>
    <t>EMBOLO DEL MARTILLO 11228</t>
  </si>
  <si>
    <t>1617.000.379-000</t>
  </si>
  <si>
    <t>PORTACARBONES 11256.2</t>
  </si>
  <si>
    <t>1617.000.380-000</t>
  </si>
  <si>
    <t>1617.000.382-000</t>
  </si>
  <si>
    <t>CAJA ENGRANAJE  11239.7</t>
  </si>
  <si>
    <t>1617.000.383-000</t>
  </si>
  <si>
    <t>KIT MANTENIMIENTO  11239.7</t>
  </si>
  <si>
    <t>1617.000.385-000</t>
  </si>
  <si>
    <t>CAJA ENGRAN.11226-RA1615806114</t>
  </si>
  <si>
    <t>1617.000.392-000</t>
  </si>
  <si>
    <t>PORTACARBONES  11239.7</t>
  </si>
  <si>
    <t>1617.000.403-000</t>
  </si>
  <si>
    <t>CORONA DE AGUJAS 1316.7</t>
  </si>
  <si>
    <t>1617.000.406-000</t>
  </si>
  <si>
    <t>RODILLO CILINDRICOS 11235/11263</t>
  </si>
  <si>
    <t>1617.000.407-000</t>
  </si>
  <si>
    <t>PAQUETE DE SERVICIO 11235 RX 409</t>
  </si>
  <si>
    <t>1617.000.408-000</t>
  </si>
  <si>
    <t>PAQUETE DE SERVICIO 11235</t>
  </si>
  <si>
    <t>1617.000.409-000</t>
  </si>
  <si>
    <t>KIT DE MANTENIMIENTO 11235</t>
  </si>
  <si>
    <t>1617.000.412-000</t>
  </si>
  <si>
    <t>TAPA DE CUERPO 11316</t>
  </si>
  <si>
    <t>1617.000.417-000</t>
  </si>
  <si>
    <t>1617.000.418-000</t>
  </si>
  <si>
    <t>TAPA CUERPO 11311-RA1615500290</t>
  </si>
  <si>
    <t>1617000426-001</t>
  </si>
  <si>
    <t>1617.000.426-001</t>
  </si>
  <si>
    <t>KIT DE MANTENIMIENTO 11304 RX 426-000</t>
  </si>
  <si>
    <t>1617.000.428-000</t>
  </si>
  <si>
    <t>PORTAHERRAMIENTAS 1304.1</t>
  </si>
  <si>
    <t>1617.000.429-000</t>
  </si>
  <si>
    <t>PLACA DE FIJACION 1304.1</t>
  </si>
  <si>
    <t>1617.000.430-000</t>
  </si>
  <si>
    <t>KIT SERVICIO 11241.7</t>
  </si>
  <si>
    <t>1617000430-001</t>
  </si>
  <si>
    <t>1617.000.430-001</t>
  </si>
  <si>
    <t>C.11241 2/3 KIT MANTENIMIENTO 11241</t>
  </si>
  <si>
    <t>1617000431-001</t>
  </si>
  <si>
    <t>1617.000.431-001</t>
  </si>
  <si>
    <t>C.11318 2/3 KIT MANT. 11318 RX 431-000</t>
  </si>
  <si>
    <t>1617.000.432-000</t>
  </si>
  <si>
    <t>PORTAHERRAMIENTA 11318</t>
  </si>
  <si>
    <t>1617.000.433-000</t>
  </si>
  <si>
    <t>TUBO 11241.7</t>
  </si>
  <si>
    <t>1617.000.442-000</t>
  </si>
  <si>
    <t>ANRANDELA 11318.7</t>
  </si>
  <si>
    <t>1617.000.452-000</t>
  </si>
  <si>
    <t>CLAVIJA PERCUSION 11318.7</t>
  </si>
  <si>
    <t>1617.000.459-000</t>
  </si>
  <si>
    <t>EMPUNADURA ADICIONAL M8 NEGRO</t>
  </si>
  <si>
    <t>1617.000.460-000</t>
  </si>
  <si>
    <t>CLAVIJA DE PERCUSION</t>
  </si>
  <si>
    <t>1617.000.463-000</t>
  </si>
  <si>
    <t>JGO.PIEZAS DESGASTE 11263.7</t>
  </si>
  <si>
    <t>1617.000.464-000</t>
  </si>
  <si>
    <t>1617.000.465-000</t>
  </si>
  <si>
    <t>KIT DE SERVICIO 11263</t>
  </si>
  <si>
    <t>1617.000.473-000</t>
  </si>
  <si>
    <t>INDUCIDO CON VENTILADOR 11900</t>
  </si>
  <si>
    <t>1617.000.474-000</t>
  </si>
  <si>
    <t>CLAVIJA DE PERCUSION 11235 RA1613124053</t>
  </si>
  <si>
    <t>1617.000.475-000</t>
  </si>
  <si>
    <t>GUANTE APRIETE</t>
  </si>
  <si>
    <t>1617.000.477-000</t>
  </si>
  <si>
    <t>CARCASA GBH 2-24 DSR</t>
  </si>
  <si>
    <t>1617.000.478-000</t>
  </si>
  <si>
    <t>1617.000.480-000</t>
  </si>
  <si>
    <t>COJINETE 11335</t>
  </si>
  <si>
    <t>1617.000.481-000</t>
  </si>
  <si>
    <t>1617.000.483-000</t>
  </si>
  <si>
    <t>1617.000.488-000</t>
  </si>
  <si>
    <t>TUBO-GUIA 11335.0 RX1617000709</t>
  </si>
  <si>
    <t>1617.000.489-000</t>
  </si>
  <si>
    <t>TAPA DEL ENGRANAJE 11335</t>
  </si>
  <si>
    <t>1617.000.490-000</t>
  </si>
  <si>
    <t>CAJA DE ENGRANAJES 11335</t>
  </si>
  <si>
    <t>1617.000.491-000</t>
  </si>
  <si>
    <t>CLAVIJA DE PERCUSION 11335</t>
  </si>
  <si>
    <t>1617.000.492-000</t>
  </si>
  <si>
    <t>TUBO DE MARTILLO 11335</t>
  </si>
  <si>
    <t>1617.000.493-000</t>
  </si>
  <si>
    <t>TAPA DE CIERRE 11335.0 RX1617000710</t>
  </si>
  <si>
    <t>1617.000.494-000</t>
  </si>
  <si>
    <t>EMBOLO DEL MARTILLO 11335.0 RX1617000711</t>
  </si>
  <si>
    <t>1617.000.495-000</t>
  </si>
  <si>
    <t>1617.000.497-000</t>
  </si>
  <si>
    <t>JUEGO DE PIEZAS DESGASTE 11335</t>
  </si>
  <si>
    <t>1617.000.499-000</t>
  </si>
  <si>
    <t>PORTAHERRAMIENTAS 11335</t>
  </si>
  <si>
    <t>1617.000.500-000</t>
  </si>
  <si>
    <t>ARBOL DENTADO 11222/11236</t>
  </si>
  <si>
    <t>1617.000.511-000</t>
  </si>
  <si>
    <t>INDUCIDO 11256.2</t>
  </si>
  <si>
    <t>1617.000.516-000</t>
  </si>
  <si>
    <t>1617.000.517-000</t>
  </si>
  <si>
    <t>ARBOL DENTADO 11228.7</t>
  </si>
  <si>
    <t>1617.000.523-000</t>
  </si>
  <si>
    <t>CARCASA MOTOR 11250.7</t>
  </si>
  <si>
    <t>1617.000.524-000</t>
  </si>
  <si>
    <t>INDUCIDO C/ VENT 11250.7</t>
  </si>
  <si>
    <t>1617.000.526-000</t>
  </si>
  <si>
    <t>BRIDA 11250.7</t>
  </si>
  <si>
    <t>1617.000.527-000</t>
  </si>
  <si>
    <t>ARBOL DENTADO 11250</t>
  </si>
  <si>
    <t>1617.000.528-000</t>
  </si>
  <si>
    <t>TAPA 11250.7</t>
  </si>
  <si>
    <t>1617.000.529-000</t>
  </si>
  <si>
    <t>GUIA PISTON 11250.7</t>
  </si>
  <si>
    <t>1617.000.530-000</t>
  </si>
  <si>
    <t>CAJA 11250.7</t>
  </si>
  <si>
    <t>1617.000.531-000</t>
  </si>
  <si>
    <t>VAINA 11250.7</t>
  </si>
  <si>
    <t>1617.000.557-000</t>
  </si>
  <si>
    <t>EMBOLO DE MARTILLO 11253/112A0</t>
  </si>
  <si>
    <t>1617.000.560-000</t>
  </si>
  <si>
    <t>INDUCIDO 220-230V RX 1614010709</t>
  </si>
  <si>
    <t>1617.000.562-000</t>
  </si>
  <si>
    <t>FLANGE INTERMEDIARIA RX 1617.000.6DX-000</t>
  </si>
  <si>
    <t>1617.000.564-000</t>
  </si>
  <si>
    <t>TUBO 11253/112A0.0</t>
  </si>
  <si>
    <t>1617.000.580-000</t>
  </si>
  <si>
    <t>CONJ. PORTAHERRAMIENTA 11253 RX 598</t>
  </si>
  <si>
    <t>1617.000.581-000</t>
  </si>
  <si>
    <t>CAJA DE ENGRANAJES 1B53.7</t>
  </si>
  <si>
    <t>1617000582-001</t>
  </si>
  <si>
    <t>1617.000.582-001</t>
  </si>
  <si>
    <t>VAINA PROTECTORA 11253 RX 582-000</t>
  </si>
  <si>
    <t>1617.000.665-000</t>
  </si>
  <si>
    <t>ENGRANAJE PLANEARIO 11904</t>
  </si>
  <si>
    <t>1617.000.667-000</t>
  </si>
  <si>
    <t>1617.000.668-000</t>
  </si>
  <si>
    <t>ARBOL DENTADO 11904</t>
  </si>
  <si>
    <t>1617.000.669-000</t>
  </si>
  <si>
    <t>GOLPEADOR 11904</t>
  </si>
  <si>
    <t>1617.000.685-000</t>
  </si>
  <si>
    <t>SOPORTE PRESOR 1B3A.0</t>
  </si>
  <si>
    <t>1617.000.689-000</t>
  </si>
  <si>
    <t>CARCASA DEL MOTOR AZUL 1B3A.0</t>
  </si>
  <si>
    <t>1617.000.691-000</t>
  </si>
  <si>
    <t>BRIDA INTERMEDIA 11231/1123A</t>
  </si>
  <si>
    <t>1617.000.693-000</t>
  </si>
  <si>
    <t>PIEZA DE SUJECION DE HERR 1B3A.0</t>
  </si>
  <si>
    <t>1617.000.694-000</t>
  </si>
  <si>
    <t>ARBOL DENTADO 11231 RX 1617000A38000</t>
  </si>
  <si>
    <t>1617.000.697-000</t>
  </si>
  <si>
    <t>CLAVIJA DE PERCUSION 11231/11267/1123A</t>
  </si>
  <si>
    <t>1617.000.698-000</t>
  </si>
  <si>
    <t>1617.000.699-000</t>
  </si>
  <si>
    <t>CAJA-MECANISMO PERCUTOR NEGRO 1B3A.0</t>
  </si>
  <si>
    <t>1617.000.6AE-000</t>
  </si>
  <si>
    <t>CACHA NEGRO 1B3A.0</t>
  </si>
  <si>
    <t>1617.000.6AT-000</t>
  </si>
  <si>
    <t>INDUCIDO 11231/1123A</t>
  </si>
  <si>
    <t>1617.000.6B1-000</t>
  </si>
  <si>
    <t>BOTON PALPADOR 193A</t>
  </si>
  <si>
    <t>1617.000.6B2-000</t>
  </si>
  <si>
    <t>CAJA DE ENGRANAJES 193A</t>
  </si>
  <si>
    <t>1617.000.6B3-000</t>
  </si>
  <si>
    <t>BRIDA DE COJINETE 193A</t>
  </si>
  <si>
    <t>1617.000.6B4-000</t>
  </si>
  <si>
    <t>ARBOL PARA RUEDAS CONICAS 193A</t>
  </si>
  <si>
    <t>1617.000.6B7-000</t>
  </si>
  <si>
    <t>TUBO DE MARTILLO 1B5A.4 RA 1600A0013V</t>
  </si>
  <si>
    <t>1617.000.6B8-000</t>
  </si>
  <si>
    <t>CARCASA DEL MOTOR 1125A</t>
  </si>
  <si>
    <t>1617.000.6BB-000</t>
  </si>
  <si>
    <t>BRIDA INTERMEDIA 1B5A.4</t>
  </si>
  <si>
    <t>1617.000.6BF-000</t>
  </si>
  <si>
    <t>CAJA DE ENGRANAJES 1B5A.4</t>
  </si>
  <si>
    <t>1617.000.6BG-000</t>
  </si>
  <si>
    <t>MOTOR CORRIENTE CONT.11904</t>
  </si>
  <si>
    <t>1617.000.6BH-000</t>
  </si>
  <si>
    <t>BRIDA INTERMEDIA 11904</t>
  </si>
  <si>
    <t>1617.000.6BJ-000</t>
  </si>
  <si>
    <t>MANETA 11904</t>
  </si>
  <si>
    <t>1617.000.6BS-000</t>
  </si>
  <si>
    <t>CARCASA DEL MOTOR 11267/112A0</t>
  </si>
  <si>
    <t>1617.000.6BT-000</t>
  </si>
  <si>
    <t>BRIDA INTERMEDIA 1B67.3</t>
  </si>
  <si>
    <t>1617.000.6BW-000</t>
  </si>
  <si>
    <t>CASQUILLO DE DENTADO EXT 1B67.3</t>
  </si>
  <si>
    <t>1617.000.6C9-000</t>
  </si>
  <si>
    <t>1617.000.6CA-000</t>
  </si>
  <si>
    <t>PORTAHERRAMIENTAS 1B67.3</t>
  </si>
  <si>
    <t>1617.000.6DJ-000</t>
  </si>
  <si>
    <t>INDUCIDO 11267 RX 1614010270000</t>
  </si>
  <si>
    <t>1617.000.6DM-000</t>
  </si>
  <si>
    <t>CAJA DE ENGRANAJES 1B67.3</t>
  </si>
  <si>
    <t>1617.000.6DV-000</t>
  </si>
  <si>
    <t>ARANDELA DE FRICCIÓN 11267 RX 1610102638</t>
  </si>
  <si>
    <t>1617.000.6DY-000</t>
  </si>
  <si>
    <t>CAJA DE ENGRANAJES 112A0</t>
  </si>
  <si>
    <t>1617.000.6EE-000</t>
  </si>
  <si>
    <t>INDUCIDO 112A0 RX 1614010276</t>
  </si>
  <si>
    <t>1617.000.6EP-000</t>
  </si>
  <si>
    <t>VAINA PROTECTORA  11911 RX  16170006D3</t>
  </si>
  <si>
    <t>1617.000.6EW-000</t>
  </si>
  <si>
    <t>MANETA 1J04.0</t>
  </si>
  <si>
    <t>1617.000.701-000</t>
  </si>
  <si>
    <t>MANGO 11335  RX A55</t>
  </si>
  <si>
    <t>1617.000.702-000</t>
  </si>
  <si>
    <t>1617.000.706-000</t>
  </si>
  <si>
    <t>EJE DE COJINETE 1B64.0</t>
  </si>
  <si>
    <t>1617.000.707-000</t>
  </si>
  <si>
    <t>CASQUILLO-GUIA 11321</t>
  </si>
  <si>
    <t>1617.000.709-000</t>
  </si>
  <si>
    <t>TUBO-GUIA 11335</t>
  </si>
  <si>
    <t>1617.000.710-000</t>
  </si>
  <si>
    <t>1617.000.711-000</t>
  </si>
  <si>
    <t>EMBOLO MARTILLO 11335 RX 1607000C3M</t>
  </si>
  <si>
    <t>1617.000.715-000</t>
  </si>
  <si>
    <t>Cierre</t>
  </si>
  <si>
    <t>1617.000.716-000</t>
  </si>
  <si>
    <t>Tren De Ruedas</t>
  </si>
  <si>
    <t>1617.000.717-000</t>
  </si>
  <si>
    <t>ARANDELA DE APOYO 1B64.0</t>
  </si>
  <si>
    <t>1617.000.718-000</t>
  </si>
  <si>
    <t>CASQUILLO-GUIA 11264</t>
  </si>
  <si>
    <t>1617.000.719-000</t>
  </si>
  <si>
    <t>JUEGO DE PIEZAS DESGASTE 1B64.0</t>
  </si>
  <si>
    <t>1617.000.720-000</t>
  </si>
  <si>
    <t>CASQUILLO DE MANDO 11264</t>
  </si>
  <si>
    <t>1617.000.726-000</t>
  </si>
  <si>
    <t>CARCASA DEL MOTOR 1130A</t>
  </si>
  <si>
    <t>1617.000.728-000</t>
  </si>
  <si>
    <t>GOLPEADOR 1130A</t>
  </si>
  <si>
    <t>1617.000.729-000</t>
  </si>
  <si>
    <t>1617.000.730-000</t>
  </si>
  <si>
    <t>Caja de interruptor GSH 27VC</t>
  </si>
  <si>
    <t>1617.000.731-000</t>
  </si>
  <si>
    <t>TUBO DE MARTILLO 1130A</t>
  </si>
  <si>
    <t>1617.000.733-000</t>
  </si>
  <si>
    <t>MOTOR UN.DE INSTALACION 1130A</t>
  </si>
  <si>
    <t>1617.000.740-000</t>
  </si>
  <si>
    <t>MANGUITO DISTANCIADOR 11335 RA1610312003</t>
  </si>
  <si>
    <t>1617.000.744-000</t>
  </si>
  <si>
    <t>Rodamiento</t>
  </si>
  <si>
    <t>1617.000.745-000</t>
  </si>
  <si>
    <t>PORTAHERRAMIENTAS GSH 11 VC 11336</t>
  </si>
  <si>
    <t>1617.000.746-000</t>
  </si>
  <si>
    <t>CAJA-MECANISMO PERCUTOR 1C36.0</t>
  </si>
  <si>
    <t>1617.000.747-000</t>
  </si>
  <si>
    <t>CLAVIJA DE PERCUSION 1C36.0</t>
  </si>
  <si>
    <t>1617.000.748-000</t>
  </si>
  <si>
    <t>TAPA DEL ENGRANAJE 11336</t>
  </si>
  <si>
    <t>1617.000.749-000</t>
  </si>
  <si>
    <t>PORTAESCOBILLAS GSH 11 VC</t>
  </si>
  <si>
    <t>1617.000.752-000</t>
  </si>
  <si>
    <t>GOLPEADOR 1C36.0</t>
  </si>
  <si>
    <t>1617.000.753-000</t>
  </si>
  <si>
    <t>BIELA ARTICULADA</t>
  </si>
  <si>
    <t>1617.000.754-000</t>
  </si>
  <si>
    <t>RUEDA DENT EXC. GSH11 RX1600A005A4</t>
  </si>
  <si>
    <t>1617.000.755-000</t>
  </si>
  <si>
    <t>JUNTA TORICA 11336</t>
  </si>
  <si>
    <t>1617.000.756-000</t>
  </si>
  <si>
    <t>JUNTA TORICA GSH 11 VC 11336</t>
  </si>
  <si>
    <t>1617.000.757-000</t>
  </si>
  <si>
    <t>JUEGO DE PIEZAS 11336</t>
  </si>
  <si>
    <t>1617.000.758-000</t>
  </si>
  <si>
    <t>JUEGO DE PIEZAS DESGASTE 1C36.0</t>
  </si>
  <si>
    <t>1617.000.804-000</t>
  </si>
  <si>
    <t>CAJA MECAN.PERCUTOR 11313 -DISCONTINUADO</t>
  </si>
  <si>
    <t>1617.000.807-000</t>
  </si>
  <si>
    <t>Correa de sujeción</t>
  </si>
  <si>
    <t>1617.000.811-000</t>
  </si>
  <si>
    <t>CAJA MECAN.PERCU.11216/11230 - DISCONT.</t>
  </si>
  <si>
    <t>1617.000.812-000</t>
  </si>
  <si>
    <t>CONJ.MANGUITO C/MUESCA 11234.0</t>
  </si>
  <si>
    <t>1617.000.817-000</t>
  </si>
  <si>
    <t>ENGRANAJE 11230 OBSOLETO</t>
  </si>
  <si>
    <t>1617.000.818-000</t>
  </si>
  <si>
    <t>JUEGO DE PIEZAS 11216 RA.942 - DISCONT.</t>
  </si>
  <si>
    <t>1617.000.824-000</t>
  </si>
  <si>
    <t>CONJUNTO DE CASQUILLO</t>
  </si>
  <si>
    <t>1617.000.825-000</t>
  </si>
  <si>
    <t>CAJA MECANISMO 11235</t>
  </si>
  <si>
    <t>1617.000.826-000</t>
  </si>
  <si>
    <t>HORQUILLA DE MANDO 11235</t>
  </si>
  <si>
    <t>1617.000.828-000</t>
  </si>
  <si>
    <t>ENGRANAJE DE EMBRAGUE 11235/11263</t>
  </si>
  <si>
    <t>1617.000.829-000</t>
  </si>
  <si>
    <t>CONJ.ENGRANAJE EXCENTR. 11235</t>
  </si>
  <si>
    <t>1617.000.830-000</t>
  </si>
  <si>
    <t>TAPA DE CUERPO 11235</t>
  </si>
  <si>
    <t>1617.000.834-000</t>
  </si>
  <si>
    <t>CINTA TENSORA \ Ø 77 MM,M8 11235/11263</t>
  </si>
  <si>
    <t>1617.000.835-000</t>
  </si>
  <si>
    <t>1617.000.837-000</t>
  </si>
  <si>
    <t>CAJA-MECANSIMO 11318.7</t>
  </si>
  <si>
    <t>1617.000.839-000</t>
  </si>
  <si>
    <t>HORQUILLA 11241.7/11264/11269</t>
  </si>
  <si>
    <t>1617.000.840-000</t>
  </si>
  <si>
    <t>CAJA-MECANISMO</t>
  </si>
  <si>
    <t>1617.000.841-000</t>
  </si>
  <si>
    <t>TUBO DE MARTILLO 11240</t>
  </si>
  <si>
    <t>1617.000.842-000</t>
  </si>
  <si>
    <t>1617.000.843-000</t>
  </si>
  <si>
    <t>EMBOLO 11241.7</t>
  </si>
  <si>
    <t>1617.000.844-000</t>
  </si>
  <si>
    <t>ENGRANAJE 11241.7/11264 RX 1617000A37</t>
  </si>
  <si>
    <t>1617.000.845-000</t>
  </si>
  <si>
    <t>CONJUNTO DE PISTON 11235-RX1617000873</t>
  </si>
  <si>
    <t>1617.000.849-000</t>
  </si>
  <si>
    <t>MOTOR  11304.1</t>
  </si>
  <si>
    <t>1617.000.851-000</t>
  </si>
  <si>
    <t>CARCASA DEL MOTOR 1304.1</t>
  </si>
  <si>
    <t>1617.000.852-000</t>
  </si>
  <si>
    <t>EQUIPO DE TRANSFORMACION 110-240V</t>
  </si>
  <si>
    <t>1617.000.853-000</t>
  </si>
  <si>
    <t>BLOQUEO 11241.7/318.7</t>
  </si>
  <si>
    <t>1617.000.858-000</t>
  </si>
  <si>
    <t>CAJA DE INTERRUPTOR 1304.1</t>
  </si>
  <si>
    <t>1617.000.861-000</t>
  </si>
  <si>
    <t>TAPA CUERPO 11241</t>
  </si>
  <si>
    <t>1617.000.872-000</t>
  </si>
  <si>
    <t>CAJA DE MECANISMO PERCUTOR 11263</t>
  </si>
  <si>
    <t>1617.000.873-000</t>
  </si>
  <si>
    <t>EMBOLO MARTILLO 11263/35 RA1617000845</t>
  </si>
  <si>
    <t>1617.000.874-000</t>
  </si>
  <si>
    <t>ENGRANAJE 11263</t>
  </si>
  <si>
    <t>1617.000.875-000</t>
  </si>
  <si>
    <t>TAPA 11263</t>
  </si>
  <si>
    <t>1617.000.876-000</t>
  </si>
  <si>
    <t>TUBO DE MARTILLO 1BA0.1</t>
  </si>
  <si>
    <t>1617.000.883-000</t>
  </si>
  <si>
    <t>BRIDA INTERMEDIA 11900</t>
  </si>
  <si>
    <t>1617.000.884-000</t>
  </si>
  <si>
    <t>ARBOL DENTADO 11900</t>
  </si>
  <si>
    <t>1617.000.889-000</t>
  </si>
  <si>
    <t>INTERRUPTOR 11900</t>
  </si>
  <si>
    <t>1617.000.890-000</t>
  </si>
  <si>
    <t>1617.000.892-000</t>
  </si>
  <si>
    <t>ARBOL DENTADO - NO APLICA PARA ARG.</t>
  </si>
  <si>
    <t>1617000892-001</t>
  </si>
  <si>
    <t>1617.000.892-001</t>
  </si>
  <si>
    <t>ARBOL DENTADO RA 1617000892000</t>
  </si>
  <si>
    <t>1617.000.895-000</t>
  </si>
  <si>
    <t>MANDRIL SDS-PLUS GBH 2-24DF/GBH 4-32DFR</t>
  </si>
  <si>
    <t>1617.000.897-000</t>
  </si>
  <si>
    <t>JUEGO DE PIEZAS DESGASTE 1C32.1</t>
  </si>
  <si>
    <t>1617.000.898-000</t>
  </si>
  <si>
    <t>1617.000.899-000</t>
  </si>
  <si>
    <t>CLAVIJA DE PERCUSION 1B64.0</t>
  </si>
  <si>
    <t>1617.000.915-000</t>
  </si>
  <si>
    <t>JUEGO PIEZAS INT. 11210.5 DISCONT</t>
  </si>
  <si>
    <t>1617.000.917-000</t>
  </si>
  <si>
    <t>PORTABROCAS 11305</t>
  </si>
  <si>
    <t>1617.000.918-000</t>
  </si>
  <si>
    <t>CONJ. PIEZAS 11305</t>
  </si>
  <si>
    <t>1617.000.930-000</t>
  </si>
  <si>
    <t>ENGRANAJE 11205  RA1616333007 - DISCONT.</t>
  </si>
  <si>
    <t>1617.000.931-000</t>
  </si>
  <si>
    <t>LUVA DE ENGATE</t>
  </si>
  <si>
    <t>1617.000.932-000</t>
  </si>
  <si>
    <t>BRIDA 11210.7/11210.003  RX324</t>
  </si>
  <si>
    <t>1617.000.934-000</t>
  </si>
  <si>
    <t>JGO. PIEZAS 11214/231</t>
  </si>
  <si>
    <t>1617.000.936-000</t>
  </si>
  <si>
    <t>JUEGO DE PIEZAS 3245   RA923</t>
  </si>
  <si>
    <t>1617.000.938-000</t>
  </si>
  <si>
    <t>PIEZAS RECAMBIO 11214/231</t>
  </si>
  <si>
    <t>1617.000.945-000</t>
  </si>
  <si>
    <t>MANETA 11216/230</t>
  </si>
  <si>
    <t>1617.000.948-000</t>
  </si>
  <si>
    <t>CONJ. DE PIEZAS 11309 OBSOLETO</t>
  </si>
  <si>
    <t>1617.000.949-000</t>
  </si>
  <si>
    <t>JUEGO DE PIEZAS - DISCONTINUADO</t>
  </si>
  <si>
    <t>1617.000.957-000</t>
  </si>
  <si>
    <t>PORTAHERRAMIENTAS 11231</t>
  </si>
  <si>
    <t>1617.000.958-000</t>
  </si>
  <si>
    <t>CONJ. DE EJE 11214</t>
  </si>
  <si>
    <t>1617.000.960-000</t>
  </si>
  <si>
    <t>EJE DE TRABAJO 11214/231 - DISCONTINUADO</t>
  </si>
  <si>
    <t>1617.000.962-000</t>
  </si>
  <si>
    <t>CAJA ENGRANAJES 11216/230-DISCONTINUADO</t>
  </si>
  <si>
    <t>1617.000.967-000</t>
  </si>
  <si>
    <t>CPO.CENTRAL 11214       RA937</t>
  </si>
  <si>
    <t>1617.000.969-000</t>
  </si>
  <si>
    <t>CARCASA 11311/16</t>
  </si>
  <si>
    <t>1617.000.970-000</t>
  </si>
  <si>
    <t>PORTAHERRAMIENTAS 3304</t>
  </si>
  <si>
    <t>1617.000.971-000</t>
  </si>
  <si>
    <t>CONJ.PERCUSION 3304 OBSOLETO</t>
  </si>
  <si>
    <t>1617.000.972-000</t>
  </si>
  <si>
    <t>CONJ. DE PIEZAS 3304</t>
  </si>
  <si>
    <t>1617.000.975-000</t>
  </si>
  <si>
    <t>CONJ. BUJES 3304</t>
  </si>
  <si>
    <t>1617.000.976-000</t>
  </si>
  <si>
    <t>CAJA MECANISMO PERCUTOR 11222</t>
  </si>
  <si>
    <t>1617.000.977-000</t>
  </si>
  <si>
    <t>CAJA DE ENGRANAJES 11222 OBSOLETO</t>
  </si>
  <si>
    <t>1617.000.978-000</t>
  </si>
  <si>
    <t>VAINA PROTECTORA 11222/11236</t>
  </si>
  <si>
    <t>1617.000.980-000</t>
  </si>
  <si>
    <t>EMPUÑADURA POSTERIOR GBH 4 DFE(1122)</t>
  </si>
  <si>
    <t>1617.000.981-000</t>
  </si>
  <si>
    <t>JGO DE PIEZAS 11226</t>
  </si>
  <si>
    <t>1617.000.982-000</t>
  </si>
  <si>
    <t>1617.000.984-000</t>
  </si>
  <si>
    <t>MANGUITO C/MUESCA 11309</t>
  </si>
  <si>
    <t>1617.000.991-000</t>
  </si>
  <si>
    <t>HORQUILLA DE MANDO 1245.7</t>
  </si>
  <si>
    <t>1617.000.992-000</t>
  </si>
  <si>
    <t>CAJA MECANISM.PERCUT 11223/245/1245.7</t>
  </si>
  <si>
    <t>1617.000.993-000</t>
  </si>
  <si>
    <t>EMBRAGUE DENTADO 11223/45/1245.7</t>
  </si>
  <si>
    <t>1617.000.994-000</t>
  </si>
  <si>
    <t>ENGRANAJE EXCENTRICO 11223/245/1245.7</t>
  </si>
  <si>
    <t>1617.000.996-000</t>
  </si>
  <si>
    <t>CONJ.PZAS. RECAMBIO 11231</t>
  </si>
  <si>
    <t>1617.000.999-000</t>
  </si>
  <si>
    <t>CONJ. PERCUSION 11216/230</t>
  </si>
  <si>
    <t>1617.000.A00-000</t>
  </si>
  <si>
    <t>EMBOLO MARTILLO 11321</t>
  </si>
  <si>
    <t>1617.000.A01-000</t>
  </si>
  <si>
    <t>BLOQUE MUELLES11321/11264  DISCONTINUADO</t>
  </si>
  <si>
    <t>1617.000.A02-000</t>
  </si>
  <si>
    <t>CASQUILLO 1B64.0</t>
  </si>
  <si>
    <t>1617.000.A03-000</t>
  </si>
  <si>
    <t>CAJA-MECANISMO PERCUTOR 11264</t>
  </si>
  <si>
    <t>1617.000.A04-000</t>
  </si>
  <si>
    <t>EMBOLO DEL MARTILLO 11264</t>
  </si>
  <si>
    <t>1617.000.A05-000</t>
  </si>
  <si>
    <t>TAPA DEL CUERPO 11264</t>
  </si>
  <si>
    <t>1617.000.A07-000</t>
  </si>
  <si>
    <t>1617.000.A10-000</t>
  </si>
  <si>
    <t>JUEGO DE PIEZAS NEGRO 1304.1</t>
  </si>
  <si>
    <t>1617.000.A26-000</t>
  </si>
  <si>
    <t>BLOQUE DE MUELLES 11264/11321</t>
  </si>
  <si>
    <t>1617.000.A29-000</t>
  </si>
  <si>
    <t>Mecanismo de impacto de Carcaca</t>
  </si>
  <si>
    <t>1617.000.A30-000</t>
  </si>
  <si>
    <t>CLAVIJA DE PERCUSION 11265</t>
  </si>
  <si>
    <t>1617.000.A31-000</t>
  </si>
  <si>
    <t>Horquilla de control</t>
  </si>
  <si>
    <t>1617.000.A32-000</t>
  </si>
  <si>
    <t>Émbolo de martillo</t>
  </si>
  <si>
    <t>1617.000.A33-000</t>
  </si>
  <si>
    <t>Martillo</t>
  </si>
  <si>
    <t>1617.000.A34-000</t>
  </si>
  <si>
    <t>EMBRAG. DENT. RECTAS 11265 1607000C3S000</t>
  </si>
  <si>
    <t>1617.000.A35-000</t>
  </si>
  <si>
    <t>1617.000.A36-000</t>
  </si>
  <si>
    <t>1617.000.A37-000</t>
  </si>
  <si>
    <t>EMBRAG REUDAS DENT RECTAS 11241</t>
  </si>
  <si>
    <t>1617.000.A38-000</t>
  </si>
  <si>
    <t>ARBOL INTERMEDIO 1123A</t>
  </si>
  <si>
    <t>1617.000.A4J-000</t>
  </si>
  <si>
    <t>Tubo de martillo GBH 5-40</t>
  </si>
  <si>
    <t>1617.000.A4L-000</t>
  </si>
  <si>
    <t>JUEGO DE PIEZAS DESGASTE</t>
  </si>
  <si>
    <t>1617.000.A4R-000</t>
  </si>
  <si>
    <t>Percusor</t>
  </si>
  <si>
    <t>1617.000.A4W-000</t>
  </si>
  <si>
    <t>CARCASA DEL MOTOR 11900</t>
  </si>
  <si>
    <t>1617.000.A4Z-000</t>
  </si>
  <si>
    <t>ARANDELA PLANA 11335</t>
  </si>
  <si>
    <t>1617.000.A50-000</t>
  </si>
  <si>
    <t>Juego De Escobillas</t>
  </si>
  <si>
    <t>1617.000.A55-000</t>
  </si>
  <si>
    <t>EMPUÑADURA RA 701 RX 160202508K</t>
  </si>
  <si>
    <t>1617.000.A5K-000</t>
  </si>
  <si>
    <t>ARBOL INTERMEDIO GBH 36 V-LI PLUS</t>
  </si>
  <si>
    <t>1617.000.V41-000</t>
  </si>
  <si>
    <t>CASQUILLO DE AGARRE 1BA0.1</t>
  </si>
  <si>
    <t>1617.000.V42-000</t>
  </si>
  <si>
    <t>TUBO 1BA0.1</t>
  </si>
  <si>
    <t>1617.000.V43-000</t>
  </si>
  <si>
    <t>1617.000.V55-000</t>
  </si>
  <si>
    <t>CAJA DE ENGRANAJES 11900</t>
  </si>
  <si>
    <t>1617.000.V75-000</t>
  </si>
  <si>
    <t>CARCASA DEL MOTOR 11900 RX A4W</t>
  </si>
  <si>
    <t>1617.000.V76-000</t>
  </si>
  <si>
    <t>PAQUETE DE SERVICIO 11239.7</t>
  </si>
  <si>
    <t>1617.014.106-000</t>
  </si>
  <si>
    <t>CARBONES 11205</t>
  </si>
  <si>
    <t>1617.014.108-000</t>
  </si>
  <si>
    <t>CARBONES 11210</t>
  </si>
  <si>
    <t>1617.014.110-000</t>
  </si>
  <si>
    <t>CARBONES 11214/230/305</t>
  </si>
  <si>
    <t>1617.014.111-000</t>
  </si>
  <si>
    <t>CARBONES 11304</t>
  </si>
  <si>
    <t>1617.014.114-000</t>
  </si>
  <si>
    <t>CARBONES 11210.5 Al</t>
  </si>
  <si>
    <t>1617.014.117-000</t>
  </si>
  <si>
    <t>CARBONES 3304/11210.0 BR</t>
  </si>
  <si>
    <t>1617.014.119-000</t>
  </si>
  <si>
    <t>CARBONES 11213</t>
  </si>
  <si>
    <t>1617.014.124-000</t>
  </si>
  <si>
    <t>CARBONES 11222/11236</t>
  </si>
  <si>
    <t>1617.014.127-000</t>
  </si>
  <si>
    <t>CARBONES 11226</t>
  </si>
  <si>
    <t>1617.014.131-000</t>
  </si>
  <si>
    <t>CARBONES 11225.7/56.2</t>
  </si>
  <si>
    <t>1617.014.142-000</t>
  </si>
  <si>
    <t>CARBONES 11900</t>
  </si>
  <si>
    <t>1617.016.009-000</t>
  </si>
  <si>
    <t>PIÑON  11239.7</t>
  </si>
  <si>
    <t>1617.031.004-000</t>
  </si>
  <si>
    <t>JUEGO DE 3 BUJES 11305</t>
  </si>
  <si>
    <t>1617.031.009-000</t>
  </si>
  <si>
    <t>ESTATOR 11305   RA1614220036</t>
  </si>
  <si>
    <t>1617.031.014-000</t>
  </si>
  <si>
    <t>CILINDRO Y COMP. 11209</t>
  </si>
  <si>
    <t>1617.200.015-000</t>
  </si>
  <si>
    <t>INTERRUPTOR 11304 RX1617200108</t>
  </si>
  <si>
    <t>1617.200.017-000</t>
  </si>
  <si>
    <t>INTERRUPTOR 11206</t>
  </si>
  <si>
    <t>1617.200.021-000</t>
  </si>
  <si>
    <t>INTERRUPTOR 11305 DESCONTINUADO</t>
  </si>
  <si>
    <t>1617.200.040-000</t>
  </si>
  <si>
    <t>INTERRUPTOR 11214/230 DISCONTINUADO</t>
  </si>
  <si>
    <t>1617.200.041-000</t>
  </si>
  <si>
    <t>INTERRUPTOR 11213.7</t>
  </si>
  <si>
    <t>1617.200.042-000</t>
  </si>
  <si>
    <t>1617.200.047-000</t>
  </si>
  <si>
    <t>INTERRUPTOR 3245/11234.0</t>
  </si>
  <si>
    <t>1617.200.052-000</t>
  </si>
  <si>
    <t>INTERRUPTOR 11226</t>
  </si>
  <si>
    <t>1617.200.056-000</t>
  </si>
  <si>
    <t>INTERRUPTOR 11228</t>
  </si>
  <si>
    <t>1617.200.067-000</t>
  </si>
  <si>
    <t>INTERRUPTOR 11225.7/56.2</t>
  </si>
  <si>
    <t>1617.200.070-000</t>
  </si>
  <si>
    <t>INTERRUPTOR 11237 DISCONTINUED</t>
  </si>
  <si>
    <t>1617.200.081-000</t>
  </si>
  <si>
    <t>INTERRUPTOR 112340/11226 RX1617200047</t>
  </si>
  <si>
    <t>1617.200.083-000</t>
  </si>
  <si>
    <t>INTERRUPTOR 11237</t>
  </si>
  <si>
    <t>1617.200.088-000</t>
  </si>
  <si>
    <t>INTERRUPTOR 11218/28- RX 089</t>
  </si>
  <si>
    <t>1617.200.089-000</t>
  </si>
  <si>
    <t>INTERRUPTOR 11218 OBSOLETO</t>
  </si>
  <si>
    <t>1617.200.095-000</t>
  </si>
  <si>
    <t>INTERRUPTOR 11318.7</t>
  </si>
  <si>
    <t>1617.200.102-000</t>
  </si>
  <si>
    <t>INTERRUPTOR 11321</t>
  </si>
  <si>
    <t>1617.200.108-000</t>
  </si>
  <si>
    <t>INTERRUPTOR 1304.1</t>
  </si>
  <si>
    <t>1617.200.110-000</t>
  </si>
  <si>
    <t>INTERRUPTOR 11500</t>
  </si>
  <si>
    <t>1617.200.112-000</t>
  </si>
  <si>
    <t>INTERRUPTOR 11335 RX 1607200244</t>
  </si>
  <si>
    <t>1617.200.113-000</t>
  </si>
  <si>
    <t>INTERRUPTOR 11332  Rx 1617200127</t>
  </si>
  <si>
    <t>1617.200.120-000</t>
  </si>
  <si>
    <t>INTERRUPTOR 11264</t>
  </si>
  <si>
    <t>1617.200.130-000</t>
  </si>
  <si>
    <t>INTERRUPTOR 1B65.0/1B65.1</t>
  </si>
  <si>
    <t>1617.200.500-000</t>
  </si>
  <si>
    <t>INTERRUPTOR 11250/11253 RX 532</t>
  </si>
  <si>
    <t>1617.200.515-000</t>
  </si>
  <si>
    <t>INTERRUPTOR 1B58</t>
  </si>
  <si>
    <t>1617.220.073-000</t>
  </si>
  <si>
    <t>MOTOR COMPLETO 11311</t>
  </si>
  <si>
    <t>1617.233.016-000</t>
  </si>
  <si>
    <t>REGULADOR ELECTR.    11214/231</t>
  </si>
  <si>
    <t>1617.233.018-000</t>
  </si>
  <si>
    <t>REGULADOR ELECTRONICO 11222 DISCONT</t>
  </si>
  <si>
    <t>1617.233.026-000</t>
  </si>
  <si>
    <t>REG.ELECTR.11223/316 Rx16072335CV</t>
  </si>
  <si>
    <t>1617.233.028-000</t>
  </si>
  <si>
    <t>REGULADOR ELECTRONICO 11235 RX042</t>
  </si>
  <si>
    <t>1617.233.032-000</t>
  </si>
  <si>
    <t>REG. ELECTRONICO 11241.7</t>
  </si>
  <si>
    <t>1617.233.037-000</t>
  </si>
  <si>
    <t>REGULADOR DE REVOLUCIONES 11318</t>
  </si>
  <si>
    <t>1617.233.042-000</t>
  </si>
  <si>
    <t>REGULADOR DE VELOCIDAD 11263/11235 RA028</t>
  </si>
  <si>
    <t>1617.233.047-000</t>
  </si>
  <si>
    <t>REGULADOR DE REVOLUCIONES 11264</t>
  </si>
  <si>
    <t>1617.233.049-000</t>
  </si>
  <si>
    <t>REGULADOR DE VELOCIDAD 11321</t>
  </si>
  <si>
    <t>1617.233.052-000</t>
  </si>
  <si>
    <t>REG. DE REVOLUCIONES GSH 11 VC 11336</t>
  </si>
  <si>
    <t>1617.328.002-000</t>
  </si>
  <si>
    <t>CONDENSADOR 11304</t>
  </si>
  <si>
    <t>1617.328.029-000</t>
  </si>
  <si>
    <t>FILTRO ANTIPARASITARIO 1304.1</t>
  </si>
  <si>
    <t>1617.328.032-000</t>
  </si>
  <si>
    <t>FILTRO ANTIPARASITARIO 1B5A.4</t>
  </si>
  <si>
    <t>1617.S00.T1Z-000</t>
  </si>
  <si>
    <t>BATERIA 18V / 1,5AH LITIO =1607.A35.0BZ</t>
  </si>
  <si>
    <t>1617.S00.T4M-000</t>
  </si>
  <si>
    <t>BATERIA LI-ON10.8V RA 2607336027</t>
  </si>
  <si>
    <t>1618.000.028-000</t>
  </si>
  <si>
    <t>PLACA DE BASE 11335</t>
  </si>
  <si>
    <t>1618.040.053-000</t>
  </si>
  <si>
    <t>PIEZA DE APRIETE 1316.7</t>
  </si>
  <si>
    <t>1618.040.059-000</t>
  </si>
  <si>
    <t>SOPORTE PRESOR 1245.7</t>
  </si>
  <si>
    <t>1618.040.071-000</t>
  </si>
  <si>
    <t>SOPORTE PRESOR 11235/11263</t>
  </si>
  <si>
    <t>1618.040.073-000</t>
  </si>
  <si>
    <t>SOPORTE PRESOR  11239.7</t>
  </si>
  <si>
    <t>1618.040.074-000</t>
  </si>
  <si>
    <t>SOPORTE PRESOR 1B64.0</t>
  </si>
  <si>
    <t>1618.040.084-000</t>
  </si>
  <si>
    <t>PIEZA APRIETE 11321</t>
  </si>
  <si>
    <t>1618.040.087-000</t>
  </si>
  <si>
    <t>1618.040.094-000</t>
  </si>
  <si>
    <t>PIEZA DE APRIETE 11336</t>
  </si>
  <si>
    <t>1618.040.095-000</t>
  </si>
  <si>
    <t>Manguito de sujeción</t>
  </si>
  <si>
    <t>1618.040.097-000</t>
  </si>
  <si>
    <t>SOPORTE PRESOR 1B66.0</t>
  </si>
  <si>
    <t>1618.045.018-000</t>
  </si>
  <si>
    <t>ESTRIBO 11304 OBSOLETO</t>
  </si>
  <si>
    <t>1618.045.022-000</t>
  </si>
  <si>
    <t>MPUNADURA DE PUENTE  11335</t>
  </si>
  <si>
    <t>1618.045.024-000</t>
  </si>
  <si>
    <t>ESTRIBO DE SUJECION 11335.0 RX1618045026</t>
  </si>
  <si>
    <t>1618.045.026-000</t>
  </si>
  <si>
    <t>ESTRIBO DE SUJECION 11335/1130A</t>
  </si>
  <si>
    <t>1618.597.023-000</t>
  </si>
  <si>
    <t>PORTA HERRAMIENTAS 11206</t>
  </si>
  <si>
    <t>1618.597.029-000</t>
  </si>
  <si>
    <t>PORTA HERRAMIENTAS 11304 RX1617000428</t>
  </si>
  <si>
    <t>1618.597.031-000</t>
  </si>
  <si>
    <t>PORTA HERRAMIENTAS 11205 DISCONTINUADO</t>
  </si>
  <si>
    <t>1618.597.032-000</t>
  </si>
  <si>
    <t>1618.597.033-000</t>
  </si>
  <si>
    <t>PORTA HERRAMIENTAS 11305</t>
  </si>
  <si>
    <t>1618.597.060-000</t>
  </si>
  <si>
    <t>PORTA HERRAMIENTAS 11216</t>
  </si>
  <si>
    <t>1618.597.067-000</t>
  </si>
  <si>
    <t>MANGUITO C/MUESCA 11311/16</t>
  </si>
  <si>
    <t>1618.597.068-000</t>
  </si>
  <si>
    <t>PORTAHERRAM. 11223/245</t>
  </si>
  <si>
    <t>1618.597.069-000</t>
  </si>
  <si>
    <t>PORTAHERRAMIENTAS 11313 - OBSOLETE</t>
  </si>
  <si>
    <t>1618.597.071-000</t>
  </si>
  <si>
    <t>PORTAHERRAMIENTAS 11230 OBSOLETO</t>
  </si>
  <si>
    <t>1618.597.072-000</t>
  </si>
  <si>
    <t>1618.597.102-000</t>
  </si>
  <si>
    <t>Portaherramientas</t>
  </si>
  <si>
    <t>1618.597.105-000</t>
  </si>
  <si>
    <t>PORTAHERRAMIENTAS 1B66.0</t>
  </si>
  <si>
    <t>1618.597.118-000</t>
  </si>
  <si>
    <t>PORTAHERRAMIENTAS 6520</t>
  </si>
  <si>
    <t>1618.597.119-000</t>
  </si>
  <si>
    <t>1618.597.129-000</t>
  </si>
  <si>
    <t>Pieza De Sujecion De Herr</t>
  </si>
  <si>
    <t>1618.598.175-000</t>
  </si>
  <si>
    <t>MANDRI CAMBI RAPID 11222/11236 RA164</t>
  </si>
  <si>
    <t>1618.598.191-000</t>
  </si>
  <si>
    <t>PORTA HERRAMIENTAS 11226/28 RX 241</t>
  </si>
  <si>
    <t>1618.598.220-000</t>
  </si>
  <si>
    <t>PORTAHERRAMIENTAS  11239.7</t>
  </si>
  <si>
    <t>1618.598.221-000</t>
  </si>
  <si>
    <t>PORTAHERRAMIENTAS 11239.7</t>
  </si>
  <si>
    <t>1618.598.241-000</t>
  </si>
  <si>
    <t>PORTA HERRAM 11226/28 CON PINOS</t>
  </si>
  <si>
    <t>1618.598.248-000</t>
  </si>
  <si>
    <t>PORTAHERRAMIENTAS 11239.7</t>
  </si>
  <si>
    <t>1618.598.249-000</t>
  </si>
  <si>
    <t>PIEZA DE SUJECION DE HERR 11239.7</t>
  </si>
  <si>
    <t>1618.700.033-000</t>
  </si>
  <si>
    <t>PISTON 11201/2</t>
  </si>
  <si>
    <t>1618.700.041-000</t>
  </si>
  <si>
    <t>PISTON 11206.0 - DISCONTINUADO</t>
  </si>
  <si>
    <t>1618.700.043-000</t>
  </si>
  <si>
    <t>PISTON 11304</t>
  </si>
  <si>
    <t>1618.700.047-000</t>
  </si>
  <si>
    <t>EMBOLO 11305</t>
  </si>
  <si>
    <t>1618.700.052-000</t>
  </si>
  <si>
    <t>PISTON 11210.0</t>
  </si>
  <si>
    <t>1618.700.057-000</t>
  </si>
  <si>
    <t>PISTON 11309/313 - DISCONTINUADO</t>
  </si>
  <si>
    <t>1618.700.060-000</t>
  </si>
  <si>
    <t>PISTON 11214/231 obsoleto</t>
  </si>
  <si>
    <t>1618.700.063-000</t>
  </si>
  <si>
    <t>PISTON 11222/11236</t>
  </si>
  <si>
    <t>1618.700.066-000</t>
  </si>
  <si>
    <t>EMBOLO DEL MARTILLO 1245.7</t>
  </si>
  <si>
    <t>1618.700.073-000</t>
  </si>
  <si>
    <t>EMBOLO  11239.7 - DISCONTINUADO</t>
  </si>
  <si>
    <t>1618.700.075-000</t>
  </si>
  <si>
    <t>EMBOLO 11250.7</t>
  </si>
  <si>
    <t>1618.700.083-000</t>
  </si>
  <si>
    <t>1618.700.085-000</t>
  </si>
  <si>
    <t>EMBOLO DEL MARTILLO 11239.7</t>
  </si>
  <si>
    <t>1618.700.093-000</t>
  </si>
  <si>
    <t>EMBOLO DEL MARTILLO 1C32.1</t>
  </si>
  <si>
    <t>1618.710.030-000</t>
  </si>
  <si>
    <t>1618.710.038-000</t>
  </si>
  <si>
    <t>PERCUTOR 11206</t>
  </si>
  <si>
    <t>1618.710.039-000</t>
  </si>
  <si>
    <t>GOLPEADOR 1304.1</t>
  </si>
  <si>
    <t>1618.710.044-000</t>
  </si>
  <si>
    <t>1618.710.051-000</t>
  </si>
  <si>
    <t>PERCUTOR 11313 RX 077</t>
  </si>
  <si>
    <t>1618.710.052-000</t>
  </si>
  <si>
    <t>PERCUTOR 11309/313</t>
  </si>
  <si>
    <t>1618.710.053-000</t>
  </si>
  <si>
    <t>PERCUTOR 11216/230 OBSOLETO</t>
  </si>
  <si>
    <t>1618.710.055-000</t>
  </si>
  <si>
    <t>PERCUTOR 11214/231</t>
  </si>
  <si>
    <t>1618.710.057-000</t>
  </si>
  <si>
    <t>PERCUTOR 11218-26-28 RA F000613036</t>
  </si>
  <si>
    <t>1618.710.058-000</t>
  </si>
  <si>
    <t>PERCUTOR 11305       RA042</t>
  </si>
  <si>
    <t>1618.710.060-000</t>
  </si>
  <si>
    <t>CLAVIJA DE PERCUSION 11222/236</t>
  </si>
  <si>
    <t>1618.710.062-000</t>
  </si>
  <si>
    <t>PERCUTOR 11311/16</t>
  </si>
  <si>
    <t>1618.710.066-000</t>
  </si>
  <si>
    <t>GOLPEADOR 1245.7</t>
  </si>
  <si>
    <t>1618.710.068-000</t>
  </si>
  <si>
    <t>EJE 3304/11256.2          RA1617000973</t>
  </si>
  <si>
    <t>1618.710.070-000</t>
  </si>
  <si>
    <t>PERCUTOR  11235 RX 1617000417</t>
  </si>
  <si>
    <t>1618.710.071-000</t>
  </si>
  <si>
    <t>PERCUTOR 11311/16       RA063</t>
  </si>
  <si>
    <t>1618.710.073-000</t>
  </si>
  <si>
    <t>PERCUTOR 11318.7</t>
  </si>
  <si>
    <t>1618.710.074-000</t>
  </si>
  <si>
    <t>PERCUTOR 11241.7</t>
  </si>
  <si>
    <t>1618.710.077-000</t>
  </si>
  <si>
    <t>PERCUTOR 11313 OBSOLETO</t>
  </si>
  <si>
    <t>1618.710.080-000</t>
  </si>
  <si>
    <t>PERCUTOR 11250.7</t>
  </si>
  <si>
    <t>1618.710.083-000</t>
  </si>
  <si>
    <t>PERCUTOR 11263</t>
  </si>
  <si>
    <t>1618.710.085-000</t>
  </si>
  <si>
    <t>1618.710.089-000</t>
  </si>
  <si>
    <t>GOLPEADOR 11321</t>
  </si>
  <si>
    <t>1618.710.091-000</t>
  </si>
  <si>
    <t>GOLPEADOR 11264/11269</t>
  </si>
  <si>
    <t>1618.710.094-000</t>
  </si>
  <si>
    <t>1618.900.001-000</t>
  </si>
  <si>
    <t>PALANCA DE MANDO 11241.7</t>
  </si>
  <si>
    <t>1618.900.002-000</t>
  </si>
  <si>
    <t>1618.900.003-000</t>
  </si>
  <si>
    <t>CARTUCHO DE AMORTIGUACIÓN    11336</t>
  </si>
  <si>
    <t>1618.900.004-000</t>
  </si>
  <si>
    <t>1618.B00.804-000</t>
  </si>
  <si>
    <t>Carcaca Luxa Fit</t>
  </si>
  <si>
    <t>1618.B00.903-000</t>
  </si>
  <si>
    <t>1618.C00.12T-000</t>
  </si>
  <si>
    <t>CORREDERA DE CONEXION GLL 3-80</t>
  </si>
  <si>
    <t>1618.C00.325-000</t>
  </si>
  <si>
    <t>PIE DE LA CAJA GLL 3-80</t>
  </si>
  <si>
    <t>1618.C00.326-000</t>
  </si>
  <si>
    <t>1618.C00.462-000</t>
  </si>
  <si>
    <t>LLAVE EXAGONAL DE TUBO GPL 5</t>
  </si>
  <si>
    <t>1618.C00.463-000</t>
  </si>
  <si>
    <t>CINTA TEXTIL GPL 5</t>
  </si>
  <si>
    <t>1618.C00.464-000</t>
  </si>
  <si>
    <t>BOLSA GPL 5</t>
  </si>
  <si>
    <t>1618.C00.465-000</t>
  </si>
  <si>
    <t>MONTAJE GPL 5</t>
  </si>
  <si>
    <t>1618.C00.487-000</t>
  </si>
  <si>
    <t>TORNILLO GPL 5</t>
  </si>
  <si>
    <t>1618.C00.489-000</t>
  </si>
  <si>
    <t>TAPON GPL 5</t>
  </si>
  <si>
    <t>1618.C00.491-000</t>
  </si>
  <si>
    <t>PINZA GPL 5</t>
  </si>
  <si>
    <t>1618.C00.492-000</t>
  </si>
  <si>
    <t>TAPA DE LAS PILAS GPL 5</t>
  </si>
  <si>
    <t>1618.C00.60U-000</t>
  </si>
  <si>
    <t>MONTAJE</t>
  </si>
  <si>
    <t>1618.C00.61B-000</t>
  </si>
  <si>
    <t>1618.C00.61N-000</t>
  </si>
  <si>
    <t>CAPERUZA FINAL</t>
  </si>
  <si>
    <t>1618.C00.66E-000</t>
  </si>
  <si>
    <t>CORREA PLANA</t>
  </si>
  <si>
    <t>1618.C00.75A-000</t>
  </si>
  <si>
    <t>1618.C00.81G-000</t>
  </si>
  <si>
    <t>GRUPO DE MONTAJE CARCASA GLL 3-50</t>
  </si>
  <si>
    <t>1618.C00.88U-000</t>
  </si>
  <si>
    <t>PATA GLL 3-50</t>
  </si>
  <si>
    <t>1618.C01.09R-000</t>
  </si>
  <si>
    <t>MONTAJE GLL 2-20</t>
  </si>
  <si>
    <t>1618.C01.10Z-000</t>
  </si>
  <si>
    <t>Chapa BT 150</t>
  </si>
  <si>
    <t>1618.C01.11A-000</t>
  </si>
  <si>
    <t>NERVIO DE AGARRE</t>
  </si>
  <si>
    <t>1618.C01.11B-000</t>
  </si>
  <si>
    <t>PIE DE LA CAJA  BT 150</t>
  </si>
  <si>
    <t>1618.C01.11C-000</t>
  </si>
  <si>
    <t>MANIVELA BT 150</t>
  </si>
  <si>
    <t>1618.C01.14L-000</t>
  </si>
  <si>
    <t>TAPA DE BATERIA LR 6</t>
  </si>
  <si>
    <t>1618.C01.14U-000</t>
  </si>
  <si>
    <t>TAPA DE BATERIA LR 7</t>
  </si>
  <si>
    <t>1618.C01.19V-000</t>
  </si>
  <si>
    <t>MONTAJE GLL 3-80/CG</t>
  </si>
  <si>
    <t>1618.C01.20G-000</t>
  </si>
  <si>
    <t>Tapa De Bateria</t>
  </si>
  <si>
    <t>1618.C01.21B-000</t>
  </si>
  <si>
    <t>JUNTA ANULAR PARA CAJA LR 6</t>
  </si>
  <si>
    <t>1618.C01.21C-000</t>
  </si>
  <si>
    <t>JUNTA ANULAR PARA CAJA LR 7</t>
  </si>
  <si>
    <t>1618.C01.25E-000</t>
  </si>
  <si>
    <t>1618.C01.26V-000</t>
  </si>
  <si>
    <t>Interrupt Con Teclas</t>
  </si>
  <si>
    <t>1618.C01.26X-000</t>
  </si>
  <si>
    <t>SWITCH WITH GLL 2-10 KEYS</t>
  </si>
  <si>
    <t>1618.C01.39J-000</t>
  </si>
  <si>
    <t>Almahoda De Goma</t>
  </si>
  <si>
    <t>1618.C01.473-000</t>
  </si>
  <si>
    <t>TORNILLO AUTORROSCANTE GLL 3-80/CG</t>
  </si>
  <si>
    <t>1618.C01.495-000</t>
  </si>
  <si>
    <t>DIANA GRL 250 HV</t>
  </si>
  <si>
    <t>1618.C01.699-000</t>
  </si>
  <si>
    <t>1618.C01.707-000</t>
  </si>
  <si>
    <t>GRUPO DE MONTAJE CARCASA GCL 25/GLL 3-80</t>
  </si>
  <si>
    <t>1618.C01.752-000</t>
  </si>
  <si>
    <t>TUERCA GLL 3-80</t>
  </si>
  <si>
    <t>1618.C01.773-000</t>
  </si>
  <si>
    <t>VENTANILLA GLL 3-80</t>
  </si>
  <si>
    <t>1618.C01.774-000</t>
  </si>
  <si>
    <t>1619.990.149-000</t>
  </si>
  <si>
    <t>ANILLO DISTANCIADOR 11235/11263</t>
  </si>
  <si>
    <t>1619.990.151-000</t>
  </si>
  <si>
    <t>ANILLO DE MANDO</t>
  </si>
  <si>
    <t>1619.990.177-000</t>
  </si>
  <si>
    <t>Anillo de mando</t>
  </si>
  <si>
    <t>1619.990.179-000</t>
  </si>
  <si>
    <t>ANILLO DE MANDO 1B66.0</t>
  </si>
  <si>
    <t>1619.P00.029-000</t>
  </si>
  <si>
    <t>TORNILLO 1C89.0</t>
  </si>
  <si>
    <t>1619.P00.105-000</t>
  </si>
  <si>
    <t>TORNILLO 1388/1389/1394/1396.1</t>
  </si>
  <si>
    <t>1619.P00.108-000</t>
  </si>
  <si>
    <t>MOTOR 1915.7 OBSOLETO</t>
  </si>
  <si>
    <t>1619.P00.109-000</t>
  </si>
  <si>
    <t>MOTOR 1915.6 OBSOLETO</t>
  </si>
  <si>
    <t>1619.P00.141-000</t>
  </si>
  <si>
    <t>MOTOR C.C. 1915.5</t>
  </si>
  <si>
    <t>1619.P00.219-000</t>
  </si>
  <si>
    <t>TORNILLO AUTORROSCANTE 2144</t>
  </si>
  <si>
    <t>1619.P00.220-000</t>
  </si>
  <si>
    <t>1619.P00.228-000</t>
  </si>
  <si>
    <t>TORNILLO 1C38.7</t>
  </si>
  <si>
    <t>1619.P00.290-000</t>
  </si>
  <si>
    <t>RODAMIENTO 1293 RA 2600.905.062</t>
  </si>
  <si>
    <t>1619.P00.428-000</t>
  </si>
  <si>
    <t>ANILLO 3167-8/3281/1587/1589/1598</t>
  </si>
  <si>
    <t>1619.P00.444-000</t>
  </si>
  <si>
    <t>1619.P00.445-000</t>
  </si>
  <si>
    <t>anillo de retención</t>
  </si>
  <si>
    <t>1619.P00.446-000</t>
  </si>
  <si>
    <t>1619.P00.455-000</t>
  </si>
  <si>
    <t>RODAMIENTO GWS 670</t>
  </si>
  <si>
    <t>1619.P00.828-000</t>
  </si>
  <si>
    <t>ARANDELA DE PRESION  11258</t>
  </si>
  <si>
    <t>1619.P00.829-000</t>
  </si>
  <si>
    <t>1619.P00.987-000</t>
  </si>
  <si>
    <t>ARANDELA 1388/SAW MAX/1396.1/1C94.0</t>
  </si>
  <si>
    <t>1619.P00.999-000</t>
  </si>
  <si>
    <t>HUSILLO PORT M14, SW17 RX 1619P14614</t>
  </si>
  <si>
    <t>1619.P01.066-000</t>
  </si>
  <si>
    <t>1619.P01.104-000</t>
  </si>
  <si>
    <t>SUJETADOR DE CABLE 1E7A.0</t>
  </si>
  <si>
    <t>1619.P01.127-000</t>
  </si>
  <si>
    <t>ANILLO DE GOMA 1FB3.0</t>
  </si>
  <si>
    <t>1619.P01.130-000</t>
  </si>
  <si>
    <t>CARCASA DEL MOTOR 1523</t>
  </si>
  <si>
    <t>1619.P01.131-000</t>
  </si>
  <si>
    <t>ESTATOR 1523</t>
  </si>
  <si>
    <t>1619.P01.137-000</t>
  </si>
  <si>
    <t>CONDENSADOR ANTIPARASIT. 157A</t>
  </si>
  <si>
    <t>1619.P01.139-000</t>
  </si>
  <si>
    <t>CAPERUZA FINAL 1E7A.0</t>
  </si>
  <si>
    <t>1619.P01.140-000</t>
  </si>
  <si>
    <t>CHAPA DEFLECTORA NEGRO 1E7A.0</t>
  </si>
  <si>
    <t>1619.P01.141-000</t>
  </si>
  <si>
    <t>JUEGO DE EMPUNADURAS AZUL 1E7A.0</t>
  </si>
  <si>
    <t>1619.P01.142-000</t>
  </si>
  <si>
    <t>EMPUNADURA ADICIONAL NEGRO 1E7A.0</t>
  </si>
  <si>
    <t>1619.P01.143-000</t>
  </si>
  <si>
    <t>CAPERUZA NEGRO 1E7A.0</t>
  </si>
  <si>
    <t>1619.P01.151-000</t>
  </si>
  <si>
    <t>CABLE DE SINCRONISMO 1E7A.0</t>
  </si>
  <si>
    <t>1619.P01.152-000</t>
  </si>
  <si>
    <t>1619.P01.153-000</t>
  </si>
  <si>
    <t>ARANDELA 1E7A.0</t>
  </si>
  <si>
    <t>1619.P01.154-000</t>
  </si>
  <si>
    <t>TOPE DE PROFUNDIDAD 1E7A.0</t>
  </si>
  <si>
    <t>1619.P01.155-000</t>
  </si>
  <si>
    <t>ESCUADRA DE SOPORTE 1E7A.0</t>
  </si>
  <si>
    <t>1619.P01.156-000</t>
  </si>
  <si>
    <t>BOTON DE MANDO 1E7A.0</t>
  </si>
  <si>
    <t>1619.P01.158-000</t>
  </si>
  <si>
    <t>BISAGRA 1E7A.0</t>
  </si>
  <si>
    <t>1619.P01.161-000</t>
  </si>
  <si>
    <t>INTERRUPTOR 1523</t>
  </si>
  <si>
    <t>1619.P01.173-000</t>
  </si>
  <si>
    <t>OJETE PROTECTOR 1523</t>
  </si>
  <si>
    <t>1619.P01.182-000</t>
  </si>
  <si>
    <t>SUJETADOR DE CABLE 1523</t>
  </si>
  <si>
    <t>1619.P01.194-000</t>
  </si>
  <si>
    <t>PORTAESCOBILLAS 1523</t>
  </si>
  <si>
    <t>1619.P01.195-000</t>
  </si>
  <si>
    <t>TAPON ROSCADO 1523</t>
  </si>
  <si>
    <t>1619.P01.197-000</t>
  </si>
  <si>
    <t>MANIJA 1523</t>
  </si>
  <si>
    <t>1619.P01.198-000</t>
  </si>
  <si>
    <t>TAPA DE VENTILADOR 1523 - DISCONTINUADO</t>
  </si>
  <si>
    <t>1619.P01.199-000</t>
  </si>
  <si>
    <t>CARCASA SUPERIOR 1523 OBSOLETO</t>
  </si>
  <si>
    <t>1619.P01.203-000</t>
  </si>
  <si>
    <t>ARANDELA 1523</t>
  </si>
  <si>
    <t>1619.P01.204-000</t>
  </si>
  <si>
    <t>MUELLE DE GOMA 1523</t>
  </si>
  <si>
    <t>1619.P01.205-000</t>
  </si>
  <si>
    <t>BORNE 1523</t>
  </si>
  <si>
    <t>1619.P01.206-000</t>
  </si>
  <si>
    <t>CERROJO 1523</t>
  </si>
  <si>
    <t>1619.P01.207-000</t>
  </si>
  <si>
    <t>RESORTE 1523</t>
  </si>
  <si>
    <t>1619.P01.209-000</t>
  </si>
  <si>
    <t>CUBIERTA PROTECTORA 1523 OBSOLETO</t>
  </si>
  <si>
    <t>1619.P01.212-000</t>
  </si>
  <si>
    <t>MANIJA DE SUJECION 1523</t>
  </si>
  <si>
    <t>1619.P01.213-000</t>
  </si>
  <si>
    <t>1619.P01.214-000</t>
  </si>
  <si>
    <t>ANILLO DE MUELLE 1523</t>
  </si>
  <si>
    <t>1619.P01.218-000</t>
  </si>
  <si>
    <t>CASQUILLO-GUIA 1523 - DISCONTINUADO</t>
  </si>
  <si>
    <t>1619.P01.220-000</t>
  </si>
  <si>
    <t>DISCO CON FLANCO 1523 OBSOLETO</t>
  </si>
  <si>
    <t>1619.P01.230-000</t>
  </si>
  <si>
    <t>TOPE 1523</t>
  </si>
  <si>
    <t>1619.P01.231-000</t>
  </si>
  <si>
    <t>TENSOR-EQUILIBRADOR 1523</t>
  </si>
  <si>
    <t>1619.P01.232-000</t>
  </si>
  <si>
    <t>PLACA DEL FONDO 1523</t>
  </si>
  <si>
    <t>1619.P01.238-000</t>
  </si>
  <si>
    <t>TUERCA DE MARIPOSA 1523</t>
  </si>
  <si>
    <t>1619.P01.239-000</t>
  </si>
  <si>
    <t>EJE 1523</t>
  </si>
  <si>
    <t>1619.P01.240-000</t>
  </si>
  <si>
    <t>1619.P01.242-000</t>
  </si>
  <si>
    <t>1619.P01.243-000</t>
  </si>
  <si>
    <t>1619.P01.244-000</t>
  </si>
  <si>
    <t>1619.P01.245-000</t>
  </si>
  <si>
    <t>1619.P01.246-000</t>
  </si>
  <si>
    <t>PALANCA DE CIERRE 1523</t>
  </si>
  <si>
    <t>1619.P01.254-000</t>
  </si>
  <si>
    <t>ARANDELA ELASTICA 1523</t>
  </si>
  <si>
    <t>1619.P01.255-000</t>
  </si>
  <si>
    <t>COJINETE 1523</t>
  </si>
  <si>
    <t>1619.P01.256-000</t>
  </si>
  <si>
    <t>ENGRANAJE 1523</t>
  </si>
  <si>
    <t>1619.P01.257-000</t>
  </si>
  <si>
    <t>HUSILLO 1523</t>
  </si>
  <si>
    <t>1619.P01.258-000</t>
  </si>
  <si>
    <t>1619.P01.259-000</t>
  </si>
  <si>
    <t>ARANDELA ONDULADA 1523</t>
  </si>
  <si>
    <t>1619.P01.260-000</t>
  </si>
  <si>
    <t>1619.P01.261-000</t>
  </si>
  <si>
    <t>TAPA DEL ENGRANAJE 1523 - DISCONTINUADO</t>
  </si>
  <si>
    <t>1619.P01.262-000</t>
  </si>
  <si>
    <t>REVESTIMENTO 1523</t>
  </si>
  <si>
    <t>1619.P01.264-000</t>
  </si>
  <si>
    <t>CONMUTADOR 1523</t>
  </si>
  <si>
    <t>1619.P01.265-000</t>
  </si>
  <si>
    <t>1619.P01.266-000</t>
  </si>
  <si>
    <t>ANILLO 1523</t>
  </si>
  <si>
    <t>1619.P01.268-000</t>
  </si>
  <si>
    <t>1619.P01.310-000</t>
  </si>
  <si>
    <t>INDUCIDO CON VENTILADOR 1523 OBSOLETO</t>
  </si>
  <si>
    <t>1619.P01.316-000</t>
  </si>
  <si>
    <t>JUEGO RUEDAS DE ENGRANAJE 1523</t>
  </si>
  <si>
    <t>1619.P01.317-000</t>
  </si>
  <si>
    <t>CARBONES 1523</t>
  </si>
  <si>
    <t>1619.P01.325-000</t>
  </si>
  <si>
    <t>ADAPTADOR DE VACIO 1E23</t>
  </si>
  <si>
    <t>1619.P01.327-000</t>
  </si>
  <si>
    <t>BARRA 5885</t>
  </si>
  <si>
    <t>1619.P01.375-000</t>
  </si>
  <si>
    <t>JUEGO DE RODILLOS 1587/1589</t>
  </si>
  <si>
    <t>1619.P01.380-000</t>
  </si>
  <si>
    <t>TORNILLO 4X14 1C38.7</t>
  </si>
  <si>
    <t>1619.P01.385-000</t>
  </si>
  <si>
    <t>CARCASA 1509/1281.769 RX P10206</t>
  </si>
  <si>
    <t>1619.P01.387-000</t>
  </si>
  <si>
    <t>ENGRENAJE RX 1619P09533000</t>
  </si>
  <si>
    <t>1619.P01.389-000</t>
  </si>
  <si>
    <t>ANILLO DE SEGURIDAD 1509/1281.769</t>
  </si>
  <si>
    <t>1619.P01.392-000</t>
  </si>
  <si>
    <t>COJINETE DE AGUJAS 1509/1281.769</t>
  </si>
  <si>
    <t>1619.P01.393-000</t>
  </si>
  <si>
    <t>Pestillo</t>
  </si>
  <si>
    <t>1619.P01.395-000</t>
  </si>
  <si>
    <t>ARANDELA DE PRESIÓN  1509/1281.769</t>
  </si>
  <si>
    <t>1619.P01.396-000</t>
  </si>
  <si>
    <t>1619.P01.397-000</t>
  </si>
  <si>
    <t>ARANDELA SUPLEMENTO 1509/1281.769</t>
  </si>
  <si>
    <t>1619.P01.446-000</t>
  </si>
  <si>
    <t>TORNILLO 1F4J.0</t>
  </si>
  <si>
    <t>1619.P01.447-000</t>
  </si>
  <si>
    <t>1619.P01.449-000</t>
  </si>
  <si>
    <t>TOPE DE GOMA  16A2</t>
  </si>
  <si>
    <t>1619.P01.508-000</t>
  </si>
  <si>
    <t>1619.P01.511-000</t>
  </si>
  <si>
    <t>RODAMIENTO A BOLAS 1F4J.0</t>
  </si>
  <si>
    <t>1619.P01.524-000</t>
  </si>
  <si>
    <t>CARCASA DEL MOTOR 5885</t>
  </si>
  <si>
    <t>1619.P01.532-000</t>
  </si>
  <si>
    <t>1619.P01.535-000</t>
  </si>
  <si>
    <t>ARANDELA 1668/67</t>
  </si>
  <si>
    <t>1619.P01.539-000</t>
  </si>
  <si>
    <t>1619.P01.571-000</t>
  </si>
  <si>
    <t>ESTATOR 1668/1667</t>
  </si>
  <si>
    <t>1619.P01.598-000</t>
  </si>
  <si>
    <t>LLAVE DE ESP.P.TORNILLOS RA 1600A014UP</t>
  </si>
  <si>
    <t>1619.P01.618-000</t>
  </si>
  <si>
    <t>TORNILLO ALA</t>
  </si>
  <si>
    <t>1619.P01.620-000</t>
  </si>
  <si>
    <t>ESTRIBO DE GUIA 1E7A.0</t>
  </si>
  <si>
    <t>1619.P01.623-000</t>
  </si>
  <si>
    <t>EJE 1E7A.0</t>
  </si>
  <si>
    <t>1619.P01.624-000</t>
  </si>
  <si>
    <t>RUEDA DENTADA RECTA 1E7A.0</t>
  </si>
  <si>
    <t>1619.P01.626-000</t>
  </si>
  <si>
    <t>ARANDELA DE SEGURIDAD 157A</t>
  </si>
  <si>
    <t>1619.P01.627-000</t>
  </si>
  <si>
    <t>ADAPTADOR DE VACIO 157A</t>
  </si>
  <si>
    <t>1619.P01.628-000</t>
  </si>
  <si>
    <t>BRIDA DE COJINETE 1E7A.0</t>
  </si>
  <si>
    <t>1619.P01.629-000</t>
  </si>
  <si>
    <t>CHAPA DE RETEN 1E7A.0</t>
  </si>
  <si>
    <t>1619.P01.630-000</t>
  </si>
  <si>
    <t>CUBIERTA PROT. ABATIBLE 157A</t>
  </si>
  <si>
    <t>1619.P01.631-000</t>
  </si>
  <si>
    <t>PALANCA 1E7A.0</t>
  </si>
  <si>
    <t>1619.P01.632-000</t>
  </si>
  <si>
    <t>MUELLE DE TRACCION 1E7A.0</t>
  </si>
  <si>
    <t>1619.P01.633-000</t>
  </si>
  <si>
    <t>PARACHOQUE 1E7A.0</t>
  </si>
  <si>
    <t>1619.P01.634-000</t>
  </si>
  <si>
    <t>TORNILLO DE APRIETE 1E7A.0</t>
  </si>
  <si>
    <t>1619.P01.635-000</t>
  </si>
  <si>
    <t>CASQUILLO DE BRIDA 1E7A.0</t>
  </si>
  <si>
    <t>1619.P01.636-000</t>
  </si>
  <si>
    <t>TUERCA DE MANGOS 1E7A.0</t>
  </si>
  <si>
    <t>1619.P01.637-000</t>
  </si>
  <si>
    <t>BRIDA PRESORA DEL CABLE 1E7A.0</t>
  </si>
  <si>
    <t>1619.P01.639-000</t>
  </si>
  <si>
    <t>REVESTIMIENTO PROTECT 157A</t>
  </si>
  <si>
    <t>1619.P01.643-000</t>
  </si>
  <si>
    <t>TORNILLO 1E7A.0</t>
  </si>
  <si>
    <t>1619.P01.644-000</t>
  </si>
  <si>
    <t>1619.P01.665-000</t>
  </si>
  <si>
    <t>PLACA DE BASE 1E7A.0</t>
  </si>
  <si>
    <t>1619.P01.666-000</t>
  </si>
  <si>
    <t>CONSOLA DE BISAGRA 1E7A.0</t>
  </si>
  <si>
    <t>1619.P01.668-000</t>
  </si>
  <si>
    <t>PALANCA DE AJUSTE 1E7A.0</t>
  </si>
  <si>
    <t>1619.P01.669-000</t>
  </si>
  <si>
    <t>BARRA Rx 1600A00Z5N</t>
  </si>
  <si>
    <t>1619.P01.673-000</t>
  </si>
  <si>
    <t>1619.P01.674-000</t>
  </si>
  <si>
    <t>TORNILLO 157A</t>
  </si>
  <si>
    <t>1619.P01.676-000</t>
  </si>
  <si>
    <t>1619.P01.677-000</t>
  </si>
  <si>
    <t>TORNILLO M5X10-H</t>
  </si>
  <si>
    <t>1619.P01.678-000</t>
  </si>
  <si>
    <t>1619.P01.679-000</t>
  </si>
  <si>
    <t>1619.P01.680-000</t>
  </si>
  <si>
    <t>TORNILLO M6X20-H 1E7A.0</t>
  </si>
  <si>
    <t>1619.P01.717-000</t>
  </si>
  <si>
    <t>CIERRE 11258 OBSOLETO</t>
  </si>
  <si>
    <t>1619.P01.767-000</t>
  </si>
  <si>
    <t>ARBOL DE TRANSMISION 11258</t>
  </si>
  <si>
    <t>1619.P01.769-000</t>
  </si>
  <si>
    <t>CARCAZA1258</t>
  </si>
  <si>
    <t>1619.P01.771-000</t>
  </si>
  <si>
    <t>INDUCIDO 11258</t>
  </si>
  <si>
    <t>1619.P01.772-000</t>
  </si>
  <si>
    <t>BRIDA INTERMEDIA 11258</t>
  </si>
  <si>
    <t>1619.P01.773-000</t>
  </si>
  <si>
    <t>TUBO DE MARTILLO 11258</t>
  </si>
  <si>
    <t>1619.P01.775-000</t>
  </si>
  <si>
    <t>TAPA LADO ACCIONAMIENTO 11258</t>
  </si>
  <si>
    <t>1619.P01.776-000</t>
  </si>
  <si>
    <t>CABLE DE ENLACE 1B5A.4</t>
  </si>
  <si>
    <t>1619.P01.783-000</t>
  </si>
  <si>
    <t>BOTON DE MANDO 11258</t>
  </si>
  <si>
    <t>1619.P01.787-000</t>
  </si>
  <si>
    <t>1619.P01.811-000</t>
  </si>
  <si>
    <t>PORTACARBONES 1375.6/1396.0/1C77.5/1C94</t>
  </si>
  <si>
    <t>1619.P01.902-000</t>
  </si>
  <si>
    <t>1619.P01.925-000</t>
  </si>
  <si>
    <t>ESTATOR 157A/5885 RA P08320</t>
  </si>
  <si>
    <t>1619.P01.931-000</t>
  </si>
  <si>
    <t>TORNILLO NEGRO 1F4J.0</t>
  </si>
  <si>
    <t>1619.P01.932-000</t>
  </si>
  <si>
    <t>1619.P01.957-000</t>
  </si>
  <si>
    <t>INDUCIDO 1509/1281.769</t>
  </si>
  <si>
    <t>1619.P01.960-000</t>
  </si>
  <si>
    <t>ESTATOR 1509/1281.769 220V</t>
  </si>
  <si>
    <t>1619.P01.962-000</t>
  </si>
  <si>
    <t>LINEA DE CONEXION A RED 1375.6</t>
  </si>
  <si>
    <t>1619.P02.043-000</t>
  </si>
  <si>
    <t>Screw</t>
  </si>
  <si>
    <t>1619.P02.138-000</t>
  </si>
  <si>
    <t>TUBO DE MARTILLO  11258 Rx 1615806188000</t>
  </si>
  <si>
    <t>1619.P02.182-000</t>
  </si>
  <si>
    <t>VAINA PROTECTORA (GBH 2-18 RE)</t>
  </si>
  <si>
    <t>1619.P02.325-000</t>
  </si>
  <si>
    <t>POWER SUPPLY CORD</t>
  </si>
  <si>
    <t>1619.P02.328-000</t>
  </si>
  <si>
    <t>LINEA DE CONEXION A RED 157A DISCONT</t>
  </si>
  <si>
    <t>1619.P02.333-000</t>
  </si>
  <si>
    <t>1619.P02.421-000</t>
  </si>
  <si>
    <t>CONTRAPESO</t>
  </si>
  <si>
    <t>1619.P02.422-000</t>
  </si>
  <si>
    <t>BRAZO DE COJINETE 1509/1281.769</t>
  </si>
  <si>
    <t>1619.P02.580-000</t>
  </si>
  <si>
    <t>MANGUITO DISTANCIADOR 1E7A.0</t>
  </si>
  <si>
    <t>1619.P02.581-000</t>
  </si>
  <si>
    <t>ENGRANAJE EXC. 1587 RA 2606320048</t>
  </si>
  <si>
    <t>1619.P02.708-000</t>
  </si>
  <si>
    <t>BRIDA DE COJINETE NEGRO 1C75.6</t>
  </si>
  <si>
    <t>1619.P02.775-000</t>
  </si>
  <si>
    <t>JGO RUEDAS CONICAS GWS 2000</t>
  </si>
  <si>
    <t>1619.P02.776-000</t>
  </si>
  <si>
    <t>JUEGO DE ENGRANAJES  1756/1852</t>
  </si>
  <si>
    <t>1619.P02.783-000</t>
  </si>
  <si>
    <t>1619.P02.796-000</t>
  </si>
  <si>
    <t>1619.P02.799-000</t>
  </si>
  <si>
    <t>PORTAESCOBILLAS 1E7A.0</t>
  </si>
  <si>
    <t>1619.P02.800-000</t>
  </si>
  <si>
    <t>CARCASA MOTOR 1388 RX P10070</t>
  </si>
  <si>
    <t>1619.P02.801-000</t>
  </si>
  <si>
    <t>VENTILADOR 1388</t>
  </si>
  <si>
    <t>1619.P02.809-000</t>
  </si>
  <si>
    <t>MUELLE ESPIRAL 1B37.0</t>
  </si>
  <si>
    <t>1619.P02.812-000</t>
  </si>
  <si>
    <t>BOTON 1388/1J3A.3 RX 1619P10838</t>
  </si>
  <si>
    <t>1619.P02.820-000</t>
  </si>
  <si>
    <t>1619.P02.821-000</t>
  </si>
  <si>
    <t>1619.P02.822-000</t>
  </si>
  <si>
    <t>1619.P02.823-000</t>
  </si>
  <si>
    <t>CORONA 1388.0/1C94.0</t>
  </si>
  <si>
    <t>1619.P02.824-000</t>
  </si>
  <si>
    <t>CORONA 1388.1 RX P13518</t>
  </si>
  <si>
    <t>1619.P02.825-000</t>
  </si>
  <si>
    <t>RUEDA CONICA 1C94.0/1388.0</t>
  </si>
  <si>
    <t>1619.P02.826-000</t>
  </si>
  <si>
    <t>PIÑON 1388.1 RX1619P13518000</t>
  </si>
  <si>
    <t>1619.P02.827-000</t>
  </si>
  <si>
    <t>FILTRO ANTIPARASITARIO 1394 DISCONT</t>
  </si>
  <si>
    <t>1619.P02.828-000</t>
  </si>
  <si>
    <t>TAPA ESCOBILLAS 1388</t>
  </si>
  <si>
    <t>1619.P02.833-000</t>
  </si>
  <si>
    <t>TAPA DEL CUERPO 1388.5 RX P10072</t>
  </si>
  <si>
    <t>1619.P02.834-000</t>
  </si>
  <si>
    <t>CUBIERTA PROTECTORA 1394 RX 1600.A00.XU6</t>
  </si>
  <si>
    <t>1619.P02.835-000</t>
  </si>
  <si>
    <t>CUBIERTA PROTECTORA 193A</t>
  </si>
  <si>
    <t>1619.P02.838-000</t>
  </si>
  <si>
    <t>CUBIERTA PROTECTORA Ø 100 MM NEGRO 1C756</t>
  </si>
  <si>
    <t>1619.P02.843-000</t>
  </si>
  <si>
    <t>1619.P02.845-000</t>
  </si>
  <si>
    <t>1619.P02.848-000</t>
  </si>
  <si>
    <t>TORNILLO AVALLANADO TORX 4X12 1E8F.0</t>
  </si>
  <si>
    <t>1619.P02.849-000</t>
  </si>
  <si>
    <t>1619.P02.866-000</t>
  </si>
  <si>
    <t>TUBO FLEXIBLE CONTRACTIL 1396.1</t>
  </si>
  <si>
    <t>1619.P02.872-000</t>
  </si>
  <si>
    <t>CAJA DE ENGRANAJES 1388.0</t>
  </si>
  <si>
    <t>1619.P02.873-000</t>
  </si>
  <si>
    <t>BOTON PULSADOR 1388</t>
  </si>
  <si>
    <t>1619.P03.278-000</t>
  </si>
  <si>
    <t>INDUCIDO 230V 1M30.5</t>
  </si>
  <si>
    <t>1619.P03.323-000</t>
  </si>
  <si>
    <t>HUSILLO GCM 10S</t>
  </si>
  <si>
    <t>1619.P03.324-000</t>
  </si>
  <si>
    <t>PERNO ROSCADO  1B20.5</t>
  </si>
  <si>
    <t>1619.P03.340-000</t>
  </si>
  <si>
    <t>CLIP DE APARATO 1F4C.8</t>
  </si>
  <si>
    <t>1619.P03.453-000</t>
  </si>
  <si>
    <t>TUERCA 1B30.2</t>
  </si>
  <si>
    <t>1619.P03.470-000</t>
  </si>
  <si>
    <t>PLACA DE MESA 1B30.2</t>
  </si>
  <si>
    <t>1619.P03.473-000</t>
  </si>
  <si>
    <t>ARANDELA 1B30.2/.5</t>
  </si>
  <si>
    <t>1619.P03.474-000</t>
  </si>
  <si>
    <t>ANILLO DE MUELLE 1B30</t>
  </si>
  <si>
    <t>1619.P03.482-000</t>
  </si>
  <si>
    <t>PERNO 1M15.0</t>
  </si>
  <si>
    <t>1619.P03.669-000</t>
  </si>
  <si>
    <t>INTERRUPTOR 1B23</t>
  </si>
  <si>
    <t>1619.P03.725-000</t>
  </si>
  <si>
    <t>BRAZO 1L17.0</t>
  </si>
  <si>
    <t>1619.P03.727-000</t>
  </si>
  <si>
    <t>COJINETE 6001-2RS</t>
  </si>
  <si>
    <t>1619.P03.732-000</t>
  </si>
  <si>
    <t>TAPA PROTECTORA VIRABLE 1L17.0</t>
  </si>
  <si>
    <t>1619.P03.733-000</t>
  </si>
  <si>
    <t>VARILLAJE 1M17</t>
  </si>
  <si>
    <t>1619.P03.734-000</t>
  </si>
  <si>
    <t>1619.P03.735-000</t>
  </si>
  <si>
    <t>PERNO PARA BRIDAS DIN 6921 M 10X20-10.9</t>
  </si>
  <si>
    <t>1619.P03.740-000</t>
  </si>
  <si>
    <t>CARCACA DE PROTECAO</t>
  </si>
  <si>
    <t>1619.P03.741-000</t>
  </si>
  <si>
    <t>CAPERUZA FINAL 1L17.0</t>
  </si>
  <si>
    <t>1619.P03.744-000</t>
  </si>
  <si>
    <t>MANGO 1M17</t>
  </si>
  <si>
    <t>1619.P03.748-000</t>
  </si>
  <si>
    <t>CLAVIJA DE CIERRE 1L17.0</t>
  </si>
  <si>
    <t>1619.P03.749-000</t>
  </si>
  <si>
    <t>1619.P03.750-000</t>
  </si>
  <si>
    <t>ESCUADRA DE TOPE 1L17.0</t>
  </si>
  <si>
    <t>1619.P03.751-000</t>
  </si>
  <si>
    <t>MANETA 1L17.0</t>
  </si>
  <si>
    <t>1619.P03.752-000</t>
  </si>
  <si>
    <t>PASADOR ELASTICO ISO 1337 4X18 1M17</t>
  </si>
  <si>
    <t>1619.P03.753-000</t>
  </si>
  <si>
    <t>TORNILLO DE APRIETE 1L17.0</t>
  </si>
  <si>
    <t>1619.P03.755-000</t>
  </si>
  <si>
    <t>ANILLO DE SEGURIDAD DIN 471-18 1M17</t>
  </si>
  <si>
    <t>1619.P03.756-000</t>
  </si>
  <si>
    <t>PASADOR REMACHE AVELLAN. DIN 94-4X22</t>
  </si>
  <si>
    <t>1619.P03.757-000</t>
  </si>
  <si>
    <t>ARANDELA PLANA DIN 433-10 1M17</t>
  </si>
  <si>
    <t>1619.P03.758-000</t>
  </si>
  <si>
    <t>BRIDA DE APRIETE 1L17.0</t>
  </si>
  <si>
    <t>1619.P03.760-000</t>
  </si>
  <si>
    <t>PIEDRA DE APRIETE</t>
  </si>
  <si>
    <t>1619.P03.761-000</t>
  </si>
  <si>
    <t>VARA DE ENLACE 1L17.0</t>
  </si>
  <si>
    <t>1619.P03.762-000</t>
  </si>
  <si>
    <t>PASADOR ELASTICO ISO 13337-4X35 1B370</t>
  </si>
  <si>
    <t>1619.P03.763-000</t>
  </si>
  <si>
    <t>CLAVIJA CON CANA DE APOY 1M17</t>
  </si>
  <si>
    <t>1619.P03.764-000</t>
  </si>
  <si>
    <t>REMACHE DE ENCASTRE 1M17</t>
  </si>
  <si>
    <t>1619.P03.765-000</t>
  </si>
  <si>
    <t>ARANDELA 1M17</t>
  </si>
  <si>
    <t>1619.P03.766-000</t>
  </si>
  <si>
    <t>TUERCA 1B370</t>
  </si>
  <si>
    <t>1619.P03.771-000</t>
  </si>
  <si>
    <t>REVESTIMIENTO PROTECT 1L17.0</t>
  </si>
  <si>
    <t>1619.P03.778-000</t>
  </si>
  <si>
    <t>CUBIERTA PROTECTORA 1B20.5</t>
  </si>
  <si>
    <t>1619.P03.782-000</t>
  </si>
  <si>
    <t>CHAPA DE SUSPENSION  1B20.0</t>
  </si>
  <si>
    <t>1619.P03.783-000</t>
  </si>
  <si>
    <t>CHAPA DE SUSPENSION 1B21.0</t>
  </si>
  <si>
    <t>1619.P03.786-000</t>
  </si>
  <si>
    <t>CUBIERTA PROTECTORA  1B20.0</t>
  </si>
  <si>
    <t>1619.P03.801-000</t>
  </si>
  <si>
    <t>TORNILLO CABEZA MARIPOSA 1L17.0</t>
  </si>
  <si>
    <t>1619.P03.802-000</t>
  </si>
  <si>
    <t>TORNILLO DE RESALTO 1M17</t>
  </si>
  <si>
    <t>1619.P03.807-000</t>
  </si>
  <si>
    <t>OJETE PROTECTOR 1M17</t>
  </si>
  <si>
    <t>1619.P03.808-000</t>
  </si>
  <si>
    <t>SUJETADOR DE CABLE 1M17.5</t>
  </si>
  <si>
    <t>1619.P03.809-000</t>
  </si>
  <si>
    <t>TUERCA 1L17.0</t>
  </si>
  <si>
    <t>1619.P03.810-000</t>
  </si>
  <si>
    <t>JUNTA TORICA 4,5X1,8 1B370</t>
  </si>
  <si>
    <t>1619.P03.811-000</t>
  </si>
  <si>
    <t>VASTAGO 1L17.0</t>
  </si>
  <si>
    <t>1619.P03.812-000</t>
  </si>
  <si>
    <t>LLAVE DE AJUSTE 1L17.0</t>
  </si>
  <si>
    <t>1619.P03.814-000</t>
  </si>
  <si>
    <t>TIRA DE GOMA 1L17.0</t>
  </si>
  <si>
    <t>1619.P03.815-000</t>
  </si>
  <si>
    <t>ARANDELA PLANA 1M17</t>
  </si>
  <si>
    <t>1619.P03.816-000</t>
  </si>
  <si>
    <t>ARBOL SOPORTE 1L17.0</t>
  </si>
  <si>
    <t>1619.P03.818-000</t>
  </si>
  <si>
    <t>ANGULO DE FIJACION 1L17.0</t>
  </si>
  <si>
    <t>1619.P03.819-000</t>
  </si>
  <si>
    <t>TUERCA ISO 4035-M5-04 1M17</t>
  </si>
  <si>
    <t>1619.P03.821-000</t>
  </si>
  <si>
    <t>TORNILLO M5X25-4,8 1M17</t>
  </si>
  <si>
    <t>1619.P03.822-000</t>
  </si>
  <si>
    <t>ARO DEFLECTOR DE AIRE 1L17.0</t>
  </si>
  <si>
    <t>1619.P03.823-000</t>
  </si>
  <si>
    <t>PINZA DE SUJECION  GCO 2000</t>
  </si>
  <si>
    <t>1619.P03.824-000</t>
  </si>
  <si>
    <t>TORN AVELLANADO GOTA SEBO 1M17</t>
  </si>
  <si>
    <t>1619.P03.825-000</t>
  </si>
  <si>
    <t>1619.P03.826-000</t>
  </si>
  <si>
    <t>PERNO CON COLLAR DIN 6921-M10X20-8.8</t>
  </si>
  <si>
    <t>1619.P03.827-000</t>
  </si>
  <si>
    <t>TORNILLO CABEZA CILINDR. ISO 4762-M 8X20</t>
  </si>
  <si>
    <t>1619.P03.828-000</t>
  </si>
  <si>
    <t>ARANDELA PLANA DIN 125 A8 1M17</t>
  </si>
  <si>
    <t>1619.P03.829-000</t>
  </si>
  <si>
    <t>ARANDELA ELASTICA DIN 127 B8 1M17</t>
  </si>
  <si>
    <t>1619.P03.830-000</t>
  </si>
  <si>
    <t>PERNO DE CABEZA HEXAG DIN 933-M8X30-8.8</t>
  </si>
  <si>
    <t>1619.P03.831-000</t>
  </si>
  <si>
    <t>TUERCA HEX DIN 934-M8-8</t>
  </si>
  <si>
    <t>1619.P03.832-000</t>
  </si>
  <si>
    <t>TORNILLO ECO-SYN ST3X12 1M17</t>
  </si>
  <si>
    <t>1619.P03.833-000</t>
  </si>
  <si>
    <t>TORNILLO ECO-SYN ST 3,5X16 1M17</t>
  </si>
  <si>
    <t>1619.P03.834-000</t>
  </si>
  <si>
    <t>TORNILLO ECO-SYN ST3,5X10 1M17</t>
  </si>
  <si>
    <t>1619.P03.835-000</t>
  </si>
  <si>
    <t>TORNILLO AUTORROSCANTE DIN 7500 C-M6X35</t>
  </si>
  <si>
    <t>1619.P03.837-000</t>
  </si>
  <si>
    <t>1619.P03.838-000</t>
  </si>
  <si>
    <t>TORNILLO M5X30-4.8 1M17</t>
  </si>
  <si>
    <t>1619.P03.839-000</t>
  </si>
  <si>
    <t>TORNILLO DE TOPE ISO 4027-M 5X8-45H</t>
  </si>
  <si>
    <t>1619.P03.840-000</t>
  </si>
  <si>
    <t>TORNILLO ISO 4762-M6X8-8.8 1M17</t>
  </si>
  <si>
    <t>1619.P03.841-000</t>
  </si>
  <si>
    <t>ARANDELA ELASTICA DIN 127 B6 1M17</t>
  </si>
  <si>
    <t>1619.P03.844-000</t>
  </si>
  <si>
    <t>INTERRUPTOR 1B17</t>
  </si>
  <si>
    <t>1619.P03.848-000</t>
  </si>
  <si>
    <t>BASE 1L17.0</t>
  </si>
  <si>
    <t>1619.P03.850-000</t>
  </si>
  <si>
    <t>COJINETE 608-2RS 1B370</t>
  </si>
  <si>
    <t>1619.P03.853-000</t>
  </si>
  <si>
    <t>BLOCO DE MANCAL RX1609B03533000</t>
  </si>
  <si>
    <t>1619.P03.855-000</t>
  </si>
  <si>
    <t>TUBO AISLANTE 1M17</t>
  </si>
  <si>
    <t>1619.P03.860-000</t>
  </si>
  <si>
    <t>ESTATOR 230V 1217</t>
  </si>
  <si>
    <t>1619.P03.863-000</t>
  </si>
  <si>
    <t>MUELLE DE TORSION 1M17</t>
  </si>
  <si>
    <t>1619.P03.864-000</t>
  </si>
  <si>
    <t>1619.P03.866-000</t>
  </si>
  <si>
    <t>ARANDELA ELASTICA 1M17</t>
  </si>
  <si>
    <t>1619.P03.871-000</t>
  </si>
  <si>
    <t>EMPAQUETADURA DE GOMA 1B370</t>
  </si>
  <si>
    <t>1619.P03.873-000</t>
  </si>
  <si>
    <t>MUELLE DE TORSIÓN 1M17</t>
  </si>
  <si>
    <t>1619.P03.903-000</t>
  </si>
  <si>
    <t>CUBIERTA PROTECTORA 1L17.0</t>
  </si>
  <si>
    <t>1619.P03.904-000</t>
  </si>
  <si>
    <t>1619.P03.905-000</t>
  </si>
  <si>
    <t>1619.P03.907-000</t>
  </si>
  <si>
    <t>TAPA DEL ENGRANAJE 1M17</t>
  </si>
  <si>
    <t>1619.P03.909-000</t>
  </si>
  <si>
    <t>CLIP DE APARATO 1M17</t>
  </si>
  <si>
    <t>1619.P03.911-000</t>
  </si>
  <si>
    <t>INDUCIDO 1B17 RX 1609.B00.046-000</t>
  </si>
  <si>
    <t>1619.P03.914-000</t>
  </si>
  <si>
    <t>UNIDAD DE HUSILLO GCO 2000</t>
  </si>
  <si>
    <t>1619.P03.927-000</t>
  </si>
  <si>
    <t>LINEA DE CONEXION A RED 1217</t>
  </si>
  <si>
    <t>1619.P04.420-000</t>
  </si>
  <si>
    <t>1619.P04.421-000</t>
  </si>
  <si>
    <t>ABRAZADERA DE APRIETE</t>
  </si>
  <si>
    <t>1619.P04.424-000</t>
  </si>
  <si>
    <t>TELESCOPIO</t>
  </si>
  <si>
    <t>1619.P04.451-000</t>
  </si>
  <si>
    <t>CARBONES  1B20.0/1B21.0 - RA 1609203J13</t>
  </si>
  <si>
    <t>1619.P04.505-000</t>
  </si>
  <si>
    <t>CABLE 157A RX 2610918148000</t>
  </si>
  <si>
    <t>1619.P04.514-000</t>
  </si>
  <si>
    <t>CARCASA DEL MOTOR 157A</t>
  </si>
  <si>
    <t>1619.P04.540-000</t>
  </si>
  <si>
    <t>TORNILLO DE REGULACIÓN NEGRO 1F23.0</t>
  </si>
  <si>
    <t>1619.P04.820-000</t>
  </si>
  <si>
    <t>ARANDELA ELASTICA 1F4C.8</t>
  </si>
  <si>
    <t>1619.P04.821-000</t>
  </si>
  <si>
    <t>JUNTA DE FIELTRO 1F4C.8</t>
  </si>
  <si>
    <t>1619.P04.823-000</t>
  </si>
  <si>
    <t>RODAMIENTO DE AGUJAS 164C</t>
  </si>
  <si>
    <t>1619.P04.824-000</t>
  </si>
  <si>
    <t>PLACA DE APOYO 1F4C.8</t>
  </si>
  <si>
    <t>1619.P04.826-000</t>
  </si>
  <si>
    <t>PLACA DE CIERRE 1F4C.8</t>
  </si>
  <si>
    <t>1619.P04.827-000</t>
  </si>
  <si>
    <t>TORNILLO AUTORROSCANTE 1F4C.8</t>
  </si>
  <si>
    <t>1619.P04.828-000</t>
  </si>
  <si>
    <t>ABRAZADERA DE APRIETE 164C</t>
  </si>
  <si>
    <t>1619.P04.831-000</t>
  </si>
  <si>
    <t>CASQUILLO DE ENCHUFE 1F4C.8</t>
  </si>
  <si>
    <t>1619.P04.833-000</t>
  </si>
  <si>
    <t>1619.P04.834-000</t>
  </si>
  <si>
    <t>CLAVIJA APLANADA 1F4C.8</t>
  </si>
  <si>
    <t>1619.P04.835-000</t>
  </si>
  <si>
    <t>GOMA 1F4C.8</t>
  </si>
  <si>
    <t>1619.P04.837-000</t>
  </si>
  <si>
    <t>TARJETA CIRC IMPRESO 1F4C.8</t>
  </si>
  <si>
    <t>1619.P04.840-000</t>
  </si>
  <si>
    <t>CABLE DE ENLACE 1F4C.8</t>
  </si>
  <si>
    <t>1619.P05.084-000</t>
  </si>
  <si>
    <t>PIÑON 9780</t>
  </si>
  <si>
    <t>1619.P05.210-000</t>
  </si>
  <si>
    <t>INDUCIDO 220V  1388 Rx1619P20622</t>
  </si>
  <si>
    <t>1619.P05.243-000</t>
  </si>
  <si>
    <t>1619.P05.282-000</t>
  </si>
  <si>
    <t>INDUCIDO 1516</t>
  </si>
  <si>
    <t>1619.P05.305-000</t>
  </si>
  <si>
    <t>EXPANSION POLAR 230V 1F24.0</t>
  </si>
  <si>
    <t>1619.P05.379-000</t>
  </si>
  <si>
    <t>EXPANSION POLAR 220-240V 1C37.0</t>
  </si>
  <si>
    <t>1619.P05.382-000</t>
  </si>
  <si>
    <t>EXPANSION POLAR 1516</t>
  </si>
  <si>
    <t>1619.P05.408-000</t>
  </si>
  <si>
    <t>TORNILLO CILINDRICA  HEX 164C</t>
  </si>
  <si>
    <t>1619.P05.422-000</t>
  </si>
  <si>
    <t>LLAVE EXAGONAL DE TUBO 1F4C.8</t>
  </si>
  <si>
    <t>1619.P05.669-000</t>
  </si>
  <si>
    <t>JUEGO DE EMPUNADURAS 164C</t>
  </si>
  <si>
    <t>1619.P05.670-000</t>
  </si>
  <si>
    <t>INTERRUPTOR 1F4C.8</t>
  </si>
  <si>
    <t>1619.P05.967-000</t>
  </si>
  <si>
    <t>TELESCOPE</t>
  </si>
  <si>
    <t>1619.P06.024-000</t>
  </si>
  <si>
    <t>1619.P06.026-000</t>
  </si>
  <si>
    <t>REVESTIMIENTO PROTECT 5885</t>
  </si>
  <si>
    <t>1619.P06.027-000</t>
  </si>
  <si>
    <t>CAPERUZA FINAL 5885</t>
  </si>
  <si>
    <t>1619.P06.028-000</t>
  </si>
  <si>
    <t>ANILLO 5885</t>
  </si>
  <si>
    <t>1619.P06.029-000</t>
  </si>
  <si>
    <t>EMPUNADURA ADICIONAL 5885</t>
  </si>
  <si>
    <t>1619.P06.030-000</t>
  </si>
  <si>
    <t>CONSOLA DE BISAGRA 5885</t>
  </si>
  <si>
    <t>1619.P06.031-000</t>
  </si>
  <si>
    <t>JUEGO DE EMPUNADURAS 5885</t>
  </si>
  <si>
    <t>1619.P06.032-000</t>
  </si>
  <si>
    <t>PALANCA DE AJUSTE 5885</t>
  </si>
  <si>
    <t>1619.P06.033-000</t>
  </si>
  <si>
    <t>PALANCA 5885</t>
  </si>
  <si>
    <t>1619.P06.034-000</t>
  </si>
  <si>
    <t>INTERRUPTOR 5885</t>
  </si>
  <si>
    <t>1619.P06.035-000</t>
  </si>
  <si>
    <t>TUERCA DE MANGOS 5885</t>
  </si>
  <si>
    <t>1619.P06.036-000</t>
  </si>
  <si>
    <t>TORNILLO CABEZA MARIPOSA 5885</t>
  </si>
  <si>
    <t>1619.P06.037-000</t>
  </si>
  <si>
    <t>TAPA 5885</t>
  </si>
  <si>
    <t>1619.P06.038-000</t>
  </si>
  <si>
    <t>BOTON DE MANDO 5885</t>
  </si>
  <si>
    <t>1619.P06.039-000</t>
  </si>
  <si>
    <t>CLIP 5885</t>
  </si>
  <si>
    <t>1619.P06.040-000</t>
  </si>
  <si>
    <t>PLACA DE BASE 5885</t>
  </si>
  <si>
    <t>1619.P06.041-000</t>
  </si>
  <si>
    <t>CUBIERTA PROT. ABATIBLE 5885</t>
  </si>
  <si>
    <t>1619.P06.071-000</t>
  </si>
  <si>
    <t>MODULO ELECTRONICO 5885</t>
  </si>
  <si>
    <t>1619.P06.072-000</t>
  </si>
  <si>
    <t>BLOQUE DE CONEXIÓN 5885</t>
  </si>
  <si>
    <t>1619.P06.089-000</t>
  </si>
  <si>
    <t>ARANDELA DE SEGURIDAD 5885</t>
  </si>
  <si>
    <t>1619.P06.121-000</t>
  </si>
  <si>
    <t>INDUCIDO 1573.2 RA2.610.908.382-000</t>
  </si>
  <si>
    <t>1619.P06.199-000</t>
  </si>
  <si>
    <t>CABLE 1375.6 RX 160446076V</t>
  </si>
  <si>
    <t>1619.P06.207-000</t>
  </si>
  <si>
    <t>INTERRUPTOR 1623</t>
  </si>
  <si>
    <t>1619.P06.211-000</t>
  </si>
  <si>
    <t>TORNILLO APLASTADO  16A2</t>
  </si>
  <si>
    <t>1619.P06.212-000</t>
  </si>
  <si>
    <t>PORTACARBON 1623</t>
  </si>
  <si>
    <t>1619.P06.213-000</t>
  </si>
  <si>
    <t>ENCHUFE ACODADO GKS 67</t>
  </si>
  <si>
    <t>1619.P06.218-000</t>
  </si>
  <si>
    <t>CAPERUZA FINAL NEGRO 1F23.0</t>
  </si>
  <si>
    <t>1619.P06.219-000</t>
  </si>
  <si>
    <t>CHAPA DEFLECTORA 1F23.0</t>
  </si>
  <si>
    <t>1619.P06.221-000</t>
  </si>
  <si>
    <t>CABLE DE ENLACE 1F23.0</t>
  </si>
  <si>
    <t>1619.P06.222-000</t>
  </si>
  <si>
    <t>CABLE DE ENLACE 1F23.0 Rx 1619P15970</t>
  </si>
  <si>
    <t>1619.P06.225-000</t>
  </si>
  <si>
    <t>CAPERUZA  16A2</t>
  </si>
  <si>
    <t>1619.P06.226-000</t>
  </si>
  <si>
    <t>ESTRIBO DE GUIA 1F23.0</t>
  </si>
  <si>
    <t>1619.P06.227-000</t>
  </si>
  <si>
    <t>ANILLO DE GOMA 1F23.0</t>
  </si>
  <si>
    <t>1619.P06.231-000</t>
  </si>
  <si>
    <t>ARANDELA DE SEGURIDAD 1F23.0</t>
  </si>
  <si>
    <t>1619.P06.234-000</t>
  </si>
  <si>
    <t>CUBIERTA ABATIBLE  1623 RX1600A00XZ6</t>
  </si>
  <si>
    <t>1619.P06.235-000</t>
  </si>
  <si>
    <t>PALANCA 1F23.0</t>
  </si>
  <si>
    <t>1619.P06.236-000</t>
  </si>
  <si>
    <t>PARACHOQUE NEGRO  16A2</t>
  </si>
  <si>
    <t>1619.P06.237-000</t>
  </si>
  <si>
    <t>Casquillo de brisa GKS 190</t>
  </si>
  <si>
    <t>1619.P06.244-000</t>
  </si>
  <si>
    <t>TUERCA DE MARIPOSA  16A2</t>
  </si>
  <si>
    <t>1619.P06.245-000</t>
  </si>
  <si>
    <t>PALANCA DE AJUSTE 1623</t>
  </si>
  <si>
    <t>1619.P06.246-000</t>
  </si>
  <si>
    <t>TORNILLO  16A2</t>
  </si>
  <si>
    <t>1619.P06.252-000</t>
  </si>
  <si>
    <t>1619.P06.265-000</t>
  </si>
  <si>
    <t>ANILLO TOROIDAL 1773/1701/1366/.6/1282</t>
  </si>
  <si>
    <t>1619.P06.286-000</t>
  </si>
  <si>
    <t>TAPA AISLANTE  1676.0</t>
  </si>
  <si>
    <t>1619.P06.313-000</t>
  </si>
  <si>
    <t>SUJETADOR DE CABLE 1F23.0</t>
  </si>
  <si>
    <t>1619.P06.314-000</t>
  </si>
  <si>
    <t>JUEGO DE EMPUNADURAS 1623.0</t>
  </si>
  <si>
    <t>1619.P06.316-000</t>
  </si>
  <si>
    <t>TORNILLO CABEZA MARIPOSA 1F23.0</t>
  </si>
  <si>
    <t>1619.P06.317-000</t>
  </si>
  <si>
    <t>MUELLE 1623 OBSOLETO</t>
  </si>
  <si>
    <t>1619.P06.327-000</t>
  </si>
  <si>
    <t>BARRA 1623 RX 1619P07620</t>
  </si>
  <si>
    <t>1619.P06.334-000</t>
  </si>
  <si>
    <t>MUELLE DE TRACCION 1F23.0/1546</t>
  </si>
  <si>
    <t>1619.P06.341-000</t>
  </si>
  <si>
    <t>1619.P06.342-000</t>
  </si>
  <si>
    <t>ARANDELA 1623</t>
  </si>
  <si>
    <t>1619.P06.343-000</t>
  </si>
  <si>
    <t>1619.P06.372-000</t>
  </si>
  <si>
    <t>CARCASA DEL MOTOR AZUL 1F23.0</t>
  </si>
  <si>
    <t>1619.P06.374-000</t>
  </si>
  <si>
    <t>ECLISA DEL COJINETE 1F23.0</t>
  </si>
  <si>
    <t>1619.P06.391-000</t>
  </si>
  <si>
    <t>PLACA 1623</t>
  </si>
  <si>
    <t>1619.P06.392-000</t>
  </si>
  <si>
    <t>ENGRANAJE 1F23.0</t>
  </si>
  <si>
    <t>1619.P06.451-000</t>
  </si>
  <si>
    <t>ESTRIBO DE APRIETE 1516</t>
  </si>
  <si>
    <t>1619.P06.471-000</t>
  </si>
  <si>
    <t>PLACA DE ESCALA</t>
  </si>
  <si>
    <t>1619.P06.522-000</t>
  </si>
  <si>
    <t>PERNO ROSCADO 1E7A.0</t>
  </si>
  <si>
    <t>1619.P06.597-000</t>
  </si>
  <si>
    <t>ELEMENTO DE PARADA  18B7</t>
  </si>
  <si>
    <t>1619.P06.968-000</t>
  </si>
  <si>
    <t>1619.P07.060-000</t>
  </si>
  <si>
    <t>Connecting Cable</t>
  </si>
  <si>
    <t>1619.P07.126-000</t>
  </si>
  <si>
    <t>1619.P07.127-000</t>
  </si>
  <si>
    <t>CUBIERTA 1E8F.0</t>
  </si>
  <si>
    <t>1619.P07.128-000</t>
  </si>
  <si>
    <t>Estribo Protector</t>
  </si>
  <si>
    <t>1619.P07.129-000</t>
  </si>
  <si>
    <t>PALANCA DE RODILLO Ra 1619P13426</t>
  </si>
  <si>
    <t>1619.P07.133-000</t>
  </si>
  <si>
    <t>CONTRAPESO 158F</t>
  </si>
  <si>
    <t>1619.P07.135-000</t>
  </si>
  <si>
    <t>CARCASA 158G</t>
  </si>
  <si>
    <t>1619.P07.137-000</t>
  </si>
  <si>
    <t>PALANCA AHORQUILLADA 1E8F.0</t>
  </si>
  <si>
    <t>1619.P07.138-000</t>
  </si>
  <si>
    <t>1619.P07.139-000</t>
  </si>
  <si>
    <t>Aguja Para Rodamiento</t>
  </si>
  <si>
    <t>1619.P07.142-000</t>
  </si>
  <si>
    <t>MUELLE CON PATAS 158F RX 1619P11327000</t>
  </si>
  <si>
    <t>1619.P07.143-000</t>
  </si>
  <si>
    <t>1619.P07.147-000</t>
  </si>
  <si>
    <t>EMBOLO PORTAUTIL</t>
  </si>
  <si>
    <t>1619.P07.151-000</t>
  </si>
  <si>
    <t>INTERRUPTOR DE PALANCA 1E8F.0</t>
  </si>
  <si>
    <t>1619.P07.152-000</t>
  </si>
  <si>
    <t>MUELLE DE TORSION 158F/158G/1E8F.0</t>
  </si>
  <si>
    <t>1619.P07.156-000</t>
  </si>
  <si>
    <t>Arbol De Maniobra</t>
  </si>
  <si>
    <t>1619.P07.158-000</t>
  </si>
  <si>
    <t>Corredera De Conexion</t>
  </si>
  <si>
    <t>1619.P07.159-000</t>
  </si>
  <si>
    <t>PINO DE MANCAL GST 700</t>
  </si>
  <si>
    <t>1619.P07.162-000</t>
  </si>
  <si>
    <t>PLACA BASE 1E8F.0</t>
  </si>
  <si>
    <t>1619.P07.163-000</t>
  </si>
  <si>
    <t>1619.P07.166-000</t>
  </si>
  <si>
    <t>CUBIERTA PROTECCIÓN 1E8F.0</t>
  </si>
  <si>
    <t>1619.P07.167-000</t>
  </si>
  <si>
    <t>TOBERA DE ASPIRACION 1E8F.0</t>
  </si>
  <si>
    <t>1619.P07.186-000</t>
  </si>
  <si>
    <t>DISCO DE CUBIERTA 1516</t>
  </si>
  <si>
    <t>1619.P07.188-000</t>
  </si>
  <si>
    <t>BOTON GIRATORIO 1516</t>
  </si>
  <si>
    <t>1619.P07.190-000</t>
  </si>
  <si>
    <t>PALANCA AHORQUILLADA 1516</t>
  </si>
  <si>
    <t>1619.P07.191-000</t>
  </si>
  <si>
    <t>CONTRAPESO 1516</t>
  </si>
  <si>
    <t>1619.P07.192-000</t>
  </si>
  <si>
    <t>RUEDA DENTADA EXCENTRICA 1516</t>
  </si>
  <si>
    <t>1619.P07.193-000</t>
  </si>
  <si>
    <t>1619.P07.194-000</t>
  </si>
  <si>
    <t>JUNTA 1516</t>
  </si>
  <si>
    <t>1619.P07.196-000</t>
  </si>
  <si>
    <t>CUBIERTA PROTECTORA 1516</t>
  </si>
  <si>
    <t>1619.P07.199-000</t>
  </si>
  <si>
    <t>PLACA BASE 1516</t>
  </si>
  <si>
    <t>1619.P07.200-000</t>
  </si>
  <si>
    <t>JUEGO DE EMPUÑADURAS 1516</t>
  </si>
  <si>
    <t>1619.P07.202-000</t>
  </si>
  <si>
    <t>CARCASA DE MOTOR 1516</t>
  </si>
  <si>
    <t>1619.P07.205-000</t>
  </si>
  <si>
    <t>TAPA DE VENTILADOR 1516</t>
  </si>
  <si>
    <t>1619.P07.250-000</t>
  </si>
  <si>
    <t>TOPE DE PROFUNDIDAD 5885</t>
  </si>
  <si>
    <t>1619.P07.276-000</t>
  </si>
  <si>
    <t>CAJA DE ENGRANAJES 1388</t>
  </si>
  <si>
    <t>1619.P07.277-000</t>
  </si>
  <si>
    <t>REGULADOR DE VELOCIDAD 1388</t>
  </si>
  <si>
    <t>1619.P07.286-000</t>
  </si>
  <si>
    <t>CUBIERTA PROTECTORA 1623</t>
  </si>
  <si>
    <t>1619.P07.304-000</t>
  </si>
  <si>
    <t>REGULADOR DE REVOLUCIONES =1619P16839</t>
  </si>
  <si>
    <t>1619.P07.318-000</t>
  </si>
  <si>
    <t>PALANCA DE RODILLO 1516</t>
  </si>
  <si>
    <t>1619.P07.414-000</t>
  </si>
  <si>
    <t>ARANDELA DE AJUSTE 1E7A.0</t>
  </si>
  <si>
    <t>1619.P07.418-000</t>
  </si>
  <si>
    <t>REGULADOR DE VELOCIDAD 1516</t>
  </si>
  <si>
    <t>1619.P07.426-000</t>
  </si>
  <si>
    <t>1619.P07.440-000</t>
  </si>
  <si>
    <t>1619.P07.470-000</t>
  </si>
  <si>
    <t>ARANDELA DE AJUSTE 1623 Rx 1619P06231</t>
  </si>
  <si>
    <t>1619P07470-001</t>
  </si>
  <si>
    <t>1619.P07.470-001</t>
  </si>
  <si>
    <t>ARANDELA DE AJUSTE 1623 RX 002</t>
  </si>
  <si>
    <t>1619P07470-002</t>
  </si>
  <si>
    <t>1619.P07.470-002</t>
  </si>
  <si>
    <t>ARANDELA DE SEGURIDAD 1623 Ra P06231</t>
  </si>
  <si>
    <t>1619.P07.541-000</t>
  </si>
  <si>
    <t>ANILLO DE RETENCION 1516</t>
  </si>
  <si>
    <t>1619.P07.542-000</t>
  </si>
  <si>
    <t>TAPA ROSCADA 1516</t>
  </si>
  <si>
    <t>1619.P07.543-000</t>
  </si>
  <si>
    <t>MANDO GIRATORIO 1518</t>
  </si>
  <si>
    <t>1619.P07.544-000</t>
  </si>
  <si>
    <t>PLACA DE FIJACION 1516</t>
  </si>
  <si>
    <t>1619.P07.545-000</t>
  </si>
  <si>
    <t>1619.P07.546-000</t>
  </si>
  <si>
    <t>1619.P07.563-000</t>
  </si>
  <si>
    <t>MANGO 1C89.0</t>
  </si>
  <si>
    <t>1619.P07.576-000</t>
  </si>
  <si>
    <t>1619.P07.596-000</t>
  </si>
  <si>
    <t>ARANDELA DE AJUSTE 1516</t>
  </si>
  <si>
    <t>1619.P07.611-000</t>
  </si>
  <si>
    <t>TORNILLO CABEZA HEX 1G76.0/1C89.0</t>
  </si>
  <si>
    <t>1619.P07.612-000</t>
  </si>
  <si>
    <t>DESTORNILL EXAG 1C89.0</t>
  </si>
  <si>
    <t>1619.P07.628-000</t>
  </si>
  <si>
    <t>1619.P07.647-000</t>
  </si>
  <si>
    <t>FILTRO ANTIPARASITARIO 1C75.6</t>
  </si>
  <si>
    <t>1619.P07.650-000</t>
  </si>
  <si>
    <t>BOUTON ROTATIF</t>
  </si>
  <si>
    <t>1619.P07.657-000</t>
  </si>
  <si>
    <t>CORREDERA DE AJUSTE 158G</t>
  </si>
  <si>
    <t>1619.P07.658-000</t>
  </si>
  <si>
    <t>BOTON DE MANDO 158G</t>
  </si>
  <si>
    <t>1619.P07.688-000</t>
  </si>
  <si>
    <t>INTERRUPTOR 1516</t>
  </si>
  <si>
    <t>1619.P07.689-000</t>
  </si>
  <si>
    <t>1619.P07.702-000</t>
  </si>
  <si>
    <t>CASQUILLO INTERMEDIO 1C37.0</t>
  </si>
  <si>
    <t>1619.P07.704-000</t>
  </si>
  <si>
    <t>CARCASA DEL MOTOR 1C37.0</t>
  </si>
  <si>
    <t>1619.P07.708-000</t>
  </si>
  <si>
    <t>MANGO 1C37.0</t>
  </si>
  <si>
    <t>1619.P07.709-000</t>
  </si>
  <si>
    <t>CACHA 1C37.0</t>
  </si>
  <si>
    <t>1619.P07.710-000</t>
  </si>
  <si>
    <t>CUBIERTA PROTECCIÓN AZUL 1C37.0</t>
  </si>
  <si>
    <t>1619.P07.711-000</t>
  </si>
  <si>
    <t>TAPA DE VENTILADOR NEGRO 1C37.0</t>
  </si>
  <si>
    <t>1619.P07.715-000</t>
  </si>
  <si>
    <t>ARANDELA DE APOYO 1C37.0</t>
  </si>
  <si>
    <t>1619.P07.722-000</t>
  </si>
  <si>
    <t>OJETE PROTECTOR 1C37.0</t>
  </si>
  <si>
    <t>1619.P07.723-000</t>
  </si>
  <si>
    <t>RUEDA DENTADA EXCENTR.11337 RX1619P13946</t>
  </si>
  <si>
    <t>1619.P07.724-000</t>
  </si>
  <si>
    <t>VAINA PROTECTORA 1C37.0</t>
  </si>
  <si>
    <t>1619.P07.734-000</t>
  </si>
  <si>
    <t>TUBO DE MARTILLO 1C37.0</t>
  </si>
  <si>
    <t>1619.P07.738-000</t>
  </si>
  <si>
    <t>CASQUILLO-TOPE 1C37.0</t>
  </si>
  <si>
    <t>1619.P07.739-000</t>
  </si>
  <si>
    <t>ARO DEFLECTOR DE AIRE 1C37.0</t>
  </si>
  <si>
    <t>1619.P07.740-000</t>
  </si>
  <si>
    <t>JUNTA TORICA 1C37.0</t>
  </si>
  <si>
    <t>1619.P07.742-000</t>
  </si>
  <si>
    <t>CUERPO DE BLOQUEO 1C37.0</t>
  </si>
  <si>
    <t>1619.P07.743-000</t>
  </si>
  <si>
    <t>1619.P07.746-000</t>
  </si>
  <si>
    <t>PERNO DE ARRASTRE 1C37.0</t>
  </si>
  <si>
    <t>1619.P07.748-000</t>
  </si>
  <si>
    <t>PORTAHERRAMIENTAS 1C37.0</t>
  </si>
  <si>
    <t>1619.P07.751-000</t>
  </si>
  <si>
    <t>1619.P07.754-000</t>
  </si>
  <si>
    <t>PORTAESCOBILLAS 1C37.0</t>
  </si>
  <si>
    <t>1619.P07.755-000</t>
  </si>
  <si>
    <t>MUELLE DE COMPRESION 11337 RX 1619P14656</t>
  </si>
  <si>
    <t>1619.P07.756-000</t>
  </si>
  <si>
    <t>CASQUILLO DE MANDO 1C37.0</t>
  </si>
  <si>
    <t>1619.P07.762-000</t>
  </si>
  <si>
    <t>GOLPEADOR 1C37.0</t>
  </si>
  <si>
    <t>1619.P07.768-000</t>
  </si>
  <si>
    <t>1619.P07.770-000</t>
  </si>
  <si>
    <t>CAJA-MECANISMO PERCUTOR 11337 RX P10667</t>
  </si>
  <si>
    <t>1619.P07.772-000</t>
  </si>
  <si>
    <t>PLACA DE GUIA 1C37.0</t>
  </si>
  <si>
    <t>1619.P07.773-000</t>
  </si>
  <si>
    <t>1619.P07.774-000</t>
  </si>
  <si>
    <t>SOPORTE PRESOR 1C37.0</t>
  </si>
  <si>
    <t>1619.P07.775-000</t>
  </si>
  <si>
    <t>EMBOLO DEL MARTILLO 1C37.0</t>
  </si>
  <si>
    <t>1619.P07.776-000</t>
  </si>
  <si>
    <t>CINTA TENSORA 1C37.0</t>
  </si>
  <si>
    <t>1619.P07.778-000</t>
  </si>
  <si>
    <t>EMPUNADURA ADICIONAL 1C37.0</t>
  </si>
  <si>
    <t>1619.P07.780-000</t>
  </si>
  <si>
    <t>1619.P07.781-000</t>
  </si>
  <si>
    <t>1619.P07.786-000</t>
  </si>
  <si>
    <t>ESCUADRA DE SOPORTE 1C37.0</t>
  </si>
  <si>
    <t>1619.P07.788-000</t>
  </si>
  <si>
    <t>KIT DE MANTENIMIENTO 11337</t>
  </si>
  <si>
    <t>1619.P07.789-000</t>
  </si>
  <si>
    <t>IMÁN 1C37.0</t>
  </si>
  <si>
    <t>1619.P07.792-000</t>
  </si>
  <si>
    <t>1619.P07.795-000</t>
  </si>
  <si>
    <t>VAINA COBERTORA 11337</t>
  </si>
  <si>
    <t>1619.P07.796-000</t>
  </si>
  <si>
    <t>CUBIERTA 1C37.0</t>
  </si>
  <si>
    <t>1619.P07.797-000</t>
  </si>
  <si>
    <t>JUNTA 1C37.0</t>
  </si>
  <si>
    <t>1619.P07.798-000</t>
  </si>
  <si>
    <t>HORQUILLA DE MANDO 1C37.0</t>
  </si>
  <si>
    <t>1619.P07.799-000</t>
  </si>
  <si>
    <t>TAPA DEL CUERPO 1C37.0</t>
  </si>
  <si>
    <t>1619.P07.801-000</t>
  </si>
  <si>
    <t>CLIP DE APARATO 1C37.0</t>
  </si>
  <si>
    <t>1619.P07.806-000</t>
  </si>
  <si>
    <t>ANILLO AMORTIGUADOR 1C37.0</t>
  </si>
  <si>
    <t>1619.P07.811-000</t>
  </si>
  <si>
    <t>INTERRUPTOR 11337</t>
  </si>
  <si>
    <t>1619.P07.815-000</t>
  </si>
  <si>
    <t>TORNILLO 1C37.0</t>
  </si>
  <si>
    <t>1619.P07.816-000</t>
  </si>
  <si>
    <t>TORNILLO AVALLANADO TORX 1C37.0</t>
  </si>
  <si>
    <t>1619.P07.821-000</t>
  </si>
  <si>
    <t>TORNILLO ST3,9X32 PLATEADO 1C37.0</t>
  </si>
  <si>
    <t>1619.P07.822-000</t>
  </si>
  <si>
    <t>CABLE DE CONEXION 1C37.0</t>
  </si>
  <si>
    <t>1619.P07.829-000</t>
  </si>
  <si>
    <t>CAPERUZA DE PROTECCIÓN 1C37.0</t>
  </si>
  <si>
    <t>1619.P07.839-000</t>
  </si>
  <si>
    <t>1619.P07.906-000</t>
  </si>
  <si>
    <t>1619.P07.907-000</t>
  </si>
  <si>
    <t>CUBIERTA DE PLÁSTICO 1C89.0</t>
  </si>
  <si>
    <t>1619.P07.911-000</t>
  </si>
  <si>
    <t>RUEDA DENTADA RECTA 1C89.0</t>
  </si>
  <si>
    <t>1619.P07.912-000</t>
  </si>
  <si>
    <t>1619.P07.915-000</t>
  </si>
  <si>
    <t>JUNTA TORICA 39,0X1,1 MM</t>
  </si>
  <si>
    <t>1619.P07.918-000</t>
  </si>
  <si>
    <t>1619.P07.919-000</t>
  </si>
  <si>
    <t>RUEDA CONICA 1389</t>
  </si>
  <si>
    <t>1619.P07.958-000</t>
  </si>
  <si>
    <t>PATINAR</t>
  </si>
  <si>
    <t>1619.P08.212-000</t>
  </si>
  <si>
    <t>INDUCIDO 220-240V 1B24.0</t>
  </si>
  <si>
    <t>1619.P08.237-000</t>
  </si>
  <si>
    <t>INDUCIDO 1223</t>
  </si>
  <si>
    <t>1619.P08.314-000</t>
  </si>
  <si>
    <t>ESTATOR 1676.0</t>
  </si>
  <si>
    <t>1619.P08.320-000</t>
  </si>
  <si>
    <t>ESTATOR 157A/5885 RX P01925</t>
  </si>
  <si>
    <t>1619.P08.323-000</t>
  </si>
  <si>
    <t>ESTATOR 11269</t>
  </si>
  <si>
    <t>1619.P08.340-000</t>
  </si>
  <si>
    <t>ESTATOR 11332 RA 1614.220.190</t>
  </si>
  <si>
    <t>1619.P08.583-000</t>
  </si>
  <si>
    <t>ESTATOR 19E1</t>
  </si>
  <si>
    <t>1619.P08.600-000</t>
  </si>
  <si>
    <t>CARCASA 1F4L.9</t>
  </si>
  <si>
    <t>1619.P08.603-000</t>
  </si>
  <si>
    <t>PERNO DE FIJACION 1F4L.9</t>
  </si>
  <si>
    <t>1619.P08.606-000</t>
  </si>
  <si>
    <t>TAPA DEL ENGRANAJE 1F4L.9</t>
  </si>
  <si>
    <t>1619.P08.609-000</t>
  </si>
  <si>
    <t>1619.P08.610-000</t>
  </si>
  <si>
    <t>HUSILLO DE ALIMENTACION 1F4L.9</t>
  </si>
  <si>
    <t>1619.P08.611-000</t>
  </si>
  <si>
    <t>CAPSULA PARA MUELLE 1F4L.9</t>
  </si>
  <si>
    <t>1619.P08.612-000</t>
  </si>
  <si>
    <t>ANILLO ELÁSTICO 1F4L.9</t>
  </si>
  <si>
    <t>1619.P08.613-000</t>
  </si>
  <si>
    <t>ANILLO DE APRIETE 1F4L.9</t>
  </si>
  <si>
    <t>1619.P08.614-000</t>
  </si>
  <si>
    <t>MUELLE DE TORSIÓN 1F4L.9</t>
  </si>
  <si>
    <t>1619.P08.616-000</t>
  </si>
  <si>
    <t>CASQUILLO DE REGULACION 1F4L.9</t>
  </si>
  <si>
    <t>1619.P08.617-000</t>
  </si>
  <si>
    <t>CASQUILLO 1F4L.9</t>
  </si>
  <si>
    <t>1619.P08.618-000</t>
  </si>
  <si>
    <t>MÓDULO ELECTRÓNICO 1F4L.9</t>
  </si>
  <si>
    <t>1619.P08.621-000</t>
  </si>
  <si>
    <t>TORNILLO AUTORROSCANTE 1F4L.9</t>
  </si>
  <si>
    <t>1619.P08.622-000</t>
  </si>
  <si>
    <t>TORNILLO PARA PLASTICO 1F4L.9</t>
  </si>
  <si>
    <t>1619.P08.625-000</t>
  </si>
  <si>
    <t>SOPORTE-PIE 1F4L.9</t>
  </si>
  <si>
    <t>1619.P08.626-000</t>
  </si>
  <si>
    <t>PARACHOQUE 1F4L.9</t>
  </si>
  <si>
    <t>1619.P08.627-000</t>
  </si>
  <si>
    <t>JUNTA DE FIELTRO 1F4L.9</t>
  </si>
  <si>
    <t>1619.P08.645-000</t>
  </si>
  <si>
    <t>CUBIERTA PROTECTORA 1F4L.9</t>
  </si>
  <si>
    <t>1619.P08.646-000</t>
  </si>
  <si>
    <t>Clip</t>
  </si>
  <si>
    <t>1619.P08.651-000</t>
  </si>
  <si>
    <t>1619.P08.652-000</t>
  </si>
  <si>
    <t>MOTOR CORRIENTE CONTINUA 10,8V 1F4L.9</t>
  </si>
  <si>
    <t>1619.P08.754-000</t>
  </si>
  <si>
    <t>INTERRUPTOR 1C38.7</t>
  </si>
  <si>
    <t>1619.P08.767-000</t>
  </si>
  <si>
    <t>TAPA DE VENTILADOR 1C38.7</t>
  </si>
  <si>
    <t>1619.P08.778-000</t>
  </si>
  <si>
    <t>Mango auxiliar</t>
  </si>
  <si>
    <t>1619.P08.780-000</t>
  </si>
  <si>
    <t>CACHA 1C38.7</t>
  </si>
  <si>
    <t>1619.P08.783-000</t>
  </si>
  <si>
    <t>ANILLO DE JUNTA 1C38.7</t>
  </si>
  <si>
    <t>1619.P08.785-000</t>
  </si>
  <si>
    <t>JUNTA 1C38.7</t>
  </si>
  <si>
    <t>1619.P08.787-000</t>
  </si>
  <si>
    <t>ANILLO AMORTIGUADOR 1C38.7</t>
  </si>
  <si>
    <t>1619.P08.792-000</t>
  </si>
  <si>
    <t>JUNTA TORICA 1C38.7</t>
  </si>
  <si>
    <t>1619.P08.797-000</t>
  </si>
  <si>
    <t>INTERRUPTOR 158G</t>
  </si>
  <si>
    <t>1619.P08.820-000</t>
  </si>
  <si>
    <t>CABLE DE RACCORDEMENT</t>
  </si>
  <si>
    <t>1619.P08.825-000</t>
  </si>
  <si>
    <t>TORNILLO AUTORROSCANTE 1C89.0</t>
  </si>
  <si>
    <t>1619.P08.829-000</t>
  </si>
  <si>
    <t>RODAMIENTO 1394/1396.1</t>
  </si>
  <si>
    <t>1619.P08.888-000</t>
  </si>
  <si>
    <t>BRAZO DE COJINETE 158F</t>
  </si>
  <si>
    <t>1619.P08.889-000</t>
  </si>
  <si>
    <t>RUEDA DENTADA EXCENTRICA 158F</t>
  </si>
  <si>
    <t>1619.P08.890-000</t>
  </si>
  <si>
    <t>CONMUTADOR 1E8F.0</t>
  </si>
  <si>
    <t>1619.P08.903-000</t>
  </si>
  <si>
    <t>COJINETE DE DESLIZAMIENT 1E8F.0</t>
  </si>
  <si>
    <t>1619.P08.926-000</t>
  </si>
  <si>
    <t>ANILLO 1516</t>
  </si>
  <si>
    <t>1619.P08.927-000</t>
  </si>
  <si>
    <t>LLAVE ESMERILES 4 1/2" / 5"</t>
  </si>
  <si>
    <t>1619.P08.928-000</t>
  </si>
  <si>
    <t>LLAVE FIJA DE DOS AGUJEROS</t>
  </si>
  <si>
    <t>1619.P08.936-000</t>
  </si>
  <si>
    <t>CAPUCHA COBERTORA 1516</t>
  </si>
  <si>
    <t>1619.P08.938-000</t>
  </si>
  <si>
    <t>FILTRO ANTIPARASITARIO 1516</t>
  </si>
  <si>
    <t>1619.P09.014-000</t>
  </si>
  <si>
    <t>REG. DE REVOLUCIONES 158G</t>
  </si>
  <si>
    <t>1619.P09.017-000</t>
  </si>
  <si>
    <t>ARO DEFLECTOR DE AIRE 1C38.7</t>
  </si>
  <si>
    <t>1619.P09.078-000</t>
  </si>
  <si>
    <t>1619.P09.079-000</t>
  </si>
  <si>
    <t>TAPA DEL ENGRANAJE 1C89.0</t>
  </si>
  <si>
    <t>1619.P09.080-000</t>
  </si>
  <si>
    <t>1619.P09.081-000</t>
  </si>
  <si>
    <t>BRIDA DE COJINETE 1C89.0</t>
  </si>
  <si>
    <t>1619.P09.082-000</t>
  </si>
  <si>
    <t>Juego de teclas</t>
  </si>
  <si>
    <t>1619.P09.136-000</t>
  </si>
  <si>
    <t>CAJA DE ENGRANAJES 1516</t>
  </si>
  <si>
    <t>1619.P09.137-000</t>
  </si>
  <si>
    <t>TAPA DEL ENGRANAJE 1516</t>
  </si>
  <si>
    <t>1619.P09.138-000</t>
  </si>
  <si>
    <t>GUIDE ROLLER SET</t>
  </si>
  <si>
    <t>1619.P09.139-000</t>
  </si>
  <si>
    <t>TRINQUETE 1516</t>
  </si>
  <si>
    <t>1619.P09.140-000</t>
  </si>
  <si>
    <t>INDUCIDO 158G</t>
  </si>
  <si>
    <t>1619.P09.154-000</t>
  </si>
  <si>
    <t>ESTATOR 158G</t>
  </si>
  <si>
    <t>1619.P09.157-000</t>
  </si>
  <si>
    <t>1619.P09.186-000</t>
  </si>
  <si>
    <t>1619.P09.208-000</t>
  </si>
  <si>
    <t>HUSILLO PORTAMUELA 2230</t>
  </si>
  <si>
    <t>1619.P09.218-000</t>
  </si>
  <si>
    <t>Round-Head Bolt</t>
  </si>
  <si>
    <t>1619.P09.219-000</t>
  </si>
  <si>
    <t>1619.P09.232-000</t>
  </si>
  <si>
    <t>1619.P09.244-000</t>
  </si>
  <si>
    <t>POIGNEE DE MANOEUVRE</t>
  </si>
  <si>
    <t>1619.P09.249-000</t>
  </si>
  <si>
    <t>PORTAESCOBILLAS 1B37.0</t>
  </si>
  <si>
    <t>1619.P09.253-000</t>
  </si>
  <si>
    <t>GRUPO HUSILLO 1B24.0</t>
  </si>
  <si>
    <t>1619.P09.255-000</t>
  </si>
  <si>
    <t>TAPA DE CARCASA GWS 670</t>
  </si>
  <si>
    <t>1619.P09.256-000</t>
  </si>
  <si>
    <t>BRIDA INTERMEDIA 1B24.0</t>
  </si>
  <si>
    <t>1619.P09.261-000</t>
  </si>
  <si>
    <t>ANILLO DE RETENCION 1B24.0</t>
  </si>
  <si>
    <t>1619.P09.262-000</t>
  </si>
  <si>
    <t>ANILLO DE REAJUSTE 1224 (GGS 28 L)</t>
  </si>
  <si>
    <t>1619.P09.263-000</t>
  </si>
  <si>
    <t>PIEZA DE UNIÓN 1224 (GGS 28 L)</t>
  </si>
  <si>
    <t>1619.P09.265-000</t>
  </si>
  <si>
    <t>TUERCA 2230</t>
  </si>
  <si>
    <t>1619.P09.267-000</t>
  </si>
  <si>
    <t>TUERCA 1B24.0</t>
  </si>
  <si>
    <t>1619.P09.269-000</t>
  </si>
  <si>
    <t>TORNILLO AVALLANADO TORX 1B24.0</t>
  </si>
  <si>
    <t>1619.P09.290-000</t>
  </si>
  <si>
    <t>BOTON 1388 RA P02812 RX 1619.P10.838-00</t>
  </si>
  <si>
    <t>1619.P09.390-000</t>
  </si>
  <si>
    <t>DISCO DE CUBIERTA</t>
  </si>
  <si>
    <t>1619.P09.434-000</t>
  </si>
  <si>
    <t>ZUNCHO 1B24.0</t>
  </si>
  <si>
    <t>1619.P09.483-000</t>
  </si>
  <si>
    <t>CONJ. PIÑON Y CORONA 1855.G RA1607000357</t>
  </si>
  <si>
    <t>1619.P09.533-000</t>
  </si>
  <si>
    <t>RUEDA DENTADA GST 65BE</t>
  </si>
  <si>
    <t>1619.P09.589-000</t>
  </si>
  <si>
    <t>REG. DE VELOCIDAD 11269</t>
  </si>
  <si>
    <t>1619.P09.616-000</t>
  </si>
  <si>
    <t>1619.P09.617-000</t>
  </si>
  <si>
    <t>1619.P09.645-000</t>
  </si>
  <si>
    <t>1619.P09.722-000</t>
  </si>
  <si>
    <t>ARANDELA RETENCION ARBOL</t>
  </si>
  <si>
    <t>1619.P09.772-000</t>
  </si>
  <si>
    <t>CARCASA DEL MOTOR 1375.0/.6</t>
  </si>
  <si>
    <t>1619.P09.795-000</t>
  </si>
  <si>
    <t>ESTRIBO DE GUIA  1676.0</t>
  </si>
  <si>
    <t>1619.P09.797-000</t>
  </si>
  <si>
    <t>DEFLECTOR GKS 7000</t>
  </si>
  <si>
    <t>1619.P09.798-000</t>
  </si>
  <si>
    <t>TUERCA GKS 7000</t>
  </si>
  <si>
    <t>1619.P09.801-000</t>
  </si>
  <si>
    <t>JUEGO DE EMPUNADURAS  1676.0</t>
  </si>
  <si>
    <t>1619.P09.803-000</t>
  </si>
  <si>
    <t>CUBIERTA PROT. ABATIBLE  1676.0</t>
  </si>
  <si>
    <t>1619.P09.816-000</t>
  </si>
  <si>
    <t>1619.P09.862-000</t>
  </si>
  <si>
    <t>JUNTA DE FIELTRO 1C37.0</t>
  </si>
  <si>
    <t>1619.P09.863-000</t>
  </si>
  <si>
    <t>BOLSA DE PROTECCION 1B24.0</t>
  </si>
  <si>
    <t>1619.P09.874-000</t>
  </si>
  <si>
    <t>PLACA DE SOPORTE  1676.0</t>
  </si>
  <si>
    <t>1619.P09.886-000</t>
  </si>
  <si>
    <t>ARO DEFLECTOR DE AIRE 2230</t>
  </si>
  <si>
    <t>1619.P09.888-000</t>
  </si>
  <si>
    <t>EXPANSION POLAR 230V 1B24.0</t>
  </si>
  <si>
    <t>1619.P09.922-000</t>
  </si>
  <si>
    <t>TAPA DEL CUERPO 1388.0</t>
  </si>
  <si>
    <t>1619.P09.928-000</t>
  </si>
  <si>
    <t>MUELLE DE SUJECION</t>
  </si>
  <si>
    <t>1619.P09.955-000</t>
  </si>
  <si>
    <t>1619.P09.972-000</t>
  </si>
  <si>
    <t>INTERRUPTOR GKS 7000</t>
  </si>
  <si>
    <t>1619.P10.037-000</t>
  </si>
  <si>
    <t>PALANCA  1676.0</t>
  </si>
  <si>
    <t>1619.P10.061-000</t>
  </si>
  <si>
    <t>CARCASA DE MOTOR GKS 7000</t>
  </si>
  <si>
    <t>1619.P10.062-000</t>
  </si>
  <si>
    <t>INDUCIDO 1676.0</t>
  </si>
  <si>
    <t>1619.P10.064-000</t>
  </si>
  <si>
    <t>PLACA DE BASE  1676.0</t>
  </si>
  <si>
    <t>1619.P10.066-000</t>
  </si>
  <si>
    <t>ENGRANAJE GKS 7000</t>
  </si>
  <si>
    <t>1619.P10.067-000</t>
  </si>
  <si>
    <t>CUBIERTA PROTECTORA  1676.0</t>
  </si>
  <si>
    <t>1619.P10.070-000</t>
  </si>
  <si>
    <t>CARCAZA MOTOR 1388 Rx 1619.P09415</t>
  </si>
  <si>
    <t>1619.P10.072-000</t>
  </si>
  <si>
    <t>TAPA DEL CUERPO 1388.5 RA P02833</t>
  </si>
  <si>
    <t>1619.P10.086-000</t>
  </si>
  <si>
    <t>ARANDELA DE SEGURIDAD  1676.0</t>
  </si>
  <si>
    <t>1619.P10.106-000</t>
  </si>
  <si>
    <t>ANILLO OBTURADOR 11269</t>
  </si>
  <si>
    <t>1619.P10.133-000</t>
  </si>
  <si>
    <t>MUELLE DE TRACCION  16A2</t>
  </si>
  <si>
    <t>1619.P10.158-000</t>
  </si>
  <si>
    <t>JUEGO DE ESCOBILLAS</t>
  </si>
  <si>
    <t>1619.P10.160-000</t>
  </si>
  <si>
    <t>VAINA PROTECTORA 11269</t>
  </si>
  <si>
    <t>1619.P10.162-000</t>
  </si>
  <si>
    <t>ARANDELA DE APOYO 11269</t>
  </si>
  <si>
    <t>1619.P10.163-000</t>
  </si>
  <si>
    <t>CASQUILLO 11269</t>
  </si>
  <si>
    <t>1619.P10.164-000</t>
  </si>
  <si>
    <t>PORTAHERRAMIENTAS 11269</t>
  </si>
  <si>
    <t>1619.P10.165-000</t>
  </si>
  <si>
    <t>BRIDA 11269</t>
  </si>
  <si>
    <t>1619.P10.167-000</t>
  </si>
  <si>
    <t>TUBO DE MARTILLO 11269</t>
  </si>
  <si>
    <t>1619.P10.168-000</t>
  </si>
  <si>
    <t>CUBIERTA 11269</t>
  </si>
  <si>
    <t>1619.P10.171-000</t>
  </si>
  <si>
    <t>TAPA DE VENTILADOR 11269</t>
  </si>
  <si>
    <t>1619.P10.172-000</t>
  </si>
  <si>
    <t>CASQUILLO 3272/11205/3365/1358/11269</t>
  </si>
  <si>
    <t>1619.P10.176-000</t>
  </si>
  <si>
    <t>MANGO 11269</t>
  </si>
  <si>
    <t>1619.P10.177-000</t>
  </si>
  <si>
    <t>CACHA 11269</t>
  </si>
  <si>
    <t>1619.P10.179-000</t>
  </si>
  <si>
    <t>IMAN ANULAR 11269</t>
  </si>
  <si>
    <t>1619.P10.181-000</t>
  </si>
  <si>
    <t>SEGMENTO ESFERICO 11269</t>
  </si>
  <si>
    <t>1619.P10.182-000</t>
  </si>
  <si>
    <t>1619.P10.206-000</t>
  </si>
  <si>
    <t>CARCASA 1509/1281.769 RA P01385</t>
  </si>
  <si>
    <t>1619.P10.219-000</t>
  </si>
  <si>
    <t>1619.P10.220-000</t>
  </si>
  <si>
    <t>JUEGO DE EMPUNADURAS 1FB2.0</t>
  </si>
  <si>
    <t>1619.P10.224-000</t>
  </si>
  <si>
    <t>CHAPA DEFLECTORA 1FB2.0</t>
  </si>
  <si>
    <t>1619.P10.235-000</t>
  </si>
  <si>
    <t>ALOJAMIENTO DE HUSILLO 1B24.0</t>
  </si>
  <si>
    <t>1619.P10.286-000</t>
  </si>
  <si>
    <t>CABLE DE ENLACE 11269</t>
  </si>
  <si>
    <t>1619.P10.301-000</t>
  </si>
  <si>
    <t>CARCASA DEL MOTOR 1C38.7</t>
  </si>
  <si>
    <t>1619.P10.303-000</t>
  </si>
  <si>
    <t>MANGUITO 11241.7 Ra 1610115001</t>
  </si>
  <si>
    <t>1619.P10.349-000</t>
  </si>
  <si>
    <t>1619.P10.350-000</t>
  </si>
  <si>
    <t>CONJUNTO INDUCIDO 220V 1F23.0</t>
  </si>
  <si>
    <t>1619.P10.377-000</t>
  </si>
  <si>
    <t>RODILLO CILINDRICO 11269</t>
  </si>
  <si>
    <t>1619.P10.381-000</t>
  </si>
  <si>
    <t>MUELLE DE COMPRESION 11269</t>
  </si>
  <si>
    <t>1619.P10.396-000</t>
  </si>
  <si>
    <t>INTERRUPTOR 11269</t>
  </si>
  <si>
    <t>1619.P10.481-000</t>
  </si>
  <si>
    <t>Ball Bearing</t>
  </si>
  <si>
    <t>1619.P10.522-000</t>
  </si>
  <si>
    <t>CONTRAARANDELA 1C37.0</t>
  </si>
  <si>
    <t>1619.P10.533-000</t>
  </si>
  <si>
    <t>RODAMIENTO RIGIDO BOLAS 1B23.0</t>
  </si>
  <si>
    <t>1619.P10.559-000</t>
  </si>
  <si>
    <t>1619.P10.565-000</t>
  </si>
  <si>
    <t>1619.P10.569-000</t>
  </si>
  <si>
    <t>RUEDA EXCÉNTRICA</t>
  </si>
  <si>
    <t>1619.P10.570-000</t>
  </si>
  <si>
    <t>1619.P10.572-000</t>
  </si>
  <si>
    <t>1619.P10.573-000</t>
  </si>
  <si>
    <t>PALANCA DE HORQUILLA</t>
  </si>
  <si>
    <t>1619.P10.574-000</t>
  </si>
  <si>
    <t>1619.P10.576-000</t>
  </si>
  <si>
    <t>PLACA DE TRABAJO</t>
  </si>
  <si>
    <t>1619.P10.578-000</t>
  </si>
  <si>
    <t>PALANCA DE RODILLO</t>
  </si>
  <si>
    <t>1619.P10.580-000</t>
  </si>
  <si>
    <t>1619.P10.581-000</t>
  </si>
  <si>
    <t>ÁRBOL DE MANDO</t>
  </si>
  <si>
    <t>1619.P10.582-000</t>
  </si>
  <si>
    <t>ESTRIBO PROTECTOR</t>
  </si>
  <si>
    <t>1619.P10.583-000</t>
  </si>
  <si>
    <t>1619.P10.585-000</t>
  </si>
  <si>
    <t>1619.P10.586-000</t>
  </si>
  <si>
    <t>1619.P10.587-000</t>
  </si>
  <si>
    <t>PUENTE DE APOYO</t>
  </si>
  <si>
    <t>1619.P10.588-000</t>
  </si>
  <si>
    <t>ACUERDO BÁSICO</t>
  </si>
  <si>
    <t>1619.P10.589-000</t>
  </si>
  <si>
    <t>LLAVERO</t>
  </si>
  <si>
    <t>1619.P10.608-000</t>
  </si>
  <si>
    <t>MANGUITO ELASTICO  16A2</t>
  </si>
  <si>
    <t>1619.P10.653-000</t>
  </si>
  <si>
    <t>1619.P10.665-000</t>
  </si>
  <si>
    <t>SEGMENTO ESFERICO DE RETE 1C37.0</t>
  </si>
  <si>
    <t>1619.P10.667-000</t>
  </si>
  <si>
    <t>CAJA-MECANISMO PERCUTOR 1C37.0</t>
  </si>
  <si>
    <t>1619.P10.681-000</t>
  </si>
  <si>
    <t>1619.P10.683-000</t>
  </si>
  <si>
    <t>ARO DEFLECTOR DE AIRE 1C75.6</t>
  </si>
  <si>
    <t>1619.P10.684-000</t>
  </si>
  <si>
    <t>VENTILADOR 1C75.6</t>
  </si>
  <si>
    <t>1619.P10.709-000</t>
  </si>
  <si>
    <t>ESTATOR 1223</t>
  </si>
  <si>
    <t>1619.P10.718-000</t>
  </si>
  <si>
    <t>1619.P10.720-000</t>
  </si>
  <si>
    <t>1619.P10.721-000</t>
  </si>
  <si>
    <t>1619.P10.722-000</t>
  </si>
  <si>
    <t>CUBIERTA DE PROTECCIÓN DE PÉNDULA</t>
  </si>
  <si>
    <t>1619.P10.724-000</t>
  </si>
  <si>
    <t>1619.P10.725-000</t>
  </si>
  <si>
    <t>1619.P10.726-000</t>
  </si>
  <si>
    <t>1619.P10.727-000</t>
  </si>
  <si>
    <t>1619.P10.728-000</t>
  </si>
  <si>
    <t>1619.P10.729-000</t>
  </si>
  <si>
    <t>APRIETE DEL CASQUILLO</t>
  </si>
  <si>
    <t>1619.P10.730-000</t>
  </si>
  <si>
    <t>EJE DE AJUSTE</t>
  </si>
  <si>
    <t>1619.P10.731-000</t>
  </si>
  <si>
    <t>1619.P10.732-000</t>
  </si>
  <si>
    <t>1619.P10.733-000</t>
  </si>
  <si>
    <t>1619.P10.734-000</t>
  </si>
  <si>
    <t>1619.P10.735-000</t>
  </si>
  <si>
    <t>EJE DE TRANSMISIÓN</t>
  </si>
  <si>
    <t>1619.P10.736-000</t>
  </si>
  <si>
    <t>1619.P10.737-000</t>
  </si>
  <si>
    <t>1619.P10.738-000</t>
  </si>
  <si>
    <t>1619.P10.739-000</t>
  </si>
  <si>
    <t>CORREDERA DE BLOQUEO</t>
  </si>
  <si>
    <t>1619.P10.741-000</t>
  </si>
  <si>
    <t>1619.P10.742-000</t>
  </si>
  <si>
    <t>MUELLE TENSION</t>
  </si>
  <si>
    <t>1619.P10.745-000</t>
  </si>
  <si>
    <t>1619.P10.749-000</t>
  </si>
  <si>
    <t>1619.P10.752-000</t>
  </si>
  <si>
    <t>CLAVIJA DE PERCUSION 11269</t>
  </si>
  <si>
    <t>1619.P10.765-000</t>
  </si>
  <si>
    <t>EMBOLO DEL MARTILLO 11269</t>
  </si>
  <si>
    <t>1619.P10.766-000</t>
  </si>
  <si>
    <t>EMBRAGUE RUEDAS 11269</t>
  </si>
  <si>
    <t>1619.P10.767-000</t>
  </si>
  <si>
    <t>TAPA DEL CUERPO 11269</t>
  </si>
  <si>
    <t>1619.P10.768-000</t>
  </si>
  <si>
    <t>JUEGO DE PIEZAS DESGASTE 11269</t>
  </si>
  <si>
    <t>1619.P10.769-000</t>
  </si>
  <si>
    <t>INDUCIDO 11269</t>
  </si>
  <si>
    <t>1619.P10.770-000</t>
  </si>
  <si>
    <t>CAJA-MECANISMO PERCUTOR 11269</t>
  </si>
  <si>
    <t>1619.P10.828-000</t>
  </si>
  <si>
    <t>1619.P10.834-000</t>
  </si>
  <si>
    <t>1619.P10.835-000</t>
  </si>
  <si>
    <t>1619.P10.847-000</t>
  </si>
  <si>
    <t>CASQUILLO-GUIA 11269</t>
  </si>
  <si>
    <t>1619.P10.959-000</t>
  </si>
  <si>
    <t>CARCASA DE MOTOR</t>
  </si>
  <si>
    <t>1619.P10.961-000</t>
  </si>
  <si>
    <t>CARCASA DEL MOTOR 1C96.5</t>
  </si>
  <si>
    <t>1619.P10.963-000</t>
  </si>
  <si>
    <t>TAPA DEL CUERPO 1C94.0</t>
  </si>
  <si>
    <t>1619.P10.969-000</t>
  </si>
  <si>
    <t>BOTON DE MANDO 1394/1396.1/1C94.0</t>
  </si>
  <si>
    <t>1619.P10.970-000</t>
  </si>
  <si>
    <t>ARO DEFLECTOR DE AIRE 1396.1/1C94.0</t>
  </si>
  <si>
    <t>1619.P10.971-000</t>
  </si>
  <si>
    <t>DISTRIBUIDOR DE AIRE 1394</t>
  </si>
  <si>
    <t>1619.P10.979-000</t>
  </si>
  <si>
    <t>PIN 1C96.5</t>
  </si>
  <si>
    <t>1619.P11.076-000</t>
  </si>
  <si>
    <t>PALANCA DE FIJACION</t>
  </si>
  <si>
    <t>1619.P11.096-000</t>
  </si>
  <si>
    <t>CAJA DE ENGRANAJE GWS 9-125</t>
  </si>
  <si>
    <t>1619.P11.098-000</t>
  </si>
  <si>
    <t>Bearing Flange</t>
  </si>
  <si>
    <t>1619.P11.118-000</t>
  </si>
  <si>
    <t>1619.P11.122-000</t>
  </si>
  <si>
    <t>CAJA DE ENGRANAJES 1C96.5</t>
  </si>
  <si>
    <t>1619.P11.147-000</t>
  </si>
  <si>
    <t>PLACA DE MARCA GWS 9-125 S</t>
  </si>
  <si>
    <t>1619.P11.187-000</t>
  </si>
  <si>
    <t>NAMEPLATE -13965</t>
  </si>
  <si>
    <t>1619.P11.190-000</t>
  </si>
  <si>
    <t>PLACA DE IDENTIFICACION -13965</t>
  </si>
  <si>
    <t>1619.P11.191-000</t>
  </si>
  <si>
    <t>NAMEPLATE</t>
  </si>
  <si>
    <t>1619.P11.262-000</t>
  </si>
  <si>
    <t>1619.P11.327-000</t>
  </si>
  <si>
    <t>MUELLE CON PATAS 1E8F.0</t>
  </si>
  <si>
    <t>1619.P11.329-000</t>
  </si>
  <si>
    <t>CASQUILLO-GUIA 11269/1B23</t>
  </si>
  <si>
    <t>1619.P11.358-000</t>
  </si>
  <si>
    <t>CARCASA DEL MOTOR 2230</t>
  </si>
  <si>
    <t>1619.P11.416-000</t>
  </si>
  <si>
    <t>CASQUILLO-GUIA 1F6H.0</t>
  </si>
  <si>
    <t>1619.P11.420-000</t>
  </si>
  <si>
    <t>1619.P11.427-000</t>
  </si>
  <si>
    <t>1619.P11.431-000</t>
  </si>
  <si>
    <t>LLAVE TUBULAR HEXAGONAL</t>
  </si>
  <si>
    <t>1619.P11.432-000</t>
  </si>
  <si>
    <t>1619.P11.483-000</t>
  </si>
  <si>
    <t>1619.P11.484-000</t>
  </si>
  <si>
    <t>1619.P11.485-000</t>
  </si>
  <si>
    <t>1619.P11.487-000</t>
  </si>
  <si>
    <t>MUELLE DE COMPRESION 1394/1396.1/1C94.0</t>
  </si>
  <si>
    <t>1619.P11.536-000</t>
  </si>
  <si>
    <t>GRUPO DE VEHÍCULOS ROSCADOS</t>
  </si>
  <si>
    <t>1619.P11.537-000</t>
  </si>
  <si>
    <t>PLACA BASE COMPLETA</t>
  </si>
  <si>
    <t>1619.P11.562-000</t>
  </si>
  <si>
    <t>1619.P11.626-000</t>
  </si>
  <si>
    <t>PARADA PARALELA</t>
  </si>
  <si>
    <t>1619.P11.754-000</t>
  </si>
  <si>
    <t>BLOQUE DE CONEXIÓN 5885/11269</t>
  </si>
  <si>
    <t>1619.P11.770-000</t>
  </si>
  <si>
    <t>TUERCA CIEGO RA 1619P09267</t>
  </si>
  <si>
    <t>1619.P11.795-000</t>
  </si>
  <si>
    <t>CORONA 1388.1 RX 1.619.P13.518</t>
  </si>
  <si>
    <t>1619.P11.863-000</t>
  </si>
  <si>
    <t>CARCASA DEL MOTOR  16A2</t>
  </si>
  <si>
    <t>1619.P11.877-000</t>
  </si>
  <si>
    <t>INSONORIZANTE  16A2</t>
  </si>
  <si>
    <t>1619.P11.879-000</t>
  </si>
  <si>
    <t>MANGO  16A2</t>
  </si>
  <si>
    <t>1619.P11.883-000</t>
  </si>
  <si>
    <t>PORTALLAVE  16A2</t>
  </si>
  <si>
    <t>1619.P11.884-000</t>
  </si>
  <si>
    <t>ARANDELA DE SEGURIDAD  16A2(GKS 18V-57)</t>
  </si>
  <si>
    <t>1619.P11.885-000</t>
  </si>
  <si>
    <t>ARANDELA INTERIOR  16A2 (GKS 18V-57)</t>
  </si>
  <si>
    <t>1619.P11.886-000</t>
  </si>
  <si>
    <t>ESTRIBO DE GUIA  16A2</t>
  </si>
  <si>
    <t>1619.P11.898-000</t>
  </si>
  <si>
    <t>CONJUNTO INDUCIDO  16A2 (GKS 18V-57)</t>
  </si>
  <si>
    <t>1619.P11.900-000</t>
  </si>
  <si>
    <t>PARTE INFERIOR DE PROTEC  16A2</t>
  </si>
  <si>
    <t>1619.P11.904-000</t>
  </si>
  <si>
    <t>PARTE SUPERIOR DE PROTEC  16A2</t>
  </si>
  <si>
    <t>1619.P11.906-000</t>
  </si>
  <si>
    <t>BRIDA DE COJINETE  16A2 (GKS 18V-57)</t>
  </si>
  <si>
    <t>1619.P11.912-000</t>
  </si>
  <si>
    <t>MÓDULO ELECTRÓNICO  16A2 (GKS 18V-57)</t>
  </si>
  <si>
    <t>1619.P11.913-000</t>
  </si>
  <si>
    <t>CAPERUZA FINAL  16A2</t>
  </si>
  <si>
    <t>1619.P11.916-000</t>
  </si>
  <si>
    <t>PLACA DE BASE  16A2</t>
  </si>
  <si>
    <t>1619.P11.917-000</t>
  </si>
  <si>
    <t>BOTON DE MANDO  16A2</t>
  </si>
  <si>
    <t>1619.P11.929-000</t>
  </si>
  <si>
    <t>1619.P11.989-000</t>
  </si>
  <si>
    <t>1619.P12.045-000</t>
  </si>
  <si>
    <t>ESTATOR 18V 1JE9.1</t>
  </si>
  <si>
    <t>1619.P12.117-000</t>
  </si>
  <si>
    <t>RETÉN PARA EJES 1F4L.9</t>
  </si>
  <si>
    <t>1619.P12.186-000</t>
  </si>
  <si>
    <t>CAJA DE ENGRANAJES 1C94.0</t>
  </si>
  <si>
    <t>1619.P12.250-000</t>
  </si>
  <si>
    <t>EXPANSION POLAR 1C16.8</t>
  </si>
  <si>
    <t>1619.P12.316-000</t>
  </si>
  <si>
    <t>EXPANSION POLAR 220-240V 1C75.6</t>
  </si>
  <si>
    <t>1619.P12.336-000</t>
  </si>
  <si>
    <t>1619.P12.589-000</t>
  </si>
  <si>
    <t>Barra de refuerzo</t>
  </si>
  <si>
    <t>1619.P12.767-000</t>
  </si>
  <si>
    <t>Pieza Deslizante</t>
  </si>
  <si>
    <t>1619.P13.104-000</t>
  </si>
  <si>
    <t>1619.P13.299-000</t>
  </si>
  <si>
    <t>1619.P13.426-000</t>
  </si>
  <si>
    <t>PALANCA DE RODILLO Rx 1619P07129</t>
  </si>
  <si>
    <t>1619.P13.440-000</t>
  </si>
  <si>
    <t>PASADOR DE SUJECION 1F4L.9</t>
  </si>
  <si>
    <t>1619.P13.476-000</t>
  </si>
  <si>
    <t>CARBONES 12A7</t>
  </si>
  <si>
    <t>1619.P13.518-000</t>
  </si>
  <si>
    <t>CORONA 1388.1 RA P02824</t>
  </si>
  <si>
    <t>1619.P13.557-000</t>
  </si>
  <si>
    <t>TAPA DEL CUERPO 1396.1</t>
  </si>
  <si>
    <t>1619.P13.558-000</t>
  </si>
  <si>
    <t>TAPA DEL CUERPO 1396.0</t>
  </si>
  <si>
    <t>1619.P13.608-000</t>
  </si>
  <si>
    <t>INDUCIDO 1121.1 (Aleman) Ra 1604010332</t>
  </si>
  <si>
    <t>1619.P13.609-000</t>
  </si>
  <si>
    <t>1619.P13.742-000</t>
  </si>
  <si>
    <t>1619.P13.744-000</t>
  </si>
  <si>
    <t>1619.P13.747-000</t>
  </si>
  <si>
    <t>1619.P13.749-000</t>
  </si>
  <si>
    <t>INDUCIDO 12A7</t>
  </si>
  <si>
    <t>1619.P13.750-000</t>
  </si>
  <si>
    <t>ESTATOR 12A7</t>
  </si>
  <si>
    <t>1619.P13.760-000</t>
  </si>
  <si>
    <t>1619.P13.761-000</t>
  </si>
  <si>
    <t>1619.P13.814-000</t>
  </si>
  <si>
    <t>ARANDELA 1396.1</t>
  </si>
  <si>
    <t>1619.P13.836-000</t>
  </si>
  <si>
    <t>1619.P13.857-000</t>
  </si>
  <si>
    <t>1619.P13.893-000</t>
  </si>
  <si>
    <t>MANGUITO AISLANTE-16B1</t>
  </si>
  <si>
    <t>1619.P13.896-000</t>
  </si>
  <si>
    <t>JUEGO DE EMPUNADURAS-16B1</t>
  </si>
  <si>
    <t>1619.P13.907-000</t>
  </si>
  <si>
    <t>CASQUILLO-16B1</t>
  </si>
  <si>
    <t>1619.P13.910-000</t>
  </si>
  <si>
    <t>PLACA DE CUBIERTA-16B1</t>
  </si>
  <si>
    <t>1619.P13.911-000</t>
  </si>
  <si>
    <t>EMBOLO PORTAUTIL-16B1</t>
  </si>
  <si>
    <t>1619.P13.916-000</t>
  </si>
  <si>
    <t>ANILLO DE PRESION-16B1</t>
  </si>
  <si>
    <t>1619.P13.963-000</t>
  </si>
  <si>
    <t>BRIDA DE ALOJAMIENTO 1C16.8</t>
  </si>
  <si>
    <t>1619.P13.964-000</t>
  </si>
  <si>
    <t>PORTAHERRAMIENTAS 1C16.8</t>
  </si>
  <si>
    <t>1619.P13.967-000</t>
  </si>
  <si>
    <t>TUBO DE MARTILLO 1C16.8</t>
  </si>
  <si>
    <t>1619.P14.032-000</t>
  </si>
  <si>
    <t>CARCASA GST 700</t>
  </si>
  <si>
    <t>1619.P14.036-000</t>
  </si>
  <si>
    <t>ETIQUETA GST 700</t>
  </si>
  <si>
    <t>1619.P14.042-000</t>
  </si>
  <si>
    <t>CONTRAPESO GST 700</t>
  </si>
  <si>
    <t>1619.P14.043-000</t>
  </si>
  <si>
    <t>RUEDA DENTADA GST 700</t>
  </si>
  <si>
    <t>1619.P14.045-000</t>
  </si>
  <si>
    <t>EMBOLO PORTAUTIL GST 700</t>
  </si>
  <si>
    <t>1619.P14.049-000</t>
  </si>
  <si>
    <t>RODAMIENTO GST 700</t>
  </si>
  <si>
    <t>1619.P14.050-000</t>
  </si>
  <si>
    <t>PLACA BASE GST 700</t>
  </si>
  <si>
    <t>1619.P14.051-000</t>
  </si>
  <si>
    <t>PALANCA GST 700</t>
  </si>
  <si>
    <t>1619.P14.052-000</t>
  </si>
  <si>
    <t>1619.P14.053-000</t>
  </si>
  <si>
    <t>1619.P14.054-000</t>
  </si>
  <si>
    <t>CUBIERTA GST 700</t>
  </si>
  <si>
    <t>1619.P14.055-000</t>
  </si>
  <si>
    <t>INSERCIÓN GST 700</t>
  </si>
  <si>
    <t>1619.P14.056-000</t>
  </si>
  <si>
    <t>PLACA DE FIJACION GST 700</t>
  </si>
  <si>
    <t>1619.P14.058-000</t>
  </si>
  <si>
    <t>ESTRIBO PROTECTOR GST 700</t>
  </si>
  <si>
    <t>1619.P14.063-000</t>
  </si>
  <si>
    <t>CABLE CON INTERRUPTOR GST 700</t>
  </si>
  <si>
    <t>1619.P14.111-000</t>
  </si>
  <si>
    <t>JGO. RUEDAS DE ENG. Rx 1619P16293</t>
  </si>
  <si>
    <t>1619.P14.139-000</t>
  </si>
  <si>
    <t>DISTRIBUIDOR DE AIRE 1396.1/1C94.0</t>
  </si>
  <si>
    <t>1619.P14.196-000</t>
  </si>
  <si>
    <t>PLACA-16B1</t>
  </si>
  <si>
    <t>1619.P14.201-000</t>
  </si>
  <si>
    <t>CUBIERTA PROTECTORA-16B1</t>
  </si>
  <si>
    <t>1619.P14.202-000</t>
  </si>
  <si>
    <t>SOPORTE-PIE-16B1</t>
  </si>
  <si>
    <t>1619.P14.206-000</t>
  </si>
  <si>
    <t>1619.P14.207-000</t>
  </si>
  <si>
    <t>CUBIERTA-16B1</t>
  </si>
  <si>
    <t>1619.P14.209-000</t>
  </si>
  <si>
    <t>CABLE DE ENLACE</t>
  </si>
  <si>
    <t>1619.P14.210-000</t>
  </si>
  <si>
    <t>1619.P14.211-000</t>
  </si>
  <si>
    <t>1619.P14.241-000</t>
  </si>
  <si>
    <t>TAPA DEL CUERPO 1C38.7</t>
  </si>
  <si>
    <t>1619.P14.277-000</t>
  </si>
  <si>
    <t>CABLE GST 700</t>
  </si>
  <si>
    <t>1619.P14.287-000</t>
  </si>
  <si>
    <t>1619.P14.288-000</t>
  </si>
  <si>
    <t>1619.P14.306-000</t>
  </si>
  <si>
    <t>Resorte espiral</t>
  </si>
  <si>
    <t>1619.P14.308-000</t>
  </si>
  <si>
    <t>1619.P14.309-000</t>
  </si>
  <si>
    <t>1619.P14.336-000</t>
  </si>
  <si>
    <t>PESTILLO</t>
  </si>
  <si>
    <t>1619.P14.345-000</t>
  </si>
  <si>
    <t>1619.P14.346-000</t>
  </si>
  <si>
    <t>1619.P14.369-000</t>
  </si>
  <si>
    <t>1619.P14.405-000</t>
  </si>
  <si>
    <t>1619.P14.424-000</t>
  </si>
  <si>
    <t>DISP. FIJACION RAPIDA-16B1</t>
  </si>
  <si>
    <t>1619.P14.440-000</t>
  </si>
  <si>
    <t>1619.P14.446-000</t>
  </si>
  <si>
    <t>1619.P14.461-000</t>
  </si>
  <si>
    <t>TAPON DE GOMA 1C38.7</t>
  </si>
  <si>
    <t>1619.P14.462-000</t>
  </si>
  <si>
    <t>ANILLO PARA CUERDA REDON 1C38.7</t>
  </si>
  <si>
    <t>1619.P14.463-000</t>
  </si>
  <si>
    <t>ANILLO ELÁSTICO 1C38.7</t>
  </si>
  <si>
    <t>1619.P14.464-000</t>
  </si>
  <si>
    <t>ARANDELA DE TOPE 1C38.7</t>
  </si>
  <si>
    <t>1619.P14.465-000</t>
  </si>
  <si>
    <t>1619.P14.474-000</t>
  </si>
  <si>
    <t>GOLPEADOR 1C38.7</t>
  </si>
  <si>
    <t>1619.P14.477-000</t>
  </si>
  <si>
    <t>RUEDA DENTADA EXCENTRICA 1C38.7</t>
  </si>
  <si>
    <t>1619.P14.481-000</t>
  </si>
  <si>
    <t>PISA 1C38.7</t>
  </si>
  <si>
    <t>1619.P14.506-000</t>
  </si>
  <si>
    <t>LLAVE DE ESP.P.TORNILLOS 1F23.0</t>
  </si>
  <si>
    <t>1619.P14.539-000</t>
  </si>
  <si>
    <t>1619.P14.544-000</t>
  </si>
  <si>
    <t>DISCO DE CUBIERTA 1375.0/.6/1388/1394</t>
  </si>
  <si>
    <t>1619.P14.546-000</t>
  </si>
  <si>
    <t>ARANDELA DE AJUSTE-16B1</t>
  </si>
  <si>
    <t>1619.P14.559-000</t>
  </si>
  <si>
    <t>JUEGO RUEDAS DE ENGRANAJE Rx 1619P16294</t>
  </si>
  <si>
    <t>1619.P14.586-000</t>
  </si>
  <si>
    <t>1619.P14.598-000</t>
  </si>
  <si>
    <t>1619.P14.614-000</t>
  </si>
  <si>
    <t>HUSILLO 18B8/18B7/1849/1850 RA1619P00999</t>
  </si>
  <si>
    <t>1619.P14.615-000</t>
  </si>
  <si>
    <t>MANGO AZUL 1F6H.0</t>
  </si>
  <si>
    <t>1619.P14.636-000</t>
  </si>
  <si>
    <t>MUELLE CON PATAS 12A7</t>
  </si>
  <si>
    <t>1619.P14.642-000</t>
  </si>
  <si>
    <t>1619.P14.649-000</t>
  </si>
  <si>
    <t>CARCASA DEL MOTOR 1F4J.0</t>
  </si>
  <si>
    <t>1619.P14.656-000</t>
  </si>
  <si>
    <t>MUELLE DE COMPRESION 1C37.0 RA P07755</t>
  </si>
  <si>
    <t>1619.P14.667-000</t>
  </si>
  <si>
    <t>TAPA DEL CUERPO 1C96.5</t>
  </si>
  <si>
    <t>1619.P14.673-000</t>
  </si>
  <si>
    <t>ARO DEFLECTOR DE AIRE-16B1</t>
  </si>
  <si>
    <t>1619.P14.677-000</t>
  </si>
  <si>
    <t>RODAMIENTO DE AGUJAS GST 700</t>
  </si>
  <si>
    <t>1619.P14.682-000</t>
  </si>
  <si>
    <t>ARANDELA DE AJUSTE GST 700</t>
  </si>
  <si>
    <t>1619.P14.685-000</t>
  </si>
  <si>
    <t>SOPORTE GST 700</t>
  </si>
  <si>
    <t>1619.P14.691-000</t>
  </si>
  <si>
    <t>EXPANSION POLAR 1FB2.0</t>
  </si>
  <si>
    <t>1619.P14.753-000</t>
  </si>
  <si>
    <t>1619.P14.777-000</t>
  </si>
  <si>
    <t>1619.P14.798-000</t>
  </si>
  <si>
    <t>PIEZA DE UNION 1B24.0</t>
  </si>
  <si>
    <t>1619.P14.813-000</t>
  </si>
  <si>
    <t>TRINQUETE 1C96.5</t>
  </si>
  <si>
    <t>1619.P14.886-000</t>
  </si>
  <si>
    <t>1619.P14.923-000</t>
  </si>
  <si>
    <t>PORTAHERRAMIENTAS C387</t>
  </si>
  <si>
    <t>1619.P14.924-000</t>
  </si>
  <si>
    <t>CAJA ENGRANAJE GSH 500</t>
  </si>
  <si>
    <t>1619.P14.929-000</t>
  </si>
  <si>
    <t>Anillo de soporte de acero</t>
  </si>
  <si>
    <t>1619.P14.930-000</t>
  </si>
  <si>
    <t>Émbolo de acero</t>
  </si>
  <si>
    <t>1619.P14.935-000</t>
  </si>
  <si>
    <t>1619.P15.015-000</t>
  </si>
  <si>
    <t>LINEA DE CONEXION A RED 1FB2.0</t>
  </si>
  <si>
    <t>1619.P15.020-000</t>
  </si>
  <si>
    <t>1619.P15.022-000</t>
  </si>
  <si>
    <t>1619.P15.030-000</t>
  </si>
  <si>
    <t>1619.P15.044-000</t>
  </si>
  <si>
    <t>1619.P15.050-000</t>
  </si>
  <si>
    <t>Diapositiva de ajuste</t>
  </si>
  <si>
    <t>1619.P15.054-000</t>
  </si>
  <si>
    <t>1619.P15.073-000</t>
  </si>
  <si>
    <t>PLACA DE MARCA 1C16.8</t>
  </si>
  <si>
    <t>1619.P15.103-000</t>
  </si>
  <si>
    <t>1619.P15.106-000</t>
  </si>
  <si>
    <t>PLACA DE MARCA GSH 11 E</t>
  </si>
  <si>
    <t>1619.P15.112-000</t>
  </si>
  <si>
    <t>1619.P15.154-000</t>
  </si>
  <si>
    <t>PLACA DE MARCA GSA 120-16B1</t>
  </si>
  <si>
    <t>1619.P15.166-000</t>
  </si>
  <si>
    <t>JUEGO DE ESCOBILLAS 1FB2.0</t>
  </si>
  <si>
    <t>1619.P15.177-000</t>
  </si>
  <si>
    <t>PLACA DE BASE 1FB2.0</t>
  </si>
  <si>
    <t>1619.P15.179-000</t>
  </si>
  <si>
    <t>CUBIERTA PROTECTORA 1FB2.0</t>
  </si>
  <si>
    <t>1619.P15.186-000</t>
  </si>
  <si>
    <t>TUBO FLEXIBLE CONTRACTIL 1JD8.1</t>
  </si>
  <si>
    <t>1619.P15.209-000</t>
  </si>
  <si>
    <t>ESTRIBO DE GUIA 1FB2.0</t>
  </si>
  <si>
    <t>1619.P15.313-000</t>
  </si>
  <si>
    <t>CARCASA DEL MOTOR-16B1</t>
  </si>
  <si>
    <t>1619.P15.315-000</t>
  </si>
  <si>
    <t>CAJA DE ENGRANAJES-16B1</t>
  </si>
  <si>
    <t>1619.P15.317-000</t>
  </si>
  <si>
    <t>JUEGO DE RUEDAS CONICAS-16B1</t>
  </si>
  <si>
    <t>1619.P15.334-000</t>
  </si>
  <si>
    <t>1619.P15.337-000</t>
  </si>
  <si>
    <t>1619.P15.338-000</t>
  </si>
  <si>
    <t>Empunadura De Interruptor</t>
  </si>
  <si>
    <t>1619.P15.347-000</t>
  </si>
  <si>
    <t>1619.P15.392-000</t>
  </si>
  <si>
    <t>Manga de acoplamiento</t>
  </si>
  <si>
    <t>1619.P15.396-000</t>
  </si>
  <si>
    <t>Guante use herramientas eléctricas</t>
  </si>
  <si>
    <t>1619.P15.397-000</t>
  </si>
  <si>
    <t>1619.P15.409-000</t>
  </si>
  <si>
    <t>1619.P15.476-000</t>
  </si>
  <si>
    <t>1619.P15.493-000</t>
  </si>
  <si>
    <t>1619.P15.567-000</t>
  </si>
  <si>
    <t>1619.P15.577-000</t>
  </si>
  <si>
    <t>PLACA DE NOMBRE</t>
  </si>
  <si>
    <t>1619.P15.622-000</t>
  </si>
  <si>
    <t>1619.P15.668-000</t>
  </si>
  <si>
    <t>1619.P15.676-000</t>
  </si>
  <si>
    <t>Cuerpo Intermedio</t>
  </si>
  <si>
    <t>1619.P15.677-000</t>
  </si>
  <si>
    <t>Brida Intermedia</t>
  </si>
  <si>
    <t>1619.P15.717-000</t>
  </si>
  <si>
    <t>Segmentos de carcasa</t>
  </si>
  <si>
    <t>1619.P15.722-000</t>
  </si>
  <si>
    <t>1619.P15.723-000</t>
  </si>
  <si>
    <t>1619.P15.724-000</t>
  </si>
  <si>
    <t>desencadenar</t>
  </si>
  <si>
    <t>1619.P15.727-000</t>
  </si>
  <si>
    <t>Engranaje cónico</t>
  </si>
  <si>
    <t>1619.P15.729-000</t>
  </si>
  <si>
    <t>cuchilla de corte</t>
  </si>
  <si>
    <t>1619.P15.730-000</t>
  </si>
  <si>
    <t>Cuchillo</t>
  </si>
  <si>
    <t>1619.P15.731-000</t>
  </si>
  <si>
    <t>Placa de cubierta</t>
  </si>
  <si>
    <t>1619.P15.733-000</t>
  </si>
  <si>
    <t>pierna</t>
  </si>
  <si>
    <t>1619.P15.734-000</t>
  </si>
  <si>
    <t>Eje de ajuste</t>
  </si>
  <si>
    <t>1619.P15.751-000</t>
  </si>
  <si>
    <t>1619.P15.775-000</t>
  </si>
  <si>
    <t>1619.P15.781-000</t>
  </si>
  <si>
    <t>1619.P15.794-000</t>
  </si>
  <si>
    <t>1619.P15.795-000</t>
  </si>
  <si>
    <t>1619.P15.806-000</t>
  </si>
  <si>
    <t>Muelle de torsión</t>
  </si>
  <si>
    <t>1619.P15.817-000</t>
  </si>
  <si>
    <t>Carcasa de aluminio</t>
  </si>
  <si>
    <t>1619.P15.818-000</t>
  </si>
  <si>
    <t>1619.P15.819-000</t>
  </si>
  <si>
    <t>Juego de piezas de acero y plástico</t>
  </si>
  <si>
    <t>1619.P15.872-000</t>
  </si>
  <si>
    <t>1619.P15.875-000</t>
  </si>
  <si>
    <t>TUERCA DE FIJACIÓN</t>
  </si>
  <si>
    <t>1619.P15.876-000</t>
  </si>
  <si>
    <t>placa de bloqueo</t>
  </si>
  <si>
    <t>1619.P15.952-000</t>
  </si>
  <si>
    <t>1619.P15.956-000</t>
  </si>
  <si>
    <t>1619.P15.963-000</t>
  </si>
  <si>
    <t>Protección contra el polvo</t>
  </si>
  <si>
    <t>1619.P15.969-000</t>
  </si>
  <si>
    <t>Alambre</t>
  </si>
  <si>
    <t>1619.P15.970-000</t>
  </si>
  <si>
    <t>Alambre Ra 1619P06222</t>
  </si>
  <si>
    <t>1619.P15.990-000</t>
  </si>
  <si>
    <t>1619.P16.021-000</t>
  </si>
  <si>
    <t>Mango (Mango;Mango)</t>
  </si>
  <si>
    <t>1619.P16.023-000</t>
  </si>
  <si>
    <t>1619.P16.024-000</t>
  </si>
  <si>
    <t>1619.P16.027-000</t>
  </si>
  <si>
    <t>MÓDULO ELECTRÓNICO</t>
  </si>
  <si>
    <t>1619.P16.030-000</t>
  </si>
  <si>
    <t>1619.P16.044-000</t>
  </si>
  <si>
    <t>Filtrar</t>
  </si>
  <si>
    <t>1619.P16.098-000</t>
  </si>
  <si>
    <t>módulo motor</t>
  </si>
  <si>
    <t>1619.P16.099-000</t>
  </si>
  <si>
    <t>Puente de apoyo</t>
  </si>
  <si>
    <t>1619.P16.104-000</t>
  </si>
  <si>
    <t>1619.P16.106-000</t>
  </si>
  <si>
    <t>1619.P16.111-000</t>
  </si>
  <si>
    <t>1619.P16.119-000</t>
  </si>
  <si>
    <t>1619.P16.218-000</t>
  </si>
  <si>
    <t>1619.P16.219-000</t>
  </si>
  <si>
    <t>Corredera De Ajuste</t>
  </si>
  <si>
    <t>1619.P16.223-000</t>
  </si>
  <si>
    <t>1619.P16.234-000</t>
  </si>
  <si>
    <t>1619.P16.236-000</t>
  </si>
  <si>
    <t>Botón Palpador</t>
  </si>
  <si>
    <t>1619.P16.237-000</t>
  </si>
  <si>
    <t>1619.P16.240-000</t>
  </si>
  <si>
    <t>1619.P16.241-000</t>
  </si>
  <si>
    <t>1619.P16.242-000</t>
  </si>
  <si>
    <t>1619.P16.259-000</t>
  </si>
  <si>
    <t>1619.P16.260-000</t>
  </si>
  <si>
    <t>1619.P16.274-000</t>
  </si>
  <si>
    <t>1619.P16.276-000</t>
  </si>
  <si>
    <t>1619.P16.278-000</t>
  </si>
  <si>
    <t>1619.P16.280-000</t>
  </si>
  <si>
    <t>1619.P16.282-000</t>
  </si>
  <si>
    <t>1619.P16.284-000</t>
  </si>
  <si>
    <t>1619.P16.289-000</t>
  </si>
  <si>
    <t>LLAVE ESPIGAS FRONTALES</t>
  </si>
  <si>
    <t>1619.P16.293-000</t>
  </si>
  <si>
    <t>Juego de engranajes Ra 1619P14111</t>
  </si>
  <si>
    <t>1619.P16.294-000</t>
  </si>
  <si>
    <t>Juego de engranajes Ra 619P14559</t>
  </si>
  <si>
    <t>1619.P16.327-000</t>
  </si>
  <si>
    <t>1619.P16.372-000</t>
  </si>
  <si>
    <t>Módulo electrónico</t>
  </si>
  <si>
    <t>1619.P16.440-000</t>
  </si>
  <si>
    <t>1619.P16.471-000</t>
  </si>
  <si>
    <t>1619.P16.473-000</t>
  </si>
  <si>
    <t>1619.P16.506-000</t>
  </si>
  <si>
    <t>1619.P16.507-000</t>
  </si>
  <si>
    <t>1619.P16.535-000</t>
  </si>
  <si>
    <t>ESTRIBO DE SEGURIDAD</t>
  </si>
  <si>
    <t>1619.P16.617-000</t>
  </si>
  <si>
    <t>1619.P16.618-000</t>
  </si>
  <si>
    <t>estator</t>
  </si>
  <si>
    <t>1619.P16.710-000</t>
  </si>
  <si>
    <t>1619.P16.712-000</t>
  </si>
  <si>
    <t>1619.P16.713-000</t>
  </si>
  <si>
    <t>Placa De Trabajo</t>
  </si>
  <si>
    <t>1619.P16.839-000</t>
  </si>
  <si>
    <t>1619.P16.878-000</t>
  </si>
  <si>
    <t>CUBIERTA PROTECCIÓN PÉNDULA</t>
  </si>
  <si>
    <t>1619.P16.879-000</t>
  </si>
  <si>
    <t>1619.P16.880-000</t>
  </si>
  <si>
    <t>1619.P16.881-000</t>
  </si>
  <si>
    <t>pared de barrera de sonido</t>
  </si>
  <si>
    <t>1619.P16.883-000</t>
  </si>
  <si>
    <t>Plato base</t>
  </si>
  <si>
    <t>1619.P16.884-000</t>
  </si>
  <si>
    <t>CONSOLA CON BISAGRA</t>
  </si>
  <si>
    <t>1619.P16.885-000</t>
  </si>
  <si>
    <t>brazo de sujeción</t>
  </si>
  <si>
    <t>1619.P16.903-000</t>
  </si>
  <si>
    <t>1619.P16.905-000</t>
  </si>
  <si>
    <t>1619.P16.906-000</t>
  </si>
  <si>
    <t>Soporte de guía</t>
  </si>
  <si>
    <t>1619.P16.907-000</t>
  </si>
  <si>
    <t>BARRA DE AJUSTE</t>
  </si>
  <si>
    <t>1619.P16.908-000</t>
  </si>
  <si>
    <t>1619.P16.909-000</t>
  </si>
  <si>
    <t>Disco interior</t>
  </si>
  <si>
    <t>1619.P16.910-000</t>
  </si>
  <si>
    <t>boton interruptor</t>
  </si>
  <si>
    <t>1619.P16.912-000</t>
  </si>
  <si>
    <t>Perno de ajuste</t>
  </si>
  <si>
    <t>1619.P16.913-000</t>
  </si>
  <si>
    <t>1619.P16.931-000</t>
  </si>
  <si>
    <t>Anillo de ajuste</t>
  </si>
  <si>
    <t>1619.P16.997-000</t>
  </si>
  <si>
    <t>1619.P16.999-000</t>
  </si>
  <si>
    <t>Regla de inglete</t>
  </si>
  <si>
    <t>1619.P17.003-000</t>
  </si>
  <si>
    <t>1619.P17.074-000</t>
  </si>
  <si>
    <t>Arandela de seguridad</t>
  </si>
  <si>
    <t>1619.P17.115-000</t>
  </si>
  <si>
    <t>Boquilla de aspiración</t>
  </si>
  <si>
    <t>1619.P17.155-000</t>
  </si>
  <si>
    <t>1619.P17.173-000</t>
  </si>
  <si>
    <t>1619.P17.175-000</t>
  </si>
  <si>
    <t>Tuerca de ajuste</t>
  </si>
  <si>
    <t>1619.P17.207-000</t>
  </si>
  <si>
    <t>INSERTO</t>
  </si>
  <si>
    <t>1619.P17.216-000</t>
  </si>
  <si>
    <t>resorte de tensión</t>
  </si>
  <si>
    <t>1619.P17.217-000</t>
  </si>
  <si>
    <t>JUEGO RODAMIENTOS</t>
  </si>
  <si>
    <t>1619.P17.219-000</t>
  </si>
  <si>
    <t>1619.P17.222-000</t>
  </si>
  <si>
    <t>1619.P17.223-000</t>
  </si>
  <si>
    <t>JUEGO DE RUEDAS CONICAS</t>
  </si>
  <si>
    <t>1619.P17.224-000</t>
  </si>
  <si>
    <t>BOTON PULSADOR</t>
  </si>
  <si>
    <t>1619.P17.225-000</t>
  </si>
  <si>
    <t>1619.P17.227-000</t>
  </si>
  <si>
    <t>BRIDA DE APRIETE</t>
  </si>
  <si>
    <t>1619.P17.245-000</t>
  </si>
  <si>
    <t>1619.P17.248-000</t>
  </si>
  <si>
    <t>TUERCA CILINDRICA</t>
  </si>
  <si>
    <t>1619.P17.336-000</t>
  </si>
  <si>
    <t>TAPON</t>
  </si>
  <si>
    <t>1619.P17.472-000</t>
  </si>
  <si>
    <t>Boquilla De Aspiracion</t>
  </si>
  <si>
    <t>1619.P17.476-000</t>
  </si>
  <si>
    <t>1619.P17.479-000</t>
  </si>
  <si>
    <t>1619.P17.480-000</t>
  </si>
  <si>
    <t>1619.P17.511-000</t>
  </si>
  <si>
    <t>1619.P20.535-000</t>
  </si>
  <si>
    <t>1619.P20.537-000</t>
  </si>
  <si>
    <t>1619.P20.540-000</t>
  </si>
  <si>
    <t>1619.P20.541-000</t>
  </si>
  <si>
    <t>1619.P20.547-000</t>
  </si>
  <si>
    <t>Tapa Aislante</t>
  </si>
  <si>
    <t>1619.P20.548-000</t>
  </si>
  <si>
    <t>1619.P20.563-000</t>
  </si>
  <si>
    <t>1619.P20.702-000</t>
  </si>
  <si>
    <t>1619.P31.072-000</t>
  </si>
  <si>
    <t>PLACA DE MARCA GSR 12V-15 FC</t>
  </si>
  <si>
    <t>1619.P32.497-000</t>
  </si>
  <si>
    <t>PLACA DE CARACTERÍSTICAS AR</t>
  </si>
  <si>
    <t>1619.P50.021-000</t>
  </si>
  <si>
    <t>1619.PA0.209-000</t>
  </si>
  <si>
    <t>TAPA DE MOTOR 3120/3310</t>
  </si>
  <si>
    <t>1619.PA0.213-000</t>
  </si>
  <si>
    <t>PORTACARBONES 3120/3310</t>
  </si>
  <si>
    <t>1619.PA0.217-000</t>
  </si>
  <si>
    <t>CARACASA DE MOTOR 3120/3310</t>
  </si>
  <si>
    <t>1619.PA0.222-000</t>
  </si>
  <si>
    <t>ESTATOR 3120/3310</t>
  </si>
  <si>
    <t>1619.PA0.226-000</t>
  </si>
  <si>
    <t>VENTILADOR AXIAL 3120/3310</t>
  </si>
  <si>
    <t>1619.PA0.229-000</t>
  </si>
  <si>
    <t>TRABA DE EJE 3120/3310</t>
  </si>
  <si>
    <t>1619.PA0.234-000</t>
  </si>
  <si>
    <t>CAJA DE ENGRENAJE 3120/3310</t>
  </si>
  <si>
    <t>1619.PA0.235-000</t>
  </si>
  <si>
    <t>CAMARA 3120/3310</t>
  </si>
  <si>
    <t>1619.PA0.240-000</t>
  </si>
  <si>
    <t>ARAZADERA DE APRIETE 3120/3310</t>
  </si>
  <si>
    <t>1619.PA0.243-000</t>
  </si>
  <si>
    <t>DISPARADOR  3120/3310</t>
  </si>
  <si>
    <t>1619.PA0.251-000</t>
  </si>
  <si>
    <t>MANGO 3120/3310</t>
  </si>
  <si>
    <t>1619.PA0.256-000</t>
  </si>
  <si>
    <t>CAPERUZA SUPERIOR 3120/3310</t>
  </si>
  <si>
    <t>1619.PA0.261-000</t>
  </si>
  <si>
    <t>BRIDA INTERNA 3120/3310/3311</t>
  </si>
  <si>
    <t>1619.PA0.263-000</t>
  </si>
  <si>
    <t>BRIDA EXTERNA 3120/3310/3311</t>
  </si>
  <si>
    <t>1619.PA0.266-000</t>
  </si>
  <si>
    <t>CUBREDISCO INFERIOR 3120/3310</t>
  </si>
  <si>
    <t>1619.PA0.271-000</t>
  </si>
  <si>
    <t>RESORTE 3120/3310</t>
  </si>
  <si>
    <t>1619.PA0.272-000</t>
  </si>
  <si>
    <t>TORNILLO ESPECIAL 3120/3310</t>
  </si>
  <si>
    <t>1619.PA0.279-000</t>
  </si>
  <si>
    <t>VARILLAJE 3120/3310</t>
  </si>
  <si>
    <t>1619.PA0.282-000</t>
  </si>
  <si>
    <t>1619.PA0.290-000</t>
  </si>
  <si>
    <t>ESPIGA 3120/3310</t>
  </si>
  <si>
    <t>1619.PA0.291-000</t>
  </si>
  <si>
    <t>CLAVIJA DE CIERRE 3120/3310</t>
  </si>
  <si>
    <t>1619.PA0.292-000</t>
  </si>
  <si>
    <t>ARBOL SOPORTE 3120/3310</t>
  </si>
  <si>
    <t>1619.PA0.294-000</t>
  </si>
  <si>
    <t>MUELLE DE TORSION 3120/3310</t>
  </si>
  <si>
    <t>1619.PA0.295-000</t>
  </si>
  <si>
    <t>CASQUILLO 3120/3310</t>
  </si>
  <si>
    <t>1619.PA0.296-000</t>
  </si>
  <si>
    <t>ESCALA 3120/3310</t>
  </si>
  <si>
    <t>1619.PA0.300-000</t>
  </si>
  <si>
    <t>AGUJA 3120/3310</t>
  </si>
  <si>
    <t>1619.PA0.304-000</t>
  </si>
  <si>
    <t>1619.PA0.307-000</t>
  </si>
  <si>
    <t>PLACA DE APOYO GIRATORIA 3120/3310</t>
  </si>
  <si>
    <t>1619.PA0.311-000</t>
  </si>
  <si>
    <t>1619.PA0.312-000</t>
  </si>
  <si>
    <t>BLOQUE DE CERRAR 3120/3310</t>
  </si>
  <si>
    <t>1619.PA0.313-000</t>
  </si>
  <si>
    <t>ABRAZADERA DE APRIETE 3120/3310</t>
  </si>
  <si>
    <t>1619.PA0.316-000</t>
  </si>
  <si>
    <t>PLACA DE SEGURO 3120/3310</t>
  </si>
  <si>
    <t>1619.PA0.321-000</t>
  </si>
  <si>
    <t>ENCLAVAMIENTO 3120/3310</t>
  </si>
  <si>
    <t>1619.PA0.322-000</t>
  </si>
  <si>
    <t>PUÑO 3120/3310</t>
  </si>
  <si>
    <t>1619.PA0.323-000</t>
  </si>
  <si>
    <t>TENSOR 3120/3310</t>
  </si>
  <si>
    <t>1619.PA0.324-000</t>
  </si>
  <si>
    <t>BOTON 3120/3310</t>
  </si>
  <si>
    <t>1619.PA0.325-000</t>
  </si>
  <si>
    <t>LISTON DE SOPORTE 3120/3310</t>
  </si>
  <si>
    <t>1619.PA0.326-000</t>
  </si>
  <si>
    <t>1619.PA0.328-000</t>
  </si>
  <si>
    <t>REGLA DE CARTON 3120/3310</t>
  </si>
  <si>
    <t>1619.PA0.329-000</t>
  </si>
  <si>
    <t>PLACA DE ESCALA 3120/3310</t>
  </si>
  <si>
    <t>1619.PA0.331-000</t>
  </si>
  <si>
    <t>BASE 3120/3310</t>
  </si>
  <si>
    <t>1619.PA0.334-000</t>
  </si>
  <si>
    <t>1619.PA0.335-000</t>
  </si>
  <si>
    <t>1619.PA0.336-000</t>
  </si>
  <si>
    <t>LIMITADOR DE CORTE 3310</t>
  </si>
  <si>
    <t>1619.PA0.337-000</t>
  </si>
  <si>
    <t>PLACA DE BLINDAGE 3120/3310</t>
  </si>
  <si>
    <t>1619.PA0.677-000</t>
  </si>
  <si>
    <t>CARCASA DEL MOTOR 11A0/11A1</t>
  </si>
  <si>
    <t>1619.PA0.678-000</t>
  </si>
  <si>
    <t>ESTATOR 11A0</t>
  </si>
  <si>
    <t>1619.PA0.679-000</t>
  </si>
  <si>
    <t>INTERRUPTOR 11A0</t>
  </si>
  <si>
    <t>1619.PA0.684-000</t>
  </si>
  <si>
    <t>PALANCA 11A0</t>
  </si>
  <si>
    <t>1619.PA0.685-000</t>
  </si>
  <si>
    <t>BRAZO DE COJINETE 1A0</t>
  </si>
  <si>
    <t>1619.PA0.690-000</t>
  </si>
  <si>
    <t>CHAVETA DE DISCO 11A0</t>
  </si>
  <si>
    <t>1619.PA0.697-000</t>
  </si>
  <si>
    <t>INDUCIDO 11A0</t>
  </si>
  <si>
    <t>1619.PA0.701-000</t>
  </si>
  <si>
    <t>CONMUTADOR 11A0</t>
  </si>
  <si>
    <t>1619.PA0.702-000</t>
  </si>
  <si>
    <t>FILTRO 11A0</t>
  </si>
  <si>
    <t>1619.PA0.703-000</t>
  </si>
  <si>
    <t>CAJA ANTIPARASITARIA 1EA8.0 RX2610350103</t>
  </si>
  <si>
    <t>1619.PA0.901-000</t>
  </si>
  <si>
    <t>ESTATOR 220V 1B20.5</t>
  </si>
  <si>
    <t>1619.PA0.902-000</t>
  </si>
  <si>
    <t>CABLE 1B20.5</t>
  </si>
  <si>
    <t>1619.PA0.903-000</t>
  </si>
  <si>
    <t>ANILLO 1B20.5</t>
  </si>
  <si>
    <t>1619.PA0.906-000</t>
  </si>
  <si>
    <t>1619.PA0.913-000</t>
  </si>
  <si>
    <t>1619.PA1.343-000</t>
  </si>
  <si>
    <t>CHAPA DEFLECTORA 3311</t>
  </si>
  <si>
    <t>1619.PA1.344-000</t>
  </si>
  <si>
    <t>1619.PA1.345-000</t>
  </si>
  <si>
    <t>VASTAGO 3311</t>
  </si>
  <si>
    <t>1619.PA1.346-000</t>
  </si>
  <si>
    <t>CASQUILLO 3311</t>
  </si>
  <si>
    <t>1619.PA1.347-000</t>
  </si>
  <si>
    <t>RESORTE 3311</t>
  </si>
  <si>
    <t>1619.PA1.349-000</t>
  </si>
  <si>
    <t>ETIQUETA ADHESIVA 3311</t>
  </si>
  <si>
    <t>1619.PA1.350-000</t>
  </si>
  <si>
    <t>SOPORTE-PIE 3311</t>
  </si>
  <si>
    <t>1619.PA1.351-000</t>
  </si>
  <si>
    <t>1619.PA1.359-000</t>
  </si>
  <si>
    <t>ESTATOR 3311</t>
  </si>
  <si>
    <t>1619.PA1.360-000</t>
  </si>
  <si>
    <t>INDUCIDO 3311</t>
  </si>
  <si>
    <t>1619.PA1.365-000</t>
  </si>
  <si>
    <t>1619.PA1.366-000</t>
  </si>
  <si>
    <t>ARBOL DE ACCIONAMIENTO 3311</t>
  </si>
  <si>
    <t>1619.PA1.368-000</t>
  </si>
  <si>
    <t>PLACA 3311</t>
  </si>
  <si>
    <t>1619.PA1.372-000</t>
  </si>
  <si>
    <t>CLIP PARA CABLES 3311</t>
  </si>
  <si>
    <t>1619.PA1.378-000</t>
  </si>
  <si>
    <t>1619.PA1.379-000</t>
  </si>
  <si>
    <t>TORNILLO 3311</t>
  </si>
  <si>
    <t>1619.PA1.381-000</t>
  </si>
  <si>
    <t>1619.PA1.382-000</t>
  </si>
  <si>
    <t>BOLA DE ACERO 3311</t>
  </si>
  <si>
    <t>1619.PA1.383-000</t>
  </si>
  <si>
    <t>AGUJA 3311</t>
  </si>
  <si>
    <t>1619.PA1.384-000</t>
  </si>
  <si>
    <t>1619.PA1.388-000</t>
  </si>
  <si>
    <t>LISTON DE SOPORTE 3311</t>
  </si>
  <si>
    <t>1619.PA1.390-000</t>
  </si>
  <si>
    <t>CARRO DE GUIA 3311</t>
  </si>
  <si>
    <t>1619.PA1.391-000</t>
  </si>
  <si>
    <t>1619.PA1.407-000</t>
  </si>
  <si>
    <t>CARBONES 11A0/11A1</t>
  </si>
  <si>
    <t>1619.PA1.489-000</t>
  </si>
  <si>
    <t>EXPANSION POLAR 220V 3710</t>
  </si>
  <si>
    <t>1619.PA1.496-000</t>
  </si>
  <si>
    <t>OJETE PROTECTOR 3710</t>
  </si>
  <si>
    <t>1619.PA1.497-000</t>
  </si>
  <si>
    <t>SUJETADOR DE CABLE 3710</t>
  </si>
  <si>
    <t>1619.PA1.502-000</t>
  </si>
  <si>
    <t>TORNILLO 3710</t>
  </si>
  <si>
    <t>1619.PA1.503-000</t>
  </si>
  <si>
    <t>TORNILLO  3710</t>
  </si>
  <si>
    <t>1619.PA1.504-000</t>
  </si>
  <si>
    <t>PORTACARBONES 3710</t>
  </si>
  <si>
    <t>1619.PA1.505-000</t>
  </si>
  <si>
    <t>1619.PA1.508-000</t>
  </si>
  <si>
    <t>TIRA DE GOMA 3710</t>
  </si>
  <si>
    <t>1619.PA1.509-000</t>
  </si>
  <si>
    <t>ESCUADRA DE TOPE 3710</t>
  </si>
  <si>
    <t>1619.PA1.510-000</t>
  </si>
  <si>
    <t>PERNO CON COLLAR 3710</t>
  </si>
  <si>
    <t>1619.PA1.511-000</t>
  </si>
  <si>
    <t>ARANDELA PLANA 3710</t>
  </si>
  <si>
    <t>1619.PA1.512-000</t>
  </si>
  <si>
    <t>ARANDELA ELASTICA 3710</t>
  </si>
  <si>
    <t>1619.PA1.513-000</t>
  </si>
  <si>
    <t>TORNILLO DE APRIETE 3710</t>
  </si>
  <si>
    <t>1619.PA1.514-000</t>
  </si>
  <si>
    <t>BRIDA DE APRIETE 3710</t>
  </si>
  <si>
    <t>1619.PA1.515-000</t>
  </si>
  <si>
    <t>PASADOR ELASTICO 3710</t>
  </si>
  <si>
    <t>1619.PA1.517-000</t>
  </si>
  <si>
    <t>RANDELA PLANA 3710</t>
  </si>
  <si>
    <t>1619.PA1.527-000</t>
  </si>
  <si>
    <t>ANILLO DE SEGURIDAD 3710</t>
  </si>
  <si>
    <t>1619.PA1.528-000</t>
  </si>
  <si>
    <t>1619.PA1.530-000</t>
  </si>
  <si>
    <t>ANILLO DE GOMA 3710</t>
  </si>
  <si>
    <t>1619.PA1.531-000</t>
  </si>
  <si>
    <t>IEDRA DE APRIETE 3710</t>
  </si>
  <si>
    <t>1619.PA1.532-000</t>
  </si>
  <si>
    <t>BRIDA 3710</t>
  </si>
  <si>
    <t>1619.PA1.533-000</t>
  </si>
  <si>
    <t>VARA DE ENLACE 3710</t>
  </si>
  <si>
    <t>1619.PA1.534-000</t>
  </si>
  <si>
    <t>1619.PA1.535-000</t>
  </si>
  <si>
    <t>SOPORTE DE FIJACION 3710</t>
  </si>
  <si>
    <t>1619.PA1.536-000</t>
  </si>
  <si>
    <t>1619.PA1.538-000</t>
  </si>
  <si>
    <t>1619.PA1.539-000</t>
  </si>
  <si>
    <t>VASTAGO 3710</t>
  </si>
  <si>
    <t>1619.PA1.540-000</t>
  </si>
  <si>
    <t>1619.PA1.541-000</t>
  </si>
  <si>
    <t>RESORTE 3710</t>
  </si>
  <si>
    <t>1619.PA1.544-000</t>
  </si>
  <si>
    <t>PERNO DE CABEZA HEXAGON 3710</t>
  </si>
  <si>
    <t>1619.PA1.545-000</t>
  </si>
  <si>
    <t>TUERCA HEX 3710</t>
  </si>
  <si>
    <t>1619.PA1.546-000</t>
  </si>
  <si>
    <t>TORNILLO AUTORROSCANTE 3710</t>
  </si>
  <si>
    <t>1619.PA1.547-000</t>
  </si>
  <si>
    <t>MANGO 3710</t>
  </si>
  <si>
    <t>1619.PA1.548-000</t>
  </si>
  <si>
    <t>1619.PA1.549-000</t>
  </si>
  <si>
    <t>ARO DEFLECTOR DE AIRE 3710</t>
  </si>
  <si>
    <t>1619.PA1.550-000</t>
  </si>
  <si>
    <t>1619.PA1.551-000</t>
  </si>
  <si>
    <t>1619.PA1.552-000</t>
  </si>
  <si>
    <t>1619.PA1.553-000</t>
  </si>
  <si>
    <t>1619.PA1.554-000</t>
  </si>
  <si>
    <t>EJE C/DEDOS 3710</t>
  </si>
  <si>
    <t>1619.PA1.555-000</t>
  </si>
  <si>
    <t>TUERCA 3710</t>
  </si>
  <si>
    <t>1619.PA1.556-000</t>
  </si>
  <si>
    <t>MUELLE DE COMPRESION 3710</t>
  </si>
  <si>
    <t>1619.PA1.557-000</t>
  </si>
  <si>
    <t>SUJECION 3710</t>
  </si>
  <si>
    <t>1619.PA1.558-000</t>
  </si>
  <si>
    <t>1619.PA1.559-000</t>
  </si>
  <si>
    <t>ERNO 3710</t>
  </si>
  <si>
    <t>1619.PA1.560-000</t>
  </si>
  <si>
    <t>1619.PA1.562-000</t>
  </si>
  <si>
    <t>1619.PA1.563-000</t>
  </si>
  <si>
    <t>1619.PA1.565-000</t>
  </si>
  <si>
    <t>1619.PA1.566-000</t>
  </si>
  <si>
    <t>1619.PA1.569-000</t>
  </si>
  <si>
    <t>1619.PA1.572-000</t>
  </si>
  <si>
    <t>TAPA PROTECTORA 3710</t>
  </si>
  <si>
    <t>1619.PA1.573-000</t>
  </si>
  <si>
    <t>1619.PA1.574-000</t>
  </si>
  <si>
    <t>ARANDELA 3710</t>
  </si>
  <si>
    <t>1619.PA1.575-000</t>
  </si>
  <si>
    <t>LLAVE DE AJUSTE 3710</t>
  </si>
  <si>
    <t>1619.PA1.577-000</t>
  </si>
  <si>
    <t>PIN 3710</t>
  </si>
  <si>
    <t>1619.PA1.578-000</t>
  </si>
  <si>
    <t>1619.PA1.732-000</t>
  </si>
  <si>
    <t>DESTORNILLADOR HEX. 9006</t>
  </si>
  <si>
    <t>1619.PA1.739-000</t>
  </si>
  <si>
    <t>INDUCIDO 9006</t>
  </si>
  <si>
    <t>1619.PA1.743-000</t>
  </si>
  <si>
    <t>ESTATOR 9006</t>
  </si>
  <si>
    <t>1619.PA1.744-000</t>
  </si>
  <si>
    <t>INTERRUPTOR 9006</t>
  </si>
  <si>
    <t>1619.PA1.746-000</t>
  </si>
  <si>
    <t>CLIP CABLES 9006</t>
  </si>
  <si>
    <t>1619.PA1.751-000</t>
  </si>
  <si>
    <t>RODAMIENTO 9006</t>
  </si>
  <si>
    <t>1619.PA1.752-000</t>
  </si>
  <si>
    <t>RODAMIENDO 9006</t>
  </si>
  <si>
    <t>1619.PA1.753-000</t>
  </si>
  <si>
    <t>PORTACARBONES 9006</t>
  </si>
  <si>
    <t>1619.PA1.755-000</t>
  </si>
  <si>
    <t>DEFLECTOR DE AIRE 9006 OBSOLETO</t>
  </si>
  <si>
    <t>1619.PA1.756-000</t>
  </si>
  <si>
    <t>TORNILLOS 9006</t>
  </si>
  <si>
    <t>1619.PA1.758-000</t>
  </si>
  <si>
    <t>ANILLO INTERMEDIO 9006</t>
  </si>
  <si>
    <t>1619.PA1.759-000</t>
  </si>
  <si>
    <t>TORNILLOS HEX. 9006</t>
  </si>
  <si>
    <t>1619.PA1.760-000</t>
  </si>
  <si>
    <t>PLACA DE SUJECION 9006</t>
  </si>
  <si>
    <t>1619.PA1.761-000</t>
  </si>
  <si>
    <t>PIÑON 9006</t>
  </si>
  <si>
    <t>1619.PA1.762-000</t>
  </si>
  <si>
    <t>TUERCA HEX. 9006</t>
  </si>
  <si>
    <t>1619.PA1.764-000</t>
  </si>
  <si>
    <t>TORNILLOS AUTORROSCANTE 9006</t>
  </si>
  <si>
    <t>1619.PA1.765-000</t>
  </si>
  <si>
    <t>JUEGO DE TECLA 9006</t>
  </si>
  <si>
    <t>1619.PA1.770-000</t>
  </si>
  <si>
    <t>CASQUILLO DE AGUJAS 9006</t>
  </si>
  <si>
    <t>1619.PA1.781-000</t>
  </si>
  <si>
    <t>CORREDERA DE AJUSTE 9006</t>
  </si>
  <si>
    <t>1619.PA1.782-000</t>
  </si>
  <si>
    <t>TORNILLO TRAS. AUTORROSCANTE 9006</t>
  </si>
  <si>
    <t>1619.PA1.783-000</t>
  </si>
  <si>
    <t>OJETE PROTECTOR 9006</t>
  </si>
  <si>
    <t>1619.PA1.831-000</t>
  </si>
  <si>
    <t>TAPA DE CUERPO 9006</t>
  </si>
  <si>
    <t>1619.PA1.834-000</t>
  </si>
  <si>
    <t>BOTON DE MANDO 9006</t>
  </si>
  <si>
    <t>1619.PA1.836-000</t>
  </si>
  <si>
    <t>CAJA DE ENGRANAJES 9006</t>
  </si>
  <si>
    <t>1619.PA1.837-000</t>
  </si>
  <si>
    <t>LLAVE ESPIGAS 9006</t>
  </si>
  <si>
    <t>1619.PA1.840-000</t>
  </si>
  <si>
    <t>TUERCA CILINDRICA 9006</t>
  </si>
  <si>
    <t>1619.PA1.841-000</t>
  </si>
  <si>
    <t>BRIDA DE ALOJAMIENTO 9006</t>
  </si>
  <si>
    <t>1619.PA1.844-000</t>
  </si>
  <si>
    <t>BRIDA DE COJINETE 9006</t>
  </si>
  <si>
    <t>1619.PA1.858-000</t>
  </si>
  <si>
    <t>HUSILLO DE LA BROCA 11A0</t>
  </si>
  <si>
    <t>1619.PA1.903-000</t>
  </si>
  <si>
    <t>LLAVE DE AJUSTE 3311</t>
  </si>
  <si>
    <t>1619.PA1.905-000</t>
  </si>
  <si>
    <t>1619.PA1.907-000</t>
  </si>
  <si>
    <t>PIN DE BLOQUEO 3311</t>
  </si>
  <si>
    <t>1619.PA1.909-000</t>
  </si>
  <si>
    <t>PLACA DE AJUSTE 3311</t>
  </si>
  <si>
    <t>1619.PA1.910-000</t>
  </si>
  <si>
    <t>ESCUADRA DE SOPORTE 3311</t>
  </si>
  <si>
    <t>1619.PA1.911-000</t>
  </si>
  <si>
    <t>1619.PA1.914-000</t>
  </si>
  <si>
    <t>1619.PA1.916-000</t>
  </si>
  <si>
    <t>BASTIDOR COMPLEMENTARIO 3311</t>
  </si>
  <si>
    <t>1619.PA1.917-000</t>
  </si>
  <si>
    <t>1619.PA1.918-000</t>
  </si>
  <si>
    <t>BASE 3311</t>
  </si>
  <si>
    <t>1619.PA1.919-000</t>
  </si>
  <si>
    <t>1619.PA1.920-000</t>
  </si>
  <si>
    <t>PLACA DE TOPE 3311</t>
  </si>
  <si>
    <t>1619.PA1.921-000</t>
  </si>
  <si>
    <t>SOPORTE ABRAZADERA</t>
  </si>
  <si>
    <t>1619.PA1.942-000</t>
  </si>
  <si>
    <t>CAJA DE ENGRANAJES 3311</t>
  </si>
  <si>
    <t>1619.PA1.943-000</t>
  </si>
  <si>
    <t>GUARDIA PROTECTORA</t>
  </si>
  <si>
    <t>1619.PA1.944-000</t>
  </si>
  <si>
    <t>TAPA PROTECTORA VIRABLE 3311</t>
  </si>
  <si>
    <t>1619.PA1.945-000</t>
  </si>
  <si>
    <t>PIEZA DE ARTICULACION 3311</t>
  </si>
  <si>
    <t>1619.PA1.947-000</t>
  </si>
  <si>
    <t>PIVOTE 3311</t>
  </si>
  <si>
    <t>1619.PA2.329-000</t>
  </si>
  <si>
    <t>TORNILLO AUTORROSCANTE</t>
  </si>
  <si>
    <t>1619.PA2.330-000</t>
  </si>
  <si>
    <t>CUCHILLA INFERIOR</t>
  </si>
  <si>
    <t>1619.PA2.331-000</t>
  </si>
  <si>
    <t>1619.PA2.332-000</t>
  </si>
  <si>
    <t>1619.PA2.333-000</t>
  </si>
  <si>
    <t>1619.PA2.334-000</t>
  </si>
  <si>
    <t>1619.PA2.335-000</t>
  </si>
  <si>
    <t>1619.PA2.336-000</t>
  </si>
  <si>
    <t>1619.PA2.337-000</t>
  </si>
  <si>
    <t>DISCO DE ARRASTRE</t>
  </si>
  <si>
    <t>1619.PA2.338-000</t>
  </si>
  <si>
    <t>CUCHILLA SUPERIOR</t>
  </si>
  <si>
    <t>1619.PA2.339-000</t>
  </si>
  <si>
    <t>TORNILLO FIJADOR</t>
  </si>
  <si>
    <t>1619.PA2.340-000</t>
  </si>
  <si>
    <t>1619.PA2.802-000</t>
  </si>
  <si>
    <t>CARCASA 9051</t>
  </si>
  <si>
    <t>1619.PA3.145-000</t>
  </si>
  <si>
    <t>Nuez</t>
  </si>
  <si>
    <t>1619.PA3.304-000</t>
  </si>
  <si>
    <t>MANDRIL 11B0</t>
  </si>
  <si>
    <t>1619.PA3.305-000</t>
  </si>
  <si>
    <t>Tornillo Avellanado</t>
  </si>
  <si>
    <t>1619.PA3.545-000</t>
  </si>
  <si>
    <t>CUBRE DISCO 9781</t>
  </si>
  <si>
    <t>1619.PA3.546-000</t>
  </si>
  <si>
    <t>CUBRE DISCO 9981</t>
  </si>
  <si>
    <t>1619.PA3.548-000</t>
  </si>
  <si>
    <t>CONJUNTO ESTATOR 220-240V 9981</t>
  </si>
  <si>
    <t>1619.PA3.558-000</t>
  </si>
  <si>
    <t>ARO DEFLECTOR DE AIRE 9981</t>
  </si>
  <si>
    <t>1619.PA3.559-000</t>
  </si>
  <si>
    <t>ANILLO INTERMEDIO 9981</t>
  </si>
  <si>
    <t>1619.PA3.560-000</t>
  </si>
  <si>
    <t>TUERCA HEX 9981</t>
  </si>
  <si>
    <t>1619.PA3.562-000</t>
  </si>
  <si>
    <t>CAJA DE ENGRANAJES 9781/9981</t>
  </si>
  <si>
    <t>1619.PA3.568-000</t>
  </si>
  <si>
    <t>RUEDA CONICA 9781</t>
  </si>
  <si>
    <t>1619.PA3.569-000</t>
  </si>
  <si>
    <t>RUEDA CONICA 9981</t>
  </si>
  <si>
    <t>1619.PA3.570-000</t>
  </si>
  <si>
    <t>CORONA 9781</t>
  </si>
  <si>
    <t>1619.PA3.571-000</t>
  </si>
  <si>
    <t>CORONA 9981</t>
  </si>
  <si>
    <t>1619.PA3.572-000</t>
  </si>
  <si>
    <t>CASQUILLO DE AGUJAS 9781/9981</t>
  </si>
  <si>
    <t>1619.PA3.585-000</t>
  </si>
  <si>
    <t>TAPA DE COJINETE 9981</t>
  </si>
  <si>
    <t>1619.PA3.587-000</t>
  </si>
  <si>
    <t>DISTRIBUIDOR DE AIRE 9981</t>
  </si>
  <si>
    <t>1619.PA4.091-000</t>
  </si>
  <si>
    <t>BRIDA DE COJINETE 9781/9981</t>
  </si>
  <si>
    <t>1619.PA4.168-000</t>
  </si>
  <si>
    <t>Portacuchillas</t>
  </si>
  <si>
    <t>1619.PA5.003-000</t>
  </si>
  <si>
    <t>INSERTO DE RETÍCULO 1K68</t>
  </si>
  <si>
    <t>1619.PA5.043-000</t>
  </si>
  <si>
    <t>1619.PA5.044-000</t>
  </si>
  <si>
    <t>Tornillo hex.para chapa</t>
  </si>
  <si>
    <t>1619.PA5.054-000</t>
  </si>
  <si>
    <t>1619.PA5.181-000</t>
  </si>
  <si>
    <t>GRUPO DE MONTAJE CARCASA 19D5</t>
  </si>
  <si>
    <t>1619.PA5.182-000</t>
  </si>
  <si>
    <t>MOTOR C. C. 19D5</t>
  </si>
  <si>
    <t>1619.PA5.184-000</t>
  </si>
  <si>
    <t>VENTILADOR 19D5</t>
  </si>
  <si>
    <t>1619.PA5.185-000</t>
  </si>
  <si>
    <t>1619.PA5.187-000</t>
  </si>
  <si>
    <t>TAPA DE FILTRO 19D5</t>
  </si>
  <si>
    <t>1619.PA5.188-000</t>
  </si>
  <si>
    <t>FILTRO 19D5</t>
  </si>
  <si>
    <t>1619.PA5.189-000</t>
  </si>
  <si>
    <t>CARCASA DE FILTRO 19D5 RX1619PA7400000</t>
  </si>
  <si>
    <t>1619.PA5.190-000</t>
  </si>
  <si>
    <t>ANILLO RETENCION 19D5</t>
  </si>
  <si>
    <t>1619.PA5.191-000</t>
  </si>
  <si>
    <t>CUBIERTA PROTECTORA 19D5</t>
  </si>
  <si>
    <t>1619.PA5.192-000</t>
  </si>
  <si>
    <t>TORNILLO 19D5</t>
  </si>
  <si>
    <t>1619.PA5.193-000</t>
  </si>
  <si>
    <t>SOPORTE DE MOTOR 19D5</t>
  </si>
  <si>
    <t>1619.PA5.194-000</t>
  </si>
  <si>
    <t>MÓDULO ELETRÔNICO 19D5</t>
  </si>
  <si>
    <t>1619.PA5.196-000</t>
  </si>
  <si>
    <t>ASA DE TRANSPORTE 19D5</t>
  </si>
  <si>
    <t>1619.PA5.197-000</t>
  </si>
  <si>
    <t>BOTON DE MANDO 19D5</t>
  </si>
  <si>
    <t>1619.PA5.198-000</t>
  </si>
  <si>
    <t>TECLA 19D5</t>
  </si>
  <si>
    <t>1619.PA5.199-000</t>
  </si>
  <si>
    <t>CORREDERA DE CONEXIÓN 19D5</t>
  </si>
  <si>
    <t>1619.PA5.200-000</t>
  </si>
  <si>
    <t>ARANDELA DE CAUCHO 19D5</t>
  </si>
  <si>
    <t>1619.PA5.201-000</t>
  </si>
  <si>
    <t>CAMARA DE POLVO 19D5</t>
  </si>
  <si>
    <t>1619.PA5.202-000</t>
  </si>
  <si>
    <t>BOQUILLA PARA ALFOMBRAS 19D5 (GAS 14,4)</t>
  </si>
  <si>
    <t>1619.PA5.203-000</t>
  </si>
  <si>
    <t>SUJECION 19D5</t>
  </si>
  <si>
    <t>1619.PA5.204-000</t>
  </si>
  <si>
    <t>BOQUILLA PARA JUNTURAS 19D5</t>
  </si>
  <si>
    <t>1619.PA5.205-000</t>
  </si>
  <si>
    <t>TUBO DE ASPIRACION 19D5</t>
  </si>
  <si>
    <t>1619.PA5.234-000</t>
  </si>
  <si>
    <t>1619.PA5.235-000</t>
  </si>
  <si>
    <t>1619.PA6.835-000</t>
  </si>
  <si>
    <t>EXPANSION POLAR 220-240V 1M15.0</t>
  </si>
  <si>
    <t>1619.PA6.901-000</t>
  </si>
  <si>
    <t>Battery Cover</t>
  </si>
  <si>
    <t>1619.PA6.908-000</t>
  </si>
  <si>
    <t>Clamp</t>
  </si>
  <si>
    <t>1619.PA6.915-000</t>
  </si>
  <si>
    <t>INTERRUPTOR 1M15.0</t>
  </si>
  <si>
    <t>1619.PA6.916-000</t>
  </si>
  <si>
    <t>BASTIDOR COMPLEMENTARIO 1M15.0</t>
  </si>
  <si>
    <t>1619.PA6.920-000</t>
  </si>
  <si>
    <t>PORTAESCOBILLAS 1M15.0</t>
  </si>
  <si>
    <t>1619.PA6.921-000</t>
  </si>
  <si>
    <t>ARANDELA ELASTICA 1M15.0</t>
  </si>
  <si>
    <t>1619.PA6.922-000</t>
  </si>
  <si>
    <t>ESCALA 1M15.0</t>
  </si>
  <si>
    <t>1619.PA6.923-000</t>
  </si>
  <si>
    <t>CHAPA CORREDIZA 1M15.0</t>
  </si>
  <si>
    <t>1619.PA6.924-000</t>
  </si>
  <si>
    <t>TOPE PARA INGLETES 1M15.0</t>
  </si>
  <si>
    <t>1619.PA6.925-000</t>
  </si>
  <si>
    <t>1619.PA6.926-000</t>
  </si>
  <si>
    <t>TORNILLO CABEZA MARIPOSA 1M15.0</t>
  </si>
  <si>
    <t>1619.PA6.927-000</t>
  </si>
  <si>
    <t>VARILLA ROSCADA 1M15.0</t>
  </si>
  <si>
    <t>1619.PA6.928-000</t>
  </si>
  <si>
    <t>ARANDELA PLANA 1M15.0</t>
  </si>
  <si>
    <t>1619.PA6.929-000</t>
  </si>
  <si>
    <t>TORNILLO CILÍNDRICA HEX 1M15.0</t>
  </si>
  <si>
    <t>1619.PA6.930-000</t>
  </si>
  <si>
    <t>MESA 1M15.0</t>
  </si>
  <si>
    <t>1619.PA6.931-000</t>
  </si>
  <si>
    <t>TORNILLO DE CABEZA CIL. 1M15.0</t>
  </si>
  <si>
    <t>1619.PA6.932-000</t>
  </si>
  <si>
    <t>1619.PA6.933-000</t>
  </si>
  <si>
    <t>1619.PA6.934-000</t>
  </si>
  <si>
    <t>TAPA 1M15.0</t>
  </si>
  <si>
    <t>1619.PA6.935-000</t>
  </si>
  <si>
    <t>EMPUÑADURA 1M15.0</t>
  </si>
  <si>
    <t>1619.PA6.936-000</t>
  </si>
  <si>
    <t>1619.PA6.937-000</t>
  </si>
  <si>
    <t>TUERCA AUTOBLOCANTE 1M15.0</t>
  </si>
  <si>
    <t>1619.PA6.938-000</t>
  </si>
  <si>
    <t>SUPLEMENTO 1M15.0</t>
  </si>
  <si>
    <t>1619.PA6.939-000</t>
  </si>
  <si>
    <t>TORNILLO AVELLANADO 1M15.0</t>
  </si>
  <si>
    <t>1619.PA6.940-000</t>
  </si>
  <si>
    <t>TUERCA 1M15.0</t>
  </si>
  <si>
    <t>1619.PA6.941-000</t>
  </si>
  <si>
    <t>AGUJA 1M15.0</t>
  </si>
  <si>
    <t>1619.PA6.942-000</t>
  </si>
  <si>
    <t>1619.PA6.943-000</t>
  </si>
  <si>
    <t>1619.PA6.944-000</t>
  </si>
  <si>
    <t>ARBOL SOPORTE 1M15.0</t>
  </si>
  <si>
    <t>1619.PA6.945-000</t>
  </si>
  <si>
    <t>1619.PA6.946-000</t>
  </si>
  <si>
    <t>CHAPA PROTECTORA 1M15.0</t>
  </si>
  <si>
    <t>1619.PA6.948-000</t>
  </si>
  <si>
    <t>MUELLE DE TORSION 1M15.0</t>
  </si>
  <si>
    <t>1619.PA6.949-000</t>
  </si>
  <si>
    <t>TORNILLO ESPECIAL 1M15.0</t>
  </si>
  <si>
    <t>1619.PA6.950-000</t>
  </si>
  <si>
    <t>CUBIERTA PROTECTORA 1M15.0</t>
  </si>
  <si>
    <t>1619.PA6.951-000</t>
  </si>
  <si>
    <t>1619.PA6.952-000</t>
  </si>
  <si>
    <t>1619.PA6.953-000</t>
  </si>
  <si>
    <t>CASQUILLO DE SUJECION 1M15.0</t>
  </si>
  <si>
    <t>1619.PA6.954-000</t>
  </si>
  <si>
    <t>VARILLAJE 1M15.0</t>
  </si>
  <si>
    <t>1619.PA6.955-000</t>
  </si>
  <si>
    <t>1619.PA6.956-000</t>
  </si>
  <si>
    <t>1619.PA6.957-000</t>
  </si>
  <si>
    <t>1619.PA6.958-000</t>
  </si>
  <si>
    <t>1619.PA6.959-000</t>
  </si>
  <si>
    <t>SOPORTE DEL COJINETE 1M15.0</t>
  </si>
  <si>
    <t>1619.PA6.960-000</t>
  </si>
  <si>
    <t>1619.PA6.961-000</t>
  </si>
  <si>
    <t>1619.PA6.962-000</t>
  </si>
  <si>
    <t>TUERCA DE FIJACION 1M15.0</t>
  </si>
  <si>
    <t>1619.PA6.963-000</t>
  </si>
  <si>
    <t>PALANCA 1M15.0</t>
  </si>
  <si>
    <t>1619.PA6.964-000</t>
  </si>
  <si>
    <t>TORNILLO CABEZA HEX 1M15.0</t>
  </si>
  <si>
    <t>1619.PA6.965-000</t>
  </si>
  <si>
    <t>BASE 1M15.0</t>
  </si>
  <si>
    <t>1619.PA6.966-000</t>
  </si>
  <si>
    <t>1619.PA6.967-000</t>
  </si>
  <si>
    <t>1619.PA6.968-000</t>
  </si>
  <si>
    <t>1619.PA6.969-000</t>
  </si>
  <si>
    <t>PERNO DE FIJACION 1M15.0</t>
  </si>
  <si>
    <t>1619.PA6.970-000</t>
  </si>
  <si>
    <t>JUNTA TORICA 1M15.0</t>
  </si>
  <si>
    <t>1619.PA6.971-000</t>
  </si>
  <si>
    <t>1619.PA6.972-000</t>
  </si>
  <si>
    <t>1619.PA6.973-000</t>
  </si>
  <si>
    <t>BRIDA DE FIJACION 1M15.0</t>
  </si>
  <si>
    <t>1619.PA6.974-000</t>
  </si>
  <si>
    <t>DISPARADOR 1M15.0</t>
  </si>
  <si>
    <t>1619.PA6.975-000</t>
  </si>
  <si>
    <t>1619.PA6.976-000</t>
  </si>
  <si>
    <t>TAPA DE COJINETE 1M15.0</t>
  </si>
  <si>
    <t>1619.PA6.980-000</t>
  </si>
  <si>
    <t>RUEDA DE DENTADO INCLINA 1M15.0</t>
  </si>
  <si>
    <t>1619.PA6.981-000</t>
  </si>
  <si>
    <t>1619.PA6.982-000</t>
  </si>
  <si>
    <t>ANILLO DE SEGURIDAD 1M15.0</t>
  </si>
  <si>
    <t>1619.PA6.983-000</t>
  </si>
  <si>
    <t>SEPARADOR DE POLVO 1M15.0</t>
  </si>
  <si>
    <t>1619.PA6.984-000</t>
  </si>
  <si>
    <t>CASQUILLO DE AGUJAS 1M15.0</t>
  </si>
  <si>
    <t>1619.PA6.985-000</t>
  </si>
  <si>
    <t>PROTECCION CONTRA CONTACT 1M15.0</t>
  </si>
  <si>
    <t>1619.PA6.986-000</t>
  </si>
  <si>
    <t>1619.PA6.987-000</t>
  </si>
  <si>
    <t>1619.PA6.988-000</t>
  </si>
  <si>
    <t>PERNO DISTANCIADOR 1M15.0</t>
  </si>
  <si>
    <t>1619.PA6.989-000</t>
  </si>
  <si>
    <t>1619.PA6.990-000</t>
  </si>
  <si>
    <t>1619.PA6.991-000</t>
  </si>
  <si>
    <t>1619.PA6.992-000</t>
  </si>
  <si>
    <t>ANILLO DE GOMA 1M15.0</t>
  </si>
  <si>
    <t>1619.PA6.993-000</t>
  </si>
  <si>
    <t>ARO DEFLECTOR DE AIRE 1M15.0</t>
  </si>
  <si>
    <t>1619.PA6.994-000</t>
  </si>
  <si>
    <t>1619.PA6.995-000</t>
  </si>
  <si>
    <t>MANGO 1M15.0</t>
  </si>
  <si>
    <t>1619.PA6.996-000</t>
  </si>
  <si>
    <t>PROTECCIÓN DE ONDAS 1M15.0</t>
  </si>
  <si>
    <t>1619.PA6.998-000</t>
  </si>
  <si>
    <t>1619.PA6.999-000</t>
  </si>
  <si>
    <t>TAPA ESCOBILLAS 1M15.0</t>
  </si>
  <si>
    <t>1619.PA7.000-000</t>
  </si>
  <si>
    <t>1619.PA7.001-000</t>
  </si>
  <si>
    <t>1619.PA7.002-000</t>
  </si>
  <si>
    <t>1619.PA7.003-000</t>
  </si>
  <si>
    <t>1619.PA7.004-000</t>
  </si>
  <si>
    <t>MUELLE DE COMPRESION 1M15.0</t>
  </si>
  <si>
    <t>1619.PA7.005-000</t>
  </si>
  <si>
    <t>1619.PA7.006-000</t>
  </si>
  <si>
    <t>PALANCA DE BLOQUEO 1M15.0</t>
  </si>
  <si>
    <t>1619.PA7.007-000</t>
  </si>
  <si>
    <t>1619.PA7.008-000</t>
  </si>
  <si>
    <t>1619.PA7.009-000</t>
  </si>
  <si>
    <t>ALOJAMIENTO DE RESORTES 1M15.0</t>
  </si>
  <si>
    <t>1619.PA7.010-000</t>
  </si>
  <si>
    <t>CLAVIJA DE COLOCATION 1M15.0</t>
  </si>
  <si>
    <t>1619.PA7.011-000</t>
  </si>
  <si>
    <t>CHAPA ANGULAR 1M15.0</t>
  </si>
  <si>
    <t>1619.PA7.012-000</t>
  </si>
  <si>
    <t>1619.PA7.013-000</t>
  </si>
  <si>
    <t>1619.PA7.014-000</t>
  </si>
  <si>
    <t>PLACA DE BLOQUEO 1M15.0</t>
  </si>
  <si>
    <t>1619.PA7.015-000</t>
  </si>
  <si>
    <t>BRAZO DE SUJECION 1M15.0</t>
  </si>
  <si>
    <t>1619.PA7.016-000</t>
  </si>
  <si>
    <t>VARILLA DE EMPUJE 1M15.0</t>
  </si>
  <si>
    <t>1619.PA7.017-000</t>
  </si>
  <si>
    <t>LISTON DE CIERRE 1M15.0</t>
  </si>
  <si>
    <t>1619.PA7.018-000</t>
  </si>
  <si>
    <t>PERNO DE SEGURIDAD 1M15.0</t>
  </si>
  <si>
    <t>1619.PA7.019-000</t>
  </si>
  <si>
    <t>1619.PA7.020-000</t>
  </si>
  <si>
    <t>CONECTOR DE ENCHUFE 1M15.0</t>
  </si>
  <si>
    <t>1619.PA7.021-000</t>
  </si>
  <si>
    <t>1619.PA7.022-000</t>
  </si>
  <si>
    <t>Chaveta Paralela</t>
  </si>
  <si>
    <t>1619.PA7.023-000</t>
  </si>
  <si>
    <t>1619.PA7.024-000</t>
  </si>
  <si>
    <t>REMACHE 1M15.0</t>
  </si>
  <si>
    <t>1619.PA7.026-000</t>
  </si>
  <si>
    <t>1619.PA7.027-000</t>
  </si>
  <si>
    <t>1619.PA7.028-000</t>
  </si>
  <si>
    <t>FIJADOR 1M15.0</t>
  </si>
  <si>
    <t>1619.PA7.029-000</t>
  </si>
  <si>
    <t>1619.PA7.032-000</t>
  </si>
  <si>
    <t>HUSILLO 1M15.0</t>
  </si>
  <si>
    <t>1619.PA7.033-000</t>
  </si>
  <si>
    <t>JUEGO DE CABLES 1M15.0</t>
  </si>
  <si>
    <t>1619.PA7.034-000</t>
  </si>
  <si>
    <t>1619.PA7.036-000</t>
  </si>
  <si>
    <t>LLAVE EXAGONAL DE TUBO 1M15.0</t>
  </si>
  <si>
    <t>1619.PA7.037-000</t>
  </si>
  <si>
    <t>ABRAZADERA DE APRIETE 1M15.0</t>
  </si>
  <si>
    <t>1619.PA7.046-000</t>
  </si>
  <si>
    <t>PLACA DE APOYO 1M15.0</t>
  </si>
  <si>
    <t>1619.PA7.051-000</t>
  </si>
  <si>
    <t>BOLSA DE POLVO 1M15.0</t>
  </si>
  <si>
    <t>1619.PA7.055-000</t>
  </si>
  <si>
    <t>ESCUADRA 1M15.0</t>
  </si>
  <si>
    <t>1619.PA7.056-000</t>
  </si>
  <si>
    <t>INDUCIDO 220-240V 1M15.0</t>
  </si>
  <si>
    <t>1619.PA7.057-000</t>
  </si>
  <si>
    <t>JUEGO DE ESCOBILLAS 1M15.0</t>
  </si>
  <si>
    <t>1619.PA7.058-000</t>
  </si>
  <si>
    <t>1619.PA7.071-000</t>
  </si>
  <si>
    <t>CARCASA DEL MOTOR 1M15.0</t>
  </si>
  <si>
    <t>1619.PA7.077-000</t>
  </si>
  <si>
    <t>LINEA DE CONEXION A RED 1M15.0</t>
  </si>
  <si>
    <t>1619.PA7.081-000</t>
  </si>
  <si>
    <t>1619.PA7.095-000</t>
  </si>
  <si>
    <t>CONDENSADOR ANTIPARASIT. 1M15.0</t>
  </si>
  <si>
    <t>1619.PA7.266-000</t>
  </si>
  <si>
    <t>1619.PA7.267-000</t>
  </si>
  <si>
    <t>CUBIERTA  19E5</t>
  </si>
  <si>
    <t>1619.PA7.269-000</t>
  </si>
  <si>
    <t>1619.PA7.270-000</t>
  </si>
  <si>
    <t>TECLA  19E5</t>
  </si>
  <si>
    <t>1619.PA7.271-000</t>
  </si>
  <si>
    <t>MUELLE DE COMPRESION  19E5</t>
  </si>
  <si>
    <t>1619.PA7.280-000</t>
  </si>
  <si>
    <t>CAPOTA  19E5</t>
  </si>
  <si>
    <t>1619.PA7.285-000</t>
  </si>
  <si>
    <t>FILTRO  19E5</t>
  </si>
  <si>
    <t>1619.PA7.288-000</t>
  </si>
  <si>
    <t>Piezas del interruptor de yugo</t>
  </si>
  <si>
    <t>1619.PA7.290-000</t>
  </si>
  <si>
    <t>Bota giratoria</t>
  </si>
  <si>
    <t>1619.PA7.301-000</t>
  </si>
  <si>
    <t>JUNTA  19E5</t>
  </si>
  <si>
    <t>1619.PA7.303-000</t>
  </si>
  <si>
    <t>MÓDULO ELECTRÓNICO  19E5</t>
  </si>
  <si>
    <t>1619.PA7.304-000</t>
  </si>
  <si>
    <t>Pieza de fijación</t>
  </si>
  <si>
    <t>1619.PA7.305-000</t>
  </si>
  <si>
    <t>VARA DE ENLACE  19E5</t>
  </si>
  <si>
    <t>1619.PA7.306-000</t>
  </si>
  <si>
    <t>Válvula</t>
  </si>
  <si>
    <t>1619.PA7.307-000</t>
  </si>
  <si>
    <t>CARCASA DEL MOTOR  19E5</t>
  </si>
  <si>
    <t>1619.PA7.310-000</t>
  </si>
  <si>
    <t>MOTOR  19E5</t>
  </si>
  <si>
    <t>1619.PA7.311-000</t>
  </si>
  <si>
    <t>JUEGO DE JUNTAS  19E5</t>
  </si>
  <si>
    <t>1619.PA7.312-000</t>
  </si>
  <si>
    <t>1619.PA7.313-000</t>
  </si>
  <si>
    <t>CARCASA  19E5</t>
  </si>
  <si>
    <t>1619.PA7.314-000</t>
  </si>
  <si>
    <t>1619.PA7.315-000</t>
  </si>
  <si>
    <t>FILTRO DE PASO</t>
  </si>
  <si>
    <t>1619.PA7.316-000</t>
  </si>
  <si>
    <t>Soporte del filtro</t>
  </si>
  <si>
    <t>1619.PA7.318-000</t>
  </si>
  <si>
    <t>CERROJO  19E5</t>
  </si>
  <si>
    <t>1619.PA7.319-000</t>
  </si>
  <si>
    <t>RODILLO-GUIA  19E5</t>
  </si>
  <si>
    <t>1619.PA7.320-000</t>
  </si>
  <si>
    <t>1619.PA7.322-000</t>
  </si>
  <si>
    <t>Manguera de Aspiración</t>
  </si>
  <si>
    <t>1619.PA7.324-000</t>
  </si>
  <si>
    <t>Tubo De Aspiracion</t>
  </si>
  <si>
    <t>1619.PA7.325-000</t>
  </si>
  <si>
    <t>Tubo De Aspiracion Superior</t>
  </si>
  <si>
    <t>1619.PA7.327-000</t>
  </si>
  <si>
    <t>Boquilla para limpiar alfombras</t>
  </si>
  <si>
    <t>1619.PA7.328-000</t>
  </si>
  <si>
    <t>Boquilla para junturas</t>
  </si>
  <si>
    <t>1619.PA7.329-000</t>
  </si>
  <si>
    <t>Bolsa de Polvo</t>
  </si>
  <si>
    <t>1619.PA7.331-000</t>
  </si>
  <si>
    <t>RECIPIENTE  19E5</t>
  </si>
  <si>
    <t>1619.PA7.345-000</t>
  </si>
  <si>
    <t>ESCOBILLA 19E5</t>
  </si>
  <si>
    <t>1619.PA7.349-000</t>
  </si>
  <si>
    <t>1619.PA7.400-000</t>
  </si>
  <si>
    <t>CARCASA DE FILTRO 19D5</t>
  </si>
  <si>
    <t>1619.PA7.410-000</t>
  </si>
  <si>
    <t>SOPORTE DE FILTRO  19E5</t>
  </si>
  <si>
    <t>1619.PA7.501-000</t>
  </si>
  <si>
    <t>COJINETE 19D5</t>
  </si>
  <si>
    <t>1619.PA7.502-000</t>
  </si>
  <si>
    <t>EJE 19D5</t>
  </si>
  <si>
    <t>1619.PA7.655-000</t>
  </si>
  <si>
    <t>MOTOR PASO A PASO 3D20</t>
  </si>
  <si>
    <t>1619.PA7.656-000</t>
  </si>
  <si>
    <t>ESCUADRA DE FIJACION 3D20</t>
  </si>
  <si>
    <t>1619.PA7.657-000</t>
  </si>
  <si>
    <t>TORNILLO CILÍNDRICA HEX 3D20</t>
  </si>
  <si>
    <t>1619.PA7.659-000</t>
  </si>
  <si>
    <t>GUIA DE DIRECCION 3D20</t>
  </si>
  <si>
    <t>1619.PA7.662-000</t>
  </si>
  <si>
    <t>CARCASA 3D20</t>
  </si>
  <si>
    <t>1619.PA7.663-000</t>
  </si>
  <si>
    <t>1619.PA7.665-000</t>
  </si>
  <si>
    <t>TORNILLO AVELLANADO 3D20</t>
  </si>
  <si>
    <t>1619.PA7.666-000</t>
  </si>
  <si>
    <t>BRIDA DE CONTACTO 3D20</t>
  </si>
  <si>
    <t>1619.PA7.667-000</t>
  </si>
  <si>
    <t>KFZ-SUJECION 3D20</t>
  </si>
  <si>
    <t>1619.PA7.669-000</t>
  </si>
  <si>
    <t>CIERRE 3D20</t>
  </si>
  <si>
    <t>1619.PA7.670-000</t>
  </si>
  <si>
    <t>MÓDULO ELECTRONICO 3D20</t>
  </si>
  <si>
    <t>1619.PA7.671-000</t>
  </si>
  <si>
    <t>1619.PA7.672-000</t>
  </si>
  <si>
    <t>ANGULO DE FIJACION 3D20</t>
  </si>
  <si>
    <t>1619.PA7.673-000</t>
  </si>
  <si>
    <t>TORNILLO AUTORROSCANTE 3D20</t>
  </si>
  <si>
    <t>1619.PA7.674-000</t>
  </si>
  <si>
    <t>CHAPA LATERAL 3D20</t>
  </si>
  <si>
    <t>1619.PA7.678-000</t>
  </si>
  <si>
    <t>CIRCUITO IMPRESO 3D20</t>
  </si>
  <si>
    <t>1619.PA7.680-000</t>
  </si>
  <si>
    <t>ALIMENTACIÓN 3D20</t>
  </si>
  <si>
    <t>1619.PA7.682-000</t>
  </si>
  <si>
    <t>PLACA CUBIERTA 3D20</t>
  </si>
  <si>
    <t>1619.PA7.683-000</t>
  </si>
  <si>
    <t>PLACA PRINCIPAL EL 3D20</t>
  </si>
  <si>
    <t>1619.PA7.686-000</t>
  </si>
  <si>
    <t>1619.PA7.687-000</t>
  </si>
  <si>
    <t>1619.PA7.688-000</t>
  </si>
  <si>
    <t>INTERRUPTOR GENERAL 3D20</t>
  </si>
  <si>
    <t>1619.PA7.689-000</t>
  </si>
  <si>
    <t>1619.PA7.690-000</t>
  </si>
  <si>
    <t>1619.PA7.691-000</t>
  </si>
  <si>
    <t>1619.PA7.692-000</t>
  </si>
  <si>
    <t>TAPA DEL CUERPO 3D20</t>
  </si>
  <si>
    <t>1619.PA7.694-000</t>
  </si>
  <si>
    <t>TUERCA CIEGA 3D20</t>
  </si>
  <si>
    <t>1619.PA7.695-000</t>
  </si>
  <si>
    <t>TUERCA DE APRIETE 3D20</t>
  </si>
  <si>
    <t>1619.PA7.696-000</t>
  </si>
  <si>
    <t>PLACA 3D20</t>
  </si>
  <si>
    <t>1619.PA7.697-000</t>
  </si>
  <si>
    <t>COJINETE ADHESIVO 3D20</t>
  </si>
  <si>
    <t>1619.PA7.700-000</t>
  </si>
  <si>
    <t>TUBO-GUIA 3D20</t>
  </si>
  <si>
    <t>1619.PA7.701-000</t>
  </si>
  <si>
    <t>1619.PA7.704-000</t>
  </si>
  <si>
    <t>ALMAHODA DE GOMA 3D20</t>
  </si>
  <si>
    <t>1619.PA7.707-000</t>
  </si>
  <si>
    <t>1619.PA7.718-000</t>
  </si>
  <si>
    <t>CHAPA DEFLECTORA 3D20</t>
  </si>
  <si>
    <t>1619.PA7.719-000</t>
  </si>
  <si>
    <t>1619.PA7.730-000</t>
  </si>
  <si>
    <t>1619.PA7.735-000</t>
  </si>
  <si>
    <t>RINCONERA 3D20</t>
  </si>
  <si>
    <t>1619.PA7.736-000</t>
  </si>
  <si>
    <t>1619.PA7.738-000</t>
  </si>
  <si>
    <t>1619.PA7.748-000</t>
  </si>
  <si>
    <t>ELEMENTO ELASTICO 3D20</t>
  </si>
  <si>
    <t>1619.PA7.750-000</t>
  </si>
  <si>
    <t>RODAMIENTO A BOLAS 3D20</t>
  </si>
  <si>
    <t>1619.PA7.751-000</t>
  </si>
  <si>
    <t>VENTILADOR 3D20</t>
  </si>
  <si>
    <t>1619.PA7.753-000</t>
  </si>
  <si>
    <t>1619.PA7.756-000</t>
  </si>
  <si>
    <t>CORREA 3D20</t>
  </si>
  <si>
    <t>1619.PA7.763-000</t>
  </si>
  <si>
    <t>CORREA 3D40/3D20</t>
  </si>
  <si>
    <t>1619.PA7.769-000</t>
  </si>
  <si>
    <t>1619.PA7.776-000</t>
  </si>
  <si>
    <t>1619.PA7.778-000</t>
  </si>
  <si>
    <t>1619.PA7.806-000</t>
  </si>
  <si>
    <t>1619.PA7.807-000</t>
  </si>
  <si>
    <t>1619.PA7.808-000</t>
  </si>
  <si>
    <t>1619.PA7.809-000</t>
  </si>
  <si>
    <t>PANEL FRONTAL 3D20</t>
  </si>
  <si>
    <t>1619.PA7.810-000</t>
  </si>
  <si>
    <t>PANEL DE MANIOBRAS 3D20</t>
  </si>
  <si>
    <t>1619.PA7.812-000</t>
  </si>
  <si>
    <t>1619.PA7.814-000</t>
  </si>
  <si>
    <t>1619.PA7.815-000</t>
  </si>
  <si>
    <t>ESTATOR 1AB0.0</t>
  </si>
  <si>
    <t>1619.PA7.816-000</t>
  </si>
  <si>
    <t>INTERRUPTOR 1AB0.0</t>
  </si>
  <si>
    <t>1619.PA7.821-000</t>
  </si>
  <si>
    <t>ABRAZADERA 1AB0.0</t>
  </si>
  <si>
    <t>1619.PA7.829-000</t>
  </si>
  <si>
    <t>RODAMIENTO A BOLAS 1AB0.0</t>
  </si>
  <si>
    <t>1619.PA7.830-000</t>
  </si>
  <si>
    <t>1619.PA7.831-000</t>
  </si>
  <si>
    <t>TORNILLO AUTORROSCANTE 1AB0.0</t>
  </si>
  <si>
    <t>1619.PA7.832-000</t>
  </si>
  <si>
    <t>TIRA DE GOMA 1AB0.0</t>
  </si>
  <si>
    <t>1619.PA7.833-000</t>
  </si>
  <si>
    <t>Manguito De Cojinete</t>
  </si>
  <si>
    <t>1619.PA7.834-000</t>
  </si>
  <si>
    <t>RUEDA DENTADA RECTA 1AB0.0</t>
  </si>
  <si>
    <t>1619.PA7.835-000</t>
  </si>
  <si>
    <t>ANILLO ELÁSTICO 1AB0.0</t>
  </si>
  <si>
    <t>1619.PA7.836-000</t>
  </si>
  <si>
    <t>CHAVETA PLANA 1AB0.0</t>
  </si>
  <si>
    <t>1619.PA7.837-000</t>
  </si>
  <si>
    <t>CASQUILLO DISTANCIADOR 1AB0.0</t>
  </si>
  <si>
    <t>1619.PA7.838-000</t>
  </si>
  <si>
    <t>TORNILLO 1AB0.0</t>
  </si>
  <si>
    <t>1619.PA7.839-000</t>
  </si>
  <si>
    <t>HUSILLO DE LA BROCA 1AB0.0</t>
  </si>
  <si>
    <t>1619.PA7.840-000</t>
  </si>
  <si>
    <t>ANILLO DE JUNTA 1AB0.0</t>
  </si>
  <si>
    <t>1619.PA7.841-000</t>
  </si>
  <si>
    <t>ARO DEFLECTOR DE AIRE 1AB0.0</t>
  </si>
  <si>
    <t>1619.PA7.842-000</t>
  </si>
  <si>
    <t>1619.PA7.843-000</t>
  </si>
  <si>
    <t>MANGO 1AB0.0</t>
  </si>
  <si>
    <t>1619.PA7.844-000</t>
  </si>
  <si>
    <t>PALANCA 1AB0.0</t>
  </si>
  <si>
    <t>1619.PA7.845-000</t>
  </si>
  <si>
    <t>1619.PA7.846-000</t>
  </si>
  <si>
    <t>1619.PA7.849-000</t>
  </si>
  <si>
    <t>MANDO GIRATORIO 1AB0.0</t>
  </si>
  <si>
    <t>1619.PA7.850-000</t>
  </si>
  <si>
    <t>EMPUNADURA ADICIONAL 11B0 GBM 1600 RE</t>
  </si>
  <si>
    <t>1619.PA7.851-000</t>
  </si>
  <si>
    <t>INDUCIDO 220-240V 1AB0.0</t>
  </si>
  <si>
    <t>1619.PA7.852-000</t>
  </si>
  <si>
    <t>PORTAESCOBILLAS 1AB0.0</t>
  </si>
  <si>
    <t>1619.PA7.853-000</t>
  </si>
  <si>
    <t>CAJA DE ENGRANAJES 11B0</t>
  </si>
  <si>
    <t>1619.PA7.855-000</t>
  </si>
  <si>
    <t>BRIDA DE COJINETE 1AB0.0</t>
  </si>
  <si>
    <t>1619.PA7.856-000</t>
  </si>
  <si>
    <t>ARBOL DEL PINON 11B0</t>
  </si>
  <si>
    <t>1619.PA7.887-000</t>
  </si>
  <si>
    <t>ELEMENTO DE NIVELACIÓN 3D20</t>
  </si>
  <si>
    <t>1619.PA7.888-000</t>
  </si>
  <si>
    <t>RASCADOR 3D40/3D20</t>
  </si>
  <si>
    <t>1619.PA7.889-000</t>
  </si>
  <si>
    <t>AGUJA DE LIMPIEZA 3D40/3D20</t>
  </si>
  <si>
    <t>1619.PA7.891-000</t>
  </si>
  <si>
    <t>ABRAZADERA 3D20</t>
  </si>
  <si>
    <t>1619.PA7.894-000</t>
  </si>
  <si>
    <t>TARJETA SD 3D20</t>
  </si>
  <si>
    <t>1619.PA7.982-000</t>
  </si>
  <si>
    <t>PIEZA DE FIJACIÓN</t>
  </si>
  <si>
    <t>1619.PA7.988-000</t>
  </si>
  <si>
    <t>CUBIERTA DE CEPILLO</t>
  </si>
  <si>
    <t>1619.PA7.994-000</t>
  </si>
  <si>
    <t>1619.PA7.995-000</t>
  </si>
  <si>
    <t>CENAR. CEPILLOS DE CARBÓN</t>
  </si>
  <si>
    <t>1619.PA7.998-000</t>
  </si>
  <si>
    <t>1619.PA7.999-000</t>
  </si>
  <si>
    <t>1619.PA8.006-000</t>
  </si>
  <si>
    <t>TUERCA CIEGO</t>
  </si>
  <si>
    <t>1619.PA8.008-000</t>
  </si>
  <si>
    <t>1619.PA8.009-000</t>
  </si>
  <si>
    <t>1619.PA8.040-000</t>
  </si>
  <si>
    <t>ARANDELA 3D20</t>
  </si>
  <si>
    <t>1619.PA8.043-000</t>
  </si>
  <si>
    <t>CARRETE DE INDUCCION 3D20</t>
  </si>
  <si>
    <t>1619.PA8.046-000</t>
  </si>
  <si>
    <t>CABLE DE MASA 3D20</t>
  </si>
  <si>
    <t>1619.PA8.047-000</t>
  </si>
  <si>
    <t>1619.PA8.054-000</t>
  </si>
  <si>
    <t>Llave De Portabrocas</t>
  </si>
  <si>
    <t>1619.PA8.062-000</t>
  </si>
  <si>
    <t>LÁMPARA LED 3D20</t>
  </si>
  <si>
    <t>1619.PA8.063-000</t>
  </si>
  <si>
    <t>JUEGO DE CABLES 3D20</t>
  </si>
  <si>
    <t>1619.PA8.064-000</t>
  </si>
  <si>
    <t>1619.PA8.065-000</t>
  </si>
  <si>
    <t>1619.PA8.066-000</t>
  </si>
  <si>
    <t>1619.PA8.067-000</t>
  </si>
  <si>
    <t>1619.PA8.068-000</t>
  </si>
  <si>
    <t>1619.PA8.081-000</t>
  </si>
  <si>
    <t>PERFIL DE EXTRUSION 3D20</t>
  </si>
  <si>
    <t>1619.PA8.100-000</t>
  </si>
  <si>
    <t>TUERCA AUTOBLOCANTE 3D20</t>
  </si>
  <si>
    <t>1619.PA8.101-000</t>
  </si>
  <si>
    <t>1619.PA8.313-000</t>
  </si>
  <si>
    <t>1619.PA8.367-000</t>
  </si>
  <si>
    <t>ALAMBRE 1AB0.0</t>
  </si>
  <si>
    <t>1619.PA8.370-000</t>
  </si>
  <si>
    <t>bolsa de filtro</t>
  </si>
  <si>
    <t>1619.PA8.509-000</t>
  </si>
  <si>
    <t>Hand Wheel</t>
  </si>
  <si>
    <t>1619.PA8.553-000</t>
  </si>
  <si>
    <t>TAPA DE BATERIA</t>
  </si>
  <si>
    <t>1619.PA8.574-000</t>
  </si>
  <si>
    <t>TAPA - 10833</t>
  </si>
  <si>
    <t>1619.PA8.647-000</t>
  </si>
  <si>
    <t>MÓDULO IMAGER GIC 120</t>
  </si>
  <si>
    <t>1619.PA8.659-000</t>
  </si>
  <si>
    <t>PUERTA GIC 120</t>
  </si>
  <si>
    <t>1619.PA8.661-000</t>
  </si>
  <si>
    <t>PORTABATERIAS GIC 120</t>
  </si>
  <si>
    <t>1619.PA8.721-000</t>
  </si>
  <si>
    <t>TUERCA CUADRADA 1EA9.0</t>
  </si>
  <si>
    <t>1619.PA9.069-000</t>
  </si>
  <si>
    <t>PUERTA 3D20</t>
  </si>
  <si>
    <t>1619.PA9.070-000</t>
  </si>
  <si>
    <t>1619.PA9.071-000</t>
  </si>
  <si>
    <t>1619.PA9.073-000</t>
  </si>
  <si>
    <t>1619.PA9.074-000</t>
  </si>
  <si>
    <t>1619.PA9.075-000</t>
  </si>
  <si>
    <t>SOPORTE MOTOR</t>
  </si>
  <si>
    <t>1619.PA9.076-000</t>
  </si>
  <si>
    <t>1619.PA9.080-000</t>
  </si>
  <si>
    <t>TORNILLO CABEZA CHATA</t>
  </si>
  <si>
    <t>1619.PA9.081-000</t>
  </si>
  <si>
    <t>1619.PA9.082-000</t>
  </si>
  <si>
    <t>PIN GUÍA</t>
  </si>
  <si>
    <t>1619.PA9.083-000</t>
  </si>
  <si>
    <t>1619.PA9.085-000</t>
  </si>
  <si>
    <t>1619.PA9.087-000</t>
  </si>
  <si>
    <t>1619.PA9.088-000</t>
  </si>
  <si>
    <t>TUBO DE EXTENSIÓN</t>
  </si>
  <si>
    <t>1619.PA9.089-000</t>
  </si>
  <si>
    <t>1619.PA9.142-000</t>
  </si>
  <si>
    <t>LLAVE CON MACHO HEXAGONA 3D20</t>
  </si>
  <si>
    <t>1619.PA9.158-000</t>
  </si>
  <si>
    <t>1619.PA9.225-000</t>
  </si>
  <si>
    <t>1619.PA9.228-000</t>
  </si>
  <si>
    <t>CONEXIÓN DE GOMA</t>
  </si>
  <si>
    <t>1619.PA9.522-000</t>
  </si>
  <si>
    <t>PANEL DE MANIOBRAS 3D40</t>
  </si>
  <si>
    <t>1619.PA9.524-000</t>
  </si>
  <si>
    <t>TAPA ARTICULADA 3D40</t>
  </si>
  <si>
    <t>1619.PA9.525-000</t>
  </si>
  <si>
    <t>1619.PA9.527-000</t>
  </si>
  <si>
    <t>PLACA PRINCIPAL EL 3D40</t>
  </si>
  <si>
    <t>1619.PA9.530-000</t>
  </si>
  <si>
    <t>COJINETE ADHESIVO 3D40</t>
  </si>
  <si>
    <t>1619.PA9.537-000</t>
  </si>
  <si>
    <t>BARRA DE CUBIERTA 3D40</t>
  </si>
  <si>
    <t>1619.PA9.538-000</t>
  </si>
  <si>
    <t>1619.PA9.544-000</t>
  </si>
  <si>
    <t>MOTOR PASO A PASO 3D40</t>
  </si>
  <si>
    <t>1619.PA9.553-000</t>
  </si>
  <si>
    <t>ANGULO DE FIJACION 3D40</t>
  </si>
  <si>
    <t>1619.PA9.571-000</t>
  </si>
  <si>
    <t>1619.PA9.573-000</t>
  </si>
  <si>
    <t>1619.PA9.577-000</t>
  </si>
  <si>
    <t>GOZNE DE PUERTA 3D40</t>
  </si>
  <si>
    <t>1619.PA9.578-000</t>
  </si>
  <si>
    <t>1619.PA9.579-000</t>
  </si>
  <si>
    <t>ALMAHODA DE GOMA 3D40</t>
  </si>
  <si>
    <t>1619.PA9.580-000</t>
  </si>
  <si>
    <t>ALIMENTACIÓN 3D40</t>
  </si>
  <si>
    <t>1619.PA9.582-000</t>
  </si>
  <si>
    <t>1619.PA9.586-000</t>
  </si>
  <si>
    <t>INTERRUPTOR GENERAL 3D40</t>
  </si>
  <si>
    <t>1619.PA9.608-000</t>
  </si>
  <si>
    <t>CAPTADOR 3D40</t>
  </si>
  <si>
    <t>1619.PA9.615-000</t>
  </si>
  <si>
    <t>CORREA 3D40</t>
  </si>
  <si>
    <t>1619.PA9.619-000</t>
  </si>
  <si>
    <t>1619.PA9.642-000</t>
  </si>
  <si>
    <t>1619.PA9.644-000</t>
  </si>
  <si>
    <t>VENTILADOR 3D40</t>
  </si>
  <si>
    <t>1619.PA9.668-000</t>
  </si>
  <si>
    <t>AISLAMIENTO 3D40</t>
  </si>
  <si>
    <t>1619.PA9.680-000</t>
  </si>
  <si>
    <t>CABLE CON AISLAMIENTO PVC 3D40</t>
  </si>
  <si>
    <t>1619.PA9.681-000</t>
  </si>
  <si>
    <t>HILO DE CONEXION 3D40</t>
  </si>
  <si>
    <t>1619.PA9.682-000</t>
  </si>
  <si>
    <t>1619.PA9.683-000</t>
  </si>
  <si>
    <t>1619.PA9.684-000</t>
  </si>
  <si>
    <t>1619.PA9.685-000</t>
  </si>
  <si>
    <t>1619.PA9.686-000</t>
  </si>
  <si>
    <t>1619.PA9.687-000</t>
  </si>
  <si>
    <t>1619.PA9.688-000</t>
  </si>
  <si>
    <t>1619.PA9.689-000</t>
  </si>
  <si>
    <t>1619.PA9.690-000</t>
  </si>
  <si>
    <t>1619.PA9.691-000</t>
  </si>
  <si>
    <t>1619.PA9.692-000</t>
  </si>
  <si>
    <t>1619.PA9.702-000</t>
  </si>
  <si>
    <t>MAZO DE CABLES 3D20</t>
  </si>
  <si>
    <t>1619.PA9.703-000</t>
  </si>
  <si>
    <t>TUBO DE CHAPA 3D20</t>
  </si>
  <si>
    <t>1619.PA9.740-000</t>
  </si>
  <si>
    <t>REVESTIMIENTO 3D20</t>
  </si>
  <si>
    <t>1619.PA9.751-000</t>
  </si>
  <si>
    <t>1619.PA9.833-000</t>
  </si>
  <si>
    <t>1619.PA9.839-000</t>
  </si>
  <si>
    <t>1619.PA9.840-000</t>
  </si>
  <si>
    <t>1619.PA9.841-000</t>
  </si>
  <si>
    <t>1619.PA9.844-000</t>
  </si>
  <si>
    <t>MOTOR PASO A PASO DREMEL 3D40</t>
  </si>
  <si>
    <t>1619.PA9.845-000</t>
  </si>
  <si>
    <t>1619.PA9.846-000</t>
  </si>
  <si>
    <t>PUERTA 3D40</t>
  </si>
  <si>
    <t>1619.PA9.847-000</t>
  </si>
  <si>
    <t>1619.PA9.848-000</t>
  </si>
  <si>
    <t>1619.PA9.849-000</t>
  </si>
  <si>
    <t>ESCUADRA DE FIJACION 3D40</t>
  </si>
  <si>
    <t>1619.PA9.869-000</t>
  </si>
  <si>
    <t>PLATAFORMA 3D40</t>
  </si>
  <si>
    <t>1619.PA9.897-000</t>
  </si>
  <si>
    <t>BOQUILLA PARA JUNTURAS 1JC6.2</t>
  </si>
  <si>
    <t>1619.PA9.898-000</t>
  </si>
  <si>
    <t>TUBO DE ASPIRACION 1JC6.2</t>
  </si>
  <si>
    <t>1619.PA9.899-000</t>
  </si>
  <si>
    <t>BOQUILLA PARA ALFOMBRAS 1JC6.2</t>
  </si>
  <si>
    <t>1619.PA9.905-000</t>
  </si>
  <si>
    <t>CARCASA 3D40</t>
  </si>
  <si>
    <t>1619.PA9.906-000</t>
  </si>
  <si>
    <t>1619.PA9.907-000</t>
  </si>
  <si>
    <t>TUERCA CILINDRICA 3D40</t>
  </si>
  <si>
    <t>1619.PA9.936-000</t>
  </si>
  <si>
    <t>USB STICK 3D40</t>
  </si>
  <si>
    <t>1619.PB0.063-000</t>
  </si>
  <si>
    <t>1619.PB0.706-000</t>
  </si>
  <si>
    <t>MODULO ELECTRONICO 1JC6.2</t>
  </si>
  <si>
    <t>1619.PB0.717-000</t>
  </si>
  <si>
    <t>ELEMENTO DE CALEFACCION 3D20</t>
  </si>
  <si>
    <t>1619.PB1.089-000</t>
  </si>
  <si>
    <t>1619.PB2.009-000</t>
  </si>
  <si>
    <t>LINEA DE CONEXION A RED JE51</t>
  </si>
  <si>
    <t>1619.PB2.034-000</t>
  </si>
  <si>
    <t>FILTRO 1JC6.2</t>
  </si>
  <si>
    <t>1619.PB2.039-000</t>
  </si>
  <si>
    <t>MANGUERA 1JC6.2</t>
  </si>
  <si>
    <t>1619.PB2.065-000</t>
  </si>
  <si>
    <t>1619.PB2.076-000</t>
  </si>
  <si>
    <t>CARCASA DEL MOTOR 1JC6.2</t>
  </si>
  <si>
    <t>1619.PB2.077-000</t>
  </si>
  <si>
    <t>MOTOR CORRIENTE CONTINUA 1JC6.2</t>
  </si>
  <si>
    <t>1619.PB2.078-000</t>
  </si>
  <si>
    <t>TORNILLO AUTORROSCANTE 1JC6.2</t>
  </si>
  <si>
    <t>1619.PB2.079-000</t>
  </si>
  <si>
    <t>BOTON DE MANDO 1JC6.2</t>
  </si>
  <si>
    <t>1619.PB2.080-000</t>
  </si>
  <si>
    <t>JUNTA 1JC6.2</t>
  </si>
  <si>
    <t>1619.PB2.081-000</t>
  </si>
  <si>
    <t>BOTON PULSADOR 1JC6.2</t>
  </si>
  <si>
    <t>1619.PB2.082-000</t>
  </si>
  <si>
    <t>1619.PB2.083-000</t>
  </si>
  <si>
    <t>ESPONJA 1JC6.2</t>
  </si>
  <si>
    <t>1619.PB2.084-000</t>
  </si>
  <si>
    <t>1619.PB2.085-000</t>
  </si>
  <si>
    <t>ALMAHODA DE GOMA 1JC6.2</t>
  </si>
  <si>
    <t>1619.PB2.086-000</t>
  </si>
  <si>
    <t>TAPA OBTURADORA 1JC6.2</t>
  </si>
  <si>
    <t>1619.PB2.087-000</t>
  </si>
  <si>
    <t>RETICULO 1JC6.2</t>
  </si>
  <si>
    <t>1619.PB2.088-000</t>
  </si>
  <si>
    <t>BLOQUE DE TOPE 1JC6.2</t>
  </si>
  <si>
    <t>1619.PB2.089-000</t>
  </si>
  <si>
    <t>BRIDA DE CONTACTO 1JC6.2</t>
  </si>
  <si>
    <t>1619.PB2.090-000</t>
  </si>
  <si>
    <t>ANILLO PARA CUERDA REDON 1JC6.2</t>
  </si>
  <si>
    <t>1619.PB2.091-000</t>
  </si>
  <si>
    <t>SEPARADOR DE POLVO 1JC6.2</t>
  </si>
  <si>
    <t>1619.PB2.092-000</t>
  </si>
  <si>
    <t>CAMARA DE POLVO 1JC6.2</t>
  </si>
  <si>
    <t>1619.PB2.093-000</t>
  </si>
  <si>
    <t>TECLA 1JC6.2</t>
  </si>
  <si>
    <t>1619.PB2.094-000</t>
  </si>
  <si>
    <t>1619.PB2.095-000</t>
  </si>
  <si>
    <t>REVESTIMIENTO FRONTAL 1JC6.2</t>
  </si>
  <si>
    <t>1619.PB2.096-000</t>
  </si>
  <si>
    <t>MORDAZA DESLIZANTE 1JC6.2</t>
  </si>
  <si>
    <t>1619.PB2.097-000</t>
  </si>
  <si>
    <t>1619.PB2.098-000</t>
  </si>
  <si>
    <t>1619.PB2.099-000</t>
  </si>
  <si>
    <t>TAPA DE ENTRADA 1JC6.2</t>
  </si>
  <si>
    <t>1619.PB2.100-000</t>
  </si>
  <si>
    <t>1619.PB2.101-000</t>
  </si>
  <si>
    <t>REVESTIMIENTO 1JC6.2</t>
  </si>
  <si>
    <t>1619.PB2.102-000</t>
  </si>
  <si>
    <t>SUJECION 1JC6.2</t>
  </si>
  <si>
    <t>1619.PB2.157-000</t>
  </si>
  <si>
    <t>1619.PB2.366-000</t>
  </si>
  <si>
    <t>CUBIERTA  6A00</t>
  </si>
  <si>
    <t>1619.PB2.367-000</t>
  </si>
  <si>
    <t>CARCASA DEL MOTOR  6A00</t>
  </si>
  <si>
    <t>1619.PB2.368-000</t>
  </si>
  <si>
    <t>1619.PB2.369-000</t>
  </si>
  <si>
    <t>BASE  6A00</t>
  </si>
  <si>
    <t>1619.PB2.371-000</t>
  </si>
  <si>
    <t>TORNILLO CABEZA MARIPOSA  6A00</t>
  </si>
  <si>
    <t>1619.PB2.372-000</t>
  </si>
  <si>
    <t>1619.PB2.373-000</t>
  </si>
  <si>
    <t>1619.PB2.374-000</t>
  </si>
  <si>
    <t>TORNILLO MOLETEADO  6A00</t>
  </si>
  <si>
    <t>1619.PB2.375-000</t>
  </si>
  <si>
    <t>BOTON  6A00</t>
  </si>
  <si>
    <t>1619.PB2.376-000</t>
  </si>
  <si>
    <t>1619.PB2.378-000</t>
  </si>
  <si>
    <t>PIEZA DE GUIA  6A00</t>
  </si>
  <si>
    <t>1619.PB2.409-000</t>
  </si>
  <si>
    <t>JUEGO DE CARCASA 1J4D.0</t>
  </si>
  <si>
    <t>1619.PB2.411-000</t>
  </si>
  <si>
    <t>TUBO PROTECTOR 1J4D.0</t>
  </si>
  <si>
    <t>1619.PB2.412-000</t>
  </si>
  <si>
    <t>CORREDERA DE CONEXION 1J4D.0</t>
  </si>
  <si>
    <t>1619.PB2.487-000</t>
  </si>
  <si>
    <t>CARCASA DEL MOTOR 1M30.5</t>
  </si>
  <si>
    <t>1619.PB2.531-000</t>
  </si>
  <si>
    <t>1619.PB2.532-000</t>
  </si>
  <si>
    <t>1619.PB2.792-000</t>
  </si>
  <si>
    <t>OJETE PROTECTOR 1J4D.0</t>
  </si>
  <si>
    <t>1619.PB2.793-000</t>
  </si>
  <si>
    <t>PLACA DE MARCA GHG 180</t>
  </si>
  <si>
    <t>1619.PB2.799-000</t>
  </si>
  <si>
    <t>TORNILLO DE CABEZA CIL. 1J4D.0</t>
  </si>
  <si>
    <t>1619.PB2.800-000</t>
  </si>
  <si>
    <t>1619.PB2.801-000</t>
  </si>
  <si>
    <t>ABRAZADERA 1J4D.0</t>
  </si>
  <si>
    <t>1619.PB2.807-000</t>
  </si>
  <si>
    <t>ANILLO DE SUJECION 1J4D.0</t>
  </si>
  <si>
    <t>1619.PB2.931-000</t>
  </si>
  <si>
    <t>BOQUILLA D AIRE CALLIENTE 1J4D.0</t>
  </si>
  <si>
    <t>1619.PB3.002-000</t>
  </si>
  <si>
    <t>1619.PB3.004-000</t>
  </si>
  <si>
    <t>ESCALA  6A00</t>
  </si>
  <si>
    <t>1619.PB3.021-000</t>
  </si>
  <si>
    <t>TOPE LONGITUDINAL  6A00</t>
  </si>
  <si>
    <t>1619.PB3.022-000</t>
  </si>
  <si>
    <t>TOPE  6A00</t>
  </si>
  <si>
    <t>1619.PB3.028-000</t>
  </si>
  <si>
    <t>CONJUNTO ESTATOR 220~240V  6A00</t>
  </si>
  <si>
    <t>1619.PB3.031-000</t>
  </si>
  <si>
    <t>INDUCIDO 220~240V  6A00</t>
  </si>
  <si>
    <t>1619.PB3.034-000</t>
  </si>
  <si>
    <t>INTERRUPTOR  6A00</t>
  </si>
  <si>
    <t>1619.PB3.045-000</t>
  </si>
  <si>
    <t>OJETE PROTECTOR  6A00</t>
  </si>
  <si>
    <t>1619.PB3.046-000</t>
  </si>
  <si>
    <t>CLIP DE APARATO 9A00</t>
  </si>
  <si>
    <t>1619.PB3.047-000</t>
  </si>
  <si>
    <t>JUEGO DE ESCOBILLAS  6A00</t>
  </si>
  <si>
    <t>1619.PB3.048-000</t>
  </si>
  <si>
    <t>CONDENSADOR ANTIPARASIT.  6A00</t>
  </si>
  <si>
    <t>1619.PB3.049-000</t>
  </si>
  <si>
    <t>RODAMIENTO RIGIDO BOLAS  6A00</t>
  </si>
  <si>
    <t>1619.PB3.050-000</t>
  </si>
  <si>
    <t>1619.PB3.051-000</t>
  </si>
  <si>
    <t>PORTAESCOBILLAS  6A00</t>
  </si>
  <si>
    <t>1619.PB3.052-000</t>
  </si>
  <si>
    <t>TORNILLO 9A00</t>
  </si>
  <si>
    <t>1619.PB3.053-000</t>
  </si>
  <si>
    <t>MANGUITO DE COJINETE  6A00</t>
  </si>
  <si>
    <t>1619.PB3.054-000</t>
  </si>
  <si>
    <t>ANILLO DE APOYO  6A00</t>
  </si>
  <si>
    <t>1619.PB3.055-000</t>
  </si>
  <si>
    <t>ANILLO DISTANCIADOR  6A00</t>
  </si>
  <si>
    <t>1619.PB3.056-000</t>
  </si>
  <si>
    <t>ARANDELA ONDULADA  6A00</t>
  </si>
  <si>
    <t>1619.PB3.057-000</t>
  </si>
  <si>
    <t>PINZA DE SUJECIÓN GKF 550 (1/4")</t>
  </si>
  <si>
    <t>1619.PB3.058-000</t>
  </si>
  <si>
    <t>PINZAS DE SUJECION  6A00 (6MM)</t>
  </si>
  <si>
    <t>1619.PB3.059-000</t>
  </si>
  <si>
    <t>TUERCA DE RACOR 9A00</t>
  </si>
  <si>
    <t>1619.PB3.060-000</t>
  </si>
  <si>
    <t>TORNILLO DE APRIETE  6A00</t>
  </si>
  <si>
    <t>1619.PB3.061-000</t>
  </si>
  <si>
    <t>BORNE EN FILA  6A00</t>
  </si>
  <si>
    <t>1619.PB3.063-000</t>
  </si>
  <si>
    <t>TORNILLO  6A00</t>
  </si>
  <si>
    <t>1619.PB3.064-000</t>
  </si>
  <si>
    <t>PLACA DE GUIA  6A00</t>
  </si>
  <si>
    <t>1619.PB3.065-000</t>
  </si>
  <si>
    <t>CINTA DE GUIA  6A00</t>
  </si>
  <si>
    <t>1619.PB3.066-000</t>
  </si>
  <si>
    <t>1619.PB3.067-000</t>
  </si>
  <si>
    <t>ARANDELA DENTADA  6A00</t>
  </si>
  <si>
    <t>1619.PB3.068-000</t>
  </si>
  <si>
    <t>PLACA  6A00</t>
  </si>
  <si>
    <t>1619.PB3.069-000</t>
  </si>
  <si>
    <t>1619.PB3.070-000</t>
  </si>
  <si>
    <t>CASQUILLO  6A00</t>
  </si>
  <si>
    <t>1619.PB3.071-000</t>
  </si>
  <si>
    <t>1619.PB3.072-000</t>
  </si>
  <si>
    <t>ARANDELA ONDULADA</t>
  </si>
  <si>
    <t>1619.PB3.073-000</t>
  </si>
  <si>
    <t>1619.PB3.074-000</t>
  </si>
  <si>
    <t>ESTRIBO DE GUIA  6A00</t>
  </si>
  <si>
    <t>1619.PB3.075-000</t>
  </si>
  <si>
    <t>TORNILLO ESPECIAL  6A00</t>
  </si>
  <si>
    <t>1619.PB3.076-000</t>
  </si>
  <si>
    <t>ARANDELA PLANA  6A00</t>
  </si>
  <si>
    <t>1619.PB3.077-000</t>
  </si>
  <si>
    <t>1619.PB3.078-000</t>
  </si>
  <si>
    <t>PLACA DE BASE  6A00</t>
  </si>
  <si>
    <t>1619.PB3.079-000</t>
  </si>
  <si>
    <t>PIEZA DE DISTANCIA  6A00</t>
  </si>
  <si>
    <t>1619.PB3.080-000</t>
  </si>
  <si>
    <t>1619.PB3.081-000</t>
  </si>
  <si>
    <t>1619.PB3.083-000</t>
  </si>
  <si>
    <t>DESVIADOR DE VIRUTAS  6A00</t>
  </si>
  <si>
    <t>1619.PB3.639-000</t>
  </si>
  <si>
    <t>HUSILLO DE LA BROCA 1AB4.0</t>
  </si>
  <si>
    <t>1619.PB3.640-000</t>
  </si>
  <si>
    <t>CHAVETA PARALELA 1AB4.0</t>
  </si>
  <si>
    <t>1619.PB3.642-000</t>
  </si>
  <si>
    <t>TORNILLO AUTORROSCANTE 1AB4.0</t>
  </si>
  <si>
    <t>1619.PB3.643-000</t>
  </si>
  <si>
    <t>JUNTA TORICA 1AB4.0</t>
  </si>
  <si>
    <t>1619.PB3.644-000</t>
  </si>
  <si>
    <t>BOTON PALANCA CAMBIO 1AB4.0</t>
  </si>
  <si>
    <t>1619.PB3.645-000</t>
  </si>
  <si>
    <t>RESORTE OSCILANTE 1AB4.0</t>
  </si>
  <si>
    <t>1619.PB3.646-000</t>
  </si>
  <si>
    <t>MAZA 1AB4.0</t>
  </si>
  <si>
    <t>1619.PB3.649-000</t>
  </si>
  <si>
    <t>1619.PB3.650-000</t>
  </si>
  <si>
    <t>CREMALLERA 1AB4.0</t>
  </si>
  <si>
    <t>1619.PB3.651-000</t>
  </si>
  <si>
    <t>RUEDA DE ENGRANAJE 1AB4.0</t>
  </si>
  <si>
    <t>1619.PB3.652-000</t>
  </si>
  <si>
    <t>1619.PB3.653-000</t>
  </si>
  <si>
    <t>ANILLO ELÁSTICO 1AB4.0</t>
  </si>
  <si>
    <t>1619.PB3.654-000</t>
  </si>
  <si>
    <t>1619.PB3.655-000</t>
  </si>
  <si>
    <t>1619.PB3.658-000</t>
  </si>
  <si>
    <t>CLAVIJA CILINDRICA 1AB4.0</t>
  </si>
  <si>
    <t>1619.PB3.662-000</t>
  </si>
  <si>
    <t>SEPARADOR DE ACEITE 1AB4.0</t>
  </si>
  <si>
    <t>1619.PB3.666-000</t>
  </si>
  <si>
    <t>CONJUNTO INDUZIDO 220V GBM 50-2</t>
  </si>
  <si>
    <t>1619.PB3.667-000</t>
  </si>
  <si>
    <t>ANILLO DE GOMA 1AB4.0</t>
  </si>
  <si>
    <t>1619.PB3.671-000</t>
  </si>
  <si>
    <t>ARO DEFLECTOR DE AIRE 1AB4.0</t>
  </si>
  <si>
    <t>1619.PB3.672-000</t>
  </si>
  <si>
    <t>1619.PB3.676-000</t>
  </si>
  <si>
    <t>HILO DE COBRE REDONDO MARRÓN 1AB4.0</t>
  </si>
  <si>
    <t>1619.PB3.678-000</t>
  </si>
  <si>
    <t>1619.PB3.680-000</t>
  </si>
  <si>
    <t>PORTAESCOBILLAS 1AB4.0</t>
  </si>
  <si>
    <t>1619.PB3.681-000</t>
  </si>
  <si>
    <t>CARCASA DEL MOTOR 1AB4.0</t>
  </si>
  <si>
    <t>1619.PB3.682-000</t>
  </si>
  <si>
    <t>BLOQUE DE TOPE 1AB4.0</t>
  </si>
  <si>
    <t>1619.PB3.684-000</t>
  </si>
  <si>
    <t>MUELLE FLEXION PERFILADO 1AB4.0</t>
  </si>
  <si>
    <t>1619.PB3.686-000</t>
  </si>
  <si>
    <t>POTENCIOMETRO 1AB4.0</t>
  </si>
  <si>
    <t>1619.PB3.687-000</t>
  </si>
  <si>
    <t>SPANNWINKEL 1AB4.0</t>
  </si>
  <si>
    <t>1619.PB3.688-000</t>
  </si>
  <si>
    <t>VOLANTE DE MANO 1AB4.0</t>
  </si>
  <si>
    <t>1619.PB3.689-000</t>
  </si>
  <si>
    <t>CONECTOR 1AB4.0</t>
  </si>
  <si>
    <t>1619.PB3.691-000</t>
  </si>
  <si>
    <t>CHAPA TRASERA 1AB4.0</t>
  </si>
  <si>
    <t>1619.PB3.699-000</t>
  </si>
  <si>
    <t>1619.PB3.700-000</t>
  </si>
  <si>
    <t>INDICADOR LUMINOSO GBM 50-2</t>
  </si>
  <si>
    <t>1619.PB3.701-000</t>
  </si>
  <si>
    <t>CAPERUZA 1AB4.0</t>
  </si>
  <si>
    <t>1619.PB3.702-000</t>
  </si>
  <si>
    <t>TAPA DEL CUERPO 1AB4.0</t>
  </si>
  <si>
    <t>1619.PB3.703-000</t>
  </si>
  <si>
    <t>CUBIERTA PROTECTORA 1AB4.0</t>
  </si>
  <si>
    <t>1619.PB3.704-000</t>
  </si>
  <si>
    <t>1619.PB3.705-000</t>
  </si>
  <si>
    <t>1619.PB3.706-000</t>
  </si>
  <si>
    <t>TORNILLO 1AB4.0</t>
  </si>
  <si>
    <t>1619.PB3.707-000</t>
  </si>
  <si>
    <t>ARANDELA 1AB4.0</t>
  </si>
  <si>
    <t>1619.PB3.708-000</t>
  </si>
  <si>
    <t>1619.PB3.709-000</t>
  </si>
  <si>
    <t>CARRO DE GUIA 1AB4.0</t>
  </si>
  <si>
    <t>1619.PB3.710-000</t>
  </si>
  <si>
    <t>TORNILLO AVELLANADO 1AB4.0</t>
  </si>
  <si>
    <t>1619.PB3.711-000</t>
  </si>
  <si>
    <t>1619.PB3.712-000</t>
  </si>
  <si>
    <t>CHAPA SOPORTE 1AB4.0</t>
  </si>
  <si>
    <t>1619.PB3.713-000</t>
  </si>
  <si>
    <t>1619.PB3.714-000</t>
  </si>
  <si>
    <t>VAINA ELASTICA 1AB4.0</t>
  </si>
  <si>
    <t>1619.PB3.715-000</t>
  </si>
  <si>
    <t>PERFIL DE GUIA 1AB4.0</t>
  </si>
  <si>
    <t>1619.PB3.716-000</t>
  </si>
  <si>
    <t>1619.PB3.717-000</t>
  </si>
  <si>
    <t>1619.PB3.718-000</t>
  </si>
  <si>
    <t>ASA DE TRANSPORTE 1AB4.0</t>
  </si>
  <si>
    <t>1619.PB3.719-000</t>
  </si>
  <si>
    <t>1619.PB3.720-000</t>
  </si>
  <si>
    <t>PITON ROSCADO 1AB4.0</t>
  </si>
  <si>
    <t>1619.PB3.721-000</t>
  </si>
  <si>
    <t>CASQUILLO DE BRIDA 1AB4.0</t>
  </si>
  <si>
    <t>1619.PB3.722-000</t>
  </si>
  <si>
    <t>DISCO DE CUBIERTA 1AB4.0</t>
  </si>
  <si>
    <t>1619.PB3.723-000</t>
  </si>
  <si>
    <t>CHAPA DE RECUBRIMIENTO 1AB4.0</t>
  </si>
  <si>
    <t>1619.PB3.724-000</t>
  </si>
  <si>
    <t>VAINA PROTECTORA 1AB4.0</t>
  </si>
  <si>
    <t>1619.PB3.725-000</t>
  </si>
  <si>
    <t>PLACA DE TOPE 1AB4.0</t>
  </si>
  <si>
    <t>1619.PB3.726-000</t>
  </si>
  <si>
    <t>1619.PB3.729-000</t>
  </si>
  <si>
    <t>LÁSER 1AB4.0</t>
  </si>
  <si>
    <t>1619.PB3.734-000</t>
  </si>
  <si>
    <t>1619.PB3.738-000</t>
  </si>
  <si>
    <t>BASE DEL IMAN GBM 50-2</t>
  </si>
  <si>
    <t>1619.PB3.739-000</t>
  </si>
  <si>
    <t>ARANDELA ELASTICA 1AB4.0</t>
  </si>
  <si>
    <t>1619.PB3.740-000</t>
  </si>
  <si>
    <t>TORNILLO GBM 50-2</t>
  </si>
  <si>
    <t>1619.PB3.745-000</t>
  </si>
  <si>
    <t>MARCO DE FIJACION 1AB4.0</t>
  </si>
  <si>
    <t>1619.PB3.746-000</t>
  </si>
  <si>
    <t>ACOPLAMIENTO DE ARBOLES 1AB4.0</t>
  </si>
  <si>
    <t>1619.PB3.747-000</t>
  </si>
  <si>
    <t>MANGO GBM 50-2</t>
  </si>
  <si>
    <t>1619.PB3.749-000</t>
  </si>
  <si>
    <t>1619.PB3.750-000</t>
  </si>
  <si>
    <t>ARANDELA DENTADA 1AB4.0</t>
  </si>
  <si>
    <t>1619.PB3.751-000</t>
  </si>
  <si>
    <t>1619.PB3.755-000</t>
  </si>
  <si>
    <t>INTERRUPTOR 1AB4.0</t>
  </si>
  <si>
    <t>1619.PB3.756-000</t>
  </si>
  <si>
    <t>PANEL TRASERO 1AB4.0</t>
  </si>
  <si>
    <t>1619.PB3.757-000</t>
  </si>
  <si>
    <t>1619.PB3.758-000</t>
  </si>
  <si>
    <t>BLOQUE DE UNIDAD LUMINOSA 1AB4.0</t>
  </si>
  <si>
    <t>1619.PB3.759-000</t>
  </si>
  <si>
    <t>1619.PB3.761-000</t>
  </si>
  <si>
    <t>OREJETA DE ELEVACIÓN 1AB4.0</t>
  </si>
  <si>
    <t>1619.PB3.763-000</t>
  </si>
  <si>
    <t>RECIPIENTE-REFRIGERANTE 1AB4.0</t>
  </si>
  <si>
    <t>1619.PB3.767-000</t>
  </si>
  <si>
    <t>CUBIERTA DEL DEPOSITO 1AB4.0</t>
  </si>
  <si>
    <t>1619.PB3.768-000</t>
  </si>
  <si>
    <t>CLAVIJA DE CIERRE 1AB4.0</t>
  </si>
  <si>
    <t>1619.PB3.771-000</t>
  </si>
  <si>
    <t>MANDRIL DE SUJECIÓN 1AB4.0</t>
  </si>
  <si>
    <t>1619.PB3.776-000</t>
  </si>
  <si>
    <t>CUNA EXTRACTORA 1AB4.0</t>
  </si>
  <si>
    <t>1619.PB3.777-000</t>
  </si>
  <si>
    <t>MANGUITO DE REDUCCION 1AB4.0</t>
  </si>
  <si>
    <t>1619.PB3.778-000</t>
  </si>
  <si>
    <t>CLAVIJA DE COLOCATION 1AB4.0</t>
  </si>
  <si>
    <t>1619.PB3.779-000</t>
  </si>
  <si>
    <t>CABLE DE SEGURIDAD 1AB4.0</t>
  </si>
  <si>
    <t>1619.PB3.823-000</t>
  </si>
  <si>
    <t>INTERRUPTOR DE INVERSION 1AB4.0</t>
  </si>
  <si>
    <t>1619.PB3.824-000</t>
  </si>
  <si>
    <t>1619.PB3.825-000</t>
  </si>
  <si>
    <t>INTERR. SEGURID. P. MOTOR 1AB4.0</t>
  </si>
  <si>
    <t>1619.PB3.826-000</t>
  </si>
  <si>
    <t>1619.PB3.834-000</t>
  </si>
  <si>
    <t>JUEGO PIEZAS INTERRUPTOR 1J4D.0</t>
  </si>
  <si>
    <t>1619.PB3.923-000</t>
  </si>
  <si>
    <t>LINEA DE CONEXION A RED 1J4D.0</t>
  </si>
  <si>
    <t>1619.PB3.929-000</t>
  </si>
  <si>
    <t>1619.PB4.053-000</t>
  </si>
  <si>
    <t>Elemento de calefacción</t>
  </si>
  <si>
    <t>1619.PB4.054-000</t>
  </si>
  <si>
    <t>MOTOR 1J4D.0</t>
  </si>
  <si>
    <t>1619.PB4.065-000</t>
  </si>
  <si>
    <t>Escudo protector</t>
  </si>
  <si>
    <t>1619.PB4.074-000</t>
  </si>
  <si>
    <t>TARJETA CIRC IMPRESO GBM 50-2</t>
  </si>
  <si>
    <t>1619.PB4.076-000</t>
  </si>
  <si>
    <t>JUNTA PLANA 1AB4.0</t>
  </si>
  <si>
    <t>1619.PB4.081-000</t>
  </si>
  <si>
    <t>NOMBRE DEL FABRICANTE</t>
  </si>
  <si>
    <t>1619.PB4.083-000</t>
  </si>
  <si>
    <t>ABRAZADERA 1AB4.0</t>
  </si>
  <si>
    <t>1619.PB4.085-000</t>
  </si>
  <si>
    <t>1619.PB4.086-000</t>
  </si>
  <si>
    <t>UNIDAD LÁSER 1AB4.0</t>
  </si>
  <si>
    <t>1619.PB4.087-000</t>
  </si>
  <si>
    <t>1619.PB4.088-000</t>
  </si>
  <si>
    <t>ANILLO CON ESCALA 1AB4.0</t>
  </si>
  <si>
    <t>1619.PB4.098-000</t>
  </si>
  <si>
    <t>1619.PB4.099-000</t>
  </si>
  <si>
    <t>SUJETACABLES GBM 50-2</t>
  </si>
  <si>
    <t>1619.PB4.100-000</t>
  </si>
  <si>
    <t>SOPORTE DE CABLE 1AB4.0</t>
  </si>
  <si>
    <t>1619.PB4.101-000</t>
  </si>
  <si>
    <t>OJETE PROTECTOR 1AB4.0</t>
  </si>
  <si>
    <t>1619.PB4.102-000</t>
  </si>
  <si>
    <t>TUERCA HEX 1AB4.0</t>
  </si>
  <si>
    <t>1619.PB4.103-000</t>
  </si>
  <si>
    <t>1619.PB4.104-000</t>
  </si>
  <si>
    <t>ETIQUETA DE PRECAUCIÓN</t>
  </si>
  <si>
    <t>1619.PB4.111-000</t>
  </si>
  <si>
    <t>LINEA DE CONEXION A RED AR 1AB4.0</t>
  </si>
  <si>
    <t>1619.PB4.116-000</t>
  </si>
  <si>
    <t>CUBIERTA 1AB4.0</t>
  </si>
  <si>
    <t>1619.PB4.117-000</t>
  </si>
  <si>
    <t>LUZ DE CONTROL 1AB4.0</t>
  </si>
  <si>
    <t>1619.PB4.118-000</t>
  </si>
  <si>
    <t>Dispositivo de control</t>
  </si>
  <si>
    <t>1619.PB4.119-000</t>
  </si>
  <si>
    <t>GRUPO DE INTERRUPTORES 1AB4.0</t>
  </si>
  <si>
    <t>1619.PB4.127-000</t>
  </si>
  <si>
    <t>ESCUADRA DE FIJACION 1AB4.0</t>
  </si>
  <si>
    <t>1619.PB4.148-000</t>
  </si>
  <si>
    <t>CABLE DE CONEXION 1AB4.0</t>
  </si>
  <si>
    <t>1619.PB4.201-000</t>
  </si>
  <si>
    <t>CONJUNTO ESTATOR 220V GBM 50-2</t>
  </si>
  <si>
    <t>1619.PB4.213-000</t>
  </si>
  <si>
    <t>CARTA FIRMA 00</t>
  </si>
  <si>
    <t>1619.PB4.236-000</t>
  </si>
  <si>
    <t>1619.PB4.240-000</t>
  </si>
  <si>
    <t>CALIBRE DE AJUSTE</t>
  </si>
  <si>
    <t>1619.PB4.245-000</t>
  </si>
  <si>
    <t>VIVIENDA DEL MOTOR</t>
  </si>
  <si>
    <t>1619.PB4.249-000</t>
  </si>
  <si>
    <t>1619.PB4.252-000</t>
  </si>
  <si>
    <t>1619.PB4.254-000</t>
  </si>
  <si>
    <t>1619.PB4.255-000</t>
  </si>
  <si>
    <t>1619.PB4.256-000</t>
  </si>
  <si>
    <t>1619.PB4.258-000</t>
  </si>
  <si>
    <t>1619.PB4.259-000</t>
  </si>
  <si>
    <t>MANGO (MANGO; MANGO)</t>
  </si>
  <si>
    <t>1619.PB4.260-000</t>
  </si>
  <si>
    <t>CUBIERTA 1EA9.0</t>
  </si>
  <si>
    <t>1619.PB4.261-000</t>
  </si>
  <si>
    <t>ANILLO DE GUÍA DE AIRE</t>
  </si>
  <si>
    <t>1619.PB4.262-000</t>
  </si>
  <si>
    <t>CABLE DE CONEXIÓN</t>
  </si>
  <si>
    <t>1619.PB4.263-000</t>
  </si>
  <si>
    <t>1619.PB4.264-000</t>
  </si>
  <si>
    <t>1619.PB4.265-000</t>
  </si>
  <si>
    <t>1619.PB4.267-000</t>
  </si>
  <si>
    <t>1619.PB4.268-000</t>
  </si>
  <si>
    <t>1619.PB4.269-000</t>
  </si>
  <si>
    <t>BOTÓN DE AJUSTE</t>
  </si>
  <si>
    <t>1619.PB4.270-000</t>
  </si>
  <si>
    <t>1619.PB4.271-000</t>
  </si>
  <si>
    <t>ANILLO DE FIJACIÓN</t>
  </si>
  <si>
    <t>1619.PB4.272-000</t>
  </si>
  <si>
    <t>1619.PB4.273-000</t>
  </si>
  <si>
    <t>1619.PB4.274-000</t>
  </si>
  <si>
    <t>1619.PB4.275-000</t>
  </si>
  <si>
    <t>HILO CABEZA</t>
  </si>
  <si>
    <t>1619.PB4.277-000</t>
  </si>
  <si>
    <t>CLAVE DE FIJACIÓN Rx 1619PB7315</t>
  </si>
  <si>
    <t>1619.PB4.278-000</t>
  </si>
  <si>
    <t>1619.PB4.279-000</t>
  </si>
  <si>
    <t>MORDACAS</t>
  </si>
  <si>
    <t>1619.PB4.280-000</t>
  </si>
  <si>
    <t>1619.PB4.281-000</t>
  </si>
  <si>
    <t>1619.PB4.282-000</t>
  </si>
  <si>
    <t>1619.PB4.283-000</t>
  </si>
  <si>
    <t>BUCHA</t>
  </si>
  <si>
    <t>1619.PB4.284-000</t>
  </si>
  <si>
    <t>1619.PB4.285-000</t>
  </si>
  <si>
    <t>PLACA DE GUÍA</t>
  </si>
  <si>
    <t>1619.PB4.286-000</t>
  </si>
  <si>
    <t>1619.PB4.287-000</t>
  </si>
  <si>
    <t>1619.PB4.288-000</t>
  </si>
  <si>
    <t>TUBO DEFLECTOR DE PLÁSTICO</t>
  </si>
  <si>
    <t>1619.PB4.289-000</t>
  </si>
  <si>
    <t>1619.PB4.290-000</t>
  </si>
  <si>
    <t>PIN DE RETENCIÓN</t>
  </si>
  <si>
    <t>1619.PB4.291-000</t>
  </si>
  <si>
    <t>1619.PB4.292-000</t>
  </si>
  <si>
    <t>LLAVE REBANADA</t>
  </si>
  <si>
    <t>1619.PB4.300-000</t>
  </si>
  <si>
    <t>1619.PB4.323-000</t>
  </si>
  <si>
    <t>1619.PB4.329-000</t>
  </si>
  <si>
    <t>PLACA DE IDENTIFICACIÓN O 700</t>
  </si>
  <si>
    <t>1619.PB4.332-000</t>
  </si>
  <si>
    <t>JUEGO DE NÚCLEO POLAR</t>
  </si>
  <si>
    <t>1619.PB4.333-000</t>
  </si>
  <si>
    <t>1619.PB4.334-000</t>
  </si>
  <si>
    <t>1619.PB4.338-000</t>
  </si>
  <si>
    <t>APOYO GUÍA</t>
  </si>
  <si>
    <t>1619.PB4.339-000</t>
  </si>
  <si>
    <t>DISP. AFILADO DE LAS HOJAS</t>
  </si>
  <si>
    <t>1619.PB4.340-000</t>
  </si>
  <si>
    <t>1619.PB4.349-000</t>
  </si>
  <si>
    <t>1619.PB4.350-000</t>
  </si>
  <si>
    <t>1619.PB4.351-000</t>
  </si>
  <si>
    <t>1619.PB4.352-000</t>
  </si>
  <si>
    <t>1619.PB4.358-000</t>
  </si>
  <si>
    <t>1619.PB4.359-000</t>
  </si>
  <si>
    <t>Arandela elástica</t>
  </si>
  <si>
    <t>1619.PB4.392-000</t>
  </si>
  <si>
    <t>BRIDA INTERMEDIA 1AB4.0</t>
  </si>
  <si>
    <t>1619.PB4.393-000</t>
  </si>
  <si>
    <t>CAJA DE ENGRANAJES 1AB4.0</t>
  </si>
  <si>
    <t>1619.PB4.394-000</t>
  </si>
  <si>
    <t>1619.PB4.405-000</t>
  </si>
  <si>
    <t>1619.PB4.406-000</t>
  </si>
  <si>
    <t>BOTON DE MANDO</t>
  </si>
  <si>
    <t>1619.PB4.407-000</t>
  </si>
  <si>
    <t>TAPA DEL CUERPO</t>
  </si>
  <si>
    <t>1619.PB4.408-000</t>
  </si>
  <si>
    <t>CORREDERA DE AJUSTE</t>
  </si>
  <si>
    <t>1619.PB4.409-000</t>
  </si>
  <si>
    <t>1619.PB4.411-000</t>
  </si>
  <si>
    <t>BRIDA DE FIJACION</t>
  </si>
  <si>
    <t>1619.PB4.412-000</t>
  </si>
  <si>
    <t>1619.PB4.413-000</t>
  </si>
  <si>
    <t>1619.PB4.414-000</t>
  </si>
  <si>
    <t>1619.PB4.418-000</t>
  </si>
  <si>
    <t>1619.PB4.422-000</t>
  </si>
  <si>
    <t>1619.PB4.423-000</t>
  </si>
  <si>
    <t>1619.PB4.434-000</t>
  </si>
  <si>
    <t>1619.PB4.435-000</t>
  </si>
  <si>
    <t>1619.PB4.436-000</t>
  </si>
  <si>
    <t>1619.PB4.442-000</t>
  </si>
  <si>
    <t>INDUCIDO 1FA0.0 BOQUILLA MM</t>
  </si>
  <si>
    <t>1619.PB4.443-000</t>
  </si>
  <si>
    <t>1619.PB4.449-000</t>
  </si>
  <si>
    <t>1619.PB4.451-000</t>
  </si>
  <si>
    <t>1619.PB4.452-000</t>
  </si>
  <si>
    <t>1619.PB4.454-000</t>
  </si>
  <si>
    <t>1619.PB4.456-000</t>
  </si>
  <si>
    <t>1619.PB4.458-000</t>
  </si>
  <si>
    <t>1619.PB4.460-000</t>
  </si>
  <si>
    <t>1619.PB4.463-000</t>
  </si>
  <si>
    <t>1619.PB4.469-000</t>
  </si>
  <si>
    <t>1619.PB4.471-000</t>
  </si>
  <si>
    <t>1619.PB4.625-000</t>
  </si>
  <si>
    <t>1619.PB4.647-000</t>
  </si>
  <si>
    <t>HILO DE COBRE REDONDO NEGRO 1AB4.0</t>
  </si>
  <si>
    <t>1619.PB4.664-000</t>
  </si>
  <si>
    <t>PINON</t>
  </si>
  <si>
    <t>1619.PB4.665-000</t>
  </si>
  <si>
    <t>1619.PB4.667-000</t>
  </si>
  <si>
    <t>1619.PB4.668-000</t>
  </si>
  <si>
    <t>ARBOL DE ACCIONAMIENTO</t>
  </si>
  <si>
    <t>1619.PB4.669-000</t>
  </si>
  <si>
    <t>1619.PB4.671-000</t>
  </si>
  <si>
    <t>1619.PB4.673-000</t>
  </si>
  <si>
    <t>1619.PB4.746-000</t>
  </si>
  <si>
    <t>Cajero</t>
  </si>
  <si>
    <t>1619.PB4.749-000</t>
  </si>
  <si>
    <t>ESCOBILLA DE CARBON</t>
  </si>
  <si>
    <t>1619.PB4.750-000</t>
  </si>
  <si>
    <t>1619.PB4.751-000</t>
  </si>
  <si>
    <t>Bolsa De Polvo</t>
  </si>
  <si>
    <t>1619.PB4.858-000</t>
  </si>
  <si>
    <t>POLEA 3D40</t>
  </si>
  <si>
    <t>1619.PB4.911-000</t>
  </si>
  <si>
    <t>1619.PB4.981-000</t>
  </si>
  <si>
    <t>Ventanilla</t>
  </si>
  <si>
    <t>1619.PB5.043-000</t>
  </si>
  <si>
    <t>1619.PB5.151-000</t>
  </si>
  <si>
    <t>Puñetazo</t>
  </si>
  <si>
    <t>1619.PB5.152-000</t>
  </si>
  <si>
    <t>Medida de extremos</t>
  </si>
  <si>
    <t>1619.PB5.154-000</t>
  </si>
  <si>
    <t>1619.PB5.155-000</t>
  </si>
  <si>
    <t>Carcasa del motor GOF 130</t>
  </si>
  <si>
    <t>1619.PB5.156-000</t>
  </si>
  <si>
    <t>Cubierta de empuñadura</t>
  </si>
  <si>
    <t>1619.PB5.157-000</t>
  </si>
  <si>
    <t>1619.PB5.158-000</t>
  </si>
  <si>
    <t>Tablero</t>
  </si>
  <si>
    <t>1619.PB5.179-000</t>
  </si>
  <si>
    <t>1619.PB5.247-000</t>
  </si>
  <si>
    <t>1619.PB5.406-000</t>
  </si>
  <si>
    <t>1619.PB5.414-000</t>
  </si>
  <si>
    <t>1619.PB5.415-000</t>
  </si>
  <si>
    <t>Etiqueta de collar</t>
  </si>
  <si>
    <t>1619.PB5.441-000</t>
  </si>
  <si>
    <t>Conjunto de núcleo polar</t>
  </si>
  <si>
    <t>1619.PB5.443-000</t>
  </si>
  <si>
    <t>Inducido GOF 130</t>
  </si>
  <si>
    <t>1619.PB5.448-000</t>
  </si>
  <si>
    <t>1619.PB5.453-000</t>
  </si>
  <si>
    <t>Adaptador RSV</t>
  </si>
  <si>
    <t>1619.PB5.454-000</t>
  </si>
  <si>
    <t>Gancho de plástico</t>
  </si>
  <si>
    <t>1619.PB5.455-000</t>
  </si>
  <si>
    <t>Juego de cepillos de carbón</t>
  </si>
  <si>
    <t>1619.PB5.456-000</t>
  </si>
  <si>
    <t>Rodamiento fijo</t>
  </si>
  <si>
    <t>1619.PB5.457-000</t>
  </si>
  <si>
    <t>1619.PB5.458-000</t>
  </si>
  <si>
    <t>1619.PB5.459-000</t>
  </si>
  <si>
    <t>1619.PB5.460-000</t>
  </si>
  <si>
    <t>Resorte de tensión</t>
  </si>
  <si>
    <t>1619.PB5.461-000</t>
  </si>
  <si>
    <t>Cubierta aislante</t>
  </si>
  <si>
    <t>1619.PB5.462-000</t>
  </si>
  <si>
    <t>Circ. Impr. Montado</t>
  </si>
  <si>
    <t>1619.PB5.463-000</t>
  </si>
  <si>
    <t>1619.PB5.464-000</t>
  </si>
  <si>
    <t>1619.PB5.465-000</t>
  </si>
  <si>
    <t>Tornillo de ajuste</t>
  </si>
  <si>
    <t>1619.PB5.466-000</t>
  </si>
  <si>
    <t>1619.PB5.467-000</t>
  </si>
  <si>
    <t>Pin de soporte</t>
  </si>
  <si>
    <t>1619.PB5.468-000</t>
  </si>
  <si>
    <t>1619.PB5.469-000</t>
  </si>
  <si>
    <t>1619.PB5.470-000</t>
  </si>
  <si>
    <t>1619.PB5.472-000</t>
  </si>
  <si>
    <t>1619.PB5.473-000</t>
  </si>
  <si>
    <t>Casquillo de cojinete</t>
  </si>
  <si>
    <t>1619.PB5.474-000</t>
  </si>
  <si>
    <t>1619.PB5.475-000</t>
  </si>
  <si>
    <t>1619.PB5.476-000</t>
  </si>
  <si>
    <t>Lavadora</t>
  </si>
  <si>
    <t>1619.PB5.477-000</t>
  </si>
  <si>
    <t>Tornillo de ala</t>
  </si>
  <si>
    <t>1619.PB5.478-000</t>
  </si>
  <si>
    <t>1619.PB5.479-000</t>
  </si>
  <si>
    <t>1619.PB5.480-000</t>
  </si>
  <si>
    <t>1619.PB5.481-000</t>
  </si>
  <si>
    <t>1619.PB5.482-000</t>
  </si>
  <si>
    <t>1619.PB5.483-000</t>
  </si>
  <si>
    <t>Tuerca especial</t>
  </si>
  <si>
    <t>1619.PB5.484-000</t>
  </si>
  <si>
    <t>Tornillo de bloqueo</t>
  </si>
  <si>
    <t>1619.PB5.485-000</t>
  </si>
  <si>
    <t>Palanca de parada</t>
  </si>
  <si>
    <t>1619.PB5.486-000</t>
  </si>
  <si>
    <t>1619.PB5.487-000</t>
  </si>
  <si>
    <t>1619.PB5.488-000</t>
  </si>
  <si>
    <t>Casquillo del tope</t>
  </si>
  <si>
    <t>1619.PB5.489-000</t>
  </si>
  <si>
    <t>1619.PB5.490-000</t>
  </si>
  <si>
    <t>1619.PB5.492-000</t>
  </si>
  <si>
    <t>1619.PB5.493-000</t>
  </si>
  <si>
    <t>Tubo corrugado</t>
  </si>
  <si>
    <t>1619.PB5.494-000</t>
  </si>
  <si>
    <t>1619.PB5.496-000</t>
  </si>
  <si>
    <t>1619.PB5.497-000</t>
  </si>
  <si>
    <t>1619.PB5.498-000</t>
  </si>
  <si>
    <t>Cápsula</t>
  </si>
  <si>
    <t>1619.PB5.499-000</t>
  </si>
  <si>
    <t>1619.PB5.500-000</t>
  </si>
  <si>
    <t>Rompevirutas</t>
  </si>
  <si>
    <t>1619.PB5.501-000</t>
  </si>
  <si>
    <t>1619.PB5.502-000</t>
  </si>
  <si>
    <t>Plato de fijación</t>
  </si>
  <si>
    <t>1619.PB5.503-000</t>
  </si>
  <si>
    <t>1619.PB5.504-000</t>
  </si>
  <si>
    <t>1619.PB5.506-000</t>
  </si>
  <si>
    <t>1619.PB5.507-000</t>
  </si>
  <si>
    <t>1619.PB5.508-000</t>
  </si>
  <si>
    <t>Taco</t>
  </si>
  <si>
    <t>1619.PB5.509-000</t>
  </si>
  <si>
    <t>Conector en serie</t>
  </si>
  <si>
    <t>1619.PB5.510-000</t>
  </si>
  <si>
    <t>1619.PB5.511-000</t>
  </si>
  <si>
    <t>Parada paralela</t>
  </si>
  <si>
    <t>1619.PB5.515-000</t>
  </si>
  <si>
    <t>Guía</t>
  </si>
  <si>
    <t>1619.PB5.521-000</t>
  </si>
  <si>
    <t>Aspiradora</t>
  </si>
  <si>
    <t>1619.PB5.522-000</t>
  </si>
  <si>
    <t>1619.PB5.523-000</t>
  </si>
  <si>
    <t>PIN CENTRAL</t>
  </si>
  <si>
    <t>1619.PB5.546-000</t>
  </si>
  <si>
    <t>1619.PB5.547-000</t>
  </si>
  <si>
    <t>ANILLO DE FRICCION</t>
  </si>
  <si>
    <t>1619.PB5.548-000</t>
  </si>
  <si>
    <t>1619.PB5.549-000</t>
  </si>
  <si>
    <t>1619.PB5.550-000</t>
  </si>
  <si>
    <t>1619.PB5.551-000</t>
  </si>
  <si>
    <t>TORNILLO AVALLANADO TORX</t>
  </si>
  <si>
    <t>1619.PB5.552-000</t>
  </si>
  <si>
    <t>ANILLO DE FIELTRO</t>
  </si>
  <si>
    <t>1619.PB5.553-000</t>
  </si>
  <si>
    <t>1619.PB5.554-000</t>
  </si>
  <si>
    <t>PLATO DE GOMA</t>
  </si>
  <si>
    <t>1619.PB5.555-000</t>
  </si>
  <si>
    <t>1619.PB5.557-000</t>
  </si>
  <si>
    <t>1619.PB5.558-000</t>
  </si>
  <si>
    <t>1619.PB5.559-000</t>
  </si>
  <si>
    <t>1619.PB5.576-000</t>
  </si>
  <si>
    <t>1619.PB5.577-000</t>
  </si>
  <si>
    <t>1619.PB5.588-000</t>
  </si>
  <si>
    <t>U-SHAPED CLIP</t>
  </si>
  <si>
    <t>1619.PB5.591-000</t>
  </si>
  <si>
    <t>1619.PB5.592-000</t>
  </si>
  <si>
    <t>1619.PB5.593-000</t>
  </si>
  <si>
    <t>1619.PB5.597-000</t>
  </si>
  <si>
    <t>RECIPIENTE DE POLVO</t>
  </si>
  <si>
    <t>1619.PB5.601-000</t>
  </si>
  <si>
    <t>1619.PB5.614-000</t>
  </si>
  <si>
    <t>PORTACONTACTOS</t>
  </si>
  <si>
    <t>1619.PB5.617-000</t>
  </si>
  <si>
    <t>1619.PB6.096-000</t>
  </si>
  <si>
    <t>1619.PB6.188-000</t>
  </si>
  <si>
    <t>1619.PB6.270-000</t>
  </si>
  <si>
    <t>1619.PB6.271-000</t>
  </si>
  <si>
    <t>Tope Longitudinal</t>
  </si>
  <si>
    <t>1619.PB6.272-000</t>
  </si>
  <si>
    <t>1619.PB6.273-000</t>
  </si>
  <si>
    <t>1619.PB6.274-000</t>
  </si>
  <si>
    <t>1619.PB6.275-000</t>
  </si>
  <si>
    <t>1619.PB6.276-000</t>
  </si>
  <si>
    <t>1619.PB6.280-000</t>
  </si>
  <si>
    <t>1619.PB6.288-000</t>
  </si>
  <si>
    <t>1619.PB6.301-000</t>
  </si>
  <si>
    <t>1619.PB6.308-000</t>
  </si>
  <si>
    <t>Campo de entrada</t>
  </si>
  <si>
    <t>1619.PB6.324-000</t>
  </si>
  <si>
    <t>1619.PB6.328-000</t>
  </si>
  <si>
    <t>Placa De Maquina</t>
  </si>
  <si>
    <t>1619.PB6.329-000</t>
  </si>
  <si>
    <t>1619.PB6.389-000</t>
  </si>
  <si>
    <t>1619.PB6.819-000</t>
  </si>
  <si>
    <t>CABEZA</t>
  </si>
  <si>
    <t>1619.PB6.820-000</t>
  </si>
  <si>
    <t>MANGUITO</t>
  </si>
  <si>
    <t>1619.PB6.826-000</t>
  </si>
  <si>
    <t>PIEZA DE UNION</t>
  </si>
  <si>
    <t>1619.PB6.827-000</t>
  </si>
  <si>
    <t>1619.PB6.857-000</t>
  </si>
  <si>
    <t>TORNILLO DE APRIETE</t>
  </si>
  <si>
    <t>1619.PB6.872-000</t>
  </si>
  <si>
    <t>1619.PB6.919-000</t>
  </si>
  <si>
    <t>1619.PB6.920-000</t>
  </si>
  <si>
    <t>1619.PB6.921-000</t>
  </si>
  <si>
    <t>1619.PB6.922-000</t>
  </si>
  <si>
    <t>PIE</t>
  </si>
  <si>
    <t>1619.PB6.929-000</t>
  </si>
  <si>
    <t>1619.PB6.931-000</t>
  </si>
  <si>
    <t>CHAPA</t>
  </si>
  <si>
    <t>1619.PB6.932-000</t>
  </si>
  <si>
    <t>1619.PB6.945-000</t>
  </si>
  <si>
    <t>1619.PB6.951-000</t>
  </si>
  <si>
    <t>Bloqueo De Tapa</t>
  </si>
  <si>
    <t>1619.PB6.952-000</t>
  </si>
  <si>
    <t>1619.PB6.963-000</t>
  </si>
  <si>
    <t>1619.PB6.964-000</t>
  </si>
  <si>
    <t>1619.PB6.966-000</t>
  </si>
  <si>
    <t>1619.PB6.972-000</t>
  </si>
  <si>
    <t>1619.PB6.973-000</t>
  </si>
  <si>
    <t>1619.PB6.974-000</t>
  </si>
  <si>
    <t>1619.PB6.988-000</t>
  </si>
  <si>
    <t>Adaptador De Vacio</t>
  </si>
  <si>
    <t>1619.PB7.006-000</t>
  </si>
  <si>
    <t>1619.PB7.008-000</t>
  </si>
  <si>
    <t>PIN</t>
  </si>
  <si>
    <t>1619.PB7.010-000</t>
  </si>
  <si>
    <t>1619.PB7.064-000</t>
  </si>
  <si>
    <t>1619.PB7.142-000</t>
  </si>
  <si>
    <t>1619.PB7.189-000</t>
  </si>
  <si>
    <t>UNIDAD DE SUJECION</t>
  </si>
  <si>
    <t>1619.PB7.191-000</t>
  </si>
  <si>
    <t>1619.PB7.192-000</t>
  </si>
  <si>
    <t>1619.PB7.193-000</t>
  </si>
  <si>
    <t>PATA DEL TRIPODE</t>
  </si>
  <si>
    <t>1619.PB7.195-000</t>
  </si>
  <si>
    <t>UNIDAD MOTRIZ</t>
  </si>
  <si>
    <t>1619.PB7.196-000</t>
  </si>
  <si>
    <t>PLACA GIRATORIA</t>
  </si>
  <si>
    <t>1619.PB7.197-000</t>
  </si>
  <si>
    <t>1619.PB7.199-000</t>
  </si>
  <si>
    <t>1619.PB7.205-000</t>
  </si>
  <si>
    <t>Chapa De Recubrimiento</t>
  </si>
  <si>
    <t>1619.PB7.206-000</t>
  </si>
  <si>
    <t>1619.PB7.212-000</t>
  </si>
  <si>
    <t>1619.PB7.255-000</t>
  </si>
  <si>
    <t>1619.PB7.298-000</t>
  </si>
  <si>
    <t>Linha Conexao Principal</t>
  </si>
  <si>
    <t>1619.PB7.315-000</t>
  </si>
  <si>
    <t>Unidad Tensora Ra 1619PB4277</t>
  </si>
  <si>
    <t>1619.PB7.352-000</t>
  </si>
  <si>
    <t>1619.PB7.355-000</t>
  </si>
  <si>
    <t>1619.PB7.383-000</t>
  </si>
  <si>
    <t>1619.PB7.384-000</t>
  </si>
  <si>
    <t>IMÁN</t>
  </si>
  <si>
    <t>1619.PB7.667-000</t>
  </si>
  <si>
    <t>Flange GKS 150</t>
  </si>
  <si>
    <t>1619.PB7.668-000</t>
  </si>
  <si>
    <t>1619.PB8.307-000</t>
  </si>
  <si>
    <t>CAJA AISLANTE</t>
  </si>
  <si>
    <t>1619.PB8.308-000</t>
  </si>
  <si>
    <t>EC-MOTOR</t>
  </si>
  <si>
    <t>1619.PB8.309-000</t>
  </si>
  <si>
    <t>1619.PB8.310-000</t>
  </si>
  <si>
    <t>1619.PB8.311-000</t>
  </si>
  <si>
    <t>ESCUADRA DE FIJACION</t>
  </si>
  <si>
    <t>1619.PB8.312-000</t>
  </si>
  <si>
    <t>TORNILLO DE CABEZA CIL.</t>
  </si>
  <si>
    <t>1619.PB8.313-000</t>
  </si>
  <si>
    <t>ENGRANAJE PLANETARIO</t>
  </si>
  <si>
    <t>1619.PB8.314-000</t>
  </si>
  <si>
    <t>1619.PB8.315-000</t>
  </si>
  <si>
    <t>1619.PB8.316-000</t>
  </si>
  <si>
    <t>1619.PB8.322-000</t>
  </si>
  <si>
    <t>1619.PB8.323-000</t>
  </si>
  <si>
    <t>MANDRIL DE SUJECION</t>
  </si>
  <si>
    <t>1619.PB8.324-000</t>
  </si>
  <si>
    <t>COLECTOR</t>
  </si>
  <si>
    <t>1619.PB8.325-000</t>
  </si>
  <si>
    <t>COLISON</t>
  </si>
  <si>
    <t>1619.PB8.326-000</t>
  </si>
  <si>
    <t>1619.PB8.327-000</t>
  </si>
  <si>
    <t>CONTRAMARCHA</t>
  </si>
  <si>
    <t>1619.PB8.328-000</t>
  </si>
  <si>
    <t>UNIDAD DE REMACHADO</t>
  </si>
  <si>
    <t>1619.PB8.329-000</t>
  </si>
  <si>
    <t>TAPA DE COJINETE</t>
  </si>
  <si>
    <t>1619.PB8.330-000</t>
  </si>
  <si>
    <t>1619.PB8.331-000</t>
  </si>
  <si>
    <t>1619.PB8.332-000</t>
  </si>
  <si>
    <t>RODAMIENTO A BOLAS</t>
  </si>
  <si>
    <t>1619.PB8.333-000</t>
  </si>
  <si>
    <t>1619.PB8.334-000</t>
  </si>
  <si>
    <t>1619.PB8.335-000</t>
  </si>
  <si>
    <t>1619.PB8.336-000</t>
  </si>
  <si>
    <t>CANAL</t>
  </si>
  <si>
    <t>1619.PB8.337-000</t>
  </si>
  <si>
    <t>MORDAZAS DE SUJECIÓN</t>
  </si>
  <si>
    <t>1619.PB8.338-000</t>
  </si>
  <si>
    <t>MANGUITO TUERCA APRIETE</t>
  </si>
  <si>
    <t>1619.PB8.339-000</t>
  </si>
  <si>
    <t>VAINA COBERTERA</t>
  </si>
  <si>
    <t>1619.PB8.340-000</t>
  </si>
  <si>
    <t>TUERCA DE CUELLO</t>
  </si>
  <si>
    <t>1619.PB8.341-000</t>
  </si>
  <si>
    <t>GANCHO</t>
  </si>
  <si>
    <t>1619.PB8.342-000</t>
  </si>
  <si>
    <t>1619.PB8.343-000</t>
  </si>
  <si>
    <t>JUEGO DE CARCASA</t>
  </si>
  <si>
    <t>1619.PB8.344-000</t>
  </si>
  <si>
    <t>1619.PB8.345-000</t>
  </si>
  <si>
    <t>TUERCA</t>
  </si>
  <si>
    <t>1619.PB8.346-000</t>
  </si>
  <si>
    <t>1619.PB8.347-000</t>
  </si>
  <si>
    <t>1619.PB8.357-000</t>
  </si>
  <si>
    <t>SOPORTE DE LED</t>
  </si>
  <si>
    <t>1619.PB8.359-000</t>
  </si>
  <si>
    <t>1619.PB8.360-000</t>
  </si>
  <si>
    <t>ELEMENTO AMORTIGUADOR</t>
  </si>
  <si>
    <t>1619.PB8.361-000</t>
  </si>
  <si>
    <t>1619.PB8.362-000</t>
  </si>
  <si>
    <t>1619.PB8.363-000</t>
  </si>
  <si>
    <t>1619.PB8.364-000</t>
  </si>
  <si>
    <t>SALIENTE</t>
  </si>
  <si>
    <t>1619.PB8.365-000</t>
  </si>
  <si>
    <t>1619.PB8.366-000</t>
  </si>
  <si>
    <t>1619.PB8.367-000</t>
  </si>
  <si>
    <t>1619.PB8.368-000</t>
  </si>
  <si>
    <t>LLAVE FIJA DE UNA BOCA</t>
  </si>
  <si>
    <t>1619.X00.090-000</t>
  </si>
  <si>
    <t>Chuck</t>
  </si>
  <si>
    <t>1619.X00.399-000</t>
  </si>
  <si>
    <t>SOPORTE DEL COJINETE 1E8H.0</t>
  </si>
  <si>
    <t>1619.X00.434-000</t>
  </si>
  <si>
    <t>PLACA DE DESGASTE 1E8H.0</t>
  </si>
  <si>
    <t>1619.X00.933-000</t>
  </si>
  <si>
    <t>ANILLO DE GOMA 1573/HD5550 RX1619P01127</t>
  </si>
  <si>
    <t>1619.X00.935-000</t>
  </si>
  <si>
    <t>TORNILLO HEXAG 1573/5150 RA 2610.346.554</t>
  </si>
  <si>
    <t>1619.X00.942-000</t>
  </si>
  <si>
    <t>1619.X01.409-000</t>
  </si>
  <si>
    <t>PASADOR DE RETENCION GST 700</t>
  </si>
  <si>
    <t>1619.X01.554-000</t>
  </si>
  <si>
    <t>SOPORTE RA 2610341347</t>
  </si>
  <si>
    <t>1619.X01.612-000</t>
  </si>
  <si>
    <t>TOPE PARA INGLETES  16A2</t>
  </si>
  <si>
    <t>1619.X01.613-000</t>
  </si>
  <si>
    <t>TORNILLO CILIN. 1668/67</t>
  </si>
  <si>
    <t>1619.X01.696-000</t>
  </si>
  <si>
    <t>INDUCIDO / 230V 1668/67</t>
  </si>
  <si>
    <t>1619.X01.765-000</t>
  </si>
  <si>
    <t>CUBIERTA PROT. ABATIBLE 1668/67</t>
  </si>
  <si>
    <t>1619.X01.791-000</t>
  </si>
  <si>
    <t>TUERCA 1668/67</t>
  </si>
  <si>
    <t>1619.X01.792-000</t>
  </si>
  <si>
    <t>RESORTE 1676.0</t>
  </si>
  <si>
    <t>1619.X01.947-000</t>
  </si>
  <si>
    <t>CAJA DE ENGRANAJE 2144</t>
  </si>
  <si>
    <t>1619.X01.948-000</t>
  </si>
  <si>
    <t>MANDRIL RÁPIDO 3/8"(10 MM) 2144</t>
  </si>
  <si>
    <t>1619.X02.268-000</t>
  </si>
  <si>
    <t>PORTATARJ 2144</t>
  </si>
  <si>
    <t>1619.X02.270-000</t>
  </si>
  <si>
    <t>TARJETA CIRC IMPRESO 2144</t>
  </si>
  <si>
    <t>1619.X02.377-000</t>
  </si>
  <si>
    <t>OBJETIVO 2144</t>
  </si>
  <si>
    <t>1619.X02.515-000</t>
  </si>
  <si>
    <t>TORNILLO AVELLANADO 2144</t>
  </si>
  <si>
    <t>1619.X02.572-000</t>
  </si>
  <si>
    <t>TORNILLO 8050</t>
  </si>
  <si>
    <t>1619.X02.735-000</t>
  </si>
  <si>
    <t>PORTACARBONES GST 700</t>
  </si>
  <si>
    <t>1619.X02.922-000</t>
  </si>
  <si>
    <t>MANDRIL 2702</t>
  </si>
  <si>
    <t>1619.X03.060-000</t>
  </si>
  <si>
    <t>CARCASA 2144</t>
  </si>
  <si>
    <t>1619.X03.062-000</t>
  </si>
  <si>
    <t>PALANCA DE REENVIO 2144</t>
  </si>
  <si>
    <t>1619.X03.065-000</t>
  </si>
  <si>
    <t>TAPA TRANSPARENTE 2144</t>
  </si>
  <si>
    <t>1619.X03.111-000</t>
  </si>
  <si>
    <t>JUEGO DE CABLES 1E8H.0</t>
  </si>
  <si>
    <t>1619.X03.184-000</t>
  </si>
  <si>
    <t>ATORNILLADORA PERF.ACU. 2144</t>
  </si>
  <si>
    <t>1619.X03.185-000</t>
  </si>
  <si>
    <t>MOTOR CORRIENTE CONTINUA 14,4V 2144</t>
  </si>
  <si>
    <t>1619.X03.196-000</t>
  </si>
  <si>
    <t>RESORTE 1E8H.0</t>
  </si>
  <si>
    <t>1619.X03.396-000</t>
  </si>
  <si>
    <t>CABLE 1E8H.0</t>
  </si>
  <si>
    <t>1619.X03.695-000</t>
  </si>
  <si>
    <t>EJE 1E8H.0</t>
  </si>
  <si>
    <t>1619.X04.044-000</t>
  </si>
  <si>
    <t>MANDRIL RAPIDO 2412</t>
  </si>
  <si>
    <t>1619.X04.200-000</t>
  </si>
  <si>
    <t>PORTACARBONES 6550/6552/6554</t>
  </si>
  <si>
    <t>1619.X04.517-000</t>
  </si>
  <si>
    <t>ARANDELA 1667</t>
  </si>
  <si>
    <t>1619.X04.542-000</t>
  </si>
  <si>
    <t>CORREDERA 1E8H.0</t>
  </si>
  <si>
    <t>1619.X04.546-000</t>
  </si>
  <si>
    <t>CONTRAPESO 1E8H.0</t>
  </si>
  <si>
    <t>1619.X04.547-000</t>
  </si>
  <si>
    <t>CLAVIJA CILINDRICA 1E8H.0</t>
  </si>
  <si>
    <t>1619.X04.550-000</t>
  </si>
  <si>
    <t>CUCHILLAS 0887 Ra F016102390</t>
  </si>
  <si>
    <t>1619.X04.574-000</t>
  </si>
  <si>
    <t>VEDACION GST 700</t>
  </si>
  <si>
    <t>1619.X04.872-000</t>
  </si>
  <si>
    <t>UNIDAD ENGRANAJE 1E8H.0</t>
  </si>
  <si>
    <t>1619.X04.876-000</t>
  </si>
  <si>
    <t>JUEGO DE CARCASA 1E8H.0</t>
  </si>
  <si>
    <t>1619.X04.877-000</t>
  </si>
  <si>
    <t>CAPERUZA DE ADORNO 158H</t>
  </si>
  <si>
    <t>1619.X04.885-000</t>
  </si>
  <si>
    <t>PALANCA 1E8H.0</t>
  </si>
  <si>
    <t>1619.X04.886-000</t>
  </si>
  <si>
    <t>REVESTIMIENTO PROTECT 1E8H.0</t>
  </si>
  <si>
    <t>1619.X04.887-000</t>
  </si>
  <si>
    <t>TORNILLO GST 700</t>
  </si>
  <si>
    <t>1619.X05.274-000</t>
  </si>
  <si>
    <t>1619.X05.625-000</t>
  </si>
  <si>
    <t>REPUESTO COMPLETO 2412</t>
  </si>
  <si>
    <t>1619.X05.789-000</t>
  </si>
  <si>
    <t>TOPE PARALELO  1676.0</t>
  </si>
  <si>
    <t>1619.X05.867-000</t>
  </si>
  <si>
    <t>EXPANSION POLAR 230V 1E8H.0</t>
  </si>
  <si>
    <t>1619.X06.060-000</t>
  </si>
  <si>
    <t>INTERRUPTOR 1E8H.0</t>
  </si>
  <si>
    <t>1619.X07.088-000</t>
  </si>
  <si>
    <t>PLANCHA DE FUNDACION 1E8H.0</t>
  </si>
  <si>
    <t>1619.X07.247-000</t>
  </si>
  <si>
    <t>CARBONES 6554</t>
  </si>
  <si>
    <t>1619.X07.251-000</t>
  </si>
  <si>
    <t>PLACA DE PRESION 6550/6552/6554</t>
  </si>
  <si>
    <t>1619.X07.252-000</t>
  </si>
  <si>
    <t>CONMUTADOR DE IMPACTO 6550/6552/6554</t>
  </si>
  <si>
    <t>1619.X07.253-000</t>
  </si>
  <si>
    <t>CONMUTADOR 6554</t>
  </si>
  <si>
    <t>1619.X07.256-000</t>
  </si>
  <si>
    <t>RODAMIENTO 6550/6552/6554 RX 1600300112</t>
  </si>
  <si>
    <t>1619.X07.507-000</t>
  </si>
  <si>
    <t>CONJUNTO INDUCIDO 230V 1E8H.0</t>
  </si>
  <si>
    <t>1619.X07.569-000</t>
  </si>
  <si>
    <t>ANILLO DE SEGURIDAD 1BA7.0</t>
  </si>
  <si>
    <t>1619.X08.384-000</t>
  </si>
  <si>
    <t>MUELLE DOBLE</t>
  </si>
  <si>
    <t>1710.102.601-000</t>
  </si>
  <si>
    <t>ARANDELA DE AJUSTE 0,10 MM</t>
  </si>
  <si>
    <t>1810.210.222-000</t>
  </si>
  <si>
    <t>ANILLO 1184/94 DISCONTINUADO</t>
  </si>
  <si>
    <t>1900.210.000-000</t>
  </si>
  <si>
    <t>ANILLO TOROIDAL 1140/3364</t>
  </si>
  <si>
    <t>1900.210.012-000</t>
  </si>
  <si>
    <t>ANILLO 1288</t>
  </si>
  <si>
    <t>1900.210.103-000</t>
  </si>
  <si>
    <t>ANILLO 11206/230/7460001</t>
  </si>
  <si>
    <t>1900.210.105-000</t>
  </si>
  <si>
    <t>ANILLO 1121.0</t>
  </si>
  <si>
    <t>1900.210.106-000</t>
  </si>
  <si>
    <t>ANEL-O</t>
  </si>
  <si>
    <t>1900.210.107-000</t>
  </si>
  <si>
    <t>O'RING 7561118</t>
  </si>
  <si>
    <t>1900.210.109-000</t>
  </si>
  <si>
    <t>JUNTA TORICA RX 1610210233000</t>
  </si>
  <si>
    <t>1900.210.110-000</t>
  </si>
  <si>
    <t>1900.210.112-000</t>
  </si>
  <si>
    <t>ANILLO TOROIDAL \ 15X2MM  7160.5/7457/76</t>
  </si>
  <si>
    <t>1900.210.114-000</t>
  </si>
  <si>
    <t>1900.210.115-000</t>
  </si>
  <si>
    <t>JUNTA TORICA 1F24.0</t>
  </si>
  <si>
    <t>1900.210.117-000</t>
  </si>
  <si>
    <t>ANILLO 11223/11245/1140</t>
  </si>
  <si>
    <t>1900.210.118-000</t>
  </si>
  <si>
    <t>O'RING 7352112</t>
  </si>
  <si>
    <t>1900.210.119-000</t>
  </si>
  <si>
    <t>ANILLO 3237</t>
  </si>
  <si>
    <t>1900.210.124-000</t>
  </si>
  <si>
    <t>1900.210.125-000</t>
  </si>
  <si>
    <t>JUNTA TORICA EXACT</t>
  </si>
  <si>
    <t>1900.210.127-000</t>
  </si>
  <si>
    <t>1900.210.128-000</t>
  </si>
  <si>
    <t>1900.210.129-000</t>
  </si>
  <si>
    <t>1900.210.130-000</t>
  </si>
  <si>
    <t>ANILLO 11305/311/316/223/245</t>
  </si>
  <si>
    <t>1900.210.131-000</t>
  </si>
  <si>
    <t>JUNTA 1309/313/7460401/7160.5</t>
  </si>
  <si>
    <t>1900.210.139-000</t>
  </si>
  <si>
    <t>ANILLO DE GOMA - DISCONT.</t>
  </si>
  <si>
    <t>1900.210.143-000</t>
  </si>
  <si>
    <t>1900.210.145-000</t>
  </si>
  <si>
    <t>1900.210.146-000</t>
  </si>
  <si>
    <t>JUNTA TORICA 2209/2305</t>
  </si>
  <si>
    <t>1900.210.156-000</t>
  </si>
  <si>
    <t>JUNTA TORICA 60X4 MM</t>
  </si>
  <si>
    <t>1900.210.160-000</t>
  </si>
  <si>
    <t>1900.210.172-000</t>
  </si>
  <si>
    <t>ANILLO 11304/1130A</t>
  </si>
  <si>
    <t>1900.210.306-000</t>
  </si>
  <si>
    <t>1900.210.307-000</t>
  </si>
  <si>
    <t>O-Ring</t>
  </si>
  <si>
    <t>1900.210.311-000</t>
  </si>
  <si>
    <t>O'RING 7560502</t>
  </si>
  <si>
    <t>1900.210.315-000</t>
  </si>
  <si>
    <t>JUNTA TORICA 7461</t>
  </si>
  <si>
    <t>1900.210.321-000</t>
  </si>
  <si>
    <t>ANILLO 1436</t>
  </si>
  <si>
    <t>1900.210.327-000</t>
  </si>
  <si>
    <t>O'RING 7460001</t>
  </si>
  <si>
    <t>1900.301.004-000</t>
  </si>
  <si>
    <t>COJINETE DE FRICCION</t>
  </si>
  <si>
    <t>1900.301.007-000</t>
  </si>
  <si>
    <t>1900.301.018-000</t>
  </si>
  <si>
    <t>CASQUILLO 1276 RX 2600301089</t>
  </si>
  <si>
    <t>1900.322.018-000</t>
  </si>
  <si>
    <t>CASQUILLO 0842.5-6</t>
  </si>
  <si>
    <t>1900.452.001-000</t>
  </si>
  <si>
    <t>VAINA DE EMPALME 2209</t>
  </si>
  <si>
    <t>1900.452.002-000</t>
  </si>
  <si>
    <t>VAINA DE EMPALME 11316/18/241</t>
  </si>
  <si>
    <t>1900.452.012-000</t>
  </si>
  <si>
    <t>VAINA DE EMPALME 1621</t>
  </si>
  <si>
    <t>1900.900.203-000</t>
  </si>
  <si>
    <t>RODAMIENTO RIGIDO BOLAS 7457</t>
  </si>
  <si>
    <t>1900.900.224-000</t>
  </si>
  <si>
    <t>RODAMIENTO 1939.8 RA 2600905054</t>
  </si>
  <si>
    <t>1900.900.228-000</t>
  </si>
  <si>
    <t>RODAMIENTO DE BOLAS 11234.0 - DISCONT.</t>
  </si>
  <si>
    <t>1900.900.270-000</t>
  </si>
  <si>
    <t>RODAMIENTO 1921</t>
  </si>
  <si>
    <t>1900.900.276-000</t>
  </si>
  <si>
    <t>RODAMIENTO 11214/231 -Ra905128</t>
  </si>
  <si>
    <t>1900.900.279-000</t>
  </si>
  <si>
    <t>RODAMIENTO -DISCONTINUADO</t>
  </si>
  <si>
    <t>1900.900.287-000</t>
  </si>
  <si>
    <t>1900.900.289-000</t>
  </si>
  <si>
    <t>RODAMIENTO 11236</t>
  </si>
  <si>
    <t>1900.900.307-000</t>
  </si>
  <si>
    <t>RODAMIENTO 11304</t>
  </si>
  <si>
    <t>1900.900.412-000</t>
  </si>
  <si>
    <t>RODAMIENTO 2213</t>
  </si>
  <si>
    <t>1900.905.004-000</t>
  </si>
  <si>
    <t>1900.905.015-000</t>
  </si>
  <si>
    <t>RODAMIENTO 1288</t>
  </si>
  <si>
    <t>1900.905.016-000</t>
  </si>
  <si>
    <t>RODAMIENTO RX 1900.905.029-000</t>
  </si>
  <si>
    <t>1900.905.018-000</t>
  </si>
  <si>
    <t>RODAMIENTO 627-2Z/C3 (7X22X7MM)</t>
  </si>
  <si>
    <t>1900.905.019-000</t>
  </si>
  <si>
    <t>CC: ROLAMENTO</t>
  </si>
  <si>
    <t>1900.905.023-000</t>
  </si>
  <si>
    <t>RODAMIENTO A BOLILLA 1119/6555</t>
  </si>
  <si>
    <t>1900.905.025-000</t>
  </si>
  <si>
    <t>RODAMIENTO 629 - 9X26X8MM.</t>
  </si>
  <si>
    <t>1900.905.028-000</t>
  </si>
  <si>
    <t>RODAMIENTO RIGIDO BOLAS 7461</t>
  </si>
  <si>
    <t>1900.905.029-000</t>
  </si>
  <si>
    <t>1900.905.030-000</t>
  </si>
  <si>
    <t>ROD. RIG. BOLAS\DIN 628/7 7460.4 7160.5</t>
  </si>
  <si>
    <t>1900.905.041-000</t>
  </si>
  <si>
    <t>1900.905.103-000</t>
  </si>
  <si>
    <t>1900.905.120-000</t>
  </si>
  <si>
    <t>RODAMIENTO 1921 RX 1900905127000</t>
  </si>
  <si>
    <t>1900.905.121-000</t>
  </si>
  <si>
    <t>1900.905.122-000</t>
  </si>
  <si>
    <t>1900.905.127-000</t>
  </si>
  <si>
    <t>RODAMIENTO 6000 - 10X26X8MM.</t>
  </si>
  <si>
    <t>1900.905.128-000</t>
  </si>
  <si>
    <t>RODAMIENTO-   R x 1900900276</t>
  </si>
  <si>
    <t>1900.905.161-000</t>
  </si>
  <si>
    <t>RODAMIENTO 6001 - 12X28X8MM.</t>
  </si>
  <si>
    <t>1900.905.162-000</t>
  </si>
  <si>
    <t>1900.905.163-000</t>
  </si>
  <si>
    <t>COJINETE 1184/94/9B/11A5/1FB3.0</t>
  </si>
  <si>
    <t>1900.905.164-000</t>
  </si>
  <si>
    <t>RODAMIENTO DE BOLAS 1276</t>
  </si>
  <si>
    <t>1900.905.173-000</t>
  </si>
  <si>
    <t>RODAMIENTO 157A/5885/164J/1676.0/12A2.0</t>
  </si>
  <si>
    <t>1900.905.200-000</t>
  </si>
  <si>
    <t>1900.905.232-000</t>
  </si>
  <si>
    <t>RODAMIENTO RIGIDO BOLAS 6200-2Z DIN 625</t>
  </si>
  <si>
    <t>1900.905.234-000</t>
  </si>
  <si>
    <t>groove ball bearing</t>
  </si>
  <si>
    <t>1900.905.250-000</t>
  </si>
  <si>
    <t>RODAMIENTO 1347.1/1551.0.1  RX 275</t>
  </si>
  <si>
    <t>1900.905.276-000</t>
  </si>
  <si>
    <t>RODAMIENTO RIGIDO BOLAS 1619 - DISCONT.</t>
  </si>
  <si>
    <t>1900.905.279-000</t>
  </si>
  <si>
    <t>RODAMIENTO RIGIDO BOLAS 15X35X11</t>
  </si>
  <si>
    <t>1901.091.101-000</t>
  </si>
  <si>
    <t>BORNERA 0870</t>
  </si>
  <si>
    <t>1903.201.020-000</t>
  </si>
  <si>
    <t>1903.201.041-000</t>
  </si>
  <si>
    <t>RODILLO 3230</t>
  </si>
  <si>
    <t>1903.201.042-000</t>
  </si>
  <si>
    <t>AGUJA RODAMIENTO 1589.0/1588.7/1598</t>
  </si>
  <si>
    <t>1903.201.044-000</t>
  </si>
  <si>
    <t>AGUJA PARA RODAMIENTO 1507/7160.5</t>
  </si>
  <si>
    <t>1903.201.054-000</t>
  </si>
  <si>
    <t>AGUJA PARA RODAMIENTO 158E</t>
  </si>
  <si>
    <t>1903.201.520-000</t>
  </si>
  <si>
    <t>1903.230.002-000</t>
  </si>
  <si>
    <t>BOLA 7452</t>
  </si>
  <si>
    <t>1903.230.003-000</t>
  </si>
  <si>
    <t>ESFERA 2490</t>
  </si>
  <si>
    <t>1903.230.004-000</t>
  </si>
  <si>
    <t>BOLILLA DE RODAMIENTO 3254</t>
  </si>
  <si>
    <t>1903.230.005-000</t>
  </si>
  <si>
    <t>BOLILLA 1/8"</t>
  </si>
  <si>
    <t>1903.230.006-000</t>
  </si>
  <si>
    <t>BOLILLA 1420/2490.4/1423</t>
  </si>
  <si>
    <t>1903.230.007-000</t>
  </si>
  <si>
    <t>Pelota</t>
  </si>
  <si>
    <t>1903.230.008-000</t>
  </si>
  <si>
    <t>BOLA \ 4,5 MM  EXACT12 /10 /9 /8 /6 /2/</t>
  </si>
  <si>
    <t>1903.230.011-000</t>
  </si>
  <si>
    <t>BOLA DIN 5401-6 G28</t>
  </si>
  <si>
    <t>1903.230.012-000</t>
  </si>
  <si>
    <t>BOLILLA 11311</t>
  </si>
  <si>
    <t>1903.230.013-000</t>
  </si>
  <si>
    <t>1903.230.017-000</t>
  </si>
  <si>
    <t>BOLA 7457</t>
  </si>
  <si>
    <t>1903.230.026-000</t>
  </si>
  <si>
    <t>BOLA 7452/7661 DISCONTINUADO</t>
  </si>
  <si>
    <t>1903.230.200-000</t>
  </si>
  <si>
    <t>BOLILLA</t>
  </si>
  <si>
    <t>1903.230.309-000</t>
  </si>
  <si>
    <t>BOLILLA  7557.5</t>
  </si>
  <si>
    <t>1903.230.406-000</t>
  </si>
  <si>
    <t>BOLILLA 1939.8</t>
  </si>
  <si>
    <t>1903.230.528-000</t>
  </si>
  <si>
    <t>BOLILLA 7461118</t>
  </si>
  <si>
    <t>1907.904.721-000</t>
  </si>
  <si>
    <t>PALANCA DE APRIETE 1368</t>
  </si>
  <si>
    <t>1907.950.003-000</t>
  </si>
  <si>
    <t>DESTORNILLADOR ANGULAR</t>
  </si>
  <si>
    <t>1907.950.004-000</t>
  </si>
  <si>
    <t>LLAVE DE ESP.P.TORNILLOS 4750</t>
  </si>
  <si>
    <t>1907.950.006-000</t>
  </si>
  <si>
    <t>LLAVE DE ESP.P.TORNILLOS RX 2610364015</t>
  </si>
  <si>
    <t>1907.950.007-000</t>
  </si>
  <si>
    <t>LLAVE HEXAGONAL 3237/3236.278</t>
  </si>
  <si>
    <t>1907.950.506-000</t>
  </si>
  <si>
    <t>LLAVE FIJA DE UNA BOCA 2209</t>
  </si>
  <si>
    <t>1907.950.508-000</t>
  </si>
  <si>
    <t>LLAVE FIJA DE BOCA</t>
  </si>
  <si>
    <t>1907.950.509-000</t>
  </si>
  <si>
    <t>2600.000.012-000</t>
  </si>
  <si>
    <t>ARANDELA DE AJUSTE OBSOLETO</t>
  </si>
  <si>
    <t>2600.000.014-000</t>
  </si>
  <si>
    <t>SUPLEMENTO 1184/94</t>
  </si>
  <si>
    <t>2600.000.021-000</t>
  </si>
  <si>
    <t>ARANDELA DE AJUSTE 1,0 MM</t>
  </si>
  <si>
    <t>2600.000.022-000</t>
  </si>
  <si>
    <t>PLACAS 3298</t>
  </si>
  <si>
    <t>2600.000.023-000</t>
  </si>
  <si>
    <t>2600.000.024-000</t>
  </si>
  <si>
    <t>2600.000.025-000</t>
  </si>
  <si>
    <t>2600.000.030-000</t>
  </si>
  <si>
    <t>ARANDELA DE AJUSTE 1,35 MM</t>
  </si>
  <si>
    <t>2600.000.031-000</t>
  </si>
  <si>
    <t>ARANDELA DE AJUSTE 1,7 MM</t>
  </si>
  <si>
    <t>2600.000.049-000</t>
  </si>
  <si>
    <t>PLACA DE CUBIERTA</t>
  </si>
  <si>
    <t>2600.025.005-000</t>
  </si>
  <si>
    <t>PLATINA 3312</t>
  </si>
  <si>
    <t>2600.030.010-000</t>
  </si>
  <si>
    <t>DISCO EXCENT. 0842.5-6</t>
  </si>
  <si>
    <t>2600.030.011-000</t>
  </si>
  <si>
    <t>2600.030.900-000</t>
  </si>
  <si>
    <t>DISCO EXCENTRICO 0830</t>
  </si>
  <si>
    <t>2600.034.007-000</t>
  </si>
  <si>
    <t>ARO DEFLECTOR 1293</t>
  </si>
  <si>
    <t>2600.034.008-000</t>
  </si>
  <si>
    <t>2600.040.001-000</t>
  </si>
  <si>
    <t>PLACA AHORQ. 0,2MM 3229.2/3364 OBSOLETO</t>
  </si>
  <si>
    <t>2600.040.002-000</t>
  </si>
  <si>
    <t>ARAND.DE AJUSTE 0,6MM 3364 - DISCONT.</t>
  </si>
  <si>
    <t>2600.040.003-000</t>
  </si>
  <si>
    <t>PLACA DE FIJACION 1281.719</t>
  </si>
  <si>
    <t>2600.040.004-000</t>
  </si>
  <si>
    <t>Placa De Fijacion</t>
  </si>
  <si>
    <t>2600.100.029-000</t>
  </si>
  <si>
    <t>ARANDELA 3272</t>
  </si>
  <si>
    <t>2600.100.034-000</t>
  </si>
  <si>
    <t>DISCO 3312/3169</t>
  </si>
  <si>
    <t>2600.100.040-000</t>
  </si>
  <si>
    <t>ARANDELA DE AJUSTE 1513</t>
  </si>
  <si>
    <t>2600.100.066-000</t>
  </si>
  <si>
    <t>ARANDELA 3169 - DISCONT.</t>
  </si>
  <si>
    <t>2600.100.083-000</t>
  </si>
  <si>
    <t>ARANDELA 0842.5-6 - DISCONT</t>
  </si>
  <si>
    <t>2600.100.098-000</t>
  </si>
  <si>
    <t>ARANDELA DE GOMA 1939.8 OBSOLETO</t>
  </si>
  <si>
    <t>2600.100.099-000</t>
  </si>
  <si>
    <t>ARANDELA 3270.1/1274</t>
  </si>
  <si>
    <t>2600.100.105-000</t>
  </si>
  <si>
    <t>2600.100.505-000</t>
  </si>
  <si>
    <t>2600.100.510-000</t>
  </si>
  <si>
    <t>ARANDELA \ 0,5 MM  7661.5</t>
  </si>
  <si>
    <t>2600.100.515-000</t>
  </si>
  <si>
    <t>2600.100.516-000</t>
  </si>
  <si>
    <t>2600.100.519-000</t>
  </si>
  <si>
    <t>2600.100.563-000</t>
  </si>
  <si>
    <t>2600.100.568-000</t>
  </si>
  <si>
    <t>2600.100.570-000</t>
  </si>
  <si>
    <t>ARANDELA 0,3MM 0173/1110/3335 DISCONT.</t>
  </si>
  <si>
    <t>2600.100.575-000</t>
  </si>
  <si>
    <t>2600.100.576-000</t>
  </si>
  <si>
    <t>2600.100.577-000</t>
  </si>
  <si>
    <t>2600.100.586-000</t>
  </si>
  <si>
    <t>ARANDELA DE AJUSTE 0,20 MM 1575.1</t>
  </si>
  <si>
    <t>2600.100.587-000</t>
  </si>
  <si>
    <t>ARANDELA DE AJUSTE 0,30 MM 1575.1</t>
  </si>
  <si>
    <t>2600.100.588-000</t>
  </si>
  <si>
    <t>2600.100.607-000</t>
  </si>
  <si>
    <t>2600.100.611-000</t>
  </si>
  <si>
    <t>ARANDELA DE AJUSTE 0,10 MM 1575.1</t>
  </si>
  <si>
    <t>2600.100.612-000</t>
  </si>
  <si>
    <t>ARRUELA DE COMPENSACAO</t>
  </si>
  <si>
    <t>2600.100.613-000</t>
  </si>
  <si>
    <t>ARANDELA DE AJUSTE 0,50 MM 1575.1</t>
  </si>
  <si>
    <t>2600.100.618-000</t>
  </si>
  <si>
    <t>ARANDELA 1184/94</t>
  </si>
  <si>
    <t>2600.100.621-000</t>
  </si>
  <si>
    <t>ARANDELA AJUSTE 3236 - 0.2 MM</t>
  </si>
  <si>
    <t>2600.100.625-000</t>
  </si>
  <si>
    <t>2600.100.626-000</t>
  </si>
  <si>
    <t>2600.100.627-000</t>
  </si>
  <si>
    <t>2600.100.628-000</t>
  </si>
  <si>
    <t>ARANDELA 1587/1423</t>
  </si>
  <si>
    <t>2600.100.636-000</t>
  </si>
  <si>
    <t>ARANDELA 1921/2490</t>
  </si>
  <si>
    <t>2600.100.692-000</t>
  </si>
  <si>
    <t>ARAND.AJUSTE 0,2MM- 3169.1</t>
  </si>
  <si>
    <t>2600.100.699-000</t>
  </si>
  <si>
    <t>2600.101.001-000</t>
  </si>
  <si>
    <t>2600.101.003-000</t>
  </si>
  <si>
    <t>2600.101.016-000</t>
  </si>
  <si>
    <t>ARANDELA AJUSTE 3293 OBSOLETO</t>
  </si>
  <si>
    <t>2600.101.020-000</t>
  </si>
  <si>
    <t>ARAND. 0,5MM 1184/94/1215/1587</t>
  </si>
  <si>
    <t>2600.101.022-000</t>
  </si>
  <si>
    <t>ARAND. 0,2MM 1184/94/1215/1587</t>
  </si>
  <si>
    <t>2600.101.023-000</t>
  </si>
  <si>
    <t>ARAND. 0,3MM 1184/94/1215/1587</t>
  </si>
  <si>
    <t>2600.101.027-000</t>
  </si>
  <si>
    <t>2600.101.038-000</t>
  </si>
  <si>
    <t>SEPARADOR 3363.7</t>
  </si>
  <si>
    <t>2600.101.048-000</t>
  </si>
  <si>
    <t>2600.101.056-000</t>
  </si>
  <si>
    <t>ARANDELA DE AJUSTE 1AA5.0/1AA6.0</t>
  </si>
  <si>
    <t>2600.101.077-000</t>
  </si>
  <si>
    <t>ARANDELA DE AJUSTE 158E/158J/158F</t>
  </si>
  <si>
    <t>2600.101.083-000</t>
  </si>
  <si>
    <t>ARANDELA 0,3MM 3288/3335</t>
  </si>
  <si>
    <t>2600.101.085-000</t>
  </si>
  <si>
    <t>DISCO DE PRESION 3316</t>
  </si>
  <si>
    <t>2600.101.088-000</t>
  </si>
  <si>
    <t>ARANDELA AJUSTE 0,2MM 3346</t>
  </si>
  <si>
    <t>2600.101.089-000</t>
  </si>
  <si>
    <t>ARANDELA AJUSTE 0,3MM 3346</t>
  </si>
  <si>
    <t>2600.101.090-000</t>
  </si>
  <si>
    <t>ARANDELA AJUSTE 0,4MM 3346</t>
  </si>
  <si>
    <t>2600.101.091-000</t>
  </si>
  <si>
    <t>ARANDELA AJUSTE 0,5MM 3346</t>
  </si>
  <si>
    <t>2600.101.095-000</t>
  </si>
  <si>
    <t>ARANDELA DE AJUSTE 1598</t>
  </si>
  <si>
    <t>2600.101.096-000</t>
  </si>
  <si>
    <t>ARANDELA 0843.0</t>
  </si>
  <si>
    <t>2600.101.119-000</t>
  </si>
  <si>
    <t>2600.101.513-000</t>
  </si>
  <si>
    <t>ARANDELA PLANA 7452</t>
  </si>
  <si>
    <t>2600.101.515-000</t>
  </si>
  <si>
    <t>2600.101.604-000</t>
  </si>
  <si>
    <t>2600.101.612-000</t>
  </si>
  <si>
    <t>ARANDELA 0,5MM 1577/1587/3335</t>
  </si>
  <si>
    <t>2600.101.613-000</t>
  </si>
  <si>
    <t>2600.101.616-000</t>
  </si>
  <si>
    <t>arandela de compensación</t>
  </si>
  <si>
    <t>2600.101.617-000</t>
  </si>
  <si>
    <t>ARANDELA DE AJUSTE 0,3 MM 1575.1</t>
  </si>
  <si>
    <t>2600.101.655-000</t>
  </si>
  <si>
    <t>ARANDELA -DISCONTINUADO</t>
  </si>
  <si>
    <t>2600.101.656-000</t>
  </si>
  <si>
    <t>2600.101.657-000</t>
  </si>
  <si>
    <t>2600.101.660-000</t>
  </si>
  <si>
    <t>2600.101.661-000</t>
  </si>
  <si>
    <t>2600.101.662-000</t>
  </si>
  <si>
    <t>2600.101.668-000</t>
  </si>
  <si>
    <t>2600.101.671-000</t>
  </si>
  <si>
    <t>ARANDELA DE RETENCION 1AA6.0</t>
  </si>
  <si>
    <t>2600.101.673-000</t>
  </si>
  <si>
    <t>ARANDELA SUPLEMENTO</t>
  </si>
  <si>
    <t>2600.102.014-000</t>
  </si>
  <si>
    <t>ARANDELA 0,5MM 3335</t>
  </si>
  <si>
    <t>2600.102.028-000</t>
  </si>
  <si>
    <t>2600.102.029-000</t>
  </si>
  <si>
    <t>ARANDELA 1504</t>
  </si>
  <si>
    <t>2600.102.036-000</t>
  </si>
  <si>
    <t>ARANDELA  7460.4  7460.4 7460.0 7160.5</t>
  </si>
  <si>
    <t>2600.102.614-000</t>
  </si>
  <si>
    <t>ARAND.AJUSTE 0,5MM-1588.7/89.0/1598</t>
  </si>
  <si>
    <t>2600.102.652-000</t>
  </si>
  <si>
    <t>ARANDELA 1577/1587</t>
  </si>
  <si>
    <t>2600.102.653-000</t>
  </si>
  <si>
    <t>ARANDELA 1573/1587</t>
  </si>
  <si>
    <t>2600.102.656-000</t>
  </si>
  <si>
    <t>ARANDELA 3230</t>
  </si>
  <si>
    <t>2600.102.658-000</t>
  </si>
  <si>
    <t>2600.102.661-000</t>
  </si>
  <si>
    <t>ARANDELA 1577/3230 OBSOLETO</t>
  </si>
  <si>
    <t>2600.103.013-000</t>
  </si>
  <si>
    <t>2600.103.015-000</t>
  </si>
  <si>
    <t>DISCO DE APOIO</t>
  </si>
  <si>
    <t>2600.108.002-000</t>
  </si>
  <si>
    <t>ARANDELA DE FIELTRO 3161</t>
  </si>
  <si>
    <t>2600.108.006-000</t>
  </si>
  <si>
    <t>RETEN 3281</t>
  </si>
  <si>
    <t>2600.108.017-000</t>
  </si>
  <si>
    <t>2600.108.020-000</t>
  </si>
  <si>
    <t>JUNTA-RX1900905120</t>
  </si>
  <si>
    <t>2600.108.026-000</t>
  </si>
  <si>
    <t>ANILLO DE FIELTRO 1575.1</t>
  </si>
  <si>
    <t>2600.108.033-000</t>
  </si>
  <si>
    <t>JUNTA 1210</t>
  </si>
  <si>
    <t>2600.108.076-000</t>
  </si>
  <si>
    <t>FIELTRO 1163.6 - DISCONTINUADO</t>
  </si>
  <si>
    <t>2600.108.077-000</t>
  </si>
  <si>
    <t>2600.108.079-000</t>
  </si>
  <si>
    <t>ANILLO FIELTRO 3363.7</t>
  </si>
  <si>
    <t>2600.109.124-000</t>
  </si>
  <si>
    <t>2600.109.125-000</t>
  </si>
  <si>
    <t>SELLO DE FIELTRO</t>
  </si>
  <si>
    <t>2600.109.126-000</t>
  </si>
  <si>
    <t>2600.112.031-000</t>
  </si>
  <si>
    <t>2600.113.019-000</t>
  </si>
  <si>
    <t>2600.116.012-000</t>
  </si>
  <si>
    <t>ARAND.DE AJUSTE 0,3MM 3335 - DISCONTINAD</t>
  </si>
  <si>
    <t>2600.116.099-000</t>
  </si>
  <si>
    <t>2600.118.001-000</t>
  </si>
  <si>
    <t>2600.118.002-000</t>
  </si>
  <si>
    <t>CC: ANEL TRAVA</t>
  </si>
  <si>
    <t>2600.118.006-000</t>
  </si>
  <si>
    <t>ARANDELA 3167/8/1140   0.6 MM</t>
  </si>
  <si>
    <t>2600.118.007-000</t>
  </si>
  <si>
    <t>ARANDELA 1140 - 1,2 MM</t>
  </si>
  <si>
    <t>2600.118.008-000</t>
  </si>
  <si>
    <t>ANILLO DE APRIETE 3327.7</t>
  </si>
  <si>
    <t>2600.118.013-000</t>
  </si>
  <si>
    <t>ANILLO DE SEGURIDAD 1510</t>
  </si>
  <si>
    <t>2600.119.000-000</t>
  </si>
  <si>
    <t>ANILLO DE SEGURIDAD 7661</t>
  </si>
  <si>
    <t>2600.120.043-000</t>
  </si>
  <si>
    <t>S/D</t>
  </si>
  <si>
    <t>2600.120.046-000</t>
  </si>
  <si>
    <t>DISCO 1288 DISCONT.</t>
  </si>
  <si>
    <t>2600.121.002-000</t>
  </si>
  <si>
    <t>2600.136.002-000</t>
  </si>
  <si>
    <t>JUNTA 1338</t>
  </si>
  <si>
    <t>2600.136.003-000</t>
  </si>
  <si>
    <t>2600.138.001-000</t>
  </si>
  <si>
    <t>2600.139.001-000</t>
  </si>
  <si>
    <t>2600.148.008-000</t>
  </si>
  <si>
    <t>ARO DEFLECTOR DE AIRE 119B/11A5</t>
  </si>
  <si>
    <t>2600.148.020-000</t>
  </si>
  <si>
    <t>CONDUCTA DE AIRE COMPRIM</t>
  </si>
  <si>
    <t>2600.150.002-000</t>
  </si>
  <si>
    <t>2600.150.003-000</t>
  </si>
  <si>
    <t>ARANDELA DE AJUSTE 1575.1</t>
  </si>
  <si>
    <t>2600.150.004-000</t>
  </si>
  <si>
    <t>2600.150.005-000</t>
  </si>
  <si>
    <t>ARANDELA DE COMPENSACION 3161</t>
  </si>
  <si>
    <t>2600.150.033-000</t>
  </si>
  <si>
    <t>ARANDELA DE AJUSTE 1215.7</t>
  </si>
  <si>
    <t>2600.150.050-000</t>
  </si>
  <si>
    <t>ARANDELA 3230/3238</t>
  </si>
  <si>
    <t>2600.170.000-000</t>
  </si>
  <si>
    <t>2600.190.001-000</t>
  </si>
  <si>
    <t>DISCO DE CUBIERT.</t>
  </si>
  <si>
    <t>2600.190.009-000</t>
  </si>
  <si>
    <t>2600.190.013-000</t>
  </si>
  <si>
    <t>2600.190.019-000</t>
  </si>
  <si>
    <t>2600.190.040-000</t>
  </si>
  <si>
    <t>2600.190.051-000</t>
  </si>
  <si>
    <t>ARANDELA DE MUESCAS 3168/1194 RX 057</t>
  </si>
  <si>
    <t>2600.190.052-000</t>
  </si>
  <si>
    <t>ARANDELA 1184/94/3161   RA 043</t>
  </si>
  <si>
    <t>2600.190.056-000</t>
  </si>
  <si>
    <t>ARANDELA CON MUESCAS 1937</t>
  </si>
  <si>
    <t>2600.190.057-000</t>
  </si>
  <si>
    <t>ARRASTRE 1182/1184       RA035</t>
  </si>
  <si>
    <t>2600.190.059-000</t>
  </si>
  <si>
    <t>ANILLO DE SEGURIDAD 3309</t>
  </si>
  <si>
    <t>2600.190.060-000</t>
  </si>
  <si>
    <t>ARANDELA DE SEGURIDAD 1372/2714</t>
  </si>
  <si>
    <t>2600.190.067-000</t>
  </si>
  <si>
    <t>ARANDELA DE AJUSTE 3316</t>
  </si>
  <si>
    <t>2600.200.007-000</t>
  </si>
  <si>
    <t>SPACER RING</t>
  </si>
  <si>
    <t>2600.200.022-000</t>
  </si>
  <si>
    <t>BUJE DISTANCIADOR 3335</t>
  </si>
  <si>
    <t>2600.200.023-000</t>
  </si>
  <si>
    <t>ANILLO DISTANCIADOR - 3221</t>
  </si>
  <si>
    <t>2600.200.038-000</t>
  </si>
  <si>
    <t>ANILLO INTERMEDIO 1588.7/89.0/1510/1598</t>
  </si>
  <si>
    <t>2600.200.044-000</t>
  </si>
  <si>
    <t>ANILLO DE RETENC. 0843.0</t>
  </si>
  <si>
    <t>2600.202.025-000</t>
  </si>
  <si>
    <t>ANILLO DE RETENCION 1937.7</t>
  </si>
  <si>
    <t>2600.202.037-000</t>
  </si>
  <si>
    <t>ANILLO RETENCION 1588.7/1589.0/1598</t>
  </si>
  <si>
    <t>2600.202.058-000</t>
  </si>
  <si>
    <t>ANILLO RX 2600202067000</t>
  </si>
  <si>
    <t>2600.202.067-000</t>
  </si>
  <si>
    <t>ANILLO DE RETENCION 1859.T</t>
  </si>
  <si>
    <t>2600.206.010-000</t>
  </si>
  <si>
    <t>ANILLO DE FRICCION 1372 RX1600A00JE7000</t>
  </si>
  <si>
    <t>2600.206.011-000</t>
  </si>
  <si>
    <t>ANILLO DE FRICCION 3309</t>
  </si>
  <si>
    <t>2600.206.015-000</t>
  </si>
  <si>
    <t>ANILLO DE FRICCION 7435</t>
  </si>
  <si>
    <t>2600.206.025-000</t>
  </si>
  <si>
    <t>2600.206.028-000</t>
  </si>
  <si>
    <t>ANILLO DE FRICCION 137B</t>
  </si>
  <si>
    <t>2600.209.003-000</t>
  </si>
  <si>
    <t>2600.209.004-000</t>
  </si>
  <si>
    <t>ESPACIADOR 3312/7160509 - DISCONT.</t>
  </si>
  <si>
    <t>2600.209.012-000</t>
  </si>
  <si>
    <t>ANILLO DISTANCIADOR 3169</t>
  </si>
  <si>
    <t>2600.209.018-000</t>
  </si>
  <si>
    <t>2600.210.001-000</t>
  </si>
  <si>
    <t>ANILLO TOROIDAL 1436</t>
  </si>
  <si>
    <t>2600.210.003-000</t>
  </si>
  <si>
    <t>ARANDELA 11236</t>
  </si>
  <si>
    <t>2600.210.004-000</t>
  </si>
  <si>
    <t>2600.210.007-000</t>
  </si>
  <si>
    <t>2600.210.018-000</t>
  </si>
  <si>
    <t>ANILLO 7461</t>
  </si>
  <si>
    <t>2600.210.019-000</t>
  </si>
  <si>
    <t>2600.210.026-000</t>
  </si>
  <si>
    <t>JUNTA TORICA 1230</t>
  </si>
  <si>
    <t>2600.210.027-000</t>
  </si>
  <si>
    <t>2600.210.036-000</t>
  </si>
  <si>
    <t>ANILLO 0841</t>
  </si>
  <si>
    <t>2600.210.043-000</t>
  </si>
  <si>
    <t>ANILLO 1420</t>
  </si>
  <si>
    <t>2600.210.056-000</t>
  </si>
  <si>
    <t>JUNTA TORICA 31,0X2,0 MM</t>
  </si>
  <si>
    <t>2600.211.800-000</t>
  </si>
  <si>
    <t>MORDAZA P/USO CON DISP 2608110803</t>
  </si>
  <si>
    <t>2600.211.801-000</t>
  </si>
  <si>
    <t>MORDAZA P/USO CON DISP. 2608110803</t>
  </si>
  <si>
    <t>2600.211.802-000</t>
  </si>
  <si>
    <t>2600.211.804-000</t>
  </si>
  <si>
    <t>2600.211.805-000</t>
  </si>
  <si>
    <t>2600.224.007-000</t>
  </si>
  <si>
    <t>ANILLO DE MUELLE 1436</t>
  </si>
  <si>
    <t>2600.224.009-000</t>
  </si>
  <si>
    <t>ANILLO DE MUELLE 1506/30</t>
  </si>
  <si>
    <t>2600.232.000-000</t>
  </si>
  <si>
    <t>BRIDA DE COJINETE 1288</t>
  </si>
  <si>
    <t>2600.250.005-000</t>
  </si>
  <si>
    <t>ANILLO DE PROTECCION 1436.8</t>
  </si>
  <si>
    <t>2600.282.015-000</t>
  </si>
  <si>
    <t>CAPOTA DE ASPIRACION 1372/2714</t>
  </si>
  <si>
    <t>2600.282.018-000</t>
  </si>
  <si>
    <t>TAPA 1293</t>
  </si>
  <si>
    <t>2600.283.012-000</t>
  </si>
  <si>
    <t>JUNTA 7460400</t>
  </si>
  <si>
    <t>2600.283.022-000</t>
  </si>
  <si>
    <t>CAPOTA DE ASPIRACION 137B</t>
  </si>
  <si>
    <t>2600.290.006-000</t>
  </si>
  <si>
    <t>ARO DEFLECTOR DE AIRE 1593- DISCONTINUAD</t>
  </si>
  <si>
    <t>2600.290.009-000</t>
  </si>
  <si>
    <t>DEFLECTOR DE AIRE 1593.1/159A</t>
  </si>
  <si>
    <t>2600.290.012-000</t>
  </si>
  <si>
    <t>ARO DE GOMA 1288</t>
  </si>
  <si>
    <t>2600.290.013-000</t>
  </si>
  <si>
    <t>ANILLO DE APRIETE</t>
  </si>
  <si>
    <t>2600.290.017-000</t>
  </si>
  <si>
    <t>JUNTA DE FIELTRO 1577</t>
  </si>
  <si>
    <t>2600.290.023-000</t>
  </si>
  <si>
    <t>ANILLO DE APOYO 1937.7</t>
  </si>
  <si>
    <t>2600.290.025-000</t>
  </si>
  <si>
    <t>ANILLO DE APRIETE 3346</t>
  </si>
  <si>
    <t>2600.290.030-000</t>
  </si>
  <si>
    <t>ANILLO RETEN 1293</t>
  </si>
  <si>
    <t>2600.290.033-000</t>
  </si>
  <si>
    <t>ANILLO DE JUNTA 3270/1274</t>
  </si>
  <si>
    <t>2600.290.036-000</t>
  </si>
  <si>
    <t>RETEN 1293</t>
  </si>
  <si>
    <t>2600.290.039-000</t>
  </si>
  <si>
    <t>ANILLO DE JUNTA  3368.0/129A</t>
  </si>
  <si>
    <t>2600.290.051-000</t>
  </si>
  <si>
    <t>ARO DEFLECTOR DE AIRE 1598</t>
  </si>
  <si>
    <t>2600.290.060-000</t>
  </si>
  <si>
    <t>DISCO MAGNETICO 1516</t>
  </si>
  <si>
    <t>2600.290.902-000</t>
  </si>
  <si>
    <t>JUEGO DE  PIEZAS-1588.7/1589.0/1598</t>
  </si>
  <si>
    <t>2600.290.903-000</t>
  </si>
  <si>
    <t>JUEGO DE JUNTAS 1510</t>
  </si>
  <si>
    <t>2600.300.005-000</t>
  </si>
  <si>
    <t>RODILLO 1575.1</t>
  </si>
  <si>
    <t>2600.300.011-000</t>
  </si>
  <si>
    <t>2600.300.013-000</t>
  </si>
  <si>
    <t>2600.300.047-000</t>
  </si>
  <si>
    <t>CASQUILLO DE ESTANQUEIDAD 1575.1</t>
  </si>
  <si>
    <t>2600.300.062-000</t>
  </si>
  <si>
    <t>CASQUILLO 3261</t>
  </si>
  <si>
    <t>2600.300.071-000</t>
  </si>
  <si>
    <t>2600.300.073-000</t>
  </si>
  <si>
    <t>BUJE 1210/3261.0 BR</t>
  </si>
  <si>
    <t>2600.300.077-000</t>
  </si>
  <si>
    <t>BUJE 0841.4 obsoleto</t>
  </si>
  <si>
    <t>2600.301.011-000</t>
  </si>
  <si>
    <t>BUJE 1921</t>
  </si>
  <si>
    <t>2600.301.013-000</t>
  </si>
  <si>
    <t>BUJE 3312</t>
  </si>
  <si>
    <t>2600.301.014-000</t>
  </si>
  <si>
    <t>BUJE GUIA 3229/3364 obsoleto</t>
  </si>
  <si>
    <t>2600.301.028-000</t>
  </si>
  <si>
    <t>CASQUILLO SINTETIZADO 3169</t>
  </si>
  <si>
    <t>2600.301.029-000</t>
  </si>
  <si>
    <t>BUJE SINTETIZADO 3316</t>
  </si>
  <si>
    <t>2600.301.037-000</t>
  </si>
  <si>
    <t>CASQUILLO 1588.7/1589.0/1598</t>
  </si>
  <si>
    <t>2600.301.045-000</t>
  </si>
  <si>
    <t>BUJE 1577</t>
  </si>
  <si>
    <t>2600.301.046-000</t>
  </si>
  <si>
    <t>BUJE 1577-</t>
  </si>
  <si>
    <t>2600.301.049-000</t>
  </si>
  <si>
    <t>CASQUILLO GST 65 BE (1B81)</t>
  </si>
  <si>
    <t>2600.301.052-000</t>
  </si>
  <si>
    <t>COJINETE SINTETIZADO 3338/7</t>
  </si>
  <si>
    <t>2600.302.002-000</t>
  </si>
  <si>
    <t>2600.302.004-000</t>
  </si>
  <si>
    <t>BUJE 3281 obsoleto</t>
  </si>
  <si>
    <t>2600.302.006-000</t>
  </si>
  <si>
    <t>CASQUILLO SINTERIZ. 3238/3335</t>
  </si>
  <si>
    <t>2600.302.009-000</t>
  </si>
  <si>
    <t>BUJE 3293 - DISCONTINUADO</t>
  </si>
  <si>
    <t>2600.302.014-000</t>
  </si>
  <si>
    <t>2600.302.022-000</t>
  </si>
  <si>
    <t>CASQUILLO SINTERIZADO 3363.7</t>
  </si>
  <si>
    <t>2600.302.027-000</t>
  </si>
  <si>
    <t>Sintered-Metal Bushing</t>
  </si>
  <si>
    <t>2600.306.003-000</t>
  </si>
  <si>
    <t>ANILLO DE JUNTA 1288 obsoleto</t>
  </si>
  <si>
    <t>2600.309.009-000</t>
  </si>
  <si>
    <t>BUJE DE PLASTICO 1587</t>
  </si>
  <si>
    <t>2600.322.003-000</t>
  </si>
  <si>
    <t>CASQUILLO 3229/3364 - DISCONTINUADO</t>
  </si>
  <si>
    <t>2600.322.043-000</t>
  </si>
  <si>
    <t>2600.322.051-000</t>
  </si>
  <si>
    <t>PERCUTOR 1939.8</t>
  </si>
  <si>
    <t>2600.324.008-000</t>
  </si>
  <si>
    <t>CASQUILLO GUIA 1593</t>
  </si>
  <si>
    <t>2600.324.009-000</t>
  </si>
  <si>
    <t>POLEA 1593/3258</t>
  </si>
  <si>
    <t>2600.324.010-000</t>
  </si>
  <si>
    <t>RUEDA DE CORREA 159A</t>
  </si>
  <si>
    <t>2600.324.012-000</t>
  </si>
  <si>
    <t>2600.326.903-000</t>
  </si>
  <si>
    <t>JUEGO DE RODILLOS 1587/1589 RX1619P01375</t>
  </si>
  <si>
    <t>2600.326.904-000</t>
  </si>
  <si>
    <t>JUEGO DE RODILLOS 1598</t>
  </si>
  <si>
    <t>2600.327.006-000</t>
  </si>
  <si>
    <t>SENSOR 3168 DISCONTINUADO</t>
  </si>
  <si>
    <t>2600.327.008-000</t>
  </si>
  <si>
    <t>BOTÓN GIRATORIO</t>
  </si>
  <si>
    <t>2600.327.009-000</t>
  </si>
  <si>
    <t>2600.328.016-000</t>
  </si>
  <si>
    <t>ARRASTRADOR  3309</t>
  </si>
  <si>
    <t>2600.328.026-000</t>
  </si>
  <si>
    <t>ARRASTRADOR 2714</t>
  </si>
  <si>
    <t>2600.328.027-000</t>
  </si>
  <si>
    <t>ARRASTRADOR 7435</t>
  </si>
  <si>
    <t>2600.390.026-000</t>
  </si>
  <si>
    <t>CUBETA 3346</t>
  </si>
  <si>
    <t>2600.400.001-000</t>
  </si>
  <si>
    <t>2600.400.012-000</t>
  </si>
  <si>
    <t>BUJE DE COJINETE 3335</t>
  </si>
  <si>
    <t>2600.400.020-000</t>
  </si>
  <si>
    <t>CASQUILLO 0173/1111 - DISCONTINUADO</t>
  </si>
  <si>
    <t>2600.400.023-000</t>
  </si>
  <si>
    <t>2600.400.024-000</t>
  </si>
  <si>
    <t>2600.400.028-000</t>
  </si>
  <si>
    <t>COJINETE 3293</t>
  </si>
  <si>
    <t>2600.400.032-000</t>
  </si>
  <si>
    <t>CASQUILLO CONICO 1939.8</t>
  </si>
  <si>
    <t>2600.400.035-000</t>
  </si>
  <si>
    <t>BUJE 1293</t>
  </si>
  <si>
    <t>2600.400.043-000</t>
  </si>
  <si>
    <t>BUJE 0843.0</t>
  </si>
  <si>
    <t>2600.400.078-000</t>
  </si>
  <si>
    <t>GUANTE TENSION</t>
  </si>
  <si>
    <t>2600.406.038-000</t>
  </si>
  <si>
    <t>2600.406.039-000</t>
  </si>
  <si>
    <t>ANTICIPO</t>
  </si>
  <si>
    <t>2600.409.014-000</t>
  </si>
  <si>
    <t>TUBO FLEXIBLE 1215.7</t>
  </si>
  <si>
    <t>2600.409.016-000</t>
  </si>
  <si>
    <t>2600.409.022-000</t>
  </si>
  <si>
    <t>TUBO DEFLECTOR 1593.1 - DISCONTINUADO</t>
  </si>
  <si>
    <t>2600.409.025-000</t>
  </si>
  <si>
    <t>DEFLECTOR  3365.0/1358</t>
  </si>
  <si>
    <t>2600.409.026-000</t>
  </si>
  <si>
    <t>TUBO DEFLECTOR 1595</t>
  </si>
  <si>
    <t>2600.409.027-000</t>
  </si>
  <si>
    <t>DEFLECTOR 3365.1</t>
  </si>
  <si>
    <t>2600.409.028-000</t>
  </si>
  <si>
    <t>TUBO DEFLECTOR 159A</t>
  </si>
  <si>
    <t>2600.420.900-000</t>
  </si>
  <si>
    <t>RODAMIENTO 3261 obsoleto</t>
  </si>
  <si>
    <t>2600.421.001-000</t>
  </si>
  <si>
    <t>MANGUITO GUIA 1587</t>
  </si>
  <si>
    <t>2600.422.000-000</t>
  </si>
  <si>
    <t>2600.422.004-000</t>
  </si>
  <si>
    <t>BUJE 3289/7435 H1</t>
  </si>
  <si>
    <t>2600.422.005-000</t>
  </si>
  <si>
    <t>BUJE 1530</t>
  </si>
  <si>
    <t>2600.423.006-000</t>
  </si>
  <si>
    <t>PIEZA DE SUJECCION 1587</t>
  </si>
  <si>
    <t>2600.451.010-000</t>
  </si>
  <si>
    <t>CABLE ROTATIVO</t>
  </si>
  <si>
    <t>2600.460.049-000</t>
  </si>
  <si>
    <t>TOPE DE PROFUNDIDAD 1D45.1/1D45.0</t>
  </si>
  <si>
    <t>2600.460.050-000</t>
  </si>
  <si>
    <t>2600.460.059-000</t>
  </si>
  <si>
    <t>Calibre de profundidad</t>
  </si>
  <si>
    <t>2600.499.002-000</t>
  </si>
  <si>
    <t>BUCHA DE MANCAL</t>
  </si>
  <si>
    <t>2600.499.015-000</t>
  </si>
  <si>
    <t>ARRASTRE 1921</t>
  </si>
  <si>
    <t>2600.499.042-000</t>
  </si>
  <si>
    <t>EXCENTRICO 1293</t>
  </si>
  <si>
    <t>2600.499.903-000</t>
  </si>
  <si>
    <t>MANGUITO DE GUIA 1937.7 OBSOLETO</t>
  </si>
  <si>
    <t>2600.500.008-000</t>
  </si>
  <si>
    <t>2600.500.014-000</t>
  </si>
  <si>
    <t>ARANDELA PLATILLO 1140</t>
  </si>
  <si>
    <t>2600.500.017-000</t>
  </si>
  <si>
    <t>ARANDELA PLATILLO 1575.1</t>
  </si>
  <si>
    <t>2600.500.019-000</t>
  </si>
  <si>
    <t>ANILLO 1293</t>
  </si>
  <si>
    <t>2600.500.033-000</t>
  </si>
  <si>
    <t>ARANDELA 3261</t>
  </si>
  <si>
    <t>2600.501.001-000</t>
  </si>
  <si>
    <t>BRIDA 1215.0/7/7252.1</t>
  </si>
  <si>
    <t>2600.501.004-000</t>
  </si>
  <si>
    <t>BRIDA DEL COJINETE 3254 DISCONT.</t>
  </si>
  <si>
    <t>2600.501.031-000</t>
  </si>
  <si>
    <t>ANEL DE FIXACAO</t>
  </si>
  <si>
    <t>2600.506.002-000</t>
  </si>
  <si>
    <t>2600.506.008-000</t>
  </si>
  <si>
    <t>CASQUILLO 3335/3293</t>
  </si>
  <si>
    <t>2600.508.001-000</t>
  </si>
  <si>
    <t>2600.508.004-000</t>
  </si>
  <si>
    <t>TAPA DE CARCASA 1338/1215.078</t>
  </si>
  <si>
    <t>2600.508.008-000</t>
  </si>
  <si>
    <t>2600.508.028-000</t>
  </si>
  <si>
    <t>TAPA 1205</t>
  </si>
  <si>
    <t>2600.508.029-000</t>
  </si>
  <si>
    <t>CAPSULA OBSOLETO</t>
  </si>
  <si>
    <t>2600.508.034-000</t>
  </si>
  <si>
    <t>2600.508.036-000</t>
  </si>
  <si>
    <t>TAPA DEL CUERPO 1210-15</t>
  </si>
  <si>
    <t>2600.508.038-000</t>
  </si>
  <si>
    <t>TAPA DE CUERPO 1587</t>
  </si>
  <si>
    <t>2600.508.050-000</t>
  </si>
  <si>
    <t>TAPA DE CUERPO 1510</t>
  </si>
  <si>
    <t>2600.508.051-000</t>
  </si>
  <si>
    <t>TAPA 1913.4</t>
  </si>
  <si>
    <t>2600.508.052-000</t>
  </si>
  <si>
    <t>2600.508.053-000</t>
  </si>
  <si>
    <t>CHASIS ENCHUFABLE 159A</t>
  </si>
  <si>
    <t>2600.508.064-000</t>
  </si>
  <si>
    <t>CAPERUZA FINAL  1994</t>
  </si>
  <si>
    <t>2600.508.066-000</t>
  </si>
  <si>
    <t>CARCASA TRASERA 1859.T</t>
  </si>
  <si>
    <t>2600.510.004-000</t>
  </si>
  <si>
    <t>CAPSULA 3254</t>
  </si>
  <si>
    <t>2600.510.011-000</t>
  </si>
  <si>
    <t>TAPA FRONTAL 1994</t>
  </si>
  <si>
    <t>2600.510.012-000</t>
  </si>
  <si>
    <t>2600.522.009-000</t>
  </si>
  <si>
    <t>DEFLECTOR-DISCONTINUADO</t>
  </si>
  <si>
    <t>2600.522.011-000</t>
  </si>
  <si>
    <t>2600.522.013-000</t>
  </si>
  <si>
    <t>BOTON PULSADOR 3316</t>
  </si>
  <si>
    <t>2600.522.026-000</t>
  </si>
  <si>
    <t>CAPA - DISCONTINUADO</t>
  </si>
  <si>
    <t>2600.550.008-000</t>
  </si>
  <si>
    <t>PLACA RESORTE</t>
  </si>
  <si>
    <t>2600.550.017-000</t>
  </si>
  <si>
    <t>MUELLE</t>
  </si>
  <si>
    <t>2600.550.018-000</t>
  </si>
  <si>
    <t>MOLA DE PRATO</t>
  </si>
  <si>
    <t>2600.550.020-000</t>
  </si>
  <si>
    <t>2600.590.007-000</t>
  </si>
  <si>
    <t>BUJE 3289.1 OBSOLETO</t>
  </si>
  <si>
    <t>2600.590.010-000</t>
  </si>
  <si>
    <t>PIEZA DE PRESION 3307</t>
  </si>
  <si>
    <t>2600.590.013-000</t>
  </si>
  <si>
    <t>JUNTA 1293</t>
  </si>
  <si>
    <t>2600.591.004-000</t>
  </si>
  <si>
    <t>2600.591.007-000</t>
  </si>
  <si>
    <t>BOTON PULSADOR 3293</t>
  </si>
  <si>
    <t>2600.591.010-000</t>
  </si>
  <si>
    <t>BOTON SDS 1588.7/1589.0/1598</t>
  </si>
  <si>
    <t>2600.591.011-000</t>
  </si>
  <si>
    <t>TAPON 3327.7</t>
  </si>
  <si>
    <t>2600.591.900-000</t>
  </si>
  <si>
    <t>CAPERUZA DE EMPUÑADURA 1510</t>
  </si>
  <si>
    <t>2600.703.006-000</t>
  </si>
  <si>
    <t>PASACABLE 3254/3258 OBSOLETO</t>
  </si>
  <si>
    <t>2600.703.007-000</t>
  </si>
  <si>
    <t>PROTECTOR DE CABLES 3335</t>
  </si>
  <si>
    <t>2600.703.011-000</t>
  </si>
  <si>
    <t>OJETE PROTECTOR 157A</t>
  </si>
  <si>
    <t>2600.703.017-000</t>
  </si>
  <si>
    <t>OJ.PROT.1594/1594.3/1D47/12A2/1676/1980</t>
  </si>
  <si>
    <t>2600.703.018-000</t>
  </si>
  <si>
    <t>OJETE PROTECTOR Ø7,3-Ø8,6X76 MM 1F23.0</t>
  </si>
  <si>
    <t>2600.703.019-000</t>
  </si>
  <si>
    <t>PROTECC.CABLE 1385/11226/3307</t>
  </si>
  <si>
    <t>2600.703.027-000</t>
  </si>
  <si>
    <t>PROTECCIÓN P / CABLE 12A7</t>
  </si>
  <si>
    <t>2600.703.028-000</t>
  </si>
  <si>
    <t>PROTECCION GST 700</t>
  </si>
  <si>
    <t>2600.703.069-000</t>
  </si>
  <si>
    <t>2600.707.060-000</t>
  </si>
  <si>
    <t>PROTECTOR DE CABLE RA 9618086865</t>
  </si>
  <si>
    <t>2600.707.072-000</t>
  </si>
  <si>
    <t>OJETE PROTECTOR 119B/11A5</t>
  </si>
  <si>
    <t>2600.707.082-000</t>
  </si>
  <si>
    <t>HOJA AISLANTE</t>
  </si>
  <si>
    <t>2600.712.005-000</t>
  </si>
  <si>
    <t>CAPERUZA PROTECTORA 3316</t>
  </si>
  <si>
    <t>2600.712.006-000</t>
  </si>
  <si>
    <t>MANGUERA UNION 3346</t>
  </si>
  <si>
    <t>2600.780.009-000</t>
  </si>
  <si>
    <t>EMBOLO PORTA UTIL GST 65 BE</t>
  </si>
  <si>
    <t>2600.780.012-000</t>
  </si>
  <si>
    <t>EMBOLO PORTAUTIL 1587 RX2600.780.177-000</t>
  </si>
  <si>
    <t>2600.780.017-000</t>
  </si>
  <si>
    <t>PORTA HOJA 3281 obsoleto</t>
  </si>
  <si>
    <t>2600.780.033-000</t>
  </si>
  <si>
    <t>EMBOLO PORTAUTIL 3229  Ra901 DISCONT</t>
  </si>
  <si>
    <t>2600.780.034-000</t>
  </si>
  <si>
    <t>VARILLA 1577 RX2600780913</t>
  </si>
  <si>
    <t>2600.780.038-000</t>
  </si>
  <si>
    <t>2600.780.058-000</t>
  </si>
  <si>
    <t>EMBOLO PORTAUTIL 3293 OBSOLETO</t>
  </si>
  <si>
    <t>2600.780.073-000</t>
  </si>
  <si>
    <t>EMBOLO PORTAUTIL 3229.2  obsoleto</t>
  </si>
  <si>
    <t>2600.780.094-000</t>
  </si>
  <si>
    <t>EMBOLO PORTAUTIL3364 Ra906/085 obsoleto</t>
  </si>
  <si>
    <t>2600.780.108-000</t>
  </si>
  <si>
    <t>EMBOLO PORTAUTIL 3380/1281 RX2600780145</t>
  </si>
  <si>
    <t>2600.780.109-000</t>
  </si>
  <si>
    <t>EMBOLO PORTAULTIL 3381,7 RX 147</t>
  </si>
  <si>
    <t>2600.780.145-000</t>
  </si>
  <si>
    <t>EMBOLO PORTAUTIL 1281.719</t>
  </si>
  <si>
    <t>2600.780.147-000</t>
  </si>
  <si>
    <t>EMBOLO PORTAULTIL 3381,7 RA 109</t>
  </si>
  <si>
    <t>2600.780.154-000</t>
  </si>
  <si>
    <t>EMBOLO PORTAUTIL  158E</t>
  </si>
  <si>
    <t>2600.780.164-000</t>
  </si>
  <si>
    <t>EMBOLO PORTAUTIL 1513 RX 189</t>
  </si>
  <si>
    <t>2600.780.173-000</t>
  </si>
  <si>
    <t>EMBOLO PORTAUTIL 1E8H.0</t>
  </si>
  <si>
    <t>2600.780.177-000</t>
  </si>
  <si>
    <t>EMBOLO PORTAUTIL 1587 RA 178</t>
  </si>
  <si>
    <t>2600.780.178-000</t>
  </si>
  <si>
    <t>EMBOLO PORTAUTIL 1587 RA 012 - RX 177</t>
  </si>
  <si>
    <t>2600.780.189-000</t>
  </si>
  <si>
    <t>EMBOLO PORTAUTIL 1513 RA 164</t>
  </si>
  <si>
    <t>2600.780.190-000</t>
  </si>
  <si>
    <t>BARRA DE BOOTHING</t>
  </si>
  <si>
    <t>2600.780.905-000</t>
  </si>
  <si>
    <t>EMBOLO PORTATIL1588.71589.0 RX2600780911</t>
  </si>
  <si>
    <t>2600.780.910-000</t>
  </si>
  <si>
    <t>EMBOLO PORTAUTIL 3363.7 Ra 2600780091</t>
  </si>
  <si>
    <t>2600.780.911-000</t>
  </si>
  <si>
    <t>VARILLA 1510/1598</t>
  </si>
  <si>
    <t>2600.780.913-000</t>
  </si>
  <si>
    <t>EMBOLO = 2600780034000</t>
  </si>
  <si>
    <t>2600.905.013-000</t>
  </si>
  <si>
    <t>RODAMIENTO            RA011</t>
  </si>
  <si>
    <t>2600.905.015-000</t>
  </si>
  <si>
    <t>RODAMIENTO -RX021</t>
  </si>
  <si>
    <t>2600.905.018-000</t>
  </si>
  <si>
    <t>RODAMIENTO 627 - 7X22X7MM.</t>
  </si>
  <si>
    <t>2600.905.021-000</t>
  </si>
  <si>
    <t>RODAMIENTO 609Z - 9X24X7MM.</t>
  </si>
  <si>
    <t>2600.905.029-000</t>
  </si>
  <si>
    <t>RODAMIENTO 3261.1 obsoleto</t>
  </si>
  <si>
    <t>2600.905.032-000</t>
  </si>
  <si>
    <t>2600.905.034-000</t>
  </si>
  <si>
    <t>RODAMIENTO RIGIDO BOLAS 2714/137B</t>
  </si>
  <si>
    <t>2600.905.035-000</t>
  </si>
  <si>
    <t>RODAMIENTO DE BOLAS 3309</t>
  </si>
  <si>
    <t>2600.905.037-000</t>
  </si>
  <si>
    <t>RODAMIENTO 1593 OBSOLETO</t>
  </si>
  <si>
    <t>2600.905.039-000</t>
  </si>
  <si>
    <t>RODAMIENTO 609 - 9X24X7MM.</t>
  </si>
  <si>
    <t>2600.905.043-000</t>
  </si>
  <si>
    <t>RODAMIENTO 3298</t>
  </si>
  <si>
    <t>2600.905.046-000</t>
  </si>
  <si>
    <t>RODAMIENTO 3229.2/3364/1440-41</t>
  </si>
  <si>
    <t>2600.905.051-000</t>
  </si>
  <si>
    <t>RODAMIENTO RIGIDO BOLAS RX 2607200260</t>
  </si>
  <si>
    <t>2600.905.052-000</t>
  </si>
  <si>
    <t>RODAMIENTO BOLAS 8X22X7 1EA4.3/1E94.3</t>
  </si>
  <si>
    <t>2600.905.054-000</t>
  </si>
  <si>
    <t>RODAMIENTO 1939.8 RX 1900900224</t>
  </si>
  <si>
    <t>2600.905.057-000</t>
  </si>
  <si>
    <t>RODAMIENTO 3293</t>
  </si>
  <si>
    <t>2600.905.058-000</t>
  </si>
  <si>
    <t>RODAMIENTO 3298 RX2.600.905.111</t>
  </si>
  <si>
    <t>2600.905.062-000</t>
  </si>
  <si>
    <t>RODAMIENTO 1293 RX1619P00290000</t>
  </si>
  <si>
    <t>2600.905.064-000</t>
  </si>
  <si>
    <t>RODAMIENTO 10X26X8 1EA4.3/1E94.3</t>
  </si>
  <si>
    <t>2600.905.065-000</t>
  </si>
  <si>
    <t>RODAMIENTO DE BOLILLAS 3327.7</t>
  </si>
  <si>
    <t>2600.905.068-000</t>
  </si>
  <si>
    <t>RODAMIENTO RIGIDO BOLAS 15X32X9</t>
  </si>
  <si>
    <t>2600.905.071-000</t>
  </si>
  <si>
    <t>RODAMIENTO 1293 RX 3608872913000</t>
  </si>
  <si>
    <t>2600.905.072-000</t>
  </si>
  <si>
    <t>RODAMIENTO 1805/1821</t>
  </si>
  <si>
    <t>2600.905.086-000</t>
  </si>
  <si>
    <t>RODAMIENTO RIGIDO BOLAS RA 2600905051</t>
  </si>
  <si>
    <t>2600.905.107-000</t>
  </si>
  <si>
    <t>RODAMIENTO RÍGIDO BOLAS</t>
  </si>
  <si>
    <t>2600.905.110-000</t>
  </si>
  <si>
    <t>RODAMIENTO DE ESFERA GST 700</t>
  </si>
  <si>
    <t>2600.905.111-000</t>
  </si>
  <si>
    <t>RODAMIENTO 3298 RA2600905058</t>
  </si>
  <si>
    <t>2600.905.112-000</t>
  </si>
  <si>
    <t>RODAMIENTO RIGIDO BOLAS 9X24X7 1E13.0</t>
  </si>
  <si>
    <t>2600.905.121-000</t>
  </si>
  <si>
    <t>RODAMIENTO 1293 RX 2608000928</t>
  </si>
  <si>
    <t>2600.910.000-000</t>
  </si>
  <si>
    <t>CASQUILLO DE AGUJAS 11231</t>
  </si>
  <si>
    <t>2600.910.003-000</t>
  </si>
  <si>
    <t>COJINETE 1106/71/1107 RXF000600231</t>
  </si>
  <si>
    <t>2600.910.005-000</t>
  </si>
  <si>
    <t>RODAMIENTO 3161/0843.0 DISCONT</t>
  </si>
  <si>
    <t>2600.910.012-000</t>
  </si>
  <si>
    <t>RADAMIENTO 1293</t>
  </si>
  <si>
    <t>2600.913.002-000</t>
  </si>
  <si>
    <t>JAULA 3238/3335 obsoleto</t>
  </si>
  <si>
    <t>2600.913.003-000</t>
  </si>
  <si>
    <t>CORONA DE AGUJAS 3281</t>
  </si>
  <si>
    <t>2600.913.007-000</t>
  </si>
  <si>
    <t>CORONA AGUJAS1588.7/9.0 RX 2600.913.040</t>
  </si>
  <si>
    <t>2600.913.008-000</t>
  </si>
  <si>
    <t>CORONA AGUJAS 3363.7</t>
  </si>
  <si>
    <t>2600.913.027-000</t>
  </si>
  <si>
    <t>JAULA 1577</t>
  </si>
  <si>
    <t>2600.913.032-000</t>
  </si>
  <si>
    <t>JAULA</t>
  </si>
  <si>
    <t>2600.913.033-000</t>
  </si>
  <si>
    <t>COJINETE</t>
  </si>
  <si>
    <t>2600.913.034-000</t>
  </si>
  <si>
    <t>JAULA DE AGUJAS 1500</t>
  </si>
  <si>
    <t>2600.913.035-000</t>
  </si>
  <si>
    <t>Jaula De Agujas</t>
  </si>
  <si>
    <t>2600.913.040-000</t>
  </si>
  <si>
    <t>CORONA DE AGUJAS 1E8H.0</t>
  </si>
  <si>
    <t>2600.914.004-000</t>
  </si>
  <si>
    <t>RODAMIENTO 1163-R X 010</t>
  </si>
  <si>
    <t>2600.914.010-000</t>
  </si>
  <si>
    <t>RODAMIENTO 11210/1169 RA004</t>
  </si>
  <si>
    <t>2600.914.011-000</t>
  </si>
  <si>
    <t>RODAMIENTO 1506/1530</t>
  </si>
  <si>
    <t>2600.914.013-000</t>
  </si>
  <si>
    <t>RODAMIENTO 7460400</t>
  </si>
  <si>
    <t>2600.914.016-000</t>
  </si>
  <si>
    <t>CASQUILLO DE AGUJAS</t>
  </si>
  <si>
    <t>2600.914.017-000</t>
  </si>
  <si>
    <t>2600.914.018-000</t>
  </si>
  <si>
    <t>MANGO DE AGUJAS</t>
  </si>
  <si>
    <t>2600.914.019-000</t>
  </si>
  <si>
    <t>CASQUILLO DE AGUJAS 3169</t>
  </si>
  <si>
    <t>2600.914.022-000</t>
  </si>
  <si>
    <t>2600.914.025-000</t>
  </si>
  <si>
    <t>CASQUILLO DE AGUJAS 159A RX 2600.914.010</t>
  </si>
  <si>
    <t>2600.916.900-000</t>
  </si>
  <si>
    <t>ARANDELA DE SEGURIDAD 1510</t>
  </si>
  <si>
    <t>2600.917.002-000</t>
  </si>
  <si>
    <t>CONJ. BUJE 3289/3298</t>
  </si>
  <si>
    <t>2600.917.003-000</t>
  </si>
  <si>
    <t>RODAMIENTO DE AGUJAS Ø8X8 MM 1B83.1</t>
  </si>
  <si>
    <t>2600.917.004-000</t>
  </si>
  <si>
    <t>CASQUILLO DE AGUJAS 1423</t>
  </si>
  <si>
    <t>2600.917.006-000</t>
  </si>
  <si>
    <t>CASQUILLO AGUJAS 3293/0836/1597</t>
  </si>
  <si>
    <t>2600.917.007-000</t>
  </si>
  <si>
    <t>RODAMIENTO 3307</t>
  </si>
  <si>
    <t>2600.917.900-000</t>
  </si>
  <si>
    <t>CASQUILLO DE AGUJAS 1577/87/89</t>
  </si>
  <si>
    <t>2600.917.902-000</t>
  </si>
  <si>
    <t>RODAMIEN 3289-81/3167-68/1140 OBSOLETO</t>
  </si>
  <si>
    <t>2600.917.904-000</t>
  </si>
  <si>
    <t>COJINETE DE AGUJAS 1281/3330</t>
  </si>
  <si>
    <t>2600.917.906-000</t>
  </si>
  <si>
    <t>CASQUILLO DE AGUJAS 1510 RX 260091790000</t>
  </si>
  <si>
    <t>2600.923.001-000</t>
  </si>
  <si>
    <t>2600.923.002-000</t>
  </si>
  <si>
    <t>2600.923.006-000</t>
  </si>
  <si>
    <t>JAULA P/BOLAS 1939.8</t>
  </si>
  <si>
    <t>2601.000.014-000</t>
  </si>
  <si>
    <t>PLACA INTERMEDIA 3230</t>
  </si>
  <si>
    <t>2601.000.018-000</t>
  </si>
  <si>
    <t>PLACA INTERMEDIA 1106-07.5-71 OBSOLETO</t>
  </si>
  <si>
    <t>2601.000.032-000</t>
  </si>
  <si>
    <t>PLACA DE APOYO 1171 OBSOLETO</t>
  </si>
  <si>
    <t>2601.000.034-000</t>
  </si>
  <si>
    <t>LISTON DISCONTINUADO.</t>
  </si>
  <si>
    <t>2601.005.002-000</t>
  </si>
  <si>
    <t>TIRA DE FIELTRO</t>
  </si>
  <si>
    <t>2601.005.011-000</t>
  </si>
  <si>
    <t>FIELTRO 1140</t>
  </si>
  <si>
    <t>2601.005.017-000</t>
  </si>
  <si>
    <t>TIRA DE FIELTRO 1293</t>
  </si>
  <si>
    <t>2601.005.019-000</t>
  </si>
  <si>
    <t>TIRA DE FIELTRO 3327.7</t>
  </si>
  <si>
    <t>2601.006.002-000</t>
  </si>
  <si>
    <t>TIRA DE GOMA 3289 obsoleto</t>
  </si>
  <si>
    <t>2601.010.052-000</t>
  </si>
  <si>
    <t>ESCALA VERTICAL</t>
  </si>
  <si>
    <t>2601.010.059-000</t>
  </si>
  <si>
    <t>PLACA CERAMICA SOPORTE 3327.7 - DISCONT.</t>
  </si>
  <si>
    <t>2601.010.079-000</t>
  </si>
  <si>
    <t>2601.010.082-000</t>
  </si>
  <si>
    <t>2601.015.002-000</t>
  </si>
  <si>
    <t>PLACA FIJACION 1577 OBSOLETO</t>
  </si>
  <si>
    <t>2601.015.009-000</t>
  </si>
  <si>
    <t>JUNTA 3238</t>
  </si>
  <si>
    <t>2601.015.030-000</t>
  </si>
  <si>
    <t>PLACA 1577 DISCONTINUADO</t>
  </si>
  <si>
    <t>2601.015.032-000</t>
  </si>
  <si>
    <t>JUNTA 1577 OBSOLETO</t>
  </si>
  <si>
    <t>2601.015.037-000</t>
  </si>
  <si>
    <t>PLACA 3230 OBSOLETO</t>
  </si>
  <si>
    <t>2601.015.039-000</t>
  </si>
  <si>
    <t>2601.015.050-000</t>
  </si>
  <si>
    <t>JUNTAS 1587</t>
  </si>
  <si>
    <t>2601.015.054-000</t>
  </si>
  <si>
    <t>SOPORTE P/CARBON 3261 obsoleto</t>
  </si>
  <si>
    <t>2601.015.057-000</t>
  </si>
  <si>
    <t>FIELTRO DE ENGRASE 3335/1598</t>
  </si>
  <si>
    <t>2601.015.062-000</t>
  </si>
  <si>
    <t>JUNTA RADIAL 1939.8</t>
  </si>
  <si>
    <t>2601.015.064-000</t>
  </si>
  <si>
    <t>JUNTA 1588.7/1589.0/1598</t>
  </si>
  <si>
    <t>2601.015.065-000</t>
  </si>
  <si>
    <t>2601.015.077-000</t>
  </si>
  <si>
    <t>Placa Cubrefugas</t>
  </si>
  <si>
    <t>2601.015.082-000</t>
  </si>
  <si>
    <t>EMPAQUETADURA GOMA 3363.7</t>
  </si>
  <si>
    <t>2601.015.091-000</t>
  </si>
  <si>
    <t>2601.015.097-000</t>
  </si>
  <si>
    <t>JUNTA 1D45.1/1D45.0</t>
  </si>
  <si>
    <t>2601.015.113-000</t>
  </si>
  <si>
    <t>2601.015.900-000</t>
  </si>
  <si>
    <t>JUNTA 1577/3238</t>
  </si>
  <si>
    <t>2601.015.901-000</t>
  </si>
  <si>
    <t>JUNTA 1587</t>
  </si>
  <si>
    <t>2601.015.902-000</t>
  </si>
  <si>
    <t>CONMUTADOR  158E</t>
  </si>
  <si>
    <t>2601.016.008-000</t>
  </si>
  <si>
    <t>PLACA 3230              RA058</t>
  </si>
  <si>
    <t>2601.016.012-000</t>
  </si>
  <si>
    <t>PLACA BASE</t>
  </si>
  <si>
    <t>2601.016.038-000</t>
  </si>
  <si>
    <t>PLACA BASE 1577 Discontinuado</t>
  </si>
  <si>
    <t>2601.016.043-000</t>
  </si>
  <si>
    <t>2601.016.065-000</t>
  </si>
  <si>
    <t>PROT.ANTI-ASTILLAMIENTO 1E8F.0</t>
  </si>
  <si>
    <t>2601.016.079-000</t>
  </si>
  <si>
    <t>CUBIERTA 1588.7/1589.0/1598</t>
  </si>
  <si>
    <t>2601.016.080-000</t>
  </si>
  <si>
    <t>PLACA BASE  3380.0 /1281.719 OBSOLETO</t>
  </si>
  <si>
    <t>2601.016.093-000</t>
  </si>
  <si>
    <t>PROTECCIÓN FEND.DEV.PRESS</t>
  </si>
  <si>
    <t>2601.016.120-000</t>
  </si>
  <si>
    <t>2601.016.121-000</t>
  </si>
  <si>
    <t>2601.016.122-000</t>
  </si>
  <si>
    <t>2601.016.123-000</t>
  </si>
  <si>
    <t>2601.016.124-000</t>
  </si>
  <si>
    <t>PUENTE</t>
  </si>
  <si>
    <t>2601.016.903-000</t>
  </si>
  <si>
    <t>PLACA BASE 1587/158E</t>
  </si>
  <si>
    <t>2601.016.905-000</t>
  </si>
  <si>
    <t>PLACA BASE 1513</t>
  </si>
  <si>
    <t>2601.016.906-000</t>
  </si>
  <si>
    <t>2601.020.005-000</t>
  </si>
  <si>
    <t>FILTRO DE ENGRA 1106/1107.5-71</t>
  </si>
  <si>
    <t>2601.020.006-000</t>
  </si>
  <si>
    <t>PLACA 1171.0/1171.7/3240.0 OBSOLETO</t>
  </si>
  <si>
    <t>2601.020.007-000</t>
  </si>
  <si>
    <t>2601.022.000-000</t>
  </si>
  <si>
    <t>FILTR DE ENGRAS-</t>
  </si>
  <si>
    <t>2601.030.006-000</t>
  </si>
  <si>
    <t>2601.030.017-000</t>
  </si>
  <si>
    <t>PLACA 3230 -DISCONTINUADO</t>
  </si>
  <si>
    <t>2601.030.019-000</t>
  </si>
  <si>
    <t>PERFIL</t>
  </si>
  <si>
    <t>2601.030.022-000</t>
  </si>
  <si>
    <t>Liston Perfilado</t>
  </si>
  <si>
    <t>2601.032.017-000</t>
  </si>
  <si>
    <t>CHAPA DE SUJECIÓN</t>
  </si>
  <si>
    <t>2601.032.021-000</t>
  </si>
  <si>
    <t>LISTON PERFILADO 1281.719</t>
  </si>
  <si>
    <t>2601.034.010-000</t>
  </si>
  <si>
    <t>PLACA DE PRESION 1575.1</t>
  </si>
  <si>
    <t>2601.035.001-000</t>
  </si>
  <si>
    <t>2601.035.002-000</t>
  </si>
  <si>
    <t>CORREDERA 1372/1293/2714</t>
  </si>
  <si>
    <t>2601.035.004-000</t>
  </si>
  <si>
    <t>SUJETADOR DE CABLE 1D45.1/1D45.0</t>
  </si>
  <si>
    <t>2601.035.005-000</t>
  </si>
  <si>
    <t>2601.038.111-000</t>
  </si>
  <si>
    <t>CHAPA 1281.719</t>
  </si>
  <si>
    <t>2601.039.020-000</t>
  </si>
  <si>
    <t>ELEMENTO AMORTIGUADOR  1994</t>
  </si>
  <si>
    <t>2601.072.007-000</t>
  </si>
  <si>
    <t>2601.072.901-000</t>
  </si>
  <si>
    <t>DISCO EXCENTRICO 1587</t>
  </si>
  <si>
    <t>2601.073.012-000</t>
  </si>
  <si>
    <t>EMPAQUETADURA PLANA 1184/94</t>
  </si>
  <si>
    <t>2601.073.020-000</t>
  </si>
  <si>
    <t>2601.074.001-000</t>
  </si>
  <si>
    <t>PLACA 1171.0/1171.7 DISCONTINUADO</t>
  </si>
  <si>
    <t>2601.074.003-000</t>
  </si>
  <si>
    <t>PLACA DE PRESION 3167/8/1140</t>
  </si>
  <si>
    <t>2601.074.004-000</t>
  </si>
  <si>
    <t>PLACA DE PRESION 3338/7</t>
  </si>
  <si>
    <t>2601.098.003-000</t>
  </si>
  <si>
    <t>CONTRAPESO 1587</t>
  </si>
  <si>
    <t>2601.098.004-000</t>
  </si>
  <si>
    <t>CONTRAPESO REEMPLAZADO 1619P02421</t>
  </si>
  <si>
    <t>2601.098.005-000</t>
  </si>
  <si>
    <t>CONTRAPESO 3238.4/3335</t>
  </si>
  <si>
    <t>2601.098.006-000</t>
  </si>
  <si>
    <t>PLACA DE APOYO 1579/3335</t>
  </si>
  <si>
    <t>2601.098.009-000</t>
  </si>
  <si>
    <t>EMPUJADOR</t>
  </si>
  <si>
    <t>2601.098.024-000</t>
  </si>
  <si>
    <t>PLACA BASE 3307 OBSOLETO</t>
  </si>
  <si>
    <t>2601.098.028-000</t>
  </si>
  <si>
    <t>CUBRE PLATO 1593.1 OBSOLETO</t>
  </si>
  <si>
    <t>2601.098.032-000</t>
  </si>
  <si>
    <t>CONTRAPESO 1588.7/1589.0/1598</t>
  </si>
  <si>
    <t>2601.098.036-000</t>
  </si>
  <si>
    <t>CHAPA DE CUBIERTA 159A</t>
  </si>
  <si>
    <t>2601.098.040-000</t>
  </si>
  <si>
    <t>PLACA BASE 3270.1/1274 RA 1601098005-000</t>
  </si>
  <si>
    <t>2601.098.044-000</t>
  </si>
  <si>
    <t>PLACA BASE 3346</t>
  </si>
  <si>
    <t>2601.098.045-000</t>
  </si>
  <si>
    <t>CHAPA DESLIZANTE 3327.7</t>
  </si>
  <si>
    <t>2601.098.060-000</t>
  </si>
  <si>
    <t>CONTRAPESO 3381,7</t>
  </si>
  <si>
    <t>2601.098.082-000</t>
  </si>
  <si>
    <t>PLACA DE GUIA 1598</t>
  </si>
  <si>
    <t>2601.098.087-000</t>
  </si>
  <si>
    <t>CONTRAPESO 1510</t>
  </si>
  <si>
    <t>2601.098.098-000</t>
  </si>
  <si>
    <t>2601.098.099-000</t>
  </si>
  <si>
    <t>PLACA DE TRABAJO 1510</t>
  </si>
  <si>
    <t>2601.098.110-000</t>
  </si>
  <si>
    <t>CUBIERTA  158E</t>
  </si>
  <si>
    <t>2601.098.117-000</t>
  </si>
  <si>
    <t>CONTRAPESO 1513</t>
  </si>
  <si>
    <t>2601.098.902-000</t>
  </si>
  <si>
    <t>PIEZA DE SUJECIO 339.5</t>
  </si>
  <si>
    <t>2601.099.015-000</t>
  </si>
  <si>
    <t>2601.099.026-000</t>
  </si>
  <si>
    <t>PALANCA - DISCONTINUADO</t>
  </si>
  <si>
    <t>2601.099.027-000</t>
  </si>
  <si>
    <t>PALANCA 1921</t>
  </si>
  <si>
    <t>2601.099.028-000</t>
  </si>
  <si>
    <t>CORREDERA 1925</t>
  </si>
  <si>
    <t>2601.099.055-000</t>
  </si>
  <si>
    <t>CORRED. AJUSTE 1939/6/49/3937</t>
  </si>
  <si>
    <t>2601.099.056-000</t>
  </si>
  <si>
    <t>CORREDERA DE AJUSTE 1937.7 OBSOLETO</t>
  </si>
  <si>
    <t>2601.099.060-000</t>
  </si>
  <si>
    <t>PERILLA DE CAMBIO 1936/49</t>
  </si>
  <si>
    <t>2601.099.072-000</t>
  </si>
  <si>
    <t>CORREDERA DE AJUSTE 1588.7</t>
  </si>
  <si>
    <t>2601.099.085-000</t>
  </si>
  <si>
    <t>CORRED.CAMBIO GIRO 1948.4-6</t>
  </si>
  <si>
    <t>2601.099.086-000</t>
  </si>
  <si>
    <t>CORRED.CAMBIO VELOC. 1948.4-6</t>
  </si>
  <si>
    <t>2601.099.090-000</t>
  </si>
  <si>
    <t>CORREDERA DE AJUSTE 1936.6 OBSOLETO</t>
  </si>
  <si>
    <t>2601.099.096-000</t>
  </si>
  <si>
    <t>CORREDERA DE AJUSTE 3941.5</t>
  </si>
  <si>
    <t>2601.099.098-000</t>
  </si>
  <si>
    <t>2601.099.111-000</t>
  </si>
  <si>
    <t>CORREDERA DE AJUSTE 1510</t>
  </si>
  <si>
    <t>2601.099.112-000</t>
  </si>
  <si>
    <t>CORREDERA (INV. GIRO) 1913.4</t>
  </si>
  <si>
    <t>2601.099.114-000</t>
  </si>
  <si>
    <t>CORREDERA DE AJUSTE 1916.4</t>
  </si>
  <si>
    <t>2601.099.115-000</t>
  </si>
  <si>
    <t>CORREDERA DE AJUSTE 1916</t>
  </si>
  <si>
    <t>2601.099.120-000</t>
  </si>
  <si>
    <t>PALANCA DE BLOQUEO 1598</t>
  </si>
  <si>
    <t>2601.099.127-000</t>
  </si>
  <si>
    <t>CORREDERA (VELOC.) 1913.4</t>
  </si>
  <si>
    <t>2601.099.153-000</t>
  </si>
  <si>
    <t>CORREDERA DE AJUSTE 1992</t>
  </si>
  <si>
    <t>2601.099.155-000</t>
  </si>
  <si>
    <t>PALANCA DE MANDO  1994</t>
  </si>
  <si>
    <t>2601.099.175-000</t>
  </si>
  <si>
    <t>PALANCA DE MANDO  1994 RX 2601099213000</t>
  </si>
  <si>
    <t>2601.099.183-000</t>
  </si>
  <si>
    <t>PATIN 1513</t>
  </si>
  <si>
    <t>2601.099.188-000</t>
  </si>
  <si>
    <t>CORREDERA DE AJUSTE 1860.4/3</t>
  </si>
  <si>
    <t>2601.099.189-000</t>
  </si>
  <si>
    <t>2601.099.196-000</t>
  </si>
  <si>
    <t>PALANCA DE MANDO 1859.T</t>
  </si>
  <si>
    <t>2601.099.198-000</t>
  </si>
  <si>
    <t>PLACA DE TRABAJO 1E13.0</t>
  </si>
  <si>
    <t>2601.099.213-000</t>
  </si>
  <si>
    <t>PALANCA DE AJUSTE</t>
  </si>
  <si>
    <t>2601.099.225-000</t>
  </si>
  <si>
    <t>2601.099.261-000</t>
  </si>
  <si>
    <t>PLACA DE TRABAJO 158J Rx 2601099225000</t>
  </si>
  <si>
    <t>2601.099.301-000</t>
  </si>
  <si>
    <t>2601.111.477-000</t>
  </si>
  <si>
    <t>2601.112.052-000</t>
  </si>
  <si>
    <t>2601.113.630-000</t>
  </si>
  <si>
    <t>2601.115.537-000</t>
  </si>
  <si>
    <t>ETIQUETA ADHESIVA 119090</t>
  </si>
  <si>
    <t>2601.120.000-000</t>
  </si>
  <si>
    <t>PLATO GRADUADO 1593.1</t>
  </si>
  <si>
    <t>2601.120.009-000</t>
  </si>
  <si>
    <t>PLACA DE ESCALA 159A</t>
  </si>
  <si>
    <t>2601.120.017-000</t>
  </si>
  <si>
    <t>2601.120.018-000</t>
  </si>
  <si>
    <t>2601.250.001-000</t>
  </si>
  <si>
    <t>PRENSA 7460001</t>
  </si>
  <si>
    <t>2601.250.009-000</t>
  </si>
  <si>
    <t>PINZA DE SUJECION 1992</t>
  </si>
  <si>
    <t>2601.251.003-000</t>
  </si>
  <si>
    <t>RESORTE 1921/2490</t>
  </si>
  <si>
    <t>2601.254.000-000</t>
  </si>
  <si>
    <t>MUELLE DE FIADOR 1EA4.3/1E94.3</t>
  </si>
  <si>
    <t>2601.290.014-000</t>
  </si>
  <si>
    <t>RESORTE 3312</t>
  </si>
  <si>
    <t>2601.290.016-000</t>
  </si>
  <si>
    <t>CHAPA DE BALLESTAS 1593/159A</t>
  </si>
  <si>
    <t>2601.301.002-000</t>
  </si>
  <si>
    <t>2601.302.008-000</t>
  </si>
  <si>
    <t>2601.310.011-000</t>
  </si>
  <si>
    <t>TUERCA ELAST. 0842.5-6 - DISCONT</t>
  </si>
  <si>
    <t>2601.314.002-000</t>
  </si>
  <si>
    <t>SOPORTE PRESOR 1288/3270</t>
  </si>
  <si>
    <t>2601.316.001-000</t>
  </si>
  <si>
    <t>ABRAZADERA P/TUBO FLEXI.1288 DICONT</t>
  </si>
  <si>
    <t>2601.320.018-000</t>
  </si>
  <si>
    <t>ESTRIBO DE SUJECION 1575.1</t>
  </si>
  <si>
    <t>2601.321.012-000</t>
  </si>
  <si>
    <t>SOPORTE 3281</t>
  </si>
  <si>
    <t>2601.321.016-000</t>
  </si>
  <si>
    <t>PALANCA REENVIO 3281</t>
  </si>
  <si>
    <t>2601.321.017-000</t>
  </si>
  <si>
    <t>PIEZA DESLIZ.1587 RX2602317053.</t>
  </si>
  <si>
    <t>2601.321.022-000</t>
  </si>
  <si>
    <t>DESLIZADOR 1577 DISCONT.</t>
  </si>
  <si>
    <t>2601.321.036-000</t>
  </si>
  <si>
    <t>DESLIZADERA 3230</t>
  </si>
  <si>
    <t>2601.321.037-000</t>
  </si>
  <si>
    <t>PALANCA 1577 OBSOLETO</t>
  </si>
  <si>
    <t>2601.321.051-000</t>
  </si>
  <si>
    <t>PALANCA DE RODILLO 3381.7</t>
  </si>
  <si>
    <t>2601.321.063-000</t>
  </si>
  <si>
    <t>ESTRIBO DE SUJECION 3380.0 /1281.719</t>
  </si>
  <si>
    <t>2601.321.077-000</t>
  </si>
  <si>
    <t>PALANCA DE RODILLO 158E/158J</t>
  </si>
  <si>
    <t>2601.321.900-000</t>
  </si>
  <si>
    <t>RODILLO 3238/3335 DISCONTINUADO</t>
  </si>
  <si>
    <t>2601.321.901-000</t>
  </si>
  <si>
    <t>PALANCA DE RODILLO 3238</t>
  </si>
  <si>
    <t>2601.321.902-000</t>
  </si>
  <si>
    <t>PALANCA DE RODILLO 1587</t>
  </si>
  <si>
    <t>2601.321.903-000</t>
  </si>
  <si>
    <t>PALANCA DE RODILLO 3293 OBSOLETO</t>
  </si>
  <si>
    <t>2601.321.904-000</t>
  </si>
  <si>
    <t>PALANCA RODILLO 1588.7/1589.0</t>
  </si>
  <si>
    <t>2601.321.907-000</t>
  </si>
  <si>
    <t>PALANCA DE RODILLO 1510</t>
  </si>
  <si>
    <t>2601.321.908-000</t>
  </si>
  <si>
    <t>PALANCA DE RODILLO 1513</t>
  </si>
  <si>
    <t>2601.322.002-000</t>
  </si>
  <si>
    <t>2601.322.004-000</t>
  </si>
  <si>
    <t>PLACA DE REGULACION 3147.1</t>
  </si>
  <si>
    <t>2601.322.010-000</t>
  </si>
  <si>
    <t>PLACA 1587</t>
  </si>
  <si>
    <t>2601.322.011-000</t>
  </si>
  <si>
    <t>ESTRIBO DE GUIA 3238 DISCONTINUADO</t>
  </si>
  <si>
    <t>2601.322.013-000</t>
  </si>
  <si>
    <t>PLACA SOPORTE CARBON 3289</t>
  </si>
  <si>
    <t>2601.322.014-000</t>
  </si>
  <si>
    <t>ESTRIBO DE GUIA 3335 OBSOLETO</t>
  </si>
  <si>
    <t>2601.322.016-000</t>
  </si>
  <si>
    <t>RESORTE DE SUJECION 1936.6</t>
  </si>
  <si>
    <t>2601.322.017-000</t>
  </si>
  <si>
    <t>CHAPA 3312/3364</t>
  </si>
  <si>
    <t>2601.322.021-000</t>
  </si>
  <si>
    <t>PROTECTOR DE HOJA 1587.6</t>
  </si>
  <si>
    <t>2601.322.035-000</t>
  </si>
  <si>
    <t>CLAVIJA CILINDRICA 1513</t>
  </si>
  <si>
    <t>2601.322.900-000</t>
  </si>
  <si>
    <t>ESTRIBO GUIA 1588.7/1589.0/1598</t>
  </si>
  <si>
    <t>2601.322.901-000</t>
  </si>
  <si>
    <t>VIGA 1510</t>
  </si>
  <si>
    <t>2601.323.021-000</t>
  </si>
  <si>
    <t>PORT1210-5/82/1347/3278/1587RX1600A003G4</t>
  </si>
  <si>
    <t>2601.324.012-000</t>
  </si>
  <si>
    <t>2601.324.013-000</t>
  </si>
  <si>
    <t>2601.324.048-000</t>
  </si>
  <si>
    <t>RESORTE DE CONTACTO 1AA5.0/1AA6.0</t>
  </si>
  <si>
    <t>2601.328.001-000</t>
  </si>
  <si>
    <t>GUIA</t>
  </si>
  <si>
    <t>2601.328.021-000</t>
  </si>
  <si>
    <t>DEFLECTOR</t>
  </si>
  <si>
    <t>2601.328.022-000</t>
  </si>
  <si>
    <t>2601.328.033-000</t>
  </si>
  <si>
    <t>DEFLECTOR 1184/94/11210.0</t>
  </si>
  <si>
    <t>2601.328.034-000</t>
  </si>
  <si>
    <t>DEFLECTOR 1215.050/078</t>
  </si>
  <si>
    <t>2601.328.043-000</t>
  </si>
  <si>
    <t>DEFLECTOR 1210/1587</t>
  </si>
  <si>
    <t>2601.328.044-000</t>
  </si>
  <si>
    <t>PLACA DE ESCALA  158E</t>
  </si>
  <si>
    <t>2601.328.045-000</t>
  </si>
  <si>
    <t>Disco De Cubierta</t>
  </si>
  <si>
    <t>2601.328.046-000</t>
  </si>
  <si>
    <t>DEFLECTOR 1423</t>
  </si>
  <si>
    <t>2601.328.047-000</t>
  </si>
  <si>
    <t>ARO DEFLECTOR DE AIRE 1372.7/2714</t>
  </si>
  <si>
    <t>2601.328.048-000</t>
  </si>
  <si>
    <t>PIEZA DE ASPIRACION 1372/2714</t>
  </si>
  <si>
    <t>2601.328.049-000</t>
  </si>
  <si>
    <t>2601.328.054-000</t>
  </si>
  <si>
    <t>BOQUILLA</t>
  </si>
  <si>
    <t>2601.328.055-000</t>
  </si>
  <si>
    <t>DEFLECTOR 1293</t>
  </si>
  <si>
    <t>2601.328.073-000</t>
  </si>
  <si>
    <t>DISCO DE CUBIERTA 1510</t>
  </si>
  <si>
    <t>2601.328.078-000</t>
  </si>
  <si>
    <t>DISCO DE CUBIERTA  1440/41</t>
  </si>
  <si>
    <t>2601.328.090-000</t>
  </si>
  <si>
    <t>PIEZA DE ASPIRACION 137B</t>
  </si>
  <si>
    <t>2601.328.091-000</t>
  </si>
  <si>
    <t>2601.328.092-000</t>
  </si>
  <si>
    <t>ARO DEFLECTOR DE AIRE 1D45.1/1D45.0</t>
  </si>
  <si>
    <t>2601.328.900-000</t>
  </si>
  <si>
    <t>PLACA DE RETENCION 11A5</t>
  </si>
  <si>
    <t>2601.328.901-000</t>
  </si>
  <si>
    <t>ARO DEFLECTOR DE AIRE 137B  RX2605105966</t>
  </si>
  <si>
    <t>2601.329.009-000</t>
  </si>
  <si>
    <t>MUELLE FLEXION PERFILADO (3265</t>
  </si>
  <si>
    <t>2601.329.037-000</t>
  </si>
  <si>
    <t>RESORTE DE CONTACTO 1575.1</t>
  </si>
  <si>
    <t>2601.329.041-000</t>
  </si>
  <si>
    <t>ESTRIBO SUJEC. 1936/49/48.4.6</t>
  </si>
  <si>
    <t>2601.329.043-000</t>
  </si>
  <si>
    <t>ESTRIBO DE CONTACTO 1C87.5</t>
  </si>
  <si>
    <t>2601.329.045-000</t>
  </si>
  <si>
    <t>ESTRIBO DE APOYO 3293</t>
  </si>
  <si>
    <t>2601.329.051-000</t>
  </si>
  <si>
    <t>CAPERUZA DE ENC. 3310</t>
  </si>
  <si>
    <t>2601.329.053-000</t>
  </si>
  <si>
    <t>ESTRIBO DE CONTACTO 2714</t>
  </si>
  <si>
    <t>2601.329.055-000</t>
  </si>
  <si>
    <t>PROTECTOR DE CUCHILLAS 1593.1 - Disconti</t>
  </si>
  <si>
    <t>2601.329.057-000</t>
  </si>
  <si>
    <t>RESORTE DE CONTACTO 1K70.7</t>
  </si>
  <si>
    <t>2601.329.074-000</t>
  </si>
  <si>
    <t>PROTECCION CORTE 3365.0</t>
  </si>
  <si>
    <t>2601.329.097-000</t>
  </si>
  <si>
    <t>PROTECCION DE CUCHILLAS 159A</t>
  </si>
  <si>
    <t>2601.329.104-000</t>
  </si>
  <si>
    <t>PROTECCION DE CUCHILLAS 1C58.1</t>
  </si>
  <si>
    <t>2601.329.110-000</t>
  </si>
  <si>
    <t>ESTRIBO DE CONTACTO 159A</t>
  </si>
  <si>
    <t>2601.329.113-000</t>
  </si>
  <si>
    <t>CLIP DE FIJACION 1440/41</t>
  </si>
  <si>
    <t>2601.329.127-000</t>
  </si>
  <si>
    <t>CLIP DE FIJACION AL CINTU 1D45.1/1D45.0</t>
  </si>
  <si>
    <t>2601.329.900-000</t>
  </si>
  <si>
    <t>PARTE SUP. DEL CARGADOR</t>
  </si>
  <si>
    <t>2601.330.002-000</t>
  </si>
  <si>
    <t>CHAPA TRABA CARBON 1288 OBSOLETO</t>
  </si>
  <si>
    <t>2601.331.005-000</t>
  </si>
  <si>
    <t>2601.332.005-000</t>
  </si>
  <si>
    <t>GUIA LATERAL 3261 RBBR</t>
  </si>
  <si>
    <t>2601.334.002-000</t>
  </si>
  <si>
    <t>CHAPA 3281 OBSOLETO</t>
  </si>
  <si>
    <t>2601.334.006-000</t>
  </si>
  <si>
    <t>SOPORTE PRESOR - DISCONTINUADO</t>
  </si>
  <si>
    <t>2601.334.009-000</t>
  </si>
  <si>
    <t>ARANDELA 3281</t>
  </si>
  <si>
    <t>2601.334.011-000</t>
  </si>
  <si>
    <t>JUNTA 3363.7</t>
  </si>
  <si>
    <t>2601.334.012-000</t>
  </si>
  <si>
    <t>CHAPA DE APOYO 3363.7</t>
  </si>
  <si>
    <t>2601.389.900-000</t>
  </si>
  <si>
    <t>PARTE INFERIOR DEL CARGAD 3265</t>
  </si>
  <si>
    <t>2601.901.006-000</t>
  </si>
  <si>
    <t>CHAPA SOPORTE 3298 obsoleto</t>
  </si>
  <si>
    <t>2601.923.000-000</t>
  </si>
  <si>
    <t>EXCENTRICO 1577 - DISCONTINUADO</t>
  </si>
  <si>
    <t>2601.923.003-000</t>
  </si>
  <si>
    <t>PALANCA AHORQUILLADA 3238/3335 - DISCONT</t>
  </si>
  <si>
    <t>2601.923.004-000</t>
  </si>
  <si>
    <t>PALANCA AHORQUILLADA 1587</t>
  </si>
  <si>
    <t>2601.923.006-000</t>
  </si>
  <si>
    <t>HORQUILLA 3281.7</t>
  </si>
  <si>
    <t>2601.923.010-000</t>
  </si>
  <si>
    <t>PALANCA AHORQUIL.1588.7/1589.0/1510/1598</t>
  </si>
  <si>
    <t>2601.923.011-000</t>
  </si>
  <si>
    <t>PALANCA AHORQUILLAMIENTO 3363.7</t>
  </si>
  <si>
    <t>2601.923.012-000</t>
  </si>
  <si>
    <t>Palanca Ahorquillada</t>
  </si>
  <si>
    <t>2601.923.015-000</t>
  </si>
  <si>
    <t>PALANCA AHORQUILLADA 1513</t>
  </si>
  <si>
    <t>2601.990.000-000</t>
  </si>
  <si>
    <t>SOPORTE 3312</t>
  </si>
  <si>
    <t>2601.990.001-000</t>
  </si>
  <si>
    <t>TAMBOR EXCENTRICO 3167/1140</t>
  </si>
  <si>
    <t>2601.990.003-000</t>
  </si>
  <si>
    <t>TAMBOR DE EXCENTRICA 3168 DISCONT.</t>
  </si>
  <si>
    <t>2601.990.010-000</t>
  </si>
  <si>
    <t>TAMBOR EXCENTRICO 3338/7</t>
  </si>
  <si>
    <t>2601.990.011-000</t>
  </si>
  <si>
    <t>BALLESTA 3327.7</t>
  </si>
  <si>
    <t>2601.990.018-000</t>
  </si>
  <si>
    <t>ALAMBRE DE UNION 3327.7</t>
  </si>
  <si>
    <t>2601.990.027-000</t>
  </si>
  <si>
    <t>SELECTOR PERCUCION 1148.6</t>
  </si>
  <si>
    <t>2601.990.029-000</t>
  </si>
  <si>
    <t>PERILLA CONMUTADOR PREC. 3388.0/113C</t>
  </si>
  <si>
    <t>2601.990.056-000</t>
  </si>
  <si>
    <t>2601.990.900-000</t>
  </si>
  <si>
    <t>EJE RODILLO TENSOR 3327.7</t>
  </si>
  <si>
    <t>2601.990.901-000</t>
  </si>
  <si>
    <t>2601.990.902-000</t>
  </si>
  <si>
    <t>PALANCA TENSORA BANDA 3327.7</t>
  </si>
  <si>
    <t>2601.990.903-000</t>
  </si>
  <si>
    <t>CHAPA SOPORTE 1588.7/1589.0 RX2601990906</t>
  </si>
  <si>
    <t>2601.990.906-000</t>
  </si>
  <si>
    <t>ESTRIBO DE GUIA 1598</t>
  </si>
  <si>
    <t>2601.990.907-000</t>
  </si>
  <si>
    <t>TAPA DE VENTILACION 1510</t>
  </si>
  <si>
    <t>2601.990.911-000</t>
  </si>
  <si>
    <t>2602.001.000-000</t>
  </si>
  <si>
    <t>BIELA</t>
  </si>
  <si>
    <t>2602.001.001-000</t>
  </si>
  <si>
    <t>BIELA 1506/30</t>
  </si>
  <si>
    <t>2602.001.006-000</t>
  </si>
  <si>
    <t>ECXENTRICO 1504/1528</t>
  </si>
  <si>
    <t>2602.025.025-000</t>
  </si>
  <si>
    <t>EMPUÑADURA INF.1577</t>
  </si>
  <si>
    <t>2602.025.026-000</t>
  </si>
  <si>
    <t>TAPA 1577</t>
  </si>
  <si>
    <t>2602.025.059-000</t>
  </si>
  <si>
    <t>EMPUÑADURA 0830 DISCONTINUADO</t>
  </si>
  <si>
    <t>2602.025.060-000</t>
  </si>
  <si>
    <t>EMPUÑADURA 1587</t>
  </si>
  <si>
    <t>2602.025.068-000</t>
  </si>
  <si>
    <t>EMPUÑADURA 3298</t>
  </si>
  <si>
    <t>2602.025.079-000</t>
  </si>
  <si>
    <t>EMPUNADURA DESCONT.REEMP. RX160202508E</t>
  </si>
  <si>
    <t>2602.025.106-000</t>
  </si>
  <si>
    <t>EMPUNADURA PUENTE 0841/0844 obsoleto</t>
  </si>
  <si>
    <t>2602.025.118-000</t>
  </si>
  <si>
    <t>EMPUNADURA ADICIONAL Ø43 MM 11238.7</t>
  </si>
  <si>
    <t>2602.025.158-000</t>
  </si>
  <si>
    <t>MANGO ADICIONAL GSR 18 VE2LI</t>
  </si>
  <si>
    <t>2602.025.166-000</t>
  </si>
  <si>
    <t>TOPE DE PROFUNDIDAD 1440/41</t>
  </si>
  <si>
    <t>2602.025.901-000</t>
  </si>
  <si>
    <t>EMPUÑADURA GST 85 PBE (1587)</t>
  </si>
  <si>
    <t>2602.026.001-000</t>
  </si>
  <si>
    <t>ENPUÑADURA</t>
  </si>
  <si>
    <t>2602.026.004-000</t>
  </si>
  <si>
    <t>MANDO GIRATORIO 1593 OBSOLETO</t>
  </si>
  <si>
    <t>2602.026.006-000</t>
  </si>
  <si>
    <t>BOTON GIRATORIO 1169</t>
  </si>
  <si>
    <t>2602.026.014-000</t>
  </si>
  <si>
    <t>BOTON 1210/1215/1584 OBSOLETO</t>
  </si>
  <si>
    <t>2602.026.015-000</t>
  </si>
  <si>
    <t>BOTON  1215 /1506</t>
  </si>
  <si>
    <t>2602.026.017-000</t>
  </si>
  <si>
    <t>BOTON 1182/84/94</t>
  </si>
  <si>
    <t>2602.026.031-000</t>
  </si>
  <si>
    <t>BOTON GIRATORIO 3161</t>
  </si>
  <si>
    <t>2602.026.032-000</t>
  </si>
  <si>
    <t>BOTON 3161  DISCONTINUED</t>
  </si>
  <si>
    <t>2602.026.035-000</t>
  </si>
  <si>
    <t>PALANCA AVANCE 3238/3335 - DISCONTINUADO</t>
  </si>
  <si>
    <t>2602.026.036-000</t>
  </si>
  <si>
    <t>PERILLA</t>
  </si>
  <si>
    <t>2602.026.037-000</t>
  </si>
  <si>
    <t>BOTON GIRATORIO 1587</t>
  </si>
  <si>
    <t>2602.026.038-000</t>
  </si>
  <si>
    <t>BOTON GIRATORIO 1184/94 (5UNID)</t>
  </si>
  <si>
    <t>2602.026.041-000</t>
  </si>
  <si>
    <t>MANGO 3272 OBSOLETO</t>
  </si>
  <si>
    <t>2602.026.044-000</t>
  </si>
  <si>
    <t>PALANCA DE MANDO 3281</t>
  </si>
  <si>
    <t>2602.026.045-000</t>
  </si>
  <si>
    <t>BOTON GIRATORIO 3281 obsoleto</t>
  </si>
  <si>
    <t>2602.026.052-000</t>
  </si>
  <si>
    <t>PERILLA 3272</t>
  </si>
  <si>
    <t>2602.026.053-000</t>
  </si>
  <si>
    <t>TAPA DE PERILLA 3272</t>
  </si>
  <si>
    <t>2602.026.063-000</t>
  </si>
  <si>
    <t>2602.026.065-000</t>
  </si>
  <si>
    <t>BOTON GIRATORIO 1588.7/1589.0/1598</t>
  </si>
  <si>
    <t>2602.026.066-000</t>
  </si>
  <si>
    <t>BOT.INTER. 1588.7 OBSOLETO</t>
  </si>
  <si>
    <t>2602.026.069-000</t>
  </si>
  <si>
    <t>EMPUNADURA ADICIONAL NEGRO 1293/2714</t>
  </si>
  <si>
    <t>2602.026.091-000</t>
  </si>
  <si>
    <t>2602.026.094-000</t>
  </si>
  <si>
    <t>BOTON GIRATORIO 3365.0/1595</t>
  </si>
  <si>
    <t>2602.026.107-000</t>
  </si>
  <si>
    <t>EMPUÑADURA DE INTERUPTOR 1510</t>
  </si>
  <si>
    <t>2602.026.109-000</t>
  </si>
  <si>
    <t>BOTN GIRATORIO 1510</t>
  </si>
  <si>
    <t>2602.026.116-000</t>
  </si>
  <si>
    <t>BOTON GIRATORIO 1510</t>
  </si>
  <si>
    <t>2602.026.117-000</t>
  </si>
  <si>
    <t>2602.026.118-000</t>
  </si>
  <si>
    <t>BOTON GIRATORIO  119B</t>
  </si>
  <si>
    <t>2602.026.120-000</t>
  </si>
  <si>
    <t>MANDO GIRATORIO 159A</t>
  </si>
  <si>
    <t>2602.026.123-000</t>
  </si>
  <si>
    <t>MANGO NEGRO 1C58.1</t>
  </si>
  <si>
    <t>2602.026.154-000</t>
  </si>
  <si>
    <t>CORREDERA DE CONEXION  158E</t>
  </si>
  <si>
    <t>2602.026.158-000</t>
  </si>
  <si>
    <t>BOTON GIRATORIO 1513</t>
  </si>
  <si>
    <t>2602.026.175-000</t>
  </si>
  <si>
    <t>EMPUÑADURA ADICIONAL 137B.1</t>
  </si>
  <si>
    <t>2602.026.180-000</t>
  </si>
  <si>
    <t>Mando Giratorio</t>
  </si>
  <si>
    <t>2602.026.200-000</t>
  </si>
  <si>
    <t>2602.026.201-000</t>
  </si>
  <si>
    <t>Selector</t>
  </si>
  <si>
    <t>2602.026.902-000</t>
  </si>
  <si>
    <t>BOTON CORREDERA 1588.7 obsoleto</t>
  </si>
  <si>
    <t>2602.026.908-000</t>
  </si>
  <si>
    <t>CAPERUZA EMPUNADURA 1513</t>
  </si>
  <si>
    <t>2602.026.909-000</t>
  </si>
  <si>
    <t>2602.033.003-000</t>
  </si>
  <si>
    <t>HORQUILLA 3163.7          N/C</t>
  </si>
  <si>
    <t>2602.033.005-000</t>
  </si>
  <si>
    <t>HORQUILLA DE MANDO</t>
  </si>
  <si>
    <t>2602.033.007-000</t>
  </si>
  <si>
    <t>CORREDERA DE AJUSTE 1169</t>
  </si>
  <si>
    <t>2602.033.008-000</t>
  </si>
  <si>
    <t>HORQUILLA DE MANDO 1936.6/1949</t>
  </si>
  <si>
    <t>2602.033.018-000</t>
  </si>
  <si>
    <t>CORREDERA DE AJUSTE 1AA6.0</t>
  </si>
  <si>
    <t>2602.051.000-000</t>
  </si>
  <si>
    <t>PALANCA DE BLOQUEO 3281</t>
  </si>
  <si>
    <t>2602.051.002-000</t>
  </si>
  <si>
    <t>PALANCA DE BLOQUEO 1595</t>
  </si>
  <si>
    <t>2602.051.004-000</t>
  </si>
  <si>
    <t>2602.053.001-000</t>
  </si>
  <si>
    <t>PALANCA DE PRESION 3265</t>
  </si>
  <si>
    <t>2602.098.008-000</t>
  </si>
  <si>
    <t>CONMUTADOR 3338/7</t>
  </si>
  <si>
    <t>2602.098.011-000</t>
  </si>
  <si>
    <t>PALANCA 1288 obsoleto</t>
  </si>
  <si>
    <t>2602.123.010-000</t>
  </si>
  <si>
    <t>Balancin</t>
  </si>
  <si>
    <t>2602.130.900-000</t>
  </si>
  <si>
    <t>BIELA 3281</t>
  </si>
  <si>
    <t>2602.130.901-000</t>
  </si>
  <si>
    <t>BUJE 3281 - DISCONTINUADO</t>
  </si>
  <si>
    <t>2602.130.903-000</t>
  </si>
  <si>
    <t>BIELA ARTICULADA 3363.7</t>
  </si>
  <si>
    <t>2602.210.001-000</t>
  </si>
  <si>
    <t>EXCENTRICO</t>
  </si>
  <si>
    <t>2602.210.009-000</t>
  </si>
  <si>
    <t>2602.210.011-000</t>
  </si>
  <si>
    <t>EXCENTRICO 3168</t>
  </si>
  <si>
    <t>2602.210.014-000</t>
  </si>
  <si>
    <t>EXCENTRICO 1937.7</t>
  </si>
  <si>
    <t>2602.210.900-000</t>
  </si>
  <si>
    <t>DISCO EXCENTRICO 3289</t>
  </si>
  <si>
    <t>2602.210.907-000</t>
  </si>
  <si>
    <t>EXCENTRICO 3289.1 - DISCONTINUADO</t>
  </si>
  <si>
    <t>2602.300.008-000</t>
  </si>
  <si>
    <t>CUNHA OBSOLETO</t>
  </si>
  <si>
    <t>2602.300.026-000</t>
  </si>
  <si>
    <t>CUNA 1169 RX 2602300033000</t>
  </si>
  <si>
    <t>2602.300.028-000</t>
  </si>
  <si>
    <t>CUNA 1182/1184/94 RA F000600352</t>
  </si>
  <si>
    <t>2602.300.033-000</t>
  </si>
  <si>
    <t>CUNA 1169</t>
  </si>
  <si>
    <t>2602.305.014-000</t>
  </si>
  <si>
    <t>EMBOLO PORTAUTIL 1575.1</t>
  </si>
  <si>
    <t>2602.305.016-000</t>
  </si>
  <si>
    <t>2602.305.041-000</t>
  </si>
  <si>
    <t>BUJE (1579)</t>
  </si>
  <si>
    <t>2602.305.048-000</t>
  </si>
  <si>
    <t>SEPARADOR 1588.7/1589.0</t>
  </si>
  <si>
    <t>2602.305.050-000</t>
  </si>
  <si>
    <t>SEPARADOR DE AIRE 1598</t>
  </si>
  <si>
    <t>2602.305.051-000</t>
  </si>
  <si>
    <t>SEPARADOR DE AIRE 1510 - DISCONTINUADO</t>
  </si>
  <si>
    <t>2602.316.000-000</t>
  </si>
  <si>
    <t>PLACA DE PRESION 3272 OBSOLETO</t>
  </si>
  <si>
    <t>2602.316.001-000</t>
  </si>
  <si>
    <t>Sujetatope</t>
  </si>
  <si>
    <t>2602.316.006-000</t>
  </si>
  <si>
    <t>TOPE DE PROFUNDIDAD 3261 RB</t>
  </si>
  <si>
    <t>2602.316.007-000</t>
  </si>
  <si>
    <t>PLACA DE APOYO 3293</t>
  </si>
  <si>
    <t>2602.316.011-000</t>
  </si>
  <si>
    <t>PLACA DE APOYO 3335</t>
  </si>
  <si>
    <t>2602.316.900-000</t>
  </si>
  <si>
    <t>2602.316.902-000</t>
  </si>
  <si>
    <t>PLACA APOYO 3238.4 - DISCONTINUADO</t>
  </si>
  <si>
    <t>2602.317.025-000</t>
  </si>
  <si>
    <t>PERFIL DE APOYO 3238-29/3219.3</t>
  </si>
  <si>
    <t>2602.317.037-000</t>
  </si>
  <si>
    <t>LISTON PERFILADO 3381,7</t>
  </si>
  <si>
    <t>2602.317.053-000</t>
  </si>
  <si>
    <t>PIEZA DESLIZ.1587 RA2601321017</t>
  </si>
  <si>
    <t>2602.317.900-000</t>
  </si>
  <si>
    <t>PIEZA DESUJECION 1510</t>
  </si>
  <si>
    <t>2602.319.004-000</t>
  </si>
  <si>
    <t>2602.319.005-000</t>
  </si>
  <si>
    <t>GUIA 1215.050/078</t>
  </si>
  <si>
    <t>2602.319.008-000</t>
  </si>
  <si>
    <t>CORREDERA 3307</t>
  </si>
  <si>
    <t>2602.319.009-000</t>
  </si>
  <si>
    <t>CORREDERA INTERRUPTOR  3316</t>
  </si>
  <si>
    <t>2602.319.013-000</t>
  </si>
  <si>
    <t>CORRED.INTERRUPTOR 3316  RA019</t>
  </si>
  <si>
    <t>2602.319.014-000</t>
  </si>
  <si>
    <t>CORREDERA DE CONEXION 3327.7</t>
  </si>
  <si>
    <t>2602.319.021-000</t>
  </si>
  <si>
    <t>CORREDERA DE C 339.5</t>
  </si>
  <si>
    <t>2602.329.011-000</t>
  </si>
  <si>
    <t>BUJE 1587</t>
  </si>
  <si>
    <t>2602.329.022-000</t>
  </si>
  <si>
    <t>LISTON DE PRESION 1288 - DISCONTINUADO</t>
  </si>
  <si>
    <t>2602.380.003-000</t>
  </si>
  <si>
    <t>JUNTA  3309</t>
  </si>
  <si>
    <t>2602.388.004-000</t>
  </si>
  <si>
    <t>SOPORTE DE GOMA</t>
  </si>
  <si>
    <t>2602.388.010-000</t>
  </si>
  <si>
    <t>PLANCHA DE GOMA 3289 OBSOLETO</t>
  </si>
  <si>
    <t>2602.388.026-000</t>
  </si>
  <si>
    <t>PIN DE TENSION</t>
  </si>
  <si>
    <t>2602.389.001-000</t>
  </si>
  <si>
    <t>PLAQUETA 1577-DISCONTINUADO</t>
  </si>
  <si>
    <t>2602.391.004-000</t>
  </si>
  <si>
    <t>TOPE DE GOMA 1D45.1/1D45.0</t>
  </si>
  <si>
    <t>2603.000.016-000</t>
  </si>
  <si>
    <t>ARBOL INTERMEDIARIO 1939.8</t>
  </si>
  <si>
    <t>2603.001.009-000</t>
  </si>
  <si>
    <t>LIMITADOR DE PROFUNDIDAD - 112A6 - 112A6</t>
  </si>
  <si>
    <t>2603.010.002-000</t>
  </si>
  <si>
    <t>ARBOL FLEXIBLE 3307 DISCONTINUADO</t>
  </si>
  <si>
    <t>2603.070.005-000</t>
  </si>
  <si>
    <t>EMBOLO PORTAUTIL 1500</t>
  </si>
  <si>
    <t>2603.070.008-000</t>
  </si>
  <si>
    <t>PIEZA DE FIJACION 1506</t>
  </si>
  <si>
    <t>2603.100.000-000</t>
  </si>
  <si>
    <t>EJE DE PISTON</t>
  </si>
  <si>
    <t>2603.100.003-000</t>
  </si>
  <si>
    <t>PERNO 1506/30</t>
  </si>
  <si>
    <t>2603.100.031-000</t>
  </si>
  <si>
    <t>2603.100.032-000</t>
  </si>
  <si>
    <t>2603.100.047-000</t>
  </si>
  <si>
    <t>PERNO DE COJINETE 4121 Rx 2606316900</t>
  </si>
  <si>
    <t>2603.100.056-000</t>
  </si>
  <si>
    <t>GOMA DE CHOQUE</t>
  </si>
  <si>
    <t>2603.100.057-000</t>
  </si>
  <si>
    <t>CLAVIJA CILINDRICA 3293</t>
  </si>
  <si>
    <t>2603.100.069-000</t>
  </si>
  <si>
    <t>CLAVILA CILINDR. 1588.7/1589.0/1598</t>
  </si>
  <si>
    <t>2603.101.002-000</t>
  </si>
  <si>
    <t>PERNO DISCONTINUADO</t>
  </si>
  <si>
    <t>2603.101.046-000</t>
  </si>
  <si>
    <t>ESTRIBO PROTECT. 1588.7/1589.0/1598</t>
  </si>
  <si>
    <t>2603.101.056-000</t>
  </si>
  <si>
    <t>ESTRIBO PROTECTOR 1513</t>
  </si>
  <si>
    <t>2603.101.065-000</t>
  </si>
  <si>
    <t>2603.101.070-000</t>
  </si>
  <si>
    <t>Perno de seguridad</t>
  </si>
  <si>
    <t>2603.102.007-000</t>
  </si>
  <si>
    <t>PERNO 3261</t>
  </si>
  <si>
    <t>2603.104.001-000</t>
  </si>
  <si>
    <t>PISTON 1530</t>
  </si>
  <si>
    <t>2603.105.015-000</t>
  </si>
  <si>
    <t>PERNO 1577 OBSOLETO</t>
  </si>
  <si>
    <t>2603.105.021-000</t>
  </si>
  <si>
    <t>2603.105.022-000</t>
  </si>
  <si>
    <t>2603.105.027-000</t>
  </si>
  <si>
    <t>2603.105.038-000</t>
  </si>
  <si>
    <t>PERNO DE ARTICULACION 3281</t>
  </si>
  <si>
    <t>2603.105.044-000</t>
  </si>
  <si>
    <t>PERNO DE COJINETE 3293</t>
  </si>
  <si>
    <t>2603.105.050-000</t>
  </si>
  <si>
    <t>ESPIGA DE SEGURIDAD 3335 OBSOLETO</t>
  </si>
  <si>
    <t>2603.105.051-000</t>
  </si>
  <si>
    <t>HASTA PROTECTORA 1281.719</t>
  </si>
  <si>
    <t>2603.105.052-000</t>
  </si>
  <si>
    <t>PERNO DE SEGURIDAD 1509/1281.769</t>
  </si>
  <si>
    <t>2603.105.053-000</t>
  </si>
  <si>
    <t>PERNO COJINETE 1588.7/1589.0/1598</t>
  </si>
  <si>
    <t>2603.105.054-000</t>
  </si>
  <si>
    <t>PERNO DE COJIN. 0842.5-6</t>
  </si>
  <si>
    <t>2603.105.065-000</t>
  </si>
  <si>
    <t>MANGUITO ELASTICO 3363.7</t>
  </si>
  <si>
    <t>2603.105.067-000</t>
  </si>
  <si>
    <t>ESPIGA DE SEGURIDAD 3364</t>
  </si>
  <si>
    <t>2603.105.080-000</t>
  </si>
  <si>
    <t>2603.105.083-000</t>
  </si>
  <si>
    <t>PERNO DE COJINETE</t>
  </si>
  <si>
    <t>2603.105.084-000</t>
  </si>
  <si>
    <t>2603.105.088-000</t>
  </si>
  <si>
    <t>ESPIGA DE SEGURIDAD 3380.0/158E</t>
  </si>
  <si>
    <t>2603.105.091-000</t>
  </si>
  <si>
    <t>2603.105.104-000</t>
  </si>
  <si>
    <t>PERNO DE COJINETE 1510</t>
  </si>
  <si>
    <t>2603.105.131-000</t>
  </si>
  <si>
    <t>PERNO DE COJINETE 1513</t>
  </si>
  <si>
    <t>2603.105.136-000</t>
  </si>
  <si>
    <t>2603.105.143-000</t>
  </si>
  <si>
    <t>PERNO DE COJINETE 1E8J.3</t>
  </si>
  <si>
    <t>2603.105.200-000</t>
  </si>
  <si>
    <t>2603.111.001-000</t>
  </si>
  <si>
    <t>CHAVETA DE SUJECION 1E94.3</t>
  </si>
  <si>
    <t>2603.120.001-000</t>
  </si>
  <si>
    <t>PRENSACABLE</t>
  </si>
  <si>
    <t>2603.120.008-000</t>
  </si>
  <si>
    <t>2603.120.019-000</t>
  </si>
  <si>
    <t>PERNO DE FIJACION GST 700</t>
  </si>
  <si>
    <t>2603.120.037-000</t>
  </si>
  <si>
    <t>PERNO DE FIJACION 3364</t>
  </si>
  <si>
    <t>2603.120.064-000</t>
  </si>
  <si>
    <t>2603.123.013-000</t>
  </si>
  <si>
    <t>PASADOR DE SUJ.</t>
  </si>
  <si>
    <t>2603.124.002-000</t>
  </si>
  <si>
    <t>2603.124.016-000</t>
  </si>
  <si>
    <t>EJE 1432</t>
  </si>
  <si>
    <t>2603.124.043-000</t>
  </si>
  <si>
    <t>EJE 1925</t>
  </si>
  <si>
    <t>2603.124.097-000</t>
  </si>
  <si>
    <t>EJE 3298</t>
  </si>
  <si>
    <t>2603.124.116-000</t>
  </si>
  <si>
    <t>ARBOL ACCIONAMIENTO 3298 - DISCONTINUADO</t>
  </si>
  <si>
    <t>2603.124.155-000</t>
  </si>
  <si>
    <t>2603.124.156-000</t>
  </si>
  <si>
    <t>ARBOL DE MANIOBRA</t>
  </si>
  <si>
    <t>2603.124.904-000</t>
  </si>
  <si>
    <t>2603.124.906-000</t>
  </si>
  <si>
    <t>EJE 0843.0</t>
  </si>
  <si>
    <t>2603.126.008-000</t>
  </si>
  <si>
    <t>2603.126.011-000</t>
  </si>
  <si>
    <t>TAPON 3168</t>
  </si>
  <si>
    <t>2603.126.014-000</t>
  </si>
  <si>
    <t>TAPON 3316</t>
  </si>
  <si>
    <t>2603.132.002-000</t>
  </si>
  <si>
    <t>TOPE DE PRESION 1410/15/19</t>
  </si>
  <si>
    <t>2603.200.020-000</t>
  </si>
  <si>
    <t>2603.201.020-000</t>
  </si>
  <si>
    <t>PASADOR DE COJINETE</t>
  </si>
  <si>
    <t>2603.201.037-000</t>
  </si>
  <si>
    <t>AGUJA PARA RODAMIENTO 1,5X5,8 MM 1575.1</t>
  </si>
  <si>
    <t>2603.201.041-000</t>
  </si>
  <si>
    <t>AGUJA PARA RODAMIENTO</t>
  </si>
  <si>
    <t>2603.201.055-000</t>
  </si>
  <si>
    <t>2603.201.089-000</t>
  </si>
  <si>
    <t>2603.203.041-000</t>
  </si>
  <si>
    <t>ELEMENTO AMORTIGUADOR 137B</t>
  </si>
  <si>
    <t>2603.204.900-000</t>
  </si>
  <si>
    <t>PORTA CUCHILLAS 3258</t>
  </si>
  <si>
    <t>2603.204.903-000</t>
  </si>
  <si>
    <t>EJE PORTACUCHILLAS COMP. 3258</t>
  </si>
  <si>
    <t>2603.204.906-000</t>
  </si>
  <si>
    <t>CABEZA DE CEPILLO 1593.165 OBSOLETO</t>
  </si>
  <si>
    <t>2603.204.908-000</t>
  </si>
  <si>
    <t>CABEZAL DE RODILLO 1593.1 Ra 904</t>
  </si>
  <si>
    <t>2603.212.001-000</t>
  </si>
  <si>
    <t>FIELTRO DE ENGRASE 1925</t>
  </si>
  <si>
    <t>2603.230.000-000</t>
  </si>
  <si>
    <t>BOLILLA 3261</t>
  </si>
  <si>
    <t>2603.230.007-000</t>
  </si>
  <si>
    <t>BOLA</t>
  </si>
  <si>
    <t>2603.231.040-000</t>
  </si>
  <si>
    <t>BOTON PULSADOR 3338</t>
  </si>
  <si>
    <t>2603.239.006-000</t>
  </si>
  <si>
    <t>FIELTRO DE ENGRASE 3364 obsoleto</t>
  </si>
  <si>
    <t>2603.239.024-000</t>
  </si>
  <si>
    <t>PLACA AMORTIGUADORA 3338</t>
  </si>
  <si>
    <t>2603.239.027-000</t>
  </si>
  <si>
    <t>CORDON DE JUNTA 3327.7</t>
  </si>
  <si>
    <t>2603.300.001-000</t>
  </si>
  <si>
    <t>CHAVETA</t>
  </si>
  <si>
    <t>2603.312.001-000</t>
  </si>
  <si>
    <t>TUERCA 1210/3261 - DISCONT.</t>
  </si>
  <si>
    <t>2603.314.001-000</t>
  </si>
  <si>
    <t>2603.320.003-000</t>
  </si>
  <si>
    <t>TUERCA 3261/1593</t>
  </si>
  <si>
    <t>2603.320.004-000</t>
  </si>
  <si>
    <t>Tuerca Cuadrada</t>
  </si>
  <si>
    <t>2603.339.005-000</t>
  </si>
  <si>
    <t>TUERCA 1270/1274 RA 1603349017</t>
  </si>
  <si>
    <t>2603.340.002-000</t>
  </si>
  <si>
    <t>PERILLA PALANCA-DISCONTINUADO</t>
  </si>
  <si>
    <t>2603.341.002-000</t>
  </si>
  <si>
    <t>2603.341.007-000</t>
  </si>
  <si>
    <t>TUERCA CILINDRICA 1575.1</t>
  </si>
  <si>
    <t>2603.342.004-000</t>
  </si>
  <si>
    <t>TUERCA CILINDRICA 3270/2 RX010</t>
  </si>
  <si>
    <t>2603.342.006-000</t>
  </si>
  <si>
    <t>TUERCA CILINDRICA 3272/3270.1</t>
  </si>
  <si>
    <t>2603.342.010-000</t>
  </si>
  <si>
    <t>TUERCA CILINDRICA 3270/2 RA004</t>
  </si>
  <si>
    <t>2603.345.000-000</t>
  </si>
  <si>
    <t>TUERCA REDONDA</t>
  </si>
  <si>
    <t>2603.345.015-000</t>
  </si>
  <si>
    <t>2603.386.002-000</t>
  </si>
  <si>
    <t>BOQUILLA DE EMPALME 7461/7661</t>
  </si>
  <si>
    <t>2603.400.001-000</t>
  </si>
  <si>
    <t>TORNILLO 1577 RXF000635118</t>
  </si>
  <si>
    <t>2603.400.011-000</t>
  </si>
  <si>
    <t>VARILLA ROSCADA 7661/7260101</t>
  </si>
  <si>
    <t>2603.400.014-000</t>
  </si>
  <si>
    <t>VARILLA ROSCADA obsoleto</t>
  </si>
  <si>
    <t>2603.400.016-000</t>
  </si>
  <si>
    <t>VARILLA ROSCADA 1E94.3</t>
  </si>
  <si>
    <t>2603.410.001-000</t>
  </si>
  <si>
    <t>TORNILLO CABEZA CILINDR. M3X6,5-4.8</t>
  </si>
  <si>
    <t>2603.410.028-000</t>
  </si>
  <si>
    <t>2603.410.045-000</t>
  </si>
  <si>
    <t>TORNILLO CAB. CILINDR. DIN 84-M5X10-4.8</t>
  </si>
  <si>
    <t>2603.410.046-000</t>
  </si>
  <si>
    <t>TORNILLO RANURA CRUCIF. 119B</t>
  </si>
  <si>
    <t>2603.410.048-000</t>
  </si>
  <si>
    <t>TORNILLO AUTORROSCANTE M4X8 1K70.7</t>
  </si>
  <si>
    <t>2603.410.049-000</t>
  </si>
  <si>
    <t>2603.410.051-000</t>
  </si>
  <si>
    <t>2603.413.003-000</t>
  </si>
  <si>
    <t>TORNILLO - DISCONTINUADO</t>
  </si>
  <si>
    <t>2603.413.026-000</t>
  </si>
  <si>
    <t>TORNILLO 0841.4/0842 - DISCONTINUADO</t>
  </si>
  <si>
    <t>2603.413.031-000</t>
  </si>
  <si>
    <t>TORN.CABEZA CILIND.0810  Ra023</t>
  </si>
  <si>
    <t>2603.413.035-000</t>
  </si>
  <si>
    <t>Tornillo Cabeza Bombeada</t>
  </si>
  <si>
    <t>2603.414.026-000</t>
  </si>
  <si>
    <t>TORNILLO 1506 - RX 3607.031.645-000</t>
  </si>
  <si>
    <t>2603.414.027-000</t>
  </si>
  <si>
    <t>TORNILLO CUCHILLAS 3272/1510 DISCONT.</t>
  </si>
  <si>
    <t>2603.414.048-000</t>
  </si>
  <si>
    <t>Tornillo de cabeza cilíndrica Torx</t>
  </si>
  <si>
    <t>2603.414.050-000</t>
  </si>
  <si>
    <t>TORNILLO 7435 RX 2603414062000</t>
  </si>
  <si>
    <t>2603.414.062-000</t>
  </si>
  <si>
    <t>CC: TORNILLO CILINDRICO HEX</t>
  </si>
  <si>
    <t>2603.415.206-000</t>
  </si>
  <si>
    <t>TORNILLO 1909/19A2</t>
  </si>
  <si>
    <t>2603.421.006-000</t>
  </si>
  <si>
    <t>TORNILLO AVELLANADO 0810</t>
  </si>
  <si>
    <t>2603.421.009-000</t>
  </si>
  <si>
    <t>TORNILLO AVELLANADO 1049</t>
  </si>
  <si>
    <t>2603.421.040-000</t>
  </si>
  <si>
    <t>TORNILLO 1587</t>
  </si>
  <si>
    <t>2603.421.207-000</t>
  </si>
  <si>
    <t>TORNILLO AVELLANADO M6X27-KØ11 RI</t>
  </si>
  <si>
    <t>2603.421.215-000</t>
  </si>
  <si>
    <t>TORNILLO 1140</t>
  </si>
  <si>
    <t>2603.421.217-000</t>
  </si>
  <si>
    <t>TORNILLO 1921/49/36 RX 228</t>
  </si>
  <si>
    <t>2603.421.222-000</t>
  </si>
  <si>
    <t>TORNILLO AJ.MANDRIL 1948.4-6 RX 229</t>
  </si>
  <si>
    <t>2603.421.226-000</t>
  </si>
  <si>
    <t>TORN.AVELLAN.11218/1194</t>
  </si>
  <si>
    <t>2603.421.227-000</t>
  </si>
  <si>
    <t>TORNILLO 1936 OBSOLETO</t>
  </si>
  <si>
    <t>2603.421.228-000</t>
  </si>
  <si>
    <t>TORNILLO 1921/49/36 RX 2609.110.721</t>
  </si>
  <si>
    <t>2603.421.229-000</t>
  </si>
  <si>
    <t>2603.433.000-000</t>
  </si>
  <si>
    <t>TORNILLO CON ARANDELA 159A</t>
  </si>
  <si>
    <t>2603.433.001-000</t>
  </si>
  <si>
    <t>TORNILLO AVALLANADO TORX 1EA4.3</t>
  </si>
  <si>
    <t>2603.435.012-000</t>
  </si>
  <si>
    <t>2603.435.013-000</t>
  </si>
  <si>
    <t>2603.435.015-000</t>
  </si>
  <si>
    <t>Tornillo Ranura Crucif.</t>
  </si>
  <si>
    <t>2603.435.018-000</t>
  </si>
  <si>
    <t>TORN CAB ANGUL 1321/11210 RX F000600216</t>
  </si>
  <si>
    <t>2603.435.020-000</t>
  </si>
  <si>
    <t>TORNILLO 1215078/.7 RX 2910211093000</t>
  </si>
  <si>
    <t>2603.435.042-000</t>
  </si>
  <si>
    <t>TORNILLO AUTORROSCANTE  2714/137B</t>
  </si>
  <si>
    <t>2603.435.043-000</t>
  </si>
  <si>
    <t>TORNILLO ESPECIAL 137B RX 1600A00RD6</t>
  </si>
  <si>
    <t>2603.435.070-000</t>
  </si>
  <si>
    <t>TORNILLO 1184/1194</t>
  </si>
  <si>
    <t>2603.435.071-000</t>
  </si>
  <si>
    <t>2603.435.084-000</t>
  </si>
  <si>
    <t>PITON ROSCADO 1AA5.0/1AA6.0</t>
  </si>
  <si>
    <t>2603.435.085-000</t>
  </si>
  <si>
    <t>2603.435.086-000</t>
  </si>
  <si>
    <t>TORNILLO AUTORROSCANTE 119B/137B</t>
  </si>
  <si>
    <t>2603.435.096-000</t>
  </si>
  <si>
    <t>TORNILLO AVALLANADO TORX M3X10 137B.1</t>
  </si>
  <si>
    <t>2603.450.005-000</t>
  </si>
  <si>
    <t>TORNILLO HEXAGONAL - DISCONTINUADO</t>
  </si>
  <si>
    <t>2603.455.006-000</t>
  </si>
  <si>
    <t>TORNILLO 1528</t>
  </si>
  <si>
    <t>2603.463.001-000</t>
  </si>
  <si>
    <t>2603.480.003-000</t>
  </si>
  <si>
    <t>2603.490.005-000</t>
  </si>
  <si>
    <t>TORNILLO 3293 - DISCONTINUADO</t>
  </si>
  <si>
    <t>2603.490.011-000</t>
  </si>
  <si>
    <t>TORNILLO DE APRIETE 1587.6 RA 007</t>
  </si>
  <si>
    <t>2603.490.016-000</t>
  </si>
  <si>
    <t>TORNILLO AVALLANADO TORX 3X8</t>
  </si>
  <si>
    <t>2603.490.017-000</t>
  </si>
  <si>
    <t>2603.490.020-000</t>
  </si>
  <si>
    <t>TORNILLO AVALLANADO TORX 4X8</t>
  </si>
  <si>
    <t>2603.490.021-000</t>
  </si>
  <si>
    <t>2603.490.022-000</t>
  </si>
  <si>
    <t>2603.490.023-000</t>
  </si>
  <si>
    <t>2603.490.024-000</t>
  </si>
  <si>
    <t>2603.490.025-000</t>
  </si>
  <si>
    <t>2603.490.026-000</t>
  </si>
  <si>
    <t>TORNILLO DE CABEZA ABOMB 4X32</t>
  </si>
  <si>
    <t>2603.490.027-000</t>
  </si>
  <si>
    <t>2603.502.015-000</t>
  </si>
  <si>
    <t>ESPARRAGO 1575.1</t>
  </si>
  <si>
    <t>2603.520.001-000</t>
  </si>
  <si>
    <t>PERNO ROSCADO</t>
  </si>
  <si>
    <t>2603.520.010-000</t>
  </si>
  <si>
    <t>PERNO DE COJINETE 1575.1</t>
  </si>
  <si>
    <t>2603.523.006-000</t>
  </si>
  <si>
    <t>2603.523.019-000</t>
  </si>
  <si>
    <t>EJE - DISCONTINUADO</t>
  </si>
  <si>
    <t>2603.527.004-000</t>
  </si>
  <si>
    <t>TORNILLO HEXAGONAL</t>
  </si>
  <si>
    <t>2604.010.524-000</t>
  </si>
  <si>
    <t>INDUCIDO 220V - DISCONTINUADO</t>
  </si>
  <si>
    <t>2604.010.529-000</t>
  </si>
  <si>
    <t>INDUCIDO 1122 discontinued</t>
  </si>
  <si>
    <t>2604.010.551-000</t>
  </si>
  <si>
    <t>INDUCIDO 1527</t>
  </si>
  <si>
    <t>2604.010.553-000</t>
  </si>
  <si>
    <t>INDUCIDO 3161.1 DISCONTINUADO</t>
  </si>
  <si>
    <t>2604.010.558-000</t>
  </si>
  <si>
    <t>INDUCIDO 3230 OBSOLETO</t>
  </si>
  <si>
    <t>2604.010.574-000</t>
  </si>
  <si>
    <t>2604.010.578-000</t>
  </si>
  <si>
    <t>INDUCIDO 1587</t>
  </si>
  <si>
    <t>2604.010.604-000</t>
  </si>
  <si>
    <t>INDUCIDO 0830/0841.4 DISCONTINUED</t>
  </si>
  <si>
    <t>2604.010.605-000</t>
  </si>
  <si>
    <t>INDUCIDO 0841.4</t>
  </si>
  <si>
    <t>2604.010.608-000</t>
  </si>
  <si>
    <t>INDUCIDO 1506/1530</t>
  </si>
  <si>
    <t>2604.010.629-000</t>
  </si>
  <si>
    <t>2604.010.639-000</t>
  </si>
  <si>
    <t>INDUCIDO 1215.0</t>
  </si>
  <si>
    <t>2604.010.648-000</t>
  </si>
  <si>
    <t>INDUCIDO 3272 OBSOLETO</t>
  </si>
  <si>
    <t>2604.010.658-000</t>
  </si>
  <si>
    <t>INDUCIDO 3261 OBSOLETO</t>
  </si>
  <si>
    <t>2604.010.707-000</t>
  </si>
  <si>
    <t>INDUCIDO 3312</t>
  </si>
  <si>
    <t>2604.010.715-000</t>
  </si>
  <si>
    <t>INDUCIDO 3281 OBSOLETO</t>
  </si>
  <si>
    <t>2604.010.727-000</t>
  </si>
  <si>
    <t>INDUCIDO 3167 -  DESCONTINUADO</t>
  </si>
  <si>
    <t>2604.010.735-000</t>
  </si>
  <si>
    <t>INDUCIDO CON VENTILAD.(115V)</t>
  </si>
  <si>
    <t>2604.010.736-000</t>
  </si>
  <si>
    <t>INDUCIDO 3229 OBSOLETO</t>
  </si>
  <si>
    <t>2604.010.739-000</t>
  </si>
  <si>
    <t>INDUCIDO 1423.7</t>
  </si>
  <si>
    <t>2604.010.744-000</t>
  </si>
  <si>
    <t>INDUCIDO 1184 C/VENTILADOR</t>
  </si>
  <si>
    <t>2604.010.751-000</t>
  </si>
  <si>
    <t>INDUCIDO 3289.0 DISCONTINUADO</t>
  </si>
  <si>
    <t>2604.010.763-000</t>
  </si>
  <si>
    <t>INDUCIDO 1593/3258 OBSOLETO</t>
  </si>
  <si>
    <t>2604.010.784-000</t>
  </si>
  <si>
    <t>INDUCIDO 1135.064</t>
  </si>
  <si>
    <t>2604.010.826-000</t>
  </si>
  <si>
    <t>INDUCIDO 1575</t>
  </si>
  <si>
    <t>2604.010.846-000</t>
  </si>
  <si>
    <t>INDUCIDO 1500</t>
  </si>
  <si>
    <t>2604.010.863-000</t>
  </si>
  <si>
    <t>INDUCIDO 3168 - DISCONTINUED</t>
  </si>
  <si>
    <t>2604.010.872-000</t>
  </si>
  <si>
    <t>INDUCIDO 3293 OBSOLETO</t>
  </si>
  <si>
    <t>2604.010.881-000</t>
  </si>
  <si>
    <t>INDUCIDO 3298 - DISCONTINUADO</t>
  </si>
  <si>
    <t>2604.010.889-000</t>
  </si>
  <si>
    <t>INDUCIDO 3307 OBSOLETO</t>
  </si>
  <si>
    <t>2604.010.911-000</t>
  </si>
  <si>
    <t>INDUCIDO 1288 C/VENTILADOR DISCONTINUADO</t>
  </si>
  <si>
    <t>2604.010.932-000</t>
  </si>
  <si>
    <t>INDUCIDO RX 2604.011.924</t>
  </si>
  <si>
    <t>2604.010.940-000</t>
  </si>
  <si>
    <t>INDUCIDO 3346</t>
  </si>
  <si>
    <t>2604.010.944-000</t>
  </si>
  <si>
    <t>INDUCIDO 3327.7</t>
  </si>
  <si>
    <t>2604.010.962-000</t>
  </si>
  <si>
    <t>INDUCIDO 339.5</t>
  </si>
  <si>
    <t>2604.010.974-000</t>
  </si>
  <si>
    <t>INDUCIDO C/VENTILADOR 3368.0</t>
  </si>
  <si>
    <t>2604.010.998-000</t>
  </si>
  <si>
    <t>INDUCIDO 159A R X 2604011322</t>
  </si>
  <si>
    <t>2604.011.003-000</t>
  </si>
  <si>
    <t>INDUCIDO 1215.7 C/VENTILADOR</t>
  </si>
  <si>
    <t>2604.011.014-000</t>
  </si>
  <si>
    <t>INDUCIDO 3289.1 - DISCONTINUADO</t>
  </si>
  <si>
    <t>2604.011.018-000</t>
  </si>
  <si>
    <t>INDUCIDO 3309 OBSOLETO</t>
  </si>
  <si>
    <t>2604.011.028-000</t>
  </si>
  <si>
    <t>INDUCIDO 220-240V 2714</t>
  </si>
  <si>
    <t>2604.011.077-000</t>
  </si>
  <si>
    <t>INDUCIDO 1140 OBSOLETO</t>
  </si>
  <si>
    <t>2604.011.084-000</t>
  </si>
  <si>
    <t>INDUCIDO 3169  DISCONTINUED</t>
  </si>
  <si>
    <t>2604.011.085-000</t>
  </si>
  <si>
    <t>INDUCIDO 3169 DISCONTINUADO</t>
  </si>
  <si>
    <t>2604.011.097-000</t>
  </si>
  <si>
    <t>INDUCIDO 3229.2/3364</t>
  </si>
  <si>
    <t>2604.011.110-000</t>
  </si>
  <si>
    <t>INDUCIDO 1293</t>
  </si>
  <si>
    <t>2604.011.115-000</t>
  </si>
  <si>
    <t>INDUCIDO 1588.7</t>
  </si>
  <si>
    <t>2604.011.153-000</t>
  </si>
  <si>
    <t>INDUCIDO 1589.0 OBSOLETO</t>
  </si>
  <si>
    <t>2604.011.154-000</t>
  </si>
  <si>
    <t>INDUCIDO 3338</t>
  </si>
  <si>
    <t>2604.011.173-000</t>
  </si>
  <si>
    <t>INDUCIDO 3337 OBSOLETO</t>
  </si>
  <si>
    <t>2604.011.185-000</t>
  </si>
  <si>
    <t>INDUCIDO 3335 DISCONTINUADO</t>
  </si>
  <si>
    <t>2604.011.196-000</t>
  </si>
  <si>
    <t>INDUCIDO 3365.0</t>
  </si>
  <si>
    <t>2604.011.219-000</t>
  </si>
  <si>
    <t>INDUCIDO 3363.7</t>
  </si>
  <si>
    <t>2604.011.231-000</t>
  </si>
  <si>
    <t>INDUCIDO 3380.0 DISCONTINUADO</t>
  </si>
  <si>
    <t>2604.011.241-000</t>
  </si>
  <si>
    <t>INDUCIDO 3381.7 OBSOLETO</t>
  </si>
  <si>
    <t>2604.011.248-000</t>
  </si>
  <si>
    <t>INDUCIDO 0842.5-6 DISCONT</t>
  </si>
  <si>
    <t>2604.011.254-000</t>
  </si>
  <si>
    <t>INDUCIDO 1148.6</t>
  </si>
  <si>
    <t>2604.011.265-000</t>
  </si>
  <si>
    <t>INDUCIDO C/VENTILADOR 3310.5</t>
  </si>
  <si>
    <t>2604.011.276-000</t>
  </si>
  <si>
    <t>INDUCIDO 129A</t>
  </si>
  <si>
    <t>2604.011.319-000</t>
  </si>
  <si>
    <t>INDUCIDO 119B</t>
  </si>
  <si>
    <t>2604.011.322-000</t>
  </si>
  <si>
    <t>INDUCIDO 159A</t>
  </si>
  <si>
    <t>2604.011.331-000</t>
  </si>
  <si>
    <t>INDUCIDO 220-230V 1C58.1</t>
  </si>
  <si>
    <t>2604.011.343-000</t>
  </si>
  <si>
    <t>INDUCIDO 1510</t>
  </si>
  <si>
    <t>2604.011.394-000</t>
  </si>
  <si>
    <t>INDUCIDO 1513 RA 2604011934</t>
  </si>
  <si>
    <t>2604.011.445-000</t>
  </si>
  <si>
    <t>INDUCIDO 137B RX 2604.011.434-000</t>
  </si>
  <si>
    <t>2604.011.900-000</t>
  </si>
  <si>
    <t>INDUCIDO 1049</t>
  </si>
  <si>
    <t>2604.011.905-000</t>
  </si>
  <si>
    <t>INDUCIDO  1441 RX 2604.011.928</t>
  </si>
  <si>
    <t>2604.011.908-000</t>
  </si>
  <si>
    <t>INDUCIDO  1440</t>
  </si>
  <si>
    <t>2604.011.910-000</t>
  </si>
  <si>
    <t>INDUCIDO  158E</t>
  </si>
  <si>
    <t>2604.011.924-000</t>
  </si>
  <si>
    <t>INDUCIDO RA 2604.010.932</t>
  </si>
  <si>
    <t>2604.011.926-000</t>
  </si>
  <si>
    <t>INDUCIDO 1440</t>
  </si>
  <si>
    <t>2604.011.928-000</t>
  </si>
  <si>
    <t>INDUCIDO  1441 RA 2604.011.905</t>
  </si>
  <si>
    <t>2604.011.934-000</t>
  </si>
  <si>
    <t>INDUCIDO 1513 RX 2604.011.394-000</t>
  </si>
  <si>
    <t>2604.011.941-000</t>
  </si>
  <si>
    <t>INDUCIDO 230V 1D45.0</t>
  </si>
  <si>
    <t>2604.011.943-000</t>
  </si>
  <si>
    <t>INDUCIDO 220-240V 1D45.1</t>
  </si>
  <si>
    <t>2604.011.945-000</t>
  </si>
  <si>
    <t>INDUCIDO 1445.2</t>
  </si>
  <si>
    <t>2604.200.261-000</t>
  </si>
  <si>
    <t>INTERRUPTOR 3239/3258 Rx 2607200261</t>
  </si>
  <si>
    <t>2604.220.398-000</t>
  </si>
  <si>
    <t>ESTATOR 1135.0</t>
  </si>
  <si>
    <t>2604.220.409-000</t>
  </si>
  <si>
    <t>ESTATOR 0830     RX 2604.220.423-000</t>
  </si>
  <si>
    <t>2604.220.411-000</t>
  </si>
  <si>
    <t>ESTATOR 3245/3161.1/3147.1</t>
  </si>
  <si>
    <t>2604.220.421-000</t>
  </si>
  <si>
    <t>2604.220.423-000</t>
  </si>
  <si>
    <t>ESTATOR 3261/1135/0841.4</t>
  </si>
  <si>
    <t>2604.220.429-000</t>
  </si>
  <si>
    <t>2604.220.430-000</t>
  </si>
  <si>
    <t>ESTATOR 3167/1140        RA444</t>
  </si>
  <si>
    <t>2604.220.438-000</t>
  </si>
  <si>
    <t>ESTATOR 1215</t>
  </si>
  <si>
    <t>2604.220.445-000</t>
  </si>
  <si>
    <t>ESTATOR 1210</t>
  </si>
  <si>
    <t>2604.220.447-000</t>
  </si>
  <si>
    <t>ESTATOR 3281-58.4/1587</t>
  </si>
  <si>
    <t>2604.220.466-000</t>
  </si>
  <si>
    <t>ESTATOR 3229 OBSOLETO</t>
  </si>
  <si>
    <t>2604.220.480-000</t>
  </si>
  <si>
    <t>EXPANSION POLAR 230-240V 1EA4.3/1E94.3</t>
  </si>
  <si>
    <t>2604.220.491-000</t>
  </si>
  <si>
    <t>ESTATOR 1215.7</t>
  </si>
  <si>
    <t>2604.220.502-000</t>
  </si>
  <si>
    <t>EXPANSION POLAR 220-230V 1575.1</t>
  </si>
  <si>
    <t>2604.220.507-000</t>
  </si>
  <si>
    <t>ESTATOR 3289.0</t>
  </si>
  <si>
    <t>2604.220.515-000</t>
  </si>
  <si>
    <t>ESTATOR 3304/3312</t>
  </si>
  <si>
    <t>2604.220.518-000</t>
  </si>
  <si>
    <t>ESTATOR 3307</t>
  </si>
  <si>
    <t>2604.220.526-000</t>
  </si>
  <si>
    <t>ESTATOR 3298/1420</t>
  </si>
  <si>
    <t>2604.220.529-000</t>
  </si>
  <si>
    <t>EXPANSION POLAR 230-240V 2714</t>
  </si>
  <si>
    <t>2604.220.535-000</t>
  </si>
  <si>
    <t>ESTATOR 3289.1 DISCONTINUADO.</t>
  </si>
  <si>
    <t>2604.220.538-000</t>
  </si>
  <si>
    <t>ESTATOR 3309 OBSOLETO</t>
  </si>
  <si>
    <t>2604.220.541-000</t>
  </si>
  <si>
    <t>ESTATOR 3293</t>
  </si>
  <si>
    <t>2604.220.549-000</t>
  </si>
  <si>
    <t>ESTATOR 11222/1123A</t>
  </si>
  <si>
    <t>2604.220.562-000</t>
  </si>
  <si>
    <t>ESTATOR  3169 - DISCONTINUADO</t>
  </si>
  <si>
    <t>2604.220.565-000</t>
  </si>
  <si>
    <t>ESTATOR 3316 RX 2604220705</t>
  </si>
  <si>
    <t>2604.220.568-000</t>
  </si>
  <si>
    <t>ESTATOR 3229.2/3364</t>
  </si>
  <si>
    <t>2604.220.578-000</t>
  </si>
  <si>
    <t>ESTATOR 3346</t>
  </si>
  <si>
    <t>2604.220.584-000</t>
  </si>
  <si>
    <t>ESTATOR 1588.7/1513</t>
  </si>
  <si>
    <t>2604.220.588-000</t>
  </si>
  <si>
    <t>ESTATOR 3327.7</t>
  </si>
  <si>
    <t>2604.220.593-000</t>
  </si>
  <si>
    <t>ESTATOR 1589.0</t>
  </si>
  <si>
    <t>2604.220.594-000</t>
  </si>
  <si>
    <t>ESTATOR 3338</t>
  </si>
  <si>
    <t>2604.220.601-000</t>
  </si>
  <si>
    <t>ESTATOR 3337</t>
  </si>
  <si>
    <t>2604.220.612-000</t>
  </si>
  <si>
    <t>ESTATOR 3335</t>
  </si>
  <si>
    <t>2604.220.624-000</t>
  </si>
  <si>
    <t>ESTATOR 3365.0 RX 2610390992000</t>
  </si>
  <si>
    <t>2604.220.636-000</t>
  </si>
  <si>
    <t>ESTATOR 3368.0</t>
  </si>
  <si>
    <t>2604.220.639-000</t>
  </si>
  <si>
    <t>EXPANSION POLAR 339,5</t>
  </si>
  <si>
    <t>2604.220.647-000</t>
  </si>
  <si>
    <t>ESTATOR 3363.7</t>
  </si>
  <si>
    <t>2604.220.651-000</t>
  </si>
  <si>
    <t>ESTATOR 0842.5-6</t>
  </si>
  <si>
    <t>2604.220.652-000</t>
  </si>
  <si>
    <t>ESTATOR 3380.0/3381.7</t>
  </si>
  <si>
    <t>2604.220.663-000</t>
  </si>
  <si>
    <t>ESTATOR 159A</t>
  </si>
  <si>
    <t>2604.220.673-000</t>
  </si>
  <si>
    <t>ESTATOR 129A</t>
  </si>
  <si>
    <t>2604.220.682-000</t>
  </si>
  <si>
    <t>ESTATOR 158E</t>
  </si>
  <si>
    <t>2604.220.683-000</t>
  </si>
  <si>
    <t>ESTATOR 11250.7</t>
  </si>
  <si>
    <t>2604.220.688-000</t>
  </si>
  <si>
    <t>ESTATOR  3338.7/1148.6 RA 594</t>
  </si>
  <si>
    <t>2604.220.690-000</t>
  </si>
  <si>
    <t>ESTATOR 3365.1/1358</t>
  </si>
  <si>
    <t>2604.220.692-000</t>
  </si>
  <si>
    <t>ESTATOR 119B</t>
  </si>
  <si>
    <t>2604.220.702-000</t>
  </si>
  <si>
    <t>ESTATOR 1049</t>
  </si>
  <si>
    <t>2604.220.704-000</t>
  </si>
  <si>
    <t>2604.220.705-000</t>
  </si>
  <si>
    <t>ESTATOR 3316 RA 2604220565</t>
  </si>
  <si>
    <t>2604.220.715-000</t>
  </si>
  <si>
    <t>ESTATOR 1510</t>
  </si>
  <si>
    <t>2604.220.741-000</t>
  </si>
  <si>
    <t>ESTATOR 1445</t>
  </si>
  <si>
    <t>2604.220.743-000</t>
  </si>
  <si>
    <t>EXPANSION POLAR 220-240V 137B</t>
  </si>
  <si>
    <t>2604.320.902-000</t>
  </si>
  <si>
    <t>CARBONES 1577- RA005 - DISCONTINUADO</t>
  </si>
  <si>
    <t>2604.320.905-000</t>
  </si>
  <si>
    <t>CARBON RA013 - DISCONTINUADO</t>
  </si>
  <si>
    <t>2604.320.906-000</t>
  </si>
  <si>
    <t>CARBONES 0173/1111   DISCONT.</t>
  </si>
  <si>
    <t>2604.320.911-000</t>
  </si>
  <si>
    <t>CARBONES 1500 RX 160701417J000</t>
  </si>
  <si>
    <t>2604.320.912-000</t>
  </si>
  <si>
    <t>CARBONES 1210-15/1506-87 RA908</t>
  </si>
  <si>
    <t>2604.320.914-000</t>
  </si>
  <si>
    <t>CARBONES 1588.7/1589.0/1510</t>
  </si>
  <si>
    <t>2604.321.904-000</t>
  </si>
  <si>
    <t>2604.321.905-000</t>
  </si>
  <si>
    <t>CARBON 1169-35/3281-29/1420/23/1274/1049</t>
  </si>
  <si>
    <t>2604.321.909-000</t>
  </si>
  <si>
    <t>CARBONES 3221</t>
  </si>
  <si>
    <t>2604.321.913-000</t>
  </si>
  <si>
    <t>CARBONES 3169 /1194.5/1140</t>
  </si>
  <si>
    <t>2604.321.914-000</t>
  </si>
  <si>
    <t>CARBONES 1358</t>
  </si>
  <si>
    <t>2604.321.917-000</t>
  </si>
  <si>
    <t>CARBONES 3229.2/72/89 RA 7014001</t>
  </si>
  <si>
    <t>2604.321.920-000</t>
  </si>
  <si>
    <t>CARBONES 0842.5-6 OBSOLETO</t>
  </si>
  <si>
    <t>2604.321.921-000</t>
  </si>
  <si>
    <t>CARBONES 3327.7</t>
  </si>
  <si>
    <t>2604.321.923-000</t>
  </si>
  <si>
    <t>CARBONES 3316</t>
  </si>
  <si>
    <t>2604.321.925-000</t>
  </si>
  <si>
    <t>CARBONE 3380.0/3368.0/1281.719/129A/158E</t>
  </si>
  <si>
    <t>2604.321.928-000</t>
  </si>
  <si>
    <t>JUEGO DE CARBONES 339.5 - DISCONTINUADO</t>
  </si>
  <si>
    <t>2604.321.930-000</t>
  </si>
  <si>
    <t>CARBONES  6437/113C RA 2607014011</t>
  </si>
  <si>
    <t>2604.321.941-000</t>
  </si>
  <si>
    <t>CARBONES 1513</t>
  </si>
  <si>
    <t>2604.330.016-000</t>
  </si>
  <si>
    <t>PORTACARBONES 1288</t>
  </si>
  <si>
    <t>2604.337.003-000</t>
  </si>
  <si>
    <t>PORTAESCOBILLAS 137B</t>
  </si>
  <si>
    <t>2604.337.005-000</t>
  </si>
  <si>
    <t>PORTACARBONES 3229</t>
  </si>
  <si>
    <t>2604.337.012-000</t>
  </si>
  <si>
    <t>PLATO PORTACARB.  RX2609992612</t>
  </si>
  <si>
    <t>2604.337.016-000</t>
  </si>
  <si>
    <t>PORTAESCOBILLAS 2714</t>
  </si>
  <si>
    <t>2604.337.034-000</t>
  </si>
  <si>
    <t>PORTACARBONES 1745/50</t>
  </si>
  <si>
    <t>2604.337.054-000</t>
  </si>
  <si>
    <t>PORTACARBONES 3293 OBSOLETO</t>
  </si>
  <si>
    <t>2604.337.060-000</t>
  </si>
  <si>
    <t>PLATO PORTACARB. 3337/8  RA733 - RX 061</t>
  </si>
  <si>
    <t>2604.337.061-000</t>
  </si>
  <si>
    <t>PORTACARB. 6437-8/113C</t>
  </si>
  <si>
    <t>2604.337.085-000</t>
  </si>
  <si>
    <t>PLATO PORTACARBONES 3381.7/1281.7</t>
  </si>
  <si>
    <t>2604.337.086-000</t>
  </si>
  <si>
    <t>PLATO PORTAESCOBILLAS 1C58.1</t>
  </si>
  <si>
    <t>2604.337.087-000</t>
  </si>
  <si>
    <t>PORTACARBONES 281</t>
  </si>
  <si>
    <t>2604.337.091-000</t>
  </si>
  <si>
    <t>PLATO PORTACARBONES 3368.0/129A OBSOLE</t>
  </si>
  <si>
    <t>2604.337.118-000</t>
  </si>
  <si>
    <t>PORTACARBON  3289/98/3309 Ra 2609992615</t>
  </si>
  <si>
    <t>2604.337.902-000</t>
  </si>
  <si>
    <t>PLATO PORTACARBONES 3327.7</t>
  </si>
  <si>
    <t>2604.448.001-000</t>
  </si>
  <si>
    <t>CABLE DE CONEXION 1187.3/6426</t>
  </si>
  <si>
    <t>2604.448.005-000</t>
  </si>
  <si>
    <t>CONEXION 11210.5/1194.5  (P/P)</t>
  </si>
  <si>
    <t>2604.448.034-000</t>
  </si>
  <si>
    <t>CC: CONDUTOR ELETRICO</t>
  </si>
  <si>
    <t>2604.448.118-000</t>
  </si>
  <si>
    <t>2604.448.137-000</t>
  </si>
  <si>
    <t>CABLE DE CONEXION  11228.7 DISCONTINUADO</t>
  </si>
  <si>
    <t>2604.448.181-000</t>
  </si>
  <si>
    <t>2604.448.335-000</t>
  </si>
  <si>
    <t>CABLE DE CONEXION 1E13.0</t>
  </si>
  <si>
    <t>2604.448.336-000</t>
  </si>
  <si>
    <t>2604.448.343-000</t>
  </si>
  <si>
    <t>LINEA DE PUESTA A TIERRA 1513</t>
  </si>
  <si>
    <t>2604.448.368-000</t>
  </si>
  <si>
    <t>CABLE DE CONEXIÓN 1C7B.1</t>
  </si>
  <si>
    <t>2604.448.382-000</t>
  </si>
  <si>
    <t>LUZ GUÍA</t>
  </si>
  <si>
    <t>2604.449.026-000</t>
  </si>
  <si>
    <t>PORTACARBON 3261/1274/159A</t>
  </si>
  <si>
    <t>2604.449.027-000</t>
  </si>
  <si>
    <t>2604.449.055-000</t>
  </si>
  <si>
    <t>Sujetaescobilla</t>
  </si>
  <si>
    <t>2604.460.107-000</t>
  </si>
  <si>
    <t>2604.460.277-000</t>
  </si>
  <si>
    <t>CABLE CON PLUGUE 12A7</t>
  </si>
  <si>
    <t>2604.460.300-000</t>
  </si>
  <si>
    <t>LINEA RED AR 4,15M 2X1MM 1E13.0</t>
  </si>
  <si>
    <t>2604.465.035-000</t>
  </si>
  <si>
    <t>PORTACARBON 3238</t>
  </si>
  <si>
    <t>2604.465.075-000</t>
  </si>
  <si>
    <t>PORTACARBONES 0830</t>
  </si>
  <si>
    <t>2604.465.077-000</t>
  </si>
  <si>
    <t>PORTACARBONES 3238/3335  RA023</t>
  </si>
  <si>
    <t>2604.465.081-000</t>
  </si>
  <si>
    <t>PORTACARBON   3254- RA015</t>
  </si>
  <si>
    <t>2604.465.086-000</t>
  </si>
  <si>
    <t>CONEXION 11226/8/1423/1420         (P/P)</t>
  </si>
  <si>
    <t>2604.465.097-000</t>
  </si>
  <si>
    <t>CONEXION 11226/8/1423         (P/P)</t>
  </si>
  <si>
    <t>2604.465.099-000</t>
  </si>
  <si>
    <t>CAJA ANTIPARASITARIA  RA016/10</t>
  </si>
  <si>
    <t>2604.465.110-000</t>
  </si>
  <si>
    <t>CAJA ANTIPARASITARIA 1049</t>
  </si>
  <si>
    <t>2604.465.111-000</t>
  </si>
  <si>
    <t>2604.601.004-000</t>
  </si>
  <si>
    <t>ANILLO 1140/7460400</t>
  </si>
  <si>
    <t>2604.610.007-000</t>
  </si>
  <si>
    <t>RESORTE 3161</t>
  </si>
  <si>
    <t>2604.610.009-000</t>
  </si>
  <si>
    <t>MUELLE DE PRESIÓN</t>
  </si>
  <si>
    <t>2604.610.026-000</t>
  </si>
  <si>
    <t>RESORTE DE CARBON 3309/64/3289</t>
  </si>
  <si>
    <t>2604.610.028-000</t>
  </si>
  <si>
    <t>2604.610.032-000</t>
  </si>
  <si>
    <t>RESORTE 3298 OBSOLETO</t>
  </si>
  <si>
    <t>2604.610.033-000</t>
  </si>
  <si>
    <t>RESORTE 3293 OBSOLETO</t>
  </si>
  <si>
    <t>2604.610.034-000</t>
  </si>
  <si>
    <t>RESORTE 3307</t>
  </si>
  <si>
    <t>2604.610.038-000</t>
  </si>
  <si>
    <t>RESORTE 1939.8</t>
  </si>
  <si>
    <t>2604.610.039-000</t>
  </si>
  <si>
    <t>MUELLE DE COMPRESION - 3293 OBSOLETO</t>
  </si>
  <si>
    <t>2604.610.040-000</t>
  </si>
  <si>
    <t>MUELLE COMPRESION 1587.6</t>
  </si>
  <si>
    <t>2604.610.042-000</t>
  </si>
  <si>
    <t>RESORTE 1588.7/1589.0/1598</t>
  </si>
  <si>
    <t>2604.610.045-000</t>
  </si>
  <si>
    <t>RESORTE 0842.5-6/0843.0</t>
  </si>
  <si>
    <t>2604.610.047-000</t>
  </si>
  <si>
    <t>RESORTE 3338</t>
  </si>
  <si>
    <t>2604.610.140-000</t>
  </si>
  <si>
    <t>MUELLE DE COMPRESION 1E13.0</t>
  </si>
  <si>
    <t>2604.610.152-000</t>
  </si>
  <si>
    <t>2604.610.156-000</t>
  </si>
  <si>
    <t>2604.611.002-000</t>
  </si>
  <si>
    <t>2604.611.010-000</t>
  </si>
  <si>
    <t>MUELLE DE COMPRESION 3272</t>
  </si>
  <si>
    <t>2604.611.016-000</t>
  </si>
  <si>
    <t>RESORTE - DISCONTINUADO</t>
  </si>
  <si>
    <t>2604.611.023-000</t>
  </si>
  <si>
    <t>RESORTE 1577 DISCONT.</t>
  </si>
  <si>
    <t>2604.611.024-000</t>
  </si>
  <si>
    <t>RESORTE 1577</t>
  </si>
  <si>
    <t>2604.611.025-000</t>
  </si>
  <si>
    <t>MUELLE DE COMPRESION 7352</t>
  </si>
  <si>
    <t>2604.611.026-000</t>
  </si>
  <si>
    <t>RESORTE OBSOLETO</t>
  </si>
  <si>
    <t>2604.611.033-000</t>
  </si>
  <si>
    <t>UELLE DE COMPRESION 1575.1</t>
  </si>
  <si>
    <t>2604.611.040-000</t>
  </si>
  <si>
    <t>MUELLE DE COMPRESION 1419</t>
  </si>
  <si>
    <t>2604.612.005-000</t>
  </si>
  <si>
    <t>RESORTE 3316</t>
  </si>
  <si>
    <t>2604.612.006-000</t>
  </si>
  <si>
    <t>MUELLE DE COMPRESION 3327.7</t>
  </si>
  <si>
    <t>2604.613.000-000</t>
  </si>
  <si>
    <t>RESORTE 11210/1587/3335</t>
  </si>
  <si>
    <t>2604.613.004-000</t>
  </si>
  <si>
    <t>2604.616.002-000</t>
  </si>
  <si>
    <t>MUELLE DE COMPRESION 1184/94</t>
  </si>
  <si>
    <t>2604.616.005-000</t>
  </si>
  <si>
    <t>2604.616.006-000</t>
  </si>
  <si>
    <t>2604.616.013-000</t>
  </si>
  <si>
    <t>MUELLE  119B</t>
  </si>
  <si>
    <t>2604.616.014-000</t>
  </si>
  <si>
    <t>MUELLE DE COMPRESION 1AA6.0</t>
  </si>
  <si>
    <t>2604.617.000-000</t>
  </si>
  <si>
    <t>RESORTE 3167/8/1140</t>
  </si>
  <si>
    <t>2604.617.001-000</t>
  </si>
  <si>
    <t>RESORTE 3261</t>
  </si>
  <si>
    <t>2604.617.002-000</t>
  </si>
  <si>
    <t>RESORTE 3281</t>
  </si>
  <si>
    <t>2604.617.004-000</t>
  </si>
  <si>
    <t>RESORTE 1587</t>
  </si>
  <si>
    <t>2604.617.005-000</t>
  </si>
  <si>
    <t>RESORTE 3293</t>
  </si>
  <si>
    <t>2604.617.006-000</t>
  </si>
  <si>
    <t>MUELLE DE COMPRESION 3169</t>
  </si>
  <si>
    <t>2604.618.014-000</t>
  </si>
  <si>
    <t>2604.618.015-000</t>
  </si>
  <si>
    <t>2604.618.020-000</t>
  </si>
  <si>
    <t>2604.618.021-000</t>
  </si>
  <si>
    <t>2604.619.009-000</t>
  </si>
  <si>
    <t>MOLA DE PRESSAO</t>
  </si>
  <si>
    <t>2604.619.013-000</t>
  </si>
  <si>
    <t>RESORTE 0841 OBSOLETO</t>
  </si>
  <si>
    <t>2604.619.016-000</t>
  </si>
  <si>
    <t>2604.630.000-000</t>
  </si>
  <si>
    <t>2604.630.001-000</t>
  </si>
  <si>
    <t>RESORTE 1215.0/7/ 7252.1</t>
  </si>
  <si>
    <t>2604.630.002-000</t>
  </si>
  <si>
    <t>RESORTE 1274</t>
  </si>
  <si>
    <t>2604.651.007-000</t>
  </si>
  <si>
    <t>MUELLE DE TORSION 1593/159A</t>
  </si>
  <si>
    <t>2604.651.009-000</t>
  </si>
  <si>
    <t>MUELLE DE PATA  3327.7</t>
  </si>
  <si>
    <t>2604.651.011-000</t>
  </si>
  <si>
    <t>MUELLE TORSION 1588.7/1589.0/1598</t>
  </si>
  <si>
    <t>2604.651.016-000</t>
  </si>
  <si>
    <t>MUELLE DE TORSION 159A</t>
  </si>
  <si>
    <t>2604.651.020-000</t>
  </si>
  <si>
    <t>MUELLE DE COMPRESION 1595</t>
  </si>
  <si>
    <t>2604.651.026-000</t>
  </si>
  <si>
    <t>2604.651.034-000</t>
  </si>
  <si>
    <t>2604.652.000-000</t>
  </si>
  <si>
    <t>2604.652.009-000</t>
  </si>
  <si>
    <t>MUELLE ESPIRAL 1215/1587</t>
  </si>
  <si>
    <t>2604.680.000-000</t>
  </si>
  <si>
    <t>MUELLE TENSOR 3346</t>
  </si>
  <si>
    <t>2604.680.002-000</t>
  </si>
  <si>
    <t>RESORTE DE BLOQUEO 3327.7</t>
  </si>
  <si>
    <t>2604.681.001-000</t>
  </si>
  <si>
    <t>PASADOR ABIERTO 1288 OBSOLETO</t>
  </si>
  <si>
    <t>2604.682.001-000</t>
  </si>
  <si>
    <t>ESTRIBO</t>
  </si>
  <si>
    <t>2604.690.007-000</t>
  </si>
  <si>
    <t>2604.690.022-000</t>
  </si>
  <si>
    <t>MUELLE DE LAMINA 1916</t>
  </si>
  <si>
    <t>2604.690.026-000</t>
  </si>
  <si>
    <t>ELEMENTO ELASTICO 1916</t>
  </si>
  <si>
    <t>2604.690.043-000</t>
  </si>
  <si>
    <t>ELEMENTO ELASTICO  1994</t>
  </si>
  <si>
    <t>2604.690.055-000</t>
  </si>
  <si>
    <t>2604.690.056-000</t>
  </si>
  <si>
    <t>MUELLE DE TORSION 1513</t>
  </si>
  <si>
    <t>2604.690.067-000</t>
  </si>
  <si>
    <t>2604.735.002-000</t>
  </si>
  <si>
    <t>CORREA 1288  - DISCONT.</t>
  </si>
  <si>
    <t>2604.736.001-000</t>
  </si>
  <si>
    <t>CORREA DENTADA 3272 - 3365.1/1358/1595</t>
  </si>
  <si>
    <t>2604.736.003-000</t>
  </si>
  <si>
    <t>CORREA DENTADA 1288</t>
  </si>
  <si>
    <t>2604.736.004-000</t>
  </si>
  <si>
    <t>CORREA DENTADA 1593/3296</t>
  </si>
  <si>
    <t>2604.736.018-000</t>
  </si>
  <si>
    <t>CORREA DENTADA</t>
  </si>
  <si>
    <t>2605.104.116-000</t>
  </si>
  <si>
    <t>CARCASA DISCONT.</t>
  </si>
  <si>
    <t>2605.104.142-000</t>
  </si>
  <si>
    <t>CARCASA 3230</t>
  </si>
  <si>
    <t>2605.104.180-000</t>
  </si>
  <si>
    <t>TAPA DEL CUERPO - 3221</t>
  </si>
  <si>
    <t>2605.104.214-000</t>
  </si>
  <si>
    <t>CARCASA 3258.1 DISCONTINUADO</t>
  </si>
  <si>
    <t>2605.104.215-000</t>
  </si>
  <si>
    <t>CARCASA DE MOTOR 3258.0</t>
  </si>
  <si>
    <t>2605.104.227-000</t>
  </si>
  <si>
    <t>2605.104.238-000</t>
  </si>
  <si>
    <t>2605.104.253-000</t>
  </si>
  <si>
    <t>CARCASA 3924 DISCONTINUADO</t>
  </si>
  <si>
    <t>2605.104.254-000</t>
  </si>
  <si>
    <t>CARCASA 3167</t>
  </si>
  <si>
    <t>2605.104.270-000</t>
  </si>
  <si>
    <t>CARCASA 3229 OBSOLETO</t>
  </si>
  <si>
    <t>2605.104.309-000</t>
  </si>
  <si>
    <t>CARCASA DEL MOTOR 1184.1</t>
  </si>
  <si>
    <t>2605.104.316-000</t>
  </si>
  <si>
    <t>2605.104.332-000</t>
  </si>
  <si>
    <t>CARCASA DE MOTOR 1169/1423</t>
  </si>
  <si>
    <t>2605.104.338-000</t>
  </si>
  <si>
    <t>CARCASA 3289 OBSOLETO</t>
  </si>
  <si>
    <t>2605.104.339-000</t>
  </si>
  <si>
    <t>TAPA DEL CUERPO AZUL 1575.1</t>
  </si>
  <si>
    <t>2605.104.344-000</t>
  </si>
  <si>
    <t>CARCASA 3168</t>
  </si>
  <si>
    <t>2605.104.375-000</t>
  </si>
  <si>
    <t>CARCASA TRASERA 3293 OBSOLETO</t>
  </si>
  <si>
    <t>2605.104.388-000</t>
  </si>
  <si>
    <t>CARCASA 3298 OBSOLETO</t>
  </si>
  <si>
    <t>2605.104.408-000</t>
  </si>
  <si>
    <t>CARCASA 3307 OBSOLETO</t>
  </si>
  <si>
    <t>2605.104.410-000</t>
  </si>
  <si>
    <t>CARCASA AZUL 2714</t>
  </si>
  <si>
    <t>2605.104.424-000</t>
  </si>
  <si>
    <t>CARCASA 1937.7 OBSOLETO</t>
  </si>
  <si>
    <t>2605.104.436-000</t>
  </si>
  <si>
    <t>2605.104.437-000</t>
  </si>
  <si>
    <t>CARCASA OBSOLETO</t>
  </si>
  <si>
    <t>2605.104.438-000</t>
  </si>
  <si>
    <t>CARCASA  1936.6</t>
  </si>
  <si>
    <t>2605.104.442-000</t>
  </si>
  <si>
    <t>CARCASA 3309</t>
  </si>
  <si>
    <t>2605.104.474-000</t>
  </si>
  <si>
    <t>CARCASA 1939.8</t>
  </si>
  <si>
    <t>2605.104.506-000</t>
  </si>
  <si>
    <t>CARCASA 3161.5.7</t>
  </si>
  <si>
    <t>2605.104.509-000</t>
  </si>
  <si>
    <t>CARCASA 3937.7 - DISCONTINUADO</t>
  </si>
  <si>
    <t>2605.104.510-000</t>
  </si>
  <si>
    <t>CARCASA 3936 OBSOLETO</t>
  </si>
  <si>
    <t>2605.104.512-000</t>
  </si>
  <si>
    <t>CARCASA 0841.4 OBSOLETO</t>
  </si>
  <si>
    <t>2605.104.526-000</t>
  </si>
  <si>
    <t>CARCASA 3229.2</t>
  </si>
  <si>
    <t>2605.104.538-000</t>
  </si>
  <si>
    <t>CARCASA 1293</t>
  </si>
  <si>
    <t>2605.104.540-000</t>
  </si>
  <si>
    <t>CARCASA 3169.1 OBSOLETO</t>
  </si>
  <si>
    <t>2605.104.544-000</t>
  </si>
  <si>
    <t>CARCASA 3346</t>
  </si>
  <si>
    <t>2605.104.548-000</t>
  </si>
  <si>
    <t>CARCASA 3270      RA1605104070</t>
  </si>
  <si>
    <t>2605.104.549-000</t>
  </si>
  <si>
    <t>2605.104.557-000</t>
  </si>
  <si>
    <t>CARCASA 1588.7 OBSOLETO</t>
  </si>
  <si>
    <t>2605.104.561-000</t>
  </si>
  <si>
    <t>CARCASA 3338</t>
  </si>
  <si>
    <t>2605.104.565-000</t>
  </si>
  <si>
    <t>CARCASA 3937,6 OBSOLETO</t>
  </si>
  <si>
    <t>2605.104.575-000</t>
  </si>
  <si>
    <t>CARCASA  3327.7</t>
  </si>
  <si>
    <t>2605.104.581-000</t>
  </si>
  <si>
    <t>CARCASA 1589.0 OBSOLETO</t>
  </si>
  <si>
    <t>2605.104.599-000</t>
  </si>
  <si>
    <t>CARCASA 3337</t>
  </si>
  <si>
    <t>2605.104.604-000</t>
  </si>
  <si>
    <t>CARCASA 3363.7</t>
  </si>
  <si>
    <t>2605.104.637-000</t>
  </si>
  <si>
    <t>CARCASA  1948.4 RX2605105901</t>
  </si>
  <si>
    <t>2605.104.640-000</t>
  </si>
  <si>
    <t>CARCASA 3364 OBSOLETO</t>
  </si>
  <si>
    <t>2605.104.641-000</t>
  </si>
  <si>
    <t>CARCASA 3368.0</t>
  </si>
  <si>
    <t>2605.104.648-000</t>
  </si>
  <si>
    <t>CARCASA 1949.6</t>
  </si>
  <si>
    <t>2605.104.649-000</t>
  </si>
  <si>
    <t>CARCASA 1949.5</t>
  </si>
  <si>
    <t>2605.104.650-000</t>
  </si>
  <si>
    <t>CARCASA 339,5</t>
  </si>
  <si>
    <t>2605.104.652-000</t>
  </si>
  <si>
    <t>CARCASA  1948.6</t>
  </si>
  <si>
    <t>2605.104.658-000</t>
  </si>
  <si>
    <t>CARCASA 0843.0 DISCONTINUADO</t>
  </si>
  <si>
    <t>2605.104.661-000</t>
  </si>
  <si>
    <t>CARCASA 3380.0</t>
  </si>
  <si>
    <t>2605.104.711-000</t>
  </si>
  <si>
    <t>CARCASA 1148.6</t>
  </si>
  <si>
    <t>2605.104.719-000</t>
  </si>
  <si>
    <t>CARCASA 0842.5-6</t>
  </si>
  <si>
    <t>2605.104.741-000</t>
  </si>
  <si>
    <t>CARCASA 3365.0 RX 105037</t>
  </si>
  <si>
    <t>2605.104.773-000</t>
  </si>
  <si>
    <t>CARCASA DEL MOTOR 1595</t>
  </si>
  <si>
    <t>2605.104.776-000</t>
  </si>
  <si>
    <t>CARCASA 1921          OBSOLETO</t>
  </si>
  <si>
    <t>2605.104.790-000</t>
  </si>
  <si>
    <t>CARCASA 3381.7</t>
  </si>
  <si>
    <t>2605.104.796-000</t>
  </si>
  <si>
    <t>CARCASA  3310</t>
  </si>
  <si>
    <t>2605.104.811-000</t>
  </si>
  <si>
    <t>CARCASA  3941.5 OBSOLETO</t>
  </si>
  <si>
    <t>2605.104.813-000</t>
  </si>
  <si>
    <t>CARCASA 3940.6</t>
  </si>
  <si>
    <t>2605.104.825-000</t>
  </si>
  <si>
    <t>CARCASA 1936.6</t>
  </si>
  <si>
    <t>2605.104.826-000</t>
  </si>
  <si>
    <t>CARCASA 1936.4 DISCONT</t>
  </si>
  <si>
    <t>2605.104.828-000</t>
  </si>
  <si>
    <t>CARCASA 3335 OBSOLETO</t>
  </si>
  <si>
    <t>2605.104.837-000</t>
  </si>
  <si>
    <t>CARCASA 3312</t>
  </si>
  <si>
    <t>2605.104.856-000</t>
  </si>
  <si>
    <t>CARCASA 3293 OBSOLETO</t>
  </si>
  <si>
    <t>2605.104.865-000</t>
  </si>
  <si>
    <t>CARCASA 0830</t>
  </si>
  <si>
    <t>2605.104.866-000</t>
  </si>
  <si>
    <t>CARCASA 3272.1</t>
  </si>
  <si>
    <t>2605.104.888-000</t>
  </si>
  <si>
    <t>CARCASA 3258.2 DISCONT.</t>
  </si>
  <si>
    <t>2605.104.892-000</t>
  </si>
  <si>
    <t>CARCASA 3258 - DISCONT.</t>
  </si>
  <si>
    <t>2605.104.894-000</t>
  </si>
  <si>
    <t>CARCASA 1288 OBSOLETO</t>
  </si>
  <si>
    <t>2605.104.897-000</t>
  </si>
  <si>
    <t>CARCASA 3281</t>
  </si>
  <si>
    <t>2605.104.902-000</t>
  </si>
  <si>
    <t>CARCASA 3230.0</t>
  </si>
  <si>
    <t>2605.104.949-000</t>
  </si>
  <si>
    <t>CARCASA 1122</t>
  </si>
  <si>
    <t>2605.104.961-000</t>
  </si>
  <si>
    <t>CARCASA 3161.150/103 DISCONT.</t>
  </si>
  <si>
    <t>2605.104.965-000</t>
  </si>
  <si>
    <t>CARCASA 3238.7 RX 982</t>
  </si>
  <si>
    <t>2605.104.976-000</t>
  </si>
  <si>
    <t>CARCASA 3272.0 DISCONT.</t>
  </si>
  <si>
    <t>2605.104.980-000</t>
  </si>
  <si>
    <t>CARCASA 3238             RA898  DISCONT</t>
  </si>
  <si>
    <t>2605.104.982-000</t>
  </si>
  <si>
    <t>CARCASA 3238.7 RA 965 DISCONT.</t>
  </si>
  <si>
    <t>2605.104.994-000</t>
  </si>
  <si>
    <t>CARCASA 3261 OBSOLETO</t>
  </si>
  <si>
    <t>2605.104.997-000</t>
  </si>
  <si>
    <t>CARCASA 3254          OBSOLETO</t>
  </si>
  <si>
    <t>2605.104.998-000</t>
  </si>
  <si>
    <t>CARCASA 3921</t>
  </si>
  <si>
    <t>2605.105.000-000</t>
  </si>
  <si>
    <t>CARCASA  1915.7</t>
  </si>
  <si>
    <t>2605.105.001-000</t>
  </si>
  <si>
    <t>CARCASA  1915.6</t>
  </si>
  <si>
    <t>2605.105.002-000</t>
  </si>
  <si>
    <t>CARCASA 1915.5</t>
  </si>
  <si>
    <t>2605.105.016-000</t>
  </si>
  <si>
    <t>CARCASA DEL MOTOR 1598</t>
  </si>
  <si>
    <t>2605.105.023-000</t>
  </si>
  <si>
    <t>CARCASA 129A</t>
  </si>
  <si>
    <t>2605.105.033-000</t>
  </si>
  <si>
    <t>CARCASA DEL MOTOR 119B</t>
  </si>
  <si>
    <t>2605.105.036-000</t>
  </si>
  <si>
    <t>CARCASA AZUL 1C58.1</t>
  </si>
  <si>
    <t>2605.105.037-000</t>
  </si>
  <si>
    <t>CARCASA 3365.0/1  RA 104741</t>
  </si>
  <si>
    <t>2605.105.045-000</t>
  </si>
  <si>
    <t>CARCASA DE MOTOR  1281 RXF000601103</t>
  </si>
  <si>
    <t>2605.105.101-000</t>
  </si>
  <si>
    <t>CARCASA  1994</t>
  </si>
  <si>
    <t>2605.105.106-000</t>
  </si>
  <si>
    <t>CARCASA 1992</t>
  </si>
  <si>
    <t>2605.105.112-000</t>
  </si>
  <si>
    <t>CARCASA  158E</t>
  </si>
  <si>
    <t>2605.105.128-000</t>
  </si>
  <si>
    <t>2605.105.134-000</t>
  </si>
  <si>
    <t>CARCASA 1860.4/3</t>
  </si>
  <si>
    <t>2605.105.140-000</t>
  </si>
  <si>
    <t>CARCASA  1859.T</t>
  </si>
  <si>
    <t>2605.105.177-000</t>
  </si>
  <si>
    <t>2605.105.217-000</t>
  </si>
  <si>
    <t>TUBO DE GOMA</t>
  </si>
  <si>
    <t>2605.105.218-000</t>
  </si>
  <si>
    <t>2605.105.221-000</t>
  </si>
  <si>
    <t>2605.105.901-000</t>
  </si>
  <si>
    <t>CARCASA 1948.4 RA2605104637 DISCONTINUED</t>
  </si>
  <si>
    <t>2605.105.903-000</t>
  </si>
  <si>
    <t>CARCASA 1952.2</t>
  </si>
  <si>
    <t>2605.105.904-000</t>
  </si>
  <si>
    <t>CARCASA 1952.3 OBSOLETO</t>
  </si>
  <si>
    <t>2605.105.905-000</t>
  </si>
  <si>
    <t>CARCASA 1954.4 OBSOLETO</t>
  </si>
  <si>
    <t>2605.105.906-000</t>
  </si>
  <si>
    <t>CARCASA 1954.5</t>
  </si>
  <si>
    <t>2605.105.912-000</t>
  </si>
  <si>
    <t>CARCASA 1913.4</t>
  </si>
  <si>
    <t>2605.105.914-000</t>
  </si>
  <si>
    <t>CARCASA 1913.2</t>
  </si>
  <si>
    <t>2605.105.921-000</t>
  </si>
  <si>
    <t>2605.105.922-000</t>
  </si>
  <si>
    <t>CARCASA 1916 OBSOLETO</t>
  </si>
  <si>
    <t>2605.105.964-000</t>
  </si>
  <si>
    <t>CARCASA 137B</t>
  </si>
  <si>
    <t>2605.105.966-000</t>
  </si>
  <si>
    <t>2605.105.967-000</t>
  </si>
  <si>
    <t>2605.108.051-000</t>
  </si>
  <si>
    <t>CARCASA 1215/1506/30</t>
  </si>
  <si>
    <t>2605.108.083-000</t>
  </si>
  <si>
    <t>CARCASA 1440/41/45</t>
  </si>
  <si>
    <t>2605.108.904-000</t>
  </si>
  <si>
    <t>CARCASA DE MOTOR 1210/1587</t>
  </si>
  <si>
    <t>2605.108.908-000</t>
  </si>
  <si>
    <t>CARCASA DE MOTOR 1215.7</t>
  </si>
  <si>
    <t>2605.108.912-000</t>
  </si>
  <si>
    <t>CARCAZA DE MOTOR 1510</t>
  </si>
  <si>
    <t>2605.132.025-000</t>
  </si>
  <si>
    <t>TAPA  1163/1184/94</t>
  </si>
  <si>
    <t>2605.132.049-000</t>
  </si>
  <si>
    <t>TAPA DEL CUERPO 1184.0</t>
  </si>
  <si>
    <t>2605.132.050-000</t>
  </si>
  <si>
    <t>TAPA DE CUERPO 1423.7</t>
  </si>
  <si>
    <t>2605.132.055-000</t>
  </si>
  <si>
    <t>2605.132.061-000</t>
  </si>
  <si>
    <t>TAPA DEL CUERPO  1440/41</t>
  </si>
  <si>
    <t>2605.132.073-000</t>
  </si>
  <si>
    <t>TAPA DEL CUERPO 1445</t>
  </si>
  <si>
    <t>2605.132.901-000</t>
  </si>
  <si>
    <t>TAPA DEL CUERPO 119B</t>
  </si>
  <si>
    <t>2605.133.014-000</t>
  </si>
  <si>
    <t>CACHA 3365.0 OBSOLETO</t>
  </si>
  <si>
    <t>2605.133.022-000</t>
  </si>
  <si>
    <t>CACHA 1595</t>
  </si>
  <si>
    <t>2605.133.024-000</t>
  </si>
  <si>
    <t>BANDEJA MOLDEADA 159A</t>
  </si>
  <si>
    <t>2605.133.027-000</t>
  </si>
  <si>
    <t>BANDEJA MOLDEADA AZUL 1C58.1</t>
  </si>
  <si>
    <t>2605.133.029-000</t>
  </si>
  <si>
    <t>CACHA 3365.1</t>
  </si>
  <si>
    <t>2605.133.032-000</t>
  </si>
  <si>
    <t>2605.190.014-000</t>
  </si>
  <si>
    <t>ANILLO DE AJUSTE 1921</t>
  </si>
  <si>
    <t>2605.190.037-000</t>
  </si>
  <si>
    <t>ANILLO DE AJUSTE 1937</t>
  </si>
  <si>
    <t>2605.190.130-000</t>
  </si>
  <si>
    <t>ANILLO DE AJUSTE 1948.4-6</t>
  </si>
  <si>
    <t>2605.190.219-000</t>
  </si>
  <si>
    <t>ACC. INTERRUP. SUP. 0843.0 OBSOLETO</t>
  </si>
  <si>
    <t>2605.190.442-000</t>
  </si>
  <si>
    <t>EMPUÑADURA DE POMO 1510</t>
  </si>
  <si>
    <t>2605.190.895-000</t>
  </si>
  <si>
    <t>LENTE 1859.T</t>
  </si>
  <si>
    <t>2605.190.901-000</t>
  </si>
  <si>
    <t>CARCASA 1593 -RX908- DISCONTINUADO</t>
  </si>
  <si>
    <t>2605.190.904-000</t>
  </si>
  <si>
    <t>CARCASA 1593.1 RX2605190914</t>
  </si>
  <si>
    <t>2605.190.905-000</t>
  </si>
  <si>
    <t>CARCASA 3316</t>
  </si>
  <si>
    <t>2605.190.908-000</t>
  </si>
  <si>
    <t>CARCASA 1593 -RA901 -DISCONTINUADO</t>
  </si>
  <si>
    <t>2605.190.914-000</t>
  </si>
  <si>
    <t>CARCASA1593.1 RA2605190904 DISCONTINUADO</t>
  </si>
  <si>
    <t>2605.190.917-000</t>
  </si>
  <si>
    <t>CARCASA 159A</t>
  </si>
  <si>
    <t>2605.191.323-000</t>
  </si>
  <si>
    <t>2605.191.328-000</t>
  </si>
  <si>
    <t>2605.411.228-000</t>
  </si>
  <si>
    <t>CAMARA DE POLVO 137B</t>
  </si>
  <si>
    <t>2605.439.016-000</t>
  </si>
  <si>
    <t>CORREA DE TRANSP. 0860.3 DISCONT.</t>
  </si>
  <si>
    <t>2605.500.017-000</t>
  </si>
  <si>
    <t>BRIDA 1577</t>
  </si>
  <si>
    <t>2605.500.028-000</t>
  </si>
  <si>
    <t>TAPA 1577 DISCONTINUADO</t>
  </si>
  <si>
    <t>2605.500.042-000</t>
  </si>
  <si>
    <t>TAMPA DE ENGRENAGEM</t>
  </si>
  <si>
    <t>2605.500.054-000</t>
  </si>
  <si>
    <t>CUERPO METALICO 1506</t>
  </si>
  <si>
    <t>2605.500.056-000</t>
  </si>
  <si>
    <t>TAPA DEL ENGRANAJE 1575.1</t>
  </si>
  <si>
    <t>2605.500.077-000</t>
  </si>
  <si>
    <t>TAPA DEL ENGRANAJE (3272) RX 26055001630</t>
  </si>
  <si>
    <t>2605.500.078-000</t>
  </si>
  <si>
    <t>TAPA LATERAL 3272 RX 163</t>
  </si>
  <si>
    <t>2605.500.083-000</t>
  </si>
  <si>
    <t>TAPA DEL CUERPO 3261</t>
  </si>
  <si>
    <t>2605.500.099-000</t>
  </si>
  <si>
    <t>TAPA DE MANGO 3281 OBSOLETO</t>
  </si>
  <si>
    <t>2605.500.100-000</t>
  </si>
  <si>
    <t>TAPA DE ENGRANAJE 3281</t>
  </si>
  <si>
    <t>2605.500.105-000</t>
  </si>
  <si>
    <t>CAPERUZA EMPUNADURA 1593</t>
  </si>
  <si>
    <t>2605.500.124-000</t>
  </si>
  <si>
    <t>TAPA DEL CUERPO AZUL 2714</t>
  </si>
  <si>
    <t>2605.500.125-000</t>
  </si>
  <si>
    <t>2605.500.138-000</t>
  </si>
  <si>
    <t>PLACA AJUSTE DE ENGRANA.3327.7</t>
  </si>
  <si>
    <t>2605.500.142-000</t>
  </si>
  <si>
    <t>TOPE ENGRANAJE 3363.7</t>
  </si>
  <si>
    <t>2605.500.149-000</t>
  </si>
  <si>
    <t>TAPA ENGRANAJE 3365.0</t>
  </si>
  <si>
    <t>2605.500.163-000</t>
  </si>
  <si>
    <t>TAPA LATERAL 3272 RA 078</t>
  </si>
  <si>
    <t>2605.500.166-000</t>
  </si>
  <si>
    <t>TAPA DEL ENGRANAJE 1595</t>
  </si>
  <si>
    <t>2605.500.168-000</t>
  </si>
  <si>
    <t>CAPERUZA PROTECTORA 1913.4</t>
  </si>
  <si>
    <t>2605.500.169-000</t>
  </si>
  <si>
    <t>2605.500.178-000</t>
  </si>
  <si>
    <t>CAPERUZA EMPUNADURA 159A</t>
  </si>
  <si>
    <t>2605.500.181-000</t>
  </si>
  <si>
    <t>TAPA 3365.1</t>
  </si>
  <si>
    <t>2605.500.189-000</t>
  </si>
  <si>
    <t>TAPA DEL ENGRANAJE NEGRO 1C58.1</t>
  </si>
  <si>
    <t>2605.500.196-000</t>
  </si>
  <si>
    <t>TAPA DE INTERRUPTOR ROJO 1D45.1/1D45.0</t>
  </si>
  <si>
    <t>2605.500.203-000</t>
  </si>
  <si>
    <t>SEPARADOR DE AIRE 1513</t>
  </si>
  <si>
    <t>2605.500.207-000</t>
  </si>
  <si>
    <t>Contrapieza</t>
  </si>
  <si>
    <t>2605.500.208-000</t>
  </si>
  <si>
    <t>TAPA DEL CUERPO 137B</t>
  </si>
  <si>
    <t>2605.500.209-000</t>
  </si>
  <si>
    <t>Cubierta De La Correa</t>
  </si>
  <si>
    <t>2605.500.230-000</t>
  </si>
  <si>
    <t>2605.500.900-000</t>
  </si>
  <si>
    <t>TAPA DE VENTILADOR 1587</t>
  </si>
  <si>
    <t>2605.500.907-000</t>
  </si>
  <si>
    <t>PLANCHUELA SOPORTE 3327.7</t>
  </si>
  <si>
    <t>2605.500.908-000</t>
  </si>
  <si>
    <t>TAPA VENTILADOR 1588.7/1589.0</t>
  </si>
  <si>
    <t>2605.500.910-000</t>
  </si>
  <si>
    <t>CAPERUZA 3368.0</t>
  </si>
  <si>
    <t>2605.500.911-000</t>
  </si>
  <si>
    <t>TAPA DE VENTILADOR 1598</t>
  </si>
  <si>
    <t>2605.510.007-000</t>
  </si>
  <si>
    <t>PRENSA CUCHILLA 3272/1510 OBSOLETO</t>
  </si>
  <si>
    <t>2605.510.008-000</t>
  </si>
  <si>
    <t>CINTA COLANT 3254 DISCONTINUADO</t>
  </si>
  <si>
    <t>2605.510.039-000</t>
  </si>
  <si>
    <t>2605.510.041-000</t>
  </si>
  <si>
    <t>TAPA DEL ENGRANAJE 1593</t>
  </si>
  <si>
    <t>2605.510.052-000</t>
  </si>
  <si>
    <t>ACRILICO PROTECTOR 3229.2/3364</t>
  </si>
  <si>
    <t>2605.510.063-000</t>
  </si>
  <si>
    <t>TAPA DE CARBONES 1593.1</t>
  </si>
  <si>
    <t>2605.510.064-000</t>
  </si>
  <si>
    <t>TAPA DE CORREA 1593.1 OBSOLETO</t>
  </si>
  <si>
    <t>2605.510.130-000</t>
  </si>
  <si>
    <t>TAPA SUPERIOR 1936.4-6</t>
  </si>
  <si>
    <t>2605.510.135-000</t>
  </si>
  <si>
    <t>CU#A DE BLOQUEO 1593 OBSOLETO</t>
  </si>
  <si>
    <t>2605.510.136-000</t>
  </si>
  <si>
    <t>PIEZA DE INSERTO 1937.7</t>
  </si>
  <si>
    <t>2605.510.143-000</t>
  </si>
  <si>
    <t>RODAMIENT.RIGIDO BOLAS 1939.8</t>
  </si>
  <si>
    <t>2605.510.159-000</t>
  </si>
  <si>
    <t>CUBIERTA 1588.7/1589.0</t>
  </si>
  <si>
    <t>2605.510.160-000</t>
  </si>
  <si>
    <t>PIEZA DE INSERCION 3338</t>
  </si>
  <si>
    <t>2605.510.169-000</t>
  </si>
  <si>
    <t>CUBIERTA 3380.0/1281.719 OBSOLETO</t>
  </si>
  <si>
    <t>2605.510.170-000</t>
  </si>
  <si>
    <t>PIEZA CIERRE 1247.6</t>
  </si>
  <si>
    <t>2605.510.205-000</t>
  </si>
  <si>
    <t>CC: PROTEÇÃO PARA SERRA TICO-TICO 1511</t>
  </si>
  <si>
    <t>2605.510.206-000</t>
  </si>
  <si>
    <t>BASE DEL CONMUTADOR</t>
  </si>
  <si>
    <t>2605.510.207-000</t>
  </si>
  <si>
    <t>TAPA DEL ENGRANAJE 159A</t>
  </si>
  <si>
    <t>2605.510.208-000</t>
  </si>
  <si>
    <t>TAPA ESCOBILLAS 159A</t>
  </si>
  <si>
    <t>2605.510.255-000</t>
  </si>
  <si>
    <t>CAPUCHA COBERTURA  158E</t>
  </si>
  <si>
    <t>2605.510.293-000</t>
  </si>
  <si>
    <t>CAPUCHA COBERTURA 1513</t>
  </si>
  <si>
    <t>2605.510.323-000</t>
  </si>
  <si>
    <t>2605.700.015-000</t>
  </si>
  <si>
    <t>TAPA DE CARCASA 1528</t>
  </si>
  <si>
    <t>2605.700.052-000</t>
  </si>
  <si>
    <t>2605.700.215-000</t>
  </si>
  <si>
    <t>BRIDA DE CABEZAL 1215078/.7</t>
  </si>
  <si>
    <t>2605.700.219-000</t>
  </si>
  <si>
    <t>DEFLECTOR DE AIRE RX F000635236</t>
  </si>
  <si>
    <t>2605.700.221-000</t>
  </si>
  <si>
    <t>BRIDA INTERMEDIA GSB 16-2 (1182) OBSOLET</t>
  </si>
  <si>
    <t>2605.700.231-000</t>
  </si>
  <si>
    <t>BRIDA INTERMEDIA 1939.8</t>
  </si>
  <si>
    <t>2605.700.908-000</t>
  </si>
  <si>
    <t>2605.700.918-000</t>
  </si>
  <si>
    <t>TAPA 1327/3255</t>
  </si>
  <si>
    <t>2605.700.920-000</t>
  </si>
  <si>
    <t>BRIDA 1288 BR</t>
  </si>
  <si>
    <t>2605.700.936-000</t>
  </si>
  <si>
    <t>DISCO INTERMEDIO 1184</t>
  </si>
  <si>
    <t>2605.700.940-000</t>
  </si>
  <si>
    <t>BRIDA INTERMEDIA 1169</t>
  </si>
  <si>
    <t>2605.700.943-000</t>
  </si>
  <si>
    <t>BRAZO DE COJINETE 11A5</t>
  </si>
  <si>
    <t>2605.703.023-000</t>
  </si>
  <si>
    <t>BRIDA             RA1605703084</t>
  </si>
  <si>
    <t>2605.703.900-000</t>
  </si>
  <si>
    <t>BRIDA CONJUNTO 1288-</t>
  </si>
  <si>
    <t>2605.719.001-000</t>
  </si>
  <si>
    <t>BRIDA DEL COJINETE 1593 DESCONTINUADO</t>
  </si>
  <si>
    <t>2605.719.003-000</t>
  </si>
  <si>
    <t>TAPA DE MOTOR 1593.1 OBSOLETO</t>
  </si>
  <si>
    <t>2605.719.008-000</t>
  </si>
  <si>
    <t>BRIDA INTERMEDIA 1936.4-6</t>
  </si>
  <si>
    <t>2605.719.011-000</t>
  </si>
  <si>
    <t>BRIDA INTERMEDIA 1949.5-6 EXACT 9/6/2/4</t>
  </si>
  <si>
    <t>2605.719.027-000</t>
  </si>
  <si>
    <t>BRIDA INTERMEDIA  1948.6</t>
  </si>
  <si>
    <t>2605.719.028-000</t>
  </si>
  <si>
    <t>BRIDA INTERMEDIA  1948.4 RX 260571990100</t>
  </si>
  <si>
    <t>2605.719.033-000</t>
  </si>
  <si>
    <t>BRIDA DE COJINETE 159A</t>
  </si>
  <si>
    <t>2605.719.049-000</t>
  </si>
  <si>
    <t>Brida De Alojamiento</t>
  </si>
  <si>
    <t>2605.719.051-000</t>
  </si>
  <si>
    <t>2605.719.901-000</t>
  </si>
  <si>
    <t>BRIDA INTERMEDIA 1952.2.3</t>
  </si>
  <si>
    <t>2605.730.038-000</t>
  </si>
  <si>
    <t>TOBERA ASPIRAC. 1588.7/1589.0</t>
  </si>
  <si>
    <t>2605.730.055-000</t>
  </si>
  <si>
    <t>TOBERA DE ASPIRACION 1513</t>
  </si>
  <si>
    <t>2605.730.067-000</t>
  </si>
  <si>
    <t>2605.801.015-000</t>
  </si>
  <si>
    <t>2605.801.018-000</t>
  </si>
  <si>
    <t>COJINETE DE DESLIZAM.1939.8</t>
  </si>
  <si>
    <t>2605.801.044-000</t>
  </si>
  <si>
    <t>COJIN. DE DESLIZAMIENTO 3380.0/1281.719</t>
  </si>
  <si>
    <t>2605.801.900-000</t>
  </si>
  <si>
    <t>2605.801.901-000</t>
  </si>
  <si>
    <t>COJINETE GUIA 3316</t>
  </si>
  <si>
    <t>2605.801.902-000</t>
  </si>
  <si>
    <t>BIELA 3316 RX2606100921</t>
  </si>
  <si>
    <t>2605.805.004-000</t>
  </si>
  <si>
    <t>RODAMIENTO 3270.1</t>
  </si>
  <si>
    <t>2605.805.005-000</t>
  </si>
  <si>
    <t>RODAMIENTO 3289         RA003</t>
  </si>
  <si>
    <t>2605.805.008-000</t>
  </si>
  <si>
    <t>Cojinete de brida</t>
  </si>
  <si>
    <t>2605.805.009-000</t>
  </si>
  <si>
    <t>TAPA COJINETE 1148.6</t>
  </si>
  <si>
    <t>2605.806.014-000</t>
  </si>
  <si>
    <t>CARCASA 1432</t>
  </si>
  <si>
    <t>2605.806.032-000</t>
  </si>
  <si>
    <t>CARCASA 1500</t>
  </si>
  <si>
    <t>2605.806.082-000</t>
  </si>
  <si>
    <t>CAJA DE ENGRANAJES 1575.1</t>
  </si>
  <si>
    <t>2605.806.280-000</t>
  </si>
  <si>
    <t>CABEZAL 1461</t>
  </si>
  <si>
    <t>2605.806.312-000</t>
  </si>
  <si>
    <t>2605.806.365-000</t>
  </si>
  <si>
    <t>CARCASA DE ENGRANAJE 1163 RXF000635239</t>
  </si>
  <si>
    <t>2605.806.366-000</t>
  </si>
  <si>
    <t>CARCASA ENGRANAJE 1184/94 RXF000635240</t>
  </si>
  <si>
    <t>2605.806.375-000</t>
  </si>
  <si>
    <t>CABEZAL 1210/3261</t>
  </si>
  <si>
    <t>2605.806.376-000</t>
  </si>
  <si>
    <t>FLANGE (3261) OBSOLETO</t>
  </si>
  <si>
    <t>2605.806.394-000</t>
  </si>
  <si>
    <t>2605.806.412-000</t>
  </si>
  <si>
    <t>CAJA DE ENGRANAJES 1939.8</t>
  </si>
  <si>
    <t>2605.806.428-000</t>
  </si>
  <si>
    <t>CAJA DE ENGRANAJE 0843.0</t>
  </si>
  <si>
    <t>2605.806.881-000</t>
  </si>
  <si>
    <t>CAJA DE ENGRANAJES 1513</t>
  </si>
  <si>
    <t>2605.806.889-000</t>
  </si>
  <si>
    <t>CAJA DE ENGRANAJES 1510</t>
  </si>
  <si>
    <t>2605.806.892-000</t>
  </si>
  <si>
    <t>CAJA DE ENGRANAJES 1AA6.0</t>
  </si>
  <si>
    <t>2605.806.896-000</t>
  </si>
  <si>
    <t>CAJA ENGR.1588/89/1598        RA999</t>
  </si>
  <si>
    <t>2605.806.897-000</t>
  </si>
  <si>
    <t>CAJA ENGRANAJE 3363.7</t>
  </si>
  <si>
    <t>2605.806.916-000</t>
  </si>
  <si>
    <t>CABEZAL 1403</t>
  </si>
  <si>
    <t>2605.806.918-000</t>
  </si>
  <si>
    <t>CARCASA 1504</t>
  </si>
  <si>
    <t>2605.806.919-000</t>
  </si>
  <si>
    <t>CARCASA 1528 DISCONTINUADO.</t>
  </si>
  <si>
    <t>2605.806.968-000</t>
  </si>
  <si>
    <t>CAJA ENGRANAJE</t>
  </si>
  <si>
    <t>2605.806.989-000</t>
  </si>
  <si>
    <t>CAJA DE ENGRANAJE 3281</t>
  </si>
  <si>
    <t>2605.806.990-000</t>
  </si>
  <si>
    <t>CAJA DE ENGRANAJES 1184 OBSOLETO</t>
  </si>
  <si>
    <t>2605.806.997-000</t>
  </si>
  <si>
    <t>CAJA DE ENGRANAJES 1169  RA994</t>
  </si>
  <si>
    <t>2605.807.000-000</t>
  </si>
  <si>
    <t>PORTA RODAM.3230-DISCONTINUADO</t>
  </si>
  <si>
    <t>2605.807.010-000</t>
  </si>
  <si>
    <t>TAPA PARA TALADRO 3147.1 - DISCONTINUADO</t>
  </si>
  <si>
    <t>2605.807.016-000</t>
  </si>
  <si>
    <t>SOPORTE SINTERIZADO 3230</t>
  </si>
  <si>
    <t>2605.807.049-000</t>
  </si>
  <si>
    <t>PORTACARBONES 3298</t>
  </si>
  <si>
    <t>2605.807.050-000</t>
  </si>
  <si>
    <t>PLATO PORTACARBONES 3289 RX 2609992615</t>
  </si>
  <si>
    <t>2605.807.060-000</t>
  </si>
  <si>
    <t>PORTACARBONES 1135 RA 2609992608</t>
  </si>
  <si>
    <t>2605.807.080-000</t>
  </si>
  <si>
    <t>BRAZO DE COJINETE 0842.5-6</t>
  </si>
  <si>
    <t>2605.807.082-000</t>
  </si>
  <si>
    <t>PORTACARBONES 1588.7/1589.0</t>
  </si>
  <si>
    <t>2605.807.093-000</t>
  </si>
  <si>
    <t>BRAZO DE COJINETE 1281 RX 095</t>
  </si>
  <si>
    <t>2605.807.095-000</t>
  </si>
  <si>
    <t>BRAZO DE COJINETE 1281 RA 093 OBSOLETO</t>
  </si>
  <si>
    <t>2605.807.108-000</t>
  </si>
  <si>
    <t>PORTACARBONES 1510</t>
  </si>
  <si>
    <t>2605.807.109-000</t>
  </si>
  <si>
    <t>2605.807.902-000</t>
  </si>
  <si>
    <t>SOPORTE 3161 DISCONT.</t>
  </si>
  <si>
    <t>2605.807.904-000</t>
  </si>
  <si>
    <t>RODAMIENTOS - DISCONT.</t>
  </si>
  <si>
    <t>2605.807.905-000</t>
  </si>
  <si>
    <t>SOPORTE 3230</t>
  </si>
  <si>
    <t>2605.807.906-000</t>
  </si>
  <si>
    <t>SOPORTE 3238</t>
  </si>
  <si>
    <t>2605.807.908-000</t>
  </si>
  <si>
    <t>BRAZO DEL COJINETE 3238/3335 OBSOLETO</t>
  </si>
  <si>
    <t>2605.807.910-000</t>
  </si>
  <si>
    <t>BRAZO DEL COJINETE 0830</t>
  </si>
  <si>
    <t>2605.807.915-000</t>
  </si>
  <si>
    <t>BRAZO DEL COJINETE 3167/1140</t>
  </si>
  <si>
    <t>2605.807.917-000</t>
  </si>
  <si>
    <t>CONJ.SOPORTE 3312 OBSOLETO</t>
  </si>
  <si>
    <t>2605.807.918-000</t>
  </si>
  <si>
    <t>CONJ.BRIDA 3229.2 /081514/ 3364 OBSOLETO</t>
  </si>
  <si>
    <t>2605.807.921-000</t>
  </si>
  <si>
    <t>BRAZO DEL COJINETE 1135</t>
  </si>
  <si>
    <t>2605.807.926-000</t>
  </si>
  <si>
    <t>BRAZO DE COJINETE 0.841.4</t>
  </si>
  <si>
    <t>2605.807.930-000</t>
  </si>
  <si>
    <t>BRAZO DE COJINETE 3169</t>
  </si>
  <si>
    <t>2605.807.932-000</t>
  </si>
  <si>
    <t>SOPORTE DE PERCUSION 3338/7 DISCONTINUAD</t>
  </si>
  <si>
    <t>2605.807.935-000</t>
  </si>
  <si>
    <t>BRAZO DE COJINETE 3380.0 OBSOLETO</t>
  </si>
  <si>
    <t>2605.807.936-000</t>
  </si>
  <si>
    <t>BRAZO DE COJINETE 3381,7</t>
  </si>
  <si>
    <t>2605.807.937-000</t>
  </si>
  <si>
    <t>SOPORTE PERCUCION 1148.6</t>
  </si>
  <si>
    <t>2605.807.946-000</t>
  </si>
  <si>
    <t>2605.808.054-000</t>
  </si>
  <si>
    <t>TAPA CAJA ENGRANAJES 1577 DISCONTINUADO</t>
  </si>
  <si>
    <t>2605.808.080-000</t>
  </si>
  <si>
    <t>TAPA DE ENGRANAJE 1247.6</t>
  </si>
  <si>
    <t>2605.808.081-000</t>
  </si>
  <si>
    <t>TAPA CABEZAL</t>
  </si>
  <si>
    <t>2605.808.084-000</t>
  </si>
  <si>
    <t>TAPA ENGRANAJE 1148.6</t>
  </si>
  <si>
    <t>2605.808.900-000</t>
  </si>
  <si>
    <t>2605.808.910-000</t>
  </si>
  <si>
    <t>PORTA COLECTOR</t>
  </si>
  <si>
    <t>2605.808.917-000</t>
  </si>
  <si>
    <t>CAJA DE ENGRANAJES 1587</t>
  </si>
  <si>
    <t>2605.808.920-000</t>
  </si>
  <si>
    <t>CONJUNTO PIEZAS 1587</t>
  </si>
  <si>
    <t>2605.808.921-000</t>
  </si>
  <si>
    <t>CABEZAL</t>
  </si>
  <si>
    <t>2605.808.922-000</t>
  </si>
  <si>
    <t>CONJ.TAPA-BUJE 3338/7</t>
  </si>
  <si>
    <t>2605.808.927-000</t>
  </si>
  <si>
    <t>TAPA DE COJINETE 1598 - DISCONTINUADO</t>
  </si>
  <si>
    <t>2605.808.929-000</t>
  </si>
  <si>
    <t>TAPA DE ENGRANAJE 1510</t>
  </si>
  <si>
    <t>2605.808.934-000</t>
  </si>
  <si>
    <t>TAPA DEL ENGRANAJE 1513</t>
  </si>
  <si>
    <t>2605.819.004-000</t>
  </si>
  <si>
    <t>BRAZO DEL COJINETE 1593</t>
  </si>
  <si>
    <t>2605.819.011-000</t>
  </si>
  <si>
    <t>SOPORTE 1593.1</t>
  </si>
  <si>
    <t>2605.819.012-000</t>
  </si>
  <si>
    <t>BRAZO DE COJINETE 159A</t>
  </si>
  <si>
    <t>2605.820.022-000</t>
  </si>
  <si>
    <t>RODAMIENTO 1432</t>
  </si>
  <si>
    <t>2606.100.057-000</t>
  </si>
  <si>
    <t>EJE 1403</t>
  </si>
  <si>
    <t>2606.100.061-000</t>
  </si>
  <si>
    <t>CORONA 3316</t>
  </si>
  <si>
    <t>2606.100.900-000</t>
  </si>
  <si>
    <t>ARBOL DE TRANSMISION 3346</t>
  </si>
  <si>
    <t>2606.100.903-000</t>
  </si>
  <si>
    <t>ARBOL DENTADO 1184 OBSOLETO</t>
  </si>
  <si>
    <t>2606.100.904-000</t>
  </si>
  <si>
    <t>2606.100.906-000</t>
  </si>
  <si>
    <t>ENGRANAJE CON EJE 1436.8 OBSOLETO</t>
  </si>
  <si>
    <t>2606.100.913-000</t>
  </si>
  <si>
    <t>ENGRANAJE 3924  DISCONTINUADO</t>
  </si>
  <si>
    <t>2606.100.921-000</t>
  </si>
  <si>
    <t>BIELA 3316 RX 2606100922000</t>
  </si>
  <si>
    <t>2606.100.922-000</t>
  </si>
  <si>
    <t>ENGRANAJE 3316</t>
  </si>
  <si>
    <t>2606.110.000-000</t>
  </si>
  <si>
    <t>ARBOL EXCENTRICO 1288 OBSOLETO</t>
  </si>
  <si>
    <t>2606.110.001-000</t>
  </si>
  <si>
    <t>BUJE 1593/159A</t>
  </si>
  <si>
    <t>2606.122.002-000</t>
  </si>
  <si>
    <t>2606.122.003-000</t>
  </si>
  <si>
    <t>ARBOL DE EXCENTRICA 1506</t>
  </si>
  <si>
    <t>2606.122.900-000</t>
  </si>
  <si>
    <t>EJE 1530/1529</t>
  </si>
  <si>
    <t>2606.122.901-000</t>
  </si>
  <si>
    <t>EJE 1506 - DISCONTINUADO</t>
  </si>
  <si>
    <t>2606.135.000-000</t>
  </si>
  <si>
    <t>EJE 3147.1 DISCONTINUADO</t>
  </si>
  <si>
    <t>2606.135.005-000</t>
  </si>
  <si>
    <t>EJE 3161</t>
  </si>
  <si>
    <t>2606.135.011-000</t>
  </si>
  <si>
    <t>HUSILLO DE LA BROCA 1169</t>
  </si>
  <si>
    <t>2606.135.012-000</t>
  </si>
  <si>
    <t>EJE 1163.6  OBSOLETO</t>
  </si>
  <si>
    <t>2606.135.018-000</t>
  </si>
  <si>
    <t>2606.135.022-000</t>
  </si>
  <si>
    <t>EJE 3924</t>
  </si>
  <si>
    <t>2606.135.033-000</t>
  </si>
  <si>
    <t>EJE DE SALIDA 1140</t>
  </si>
  <si>
    <t>2606.135.034-000</t>
  </si>
  <si>
    <t>EJE 3167</t>
  </si>
  <si>
    <t>2606.135.045-000</t>
  </si>
  <si>
    <t>HUSILLO DE BROCA 3168</t>
  </si>
  <si>
    <t>2606.135.070-000</t>
  </si>
  <si>
    <t>HUSILLO DE LA BROCA 3169 DISCONT.</t>
  </si>
  <si>
    <t>2606.135.130-000</t>
  </si>
  <si>
    <t>HUSILLO DE LA BROCA 119B</t>
  </si>
  <si>
    <t>2606.135.901-000</t>
  </si>
  <si>
    <t>EJE 1122</t>
  </si>
  <si>
    <t>2606.135.913-000</t>
  </si>
  <si>
    <t>HUSILLO DE LA BROCA 1135</t>
  </si>
  <si>
    <t>2606.135.923-000</t>
  </si>
  <si>
    <t>CONJ.ENGRANAJE 3312</t>
  </si>
  <si>
    <t>2606.135.929-000</t>
  </si>
  <si>
    <t>EJE DE SALIDA 3338/7</t>
  </si>
  <si>
    <t>2606.135.932-000</t>
  </si>
  <si>
    <t>EJE DE SALIDA 1148.6</t>
  </si>
  <si>
    <t>2606.200.047-000</t>
  </si>
  <si>
    <t>ENGRANAJE PLANETARIO 3936   OBSOLETO</t>
  </si>
  <si>
    <t>2606.200.054-000</t>
  </si>
  <si>
    <t>CONTROL TORQUE 3936/37.6-7</t>
  </si>
  <si>
    <t>2606.200.065-000</t>
  </si>
  <si>
    <t>ENGRAN.PLANET. 1936.6.4  -CHI-</t>
  </si>
  <si>
    <t>2606.200.073-000</t>
  </si>
  <si>
    <t>ENGRANAJE PLANETARIO 1949.5-6 OBSOLETO</t>
  </si>
  <si>
    <t>2606.200.078-000</t>
  </si>
  <si>
    <t>CONTROLADOR DE TORQUE  3940.6 OBSOLETO</t>
  </si>
  <si>
    <t>2606.200.090-000</t>
  </si>
  <si>
    <t>PLANETARIO 1915.5 - DISCONTINUADO</t>
  </si>
  <si>
    <t>2606.200.186-000</t>
  </si>
  <si>
    <t>ENGRANAJE PLANETARIO 1992</t>
  </si>
  <si>
    <t>2606.200.196-000</t>
  </si>
  <si>
    <t>ENGRANAJE PLANETARIO  1994 RX 2606200254</t>
  </si>
  <si>
    <t>2606.200.209-000</t>
  </si>
  <si>
    <t>UNIDAD ENGRANAJE  1440 Ra 2606200237</t>
  </si>
  <si>
    <t>2606.200.225-000</t>
  </si>
  <si>
    <t>UNIDAD ENGRANAJE  1440</t>
  </si>
  <si>
    <t>2606.200.229-000</t>
  </si>
  <si>
    <t>ENGRANAJE PLANETARIO 1992.0</t>
  </si>
  <si>
    <t>2606.200.237-000</t>
  </si>
  <si>
    <t>UNIDAD ENGRANAJE  1440 RA 2606200225</t>
  </si>
  <si>
    <t>2606.200.250-000</t>
  </si>
  <si>
    <t>CAJA DE ENGRANAJES 1868.0 RX 2609199298</t>
  </si>
  <si>
    <t>2606.200.254-000</t>
  </si>
  <si>
    <t>ENGRANAJE PLANETARIO  1994</t>
  </si>
  <si>
    <t>2606.200.257-000</t>
  </si>
  <si>
    <t>ENGRANAJE PLANETARIO 1859.T</t>
  </si>
  <si>
    <t>2606.200.258-000</t>
  </si>
  <si>
    <t>CAJA ENGRANAJE 1868.1 RX 2609199786</t>
  </si>
  <si>
    <t>2606.200.259-000</t>
  </si>
  <si>
    <t>CAJA DE ENGRANAJE 1992.9</t>
  </si>
  <si>
    <t>2606.200.262-000</t>
  </si>
  <si>
    <t>ENGRANAJE PLANETARIO 1860.4</t>
  </si>
  <si>
    <t>2606.200.263-000</t>
  </si>
  <si>
    <t>ENGRANAJE PLANETARIO 1860.3</t>
  </si>
  <si>
    <t>2606.200.908-000</t>
  </si>
  <si>
    <t>CONTROLAD.DE TORQUE  1948.6 OBSOLETO</t>
  </si>
  <si>
    <t>2606.200.910-000</t>
  </si>
  <si>
    <t>CONTROLAD.DE TORQUE  1948.4 OBSOLETO</t>
  </si>
  <si>
    <t>2606.200.923-000</t>
  </si>
  <si>
    <t>CONTROLADOR DE TORQUE 3941.5</t>
  </si>
  <si>
    <t>2606.200.928-000</t>
  </si>
  <si>
    <t>CONTROLADOR DE TORQUE 1954.4.5 OBSOLETO</t>
  </si>
  <si>
    <t>2606.200.929-000</t>
  </si>
  <si>
    <t>CONTROLADOR DE TORQUE 1952.2.3 DISCONTIN</t>
  </si>
  <si>
    <t>2606.200.932-000</t>
  </si>
  <si>
    <t>PLANETARIO 1913.2.4</t>
  </si>
  <si>
    <t>2606.200.940-000</t>
  </si>
  <si>
    <t>ENGRANAJE PLANETARIO 1916</t>
  </si>
  <si>
    <t>2606.200.953-000</t>
  </si>
  <si>
    <t>UNIDAD ENGRANAJE 1D45.0</t>
  </si>
  <si>
    <t>2606.200.954-000</t>
  </si>
  <si>
    <t>UNIDAD ENGRANAJE 1445.1</t>
  </si>
  <si>
    <t>2606.200.955-000</t>
  </si>
  <si>
    <t>UNIDAD ENGRANAJE 1445.2</t>
  </si>
  <si>
    <t>2606.308.024-000</t>
  </si>
  <si>
    <t>EJE C/ENGRANAJE 1163 RXF000635245</t>
  </si>
  <si>
    <t>2606.308.914-000</t>
  </si>
  <si>
    <t>ARBOL DENTADO 1937.7 OBSOLETO</t>
  </si>
  <si>
    <t>2606.308.915-000</t>
  </si>
  <si>
    <t>ARBOL DENTADO 1169 - DISCONTINUADO</t>
  </si>
  <si>
    <t>2606.308.925-000</t>
  </si>
  <si>
    <t>CREMALLERA</t>
  </si>
  <si>
    <t>2606.309.003-000</t>
  </si>
  <si>
    <t>EJE DENTADO</t>
  </si>
  <si>
    <t>2606.309.007-000</t>
  </si>
  <si>
    <t>EJE DISCONTINUADO</t>
  </si>
  <si>
    <t>2606.309.013-000</t>
  </si>
  <si>
    <t>EJE 1184.1/1194.5 RX F000635246</t>
  </si>
  <si>
    <t>2606.309.027-000</t>
  </si>
  <si>
    <t>EJE DE MANDRIL 1921</t>
  </si>
  <si>
    <t>2606.309.045-000</t>
  </si>
  <si>
    <t>EJE DENTADO 1939.8 - DISCONTINUADO</t>
  </si>
  <si>
    <t>2606.309.904-000</t>
  </si>
  <si>
    <t>EJE C. ENGRANAJE 3161 OBSOLETO</t>
  </si>
  <si>
    <t>2606.309.918-000</t>
  </si>
  <si>
    <t>ARBOL ESTRIADO 1937.7</t>
  </si>
  <si>
    <t>2606.309.928-000</t>
  </si>
  <si>
    <t>CONJ.PIEZAS DE HUSILLO 1937.7</t>
  </si>
  <si>
    <t>2606.309.934-000</t>
  </si>
  <si>
    <t>ARBOL DENTADO 119B</t>
  </si>
  <si>
    <t>2606.316.077-000</t>
  </si>
  <si>
    <t>ENGRANAJE 0173</t>
  </si>
  <si>
    <t>2606.316.092-000</t>
  </si>
  <si>
    <t>ENGRANAJE 0843.0</t>
  </si>
  <si>
    <t>2606.316.102-000</t>
  </si>
  <si>
    <t>ENGRANAJE 1169</t>
  </si>
  <si>
    <t>2606.316.107-000</t>
  </si>
  <si>
    <t>2606.316.112-000</t>
  </si>
  <si>
    <t>PIÑON 1921/2490-R A 1609340004</t>
  </si>
  <si>
    <t>2606.316.116-000</t>
  </si>
  <si>
    <t>JUEGO DE PIEZAS 4121 RX 2606316900</t>
  </si>
  <si>
    <t>2606.316.127-000</t>
  </si>
  <si>
    <t>2606.316.144-000</t>
  </si>
  <si>
    <t>PIÑON 1937.7</t>
  </si>
  <si>
    <t>2606.316.147-000</t>
  </si>
  <si>
    <t>PIÑON 1939.8</t>
  </si>
  <si>
    <t>2606.316.148-000</t>
  </si>
  <si>
    <t>PIÑON 1936.6</t>
  </si>
  <si>
    <t>2606.316.149-000</t>
  </si>
  <si>
    <t>RUEDA DENTADA 2490.412</t>
  </si>
  <si>
    <t>2606.316.158-000</t>
  </si>
  <si>
    <t>PIÑON 3937.7</t>
  </si>
  <si>
    <t>2606.316.161-000</t>
  </si>
  <si>
    <t>PIÑON 1949.5-6</t>
  </si>
  <si>
    <t>2606.316.163-000</t>
  </si>
  <si>
    <t>ENGRANAJE 0842.5-6 DISCONTINUADO</t>
  </si>
  <si>
    <t>2606.316.164-000</t>
  </si>
  <si>
    <t>PINON 2300/2490/91/92/3937/E2/3/6/8/700</t>
  </si>
  <si>
    <t>2606.316.180-000</t>
  </si>
  <si>
    <t>PIÑON 1954.5</t>
  </si>
  <si>
    <t>2606.316.181-000</t>
  </si>
  <si>
    <t>PIÑON  3941.5</t>
  </si>
  <si>
    <t>2606.316.182-000</t>
  </si>
  <si>
    <t>PIÑON 1948.6</t>
  </si>
  <si>
    <t>2606.316.188-000</t>
  </si>
  <si>
    <t>PIÑON 1948.4</t>
  </si>
  <si>
    <t>2606.316.224-000</t>
  </si>
  <si>
    <t>PIÑON 1913.4</t>
  </si>
  <si>
    <t>2606.316.226-000</t>
  </si>
  <si>
    <t>PIÑON 1916</t>
  </si>
  <si>
    <t>2606.316.229-000</t>
  </si>
  <si>
    <t>PIÑON 1915.5</t>
  </si>
  <si>
    <t>2606.316.316-000</t>
  </si>
  <si>
    <t>2606.316.900-000</t>
  </si>
  <si>
    <t>ENGRANAJE 3229/19/3364 RA 116</t>
  </si>
  <si>
    <t>2606.317.001-000</t>
  </si>
  <si>
    <t>2606.317.014-000</t>
  </si>
  <si>
    <t>ENGRANAJE 3161</t>
  </si>
  <si>
    <t>2606.317.026-000</t>
  </si>
  <si>
    <t>ENGRANAJE RECTO 3161</t>
  </si>
  <si>
    <t>2606.317.037-000</t>
  </si>
  <si>
    <t>2606.317.045-000</t>
  </si>
  <si>
    <t>ENGRANAJE 1184/94</t>
  </si>
  <si>
    <t>2606.317.055-000</t>
  </si>
  <si>
    <t>2606.317.084-000</t>
  </si>
  <si>
    <t>RUEDA DENTADA RECTA 11A5</t>
  </si>
  <si>
    <t>2606.317.085-000</t>
  </si>
  <si>
    <t>RUEDA DENTADA RECTA RX 2606317098000</t>
  </si>
  <si>
    <t>2606.319.007-000</t>
  </si>
  <si>
    <t>RUEDA DENTADA EXCENTRICA Z=49 1575.1</t>
  </si>
  <si>
    <t>2606.319.040-000</t>
  </si>
  <si>
    <t>2606.319.069-000</t>
  </si>
  <si>
    <t>ENGRANAJE 1184/94 RX F000635252</t>
  </si>
  <si>
    <t>2606.319.070-000</t>
  </si>
  <si>
    <t>ENGRANAJE 3230/3238 OBSOLETO</t>
  </si>
  <si>
    <t>2606.319.073-000</t>
  </si>
  <si>
    <t>ENGRANAJE 3230     OBSOLETO</t>
  </si>
  <si>
    <t>2606.319.074-000</t>
  </si>
  <si>
    <t>EXCENTRICO 3230</t>
  </si>
  <si>
    <t>2606.319.080-000</t>
  </si>
  <si>
    <t>ENGRANAJE 1184 / 94 RA F000635252</t>
  </si>
  <si>
    <t>2606.319.085-000</t>
  </si>
  <si>
    <t>ENGRANAJE Z=46 - 1939.8</t>
  </si>
  <si>
    <t>2606.319.086-000</t>
  </si>
  <si>
    <t>ENGRANAJE 1939.8 - DISCONTINUADO</t>
  </si>
  <si>
    <t>2606.319.900-000</t>
  </si>
  <si>
    <t>ENGRANAJE EXCENTRICO 3238/3335 OBSOLETO</t>
  </si>
  <si>
    <t>2606.319.901-000</t>
  </si>
  <si>
    <t>JUEGO DE PIEZAS 0.841.4 OBSOLETO</t>
  </si>
  <si>
    <t>2606.320.001-000</t>
  </si>
  <si>
    <t>2606.320.006-000</t>
  </si>
  <si>
    <t>ENGRANAJE 3161 - DISCONTINUADO</t>
  </si>
  <si>
    <t>2606.320.021-000</t>
  </si>
  <si>
    <t>ENGRANAJE 1106.0/1107.5</t>
  </si>
  <si>
    <t>2606.320.039-000</t>
  </si>
  <si>
    <t>ENGRANAJE REDUCTOR 0830 DISCONTINUADO</t>
  </si>
  <si>
    <t>2606.320.040-000</t>
  </si>
  <si>
    <t>ENGRANAJE -REEMPL.X2606320054</t>
  </si>
  <si>
    <t>2606.320.043-000</t>
  </si>
  <si>
    <t>ENGRANAJE EXCENTRICO 3281</t>
  </si>
  <si>
    <t>2606.320.047-000</t>
  </si>
  <si>
    <t>ENGRANAJE 3168 DISCONTINUADO</t>
  </si>
  <si>
    <t>2606.320.048-000</t>
  </si>
  <si>
    <t>ENGRANAJE EXC. 1587 RX 1619P02581</t>
  </si>
  <si>
    <t>2606.320.050-000</t>
  </si>
  <si>
    <t>ENGRANAJE 1140 - DISCONTINUADO</t>
  </si>
  <si>
    <t>2606.320.051-000</t>
  </si>
  <si>
    <t>ENGRANAJE RECTO     3167/3169 OBSOLETO</t>
  </si>
  <si>
    <t>2606.320.054-000</t>
  </si>
  <si>
    <t>ENGRANAJE 1135/1147/1187</t>
  </si>
  <si>
    <t>2606.320.055-000</t>
  </si>
  <si>
    <t>ENGRANAJE EXC.1588.7/1589.0/1510 RX 101</t>
  </si>
  <si>
    <t>2606.320.056-000</t>
  </si>
  <si>
    <t>ENGRANAJE - DISCONTINUADO</t>
  </si>
  <si>
    <t>2606.320.062-000</t>
  </si>
  <si>
    <t>ENGRANAJE EXCENTRICO 3363.7</t>
  </si>
  <si>
    <t>2606.320.088-000</t>
  </si>
  <si>
    <t>RUEDA DENTADA EXCENTRICA 1598</t>
  </si>
  <si>
    <t>2606.320.092-000</t>
  </si>
  <si>
    <t>RUEDA DENTADA RECTA 1218</t>
  </si>
  <si>
    <t>2606.320.099-000</t>
  </si>
  <si>
    <t>RUEDA DENTADA EXCENTRICA 1513</t>
  </si>
  <si>
    <t>2606.320.101-000</t>
  </si>
  <si>
    <t>ENGRANAJE1588.7 RA 2606320055</t>
  </si>
  <si>
    <t>2606.320.900-000</t>
  </si>
  <si>
    <t>EMBRAGUE  0830/3221</t>
  </si>
  <si>
    <t>2606.320.903-000</t>
  </si>
  <si>
    <t>ENGRANAJE 3380.0 /1281.719</t>
  </si>
  <si>
    <t>2606.320.904-000</t>
  </si>
  <si>
    <t>RUEDA DENTADA 3381.7 OBSOLETO</t>
  </si>
  <si>
    <t>2606.325.003-000</t>
  </si>
  <si>
    <t>ENGRANAJE 1460/1</t>
  </si>
  <si>
    <t>2606.325.004-000</t>
  </si>
  <si>
    <t>2606.328.900-000</t>
  </si>
  <si>
    <t>2606.328.901-000</t>
  </si>
  <si>
    <t>2606.329.001-000</t>
  </si>
  <si>
    <t>ENGRANAJE 1925</t>
  </si>
  <si>
    <t>2606.333.024-000</t>
  </si>
  <si>
    <t>PIÑON 3293 OBSOLETO</t>
  </si>
  <si>
    <t>2606.333.025-000</t>
  </si>
  <si>
    <t>PIÑON 3293</t>
  </si>
  <si>
    <t>2606.333.901-000</t>
  </si>
  <si>
    <t>CORONA 3293</t>
  </si>
  <si>
    <t>2606.334.040-000</t>
  </si>
  <si>
    <t>ENGRANAJE 1506/1530</t>
  </si>
  <si>
    <t>2606.334.902-000</t>
  </si>
  <si>
    <t>CORONA 3327.7</t>
  </si>
  <si>
    <t>2606.338.001-000</t>
  </si>
  <si>
    <t>2606.338.002-000</t>
  </si>
  <si>
    <t>SUJETADOR DE CUCHILLO</t>
  </si>
  <si>
    <t>2606.440.000-000</t>
  </si>
  <si>
    <t>DISCO 1925</t>
  </si>
  <si>
    <t>2606.445.010-000</t>
  </si>
  <si>
    <t>SEMIACOPLAMIENTO 1939.8</t>
  </si>
  <si>
    <t>2606.445.016-000</t>
  </si>
  <si>
    <t>SEMIACOPLAMIENTO 158J</t>
  </si>
  <si>
    <t>2606.445.901-000</t>
  </si>
  <si>
    <t>SEMIACOPLAMIENTO 1598</t>
  </si>
  <si>
    <t>2606.446.001-000</t>
  </si>
  <si>
    <t>ACOPLE 1205</t>
  </si>
  <si>
    <t>2606.446.002-000</t>
  </si>
  <si>
    <t>ACOPLE GGS 27 L / GGS 27 LC</t>
  </si>
  <si>
    <t>2606.490.027-000</t>
  </si>
  <si>
    <t>SEMI-ACOPLAMENTO</t>
  </si>
  <si>
    <t>2606.490.031-000</t>
  </si>
  <si>
    <t>ARRASTRADOR PARA TALADRO 3161</t>
  </si>
  <si>
    <t>2606.490.036-000</t>
  </si>
  <si>
    <t>2606.490.040-000</t>
  </si>
  <si>
    <t>ARANDELA DE MUESCAS 3167</t>
  </si>
  <si>
    <t>2606.490.047-000</t>
  </si>
  <si>
    <t>EMBRAGUE  1921</t>
  </si>
  <si>
    <t>2606.490.053-000</t>
  </si>
  <si>
    <t>BUJE 3298</t>
  </si>
  <si>
    <t>2606.490.056-000</t>
  </si>
  <si>
    <t>ARANDELA DE  ARRASTRE  DISCONTINUADO</t>
  </si>
  <si>
    <t>2606.490.060-000</t>
  </si>
  <si>
    <t>ARANDELA DE MUESCAS 1937.7</t>
  </si>
  <si>
    <t>2606.490.088-000</t>
  </si>
  <si>
    <t>PIEZA DEL EMBRAGUE 1598</t>
  </si>
  <si>
    <t>2606.490.900-000</t>
  </si>
  <si>
    <t>ACOPLE 1432/1436 RX 3607030424</t>
  </si>
  <si>
    <t>2606.490.913-000</t>
  </si>
  <si>
    <t>2606.491.007-000</t>
  </si>
  <si>
    <t>SOPORTE DE EMBRAGUE 3293 DISCONTINUADO</t>
  </si>
  <si>
    <t>2606.491.008-000</t>
  </si>
  <si>
    <t>BUJE PLASTICO 3293 OBSOLETO</t>
  </si>
  <si>
    <t>2606.491.010-000</t>
  </si>
  <si>
    <t>TRINQUETE 3303/3286</t>
  </si>
  <si>
    <t>2606.491.011-000</t>
  </si>
  <si>
    <t>CORREDERA 1587          RA005</t>
  </si>
  <si>
    <t>2606.491.014-000</t>
  </si>
  <si>
    <t>SEMIACOPLE 1587.6</t>
  </si>
  <si>
    <t>2606.491.917-000</t>
  </si>
  <si>
    <t>TORN DE PRES 1587 RA2603490006</t>
  </si>
  <si>
    <t>2606.600.900-000</t>
  </si>
  <si>
    <t>POLEA 1288 - DISCONT.</t>
  </si>
  <si>
    <t>2606.610.013-000</t>
  </si>
  <si>
    <t>VENTILADOR 1528/04</t>
  </si>
  <si>
    <t>2606.610.016-000</t>
  </si>
  <si>
    <t>2606.610.022-000</t>
  </si>
  <si>
    <t>2606.610.026-000</t>
  </si>
  <si>
    <t>VENTILADOR 1288 OBSOLETO</t>
  </si>
  <si>
    <t>2606.610.027-000</t>
  </si>
  <si>
    <t>VENTILADOR 1169/0841</t>
  </si>
  <si>
    <t>2606.610.029-000</t>
  </si>
  <si>
    <t>VENTILADOR 1420/3167/8/1140</t>
  </si>
  <si>
    <t>2606.610.041-000</t>
  </si>
  <si>
    <t>VENTILADOR 1288</t>
  </si>
  <si>
    <t>2606.610.043-000</t>
  </si>
  <si>
    <t>2606.610.049-000</t>
  </si>
  <si>
    <t>VENTILADOR 1587/3281-24/1215/1274</t>
  </si>
  <si>
    <t>2606.610.052-000</t>
  </si>
  <si>
    <t>2606.610.055-000</t>
  </si>
  <si>
    <t>VENTILADOR 3289/3298</t>
  </si>
  <si>
    <t>2606.610.066-000</t>
  </si>
  <si>
    <t>INDUCIDO PLASTICO 3298 DISCONTINUADO</t>
  </si>
  <si>
    <t>2606.610.072-000</t>
  </si>
  <si>
    <t>VENTILADOR 1372</t>
  </si>
  <si>
    <t>2606.610.076-000</t>
  </si>
  <si>
    <t>VENTILADOR 1372.7/137B/2714</t>
  </si>
  <si>
    <t>2606.610.079-000</t>
  </si>
  <si>
    <t>VENTILADOR DE INDUCIDO 3309</t>
  </si>
  <si>
    <t>2606.610.086-000</t>
  </si>
  <si>
    <t>VENTILADOR 1293</t>
  </si>
  <si>
    <t>2606.610.089-000</t>
  </si>
  <si>
    <t>VENTILADOR 1588.7-RA2609995084</t>
  </si>
  <si>
    <t>2606.610.090-000</t>
  </si>
  <si>
    <t>VENTILADOR 3327.7</t>
  </si>
  <si>
    <t>2606.610.093-000</t>
  </si>
  <si>
    <t>VENTILADOR 1589.0/1510</t>
  </si>
  <si>
    <t>2606.610.096-000</t>
  </si>
  <si>
    <t>VENTILADOR 1C58.1</t>
  </si>
  <si>
    <t>2606.610.113-000</t>
  </si>
  <si>
    <t>VENTILADOR 129A</t>
  </si>
  <si>
    <t>2606.610.116-000</t>
  </si>
  <si>
    <t>VENTILADOR 159A</t>
  </si>
  <si>
    <t>2606.610.123-000</t>
  </si>
  <si>
    <t>VENTILADOR 1E8F.0</t>
  </si>
  <si>
    <t>2606.610.900-000</t>
  </si>
  <si>
    <t>CONJ.VENTIL.ASPIR.3309/7435</t>
  </si>
  <si>
    <t>2606.610.901-000</t>
  </si>
  <si>
    <t>VENTILADOR 3310</t>
  </si>
  <si>
    <t>2606.610.903-000</t>
  </si>
  <si>
    <t>CONJ.VENT/RODAM/ARRASTRE 1372/137B/2714</t>
  </si>
  <si>
    <t>2606.621.001-000</t>
  </si>
  <si>
    <t>DISCO GRADUADO 3258</t>
  </si>
  <si>
    <t>2606.621.011-000</t>
  </si>
  <si>
    <t>PERILLA REGUL. DE LIJA 3327.7</t>
  </si>
  <si>
    <t>2606.625.001-000</t>
  </si>
  <si>
    <t>POLEA 3272</t>
  </si>
  <si>
    <t>2606.625.002-000</t>
  </si>
  <si>
    <t>2606.625.005-000</t>
  </si>
  <si>
    <t>POLEA 1288 DISCONTINUADO</t>
  </si>
  <si>
    <t>2606.625.006-000</t>
  </si>
  <si>
    <t>2606.625.009-000</t>
  </si>
  <si>
    <t>2606.625.014-000</t>
  </si>
  <si>
    <t>POLEA 3298 OBSOLETO</t>
  </si>
  <si>
    <t>2606.625.015-000</t>
  </si>
  <si>
    <t>2606.625.026-000</t>
  </si>
  <si>
    <t>RODILLO TRACTOR 3327.7</t>
  </si>
  <si>
    <t>2606.625.030-000</t>
  </si>
  <si>
    <t>RUEDA DE CORREA DENTADA 1C58.1</t>
  </si>
  <si>
    <t>2606.625.032-000</t>
  </si>
  <si>
    <t>POLEA 3270.1             RA021</t>
  </si>
  <si>
    <t>2606.625.034-000</t>
  </si>
  <si>
    <t>RODILLO 3270.1           RA018</t>
  </si>
  <si>
    <t>2606.625.041-000</t>
  </si>
  <si>
    <t>CORREA DE ENGRANAJE DENT.</t>
  </si>
  <si>
    <t>2606.625.900-000</t>
  </si>
  <si>
    <t>RODILLO 3270     RA1606625028</t>
  </si>
  <si>
    <t>2606.625.902-000</t>
  </si>
  <si>
    <t>RODILLO GUIA 3327.7</t>
  </si>
  <si>
    <t>2606.625.903-000</t>
  </si>
  <si>
    <t>RODILLO TENSOR 3327.7</t>
  </si>
  <si>
    <t>2606.625.904-000</t>
  </si>
  <si>
    <t>RODILLO  1274</t>
  </si>
  <si>
    <t>2606.625.905-000</t>
  </si>
  <si>
    <t>RODILLO 3270.1</t>
  </si>
  <si>
    <t>2606.625.906-000</t>
  </si>
  <si>
    <t>RODILLO 3270           R A 901</t>
  </si>
  <si>
    <t>2606.625.907-000</t>
  </si>
  <si>
    <t>POLEA 3270.1/1274 RA022</t>
  </si>
  <si>
    <t>2606.625.908-000</t>
  </si>
  <si>
    <t>2606.625.909-000</t>
  </si>
  <si>
    <t>RUEDA DE CORREA DENTADA 1595</t>
  </si>
  <si>
    <t>2606.625.910-000</t>
  </si>
  <si>
    <t>2607.000.179-000</t>
  </si>
  <si>
    <t>SILENCIADOR 7460401/7160.5</t>
  </si>
  <si>
    <t>2607.000.239-000</t>
  </si>
  <si>
    <t>LAMINA DE CHAVE DE FENDA</t>
  </si>
  <si>
    <t>2607.001.018-000</t>
  </si>
  <si>
    <t>PALANCA DE RODILLO 1577 - DISCONTINUADO</t>
  </si>
  <si>
    <t>2607.001.039-000</t>
  </si>
  <si>
    <t>BOTON PERCUSION 3147.1 - DISCONT</t>
  </si>
  <si>
    <t>2607.001.047-000</t>
  </si>
  <si>
    <t>JUEGO DE PIEZAS 1595</t>
  </si>
  <si>
    <t>2607.001.118-000</t>
  </si>
  <si>
    <t>JGO DE CUCHILLAS 0830  RA052 DISCONT.</t>
  </si>
  <si>
    <t>2607.001.126-000</t>
  </si>
  <si>
    <t>JUEGO DE PIEZAS 1921</t>
  </si>
  <si>
    <t>2607.001.130-000</t>
  </si>
  <si>
    <t>JUEGO DE PIEZAS 1587/3281</t>
  </si>
  <si>
    <t>2607.001.239-000</t>
  </si>
  <si>
    <t>JUEGO DE CUCHILLAS 0.841.4/0.844.4 RX338</t>
  </si>
  <si>
    <t>2607.001.272-000</t>
  </si>
  <si>
    <t>JGO. CUCHILLAS 0842.5 DISCONT.</t>
  </si>
  <si>
    <t>2607.001.273-000</t>
  </si>
  <si>
    <t>JGO. CUCHILLAS 0842.6 DISCONTINUADO</t>
  </si>
  <si>
    <t>2607.001.305-000</t>
  </si>
  <si>
    <t>JUEGO PIEZAS DE FIJACION 119B</t>
  </si>
  <si>
    <t>2607.001.315-000</t>
  </si>
  <si>
    <t>JGO. CUCHILLA 0843.0</t>
  </si>
  <si>
    <t>2607.001.338-000</t>
  </si>
  <si>
    <t>CUCHILLA 0844/0830 DISCONTINUADO</t>
  </si>
  <si>
    <t>2607.001.443-000</t>
  </si>
  <si>
    <t>PORTAHERRAMIENTAS  1918G/J/L/3</t>
  </si>
  <si>
    <t>2607.001.903-000</t>
  </si>
  <si>
    <t>JUEGO DE CUCHILLAS 0845 OBSOLETO</t>
  </si>
  <si>
    <t>2607.010.004-000</t>
  </si>
  <si>
    <t>PORTA CARBONES</t>
  </si>
  <si>
    <t>2607.014.001-000</t>
  </si>
  <si>
    <t>CARBONES 3229/72/89</t>
  </si>
  <si>
    <t>2607.014.004-000</t>
  </si>
  <si>
    <t>CARBONES 3307 - DISCONTINUADO</t>
  </si>
  <si>
    <t>2607.014.005-000</t>
  </si>
  <si>
    <t>CARBONES 0.841.4 OBSOLETO</t>
  </si>
  <si>
    <t>2607.014.007-000</t>
  </si>
  <si>
    <t>CARBONES 3293 OBSOLETO</t>
  </si>
  <si>
    <t>2607.014.010-000</t>
  </si>
  <si>
    <t>CARBONES 3346 RA 008</t>
  </si>
  <si>
    <t>2607.014.011-000</t>
  </si>
  <si>
    <t>CARBONES 3337/8 RX 2604321930</t>
  </si>
  <si>
    <t>2607.014.014-000</t>
  </si>
  <si>
    <t>CARBONES 3365.1</t>
  </si>
  <si>
    <t>2607.014.016-000</t>
  </si>
  <si>
    <t>CARBONES 159A</t>
  </si>
  <si>
    <t>2607.020.396-000</t>
  </si>
  <si>
    <t>DEPOSITO 1D45.1/1D45.0</t>
  </si>
  <si>
    <t>2607.022.083-000</t>
  </si>
  <si>
    <t>MOTOR 1595</t>
  </si>
  <si>
    <t>2607.022.319-000</t>
  </si>
  <si>
    <t>MOTOR DE CORRENTE CONTINU / 14,4V</t>
  </si>
  <si>
    <t>2607.022.831-000</t>
  </si>
  <si>
    <t>MOTOR CC 18V 158J</t>
  </si>
  <si>
    <t>2607.022.832-000</t>
  </si>
  <si>
    <t>MOTOR CORRIE.CONT.18V 1860.3</t>
  </si>
  <si>
    <t>2607.022.833-000</t>
  </si>
  <si>
    <t>MOTOR 1860.4</t>
  </si>
  <si>
    <t>2607.022.838-000</t>
  </si>
  <si>
    <t>MOTOR CORRIENTE CONTINUA 1992.0</t>
  </si>
  <si>
    <t>2607.022.840-000</t>
  </si>
  <si>
    <t>MOTOR  1992</t>
  </si>
  <si>
    <t>2607.022.842-000</t>
  </si>
  <si>
    <t>MOTOR 0839</t>
  </si>
  <si>
    <t>2607.022.862-000</t>
  </si>
  <si>
    <t>MOTOR C.C. 24V 1913.2</t>
  </si>
  <si>
    <t>2607.022.871-000</t>
  </si>
  <si>
    <t>MOTOR  1916/1860.4</t>
  </si>
  <si>
    <t>2607.022.881-000</t>
  </si>
  <si>
    <t>MOTOR CORRIENTE CONTINUA 1598</t>
  </si>
  <si>
    <t>2607.022.887-000</t>
  </si>
  <si>
    <t>MOTOR CC 14,4V 1954.4 OBSOLETO</t>
  </si>
  <si>
    <t>2607.022.888-000</t>
  </si>
  <si>
    <t>MOTOR  CC 12V 1954.5 OBSOLETO</t>
  </si>
  <si>
    <t>2607.022.892-000</t>
  </si>
  <si>
    <t>MOTOR 14,4 VOL. 1948.4  DISCONTINUADO</t>
  </si>
  <si>
    <t>2607.022.900-000</t>
  </si>
  <si>
    <t>2607.022.902-000</t>
  </si>
  <si>
    <t>MOTOR CC 9,6V 1921</t>
  </si>
  <si>
    <t>2607.022.905-000</t>
  </si>
  <si>
    <t>MOTOR 4,8 V</t>
  </si>
  <si>
    <t>2607.022.929-000</t>
  </si>
  <si>
    <t>MOTOR CC 9,6V 1937.7</t>
  </si>
  <si>
    <t>2607.022.934-000</t>
  </si>
  <si>
    <t>MOTOR CC 9,6V 1939.8</t>
  </si>
  <si>
    <t>2607.022.941-000</t>
  </si>
  <si>
    <t>MOTOR CC 9,6V 3936       RA942</t>
  </si>
  <si>
    <t>2607.022.943-000</t>
  </si>
  <si>
    <t>MOTOR 7,2- 9,6VOLT- 3937.7 DISCONTINUADO</t>
  </si>
  <si>
    <t>2607.022.949-000</t>
  </si>
  <si>
    <t>MOTOR 3937,6</t>
  </si>
  <si>
    <t>2607.022.957-000</t>
  </si>
  <si>
    <t>MOTOR 9,6V 1936.4.6</t>
  </si>
  <si>
    <t>2607.022.961-000</t>
  </si>
  <si>
    <t>MOTOR 1936.4 DISCONTINUED</t>
  </si>
  <si>
    <t>2607.022.962-000</t>
  </si>
  <si>
    <t>MOTOR 1949.5-6 OBSOLETO</t>
  </si>
  <si>
    <t>2607.022.969-000</t>
  </si>
  <si>
    <t>MOTOR 9,6 VOL. 1948.6</t>
  </si>
  <si>
    <t>2607.022.974-000</t>
  </si>
  <si>
    <t>MOTOR CC 18V 1952.3</t>
  </si>
  <si>
    <t>2607.022.975-000</t>
  </si>
  <si>
    <t>MOTOR CC 24V 1952.2</t>
  </si>
  <si>
    <t>2607.022.978-000</t>
  </si>
  <si>
    <t>MOTOR 0843.0</t>
  </si>
  <si>
    <t>2607.022.988-000</t>
  </si>
  <si>
    <t>MOTOR CC 9,6V  3940.6 OBSOLETO</t>
  </si>
  <si>
    <t>2607.022.990-000</t>
  </si>
  <si>
    <t>MOTOR CC12V  3941.5</t>
  </si>
  <si>
    <t>2607.034.900-000</t>
  </si>
  <si>
    <t>CARBONES 1913.4 RX 904</t>
  </si>
  <si>
    <t>2607.034.901-000</t>
  </si>
  <si>
    <t>CARBONES 1913.2 RX 2607.034.904-000</t>
  </si>
  <si>
    <t>2607.034.902-000</t>
  </si>
  <si>
    <t>CARBONES 1934</t>
  </si>
  <si>
    <t>2607.034.904-000</t>
  </si>
  <si>
    <t>CARBONES 1913.4  RA 2607.034.901</t>
  </si>
  <si>
    <t>2607.200.039-000</t>
  </si>
  <si>
    <t>CONMUTADOR 3147.1 RX 9618086561</t>
  </si>
  <si>
    <t>2607.200.045-000</t>
  </si>
  <si>
    <t>CONMUTADOR - DISCONTINUADO</t>
  </si>
  <si>
    <t>2607.200.048-000</t>
  </si>
  <si>
    <t>INTERRUPTOR 1577/3230 DISCONT.</t>
  </si>
  <si>
    <t>2607.200.076-000</t>
  </si>
  <si>
    <t>2607.200.084-000</t>
  </si>
  <si>
    <t>INTERR.1106.0/1171.0/3147.1</t>
  </si>
  <si>
    <t>2607.200.093-000</t>
  </si>
  <si>
    <t>INTERRUPTOR 1210/15/15.7</t>
  </si>
  <si>
    <t>2607.200.094-000</t>
  </si>
  <si>
    <t>INTERRUPTOR 3261 - RX 199</t>
  </si>
  <si>
    <t>2607.200.104-000</t>
  </si>
  <si>
    <t>2607.200.109-000</t>
  </si>
  <si>
    <t>INTERRUPTOR 11210.0 - DISCONT.</t>
  </si>
  <si>
    <t>2607.200.110-000</t>
  </si>
  <si>
    <t>INTERRUPTOR 11210.003 OBSOLETO</t>
  </si>
  <si>
    <t>2607.200.126-000</t>
  </si>
  <si>
    <t>INTERRUP INVER. 11210.5/1107.5 DISCONT.</t>
  </si>
  <si>
    <t>2607.200.137-000</t>
  </si>
  <si>
    <t>INTERRUPTOR 1411 - DISCONTINUAR</t>
  </si>
  <si>
    <t>2607.200.147-000</t>
  </si>
  <si>
    <t>INTERRUPTOR 0830</t>
  </si>
  <si>
    <t>2607.200.164-000</t>
  </si>
  <si>
    <t>INTERRUPTOR 3254</t>
  </si>
  <si>
    <t>2607.200.184-000</t>
  </si>
  <si>
    <t>INTERRUPTOR 3238</t>
  </si>
  <si>
    <t>2607.200.192-000</t>
  </si>
  <si>
    <t>INTERRUPTOR 3239/3258 RX 2607200261</t>
  </si>
  <si>
    <t>2607.200.193-000</t>
  </si>
  <si>
    <t>INTERRUPTOR 1593 RX 2607200367</t>
  </si>
  <si>
    <t>2607.200.196-000</t>
  </si>
  <si>
    <t>INTERRUPTOR 1925</t>
  </si>
  <si>
    <t>2607.200.199-000</t>
  </si>
  <si>
    <t>INTERRUPTOR 1924/3261 OBSOLETO</t>
  </si>
  <si>
    <t>2607.200.207-000</t>
  </si>
  <si>
    <t>INTERRUPTOR RX 184</t>
  </si>
  <si>
    <t>2607.200.209-000</t>
  </si>
  <si>
    <t>INTERRUPTOR 1479</t>
  </si>
  <si>
    <t>2607.200.218-000</t>
  </si>
  <si>
    <t>INTERRUPTOR 3281 OBSOLETO</t>
  </si>
  <si>
    <t>2607.200.238-000</t>
  </si>
  <si>
    <t>INTERRUPTOR 1192 OBSOLETO</t>
  </si>
  <si>
    <t>2607.200.245-000</t>
  </si>
  <si>
    <t>INTERRUPTOR 1385/1587</t>
  </si>
  <si>
    <t>2607.200.248-000</t>
  </si>
  <si>
    <t>2607.200.260-000</t>
  </si>
  <si>
    <t>INTERR.1135/84/1372/1293/3229/2714</t>
  </si>
  <si>
    <t>2607.200.261-000</t>
  </si>
  <si>
    <t>INTERRUPTOR 3239/3258  OBSOLETO</t>
  </si>
  <si>
    <t>2607.200.282-000</t>
  </si>
  <si>
    <t>INTERRUPTOR 3168 DISCONTINUADO</t>
  </si>
  <si>
    <t>2607.200.286-000</t>
  </si>
  <si>
    <t>INTERRUPTOR 1575.1</t>
  </si>
  <si>
    <t>2607.200.294-000</t>
  </si>
  <si>
    <t>INTERRUPTOR 2921/1921</t>
  </si>
  <si>
    <t>2607.200.302-000</t>
  </si>
  <si>
    <t>INTERRUPTOR 1921</t>
  </si>
  <si>
    <t>2607.200.309-000</t>
  </si>
  <si>
    <t>INTERRUPTOR 1937.7 OBSOLETO</t>
  </si>
  <si>
    <t>2607.200.316-000</t>
  </si>
  <si>
    <t>INTERRUPTOR 0.841.4   OBSOLETO</t>
  </si>
  <si>
    <t>2607.200.327-000</t>
  </si>
  <si>
    <t>INTERRUPTOR -REEM X 2607200351</t>
  </si>
  <si>
    <t>2607.200.328-000</t>
  </si>
  <si>
    <t>INTERRUPTOR  1936.4.6/1948.4.6</t>
  </si>
  <si>
    <t>2607.200.329-000</t>
  </si>
  <si>
    <t>INTERRUPTOR 1937.5 - DISCONTINUADO</t>
  </si>
  <si>
    <t>2607.200.338-000</t>
  </si>
  <si>
    <t>CONMUT.1187.5/6426/3246 RX F000608012</t>
  </si>
  <si>
    <t>2607.200.345-000</t>
  </si>
  <si>
    <t>INTERRUPTOR 1588.7 - DISCONTINUADO</t>
  </si>
  <si>
    <t>2607.200.351-000</t>
  </si>
  <si>
    <t>INTERR.3936/3937.7/1939/1936.6  OBSOLETO</t>
  </si>
  <si>
    <t>2607.200.353-000</t>
  </si>
  <si>
    <t>INTERRUPTOR 1949.5-6/1936.4.6/1948.4.6</t>
  </si>
  <si>
    <t>2607.200.367-000</t>
  </si>
  <si>
    <t>INTERRUPTOR 1593</t>
  </si>
  <si>
    <t>2607.200.371-000</t>
  </si>
  <si>
    <t>INTERRUPTOR  11205 RA 161</t>
  </si>
  <si>
    <t>2607.200.373-000</t>
  </si>
  <si>
    <t>INTERRUPTOR 3169.0/6843-RA266</t>
  </si>
  <si>
    <t>2607.200.376-000</t>
  </si>
  <si>
    <t>INTERR.3245/3167/9   RA271/388 DISCONTIN</t>
  </si>
  <si>
    <t>2607.200.384-000</t>
  </si>
  <si>
    <t>INTERRUPTOR  1274</t>
  </si>
  <si>
    <t>2607.200.404-000</t>
  </si>
  <si>
    <t>INTERRUPTOR 11210.5/3312/1140 - (RX209)-</t>
  </si>
  <si>
    <t>2607.200.413-000</t>
  </si>
  <si>
    <t>INTERRUPTOR  1952.2.3</t>
  </si>
  <si>
    <t>2607.200.421-000</t>
  </si>
  <si>
    <t>INTERRUPTOR  1954.4.5/1598</t>
  </si>
  <si>
    <t>2607.200.430-000</t>
  </si>
  <si>
    <t>INTERRUPTOR  3940.6 OBSOLETO</t>
  </si>
  <si>
    <t>2607.200.436-000</t>
  </si>
  <si>
    <t>INTERRUPTOR TIGER 9,6-7,2V DISCONTINUADO</t>
  </si>
  <si>
    <t>2607.200.437-000</t>
  </si>
  <si>
    <t>INTERRUPTOR  "TIGER" 12V</t>
  </si>
  <si>
    <t>2607.200.451-000</t>
  </si>
  <si>
    <t>INTERRUPTOR 1595</t>
  </si>
  <si>
    <t>2607.200.456-000</t>
  </si>
  <si>
    <t>INTERRUPTOR 1913.4</t>
  </si>
  <si>
    <t>2607.200.457-000</t>
  </si>
  <si>
    <t>INTERRUPTOR 19134HE</t>
  </si>
  <si>
    <t>2607.200.458-000</t>
  </si>
  <si>
    <t>INTERRUPTOR 1913.2</t>
  </si>
  <si>
    <t>2607.200.461-000</t>
  </si>
  <si>
    <t>INTERRUPTOR 1916</t>
  </si>
  <si>
    <t>2607.200.462-000</t>
  </si>
  <si>
    <t>INTERRUPTOR 1934</t>
  </si>
  <si>
    <t>2607.200.463-000</t>
  </si>
  <si>
    <t>INTERRUPTOR 1915.5</t>
  </si>
  <si>
    <t>2607.200.489-000</t>
  </si>
  <si>
    <t>INTERRUPTOR 1909</t>
  </si>
  <si>
    <t>2607.200.500-000</t>
  </si>
  <si>
    <t>INTERRUPTOR 1589.0</t>
  </si>
  <si>
    <t>2607.200.506-000</t>
  </si>
  <si>
    <t>INTERRUPTOR 3338/7 RX 556</t>
  </si>
  <si>
    <t>2607.200.512-000</t>
  </si>
  <si>
    <t>INTERRUPTOR 11236/39.7</t>
  </si>
  <si>
    <t>2607.200.519-000</t>
  </si>
  <si>
    <t>INTERRUPTOR 3335 RX 581</t>
  </si>
  <si>
    <t>2607.200.523-000</t>
  </si>
  <si>
    <t>INTERRUPTOR 3380.0 - DISCONTINUADO</t>
  </si>
  <si>
    <t>2607.200.526-000</t>
  </si>
  <si>
    <t>INTERRUPTOR 3368.0/129A</t>
  </si>
  <si>
    <t>2607.200.527-000</t>
  </si>
  <si>
    <t>INTERRUPTOR 3363.7 RX 2607200579000</t>
  </si>
  <si>
    <t>2607.200.531-000</t>
  </si>
  <si>
    <t>INTERRUPTOR  3365.0 /1</t>
  </si>
  <si>
    <t>2607.200.534-000</t>
  </si>
  <si>
    <t>INTERRUPTOR  1358</t>
  </si>
  <si>
    <t>2607.200.542-000</t>
  </si>
  <si>
    <t>INTERRUPOR 1148.6 RX556</t>
  </si>
  <si>
    <t>2607.200.556-000</t>
  </si>
  <si>
    <t>INTERRUPTOR 3338/7 RA 506 Y 542</t>
  </si>
  <si>
    <t>2607.200.567-000</t>
  </si>
  <si>
    <t>INTERRUPTOR  113C RX 2607.200.623-000</t>
  </si>
  <si>
    <t>2607.200.568-000</t>
  </si>
  <si>
    <t>INTERRUPTOR 1247.6</t>
  </si>
  <si>
    <t>2607.200.576-000</t>
  </si>
  <si>
    <t>INTERRUPTOR  11239.7</t>
  </si>
  <si>
    <t>2607.200.581-000</t>
  </si>
  <si>
    <t>INTERRUPTOR 3335 /1281.719 RA 519</t>
  </si>
  <si>
    <t>2607.200.584-000</t>
  </si>
  <si>
    <t>2607.200.585-000</t>
  </si>
  <si>
    <t>2607.200.590-000</t>
  </si>
  <si>
    <t>2607.200.602-000</t>
  </si>
  <si>
    <t>INTERRUPTOR 6437-8/6644522 RX2607200623</t>
  </si>
  <si>
    <t>2607.200.603-000</t>
  </si>
  <si>
    <t>INTERRUPTOR 1247.6 RX2607200624</t>
  </si>
  <si>
    <t>2607200603-001</t>
  </si>
  <si>
    <t>2607.200.603-001</t>
  </si>
  <si>
    <t>2607.200.624-000</t>
  </si>
  <si>
    <t>2607.200.632-000</t>
  </si>
  <si>
    <t>INTERRUPTOR  1070</t>
  </si>
  <si>
    <t>2607.200.637-000</t>
  </si>
  <si>
    <t>INTERRUPTOR 1980</t>
  </si>
  <si>
    <t>2607.200.644-000</t>
  </si>
  <si>
    <t>INTERRUPTOR  158E</t>
  </si>
  <si>
    <t>2607.200.648-000</t>
  </si>
  <si>
    <t>INTERRUPTOR 1218 RX 1607200270</t>
  </si>
  <si>
    <t>2607.200.660-000</t>
  </si>
  <si>
    <t>INTERRUPTOR 1509</t>
  </si>
  <si>
    <t>2607.200.669-000</t>
  </si>
  <si>
    <t>INTERRUPTOR 1513</t>
  </si>
  <si>
    <t>2607.200.670-000</t>
  </si>
  <si>
    <t>INTERRUPTOR 1E8F.0</t>
  </si>
  <si>
    <t>2607.200.674-000</t>
  </si>
  <si>
    <t>2607.200.678-000</t>
  </si>
  <si>
    <t>2607.200.686-000</t>
  </si>
  <si>
    <t>2607.200.689-000</t>
  </si>
  <si>
    <t>INTERRUPTOR 137B</t>
  </si>
  <si>
    <t>2607.200.714-000</t>
  </si>
  <si>
    <t>2607.200.715-000</t>
  </si>
  <si>
    <t>INTERRUPTOR DE SEGURIDAD</t>
  </si>
  <si>
    <t>2607.200.717-000</t>
  </si>
  <si>
    <t>2607.200.718-000</t>
  </si>
  <si>
    <t>2607.200.919-000</t>
  </si>
  <si>
    <t>INTERRUPTOR 119B.4 RA 584</t>
  </si>
  <si>
    <t>2607.200.920-000</t>
  </si>
  <si>
    <t>INTERRUPTOR 1049 RA 2610907616</t>
  </si>
  <si>
    <t>2607.202.014-000</t>
  </si>
  <si>
    <t>INTERRUPTOR 1995.4</t>
  </si>
  <si>
    <t>2607.202.015-000</t>
  </si>
  <si>
    <t>INTERRUPTOR 1995.3</t>
  </si>
  <si>
    <t>2607.202.069-000</t>
  </si>
  <si>
    <t>INTERRUPTOR 1017/19A7/1918.3</t>
  </si>
  <si>
    <t>2607.202.071-000</t>
  </si>
  <si>
    <t>2607.202.084-000</t>
  </si>
  <si>
    <t>SENALIZADOR 19A2.1</t>
  </si>
  <si>
    <t>2607.202.312-000</t>
  </si>
  <si>
    <t>2607.202.322-000</t>
  </si>
  <si>
    <t>2607.202.328-000</t>
  </si>
  <si>
    <t>2607.202.329-000</t>
  </si>
  <si>
    <t>MÓDULO ELECTRÓNICO 1JF8.0</t>
  </si>
  <si>
    <t>2607.202.355-000</t>
  </si>
  <si>
    <t>2607.202.358-000</t>
  </si>
  <si>
    <t>INTERRUPTOR 1JC6.2</t>
  </si>
  <si>
    <t>2607.202.360-000</t>
  </si>
  <si>
    <t>2607.202.377-000</t>
  </si>
  <si>
    <t>INTERRUPTOR 19G9/19H5</t>
  </si>
  <si>
    <t>2607.202.381-000</t>
  </si>
  <si>
    <t>2607.202.385-000</t>
  </si>
  <si>
    <t>INTERRUPTOR 19G8.1/19G8.0 Rx 2607202520</t>
  </si>
  <si>
    <t>2607.202.386-000</t>
  </si>
  <si>
    <t>Intrruptor Plano</t>
  </si>
  <si>
    <t>2607.202.394-000</t>
  </si>
  <si>
    <t>2607.202.399-000</t>
  </si>
  <si>
    <t>2607.202.501-000</t>
  </si>
  <si>
    <t>2607.202.509-000</t>
  </si>
  <si>
    <t>2607.202.510-000</t>
  </si>
  <si>
    <t>2607.202.753-000</t>
  </si>
  <si>
    <t>2607.202.902-000</t>
  </si>
  <si>
    <t>2607.224.440-000</t>
  </si>
  <si>
    <t>CARG DE BATERIA AL1419DV60MIN 7,2A14,4 V</t>
  </si>
  <si>
    <t>2607.224.701-000</t>
  </si>
  <si>
    <t>CARGADOR AL1450DV RX 2607225027</t>
  </si>
  <si>
    <t>2607.225.027-000</t>
  </si>
  <si>
    <t>CARGADOR AL1450DV RA 2607224701</t>
  </si>
  <si>
    <t>2607.225.123-000</t>
  </si>
  <si>
    <t>CARGADOR BATERIAS 2336</t>
  </si>
  <si>
    <t>2607.225.317-000</t>
  </si>
  <si>
    <t>CARGADOR AL 1411</t>
  </si>
  <si>
    <t>2607.225.323-000</t>
  </si>
  <si>
    <t>CARGADOR 1860 LI</t>
  </si>
  <si>
    <t>2607.225.493-000</t>
  </si>
  <si>
    <t>CARGADOR RAPIDO AL 2450 DV</t>
  </si>
  <si>
    <t>2607.225.513-000</t>
  </si>
  <si>
    <t>CARGADOR  3,6-10,8V LI (AL1115CV)</t>
  </si>
  <si>
    <t>2607.225.533-000</t>
  </si>
  <si>
    <t>CARG. 3,6-10,8V LI (AL1115CV) 19F6/1JF30</t>
  </si>
  <si>
    <t>2607.225.575-000</t>
  </si>
  <si>
    <t>CARGADOR 2144 230V/14,4-18V/1H</t>
  </si>
  <si>
    <t>2607.225.697-000</t>
  </si>
  <si>
    <t>CARGADOR 2144</t>
  </si>
  <si>
    <t>2607.225.705-000</t>
  </si>
  <si>
    <t>CARGADOR 2702</t>
  </si>
  <si>
    <t>2607.225.711-000</t>
  </si>
  <si>
    <t>CARGADOR RAPIDO AL 1130 CV</t>
  </si>
  <si>
    <t>2607.225.751-000</t>
  </si>
  <si>
    <t>CARGADOR 2412</t>
  </si>
  <si>
    <t>2607.225.783-000</t>
  </si>
  <si>
    <t>CARGADOR AR 230/10,8-18V 30 RX2607226299</t>
  </si>
  <si>
    <t>2607.226.089-000</t>
  </si>
  <si>
    <t>CARGADOR RAPIDO 115 CV 220V/3,6-10,8V BI</t>
  </si>
  <si>
    <t>2607.226.187-000</t>
  </si>
  <si>
    <t>CARGADOR 12 V</t>
  </si>
  <si>
    <t>2607.226.201-000</t>
  </si>
  <si>
    <t>Cargador Rapido 12V-20</t>
  </si>
  <si>
    <t>2607.230.011-000</t>
  </si>
  <si>
    <t>PLACA REGULADORA</t>
  </si>
  <si>
    <t>2607.230.013-000</t>
  </si>
  <si>
    <t>REGULADOR ELECTRONICO 1215.7 DISCONT</t>
  </si>
  <si>
    <t>2607.230.018-000</t>
  </si>
  <si>
    <t>UNIDAD DE MANDO 3168</t>
  </si>
  <si>
    <t>2607.230.025-000</t>
  </si>
  <si>
    <t>UNID. DE COMANDO 0.841.4</t>
  </si>
  <si>
    <t>2607.230.039-000</t>
  </si>
  <si>
    <t>PLACA CONEXION 3316    OBSOLETO</t>
  </si>
  <si>
    <t>2607.230.042-000</t>
  </si>
  <si>
    <t>REGULADOR ELECTRONICO 1588.7 OBSOLETO</t>
  </si>
  <si>
    <t>2607.230.044-000</t>
  </si>
  <si>
    <t>REGULADOR ELECTRONICO 1589.7</t>
  </si>
  <si>
    <t>2607.230.082-000</t>
  </si>
  <si>
    <t>REGULADOR DE VELOCIDAD 1510</t>
  </si>
  <si>
    <t>2607.230.086-000</t>
  </si>
  <si>
    <t>ACTUADOR VELOCIDAD  119B</t>
  </si>
  <si>
    <t>2607.230.119-000</t>
  </si>
  <si>
    <t>REGULADOR VELOCIDAD 1372 RA2609994926</t>
  </si>
  <si>
    <t>2607.230.121-000</t>
  </si>
  <si>
    <t>INTERRUPTOR 1994</t>
  </si>
  <si>
    <t>2607.230.126-000</t>
  </si>
  <si>
    <t>MODULO ELECTRONICO 1513 RX 1607.233.560</t>
  </si>
  <si>
    <t>2607.233.017-000</t>
  </si>
  <si>
    <t>PLAQUETA ELECTRONICA 3307 OBSOLETO</t>
  </si>
  <si>
    <t>2607.233.019-000</t>
  </si>
  <si>
    <t>REG.ELECT. VELOC.22 RX 2607230119000</t>
  </si>
  <si>
    <t>2607.233.025-000</t>
  </si>
  <si>
    <t>REGULADOR ELECTRONICO 3346 DISCONT</t>
  </si>
  <si>
    <t>2607.233.029-000</t>
  </si>
  <si>
    <t>REGULADOR ELECTRONICO 3327.7</t>
  </si>
  <si>
    <t>2607.233.052-000</t>
  </si>
  <si>
    <t>REGUL.ELECTR.  RA200217 DISCONT</t>
  </si>
  <si>
    <t>2607.233.064-000</t>
  </si>
  <si>
    <t>REGULADOR DE VELOCIDAD 159A</t>
  </si>
  <si>
    <t>2607.233.071-000</t>
  </si>
  <si>
    <t>REGULADOR DE VELOCIDAD  158E</t>
  </si>
  <si>
    <t>2607.233.073-000</t>
  </si>
  <si>
    <t>MODULO ELECTRONICO 1992 OBSOLETO</t>
  </si>
  <si>
    <t>2607.235.007-000</t>
  </si>
  <si>
    <t>INTERRUPTOR 0842.5-6 - DISCONTINUADO</t>
  </si>
  <si>
    <t>2607.235.008-000</t>
  </si>
  <si>
    <t>INTERRUPTOR 0843.0</t>
  </si>
  <si>
    <t>2607.329.056-000</t>
  </si>
  <si>
    <t>CONDENSADOR 3261</t>
  </si>
  <si>
    <t>2607.329.114-000</t>
  </si>
  <si>
    <t>CONDENSADOR ANTIPARASIT. 1423/1420</t>
  </si>
  <si>
    <t>2607.329.117-000</t>
  </si>
  <si>
    <t>CONDENSADOR 3261.1</t>
  </si>
  <si>
    <t>2607.329.118-000</t>
  </si>
  <si>
    <t>CONDENS.ANTIPARASIT. 1210</t>
  </si>
  <si>
    <t>2607.329.124-000</t>
  </si>
  <si>
    <t>CONDENSAD.ANTIPARASIT. 1215.7</t>
  </si>
  <si>
    <t>2607.329.138-000</t>
  </si>
  <si>
    <t>CONDENSADOR ANTIPARAS.3364</t>
  </si>
  <si>
    <t>2607.329.148-000</t>
  </si>
  <si>
    <t>CONDENSADOR ANTIPARASIT.159A</t>
  </si>
  <si>
    <t>2607.329.150-000</t>
  </si>
  <si>
    <t>CONDENSADOR ANTIPARASIT. 1049 RX 2607200</t>
  </si>
  <si>
    <t>2607.329.151-000</t>
  </si>
  <si>
    <t>CONDENSADOR 1440/41/45</t>
  </si>
  <si>
    <t>2607.335.373-000</t>
  </si>
  <si>
    <t>BATERÍA 9,6 V - 1,7 AH</t>
  </si>
  <si>
    <t>2607.335.375-000</t>
  </si>
  <si>
    <t>BATERÍA 12 V - 2,4 AH</t>
  </si>
  <si>
    <t>2607.335.437-000</t>
  </si>
  <si>
    <t>BATERIA O'PACK 7,2 V  1,2 AH</t>
  </si>
  <si>
    <t>2607.335.445-000</t>
  </si>
  <si>
    <t>Bateria O'Pack 24 V Rx 562</t>
  </si>
  <si>
    <t>2607.335.534-000</t>
  </si>
  <si>
    <t>Bateria O'pack 14,4V - 1,5Ah</t>
  </si>
  <si>
    <t>2607.335.540-000</t>
  </si>
  <si>
    <t>Bateria O'Pack 9,6V - 1,5Ah</t>
  </si>
  <si>
    <t>2607.335.565-000</t>
  </si>
  <si>
    <t>BATERÍA 2702 1,2 AH OBSOLETO</t>
  </si>
  <si>
    <t>2607335655-001</t>
  </si>
  <si>
    <t>2607.335.655-001</t>
  </si>
  <si>
    <t>BATERIA 14,4 V. 2,4 AH EXACT RA -000</t>
  </si>
  <si>
    <t>2607.335.707-000</t>
  </si>
  <si>
    <t>BATERIA NI-CD 9,6 V.</t>
  </si>
  <si>
    <t>2607.335.713-000</t>
  </si>
  <si>
    <t>BATERIA NI-MH 18 V.</t>
  </si>
  <si>
    <t>2607.335.877-000</t>
  </si>
  <si>
    <t>BATERÍA 9,6 V - 1,8 AH NICD</t>
  </si>
  <si>
    <t>2607.336.013-000</t>
  </si>
  <si>
    <t>BATERIA 1992</t>
  </si>
  <si>
    <t>2607.336.027-000</t>
  </si>
  <si>
    <t>BATERIA LI-ON10.8V (OXI)  RX260733711300</t>
  </si>
  <si>
    <t>2607.336.091-000</t>
  </si>
  <si>
    <t>ACUMULADOR 18V, 2,6AH, LI RX 2607336815</t>
  </si>
  <si>
    <t>2607.336.149-000</t>
  </si>
  <si>
    <t>BATERIA 14.4V/1.3AH LI-ION RX 1607A350B9</t>
  </si>
  <si>
    <t>2607.336.261-000</t>
  </si>
  <si>
    <t>BATERÍA 14,4V LI-ION 2144</t>
  </si>
  <si>
    <t>2607.336.331-000</t>
  </si>
  <si>
    <t>BATERIA 2412 SKIL</t>
  </si>
  <si>
    <t>2607.336.599-000</t>
  </si>
  <si>
    <t>BATERÍA 10,8V RX 2607.336.795-000</t>
  </si>
  <si>
    <t>2607.336.607-000</t>
  </si>
  <si>
    <t>BATERIA 4,4V 1,3AH, LI, ALPHA 18720MWH</t>
  </si>
  <si>
    <t>2607.336.675-000</t>
  </si>
  <si>
    <t>BATERÍA 2702 1,5 AH</t>
  </si>
  <si>
    <t>2607.336.773-000</t>
  </si>
  <si>
    <t>BATERÍA 8050 10,8V 1,5AH Rx1607A350H7</t>
  </si>
  <si>
    <t>2607.336.795-000</t>
  </si>
  <si>
    <t>BATERÍA 10,8V RA 599</t>
  </si>
  <si>
    <t>2607.336.813-000</t>
  </si>
  <si>
    <t>Kit de acumulador insertable</t>
  </si>
  <si>
    <t>2607.336.815-000</t>
  </si>
  <si>
    <t>BATERIA 19F1 18V,4AH, LI</t>
  </si>
  <si>
    <t>2607.336.879-000</t>
  </si>
  <si>
    <t>Bloque De Acumuladores</t>
  </si>
  <si>
    <t>2607.336.905-000</t>
  </si>
  <si>
    <t>BATERIA 18V / 2,0AH LITIO =1607.A35.0BG</t>
  </si>
  <si>
    <t>2607.337.069-000</t>
  </si>
  <si>
    <t>BLOQUE DE ACUMULADORES 18V 5,0 AH 1JD8</t>
  </si>
  <si>
    <t>2607.337.113-000</t>
  </si>
  <si>
    <t>BATERIA 12V / 1,5AH LI-ION</t>
  </si>
  <si>
    <t>2607.337.115-000</t>
  </si>
  <si>
    <t>BATERIA 12V 1,5 AH  GSR 1200 LI</t>
  </si>
  <si>
    <t>2607.337.237-000</t>
  </si>
  <si>
    <t>BATERÍA  GBA 10.8V 2,5AH O-B (BNA) (SCM)</t>
  </si>
  <si>
    <t>2607.337.263-000</t>
  </si>
  <si>
    <t>BATERIA 18V,6AH LI</t>
  </si>
  <si>
    <t>2607.950.004-000</t>
  </si>
  <si>
    <t>TAPON ROSCADO  7450.5</t>
  </si>
  <si>
    <t>2607.950.007-000</t>
  </si>
  <si>
    <t>LLAVE DE PORTABROCAS SG2 1D73</t>
  </si>
  <si>
    <t>2607.950.021-000</t>
  </si>
  <si>
    <t>2607.950.022-000</t>
  </si>
  <si>
    <t>LLAVE ESPIGAS FRONTALES 2242/43</t>
  </si>
  <si>
    <t>2607.950.025-000</t>
  </si>
  <si>
    <t>DESTORNILL.HEXAG.INTERIOR 1EA4.3</t>
  </si>
  <si>
    <t>2607.990.159-000</t>
  </si>
  <si>
    <t>PALANCA DE EYECCION</t>
  </si>
  <si>
    <t>2608.000.012-000</t>
  </si>
  <si>
    <t>CORREDERA DE AJUSTE 3272.0</t>
  </si>
  <si>
    <t>2608.000.074-000</t>
  </si>
  <si>
    <t>PLACA BASE (3281)</t>
  </si>
  <si>
    <t>2608.000.126-000</t>
  </si>
  <si>
    <t>BASE 1288 RA2602388005</t>
  </si>
  <si>
    <t>2608.000.133-000</t>
  </si>
  <si>
    <t>CORREDERA DE AJUSTE 3272</t>
  </si>
  <si>
    <t>2608.000.144-000</t>
  </si>
  <si>
    <t>2608.000.167-000</t>
  </si>
  <si>
    <t>PLACA VIBRADORA 1293 RX - 2.608.000.928</t>
  </si>
  <si>
    <t>2608.000.168-000</t>
  </si>
  <si>
    <t>BASE 1293</t>
  </si>
  <si>
    <t>2608.000.173-000</t>
  </si>
  <si>
    <t>CORREDERA DE ACOPLE 3346</t>
  </si>
  <si>
    <t>2608.000.174-000</t>
  </si>
  <si>
    <t>PLACA LIJADORA 3346</t>
  </si>
  <si>
    <t>2608.000.184-000</t>
  </si>
  <si>
    <t>BASE PLASTICA 1588.7/1589.0/1598</t>
  </si>
  <si>
    <t>2608.000.194-000</t>
  </si>
  <si>
    <t>Wedge</t>
  </si>
  <si>
    <t>2608.000.221-000</t>
  </si>
  <si>
    <t>CABEZAL LIJADORA 3327.7</t>
  </si>
  <si>
    <t>2608.000.224-000</t>
  </si>
  <si>
    <t>CORREDERA  3365.0 (DISCONTINUADO)</t>
  </si>
  <si>
    <t>2608.000.225-000</t>
  </si>
  <si>
    <t>PLACA DE BASE 1C58.1</t>
  </si>
  <si>
    <t>2608.000.230-000</t>
  </si>
  <si>
    <t>PLACA LIJADORA 3368.0 OBSOLETO</t>
  </si>
  <si>
    <t>2608.000.238-000</t>
  </si>
  <si>
    <t>PLACA LIJADORA 129A OBSOLETO</t>
  </si>
  <si>
    <t>2608.000.239-000</t>
  </si>
  <si>
    <t>PLACA BASE 3363.7</t>
  </si>
  <si>
    <t>2608.000.279-000</t>
  </si>
  <si>
    <t>BASTIDOR 3365.0 RX 921</t>
  </si>
  <si>
    <t>2608.000.299-000</t>
  </si>
  <si>
    <t>CORREDERA DE AJUSTE 1C58.1</t>
  </si>
  <si>
    <t>2608.000.305-000</t>
  </si>
  <si>
    <t>PLACA DE BASE 1510</t>
  </si>
  <si>
    <t>2608.000.309-000</t>
  </si>
  <si>
    <t>PATIN 1510</t>
  </si>
  <si>
    <t>2608.000.313-000</t>
  </si>
  <si>
    <t>PORTALLAVE 1598</t>
  </si>
  <si>
    <t>2608.000.314-000</t>
  </si>
  <si>
    <t>BASTIDOR 3365.1</t>
  </si>
  <si>
    <t>2608.000.319-000</t>
  </si>
  <si>
    <t>BASTIDOR DE FONDO VERDE 1C58.1</t>
  </si>
  <si>
    <t>2608.000.900-000</t>
  </si>
  <si>
    <t>BASE 1288</t>
  </si>
  <si>
    <t>2608.000.901-000</t>
  </si>
  <si>
    <t>BASE 1924</t>
  </si>
  <si>
    <t>2608.000.902-000</t>
  </si>
  <si>
    <t>PLACA DE BASE 3261</t>
  </si>
  <si>
    <t>2608.000.903-000</t>
  </si>
  <si>
    <t>PLACA VIBRADORA 1288 OBSOLETO</t>
  </si>
  <si>
    <t>2608.000.910-000</t>
  </si>
  <si>
    <t>PLACA VIBRADORA 3289  DISCONTINUADO</t>
  </si>
  <si>
    <t>2608.000.917-000</t>
  </si>
  <si>
    <t>PLACA BASE 1588.7/1589.0 OBSOLETO</t>
  </si>
  <si>
    <t>2608.000.920-000</t>
  </si>
  <si>
    <t>PLACA BASE 1588/89/1598</t>
  </si>
  <si>
    <t>2608.000.921-000</t>
  </si>
  <si>
    <t>BASTIDOR 3365.0 RA 279</t>
  </si>
  <si>
    <t>2608.000.928-000</t>
  </si>
  <si>
    <t>PLACA VIBRADORA 1293 RA 2608000167</t>
  </si>
  <si>
    <t>2608.001.006-000</t>
  </si>
  <si>
    <t>CORREDERA DE CONTACTO 3293</t>
  </si>
  <si>
    <t>2608.001.010-000</t>
  </si>
  <si>
    <t>EMPUNADURA INTERRUPTOR NEGRO 1575.1</t>
  </si>
  <si>
    <t>2608.001.011-000</t>
  </si>
  <si>
    <t>PALANCA ACCIONAMIENTO 0841.4 OBSOLETO</t>
  </si>
  <si>
    <t>2608.001.012-000</t>
  </si>
  <si>
    <t>BALANCION INTERRUPTOR 3293</t>
  </si>
  <si>
    <t>2608.005.014-000</t>
  </si>
  <si>
    <t>PLACA 3261</t>
  </si>
  <si>
    <t>2608.005.015-000</t>
  </si>
  <si>
    <t>SOPORTE DE TOPE 1EA4.3/1E94.3</t>
  </si>
  <si>
    <t>2608.005.019-000</t>
  </si>
  <si>
    <t>SOPORTES PLASTICOS 1924</t>
  </si>
  <si>
    <t>2608.005.020-000</t>
  </si>
  <si>
    <t>ESTRIBO DE TIRADA 3265</t>
  </si>
  <si>
    <t>2608.005.043-000</t>
  </si>
  <si>
    <t>CHAVETA 3298</t>
  </si>
  <si>
    <t>2608.005.046-000</t>
  </si>
  <si>
    <t>TUERCA DE APRIETE 1937.7</t>
  </si>
  <si>
    <t>2608.005.902-000</t>
  </si>
  <si>
    <t>SOPORTES 1293</t>
  </si>
  <si>
    <t>2608.012.002-000</t>
  </si>
  <si>
    <t>CONTRAPESO 3281</t>
  </si>
  <si>
    <t>2608.012.009-000</t>
  </si>
  <si>
    <t>CONTRAPESO 3363.7</t>
  </si>
  <si>
    <t>2608.018.000-000</t>
  </si>
  <si>
    <t>2608.018.001-000</t>
  </si>
  <si>
    <t>2608.018.002-000</t>
  </si>
  <si>
    <t>PALANCA 0831/2/3231</t>
  </si>
  <si>
    <t>2608.040.027-000</t>
  </si>
  <si>
    <t>LISTON DE PRESION 3258</t>
  </si>
  <si>
    <t>2608.040.039-000</t>
  </si>
  <si>
    <t>PRENSA CUCHILLA 1593</t>
  </si>
  <si>
    <t>2608.040.061-000</t>
  </si>
  <si>
    <t>MANDO GIRATORIO 3293</t>
  </si>
  <si>
    <t>2608.040.070-000</t>
  </si>
  <si>
    <t>PALANCA 1587             RA059</t>
  </si>
  <si>
    <t>2608.040.072-000</t>
  </si>
  <si>
    <t>SOPORTE 1936.4-6 OBSOLETO</t>
  </si>
  <si>
    <t>2608.040.076-000</t>
  </si>
  <si>
    <t>MANGUITO DE OPERAC.0841</t>
  </si>
  <si>
    <t>2608.040.079-000</t>
  </si>
  <si>
    <t>SOPORTE 3937/1949</t>
  </si>
  <si>
    <t>2608.040.109-000</t>
  </si>
  <si>
    <t>TAPA EMPU¥ADURA 3338/1148.6</t>
  </si>
  <si>
    <t>2608.040.120-000</t>
  </si>
  <si>
    <t>2608.040.131-000</t>
  </si>
  <si>
    <t>SOPORTE 1948.4-6</t>
  </si>
  <si>
    <t>2608.040.154-000</t>
  </si>
  <si>
    <t>CACHA 3941.5</t>
  </si>
  <si>
    <t>2608.040.157-000</t>
  </si>
  <si>
    <t>CACHA  3941.5</t>
  </si>
  <si>
    <t>2608.040.176-000</t>
  </si>
  <si>
    <t>SOPORTE PRESOR 11250.7/56.2</t>
  </si>
  <si>
    <t>2608.040.185-000</t>
  </si>
  <si>
    <t>SPACER</t>
  </si>
  <si>
    <t>2608.040.190-000</t>
  </si>
  <si>
    <t>SOPORTE 1913.4</t>
  </si>
  <si>
    <t>2608.040.204-000</t>
  </si>
  <si>
    <t>CACHA 1598</t>
  </si>
  <si>
    <t>2608.040.273-000</t>
  </si>
  <si>
    <t>SUPORTE DE ACO OBSOLETO</t>
  </si>
  <si>
    <t>2608.042.000-000</t>
  </si>
  <si>
    <t>PIE DE CORTE 1500</t>
  </si>
  <si>
    <t>2608.042.003-000</t>
  </si>
  <si>
    <t>2608.042.013-000</t>
  </si>
  <si>
    <t>PORTACUCHILLAS</t>
  </si>
  <si>
    <t>2608.042.054-000</t>
  </si>
  <si>
    <t>PUERTAS LAMINADAS</t>
  </si>
  <si>
    <t>2608.045.004-000</t>
  </si>
  <si>
    <t>2608.110.803-000</t>
  </si>
  <si>
    <t>DISPOSITIVO EXTRACTOR DE RODAMIENTOS</t>
  </si>
  <si>
    <t>2608.135.901-000</t>
  </si>
  <si>
    <t>RODILLO GUIA 11210/3230/3229.2</t>
  </si>
  <si>
    <t>2608.300.008-000</t>
  </si>
  <si>
    <t>PLACA ELECTR. 3298 OBSOLETO</t>
  </si>
  <si>
    <t>2608.570.009-000</t>
  </si>
  <si>
    <t>PINZAS DE SUJECION</t>
  </si>
  <si>
    <t>2608.570.014-000</t>
  </si>
  <si>
    <t>2608.570.079-000</t>
  </si>
  <si>
    <t>PINZA DE SUJECION 6MM 1215</t>
  </si>
  <si>
    <t>2608.570.118-000</t>
  </si>
  <si>
    <t>PINZAS DE SUJECCION 6MM 2207/8/9/10</t>
  </si>
  <si>
    <t>2608.570.129-000</t>
  </si>
  <si>
    <t>PINZAS DE SUJECION 6MM</t>
  </si>
  <si>
    <t>2608.571.076-000</t>
  </si>
  <si>
    <t>MANDRIL PORTABROCAS 1B28</t>
  </si>
  <si>
    <t>2608.572.143-000</t>
  </si>
  <si>
    <t>MANDRIL RÁPIDO 1/2"(13 MM) GSB 21-2RCT</t>
  </si>
  <si>
    <t>2608.572.251-000</t>
  </si>
  <si>
    <t>MANDRIL RÁPIDO 1/2"(13MM)CORDLESS 18V-LI</t>
  </si>
  <si>
    <t>2608.572.900-000</t>
  </si>
  <si>
    <t>MANDRIL RAPIDO 1913.2/4HE</t>
  </si>
  <si>
    <t>2608.572.901-000</t>
  </si>
  <si>
    <t>2608.584.002-000</t>
  </si>
  <si>
    <t>RODILLO 3272 - DISCONTINUADO</t>
  </si>
  <si>
    <t>2608.584.003-000</t>
  </si>
  <si>
    <t>CABEZAL DE ACEPILLAR 1C58.1</t>
  </si>
  <si>
    <t>2608.584.683-000</t>
  </si>
  <si>
    <t>CABEZAL DE ACEPILLAR 159A</t>
  </si>
  <si>
    <t>2608.601.902-000</t>
  </si>
  <si>
    <t>PEX 12 AE</t>
  </si>
  <si>
    <t>2608.614.075-000</t>
  </si>
  <si>
    <t>Plato De Goma</t>
  </si>
  <si>
    <t>2608.635.341-000</t>
  </si>
  <si>
    <t>CUCHILLA ACEPILLADORA 1E94.3</t>
  </si>
  <si>
    <t>2608.656.545-000</t>
  </si>
  <si>
    <t>(COD. ERRONEO) PLACA APOYO LIJA 1276</t>
  </si>
  <si>
    <t>2608.670.712-000</t>
  </si>
  <si>
    <t>ANILLO 11250.7/53 RA 1610290081</t>
  </si>
  <si>
    <t>2608.670.729-000</t>
  </si>
  <si>
    <t>PORTAHERRAMIENTA 11250.7 RA 1616490068</t>
  </si>
  <si>
    <t>2608.710.001-000</t>
  </si>
  <si>
    <t>2608.710.004-000</t>
  </si>
  <si>
    <t>PERCUTOR 1432</t>
  </si>
  <si>
    <t>2609.000.034-000</t>
  </si>
  <si>
    <t>RESORTE RX F000620012</t>
  </si>
  <si>
    <t>2609.000.043-000</t>
  </si>
  <si>
    <t>2609.000.044-000</t>
  </si>
  <si>
    <t>PERNO 9230</t>
  </si>
  <si>
    <t>2609.000.049-000</t>
  </si>
  <si>
    <t>RESORTE 9230</t>
  </si>
  <si>
    <t>2609.000.295-000</t>
  </si>
  <si>
    <t>TORNILLO 1858/1230</t>
  </si>
  <si>
    <t>2609.000.434-000</t>
  </si>
  <si>
    <t>LETRERO DE AVISO 129A</t>
  </si>
  <si>
    <t>2609.000.812-000</t>
  </si>
  <si>
    <t>POLEA 7610/20/30</t>
  </si>
  <si>
    <t>2609.001.139-000</t>
  </si>
  <si>
    <t>Tornillo de cabeza Abaul.</t>
  </si>
  <si>
    <t>2609.001.621-000</t>
  </si>
  <si>
    <t>PLATO PORTAESCOBILLAS 1E8F.0</t>
  </si>
  <si>
    <t>2609.001.930-000</t>
  </si>
  <si>
    <t>BRAZO DE COJINETE  158E</t>
  </si>
  <si>
    <t>2609.001.931-000</t>
  </si>
  <si>
    <t>RUEDA DENTADA EXCENTRICA 158E/158J</t>
  </si>
  <si>
    <t>2609.002.725-000</t>
  </si>
  <si>
    <t>CLAVIJA CILINDRICA 1E8J.3</t>
  </si>
  <si>
    <t>2609.003.491-000</t>
  </si>
  <si>
    <t>2609.003.970-000</t>
  </si>
  <si>
    <t>DC motor</t>
  </si>
  <si>
    <t>2609.004.274-000</t>
  </si>
  <si>
    <t>2609.004.706-000</t>
  </si>
  <si>
    <t>2609.007.156-000</t>
  </si>
  <si>
    <t>2609.100.022-000</t>
  </si>
  <si>
    <t>CACHA AZUL 1E94.3</t>
  </si>
  <si>
    <t>2609.100.023-000</t>
  </si>
  <si>
    <t>TAPA ESCOBILLAS AZUL 1E94.3</t>
  </si>
  <si>
    <t>2609.100.024-000</t>
  </si>
  <si>
    <t>TAPA DEL ENGRANAJE 1E94.3</t>
  </si>
  <si>
    <t>2609.100.028-000</t>
  </si>
  <si>
    <t>ARO DEFLECTOR DE AIRE 1EA4.3/1E94.3</t>
  </si>
  <si>
    <t>2609.100.040-000</t>
  </si>
  <si>
    <t>CARCASA TIGER 12V</t>
  </si>
  <si>
    <t>2609.100.044-000</t>
  </si>
  <si>
    <t>CACHA  TIGER 12-9,6-7,2V</t>
  </si>
  <si>
    <t>2609.100.048-000</t>
  </si>
  <si>
    <t>LEVA DE CAMBIO TIGER 7,2-9,6-12V</t>
  </si>
  <si>
    <t>2609.100.087-000</t>
  </si>
  <si>
    <t>2609.100.088-000</t>
  </si>
  <si>
    <t>Proteccion De Cuchillas</t>
  </si>
  <si>
    <t>2609.100.120-000</t>
  </si>
  <si>
    <t>CARCASA  TIGER 7,2V</t>
  </si>
  <si>
    <t>2609.100.140-000</t>
  </si>
  <si>
    <t>CAPERUZA EMPUNADURA 1E94.3</t>
  </si>
  <si>
    <t>2609.100.141-000</t>
  </si>
  <si>
    <t>CARCASA DEL MOTOR  1594</t>
  </si>
  <si>
    <t>2609.100.148-000</t>
  </si>
  <si>
    <t>Tubo Deflector</t>
  </si>
  <si>
    <t>2609.100.186-000</t>
  </si>
  <si>
    <t>BOTON GIRATORIO 1E94.3</t>
  </si>
  <si>
    <t>2609.100.203-000</t>
  </si>
  <si>
    <t>TAPA ESCOBILLAS GKF 600</t>
  </si>
  <si>
    <t>2609.100.222-000</t>
  </si>
  <si>
    <t>CARCASA 160A/.1 RA 2609100222</t>
  </si>
  <si>
    <t>2609.100.242-000</t>
  </si>
  <si>
    <t>PLACA BASE DE ALUMINIO RX 2610008124000</t>
  </si>
  <si>
    <t>2609.100.246-000</t>
  </si>
  <si>
    <t>VENTOINHA</t>
  </si>
  <si>
    <t>2609.100.247-000</t>
  </si>
  <si>
    <t>DEFLETOR</t>
  </si>
  <si>
    <t>2609.100.248-000</t>
  </si>
  <si>
    <t>2609.100.270-000</t>
  </si>
  <si>
    <t>CARCASA 1909</t>
  </si>
  <si>
    <t>2609.100.273-000</t>
  </si>
  <si>
    <t>TECLA 1909</t>
  </si>
  <si>
    <t>2609.100.297-000</t>
  </si>
  <si>
    <t>PORTACONTACTOS 1909</t>
  </si>
  <si>
    <t>2609.100.301-000</t>
  </si>
  <si>
    <t>CORREA DE PEDAL</t>
  </si>
  <si>
    <t>2609.100.375-000</t>
  </si>
  <si>
    <t>CARCASA 1918J RX 2609.100.625-000</t>
  </si>
  <si>
    <t>2609.100.376-000</t>
  </si>
  <si>
    <t>CARCASA 1918G RX 2609100626</t>
  </si>
  <si>
    <t>2609.100.377-000</t>
  </si>
  <si>
    <t>CORREDERA DE AJUSTE  1918G/J/L RX 744</t>
  </si>
  <si>
    <t>2609.100.381-000</t>
  </si>
  <si>
    <t>SUPORTE DE ACO</t>
  </si>
  <si>
    <t>2609.100.382-000</t>
  </si>
  <si>
    <t>CONDUCTOR DE LUZ 19A2.0</t>
  </si>
  <si>
    <t>2609.100.383-000</t>
  </si>
  <si>
    <t>PLACA BASE DE ALUMINIO</t>
  </si>
  <si>
    <t>2609.100.384-000</t>
  </si>
  <si>
    <t>CAMARA COLECTORA DE POLVO</t>
  </si>
  <si>
    <t>2609.100.385-000</t>
  </si>
  <si>
    <t>CLARABÓIA DE ESCAPE DE AR</t>
  </si>
  <si>
    <t>2609.100.386-000</t>
  </si>
  <si>
    <t>TAMPA PROTETORA</t>
  </si>
  <si>
    <t>2609.100.395-000</t>
  </si>
  <si>
    <t>CARCASA 1K70.7</t>
  </si>
  <si>
    <t>2609.100.398-000</t>
  </si>
  <si>
    <t>PIERNA BATIENTE 1K70.7</t>
  </si>
  <si>
    <t>2609.100.410-000</t>
  </si>
  <si>
    <t>CORREA DENTADA  1594/1594.3</t>
  </si>
  <si>
    <t>2609.100.415-000</t>
  </si>
  <si>
    <t>CONMUTADOR 1218</t>
  </si>
  <si>
    <t>2609.100.417-000</t>
  </si>
  <si>
    <t>CONMUTADOR 1218/113D</t>
  </si>
  <si>
    <t>2609.100.423-000</t>
  </si>
  <si>
    <t>MACANETA</t>
  </si>
  <si>
    <t>2609.100.454-000</t>
  </si>
  <si>
    <t>Placa de acoplamiento</t>
  </si>
  <si>
    <t>2609.100.455-000</t>
  </si>
  <si>
    <t>EMPUNADURA DE INTERRUPTOR 1C60.U</t>
  </si>
  <si>
    <t>2609.100.456-000</t>
  </si>
  <si>
    <t>PALANCA DE INVERSION 1C60.U</t>
  </si>
  <si>
    <t>2609.100.457-000</t>
  </si>
  <si>
    <t>2609.100.458-000</t>
  </si>
  <si>
    <t>PALANCA DE EMBRAGUE 1C60.U</t>
  </si>
  <si>
    <t>2609.100.502-000</t>
  </si>
  <si>
    <t>CARCASA 1995.4</t>
  </si>
  <si>
    <t>2609.100.503-000</t>
  </si>
  <si>
    <t>CARCASA 1995.3</t>
  </si>
  <si>
    <t>2609.100.504-000</t>
  </si>
  <si>
    <t>PALANCA DE REENVIO 1995</t>
  </si>
  <si>
    <t>2609.100.538-000</t>
  </si>
  <si>
    <t>TAPA DEL CUERPO 1C87.5</t>
  </si>
  <si>
    <t>2609.100.539-000</t>
  </si>
  <si>
    <t>2609.100.541-000</t>
  </si>
  <si>
    <t>PLATO DE GOMA 1387 Rx 1600A01CU1</t>
  </si>
  <si>
    <t>2609.100.542-000</t>
  </si>
  <si>
    <t>BRIDA DE COJINETE 1387 RX 2609100862000</t>
  </si>
  <si>
    <t>2609.100.544-000</t>
  </si>
  <si>
    <t>2609.100.545-000</t>
  </si>
  <si>
    <t>CONVERSOR</t>
  </si>
  <si>
    <t>2609.100.546-000</t>
  </si>
  <si>
    <t>2609.100.568-000</t>
  </si>
  <si>
    <t>PARAFUSO CABECA ESTRIADA</t>
  </si>
  <si>
    <t>2609.100.580-000</t>
  </si>
  <si>
    <t>2609.100.618-000</t>
  </si>
  <si>
    <t>INTERRUPTOR DE INVERSION 1D73</t>
  </si>
  <si>
    <t>2609.100.625-000</t>
  </si>
  <si>
    <t>CARCASA 1918J RA 375</t>
  </si>
  <si>
    <t>2609.100.626-000</t>
  </si>
  <si>
    <t>CARCASA 1918G RA 2609100376</t>
  </si>
  <si>
    <t>2609.100.633-000</t>
  </si>
  <si>
    <t>APA PROTECTORA 1387</t>
  </si>
  <si>
    <t>2609.100.649-000</t>
  </si>
  <si>
    <t>CARCASA 1858</t>
  </si>
  <si>
    <t>2609.100.650-000</t>
  </si>
  <si>
    <t>2609.100.651-000</t>
  </si>
  <si>
    <t>CABEZAL 1858</t>
  </si>
  <si>
    <t>2609.100.661-000</t>
  </si>
  <si>
    <t>BRIDA DE COJINETE 1387 RX2609.100.862</t>
  </si>
  <si>
    <t>2609.100.664-000</t>
  </si>
  <si>
    <t>CUBIERTA 1868.0</t>
  </si>
  <si>
    <t>2609.100.665-000</t>
  </si>
  <si>
    <t>CONUTADOR 1868.0</t>
  </si>
  <si>
    <t>2609.100.666-000</t>
  </si>
  <si>
    <t>CARCASA 1868.0</t>
  </si>
  <si>
    <t>2609.100.671-000</t>
  </si>
  <si>
    <t>CARCASA 19A2.0</t>
  </si>
  <si>
    <t>2609.100.680-000</t>
  </si>
  <si>
    <t>CARCASA 1297 RA 2610920614</t>
  </si>
  <si>
    <t>2609.100.684-000</t>
  </si>
  <si>
    <t>BASE 1297 RA 2610921133</t>
  </si>
  <si>
    <t>2609.100.686-000</t>
  </si>
  <si>
    <t>CORREDERA 19A2.0</t>
  </si>
  <si>
    <t>2609.100.687-000</t>
  </si>
  <si>
    <t>CONMUTADOR 19A2.0</t>
  </si>
  <si>
    <t>2609.100.696-000</t>
  </si>
  <si>
    <t>CARCASA 19A1 RX 2609101136000</t>
  </si>
  <si>
    <t>2609.100.698-000</t>
  </si>
  <si>
    <t>2609.100.709-000</t>
  </si>
  <si>
    <t>HEMBRILLA DE EMBRAGUE 1858</t>
  </si>
  <si>
    <t>2609.100.728-000</t>
  </si>
  <si>
    <t>PALANCA DE ENGRANE 1B28</t>
  </si>
  <si>
    <t>2609.100.731-000</t>
  </si>
  <si>
    <t>CARCASA 1B28</t>
  </si>
  <si>
    <t>2609.100.741-000</t>
  </si>
  <si>
    <t>CARCASA 1472</t>
  </si>
  <si>
    <t>2609.100.744-000</t>
  </si>
  <si>
    <t>CORREDERA DE AJUSTE  1918G/J/L/3 RA 377</t>
  </si>
  <si>
    <t>2609.100.773-000</t>
  </si>
  <si>
    <t>2609.100.775-000</t>
  </si>
  <si>
    <t>CARCASA 1918.3</t>
  </si>
  <si>
    <t>2609.100.805-000</t>
  </si>
  <si>
    <t>MANGO 1594</t>
  </si>
  <si>
    <t>2609.100.810-000</t>
  </si>
  <si>
    <t>CARCASA 19A4.3/.4</t>
  </si>
  <si>
    <t>2609.100.816-000</t>
  </si>
  <si>
    <t>CARCASA 19A6</t>
  </si>
  <si>
    <t>2609.100.817-000</t>
  </si>
  <si>
    <t>PALANCA DE INVERSION 19A6/1JA6.9</t>
  </si>
  <si>
    <t>2609.100.824-000</t>
  </si>
  <si>
    <t>CARCASA AZUL  19F6</t>
  </si>
  <si>
    <t>2609.100.825-000</t>
  </si>
  <si>
    <t>PALANCA DE INV.1992.9/1868.1/19F6/1J92.9</t>
  </si>
  <si>
    <t>2609.100.826-000</t>
  </si>
  <si>
    <t>LENTE 1192.9/1868.1/19F6/1J92.9</t>
  </si>
  <si>
    <t>2609.100.834-000</t>
  </si>
  <si>
    <t>CARCASA DE MOTOR 1373/85/1017</t>
  </si>
  <si>
    <t>2609.100.837-000</t>
  </si>
  <si>
    <t>CONMUTADOR 1017/19A7</t>
  </si>
  <si>
    <t>2609.100.839-000</t>
  </si>
  <si>
    <t>CARCASA AZUL 1J92.9</t>
  </si>
  <si>
    <t>2609.100.844-000</t>
  </si>
  <si>
    <t>CARCASA 19A7.4</t>
  </si>
  <si>
    <t>2609.100.852-000</t>
  </si>
  <si>
    <t>TECLA 19A2.1</t>
  </si>
  <si>
    <t>2609.100.853-000</t>
  </si>
  <si>
    <t>DISPARADOR 19A2.1</t>
  </si>
  <si>
    <t>2609.100.854-000</t>
  </si>
  <si>
    <t>VARILLAJE 19A2.1</t>
  </si>
  <si>
    <t>2609.100.855-000</t>
  </si>
  <si>
    <t>CARCASA 19A2.1</t>
  </si>
  <si>
    <t>2609.100.856-000</t>
  </si>
  <si>
    <t>CARCASA 1H67.1</t>
  </si>
  <si>
    <t>2609.100.858-000</t>
  </si>
  <si>
    <t>LENTE 19E1</t>
  </si>
  <si>
    <t>2609.100.859-000</t>
  </si>
  <si>
    <t>PALANCA DE MANDO 1H67.1</t>
  </si>
  <si>
    <t>2609.100.863-000</t>
  </si>
  <si>
    <t>PALANCA 19A4</t>
  </si>
  <si>
    <t>2609.100.874-000</t>
  </si>
  <si>
    <t>CARCASA 1862.4</t>
  </si>
  <si>
    <t>2609.100.877-000</t>
  </si>
  <si>
    <t>PALANCA DE MANDO 1862.4</t>
  </si>
  <si>
    <t>2609.100.878-000</t>
  </si>
  <si>
    <t>PALANCA DE MANDO 1862</t>
  </si>
  <si>
    <t>2609.100.879-000</t>
  </si>
  <si>
    <t>LENTE 1862.4</t>
  </si>
  <si>
    <t>2609.100.897-000</t>
  </si>
  <si>
    <t>CORREDERA DE CONEXION 1H67.1</t>
  </si>
  <si>
    <t>2609.100.909-000</t>
  </si>
  <si>
    <t>CARCASA TAPA 1B37.0</t>
  </si>
  <si>
    <t>2609.100.910-000</t>
  </si>
  <si>
    <t>CAPERUZA 1230</t>
  </si>
  <si>
    <t>2609.100.911-000</t>
  </si>
  <si>
    <t>TAPA ESCOBILLAS 1B37.0</t>
  </si>
  <si>
    <t>2609.100.912-000</t>
  </si>
  <si>
    <t>2609.100.914-000</t>
  </si>
  <si>
    <t>CORREDERA DE CONEXION 1B37.0</t>
  </si>
  <si>
    <t>2609.100.915-000</t>
  </si>
  <si>
    <t>BOTON DE MANDO 1B37.0</t>
  </si>
  <si>
    <t>2609.100.928-000</t>
  </si>
  <si>
    <t>ARO DEFLECTOR DE AIRE 1230</t>
  </si>
  <si>
    <t>2609.100.929-000</t>
  </si>
  <si>
    <t>ARTICULACION ESFERICA 1EA4.3</t>
  </si>
  <si>
    <t>2609.100.936-000</t>
  </si>
  <si>
    <t>2609.100.939-000</t>
  </si>
  <si>
    <t>BOTON 1A21</t>
  </si>
  <si>
    <t>2609.100.942-000</t>
  </si>
  <si>
    <t>TAPA DE LAS PILAS GLM 40</t>
  </si>
  <si>
    <t>2609.100.955-000</t>
  </si>
  <si>
    <t>CARCASA AZUL 1H67.1</t>
  </si>
  <si>
    <t>2609.101.003-000</t>
  </si>
  <si>
    <t>TAPA DE LAS PILAS GMS 120</t>
  </si>
  <si>
    <t>2609.101.006-000</t>
  </si>
  <si>
    <t>CARCASA 19B3</t>
  </si>
  <si>
    <t>2609.101.035-000</t>
  </si>
  <si>
    <t>2609.101.057-000</t>
  </si>
  <si>
    <t>CARCASA DEL MOTOR 11A2.0</t>
  </si>
  <si>
    <t>2609.101.067-000</t>
  </si>
  <si>
    <t>PALANCA DE MANDO 1JD8.1</t>
  </si>
  <si>
    <t>2609.101.073-000</t>
  </si>
  <si>
    <t>PLACA 12A2</t>
  </si>
  <si>
    <t>2609.101.083-000</t>
  </si>
  <si>
    <t>LENTE 1JD8</t>
  </si>
  <si>
    <t>2609.101.084-000</t>
  </si>
  <si>
    <t>2609.101.085-000</t>
  </si>
  <si>
    <t>2609.101.086-000</t>
  </si>
  <si>
    <t>PALANCA REGULADORA</t>
  </si>
  <si>
    <t>2609.101.134-000</t>
  </si>
  <si>
    <t>2609.101.136-000</t>
  </si>
  <si>
    <t>CARCASA 19A1.4</t>
  </si>
  <si>
    <t>2609.101.144-000</t>
  </si>
  <si>
    <t>ANILLO GUIA DE AIRE</t>
  </si>
  <si>
    <t>2609.101.145-000</t>
  </si>
  <si>
    <t>2609.101.223-000</t>
  </si>
  <si>
    <t>2609.101.226-000</t>
  </si>
  <si>
    <t>CARCASA 19E1</t>
  </si>
  <si>
    <t>2609.101.227-000</t>
  </si>
  <si>
    <t>PALANCA DE MANDO 19E1</t>
  </si>
  <si>
    <t>2609.101.232-000</t>
  </si>
  <si>
    <t>TIRA DE GOMA 1297 Ra 2610920644</t>
  </si>
  <si>
    <t>2609.101.235-000</t>
  </si>
  <si>
    <t>2609.101.236-000</t>
  </si>
  <si>
    <t>2609.101.237-000</t>
  </si>
  <si>
    <t>2609.101.283-000</t>
  </si>
  <si>
    <t>CARCASA 19D0.3 2609.101.283-001</t>
  </si>
  <si>
    <t>2609101283-001</t>
  </si>
  <si>
    <t>2609.101.283-001</t>
  </si>
  <si>
    <t>CARCASA 19D0.3</t>
  </si>
  <si>
    <t>2609.101.284-000</t>
  </si>
  <si>
    <t>2609.101.293-000</t>
  </si>
  <si>
    <t>CORREDERA DE CONEXION 19E1</t>
  </si>
  <si>
    <t>2609.101.298-000</t>
  </si>
  <si>
    <t>PIERNA BATIENTE 19D0.3</t>
  </si>
  <si>
    <t>2609.101.301-000</t>
  </si>
  <si>
    <t>TAPA DE VENTILADOR 12A2.1</t>
  </si>
  <si>
    <t>2609.101.303-000</t>
  </si>
  <si>
    <t>2609.101.304-000</t>
  </si>
  <si>
    <t>2609.101.305-000</t>
  </si>
  <si>
    <t>OBJETIVO</t>
  </si>
  <si>
    <t>2609.101.306-000</t>
  </si>
  <si>
    <t>2609.101.346-000</t>
  </si>
  <si>
    <t>CARCASA 1JD8.1</t>
  </si>
  <si>
    <t>2609.101.350-000</t>
  </si>
  <si>
    <t>2609.101.361-000</t>
  </si>
  <si>
    <t>2609.101.365-000</t>
  </si>
  <si>
    <t>CARCASA 1BA2.0</t>
  </si>
  <si>
    <t>2609.101.374-000</t>
  </si>
  <si>
    <t>RECIPIENTE DE POLVO 12A2.1</t>
  </si>
  <si>
    <t>2609.101.377-000</t>
  </si>
  <si>
    <t>CARCASA 19E2.0</t>
  </si>
  <si>
    <t>2609.101.391-000</t>
  </si>
  <si>
    <t>SELECTOR GSR 1200</t>
  </si>
  <si>
    <t>2609.101.393-000</t>
  </si>
  <si>
    <t>CLIP DE COLOR 1JD8</t>
  </si>
  <si>
    <t>2609.101.394-000</t>
  </si>
  <si>
    <t>CLIP DE COLOR</t>
  </si>
  <si>
    <t>2609.101.403-000</t>
  </si>
  <si>
    <t>2609.101.404-000</t>
  </si>
  <si>
    <t>TAPA ESCOBILLAS 1EA4.0</t>
  </si>
  <si>
    <t>2609.101.409-000</t>
  </si>
  <si>
    <t>CLIP DE COLOR 19E1</t>
  </si>
  <si>
    <t>2609.101.419-000</t>
  </si>
  <si>
    <t>2609.101.436-000</t>
  </si>
  <si>
    <t>2609.101.439-000</t>
  </si>
  <si>
    <t>Cobertura Para Cintas</t>
  </si>
  <si>
    <t>2609.101.440-000</t>
  </si>
  <si>
    <t>CAPERUZA EMPUNADURA 1EA4.3</t>
  </si>
  <si>
    <t>2609.101.446-000</t>
  </si>
  <si>
    <t>2609.101.452-000</t>
  </si>
  <si>
    <t>CRISTAL DE PROTECCION GIS 1000 C</t>
  </si>
  <si>
    <t>2609.101.454-000</t>
  </si>
  <si>
    <t>TAPA GIS 1000 C</t>
  </si>
  <si>
    <t>2609.101.465-000</t>
  </si>
  <si>
    <t>CARCASA GIS 1000 C</t>
  </si>
  <si>
    <t>2609.101.466-000</t>
  </si>
  <si>
    <t>TAPA DE LAS PILAS GLM 20</t>
  </si>
  <si>
    <t>2609.101.475-000</t>
  </si>
  <si>
    <t>2609.101.483-000</t>
  </si>
  <si>
    <t>CARCASA 1JE6.1</t>
  </si>
  <si>
    <t>2609.101.484-000</t>
  </si>
  <si>
    <t>2609.101.486-000</t>
  </si>
  <si>
    <t>LENTE 1JE6.1</t>
  </si>
  <si>
    <t>2609.101.487-000</t>
  </si>
  <si>
    <t>CARCASA 1JE9.1</t>
  </si>
  <si>
    <t>2609.101.490-000</t>
  </si>
  <si>
    <t>2609.101.512-000</t>
  </si>
  <si>
    <t>BRIDA 1JF0.0</t>
  </si>
  <si>
    <t>2609.101.517-000</t>
  </si>
  <si>
    <t>2609.101.521-000</t>
  </si>
  <si>
    <t>CARCASA 1JF3.0</t>
  </si>
  <si>
    <t>2609.101.534-000</t>
  </si>
  <si>
    <t>2609.101.551-000</t>
  </si>
  <si>
    <t>PALANCA DE MANDO 19F1</t>
  </si>
  <si>
    <t>2609.101.554-000</t>
  </si>
  <si>
    <t>CORREDERA DE CONEXION 19F1</t>
  </si>
  <si>
    <t>2609.101.576-000</t>
  </si>
  <si>
    <t>Boton Giratorio</t>
  </si>
  <si>
    <t>2609.101.577-000</t>
  </si>
  <si>
    <t>BOTON GIRATORIO 1EA4.0</t>
  </si>
  <si>
    <t>2609.101.581-000</t>
  </si>
  <si>
    <t>CLIP DE COLOR 19F1</t>
  </si>
  <si>
    <t>2609.101.589-000</t>
  </si>
  <si>
    <t>PALANCA DE MANDO 1JF4.0</t>
  </si>
  <si>
    <t>2609.101.604-000</t>
  </si>
  <si>
    <t>CARCASA 19F1</t>
  </si>
  <si>
    <t>2609.101.661-000</t>
  </si>
  <si>
    <t>2609.101.664-000</t>
  </si>
  <si>
    <t>TAPA DEL ENGRANAJE 1B37.0</t>
  </si>
  <si>
    <t>2609.101.670-000</t>
  </si>
  <si>
    <t>CARCASA 19G5.2</t>
  </si>
  <si>
    <t>2609.101.674-000</t>
  </si>
  <si>
    <t>ARO DEFLECTOR DE AIRE 1B37.0</t>
  </si>
  <si>
    <t>2609.101.682-000</t>
  </si>
  <si>
    <t>CUBIERTA DE PROTECCION 1B37.0</t>
  </si>
  <si>
    <t>2609.101.686-000</t>
  </si>
  <si>
    <t>2609.101.692-000</t>
  </si>
  <si>
    <t>Recipiente De Polvo</t>
  </si>
  <si>
    <t>2609.101.697-000</t>
  </si>
  <si>
    <t>CARCASA 19F70</t>
  </si>
  <si>
    <t>2609.101.741-000</t>
  </si>
  <si>
    <t>CARCASA 19F8.3/19F8.1/19F8.0</t>
  </si>
  <si>
    <t>2609.101.783-000</t>
  </si>
  <si>
    <t>CUBIERTA 19G5.2</t>
  </si>
  <si>
    <t>2609.101.797-000</t>
  </si>
  <si>
    <t>CARCASA DEL MOTOR 1AA2.0</t>
  </si>
  <si>
    <t>2609.110.052-000</t>
  </si>
  <si>
    <t>TORNILLO ESPECIAL 1C94.0/GWS 670</t>
  </si>
  <si>
    <t>2609.110.063-000</t>
  </si>
  <si>
    <t>PLACA DE AJUSTE 1594</t>
  </si>
  <si>
    <t>2609.110.064-000</t>
  </si>
  <si>
    <t>MORDAZAS DE SUJECIÓN 15A4</t>
  </si>
  <si>
    <t>2609.110.077-000</t>
  </si>
  <si>
    <t>MUELLE DE COMPRESION 1E94.3</t>
  </si>
  <si>
    <t>2609.110.084-000</t>
  </si>
  <si>
    <t>TORNILLO TENSOR 1EA4.3</t>
  </si>
  <si>
    <t>2609.110.094-000</t>
  </si>
  <si>
    <t>2609.110.096-000</t>
  </si>
  <si>
    <t>CONTROLADOR DE TORQUE TIGER 7,2-9,6-12V</t>
  </si>
  <si>
    <t>2609.110.097-000</t>
  </si>
  <si>
    <t>PIÑON TIGER 7,2-9,6-12V</t>
  </si>
  <si>
    <t>2609.110.109-000</t>
  </si>
  <si>
    <t>2609.110.131-000</t>
  </si>
  <si>
    <t>TUERCA DE REGLAJE 1E94.3</t>
  </si>
  <si>
    <t>2609.110.153-000</t>
  </si>
  <si>
    <t>2609.110.160-000</t>
  </si>
  <si>
    <t>CABEZAL DE ACEPILLAR 15A4</t>
  </si>
  <si>
    <t>2609.110.162-000</t>
  </si>
  <si>
    <t>DISCO DE TRINQUETES 1E94.3</t>
  </si>
  <si>
    <t>2609.110.174-000</t>
  </si>
  <si>
    <t>BRIDA DE COJINETE 1594</t>
  </si>
  <si>
    <t>2609.110.175-000</t>
  </si>
  <si>
    <t>BRIDA DE COJINETE 1E94.3</t>
  </si>
  <si>
    <t>2609.110.190-000</t>
  </si>
  <si>
    <t>TORNILLO AVALLANADO TORX 1K70.7</t>
  </si>
  <si>
    <t>2609.110.193-000</t>
  </si>
  <si>
    <t>CABEZAL DE ACEPILLAR 1E94.3</t>
  </si>
  <si>
    <t>2609.110.201-000</t>
  </si>
  <si>
    <t>2609.110.217-000</t>
  </si>
  <si>
    <t>2609.110.220-000</t>
  </si>
  <si>
    <t>FLANGE DE ACO</t>
  </si>
  <si>
    <t>2609.110.236-000</t>
  </si>
  <si>
    <t>TORNILLO AVALLANADO TORX 2144</t>
  </si>
  <si>
    <t>2609.110.241-000</t>
  </si>
  <si>
    <t>CLAVIJA</t>
  </si>
  <si>
    <t>2609.110.245-000</t>
  </si>
  <si>
    <t>PINO DE PRESSAO</t>
  </si>
  <si>
    <t>2609.110.246-000</t>
  </si>
  <si>
    <t>TRAVA DE FIXACAO</t>
  </si>
  <si>
    <t>2609.110.253-000</t>
  </si>
  <si>
    <t>AUTO TUERCA DE BLOQUEO</t>
  </si>
  <si>
    <t>2609.110.254-000</t>
  </si>
  <si>
    <t>LLAVE 10MM 9A00 RX 2609110254</t>
  </si>
  <si>
    <t>2609.110.255-000</t>
  </si>
  <si>
    <t>2609.110.267-000</t>
  </si>
  <si>
    <t>POLEA 1EA4.3/1E94.3</t>
  </si>
  <si>
    <t>2609.110.268-000</t>
  </si>
  <si>
    <t>2609.110.282-000</t>
  </si>
  <si>
    <t>ARRUELA ELASTICA</t>
  </si>
  <si>
    <t>2609.110.283-000</t>
  </si>
  <si>
    <t>PINO DE ACO</t>
  </si>
  <si>
    <t>2609.110.289-000</t>
  </si>
  <si>
    <t>PORCA SEXTAVADA</t>
  </si>
  <si>
    <t>2609.110.290-000</t>
  </si>
  <si>
    <t>ARRUELA DE ACO</t>
  </si>
  <si>
    <t>2609.110.294-000</t>
  </si>
  <si>
    <t>ARRUELA DE PRESSAO</t>
  </si>
  <si>
    <t>2609.110.297-000</t>
  </si>
  <si>
    <t>MOLA HELICOIDAL DE ACO</t>
  </si>
  <si>
    <t>2609.110.306-000</t>
  </si>
  <si>
    <t>MOLA DE PRESSAO / DIN 17223, 2076 GRADE</t>
  </si>
  <si>
    <t>2609.110.307-000</t>
  </si>
  <si>
    <t>Placa Base GKF 600</t>
  </si>
  <si>
    <t>2609.110.318-000</t>
  </si>
  <si>
    <t>2609.110.327-000</t>
  </si>
  <si>
    <t>2609.110.329-000</t>
  </si>
  <si>
    <t>2609.110.330-000</t>
  </si>
  <si>
    <t>2609.110.331-000</t>
  </si>
  <si>
    <t>BOLA 19G5.2</t>
  </si>
  <si>
    <t>2609.110.336-000</t>
  </si>
  <si>
    <t>2609.110.342-000</t>
  </si>
  <si>
    <t>ESPIGA DE ATORNILLADOR 19F0.0/19A4</t>
  </si>
  <si>
    <t>2609.110.343-000</t>
  </si>
  <si>
    <t>ESPIGA DE ATORNILLADOR 1JG5.2</t>
  </si>
  <si>
    <t>2609.110.347-000</t>
  </si>
  <si>
    <t>PARAFUSO</t>
  </si>
  <si>
    <t>2609.110.348-000</t>
  </si>
  <si>
    <t>FLANGE DE ACO OBSOLETO</t>
  </si>
  <si>
    <t>2609.110.353-000</t>
  </si>
  <si>
    <t>2609.110.357-000</t>
  </si>
  <si>
    <t>CUCHILLA ACEPILLADORA 1EA4.3</t>
  </si>
  <si>
    <t>2609.110.361-000</t>
  </si>
  <si>
    <t>2609.110.364-000</t>
  </si>
  <si>
    <t>PARAFUSO A CABECA REDONDA</t>
  </si>
  <si>
    <t>2609.110.367-000</t>
  </si>
  <si>
    <t>CLAVIJA / M 3X6</t>
  </si>
  <si>
    <t>2609.110.372-000</t>
  </si>
  <si>
    <t>2609.110.385-000</t>
  </si>
  <si>
    <t>ENGRANAJE PLANETARIO 1918J/L</t>
  </si>
  <si>
    <t>2609.110.407-000</t>
  </si>
  <si>
    <t>CHAPA DE CUBIERTA 1K70.7</t>
  </si>
  <si>
    <t>2609.110.409-000</t>
  </si>
  <si>
    <t>ARANDELA PLANA 1K70.7</t>
  </si>
  <si>
    <t>2609.110.415-000</t>
  </si>
  <si>
    <t>ESTRIBO DE APRIETE 1K70.7</t>
  </si>
  <si>
    <t>2609.110.435-000</t>
  </si>
  <si>
    <t>RODAJE GKF 600</t>
  </si>
  <si>
    <t>2609.110.436-000</t>
  </si>
  <si>
    <t>ROLAMENTO DE ESFERAS</t>
  </si>
  <si>
    <t>2609.110.438-000</t>
  </si>
  <si>
    <t>LLAVE DE BOCA</t>
  </si>
  <si>
    <t>2609.110.444-000</t>
  </si>
  <si>
    <t>PLACA DE PRESION 1218</t>
  </si>
  <si>
    <t>2609.110.449-000</t>
  </si>
  <si>
    <t>HUSILLO DE LA BROCA 1218</t>
  </si>
  <si>
    <t>2609.110.455-000</t>
  </si>
  <si>
    <t>2609.110.480-000</t>
  </si>
  <si>
    <t>2609.110.481-000</t>
  </si>
  <si>
    <t>2609.110.483-000</t>
  </si>
  <si>
    <t>2609.110.490-000</t>
  </si>
  <si>
    <t>PARAFUSO DE ACO</t>
  </si>
  <si>
    <t>2609.110.493-000</t>
  </si>
  <si>
    <t>ENGRANAJE PLANETARIO  1918G/3</t>
  </si>
  <si>
    <t>2609.110.495-000</t>
  </si>
  <si>
    <t>MANDRIL RÁPIDO 3/8"(10 MM) CORDLESS 1080</t>
  </si>
  <si>
    <t>2609.110.513-000</t>
  </si>
  <si>
    <t>Bucha</t>
  </si>
  <si>
    <t>2609.110.534-000</t>
  </si>
  <si>
    <t>Primavera</t>
  </si>
  <si>
    <t>2609.110.535-000</t>
  </si>
  <si>
    <t>RESORTE 1C60.U</t>
  </si>
  <si>
    <t>2609.110.536-000</t>
  </si>
  <si>
    <t>ESTRIBO ELASTICO 1C60.U</t>
  </si>
  <si>
    <t>2609.110.537-000</t>
  </si>
  <si>
    <t>2609.110.538-000</t>
  </si>
  <si>
    <t>2609.110.539-000</t>
  </si>
  <si>
    <t>GANCHO 1C60.U</t>
  </si>
  <si>
    <t>2609.110.548-000</t>
  </si>
  <si>
    <t>2609.110.553-000</t>
  </si>
  <si>
    <t>TORNILLO 160A</t>
  </si>
  <si>
    <t>2609.110.560-000</t>
  </si>
  <si>
    <t>TORNILLO 1C60.U</t>
  </si>
  <si>
    <t>2609.110.607-000</t>
  </si>
  <si>
    <t>PARAFUSO SEXTAVADO</t>
  </si>
  <si>
    <t>2609.110.610-000</t>
  </si>
  <si>
    <t>2609.110.618-000</t>
  </si>
  <si>
    <t>2609.110.619-000</t>
  </si>
  <si>
    <t>PARAFUSO CIL. DE CHAPA</t>
  </si>
  <si>
    <t>2609.110.627-000</t>
  </si>
  <si>
    <t>ESTRIBO GSB 16RE</t>
  </si>
  <si>
    <t>2609.110.633-000</t>
  </si>
  <si>
    <t>ARANDELA DE SEGURIDAD 1860.4/3/1995</t>
  </si>
  <si>
    <t>2609.110.634-000</t>
  </si>
  <si>
    <t>TORNILLO 1860.4/3/1995</t>
  </si>
  <si>
    <t>2609.110.637-000</t>
  </si>
  <si>
    <t>VENTILADOR 1387</t>
  </si>
  <si>
    <t>2609.110.663-000</t>
  </si>
  <si>
    <t>2609.110.721-000</t>
  </si>
  <si>
    <t>TORNILLO 1921/49/36 RA 2603.421.228</t>
  </si>
  <si>
    <t>2609.110.724-000</t>
  </si>
  <si>
    <t>ARANDELA 1C87.5</t>
  </si>
  <si>
    <t>2609.110.741-000</t>
  </si>
  <si>
    <t>2609.110.745-000</t>
  </si>
  <si>
    <t>2609.110.748-000</t>
  </si>
  <si>
    <t>RODAMIENTO A BOLAS 1BA2.0</t>
  </si>
  <si>
    <t>2609.110.769-000</t>
  </si>
  <si>
    <t>PORTAHERRAMIENTAS 1858/1230</t>
  </si>
  <si>
    <t>2609.110.788-000</t>
  </si>
  <si>
    <t>ADAPTADOR 1230</t>
  </si>
  <si>
    <t>2609.110.797-000</t>
  </si>
  <si>
    <t>2609.110.799-000</t>
  </si>
  <si>
    <t>MANDRIL RÁPIDO 3/8"(10 MM) CORDLESS</t>
  </si>
  <si>
    <t>2609.110.801-000</t>
  </si>
  <si>
    <t>ARANDELA DE SEGURIDAD 19A4</t>
  </si>
  <si>
    <t>2609.110.802-000</t>
  </si>
  <si>
    <t>TORNILLO 19A4</t>
  </si>
  <si>
    <t>2609.110.804-000</t>
  </si>
  <si>
    <t>TORNILLO AVELLANADO 1JF4.0</t>
  </si>
  <si>
    <t>2609.110.807-000</t>
  </si>
  <si>
    <t>RODAMIENTO A BOLAS 1JG5.2</t>
  </si>
  <si>
    <t>2609.110.808-000</t>
  </si>
  <si>
    <t>PERNO 19G5.2</t>
  </si>
  <si>
    <t>2609.110.811-000</t>
  </si>
  <si>
    <t>ARANDELA 19G5.2</t>
  </si>
  <si>
    <t>2609.110.812-000</t>
  </si>
  <si>
    <t>2609.110.818-000</t>
  </si>
  <si>
    <t>2609.110.820-000</t>
  </si>
  <si>
    <t>2609.110.821-000</t>
  </si>
  <si>
    <t>ARANDELA 1JG5.2</t>
  </si>
  <si>
    <t>2609.110.831-000</t>
  </si>
  <si>
    <t>LLAVE 1B37.0</t>
  </si>
  <si>
    <t>2609.110.833-000</t>
  </si>
  <si>
    <t>CLIP DE APARATO 19A1</t>
  </si>
  <si>
    <t>2609.110.834-000</t>
  </si>
  <si>
    <t>2609.110.835-000</t>
  </si>
  <si>
    <t>2609.110.838-000</t>
  </si>
  <si>
    <t>2609.110.883-000</t>
  </si>
  <si>
    <t>2609.110.930-000</t>
  </si>
  <si>
    <t>HUSILLO DE LA BROCA 1B28.1</t>
  </si>
  <si>
    <t>2609.110.950-000</t>
  </si>
  <si>
    <t>TORNILLO TORX AVELLANADO 19A6</t>
  </si>
  <si>
    <t>2609.110.956-000</t>
  </si>
  <si>
    <t>CLIP DE APARATO 19E1/1JD8</t>
  </si>
  <si>
    <t>2609.110.965-000</t>
  </si>
  <si>
    <t>RESORTE 1447</t>
  </si>
  <si>
    <t>2609.110.967-000</t>
  </si>
  <si>
    <t>PORTABROCAS RAPIDO</t>
  </si>
  <si>
    <t>2609.110.973-000</t>
  </si>
  <si>
    <t>MANDRIL   1017/19A7</t>
  </si>
  <si>
    <t>2609.110.991-000</t>
  </si>
  <si>
    <t>TORNILLO DE CABEZA CIL. 19A6</t>
  </si>
  <si>
    <t>2609.110.992-000</t>
  </si>
  <si>
    <t>TORNILLO AVELLANADO 1918.3 RX 111.314</t>
  </si>
  <si>
    <t>2609.111.017-000</t>
  </si>
  <si>
    <t>PIÑON 19A2.1</t>
  </si>
  <si>
    <t>2609.111.021-000</t>
  </si>
  <si>
    <t>RESORTE DE CONEXION</t>
  </si>
  <si>
    <t>2609.111.024-000</t>
  </si>
  <si>
    <t>TAPA FRONTAL 1862.4</t>
  </si>
  <si>
    <t>2609.111.078-000</t>
  </si>
  <si>
    <t>RESORTE DE CONEXION 19E1</t>
  </si>
  <si>
    <t>2609.111.104-000</t>
  </si>
  <si>
    <t>MANDRIL RÁPIDO 1/2"(13MM)CORDLESS 18VE-2</t>
  </si>
  <si>
    <t>2609.111.220-000</t>
  </si>
  <si>
    <t>PERNO DE DESLIZAMIENTO 1AA2.2</t>
  </si>
  <si>
    <t>2609.111.262-000</t>
  </si>
  <si>
    <t>ANILLO DE CHAPA 1JG5.2</t>
  </si>
  <si>
    <t>2609.111.264-000</t>
  </si>
  <si>
    <t>ANILLO ELÁSTICO 19G5.2</t>
  </si>
  <si>
    <t>2609.111.286-000</t>
  </si>
  <si>
    <t>MANDRIL 1868.1 RX 2609110967</t>
  </si>
  <si>
    <t>2609.111.289-000</t>
  </si>
  <si>
    <t>RUEDA PLANETARIA 19G5.2</t>
  </si>
  <si>
    <t>2609.111.312-000</t>
  </si>
  <si>
    <t>SOPORTE TALADRO TR.RAP.</t>
  </si>
  <si>
    <t>2609.111.314-000</t>
  </si>
  <si>
    <t>TORNILLO AVELLANADO 1H67.1</t>
  </si>
  <si>
    <t>2609.111.330-000</t>
  </si>
  <si>
    <t>2609.111.383-000</t>
  </si>
  <si>
    <t>PITON ROSCADO 1AA2.2</t>
  </si>
  <si>
    <t>2609.111.393-000</t>
  </si>
  <si>
    <t>ESPIGA 19G5.2</t>
  </si>
  <si>
    <t>2609.111.418-000</t>
  </si>
  <si>
    <t>2609.111.419-000</t>
  </si>
  <si>
    <t>2609.111.452-000</t>
  </si>
  <si>
    <t>MANGUITO 19G5.2</t>
  </si>
  <si>
    <t>2609.111.453-000</t>
  </si>
  <si>
    <t>SUJECION 19G5.2</t>
  </si>
  <si>
    <t>2609.111.485-000</t>
  </si>
  <si>
    <t>TELA METALICA 19A1.4</t>
  </si>
  <si>
    <t>2609.111.487-000</t>
  </si>
  <si>
    <t>ARANDELA DE AJUSTE 1AA2.2</t>
  </si>
  <si>
    <t>2609.111.496-000</t>
  </si>
  <si>
    <t>2609.111.505-000</t>
  </si>
  <si>
    <t>2609.111.530-000</t>
  </si>
  <si>
    <t>2609.111.531-000</t>
  </si>
  <si>
    <t>GOLPEADOR 1JF0.0</t>
  </si>
  <si>
    <t>2609.111.560-000</t>
  </si>
  <si>
    <t>Rueda Planetaria (par)</t>
  </si>
  <si>
    <t>2609.111.584-000</t>
  </si>
  <si>
    <t>2609.111.657-000</t>
  </si>
  <si>
    <t>CONTRAPESO 1BA2.0</t>
  </si>
  <si>
    <t>2609.111.664-000</t>
  </si>
  <si>
    <t>2609.111.665-000</t>
  </si>
  <si>
    <t>2609.111.666-000</t>
  </si>
  <si>
    <t>2609.111.667-000</t>
  </si>
  <si>
    <t>DISCO AXIAL</t>
  </si>
  <si>
    <t>2609.111.668-000</t>
  </si>
  <si>
    <t>2609.111.669-000</t>
  </si>
  <si>
    <t>2609.111.670-000</t>
  </si>
  <si>
    <t>RUEDA PLANETARIA 06019D4 ...</t>
  </si>
  <si>
    <t>2609.111.673-000</t>
  </si>
  <si>
    <t>2609.111.708-000</t>
  </si>
  <si>
    <t>2609.111.738-000</t>
  </si>
  <si>
    <t>2609.111.788-000</t>
  </si>
  <si>
    <t>2609.111.800-000</t>
  </si>
  <si>
    <t>RUEDA DENTADA RECTA 1B28.1</t>
  </si>
  <si>
    <t>2609.111.844-000</t>
  </si>
  <si>
    <t>TORNILLO 12A2.1</t>
  </si>
  <si>
    <t>2609.111.845-000</t>
  </si>
  <si>
    <t>TORNILLO AVALLANADO TORX 1BA2.0</t>
  </si>
  <si>
    <t>2609.111.851-000</t>
  </si>
  <si>
    <t>2609.111.892-000</t>
  </si>
  <si>
    <t>ALAMBRE DE RESORTE 19D0.3</t>
  </si>
  <si>
    <t>2609.111.893-000</t>
  </si>
  <si>
    <t>GUÍA DE DIAPOSITIVAS</t>
  </si>
  <si>
    <t>2609.111.906-000</t>
  </si>
  <si>
    <t>2609.111.907-000</t>
  </si>
  <si>
    <t>2609.111.930-000</t>
  </si>
  <si>
    <t>MANDRIL RÁPIDO 1/4"(6 MM) 1JF4.0</t>
  </si>
  <si>
    <t>2609.111.940-000</t>
  </si>
  <si>
    <t>PORTABROCAS RAPIDO 1JE6.1</t>
  </si>
  <si>
    <t>2609.111.944-000</t>
  </si>
  <si>
    <t>PORTABROCAS RAPIDO 1JE9.1</t>
  </si>
  <si>
    <t>2609.111.997-000</t>
  </si>
  <si>
    <t>CORONA DENTADA 1JF0.0</t>
  </si>
  <si>
    <t>2609.112.024-000</t>
  </si>
  <si>
    <t>PORTABROCAS RAPIDO Rx 1600A01YE8</t>
  </si>
  <si>
    <t>2609.112.036-000</t>
  </si>
  <si>
    <t>RESORTE DE CONEXION 19F1</t>
  </si>
  <si>
    <t>2609.112.051-000</t>
  </si>
  <si>
    <t>ARANDELA 1JF0.0</t>
  </si>
  <si>
    <t>2609.112.053-000</t>
  </si>
  <si>
    <t>Cierre Clip</t>
  </si>
  <si>
    <t>2609.112.071-000</t>
  </si>
  <si>
    <t>2609.112.105-000</t>
  </si>
  <si>
    <t>Pasador De Ajuste</t>
  </si>
  <si>
    <t>2609.112.128-000</t>
  </si>
  <si>
    <t>2609.112.141-000</t>
  </si>
  <si>
    <t>CORONA DENTADA 1JG5.2</t>
  </si>
  <si>
    <t>2609.112.142-000</t>
  </si>
  <si>
    <t>GOLPEADOR 19G5.2</t>
  </si>
  <si>
    <t>2609.112.143-000</t>
  </si>
  <si>
    <t>MUELLE DE COMPRESION 19G5.2</t>
  </si>
  <si>
    <t>2609.112.144-000</t>
  </si>
  <si>
    <t>ARBOL INTERMEDIARIO 19G5.2</t>
  </si>
  <si>
    <t>2609.112.154-000</t>
  </si>
  <si>
    <t>TORNILLO 1B37.0</t>
  </si>
  <si>
    <t>2609.112.158-000</t>
  </si>
  <si>
    <t>SOPORTE DE TOPE 1EA4.3</t>
  </si>
  <si>
    <t>2609.112.169-000</t>
  </si>
  <si>
    <t>PORTABROCAS RAPIDO 19F70</t>
  </si>
  <si>
    <t>2609.112.203-000</t>
  </si>
  <si>
    <t>ÁNIMA</t>
  </si>
  <si>
    <t>2609.112.221-000</t>
  </si>
  <si>
    <t>SEMIACOPLAMIENTO 1JG5.2</t>
  </si>
  <si>
    <t>2609.112.224-000</t>
  </si>
  <si>
    <t>contacto de batería</t>
  </si>
  <si>
    <t>2609.112.225-000</t>
  </si>
  <si>
    <t>2609.120.029-000</t>
  </si>
  <si>
    <t>MOTOR TIGER 12V</t>
  </si>
  <si>
    <t>2609.120.053-000</t>
  </si>
  <si>
    <t>MOTOR TIGER 7,2V</t>
  </si>
  <si>
    <t>2609.120.054-000</t>
  </si>
  <si>
    <t>MOTOR TIGER 9,6V</t>
  </si>
  <si>
    <t>2609.120.153-000</t>
  </si>
  <si>
    <t>2609.120.164-000</t>
  </si>
  <si>
    <t>ANTIPARASITARIO GKF 600</t>
  </si>
  <si>
    <t>2609.120.168-000</t>
  </si>
  <si>
    <t>INDUCIDO 160A</t>
  </si>
  <si>
    <t>2609.120.169-000</t>
  </si>
  <si>
    <t>CAMPO GKF 600</t>
  </si>
  <si>
    <t>2609.120.177-000</t>
  </si>
  <si>
    <t>BORNE EN FILA</t>
  </si>
  <si>
    <t>2609.120.180-000</t>
  </si>
  <si>
    <t>CABLE DE CONEXION 160A</t>
  </si>
  <si>
    <t>2609.120.182-000</t>
  </si>
  <si>
    <t>FILTRO ANTIPARASITARIO 1K70.7</t>
  </si>
  <si>
    <t>2609.120.183-000</t>
  </si>
  <si>
    <t>CABLE DE CONEXION 1K70.7</t>
  </si>
  <si>
    <t>2609.120.202-000</t>
  </si>
  <si>
    <t>REGULADOR  1918G/J/L/3</t>
  </si>
  <si>
    <t>2609.120.204-000</t>
  </si>
  <si>
    <t>MOTOR 1918G</t>
  </si>
  <si>
    <t>2609.120.228-000</t>
  </si>
  <si>
    <t>TARJETA CIRC IMPRESO  1360</t>
  </si>
  <si>
    <t>2609.120.235-000</t>
  </si>
  <si>
    <t>INDUCIDO GSB 16 RE RODAJE</t>
  </si>
  <si>
    <t>2609.120.256-000</t>
  </si>
  <si>
    <t>2609.120.258-000</t>
  </si>
  <si>
    <t>MOTOR 1918L</t>
  </si>
  <si>
    <t>2609.120.259-000</t>
  </si>
  <si>
    <t>MOTOR 1918J</t>
  </si>
  <si>
    <t>2609.120.266-000</t>
  </si>
  <si>
    <t>REGULADOR DE VELOCIDAD 1387</t>
  </si>
  <si>
    <t>2609.120.274-000</t>
  </si>
  <si>
    <t>INTERRUPTOR GKF 600</t>
  </si>
  <si>
    <t>2609.120.276-000</t>
  </si>
  <si>
    <t>LINEA DE CONEXION 160A</t>
  </si>
  <si>
    <t>2609.120.279-000</t>
  </si>
  <si>
    <t>ESTATOR 1472</t>
  </si>
  <si>
    <t>2609.120.282-000</t>
  </si>
  <si>
    <t>FILTRO ANTIPARASITARIO 1C87.5</t>
  </si>
  <si>
    <t>2609.120.284-000</t>
  </si>
  <si>
    <t>CABLE DE ENLACE 1C87.5</t>
  </si>
  <si>
    <t>2609.120.290-000</t>
  </si>
  <si>
    <t>BOBINA DE REACTANCIA 1387</t>
  </si>
  <si>
    <t>2609.120.291-000</t>
  </si>
  <si>
    <t>2609.120.299-000</t>
  </si>
  <si>
    <t>ESTATOR 230V 1C87.5</t>
  </si>
  <si>
    <t>2609.120.308-000</t>
  </si>
  <si>
    <t>INTERRUPTOR RX 2609.120.416</t>
  </si>
  <si>
    <t>2609.120.335-000</t>
  </si>
  <si>
    <t>REGULADOR DE REVOLUCIONES 1C87.5</t>
  </si>
  <si>
    <t>2609.120.337-000</t>
  </si>
  <si>
    <t>INDUCIDO 1472</t>
  </si>
  <si>
    <t>2609.120.341-000</t>
  </si>
  <si>
    <t>INTERRUPTOR 19A2.0</t>
  </si>
  <si>
    <t>2609.120.356-000</t>
  </si>
  <si>
    <t>PLATO PORTAESCOBILLAS 1D73</t>
  </si>
  <si>
    <t>2609.120.363-000</t>
  </si>
  <si>
    <t>REGULADOR DE REVOLUCIONES 230V 1K70.7</t>
  </si>
  <si>
    <t>2609.120.396-000</t>
  </si>
  <si>
    <t>CABLE DE ENLACE 1C87.5/1C87.5</t>
  </si>
  <si>
    <t>2609.120.405-000</t>
  </si>
  <si>
    <t>HUSILLO GBM6RE</t>
  </si>
  <si>
    <t>2609.120.416-000</t>
  </si>
  <si>
    <t>INTERRUPTOR 1909 RA 2.609.120.308</t>
  </si>
  <si>
    <t>2609.120.498-000</t>
  </si>
  <si>
    <t>CARGADOR GLM 80 1072.3</t>
  </si>
  <si>
    <t>2609.120.536-000</t>
  </si>
  <si>
    <t>ESTATOR 12A2</t>
  </si>
  <si>
    <t>2609.120.543-000</t>
  </si>
  <si>
    <t>FILTRO ANTIPARASITARIO 1BA2.0</t>
  </si>
  <si>
    <t>2609.120.579-000</t>
  </si>
  <si>
    <t>CABLE 1BA2.0</t>
  </si>
  <si>
    <t>2609.120.591-000</t>
  </si>
  <si>
    <t>CESTATOR 230V 1B28</t>
  </si>
  <si>
    <t>2609.120.637-000</t>
  </si>
  <si>
    <t>JUEGO DE ESCOBILLAS 1EA4.3</t>
  </si>
  <si>
    <t>2609.120.670-000</t>
  </si>
  <si>
    <t>USB CABLE GLM 120 C/GIS 1000 C</t>
  </si>
  <si>
    <t>2609.125.028-000</t>
  </si>
  <si>
    <t>2609.125.143-000</t>
  </si>
  <si>
    <t>PLACA DE MODULO</t>
  </si>
  <si>
    <t>2609.125.204-000</t>
  </si>
  <si>
    <t>INDICADOR GIS 1000 C</t>
  </si>
  <si>
    <t>2609.131.505-000</t>
  </si>
  <si>
    <t>PLACA DE CARACTERÍSTICAS 1360</t>
  </si>
  <si>
    <t>2609.133.977-000</t>
  </si>
  <si>
    <t>2609.134.168-000</t>
  </si>
  <si>
    <t>2609.134.169-000</t>
  </si>
  <si>
    <t>2609.136.324-000</t>
  </si>
  <si>
    <t>PROTECCIÓN 1JD8</t>
  </si>
  <si>
    <t>2609.136.433-000</t>
  </si>
  <si>
    <t>Etiqueta de la empresa</t>
  </si>
  <si>
    <t>2609.136.434-000</t>
  </si>
  <si>
    <t>2609.136.619-000</t>
  </si>
  <si>
    <t>PLACA INDICADORA GOP 30-28</t>
  </si>
  <si>
    <t>2609.138.606-000</t>
  </si>
  <si>
    <t>2609.138.608-000</t>
  </si>
  <si>
    <t>Placa de marca GSB 180 LI</t>
  </si>
  <si>
    <t>2609.160.063-000</t>
  </si>
  <si>
    <t>PUNTA DE DESTORNILLADOR  19F6</t>
  </si>
  <si>
    <t>2609.160.124-000</t>
  </si>
  <si>
    <t>EJE 1218</t>
  </si>
  <si>
    <t>2609.160.127-000</t>
  </si>
  <si>
    <t>CONMUTADOR GSB 16 RE</t>
  </si>
  <si>
    <t>2609.160.205-000</t>
  </si>
  <si>
    <t>Plato</t>
  </si>
  <si>
    <t>2609.170.013-000</t>
  </si>
  <si>
    <t>BOLSA DE POLVO 1EA4.3/1E94.3</t>
  </si>
  <si>
    <t>2609.170.025-000</t>
  </si>
  <si>
    <t>ANILLO DE PROTECCION 1909</t>
  </si>
  <si>
    <t>2609.170.030-000</t>
  </si>
  <si>
    <t>ANILLO TOROIDAL 1909</t>
  </si>
  <si>
    <t>2609.170.042-000</t>
  </si>
  <si>
    <t>Tira De Goma</t>
  </si>
  <si>
    <t>2609.170.044-000</t>
  </si>
  <si>
    <t>TIRA DE FIELTRO 1K70.7</t>
  </si>
  <si>
    <t>2609.170.045-000</t>
  </si>
  <si>
    <t>TOPE DE GOMA 1K70.7</t>
  </si>
  <si>
    <t>2609.170.058-000</t>
  </si>
  <si>
    <t>CUBIERTA 1C60.U</t>
  </si>
  <si>
    <t>2609.170.077-000</t>
  </si>
  <si>
    <t>ANILLO DE FRICCION 1387</t>
  </si>
  <si>
    <t>2609.170.083-000</t>
  </si>
  <si>
    <t>CAPERUZA DE CIERRRE 1858/1230</t>
  </si>
  <si>
    <t>2609.170.084-000</t>
  </si>
  <si>
    <t>ANILLO DE FIELTRO 1387</t>
  </si>
  <si>
    <t>2609.170.085-000</t>
  </si>
  <si>
    <t>ASA DE TRANSPORTE 19H2</t>
  </si>
  <si>
    <t>2609.170.104-000</t>
  </si>
  <si>
    <t>JUNTA TORICA 19A1</t>
  </si>
  <si>
    <t>2609.170.121-000</t>
  </si>
  <si>
    <t>ANILLO DE JUNTA 19A6</t>
  </si>
  <si>
    <t>2609.170.128-000</t>
  </si>
  <si>
    <t>CAPERUZA 19A1.4</t>
  </si>
  <si>
    <t>2609.170.129-000</t>
  </si>
  <si>
    <t>Asa De Transporte</t>
  </si>
  <si>
    <t>2609.170.134-000</t>
  </si>
  <si>
    <t>TUBO FLEXIBLE CONTRACTIL 1JA6.9</t>
  </si>
  <si>
    <t>2609.170.135-000</t>
  </si>
  <si>
    <t>FIELTRO GMS 120</t>
  </si>
  <si>
    <t>2609.170.136-000</t>
  </si>
  <si>
    <t>2609.170.137-000</t>
  </si>
  <si>
    <t>2609.170.157-000</t>
  </si>
  <si>
    <t>ANILLO DE GOMA 19G5.2</t>
  </si>
  <si>
    <t>2609.170.168-000</t>
  </si>
  <si>
    <t>ANILLO DE JUNTA 19B3</t>
  </si>
  <si>
    <t>2609.170.185-000</t>
  </si>
  <si>
    <t>2609.170.204-000</t>
  </si>
  <si>
    <t>ANILLO DE JUNTA 1JD8.1</t>
  </si>
  <si>
    <t>2609.170.212-000</t>
  </si>
  <si>
    <t>2609.170.216-000</t>
  </si>
  <si>
    <t>Fieltro</t>
  </si>
  <si>
    <t>2609.170.218-000</t>
  </si>
  <si>
    <t>2609.170.220-000</t>
  </si>
  <si>
    <t>CORTE ESPONJAS MAT</t>
  </si>
  <si>
    <t>2609.170.221-000</t>
  </si>
  <si>
    <t>2609.170.222-000</t>
  </si>
  <si>
    <t>ANILLO DE PROTECCION 1JD8</t>
  </si>
  <si>
    <t>2609.170.223-000</t>
  </si>
  <si>
    <t>RO 19D0.3</t>
  </si>
  <si>
    <t>2609.170.228-000</t>
  </si>
  <si>
    <t>JUNTA DE FIELTRO 1B28.1</t>
  </si>
  <si>
    <t>2609.170.230-000</t>
  </si>
  <si>
    <t>2609.170.243-000</t>
  </si>
  <si>
    <t>2609.170.248-000</t>
  </si>
  <si>
    <t>2609.170.259-000</t>
  </si>
  <si>
    <t>2609.170.260-000</t>
  </si>
  <si>
    <t>2609.170.267-000</t>
  </si>
  <si>
    <t>JUNTA 1JF0.0</t>
  </si>
  <si>
    <t>2609.170.273-000</t>
  </si>
  <si>
    <t>2609.170.274-000</t>
  </si>
  <si>
    <t>2609.170.278-000</t>
  </si>
  <si>
    <t>JUNTA TORICA 19F1</t>
  </si>
  <si>
    <t>2609.170.312-000</t>
  </si>
  <si>
    <t>EMPAQUETADURA DE GOMA 1B37.0</t>
  </si>
  <si>
    <t>2609.199.008-000</t>
  </si>
  <si>
    <t>2609.199.027-000</t>
  </si>
  <si>
    <t>SUJECION 1909</t>
  </si>
  <si>
    <t>2609.199.038-000</t>
  </si>
  <si>
    <t>CAJA DE ENGRANAJES 1909 RX 2609199195000</t>
  </si>
  <si>
    <t>2609.199.041-000</t>
  </si>
  <si>
    <t>ALAVANCA DE APERTO DE FER</t>
  </si>
  <si>
    <t>2609.199.047-000</t>
  </si>
  <si>
    <t>MOTOR 1909</t>
  </si>
  <si>
    <t>2609.199.048-000</t>
  </si>
  <si>
    <t>CARBONES 1909</t>
  </si>
  <si>
    <t>2609.199.059-000</t>
  </si>
  <si>
    <t>BOLSA DE POLVO  1070</t>
  </si>
  <si>
    <t>2609.199.067-000</t>
  </si>
  <si>
    <t>MANIVELA OSCILANTE  1070</t>
  </si>
  <si>
    <t>2609.199.069-000</t>
  </si>
  <si>
    <t>DIODO ELECTROLUMINISCENTE 1909</t>
  </si>
  <si>
    <t>2609.199.070-000</t>
  </si>
  <si>
    <t>INTERRUPTOR 1918G/J/L</t>
  </si>
  <si>
    <t>2609.199.083-000</t>
  </si>
  <si>
    <t>CAJA DEL ENGRANAJE  1360 RX 2609199143</t>
  </si>
  <si>
    <t>2609.199.100-000</t>
  </si>
  <si>
    <t>TORNILLO 1F0A.0</t>
  </si>
  <si>
    <t>2609.199.109-000</t>
  </si>
  <si>
    <t>TAMPA DA CARCACA / AZUL</t>
  </si>
  <si>
    <t>2609.199.110-000</t>
  </si>
  <si>
    <t>BATENTE LONGITUDINAL (DIS RX 2610008117</t>
  </si>
  <si>
    <t>2609.199.112-000</t>
  </si>
  <si>
    <t>CAJA DEL ENGRANAJE 1995 RX 2609199343</t>
  </si>
  <si>
    <t>2609.199.114-000</t>
  </si>
  <si>
    <t>2609.199.119-000</t>
  </si>
  <si>
    <t>REGULADOR 1868.0/1995</t>
  </si>
  <si>
    <t>2609.199.125-000</t>
  </si>
  <si>
    <t>PORTACONTACTOS 1995</t>
  </si>
  <si>
    <t>2609.199.127-000</t>
  </si>
  <si>
    <t>MOTOR CORRIENTE CONTINUA 1995.4</t>
  </si>
  <si>
    <t>2609.199.128-000</t>
  </si>
  <si>
    <t>MOTOR CORRIENTE CONTINUA 1995.3</t>
  </si>
  <si>
    <t>2609.199.130-000</t>
  </si>
  <si>
    <t>JUEGO DE CARCASA 1C60.U</t>
  </si>
  <si>
    <t>2609.199.131-000</t>
  </si>
  <si>
    <t>MOTOR 1C60.U</t>
  </si>
  <si>
    <t>2609.199.133-000</t>
  </si>
  <si>
    <t>2609.199.135-000</t>
  </si>
  <si>
    <t>2609.199.140-000</t>
  </si>
  <si>
    <t>MOTOR CC  GDR 10,8 V</t>
  </si>
  <si>
    <t>2609.199.143-000</t>
  </si>
  <si>
    <t>CAJA DEL ENGRANAJE  1360 RA2609199083</t>
  </si>
  <si>
    <t>2609.199.145-000</t>
  </si>
  <si>
    <t>2609.199.146-000</t>
  </si>
  <si>
    <t>LUVA DE APARAFUSAMENTO - SUB 2610008122</t>
  </si>
  <si>
    <t>2609.199.157-000</t>
  </si>
  <si>
    <t>BRAZO DE COJINETE 1472</t>
  </si>
  <si>
    <t>2609.199.164-000</t>
  </si>
  <si>
    <t>INDUCIDO 230V 1C87.5</t>
  </si>
  <si>
    <t>2609.199.167-000</t>
  </si>
  <si>
    <t>MOTOR CORR.CONT.14,4V19A1 RX2609199312</t>
  </si>
  <si>
    <t>2609.199.169-000</t>
  </si>
  <si>
    <t>CARBONES 19A1</t>
  </si>
  <si>
    <t>2609.199.173-000</t>
  </si>
  <si>
    <t>RECIPIENTE DE POLVO 7314</t>
  </si>
  <si>
    <t>2609.199.177-000</t>
  </si>
  <si>
    <t>MOTOR 1 CC 1868.0</t>
  </si>
  <si>
    <t>2609.199.180-000</t>
  </si>
  <si>
    <t>MOTOR CC 1858</t>
  </si>
  <si>
    <t>2609.199.182-000</t>
  </si>
  <si>
    <t>CAJA DE ENGRENAJE 19A1 OBSOLETO</t>
  </si>
  <si>
    <t>2609.199.185-000</t>
  </si>
  <si>
    <t>BRIDA DE COJINETE 1858</t>
  </si>
  <si>
    <t>2609.199.186-000</t>
  </si>
  <si>
    <t>UNIDAD DE ENGRANAJE 1858</t>
  </si>
  <si>
    <t>2609.199.188-000</t>
  </si>
  <si>
    <t>CAJA DE ENGRANAJES 19A2.0</t>
  </si>
  <si>
    <t>2609.199.190-000</t>
  </si>
  <si>
    <t>TAPA ESCOBILLAS 19A1</t>
  </si>
  <si>
    <t>2609.199.193-000</t>
  </si>
  <si>
    <t>RECIPIENTE DE POLVO 1297</t>
  </si>
  <si>
    <t>2609.199.195-000</t>
  </si>
  <si>
    <t>CAJA DE ENGRANAJES 1909 RA 2609.199.038</t>
  </si>
  <si>
    <t>2609.199.223-000</t>
  </si>
  <si>
    <t>PORTA HERRAMIENTA  19A1</t>
  </si>
  <si>
    <t>2609.199.228-000</t>
  </si>
  <si>
    <t>2609.199.241-000</t>
  </si>
  <si>
    <t>CAJA DEL ENGRANAJE 19A6</t>
  </si>
  <si>
    <t>2609.199.251-000</t>
  </si>
  <si>
    <t>CONMUTADOR DESLIZANTE 19A4</t>
  </si>
  <si>
    <t>2609.199.255-000</t>
  </si>
  <si>
    <t>CAJA DE ENGRANAJE GSR 18-2 LI</t>
  </si>
  <si>
    <t>2609.199.258-000</t>
  </si>
  <si>
    <t>MOTOR CC 19F6/1J92.9/19F70 =1607000C5K</t>
  </si>
  <si>
    <t>2609.199.266-000</t>
  </si>
  <si>
    <t>CAJA DE ENGRANAJE 1017/19A7</t>
  </si>
  <si>
    <t>2609.199.269-000</t>
  </si>
  <si>
    <t>INDUCIDO 1594</t>
  </si>
  <si>
    <t>2609.199.270-000</t>
  </si>
  <si>
    <t>2609.199.275-000</t>
  </si>
  <si>
    <t>MOTOR 14.4V 19A1.4</t>
  </si>
  <si>
    <t>2609.199.279-000</t>
  </si>
  <si>
    <t>UNIDAD DE CONMUTACION</t>
  </si>
  <si>
    <t>2609.199.281-000</t>
  </si>
  <si>
    <t>MOTOR CORRIENTE CONTINUA 19A6</t>
  </si>
  <si>
    <t>2609.199.282-000</t>
  </si>
  <si>
    <t>CAJA DE ENGRANAJE 19A2.1</t>
  </si>
  <si>
    <t>2609.199.283-000</t>
  </si>
  <si>
    <t>MOTOR SUBSTITUIDO 2609.199.338-000</t>
  </si>
  <si>
    <t>2609.199.298-000</t>
  </si>
  <si>
    <t>CAJA DE ENGRANAJES 1868.0 RA 2606200250</t>
  </si>
  <si>
    <t>2609.199.312-000</t>
  </si>
  <si>
    <t>MOTOR CORR.CONT.14,4V</t>
  </si>
  <si>
    <t>2609.199.316-000</t>
  </si>
  <si>
    <t>CAJA DEL ENGRANAJE 19B3.9</t>
  </si>
  <si>
    <t>2609.199.319-000</t>
  </si>
  <si>
    <t>SEMIACOPLAMIENTO 19B3</t>
  </si>
  <si>
    <t>2609.199.320-000</t>
  </si>
  <si>
    <t>SEMIACOPLAMIENTO 19A6</t>
  </si>
  <si>
    <t>2609.199.334-000</t>
  </si>
  <si>
    <t>INDUCIDO 1230</t>
  </si>
  <si>
    <t>2609.199.335-000</t>
  </si>
  <si>
    <t>CAJA DEL ENGRANAJE 1230</t>
  </si>
  <si>
    <t>2609.199.336-000</t>
  </si>
  <si>
    <t>UNIDAD DE CONMUTACION ROJO 1H67.1</t>
  </si>
  <si>
    <t>2609.199.337-000</t>
  </si>
  <si>
    <t>CAJA DE ENGRANAJE 19A8</t>
  </si>
  <si>
    <t>2609.199.338-000</t>
  </si>
  <si>
    <t>MOTOR 1017 RA  2.609.199.283</t>
  </si>
  <si>
    <t>2609.199.343-000</t>
  </si>
  <si>
    <t>ENGRANAJE PLANETARIO 1995  S/R</t>
  </si>
  <si>
    <t>2609.199.344-000</t>
  </si>
  <si>
    <t>GRUPO DE MONTAJE CARCASA 1B37.0</t>
  </si>
  <si>
    <t>2609.199.356-000</t>
  </si>
  <si>
    <t>MÓDULO ELEC 19A8.9 RX 2609199618</t>
  </si>
  <si>
    <t>2609.199.357-000</t>
  </si>
  <si>
    <t>MÓDULO ELECTRÓNICO 19A8.4 RX 2609.199619</t>
  </si>
  <si>
    <t>2609.199.358-000</t>
  </si>
  <si>
    <t>MOTOR CC 1867.0</t>
  </si>
  <si>
    <t>2609.199.364-000</t>
  </si>
  <si>
    <t>CAJA DE ENGRANAJE 19B3</t>
  </si>
  <si>
    <t>2609.199.366-000</t>
  </si>
  <si>
    <t>MOTOR CORRIENTE CONTINUA 10,8 V 1H67.1</t>
  </si>
  <si>
    <t>2609.199.378-000</t>
  </si>
  <si>
    <t>MOTOR 14,4 V 19A8.4</t>
  </si>
  <si>
    <t>2609.199.380-000</t>
  </si>
  <si>
    <t>CAJA ENGRANAJES 19A4.3/4 RX 2609199255</t>
  </si>
  <si>
    <t>2609.199.393-000</t>
  </si>
  <si>
    <t>MOTOR 19A7.4/5</t>
  </si>
  <si>
    <t>2609.199.397-000</t>
  </si>
  <si>
    <t>CAJA DEL ENGRANAJE 1JF3.0</t>
  </si>
  <si>
    <t>2609.199.400-000</t>
  </si>
  <si>
    <t>CAJA DEL ENGRANAJE 19B3.4</t>
  </si>
  <si>
    <t>2609.199.403-000</t>
  </si>
  <si>
    <t>PLATO PORTAESCOBILLAS 1B28</t>
  </si>
  <si>
    <t>2609.199.408-000</t>
  </si>
  <si>
    <t>2609.199.409-000</t>
  </si>
  <si>
    <t>MÓDULO ELECTRÓNICO 19B3.4 RX2609199609</t>
  </si>
  <si>
    <t>2609.199.418-000</t>
  </si>
  <si>
    <t>2609.199.419-000</t>
  </si>
  <si>
    <t>MOTOR 14,4V 19B3.4</t>
  </si>
  <si>
    <t>2609.199.431-000</t>
  </si>
  <si>
    <t>CAJA ENGRANAJE 1868.1 RX 786</t>
  </si>
  <si>
    <t>2609.199.446-000</t>
  </si>
  <si>
    <t>HUSILLO DE TALADRO</t>
  </si>
  <si>
    <t>2609.199.447-000</t>
  </si>
  <si>
    <t>Contramarcha GSB 20-2 RE</t>
  </si>
  <si>
    <t>2609.199.449-000</t>
  </si>
  <si>
    <t>2609.199.450-000</t>
  </si>
  <si>
    <t>2609.199.474-000</t>
  </si>
  <si>
    <t>MÓDULO ELECTRÓNICO 19A8.4 RX 614</t>
  </si>
  <si>
    <t>2609.199.475-000</t>
  </si>
  <si>
    <t>MODULO ELECTRÓNICO 19A8.4 RA 356</t>
  </si>
  <si>
    <t>2609.199.482-000</t>
  </si>
  <si>
    <t>UNIDAD REDUCTORA</t>
  </si>
  <si>
    <t>2609.199.484-000</t>
  </si>
  <si>
    <t>2609.199.577-000</t>
  </si>
  <si>
    <t>CARCASA 1594</t>
  </si>
  <si>
    <t>2609.199.578-000</t>
  </si>
  <si>
    <t>CARCASA DEL MOTOR 1E94.3</t>
  </si>
  <si>
    <t>2609.199.599-000</t>
  </si>
  <si>
    <t>2609.199.602-000</t>
  </si>
  <si>
    <t>MODULO ELECTRONICO 19D0.3</t>
  </si>
  <si>
    <t>2609.199.609-000</t>
  </si>
  <si>
    <t>2609.199.614-000</t>
  </si>
  <si>
    <t>MODULO ELECTRONICO 19A8.4 RA 474</t>
  </si>
  <si>
    <t>2609.199.615-000</t>
  </si>
  <si>
    <t>2609.199.616-000</t>
  </si>
  <si>
    <t>MODULO ELECTRONICO 19A8.3</t>
  </si>
  <si>
    <t>2609.199.618-000</t>
  </si>
  <si>
    <t>MÓDULO ELECTRÓNICO 1H67.1</t>
  </si>
  <si>
    <t>2609.199.619-000</t>
  </si>
  <si>
    <t>MÓDULO ELECTRÓNICO 19A8</t>
  </si>
  <si>
    <t>2609.199.631-000</t>
  </si>
  <si>
    <t>2609.199.634-000</t>
  </si>
  <si>
    <t>ACOPLAMIENTO PORTABROCAS 19E1</t>
  </si>
  <si>
    <t>2609.199.635-000</t>
  </si>
  <si>
    <t>ACOPLAMIENTO ANGULAR 19E1</t>
  </si>
  <si>
    <t>2609.199.636-000</t>
  </si>
  <si>
    <t>PORTAHERRAMIENTAS EXCÉNTRICO</t>
  </si>
  <si>
    <t>2609.199.651-000</t>
  </si>
  <si>
    <t>RECIPIENTE DE POLVO 19D0.3</t>
  </si>
  <si>
    <t>2609.199.660-000</t>
  </si>
  <si>
    <t>CAJA DE ENGRANAJE 19E2.0</t>
  </si>
  <si>
    <t>2609.199.665-000</t>
  </si>
  <si>
    <t>CAJA DE ENGRANAJES 1B28</t>
  </si>
  <si>
    <t>2609.199.666-000</t>
  </si>
  <si>
    <t>GRUPO HUSILLO 1B28</t>
  </si>
  <si>
    <t>2609.199.668-000</t>
  </si>
  <si>
    <t>CONJUNTO INDUCIDO 230V 1B28</t>
  </si>
  <si>
    <t>2609.199.671-000</t>
  </si>
  <si>
    <t>ROTOR 19E1</t>
  </si>
  <si>
    <t>2609.199.679-000</t>
  </si>
  <si>
    <t>UNIDAD DE VIVIENDA</t>
  </si>
  <si>
    <t>2609.199.694-000</t>
  </si>
  <si>
    <t>CAJA DEL ENGRANAJE 19A1.4</t>
  </si>
  <si>
    <t>2609.199.701-000</t>
  </si>
  <si>
    <t>2609.199.711-000</t>
  </si>
  <si>
    <t>2609.199.714-000</t>
  </si>
  <si>
    <t>CAJA DEL ENGRANAJE 19E1</t>
  </si>
  <si>
    <t>2609.199.719-000</t>
  </si>
  <si>
    <t>MOTOR C.C 19D0.3</t>
  </si>
  <si>
    <t>2609.199.726-000</t>
  </si>
  <si>
    <t>CAJA DEL ENGRANAJE 1JE9.1</t>
  </si>
  <si>
    <t>2609.199.730-000</t>
  </si>
  <si>
    <t>2609.199.746-000</t>
  </si>
  <si>
    <t>2609.199.748-000</t>
  </si>
  <si>
    <t>2609.199.754-000</t>
  </si>
  <si>
    <t>UNIDAD DE CONMUTACION 19E2.0</t>
  </si>
  <si>
    <t>2609.199.757-000</t>
  </si>
  <si>
    <t>INDUCIDO 1JD8</t>
  </si>
  <si>
    <t>2609.199.766-000</t>
  </si>
  <si>
    <t>SUJECION ELEMENTOS MT</t>
  </si>
  <si>
    <t>2609.199.769-000</t>
  </si>
  <si>
    <t>TAPA 2-50C/3-80CG/D120/G120/1000C</t>
  </si>
  <si>
    <t>2609.199.784-000</t>
  </si>
  <si>
    <t>2609.199.785-000</t>
  </si>
  <si>
    <t>CUERPO DE BRIDA</t>
  </si>
  <si>
    <t>2609.199.786-000</t>
  </si>
  <si>
    <t>CAJA ENGRANAJE 1868.1 RA 431</t>
  </si>
  <si>
    <t>2609.199.790-000</t>
  </si>
  <si>
    <t>CAJA DEL ENGRANAJE 1JF4.0</t>
  </si>
  <si>
    <t>2609.199.798-000</t>
  </si>
  <si>
    <t>TECLADO GIS 1000 C</t>
  </si>
  <si>
    <t>2609.199.810-000</t>
  </si>
  <si>
    <t>Placa Lijadora</t>
  </si>
  <si>
    <t>2609.199.811-000</t>
  </si>
  <si>
    <t>2609.199.812-000</t>
  </si>
  <si>
    <t>2609.199.813-000</t>
  </si>
  <si>
    <t>CAJA DEL ENGRANAJE 19E6</t>
  </si>
  <si>
    <t>2609.199.814-000</t>
  </si>
  <si>
    <t>CAJA DEL ENGRANAJE 19E7</t>
  </si>
  <si>
    <t>2609.199.824-000</t>
  </si>
  <si>
    <t>CAJA DEL ENGRANAJE 1JF0.0</t>
  </si>
  <si>
    <t>2609.199.865-000</t>
  </si>
  <si>
    <t>ARBOL INTERMEDIARIO 1JF0.0</t>
  </si>
  <si>
    <t>2609.199.869-000</t>
  </si>
  <si>
    <t>CAJA DEL ENGRANAJE 1JD8.1</t>
  </si>
  <si>
    <t>2609.199.883-000</t>
  </si>
  <si>
    <t>INDUCIDO 230V 1BA2.0</t>
  </si>
  <si>
    <t>2609.199.894-000</t>
  </si>
  <si>
    <t>2609.199.916-000</t>
  </si>
  <si>
    <t>CAJA DEL ENGRANAJE 19F1</t>
  </si>
  <si>
    <t>2609.199.928-000</t>
  </si>
  <si>
    <t>CONJ MOD.CON INTERRUP. 19F4 RX1600A00FG7</t>
  </si>
  <si>
    <t>2609.199.943-000</t>
  </si>
  <si>
    <t>GPO MOTOR DE REPUESTO 19F1</t>
  </si>
  <si>
    <t>2609.199.946-000</t>
  </si>
  <si>
    <t>2609.199.948-000</t>
  </si>
  <si>
    <t>BRIDA DE COJINETE 1EA4.0</t>
  </si>
  <si>
    <t>2609.199.949-000</t>
  </si>
  <si>
    <t>BRIDA DE COJINETE 1EA4.3</t>
  </si>
  <si>
    <t>2609.199.957-000</t>
  </si>
  <si>
    <t>CAJA DEL ENGRANAJE 1B37.0</t>
  </si>
  <si>
    <t>2609.199.961-000</t>
  </si>
  <si>
    <t>CONJUNTO INDUCIDO 220~240V 1B37.0</t>
  </si>
  <si>
    <t>2609.199.971-000</t>
  </si>
  <si>
    <t>CLIP DE APARATO</t>
  </si>
  <si>
    <t>2609.199.975-000</t>
  </si>
  <si>
    <t>CARCASA DEL MOTOR 1EA4.3</t>
  </si>
  <si>
    <t>2609.200.574-000</t>
  </si>
  <si>
    <t>2609.200.575-000</t>
  </si>
  <si>
    <t>2609.270.035-000</t>
  </si>
  <si>
    <t>2609.270.036-000</t>
  </si>
  <si>
    <t>2609.390.014-000</t>
  </si>
  <si>
    <t>CINCEL 7560501</t>
  </si>
  <si>
    <t>2609.390.015-000</t>
  </si>
  <si>
    <t>2609.390.303-000</t>
  </si>
  <si>
    <t>JGO.CADENA Y PI¥ON 0870 DISCONT.</t>
  </si>
  <si>
    <t>2609.992.600-000</t>
  </si>
  <si>
    <t>PLATO PORTACARBONES 3245 OBSOLETO</t>
  </si>
  <si>
    <t>2609.992.604-000</t>
  </si>
  <si>
    <t>PLATO PORTACARBONES 3364 OBSOLETO</t>
  </si>
  <si>
    <t>2609.992.605-000</t>
  </si>
  <si>
    <t>PORTACARBONES 3229 - DISCONTINUADO</t>
  </si>
  <si>
    <t>2609.992.608-000</t>
  </si>
  <si>
    <t>PLATO PORTACARBONES  RX 2.605.807.060</t>
  </si>
  <si>
    <t>2609.992.612-000</t>
  </si>
  <si>
    <t>PLATO PORTACARBONES 3281 OBSOLETO</t>
  </si>
  <si>
    <t>2609.992.615-000</t>
  </si>
  <si>
    <t>PORTACARBON  3289/98/3309 RX 2604337118</t>
  </si>
  <si>
    <t>2609.992.618-000</t>
  </si>
  <si>
    <t>PLATO PORTACARBONES 3169/3312</t>
  </si>
  <si>
    <t>2609.992.620-000</t>
  </si>
  <si>
    <t>PORTACARBONES 0842.5-6</t>
  </si>
  <si>
    <t>2609.992.624-000</t>
  </si>
  <si>
    <t>PORTACARBONES 3304</t>
  </si>
  <si>
    <t>2609.992.625-000</t>
  </si>
  <si>
    <t>PORTACARBONES 0841.4 OBSOLETO</t>
  </si>
  <si>
    <t>2609.994.436-000</t>
  </si>
  <si>
    <t>REG. ELECTR. 3307 RX2607233017</t>
  </si>
  <si>
    <t>2609.994.709-000</t>
  </si>
  <si>
    <t>PERNO 3230/3238   RA2603100034</t>
  </si>
  <si>
    <t>2609.994.797-000</t>
  </si>
  <si>
    <t>PIEZA DESLIZ. - DISCONTINUADO</t>
  </si>
  <si>
    <t>2609.994.835-000</t>
  </si>
  <si>
    <t>BOTON INTERRUP.REEX 2602026066</t>
  </si>
  <si>
    <t>2609.994.926-000</t>
  </si>
  <si>
    <t>REG.ELECT.1372  DISCONTINUADO</t>
  </si>
  <si>
    <t>2609.995.084-000</t>
  </si>
  <si>
    <t>VENTILADOR 1588.7 RX2606610089</t>
  </si>
  <si>
    <t>2609.995.085-000</t>
  </si>
  <si>
    <t>VENTILADOR 3363.7</t>
  </si>
  <si>
    <t>2609.995.917-000</t>
  </si>
  <si>
    <t>CORREA DENTADA 17 MM 1593</t>
  </si>
  <si>
    <t>2610.000.606-000</t>
  </si>
  <si>
    <t>Boton De Disparo</t>
  </si>
  <si>
    <t>2610.000.607-000</t>
  </si>
  <si>
    <t>Brida Presora Del Cable</t>
  </si>
  <si>
    <t>2610.000.765-000</t>
  </si>
  <si>
    <t>Grupo Husillo</t>
  </si>
  <si>
    <t>2610.001.147-000</t>
  </si>
  <si>
    <t>RODAM.9105/6425   OBSOLETO</t>
  </si>
  <si>
    <t>2610.001.398-000</t>
  </si>
  <si>
    <t>TORNILLO DE REGULACIÓN 1F6H.0</t>
  </si>
  <si>
    <t>2610.001.597-000</t>
  </si>
  <si>
    <t>2610.001.598-000</t>
  </si>
  <si>
    <t>Guia Elastica</t>
  </si>
  <si>
    <t>2610.001.599-000</t>
  </si>
  <si>
    <t>Anillo Elástico</t>
  </si>
  <si>
    <t>2610.001.600-000</t>
  </si>
  <si>
    <t>2610.001.602-000</t>
  </si>
  <si>
    <t>2610.001.604-000</t>
  </si>
  <si>
    <t>RESORTE 1F24.0</t>
  </si>
  <si>
    <t>2610.001.605-000</t>
  </si>
  <si>
    <t>Asa/Manija</t>
  </si>
  <si>
    <t>2610.001.606-000</t>
  </si>
  <si>
    <t>Resorte De Cierre</t>
  </si>
  <si>
    <t>2610.001.607-000</t>
  </si>
  <si>
    <t>2610.001.608-000</t>
  </si>
  <si>
    <t>2610.001.609-000</t>
  </si>
  <si>
    <t>Carril De Bornes</t>
  </si>
  <si>
    <t>2610.001.624-000</t>
  </si>
  <si>
    <t>Grupo Constr. El</t>
  </si>
  <si>
    <t>2610.001.625-000</t>
  </si>
  <si>
    <t>Sensor De Reverberacíon</t>
  </si>
  <si>
    <t>2610.001.785-000</t>
  </si>
  <si>
    <t>Boquilla de cable</t>
  </si>
  <si>
    <t>2610.001.817-000</t>
  </si>
  <si>
    <t>Barra De Ajuste</t>
  </si>
  <si>
    <t>2610.001.818-000</t>
  </si>
  <si>
    <t>2610.002.144-000</t>
  </si>
  <si>
    <t>BOLILLA 6125-80/6901/6906</t>
  </si>
  <si>
    <t>2610.002.911-000</t>
  </si>
  <si>
    <t>2610.003.062-000</t>
  </si>
  <si>
    <t>2610.003.063-000</t>
  </si>
  <si>
    <t>2610.003.064-000</t>
  </si>
  <si>
    <t>2610.003.067-000</t>
  </si>
  <si>
    <t>2610.003.090-000</t>
  </si>
  <si>
    <t>2610.003.184-000</t>
  </si>
  <si>
    <t>2610.003.185-000</t>
  </si>
  <si>
    <t>Mazo De Cables</t>
  </si>
  <si>
    <t>2610.003.210-000</t>
  </si>
  <si>
    <t>2610.003.424-000</t>
  </si>
  <si>
    <t>2610.003.429-000</t>
  </si>
  <si>
    <t>Palanca de guía</t>
  </si>
  <si>
    <t>2610.003.433-000</t>
  </si>
  <si>
    <t>ESTRIBO DE SUSPENSION 4000</t>
  </si>
  <si>
    <t>2610.003.434-000</t>
  </si>
  <si>
    <t>PORTACARBONES DREMEL 4000</t>
  </si>
  <si>
    <t>2610.003.969-000</t>
  </si>
  <si>
    <t>SOPORTE DE MOTOR 1F24.0</t>
  </si>
  <si>
    <t>2610.003.970-000</t>
  </si>
  <si>
    <t>Grupo Constructivo</t>
  </si>
  <si>
    <t>2610.003.971-000</t>
  </si>
  <si>
    <t>Dispositivo De Retencion</t>
  </si>
  <si>
    <t>2610.003.973-000</t>
  </si>
  <si>
    <t>Palanca De Cierre</t>
  </si>
  <si>
    <t>2610.003.974-000</t>
  </si>
  <si>
    <t>2610.004.411-000</t>
  </si>
  <si>
    <t>2610.004.460-000</t>
  </si>
  <si>
    <t>2610.004.556-000</t>
  </si>
  <si>
    <t>ESTATOR DREMEL 4000</t>
  </si>
  <si>
    <t>2610.004.557-000</t>
  </si>
  <si>
    <t>INDUCIDO DREMEL 4000</t>
  </si>
  <si>
    <t>2610.004.592-000</t>
  </si>
  <si>
    <t>CARCASA DEL MOTOR RA 2610925714</t>
  </si>
  <si>
    <t>2610.004.595-000</t>
  </si>
  <si>
    <t>RODAMIENTO A BOLAS 1M30.5</t>
  </si>
  <si>
    <t>2610.004.610-000</t>
  </si>
  <si>
    <t>CLAVIJA DE CIERRE DREMEL 4000/8220</t>
  </si>
  <si>
    <t>2610.004.743-000</t>
  </si>
  <si>
    <t>RODAMIENTO RIGIDO BOLAS 3610</t>
  </si>
  <si>
    <t>2610.004.745-000</t>
  </si>
  <si>
    <t>2610.004.774-000</t>
  </si>
  <si>
    <t>SOPORTE DE COJINETE</t>
  </si>
  <si>
    <t>2610.004.778-000</t>
  </si>
  <si>
    <t>PIE DE LA CAJA 6800</t>
  </si>
  <si>
    <t>2610.004.779-000</t>
  </si>
  <si>
    <t>PLACA DE BASE 6800</t>
  </si>
  <si>
    <t>2610.004.781-000</t>
  </si>
  <si>
    <t>CARCASA 6800</t>
  </si>
  <si>
    <t>2610.004.782-000</t>
  </si>
  <si>
    <t>TAPA DEL CUERPO 6800</t>
  </si>
  <si>
    <t>2610.004.783-000</t>
  </si>
  <si>
    <t>MANGO 6800</t>
  </si>
  <si>
    <t>2610.004.784-000</t>
  </si>
  <si>
    <t>CACHA 6800</t>
  </si>
  <si>
    <t>2610.004.789-000</t>
  </si>
  <si>
    <t>MUELLE DE COMPRESION 6800</t>
  </si>
  <si>
    <t>2610.004.790-000</t>
  </si>
  <si>
    <t>SEGURO 6800</t>
  </si>
  <si>
    <t>2610.004.791-000</t>
  </si>
  <si>
    <t>DISPARADOR 6800</t>
  </si>
  <si>
    <t>2610.004.793-000</t>
  </si>
  <si>
    <t>TORNILLO CABEZA MARIPOSA 6800</t>
  </si>
  <si>
    <t>2610.004.794-000</t>
  </si>
  <si>
    <t>PALANCA DE BLOQUEO 6800</t>
  </si>
  <si>
    <t>2610.004.797-000</t>
  </si>
  <si>
    <t>2610.004.808-000</t>
  </si>
  <si>
    <t>2610.004.824-000</t>
  </si>
  <si>
    <t>TORNILLO 6800</t>
  </si>
  <si>
    <t>2610.004.825-000</t>
  </si>
  <si>
    <t>MOTOR 6800 DISCONT</t>
  </si>
  <si>
    <t>2610.004.830-000</t>
  </si>
  <si>
    <t>REGULADOR DE REVOLUCIONES 6800 DISCONT</t>
  </si>
  <si>
    <t>2610.004.925-000</t>
  </si>
  <si>
    <t>2610.005.245-000</t>
  </si>
  <si>
    <t>2610.005.252-000</t>
  </si>
  <si>
    <t>2610.005.300-000</t>
  </si>
  <si>
    <t>2610.005.311-000</t>
  </si>
  <si>
    <t>2610.005.325-000</t>
  </si>
  <si>
    <t>REVESTIMIENTO PROTECT</t>
  </si>
  <si>
    <t>2610.005.340-000</t>
  </si>
  <si>
    <t>CHAVETA MEDIACANA</t>
  </si>
  <si>
    <t>2610.005.357-000</t>
  </si>
  <si>
    <t>2610.005.381-000</t>
  </si>
  <si>
    <t>CARCASA DREMEL 4000</t>
  </si>
  <si>
    <t>2610.005.460-000</t>
  </si>
  <si>
    <t>MOTOR 8220</t>
  </si>
  <si>
    <t>2610.005.471-000</t>
  </si>
  <si>
    <t>BOTON CON GUIA 8220</t>
  </si>
  <si>
    <t>2610.005.472-000</t>
  </si>
  <si>
    <t>TAPA ELASTICA 8220</t>
  </si>
  <si>
    <t>2610.005.473-000</t>
  </si>
  <si>
    <t>ESTRIBO DE SUSPENSION 8220</t>
  </si>
  <si>
    <t>2610.005.516-000</t>
  </si>
  <si>
    <t>2610.005.997-000</t>
  </si>
  <si>
    <t>2610.006.340-000</t>
  </si>
  <si>
    <t>2610.006.391-000</t>
  </si>
  <si>
    <t>2610.006.518-000</t>
  </si>
  <si>
    <t>2610.006.628-000</t>
  </si>
  <si>
    <t>2610.006.642-000</t>
  </si>
  <si>
    <t>2610.006.643-000</t>
  </si>
  <si>
    <t>ANILLO DE GOMA DREMEL 4000</t>
  </si>
  <si>
    <t>2610.006.980-000</t>
  </si>
  <si>
    <t>PORTAESCOBILLAS DREMEL 4000 RX2610009854</t>
  </si>
  <si>
    <t>2610.007.023-000</t>
  </si>
  <si>
    <t>2610.007.050-000</t>
  </si>
  <si>
    <t>2610.007.757-000</t>
  </si>
  <si>
    <t>Corona dentada</t>
  </si>
  <si>
    <t>2610.007.763-000</t>
  </si>
  <si>
    <t>2610.007.764-000</t>
  </si>
  <si>
    <t>MANGUITO ROSCADO 6800</t>
  </si>
  <si>
    <t>2610.007.765-000</t>
  </si>
  <si>
    <t>TUERCA CUADRADA 6800</t>
  </si>
  <si>
    <t>2610.007.957-000</t>
  </si>
  <si>
    <t>JUEGO DE ESCOBILLAS 1F24.0</t>
  </si>
  <si>
    <t>2610.007.979-000</t>
  </si>
  <si>
    <t>TAPA CARBONES DREMEL 4000</t>
  </si>
  <si>
    <t>2610.008.113-000</t>
  </si>
  <si>
    <t>TOPE LONGITUDINAL 1F0A.0</t>
  </si>
  <si>
    <t>2610.008.115-000</t>
  </si>
  <si>
    <t>BASE 1F0A.0</t>
  </si>
  <si>
    <t>2610.008.117-000</t>
  </si>
  <si>
    <t>2610.008.123-000</t>
  </si>
  <si>
    <t>BRIDA DE COJINETE GKF 600</t>
  </si>
  <si>
    <t>2610.008.124-000</t>
  </si>
  <si>
    <t>PLACA DE BASE 1F0A.0</t>
  </si>
  <si>
    <t>2610.008.200-000</t>
  </si>
  <si>
    <t>2610.008.283-000</t>
  </si>
  <si>
    <t>2610.009.047-000</t>
  </si>
  <si>
    <t>PALANCA DE GUIA DREMEL 4000</t>
  </si>
  <si>
    <t>2610.009.294-000</t>
  </si>
  <si>
    <t>SEGURO 6425-80</t>
  </si>
  <si>
    <t>2610.009.615-000</t>
  </si>
  <si>
    <t>DISP. FIJACION RAPIDA 1B20.5</t>
  </si>
  <si>
    <t>2610.009.742-000</t>
  </si>
  <si>
    <t>2610.009.743-000</t>
  </si>
  <si>
    <t>2610.009.744-000</t>
  </si>
  <si>
    <t>CINTA DE GOMA</t>
  </si>
  <si>
    <t>2610.009.745-000</t>
  </si>
  <si>
    <t>2610.009.746-000</t>
  </si>
  <si>
    <t>TAPA ESCOBILLAS</t>
  </si>
  <si>
    <t>2610.009.747-000</t>
  </si>
  <si>
    <t>2610.009.748-000</t>
  </si>
  <si>
    <t>2610.009.749-000</t>
  </si>
  <si>
    <t>2610.009.750-000</t>
  </si>
  <si>
    <t>2610.009.751-000</t>
  </si>
  <si>
    <t>2610.009.752-000</t>
  </si>
  <si>
    <t>MANGUITO DE GUIA</t>
  </si>
  <si>
    <t>2610.009.754-000</t>
  </si>
  <si>
    <t>2610.009.755-000</t>
  </si>
  <si>
    <t>MUELLE CON PATAS</t>
  </si>
  <si>
    <t>2610.009.756-000</t>
  </si>
  <si>
    <t>2610.009.757-000</t>
  </si>
  <si>
    <t>2610.009.758-000</t>
  </si>
  <si>
    <t>2610.009.760-000</t>
  </si>
  <si>
    <t>2610.009.761-000</t>
  </si>
  <si>
    <t>2610.009.762-000</t>
  </si>
  <si>
    <t>2610.009.763-000</t>
  </si>
  <si>
    <t>2610.009.765-000</t>
  </si>
  <si>
    <t>CARTUCHO CON CLAVOS</t>
  </si>
  <si>
    <t>2610.009.766-000</t>
  </si>
  <si>
    <t>2610.009.767-000</t>
  </si>
  <si>
    <t>2610.009.768-000</t>
  </si>
  <si>
    <t>PALANCA DE SEGURIDAD</t>
  </si>
  <si>
    <t>2610.009.769-000</t>
  </si>
  <si>
    <t>RUEDA DE AJUSTE</t>
  </si>
  <si>
    <t>2610.009.770-000</t>
  </si>
  <si>
    <t>PLOT</t>
  </si>
  <si>
    <t>2610.009.771-000</t>
  </si>
  <si>
    <t>BLOQUE DE ALIMENTACION</t>
  </si>
  <si>
    <t>2610.009.772-000</t>
  </si>
  <si>
    <t>PALANCA DE MANDO</t>
  </si>
  <si>
    <t>2610.009.773-000</t>
  </si>
  <si>
    <t>BRAZO DE LA PALANCA</t>
  </si>
  <si>
    <t>2610.009.775-000</t>
  </si>
  <si>
    <t>CLIP DE FIJACION AL CINTU</t>
  </si>
  <si>
    <t>2610.009.777-000</t>
  </si>
  <si>
    <t>2610.009.778-000</t>
  </si>
  <si>
    <t>2610.009.780-000</t>
  </si>
  <si>
    <t>2610.009.781-000</t>
  </si>
  <si>
    <t>MARCO DE FIJACION</t>
  </si>
  <si>
    <t>2610.009.782-000</t>
  </si>
  <si>
    <t>RODILLO TENSOR DE CORREA</t>
  </si>
  <si>
    <t>2610.009.783-000</t>
  </si>
  <si>
    <t>RIEL-GUIA</t>
  </si>
  <si>
    <t>2610.009.784-000</t>
  </si>
  <si>
    <t>CORONA DE AGUJAS</t>
  </si>
  <si>
    <t>2610.009.787-000</t>
  </si>
  <si>
    <t>2610.009.789-000</t>
  </si>
  <si>
    <t>2610.009.790-000</t>
  </si>
  <si>
    <t>MARCO PORTADOR</t>
  </si>
  <si>
    <t>2610.009.802-000</t>
  </si>
  <si>
    <t>RIEL</t>
  </si>
  <si>
    <t>2610.009.805-000</t>
  </si>
  <si>
    <t>2610.009.845-000</t>
  </si>
  <si>
    <t>CARCASA DREMEL 3000</t>
  </si>
  <si>
    <t>2610.009.854-000</t>
  </si>
  <si>
    <t>PORTACARBONES DREMEL 4000 RA 1610006980</t>
  </si>
  <si>
    <t>2610.010.072-000</t>
  </si>
  <si>
    <t>MANGUITO ROSCADO 1F0A.0</t>
  </si>
  <si>
    <t>2610.010.404-000</t>
  </si>
  <si>
    <t>TORNILLO 1M30.5</t>
  </si>
  <si>
    <t>2610.010.409-000</t>
  </si>
  <si>
    <t>2610.011.033-000</t>
  </si>
  <si>
    <t>Botón</t>
  </si>
  <si>
    <t>2610.011.034-000</t>
  </si>
  <si>
    <t>Desencadenar</t>
  </si>
  <si>
    <t>2610.011.174-000</t>
  </si>
  <si>
    <t>ALMAHODA DE GOMA 6800</t>
  </si>
  <si>
    <t>2610.011.176-000</t>
  </si>
  <si>
    <t>PROTECCIÓN 6800</t>
  </si>
  <si>
    <t>2610.011.204-000</t>
  </si>
  <si>
    <t>PIEZA DE RECAMBIO 8220</t>
  </si>
  <si>
    <t>2610.011.205-000</t>
  </si>
  <si>
    <t>GRUPO DE MONTAJE CARCASA 8220</t>
  </si>
  <si>
    <t>2610.011.212-000</t>
  </si>
  <si>
    <t>2610.011.225-000</t>
  </si>
  <si>
    <t>Tuerca De Husillo</t>
  </si>
  <si>
    <t>2610.011.286-000</t>
  </si>
  <si>
    <t>2610.011.290-000</t>
  </si>
  <si>
    <t>Anillo de goma</t>
  </si>
  <si>
    <t>2610.011.291-000</t>
  </si>
  <si>
    <t>2610.011.292-000</t>
  </si>
  <si>
    <t>2610.011.547-000</t>
  </si>
  <si>
    <t>2610.011.549-000</t>
  </si>
  <si>
    <t>PROTECCIÓN DE ONDAS 1F24.0</t>
  </si>
  <si>
    <t>2610.011.569-000</t>
  </si>
  <si>
    <t>Tapón Ciego</t>
  </si>
  <si>
    <t>2610.011.716-000</t>
  </si>
  <si>
    <t>MUELLE DE SUJECION  1B30</t>
  </si>
  <si>
    <t>2610.011.717-000</t>
  </si>
  <si>
    <t>INTERRUPTOR 1B20.5</t>
  </si>
  <si>
    <t>2610.011.957-000</t>
  </si>
  <si>
    <t>2610.011.963-000</t>
  </si>
  <si>
    <t>CARCASA DEL MOTOR 1B20.5</t>
  </si>
  <si>
    <t>2610.011.964-000</t>
  </si>
  <si>
    <t>MANGO 1B20.5</t>
  </si>
  <si>
    <t>2610.012.031-000</t>
  </si>
  <si>
    <t>DISCO CON FLANCO SAW MAX RX 2610021327</t>
  </si>
  <si>
    <t>2610.012.032-000</t>
  </si>
  <si>
    <t>Disco Con Flanco</t>
  </si>
  <si>
    <t>2610.012.042-000</t>
  </si>
  <si>
    <t>Pata Enroscable</t>
  </si>
  <si>
    <t>2610.012.049-000</t>
  </si>
  <si>
    <t>Chapa Deflectora</t>
  </si>
  <si>
    <t>2610.012.050-000</t>
  </si>
  <si>
    <t>2610.012.053-000</t>
  </si>
  <si>
    <t>Eje De Palanca</t>
  </si>
  <si>
    <t>2610.012.054-000</t>
  </si>
  <si>
    <t>2610.012.055-000</t>
  </si>
  <si>
    <t>Gancho De Cierre</t>
  </si>
  <si>
    <t>2610.012.056-000</t>
  </si>
  <si>
    <t>2610.012.162-000</t>
  </si>
  <si>
    <t>2610.012.366-000</t>
  </si>
  <si>
    <t>2610.012.367-000</t>
  </si>
  <si>
    <t>2610.012.368-000</t>
  </si>
  <si>
    <t>Palanca Tensora</t>
  </si>
  <si>
    <t>2610.012.797-000</t>
  </si>
  <si>
    <t>CAPERUZA 3610</t>
  </si>
  <si>
    <t>2610.012.798-000</t>
  </si>
  <si>
    <t>CARCASA DEL MOTOR 3610</t>
  </si>
  <si>
    <t>2610.012.799-000</t>
  </si>
  <si>
    <t>TORNILLO 3610</t>
  </si>
  <si>
    <t>2610.012.803-000</t>
  </si>
  <si>
    <t>2610.012.804-000</t>
  </si>
  <si>
    <t>ARANDELA 3610</t>
  </si>
  <si>
    <t>2610.012.805-000</t>
  </si>
  <si>
    <t>CAJA DE ENGRANAJES 3610</t>
  </si>
  <si>
    <t>2610.012.809-000</t>
  </si>
  <si>
    <t>RUEDA DENTADA 3610</t>
  </si>
  <si>
    <t>2610.012.813-000</t>
  </si>
  <si>
    <t>ANILLO DE SUJECION 3610</t>
  </si>
  <si>
    <t>2610.012.815-000</t>
  </si>
  <si>
    <t>TORNILLO RANURA CRUCIF. 3610</t>
  </si>
  <si>
    <t>2610.012.817-000</t>
  </si>
  <si>
    <t>BORNE 3610</t>
  </si>
  <si>
    <t>2610.012.818-000</t>
  </si>
  <si>
    <t>2610.012.824-000</t>
  </si>
  <si>
    <t>2610.012.825-000</t>
  </si>
  <si>
    <t>ANILLO DE RETENCION 3610</t>
  </si>
  <si>
    <t>2610.012.902-000</t>
  </si>
  <si>
    <t>2610.012.903-000</t>
  </si>
  <si>
    <t>2610.012.910-000</t>
  </si>
  <si>
    <t>2610.012.913-000</t>
  </si>
  <si>
    <t>PLACA 3610</t>
  </si>
  <si>
    <t>2610.012.915-000</t>
  </si>
  <si>
    <t>2610.012.916-000</t>
  </si>
  <si>
    <t>BOTON DE AJUSTE 3610</t>
  </si>
  <si>
    <t>2610.012.926-000</t>
  </si>
  <si>
    <t>2610.012.935-000</t>
  </si>
  <si>
    <t>TOPE 3610</t>
  </si>
  <si>
    <t>2610.012.938-000</t>
  </si>
  <si>
    <t>AGUJA 3610</t>
  </si>
  <si>
    <t>2610.012.943-000</t>
  </si>
  <si>
    <t>CORREDERA 3610</t>
  </si>
  <si>
    <t>2610.012.984-000</t>
  </si>
  <si>
    <t>CHAVETA DE DISCO 1M30.5</t>
  </si>
  <si>
    <t>2610.013.003-000</t>
  </si>
  <si>
    <t>PORTAESCOBILLAS NUEVO 1M30.5</t>
  </si>
  <si>
    <t>2610.013.053-000</t>
  </si>
  <si>
    <t>2610.013.054-000</t>
  </si>
  <si>
    <t>BRIDA DE CONTACTO 1M30.5</t>
  </si>
  <si>
    <t>2610.013.162-000</t>
  </si>
  <si>
    <t>ARANDELA 1M30.5</t>
  </si>
  <si>
    <t>2610.013.288-000</t>
  </si>
  <si>
    <t>2610.013.365-000</t>
  </si>
  <si>
    <t>ARANDELA ELASTICA 1M30.5</t>
  </si>
  <si>
    <t>2610.013.388-000</t>
  </si>
  <si>
    <t>CARGADOR DREMEL 7700 DISCONT</t>
  </si>
  <si>
    <t>2610.013.393-000</t>
  </si>
  <si>
    <t>BATERIA 1100 RA 2610930072</t>
  </si>
  <si>
    <t>2610.013.397-000</t>
  </si>
  <si>
    <t>2610.013.522-000</t>
  </si>
  <si>
    <t>2610.013.523-000</t>
  </si>
  <si>
    <t>2610.013.524-000</t>
  </si>
  <si>
    <t>2610.013.525-000</t>
  </si>
  <si>
    <t>2610.013.526-000</t>
  </si>
  <si>
    <t>2610.013.527-000</t>
  </si>
  <si>
    <t>Chapa Para Tapa</t>
  </si>
  <si>
    <t>2610.013.528-000</t>
  </si>
  <si>
    <t>2610.013.529-000</t>
  </si>
  <si>
    <t>Excentrico</t>
  </si>
  <si>
    <t>2610.013.530-000</t>
  </si>
  <si>
    <t>Bloque de alineamiento</t>
  </si>
  <si>
    <t>2610.013.531-000</t>
  </si>
  <si>
    <t>2610.013.532-000</t>
  </si>
  <si>
    <t>2610.013.533-000</t>
  </si>
  <si>
    <t>Boton De Mando</t>
  </si>
  <si>
    <t>2610.013.534-000</t>
  </si>
  <si>
    <t>2610.013.535-000</t>
  </si>
  <si>
    <t>2610.013.536-000</t>
  </si>
  <si>
    <t>2610.013.537-000</t>
  </si>
  <si>
    <t>2610.013.538-000</t>
  </si>
  <si>
    <t>2610.013.539-000</t>
  </si>
  <si>
    <t>Angulo De Guia</t>
  </si>
  <si>
    <t>2610.013.540-000</t>
  </si>
  <si>
    <t>Cojinete De Rodillos</t>
  </si>
  <si>
    <t>2610.013.541-000</t>
  </si>
  <si>
    <t>2610.013.542-000</t>
  </si>
  <si>
    <t>2610.013.543-000</t>
  </si>
  <si>
    <t>2610.013.545-000</t>
  </si>
  <si>
    <t>2610.013.547-000</t>
  </si>
  <si>
    <t>2610.013.548-000</t>
  </si>
  <si>
    <t>Llave Con Macho Hexagona</t>
  </si>
  <si>
    <t>2610.013.549-000</t>
  </si>
  <si>
    <t>2610.013.550-000</t>
  </si>
  <si>
    <t>2610.013.551-000</t>
  </si>
  <si>
    <t>2610.013.552-000</t>
  </si>
  <si>
    <t>2610.013.553-000</t>
  </si>
  <si>
    <t>2610.013.554-000</t>
  </si>
  <si>
    <t>2610.013.555-000</t>
  </si>
  <si>
    <t>2610.013.556-000</t>
  </si>
  <si>
    <t>2610.013.559-000</t>
  </si>
  <si>
    <t>2610.013.560-000</t>
  </si>
  <si>
    <t>Caperuza final</t>
  </si>
  <si>
    <t>2610.013.561-000</t>
  </si>
  <si>
    <t>2610.013.562-000</t>
  </si>
  <si>
    <t>2610.013.563-000</t>
  </si>
  <si>
    <t>2610.013.564-000</t>
  </si>
  <si>
    <t>2610.013.565-000</t>
  </si>
  <si>
    <t>2610.013.689-000</t>
  </si>
  <si>
    <t>Pegatina</t>
  </si>
  <si>
    <t>2610.013.756-000</t>
  </si>
  <si>
    <t>JUEGO DE REPUESTOS 1B20.5</t>
  </si>
  <si>
    <t>2610.013.854-000</t>
  </si>
  <si>
    <t>Saliente</t>
  </si>
  <si>
    <t>2610.013.888-000</t>
  </si>
  <si>
    <t>2610.013.890-000</t>
  </si>
  <si>
    <t>TECLA DREMEL 3000</t>
  </si>
  <si>
    <t>2610.013.891-000</t>
  </si>
  <si>
    <t>PORTAHERRAMIENTA DREMEL 3000</t>
  </si>
  <si>
    <t>2610.014.582-000</t>
  </si>
  <si>
    <t>2610.014.693-000</t>
  </si>
  <si>
    <t>2610.014.697-000</t>
  </si>
  <si>
    <t>2610.014.698-000</t>
  </si>
  <si>
    <t>TUERCA 1M30.5</t>
  </si>
  <si>
    <t>2610.014.699-000</t>
  </si>
  <si>
    <t>MANGO 1M30.5</t>
  </si>
  <si>
    <t>2610.015.000-000</t>
  </si>
  <si>
    <t>CURVA/LEVA 1M30.5</t>
  </si>
  <si>
    <t>2610.015.001-000</t>
  </si>
  <si>
    <t>2610.015.002-000</t>
  </si>
  <si>
    <t>ANILLO DE SEGURIDAD 1M30.5</t>
  </si>
  <si>
    <t>2610.015.006-000</t>
  </si>
  <si>
    <t>CHAPA DE RETEN 1M30.5</t>
  </si>
  <si>
    <t>2610.015.008-000</t>
  </si>
  <si>
    <t>2610.015.009-000</t>
  </si>
  <si>
    <t>2610.015.010-000</t>
  </si>
  <si>
    <t>AGUJA 1M30.5</t>
  </si>
  <si>
    <t>2610.015.011-000</t>
  </si>
  <si>
    <t>2610.015.012-000</t>
  </si>
  <si>
    <t>PERNO 1M30.5</t>
  </si>
  <si>
    <t>2610.015.014-000</t>
  </si>
  <si>
    <t>SOPORTE-PIE 1M30.5</t>
  </si>
  <si>
    <t>2610.015.015-000</t>
  </si>
  <si>
    <t>2610.015.016-000</t>
  </si>
  <si>
    <t>2610.015.017-000</t>
  </si>
  <si>
    <t>PLACA DE RETENCION 1M30.5</t>
  </si>
  <si>
    <t>2610.015.018-000</t>
  </si>
  <si>
    <t>2610.015.019-000</t>
  </si>
  <si>
    <t>LLAVE 1M30.5</t>
  </si>
  <si>
    <t>2610.015.021-000</t>
  </si>
  <si>
    <t>2610.015.022-000</t>
  </si>
  <si>
    <t>AVANCE PIEZAS A MAQUIN 1M30.5</t>
  </si>
  <si>
    <t>2610.015.026-000</t>
  </si>
  <si>
    <t>CHAPA CORREDIZA 1M30.5</t>
  </si>
  <si>
    <t>2610.015.027-000</t>
  </si>
  <si>
    <t>PLACA DE APOYO 1M30.5</t>
  </si>
  <si>
    <t>2610.015.030-000</t>
  </si>
  <si>
    <t>CAPERUZA FINAL 1M30.5</t>
  </si>
  <si>
    <t>2610.015.031-000</t>
  </si>
  <si>
    <t>2610.015.035-000</t>
  </si>
  <si>
    <t>ESCUADRA DE SOPORTE 1M30.5</t>
  </si>
  <si>
    <t>2610.015.038-000</t>
  </si>
  <si>
    <t>2610.015.039-000</t>
  </si>
  <si>
    <t>2610.015.040-000</t>
  </si>
  <si>
    <t>2610.015.043-000</t>
  </si>
  <si>
    <t>CASQUILLO 1M30.5</t>
  </si>
  <si>
    <t>2610.015.044-000</t>
  </si>
  <si>
    <t>2610.015.045-000</t>
  </si>
  <si>
    <t>2610.015.047-000</t>
  </si>
  <si>
    <t>2610.015.048-000</t>
  </si>
  <si>
    <t>2610.015.049-000</t>
  </si>
  <si>
    <t>2610.015.050-000</t>
  </si>
  <si>
    <t>CUBIERTA 1M30.5</t>
  </si>
  <si>
    <t>2610.015.051-000</t>
  </si>
  <si>
    <t>SOPORTE TAPA GUARDAPOLVO 1M30.5</t>
  </si>
  <si>
    <t>2610.015.052-000</t>
  </si>
  <si>
    <t>2610.015.053-000</t>
  </si>
  <si>
    <t>2610.015.054-000</t>
  </si>
  <si>
    <t>CHAPA PROTECTORA 1M30.5</t>
  </si>
  <si>
    <t>2610.015.055-000</t>
  </si>
  <si>
    <t>2610.015.058-000</t>
  </si>
  <si>
    <t>2610.015.059-000</t>
  </si>
  <si>
    <t>LLAVE DE VASO 1M30.5</t>
  </si>
  <si>
    <t>2610.015.061-000</t>
  </si>
  <si>
    <t>2610.015.062-000</t>
  </si>
  <si>
    <t>2610.015.063-000</t>
  </si>
  <si>
    <t>2610.015.064-000</t>
  </si>
  <si>
    <t>2610.015.065-000</t>
  </si>
  <si>
    <t>2610.015.066-000</t>
  </si>
  <si>
    <t>CAJA DE INTERRUPTOR 1M30.5</t>
  </si>
  <si>
    <t>2610.015.067-000</t>
  </si>
  <si>
    <t>RESORTE 1M30.5</t>
  </si>
  <si>
    <t>2610.015.069-000</t>
  </si>
  <si>
    <t>VOLANTE DE MANO 1M30.5</t>
  </si>
  <si>
    <t>2610.015.070-000</t>
  </si>
  <si>
    <t>2610.015.071-000</t>
  </si>
  <si>
    <t>2610.015.073-000</t>
  </si>
  <si>
    <t>PLACA 1M30.5</t>
  </si>
  <si>
    <t>2610.015.074-000</t>
  </si>
  <si>
    <t>RIEL 1M30.5</t>
  </si>
  <si>
    <t>2610.015.075-000</t>
  </si>
  <si>
    <t>2610.015.076-000</t>
  </si>
  <si>
    <t>CAPUCHÓN DE DISPOSITIVO 1M30.5</t>
  </si>
  <si>
    <t>2610.015.077-000</t>
  </si>
  <si>
    <t>2610.015.078-000</t>
  </si>
  <si>
    <t>2610.015.080-000</t>
  </si>
  <si>
    <t>2610.015.091-000</t>
  </si>
  <si>
    <t>LISTON DESLIZAMIENTO 1M30.5</t>
  </si>
  <si>
    <t>2610.015.093-000</t>
  </si>
  <si>
    <t>CERRADURA 1M30.5</t>
  </si>
  <si>
    <t>2610.015.236-000</t>
  </si>
  <si>
    <t>CAPERUZA 6901/6906</t>
  </si>
  <si>
    <t>2610.015.241-000</t>
  </si>
  <si>
    <t>RESORTE 6901/6906</t>
  </si>
  <si>
    <t>2610.015.256-000</t>
  </si>
  <si>
    <t>Conjunto de marcos</t>
  </si>
  <si>
    <t>2610.015.357-000</t>
  </si>
  <si>
    <t>LETRERO DE AVISO</t>
  </si>
  <si>
    <t>2610.015.359-000</t>
  </si>
  <si>
    <t>2610.015.446-000</t>
  </si>
  <si>
    <t>2610.015.507-000</t>
  </si>
  <si>
    <t>PARADA 45</t>
  </si>
  <si>
    <t>2610.015.629-000</t>
  </si>
  <si>
    <t>ANILLO 1619</t>
  </si>
  <si>
    <t>2610.015.716-000</t>
  </si>
  <si>
    <t>2610.015.730-000</t>
  </si>
  <si>
    <t>Manguito De Cable</t>
  </si>
  <si>
    <t>2610.015.844-000</t>
  </si>
  <si>
    <t>Alojamiento</t>
  </si>
  <si>
    <t>2610.015.848-000</t>
  </si>
  <si>
    <t>2610.015.849-000</t>
  </si>
  <si>
    <t>2610.015.850-000</t>
  </si>
  <si>
    <t>Parada de profundidad</t>
  </si>
  <si>
    <t>2610.015.923-000</t>
  </si>
  <si>
    <t>Brazo De Conexion</t>
  </si>
  <si>
    <t>2610.015.926-000</t>
  </si>
  <si>
    <t>Caja Del Tornillo Sinfin</t>
  </si>
  <si>
    <t>2610.016.070-000</t>
  </si>
  <si>
    <t>Pulsador De Boton</t>
  </si>
  <si>
    <t>2610.016.072-000</t>
  </si>
  <si>
    <t>2610.016.557-000</t>
  </si>
  <si>
    <t>2610.016.558-000</t>
  </si>
  <si>
    <t>2610.016.559-000</t>
  </si>
  <si>
    <t>2610.016.560-000</t>
  </si>
  <si>
    <t>PERNO ROSCADO 1M30.5</t>
  </si>
  <si>
    <t>2610.016.561-000</t>
  </si>
  <si>
    <t>2610.016.562-000</t>
  </si>
  <si>
    <t>BARRA 1M30.5</t>
  </si>
  <si>
    <t>2610.016.563-000</t>
  </si>
  <si>
    <t>2610.016.565-000</t>
  </si>
  <si>
    <t>2610.016.566-000</t>
  </si>
  <si>
    <t>2610.016.567-000</t>
  </si>
  <si>
    <t>LLAVE EXAGONAL DE TUBO 1M30.5</t>
  </si>
  <si>
    <t>2610.016.801-000</t>
  </si>
  <si>
    <t>Perno Union De Rodillos</t>
  </si>
  <si>
    <t>2610.016.810-000</t>
  </si>
  <si>
    <t>Conjuntos de componentes EL</t>
  </si>
  <si>
    <t>2610.016.828-000</t>
  </si>
  <si>
    <t>ARANDELA EMPUJE 4115-4225-4235</t>
  </si>
  <si>
    <t>2610.016.996-000</t>
  </si>
  <si>
    <t>CARCASA DEL MOTOR 1B30.5</t>
  </si>
  <si>
    <t>2610.016.997-000</t>
  </si>
  <si>
    <t>2610.017.000-000</t>
  </si>
  <si>
    <t>CARBONES 1B30.5-DISCONTINUADO</t>
  </si>
  <si>
    <t>2610.017.001-000</t>
  </si>
  <si>
    <t>CONEXION PARA ASPIRACION 1M30.5</t>
  </si>
  <si>
    <t>2610.017.002-000</t>
  </si>
  <si>
    <t>2610.017.003-000</t>
  </si>
  <si>
    <t>2610.017.004-000</t>
  </si>
  <si>
    <t>2610.017.005-000</t>
  </si>
  <si>
    <t>BASTIDOR COMPLEMENTARIO 1M30.5</t>
  </si>
  <si>
    <t>2610.017.007-000</t>
  </si>
  <si>
    <t>2610.017.008-000</t>
  </si>
  <si>
    <t>ESTRIBO DE SEGURIDAD 1M30.5</t>
  </si>
  <si>
    <t>2610.017.009-000</t>
  </si>
  <si>
    <t>ESCALA 1M30.5</t>
  </si>
  <si>
    <t>2610.017.013-000</t>
  </si>
  <si>
    <t>2610.017.014-000</t>
  </si>
  <si>
    <t>CUBIERTA Rx 1600A01D91</t>
  </si>
  <si>
    <t>2610.017.015-000</t>
  </si>
  <si>
    <t>FILTRO 1M30.5</t>
  </si>
  <si>
    <t>2610.017.016-000</t>
  </si>
  <si>
    <t>ARANDELA 6425-80</t>
  </si>
  <si>
    <t>2610.017.017-000</t>
  </si>
  <si>
    <t>CAJA DE ENGRANAJES 1M30.5</t>
  </si>
  <si>
    <t>2610.017.018-000</t>
  </si>
  <si>
    <t>2610.017.019-000</t>
  </si>
  <si>
    <t>MESA 1M30.5</t>
  </si>
  <si>
    <t>2610.017.020-000</t>
  </si>
  <si>
    <t>JUEGO PIEZAS DE FIJACION 1M30.5</t>
  </si>
  <si>
    <t>2610.017.021-000</t>
  </si>
  <si>
    <t>HUSILLO 1M30.5</t>
  </si>
  <si>
    <t>2610.017.022-000</t>
  </si>
  <si>
    <t>CADENA 1M30.5</t>
  </si>
  <si>
    <t>2610.017.023-000</t>
  </si>
  <si>
    <t>2610.017.024-000</t>
  </si>
  <si>
    <t>2610.017.025-000</t>
  </si>
  <si>
    <t>2610.017.026-000</t>
  </si>
  <si>
    <t>2610.017.027-000</t>
  </si>
  <si>
    <t>EJE C/DEDOS 1M30.5</t>
  </si>
  <si>
    <t>2610.017.028-000</t>
  </si>
  <si>
    <t>2610.017.029-000</t>
  </si>
  <si>
    <t>2610.017.030-000</t>
  </si>
  <si>
    <t>APRIETE ELASTICO 1M30.5</t>
  </si>
  <si>
    <t>2610.017.031-000</t>
  </si>
  <si>
    <t>2610.017.032-000</t>
  </si>
  <si>
    <t>2610.017.033-000</t>
  </si>
  <si>
    <t>PROTECCION CONTRA CONTACT 1M30.5</t>
  </si>
  <si>
    <t>2610.017.034-000</t>
  </si>
  <si>
    <t>CUBIERTA DE PROTECCION 1M30.5</t>
  </si>
  <si>
    <t>2610.017.035-000</t>
  </si>
  <si>
    <t>TOPE PARA INGLETES 1M30.5</t>
  </si>
  <si>
    <t>2610.017.036-000</t>
  </si>
  <si>
    <t>2610.017.037-000</t>
  </si>
  <si>
    <t>MODULO ELECTRONICO 1B30.5</t>
  </si>
  <si>
    <t>2610.017.038-000</t>
  </si>
  <si>
    <t>2610.017.039-000</t>
  </si>
  <si>
    <t>2610.017.040-000</t>
  </si>
  <si>
    <t>CABLE DE ENLACE 1M30.5</t>
  </si>
  <si>
    <t>2610.017.041-000</t>
  </si>
  <si>
    <t>2610.017.046-000</t>
  </si>
  <si>
    <t>AISLADOR 1M30.5</t>
  </si>
  <si>
    <t>2610.017.047-000</t>
  </si>
  <si>
    <t>2610.017.049-000</t>
  </si>
  <si>
    <t>CUNA DE PARTIR 1M30.5</t>
  </si>
  <si>
    <t>2610.017.050-000</t>
  </si>
  <si>
    <t>2610.017.051-000</t>
  </si>
  <si>
    <t>2610.017.052-000</t>
  </si>
  <si>
    <t>2610.017.053-000</t>
  </si>
  <si>
    <t>SUJECION 1M30.5</t>
  </si>
  <si>
    <t>2610.017.054-000</t>
  </si>
  <si>
    <t>2610.017.056-000</t>
  </si>
  <si>
    <t>2610.017.057-000</t>
  </si>
  <si>
    <t>2610.017.058-000</t>
  </si>
  <si>
    <t>MUELLE DE TORSIÓN 1M30.5</t>
  </si>
  <si>
    <t>2610.017.060-000</t>
  </si>
  <si>
    <t>2610.017.110-000</t>
  </si>
  <si>
    <t>2610.017.111-000</t>
  </si>
  <si>
    <t>INSERTO 1M30.5</t>
  </si>
  <si>
    <t>2610.017.161-000</t>
  </si>
  <si>
    <t>CUBIERTA DE ASPIRACIÓN DE POLVO</t>
  </si>
  <si>
    <t>2610.017.262-000</t>
  </si>
  <si>
    <t>TORNILLO 1573</t>
  </si>
  <si>
    <t>2610.017.348-000</t>
  </si>
  <si>
    <t>2610.017.642-000</t>
  </si>
  <si>
    <t>ARANDELA 6125-80</t>
  </si>
  <si>
    <t>2610.017.807-000</t>
  </si>
  <si>
    <t>Carcasa Delantera</t>
  </si>
  <si>
    <t>2610.017.808-000</t>
  </si>
  <si>
    <t>2610.018.332-000</t>
  </si>
  <si>
    <t>JUEGO DE ESCOBILLAS 1M30.5</t>
  </si>
  <si>
    <t>2610.018.374-000</t>
  </si>
  <si>
    <t>CUBIERTA PROTECTORA 1M30.5</t>
  </si>
  <si>
    <t>2610.018.461-000</t>
  </si>
  <si>
    <t>CORREA</t>
  </si>
  <si>
    <t>2610.018.891-000</t>
  </si>
  <si>
    <t>Conjunto de piezas de repuesto de motor</t>
  </si>
  <si>
    <t>2610.018.983-000</t>
  </si>
  <si>
    <t>TORNILLO NUEVO 1M30.5</t>
  </si>
  <si>
    <t>2610.018.987-000</t>
  </si>
  <si>
    <t>MODULO ELECTRONICO 1F24.0</t>
  </si>
  <si>
    <t>2610.019.122-000</t>
  </si>
  <si>
    <t>2610.019.126-000</t>
  </si>
  <si>
    <t>BASE 1M30.5</t>
  </si>
  <si>
    <t>2610.020.639-000</t>
  </si>
  <si>
    <t>CASQUILLO DE AGUJAS 1668/67</t>
  </si>
  <si>
    <t>2610.020.656-000</t>
  </si>
  <si>
    <t>PERNO HD5660-41</t>
  </si>
  <si>
    <t>2610.020.858-000</t>
  </si>
  <si>
    <t>ESCUDO 1M30.5</t>
  </si>
  <si>
    <t>2610.020.934-000</t>
  </si>
  <si>
    <t>INDUCIDO GCM 12 RA 911695</t>
  </si>
  <si>
    <t>2610.020.976-000</t>
  </si>
  <si>
    <t>ESTATOR 1B21.0 RA 911693</t>
  </si>
  <si>
    <t>2610.021.159-000</t>
  </si>
  <si>
    <t>2610.021.218-000</t>
  </si>
  <si>
    <t>INTERRUPTOR DREMEL 3000 =2610021214</t>
  </si>
  <si>
    <t>2610.021.281-000</t>
  </si>
  <si>
    <t>MODULO ELECTRONICO 8220</t>
  </si>
  <si>
    <t>2610.021.311-000</t>
  </si>
  <si>
    <t>2610.021.321-000</t>
  </si>
  <si>
    <t>Conjunto Induzido</t>
  </si>
  <si>
    <t>2610.021.327-000</t>
  </si>
  <si>
    <t>2610.022.571-000</t>
  </si>
  <si>
    <t>KIT DE MANTENIMIENTO 1B20.5</t>
  </si>
  <si>
    <t>2610.023.173-000</t>
  </si>
  <si>
    <t>PATIN 1M30.5</t>
  </si>
  <si>
    <t>2610.023.174-000</t>
  </si>
  <si>
    <t>ARANDELA ELASTICA DENTADA 1M30.5</t>
  </si>
  <si>
    <t>2610.023.231-000</t>
  </si>
  <si>
    <t>PLACA DE BASE 1619</t>
  </si>
  <si>
    <t>2610.024.569-000</t>
  </si>
  <si>
    <t>ADAPTADOR</t>
  </si>
  <si>
    <t>2610.024.574-000</t>
  </si>
  <si>
    <t>Rueda De Correa</t>
  </si>
  <si>
    <t>2610.024.575-000</t>
  </si>
  <si>
    <t>Rueda Impulsora</t>
  </si>
  <si>
    <t>2610.024.626-000</t>
  </si>
  <si>
    <t>TUERCA REMACHE 1B20.5</t>
  </si>
  <si>
    <t>2610.024.627-000</t>
  </si>
  <si>
    <t>PEDESTAL DE COJINETE 1B20.5</t>
  </si>
  <si>
    <t>2610.025.596-000</t>
  </si>
  <si>
    <t>INDUCIDO 230V 1F24.0</t>
  </si>
  <si>
    <t>2610.026.126-000</t>
  </si>
  <si>
    <t>ARANDELA 4115-80 DISCONT.</t>
  </si>
  <si>
    <t>2610.026.667-000</t>
  </si>
  <si>
    <t>2610.027.360-000</t>
  </si>
  <si>
    <t>2610.027.372-000</t>
  </si>
  <si>
    <t>ARANDELA PLANA  1B20.0</t>
  </si>
  <si>
    <t>2610.027.396-000</t>
  </si>
  <si>
    <t>ARANDELA 6125-80/1B20.5</t>
  </si>
  <si>
    <t>2610.027.445-000</t>
  </si>
  <si>
    <t>ARANDELA 4395-4115-4225-4235</t>
  </si>
  <si>
    <t>2610.028.780-000</t>
  </si>
  <si>
    <t>PERNOS 6125-80</t>
  </si>
  <si>
    <t>2610.029.234-000</t>
  </si>
  <si>
    <t>ARANDELA PLANA  1B20.5</t>
  </si>
  <si>
    <t>2610.029.562-000</t>
  </si>
  <si>
    <t>TUERCA MARIPOSA 1573</t>
  </si>
  <si>
    <t>2610.030.004-000</t>
  </si>
  <si>
    <t>ANILLO DE FIELTRO SP 14,0 1F4J.0</t>
  </si>
  <si>
    <t>2610.031.628-000</t>
  </si>
  <si>
    <t>Escuadra De Montaje</t>
  </si>
  <si>
    <t>2610.031.712-000</t>
  </si>
  <si>
    <t>2610.031.874-000</t>
  </si>
  <si>
    <t>OBJETIVO 8050</t>
  </si>
  <si>
    <t>2610.031.876-000</t>
  </si>
  <si>
    <t>BOTON PALPADOR 8050</t>
  </si>
  <si>
    <t>2610.031.877-000</t>
  </si>
  <si>
    <t>2610.031.890-000</t>
  </si>
  <si>
    <t>2610.033.091-000</t>
  </si>
  <si>
    <t>SIERRA DE ARCO</t>
  </si>
  <si>
    <t>2610.033.160-000</t>
  </si>
  <si>
    <t>BRIDA 8050</t>
  </si>
  <si>
    <t>2610.033.555-000</t>
  </si>
  <si>
    <t>2610.033.559-000</t>
  </si>
  <si>
    <t>Tapa Protectora Virable</t>
  </si>
  <si>
    <t>2610.033.560-000</t>
  </si>
  <si>
    <t>2610.033.561-000</t>
  </si>
  <si>
    <t>2610.033.563-000</t>
  </si>
  <si>
    <t>Palanca De Ajuste</t>
  </si>
  <si>
    <t>2610.033.564-000</t>
  </si>
  <si>
    <t>2610.033.566-000</t>
  </si>
  <si>
    <t>Alojamiento De Cojinete</t>
  </si>
  <si>
    <t>2610.033.571-000</t>
  </si>
  <si>
    <t>2610.033.572-000</t>
  </si>
  <si>
    <t>2610.033.576-000</t>
  </si>
  <si>
    <t>Insonorizante</t>
  </si>
  <si>
    <t>2610.033.577-000</t>
  </si>
  <si>
    <t>2610.033.578-000</t>
  </si>
  <si>
    <t>Barra De Sujeción</t>
  </si>
  <si>
    <t>2610.033.579-000</t>
  </si>
  <si>
    <t>2610.033.580-000</t>
  </si>
  <si>
    <t>2610.033.581-000</t>
  </si>
  <si>
    <t>Perno De Bloqueo</t>
  </si>
  <si>
    <t>2610.033.592-000</t>
  </si>
  <si>
    <t>CONJUNTO INDUZIDO 220V 9050</t>
  </si>
  <si>
    <t>2610.033.601-000</t>
  </si>
  <si>
    <t>BLOQUEO DEL EJE</t>
  </si>
  <si>
    <t>2610.033.602-000</t>
  </si>
  <si>
    <t>2610.033.603-000</t>
  </si>
  <si>
    <t>CIRCUITO IMPRESO 220 V</t>
  </si>
  <si>
    <t>2610.033.606-000</t>
  </si>
  <si>
    <t>TORNILLO MARIPOSA</t>
  </si>
  <si>
    <t>2610.033.973-000</t>
  </si>
  <si>
    <t>CARGADOR BASE 8050</t>
  </si>
  <si>
    <t>2610.033.988-000</t>
  </si>
  <si>
    <t>CARGADOR S008MA1200050</t>
  </si>
  <si>
    <t>2610.034.087-000</t>
  </si>
  <si>
    <t>2610.034.090-000</t>
  </si>
  <si>
    <t>2610.034.094-000</t>
  </si>
  <si>
    <t>2610.034.095-000</t>
  </si>
  <si>
    <t>2610.034.096-000</t>
  </si>
  <si>
    <t>Gancho De Montaje</t>
  </si>
  <si>
    <t>2610.034.103-000</t>
  </si>
  <si>
    <t>2610.034.140-000</t>
  </si>
  <si>
    <t>2610.034.141-000</t>
  </si>
  <si>
    <t>2610.034.142-000</t>
  </si>
  <si>
    <t>2610.034.143-000</t>
  </si>
  <si>
    <t>2610.034.144-000</t>
  </si>
  <si>
    <t>2610.034.145-000</t>
  </si>
  <si>
    <t>2610.034.146-000</t>
  </si>
  <si>
    <t>2610.034.147-000</t>
  </si>
  <si>
    <t>2610.034.148-000</t>
  </si>
  <si>
    <t>2610.034.150-000</t>
  </si>
  <si>
    <t>2610.034.151-000</t>
  </si>
  <si>
    <t>2610.034.153-000</t>
  </si>
  <si>
    <t>2610.034.156-000</t>
  </si>
  <si>
    <t>2610.034.157-000</t>
  </si>
  <si>
    <t>2610.034.158-000</t>
  </si>
  <si>
    <t>2610.034.159-000</t>
  </si>
  <si>
    <t>2610.034.161-000</t>
  </si>
  <si>
    <t>Llave Exagonal De Tubo</t>
  </si>
  <si>
    <t>2610.035.222-000</t>
  </si>
  <si>
    <t>2610.035.267-000</t>
  </si>
  <si>
    <t>2610.035.686-000</t>
  </si>
  <si>
    <t>2610.035.687-000</t>
  </si>
  <si>
    <t>USB CABLE 3D40/3D20</t>
  </si>
  <si>
    <t>2610.035.688-000</t>
  </si>
  <si>
    <t>APOYO 3D20</t>
  </si>
  <si>
    <t>2610.039.153-000</t>
  </si>
  <si>
    <t>2610.039.904-000</t>
  </si>
  <si>
    <t>CONDUCTOR 6125-80</t>
  </si>
  <si>
    <t>2610.042.699-000</t>
  </si>
  <si>
    <t>RODAMIENTO 1835 U1-HD 1400-80</t>
  </si>
  <si>
    <t>2610.043.378-000</t>
  </si>
  <si>
    <t>2610.045.182-000</t>
  </si>
  <si>
    <t>2610.052.109-000</t>
  </si>
  <si>
    <t>Junta torica             g</t>
  </si>
  <si>
    <t>2610.060.362-000</t>
  </si>
  <si>
    <t>2610.061.550-000</t>
  </si>
  <si>
    <t>TUERCA CILINDRICA 9345 RX 2915.011.007</t>
  </si>
  <si>
    <t>2610.062.425-000</t>
  </si>
  <si>
    <t>TORNILLO 4365/4465</t>
  </si>
  <si>
    <t>2610.062.916-000</t>
  </si>
  <si>
    <t>PERNO 1400 - DISCONTINUADO</t>
  </si>
  <si>
    <t>2610.068.566-000</t>
  </si>
  <si>
    <t>ARANDELA  5150</t>
  </si>
  <si>
    <t>2610.069.183-000</t>
  </si>
  <si>
    <t>2610.072.554-000</t>
  </si>
  <si>
    <t>PERNO 4395-80</t>
  </si>
  <si>
    <t>2610.096.901-000</t>
  </si>
  <si>
    <t>CARTER EMBRAGUE 6906  RA351867</t>
  </si>
  <si>
    <t>2610.233.020-000</t>
  </si>
  <si>
    <t>MÓDULO DE ARRANQUE SUAVE</t>
  </si>
  <si>
    <t>2610.296.243-000</t>
  </si>
  <si>
    <t>2610.297.323-000</t>
  </si>
  <si>
    <t>2610.302.855-000</t>
  </si>
  <si>
    <t>ANILLO 1619 RX 2610931544000</t>
  </si>
  <si>
    <t>2610.303.020-000</t>
  </si>
  <si>
    <t>2610.303.023-000</t>
  </si>
  <si>
    <t>2610.303.026-000</t>
  </si>
  <si>
    <t>2610.303.029-000</t>
  </si>
  <si>
    <t>2610.304.772-000</t>
  </si>
  <si>
    <t>TUERCA HEXAGONAL 1B30.0/.2</t>
  </si>
  <si>
    <t>2610.305.670-000</t>
  </si>
  <si>
    <t>RODAMIENTO 7313  DISCONT.</t>
  </si>
  <si>
    <t>2610.309.525-000</t>
  </si>
  <si>
    <t>TOPE PROFUNDIDAD 6425 DISC.</t>
  </si>
  <si>
    <t>2610.309.996-000</t>
  </si>
  <si>
    <t>ARANDELA 1B21.0/1B20.0</t>
  </si>
  <si>
    <t>2610.313.808-000</t>
  </si>
  <si>
    <t>ARANDELA 5150</t>
  </si>
  <si>
    <t>2610.315.386-000</t>
  </si>
  <si>
    <t>2610.315.865-000</t>
  </si>
  <si>
    <t>ESTATOR 6225</t>
  </si>
  <si>
    <t>2610.320.126-000</t>
  </si>
  <si>
    <t>ARANDELA 1B20.5</t>
  </si>
  <si>
    <t>2610.320.339-000</t>
  </si>
  <si>
    <t>2610.320.345-000</t>
  </si>
  <si>
    <t>2610.320.418-000</t>
  </si>
  <si>
    <t>RESORTE 1573/5150 OBSOLETO</t>
  </si>
  <si>
    <t>2610.320.494-000</t>
  </si>
  <si>
    <t>2610.320.548-000</t>
  </si>
  <si>
    <t>PORTAESCOBILLAS 1BA2.0/1C87.5</t>
  </si>
  <si>
    <t>2610.321.417-000</t>
  </si>
  <si>
    <t>CARBON RX 2610994016</t>
  </si>
  <si>
    <t>2610.321.605-000</t>
  </si>
  <si>
    <t>CIERRE 4115-4225-4235</t>
  </si>
  <si>
    <t>2610.321.608-000</t>
  </si>
  <si>
    <t>INTERRUPTOR 5150/HD 1986-32</t>
  </si>
  <si>
    <t>2610.326.017-000</t>
  </si>
  <si>
    <t>PORTACARBONES 7313</t>
  </si>
  <si>
    <t>2610.326.023-000</t>
  </si>
  <si>
    <t>ANILLO DE GOMA OBSOLETO</t>
  </si>
  <si>
    <t>2610.326.529-000</t>
  </si>
  <si>
    <t>BUJE 4235-4115-4225-4365-4465 -  DISCONT</t>
  </si>
  <si>
    <t>2610.326.586-000</t>
  </si>
  <si>
    <t>ARANDELA 4115-4225-4235 OBSOLETO</t>
  </si>
  <si>
    <t>2610.327.772-000</t>
  </si>
  <si>
    <t>2610.327.868-000</t>
  </si>
  <si>
    <t>2610.328.605-000</t>
  </si>
  <si>
    <t>2610.328.617-000</t>
  </si>
  <si>
    <t>2610.328.618-000</t>
  </si>
  <si>
    <t>2610.329.896-000</t>
  </si>
  <si>
    <t>BORNE 1C87.5</t>
  </si>
  <si>
    <t>2610.329.898-000</t>
  </si>
  <si>
    <t>RESORTE P/CARBONES 4115-80</t>
  </si>
  <si>
    <t>2610.335.225-000</t>
  </si>
  <si>
    <t>ESTATOR 9105-41</t>
  </si>
  <si>
    <t>2610.341.255-000</t>
  </si>
  <si>
    <t>TAMPA DA CARCAÇA - DISCONTINUADO</t>
  </si>
  <si>
    <t>2610.341.257-000</t>
  </si>
  <si>
    <t>PORTACARBON 1573-1835</t>
  </si>
  <si>
    <t>2610.341.268-000</t>
  </si>
  <si>
    <t>CUBREDISCO 1573/5150</t>
  </si>
  <si>
    <t>2610.341.288-000</t>
  </si>
  <si>
    <t>BUJE 5150-5250 OBSOLETO</t>
  </si>
  <si>
    <t>2610.341.299-000</t>
  </si>
  <si>
    <t>LLAVE P/TUERCAS 1573/5150</t>
  </si>
  <si>
    <t>2610.341.304-000</t>
  </si>
  <si>
    <t>CUBREDISCO 5150</t>
  </si>
  <si>
    <t>2610.341.307-000</t>
  </si>
  <si>
    <t>INDUCIDO 5150</t>
  </si>
  <si>
    <t>2610.341.343-000</t>
  </si>
  <si>
    <t>CARBON (X1) 5150 OBSOLETO</t>
  </si>
  <si>
    <t>2610.341.347-000</t>
  </si>
  <si>
    <t>2610.341.350-000</t>
  </si>
  <si>
    <t>ENGRANAJE 5150 - DISCONTINUADO</t>
  </si>
  <si>
    <t>2610.341.354-000</t>
  </si>
  <si>
    <t>SEGURO  5150</t>
  </si>
  <si>
    <t>2610.341.359-000</t>
  </si>
  <si>
    <t>ANILLO 1573 / 5150</t>
  </si>
  <si>
    <t>2610.341.361-000</t>
  </si>
  <si>
    <t>TUERCA Y BRIDA 1573  OBSOLETO</t>
  </si>
  <si>
    <t>2610.341.363-000</t>
  </si>
  <si>
    <t>PALAN.CUBRED.1986-RX2610351898</t>
  </si>
  <si>
    <t>2610.341.366-000</t>
  </si>
  <si>
    <t>CASQUILLO 1573/5150</t>
  </si>
  <si>
    <t>2610.341.392-000</t>
  </si>
  <si>
    <t>VENTILADOR 1573.060</t>
  </si>
  <si>
    <t>2610.341.394-000</t>
  </si>
  <si>
    <t>TOPE DE GOMA 1573/5150</t>
  </si>
  <si>
    <t>2610.341.395-000</t>
  </si>
  <si>
    <t>INDUCIDO 5250(110V)-NO UTILIZ.</t>
  </si>
  <si>
    <t>2610.341.396-000</t>
  </si>
  <si>
    <t>INDUCIDO 5250</t>
  </si>
  <si>
    <t>2610.341.405-000</t>
  </si>
  <si>
    <t>ESTATOR 5150/5250/5366/5266-RA329858</t>
  </si>
  <si>
    <t>2610.341.465-000</t>
  </si>
  <si>
    <t>ARANDELA 5150/1B30 OBSOLETO</t>
  </si>
  <si>
    <t>2610.346.315-000</t>
  </si>
  <si>
    <t>BASE 4115-4225-4235</t>
  </si>
  <si>
    <t>2610.346.316-000</t>
  </si>
  <si>
    <t>CREMALLERA 4395-4365-4465</t>
  </si>
  <si>
    <t>2610.346.317-000</t>
  </si>
  <si>
    <t>ENGRANAJE 4395-4365-4465 OBSOLETO</t>
  </si>
  <si>
    <t>2610.346.320-000</t>
  </si>
  <si>
    <t>PERILLA  4395-80 OBSOLETO</t>
  </si>
  <si>
    <t>2610.346.330-000</t>
  </si>
  <si>
    <t>CONTRA PESO</t>
  </si>
  <si>
    <t>2610.346.332-000</t>
  </si>
  <si>
    <t>VENTIL.INDUCIDO 4115-4225-4235</t>
  </si>
  <si>
    <t>2610.346.341-000</t>
  </si>
  <si>
    <t>BUJE PUENTE 4115-4225-4235 - DISCONTINUA</t>
  </si>
  <si>
    <t>2610.346.342-000</t>
  </si>
  <si>
    <t>SOPORTE 4395-80 - DISCONTINUADO</t>
  </si>
  <si>
    <t>2610.346.349-000</t>
  </si>
  <si>
    <t>TAPA COBERTURA 4115-4225-4235 - DISCONT.</t>
  </si>
  <si>
    <t>2610.346.351-000</t>
  </si>
  <si>
    <t>PLACA DE SUJECION 4115-4465</t>
  </si>
  <si>
    <t>2610.346.352-000</t>
  </si>
  <si>
    <t>EXCENTRICO 4395-80 - DISCONTINUADO</t>
  </si>
  <si>
    <t>2610.346.358-000</t>
  </si>
  <si>
    <t>RESORTE 4395-80</t>
  </si>
  <si>
    <t>2610.346.362-000</t>
  </si>
  <si>
    <t>ENGRANAJE 4115-4225-4235</t>
  </si>
  <si>
    <t>2610.346.364-000</t>
  </si>
  <si>
    <t>ENGRANAJE 4395-80</t>
  </si>
  <si>
    <t>2610.346.370-000</t>
  </si>
  <si>
    <t>PERILLA 4395-80 - DISCONTINUADO</t>
  </si>
  <si>
    <t>2610.346.372-000</t>
  </si>
  <si>
    <t>BUJE 4395-4115-4225-4235 - DISCONTINUADO</t>
  </si>
  <si>
    <t>2610.346.373-000</t>
  </si>
  <si>
    <t>BUJE 4395-80</t>
  </si>
  <si>
    <t>2610.346.374-000</t>
  </si>
  <si>
    <t>TORNILLO 4115-80 OBSOLETO</t>
  </si>
  <si>
    <t>2610.346.380-000</t>
  </si>
  <si>
    <t>ARANDELA 4235-6125-4225-4115</t>
  </si>
  <si>
    <t>2610.346.381-000</t>
  </si>
  <si>
    <t>TUERCA 4115-4225-4235</t>
  </si>
  <si>
    <t>2610.346.454-000</t>
  </si>
  <si>
    <t>INDUCIDO 4115-4225-4235 OBSOLETO</t>
  </si>
  <si>
    <t>2610.346.455-000</t>
  </si>
  <si>
    <t>INDUCIDO 6345 OBSOLETO</t>
  </si>
  <si>
    <t>2610.346.456-000</t>
  </si>
  <si>
    <t>INDUCIDO 6425-80</t>
  </si>
  <si>
    <t>2610.346.459-000</t>
  </si>
  <si>
    <t>INDUCIDO 6125-80</t>
  </si>
  <si>
    <t>2610.346.554-000</t>
  </si>
  <si>
    <t>TORNILLO HEXAGONAL 1573/5150RX1619X00935</t>
  </si>
  <si>
    <t>2610.346.603-000</t>
  </si>
  <si>
    <t>INTERRUPTOR 6125-80</t>
  </si>
  <si>
    <t>2610.346.609-000</t>
  </si>
  <si>
    <t>INTERRUPTOR 4115-80 OBSOLETO</t>
  </si>
  <si>
    <t>2610.346.618-000</t>
  </si>
  <si>
    <t>2610.346.793-000</t>
  </si>
  <si>
    <t>MUELLE DE LAMINA 4365/4465</t>
  </si>
  <si>
    <t>2610.347.092-000</t>
  </si>
  <si>
    <t>ARANDELA PLANA 1M30.5</t>
  </si>
  <si>
    <t>2610.347.100-000</t>
  </si>
  <si>
    <t>2610.347.126-000</t>
  </si>
  <si>
    <t>PLACA BASE  5150 OBSOLETO</t>
  </si>
  <si>
    <t>2610.347.301-000</t>
  </si>
  <si>
    <t>PALANCA 6425-80</t>
  </si>
  <si>
    <t>2610.347.305-000</t>
  </si>
  <si>
    <t>SOPORTE 6345</t>
  </si>
  <si>
    <t>2610.347.349-000</t>
  </si>
  <si>
    <t>PLAQUETA 6125-80</t>
  </si>
  <si>
    <t>2610.347.350-000</t>
  </si>
  <si>
    <t>RESORTE 6425-80</t>
  </si>
  <si>
    <t>2610.347.358-000</t>
  </si>
  <si>
    <t>2610.347.363-000</t>
  </si>
  <si>
    <t>SOPORTE 6125-80 OBSOLETO</t>
  </si>
  <si>
    <t>2610.347.406-000</t>
  </si>
  <si>
    <t>INDUCIDO 1573.0</t>
  </si>
  <si>
    <t>2610.347.486-000</t>
  </si>
  <si>
    <t>2610.347.566-000</t>
  </si>
  <si>
    <t>BUJE 4115-4225-4235 OBSOLETO</t>
  </si>
  <si>
    <t>2610.347.892-000</t>
  </si>
  <si>
    <t>ESPUMA PLASTICA 5150</t>
  </si>
  <si>
    <t>2610.347.911-000</t>
  </si>
  <si>
    <t>BRIDA DE MOTOR 2105</t>
  </si>
  <si>
    <t>2610.347.918-000</t>
  </si>
  <si>
    <t>ENGRANAJE 2136-2105 - DISCONTINUADO</t>
  </si>
  <si>
    <t>2610.347.948-000</t>
  </si>
  <si>
    <t>TORNILLO DREMEL 7700</t>
  </si>
  <si>
    <t>2610.348.065-000</t>
  </si>
  <si>
    <t>BUJE 6425-80</t>
  </si>
  <si>
    <t>2610.348.355-000</t>
  </si>
  <si>
    <t>INTERRUPTOR 5150/5266 - RA385129</t>
  </si>
  <si>
    <t>2610.348.357-000</t>
  </si>
  <si>
    <t>RESORTE 6425</t>
  </si>
  <si>
    <t>2610.348.374-000</t>
  </si>
  <si>
    <t>PLAQUETA 6425-80</t>
  </si>
  <si>
    <t>2610.348.394-000</t>
  </si>
  <si>
    <t>BUJE 5150 RX2610921176</t>
  </si>
  <si>
    <t>2610.348.399-000</t>
  </si>
  <si>
    <t>INTERRUPTOR 1573      RX916005</t>
  </si>
  <si>
    <t>2610.348.570-000</t>
  </si>
  <si>
    <t>JUNTA 6901/6906 OBSOLETO</t>
  </si>
  <si>
    <t>2610.348.586-000</t>
  </si>
  <si>
    <t>DEFLECTOR 6901/6906</t>
  </si>
  <si>
    <t>2610.348.609-000</t>
  </si>
  <si>
    <t>RODAMIENTO DE AGUJAS 7313</t>
  </si>
  <si>
    <t>2610.348.613-000</t>
  </si>
  <si>
    <t>SOPORTE 6901/6906 OBSOLETO</t>
  </si>
  <si>
    <t>2610.348.614-000</t>
  </si>
  <si>
    <t>PORTA TERMINALES 6901/6906 - DISCONT.</t>
  </si>
  <si>
    <t>2610.348.621-000</t>
  </si>
  <si>
    <t>TORNILLO 6901/6906 OBSOLETO</t>
  </si>
  <si>
    <t>2610.348.628-000</t>
  </si>
  <si>
    <t>2610.350.009-000</t>
  </si>
  <si>
    <t>CAJA ENGRANAJES 2105</t>
  </si>
  <si>
    <t>2610.350.103-000</t>
  </si>
  <si>
    <t>ESPIGA 12A2.0 RA 1619PA0703</t>
  </si>
  <si>
    <t>2610.350.311-000</t>
  </si>
  <si>
    <t>RODAMIENTO 99R8 1573/5266</t>
  </si>
  <si>
    <t>2610.350.352-000</t>
  </si>
  <si>
    <t>2610.350.359-000</t>
  </si>
  <si>
    <t>SOPORTE 2136-2105</t>
  </si>
  <si>
    <t>2610.350.360-000</t>
  </si>
  <si>
    <t>LEVA 4395-80</t>
  </si>
  <si>
    <t>2610.350.377-000</t>
  </si>
  <si>
    <t>ENGRANAJE REEMPL X 2610993502</t>
  </si>
  <si>
    <t>2610.350.554-000</t>
  </si>
  <si>
    <t>EJE 9410 T.1-80    OBSOLETO</t>
  </si>
  <si>
    <t>2610.350.555-000</t>
  </si>
  <si>
    <t>BRIDA DE APOYO 9410</t>
  </si>
  <si>
    <t>2610.350.556-000</t>
  </si>
  <si>
    <t>PIÑON Y CORONA 9410 T.1-80</t>
  </si>
  <si>
    <t>2610.350.558-000</t>
  </si>
  <si>
    <t>ARANDELA 9410 T.1-80</t>
  </si>
  <si>
    <t>2610.350.560-000</t>
  </si>
  <si>
    <t>PLATO DE RETENCION SKIL</t>
  </si>
  <si>
    <t>2610.350.567-000</t>
  </si>
  <si>
    <t>PORTACARBON 9410</t>
  </si>
  <si>
    <t>2610.350.568-000</t>
  </si>
  <si>
    <t>CARBONES 9410 DISCONTINUADO</t>
  </si>
  <si>
    <t>2610.350.570-000</t>
  </si>
  <si>
    <t>RESORTE 9410</t>
  </si>
  <si>
    <t>2610.350.571-000</t>
  </si>
  <si>
    <t>CORREDERA 9410 T.1-80</t>
  </si>
  <si>
    <t>2610.350.572-000</t>
  </si>
  <si>
    <t>2610.350.575-000</t>
  </si>
  <si>
    <t>INTERRUPTOR 9410 T.1-80</t>
  </si>
  <si>
    <t>2610.350.583-000</t>
  </si>
  <si>
    <t>RODAMIENTO 9410 T.1-80</t>
  </si>
  <si>
    <t>2610.350.655-000</t>
  </si>
  <si>
    <t>TOPE DE GOMA 5150/1986</t>
  </si>
  <si>
    <t>2610.350.657-000</t>
  </si>
  <si>
    <t>ENGRANAJE HD5660-41 RX 355586</t>
  </si>
  <si>
    <t>2610.350.662-000</t>
  </si>
  <si>
    <t>TAPA PORTACARBONES 1573/5150</t>
  </si>
  <si>
    <t>2610.350.665-000</t>
  </si>
  <si>
    <t>PALANCA 5150</t>
  </si>
  <si>
    <t>2610.350.667-000</t>
  </si>
  <si>
    <t>RESORTE HD5660-41</t>
  </si>
  <si>
    <t>2610.350.668-000</t>
  </si>
  <si>
    <t>BRIDA INT.APRIETA SIER.5550/60</t>
  </si>
  <si>
    <t>2610.350.672-000</t>
  </si>
  <si>
    <t>ENGRANAJE HD1986-32</t>
  </si>
  <si>
    <t>2610.350.677-000</t>
  </si>
  <si>
    <t>BRIDA EXTERIOR 1986</t>
  </si>
  <si>
    <t>2610.350.679-000</t>
  </si>
  <si>
    <t>BRIDA DE ROD. HD5550-41/1986</t>
  </si>
  <si>
    <t>2610.350.683-000</t>
  </si>
  <si>
    <t>CLIP HD5550-41</t>
  </si>
  <si>
    <t>2610.350.688-000</t>
  </si>
  <si>
    <t>COBERTOR   (USO DESCONOCIDO)</t>
  </si>
  <si>
    <t>2610.350.691-000</t>
  </si>
  <si>
    <t>PLACA BASE HD5660-41</t>
  </si>
  <si>
    <t>2610.350.720-000</t>
  </si>
  <si>
    <t>CUBREDISCO FIJO 5660 DISCONT.</t>
  </si>
  <si>
    <t>2610.350.729-000</t>
  </si>
  <si>
    <t>CUBREDISCO MOVIL 5660</t>
  </si>
  <si>
    <t>2610.350.758-000</t>
  </si>
  <si>
    <t>ENGRANAJ. DE MANDO 6906</t>
  </si>
  <si>
    <t>2610.350.763-000</t>
  </si>
  <si>
    <t>ANILLO 6901</t>
  </si>
  <si>
    <t>2610.350.765-000</t>
  </si>
  <si>
    <t>BRIDA INTERMEDIA 6901/6906</t>
  </si>
  <si>
    <t>2610.350.776-000</t>
  </si>
  <si>
    <t>ARANDELA  6901</t>
  </si>
  <si>
    <t>2610.350.777-000</t>
  </si>
  <si>
    <t>ARANDELA P/COJINETE 6901</t>
  </si>
  <si>
    <t>2610.350.781-000</t>
  </si>
  <si>
    <t>ANILLO DE JUNTA 6901</t>
  </si>
  <si>
    <t>2610.350.788-000</t>
  </si>
  <si>
    <t>INDUCIDO HD6912</t>
  </si>
  <si>
    <t>2610.350.793-000</t>
  </si>
  <si>
    <t>CAJA DE ENGRANAJES 6906</t>
  </si>
  <si>
    <t>2610.350.934-000</t>
  </si>
  <si>
    <t>ANILLO DE SEGURIDAD 6906</t>
  </si>
  <si>
    <t>2610.350.939-000</t>
  </si>
  <si>
    <t>ESTRIBO DE SUJECION 6901/6</t>
  </si>
  <si>
    <t>2610.350.941-000</t>
  </si>
  <si>
    <t>CASQUILLO DISTANCIADOR 6901/6</t>
  </si>
  <si>
    <t>2610.350.943-000</t>
  </si>
  <si>
    <t>TORNILLO 6901/6 OBSOLETO</t>
  </si>
  <si>
    <t>2610.350.945-000</t>
  </si>
  <si>
    <t>ANILLO DE JUNTA 6906</t>
  </si>
  <si>
    <t>2610.351.011-000</t>
  </si>
  <si>
    <t>ARANDELA DE AJUSTE 2272</t>
  </si>
  <si>
    <t>2610.351.012-000</t>
  </si>
  <si>
    <t>LEVA 2272</t>
  </si>
  <si>
    <t>2610.351.014-000</t>
  </si>
  <si>
    <t>MUELLE DE COMPRESION 2272</t>
  </si>
  <si>
    <t>2610.351.015-000</t>
  </si>
  <si>
    <t>PIÑON  2272 - DISCONTINUADO</t>
  </si>
  <si>
    <t>2610.351.016-000</t>
  </si>
  <si>
    <t>ENGRANAJE 2172/2272-32</t>
  </si>
  <si>
    <t>2610.351.018-000</t>
  </si>
  <si>
    <t>CHAPA TENS.2645/2745/2580/2480</t>
  </si>
  <si>
    <t>2610.351.034-000</t>
  </si>
  <si>
    <t>CASQUILLO 2272 - DISCONTINUADO</t>
  </si>
  <si>
    <t>2610.351.037-000</t>
  </si>
  <si>
    <t>ARBOL DE LEVAS 2272</t>
  </si>
  <si>
    <t>2610.351.040-000</t>
  </si>
  <si>
    <t>PLACA DE DESGASTE 2272</t>
  </si>
  <si>
    <t>2610.351.041-000</t>
  </si>
  <si>
    <t>PINZA DE SUJECION 2272</t>
  </si>
  <si>
    <t>2610.351.048-000</t>
  </si>
  <si>
    <t>SOPORTE 2272-32</t>
  </si>
  <si>
    <t>2610.351.049-000</t>
  </si>
  <si>
    <t>PLANETARIO 2272</t>
  </si>
  <si>
    <t>2610.351.201-000</t>
  </si>
  <si>
    <t>LLAVE FIJA 5150-1986-5550-5660</t>
  </si>
  <si>
    <t>2610.351.222-000</t>
  </si>
  <si>
    <t>RESORTE DE TRACCION 1986</t>
  </si>
  <si>
    <t>2610.351.285-000</t>
  </si>
  <si>
    <t>BUJE 5150 - DISCONTINUADO</t>
  </si>
  <si>
    <t>2610.351.295-000</t>
  </si>
  <si>
    <t>PERNO 1573.2/HD5660</t>
  </si>
  <si>
    <t>2610.351.348-000</t>
  </si>
  <si>
    <t>BUJE 4115-4225-4235-6125/6345</t>
  </si>
  <si>
    <t>2610.351.415-000</t>
  </si>
  <si>
    <t>ARANDELA PLANA 1B20.5</t>
  </si>
  <si>
    <t>2610.351.837-000</t>
  </si>
  <si>
    <t>ESTATOR HD5660-41 - DISCONTINUADO</t>
  </si>
  <si>
    <t>2610.351.851-000</t>
  </si>
  <si>
    <t>ANILLO 6901/6</t>
  </si>
  <si>
    <t>2610.351.853-000</t>
  </si>
  <si>
    <t>ANILLO DE SEGURIDAD 6901/6</t>
  </si>
  <si>
    <t>2610.351.861-000</t>
  </si>
  <si>
    <t>2610.351.898-000</t>
  </si>
  <si>
    <t>PALANC 5150-5550-1986</t>
  </si>
  <si>
    <t>2610.352.019-000</t>
  </si>
  <si>
    <t>BUJE 6125-80</t>
  </si>
  <si>
    <t>2610.352.042-000</t>
  </si>
  <si>
    <t>PIÑON 2136-2105</t>
  </si>
  <si>
    <t>2610.352.107-000</t>
  </si>
  <si>
    <t>PERNO 1B30.0/.2 RX 1619P01539000</t>
  </si>
  <si>
    <t>2610.352.355-000</t>
  </si>
  <si>
    <t>BUJE PUENTE 6345 OBSOLETO</t>
  </si>
  <si>
    <t>2610.352.367-000</t>
  </si>
  <si>
    <t>EJE C/ENGRANAJE 6345</t>
  </si>
  <si>
    <t>2610.352.373-000</t>
  </si>
  <si>
    <t>TORNILLO 7313 OBSOLETO</t>
  </si>
  <si>
    <t>2610.352.613-000</t>
  </si>
  <si>
    <t>PIÑON 2131/32</t>
  </si>
  <si>
    <t>2610.352.624-000</t>
  </si>
  <si>
    <t>GATILLO INTERRUP.2131/2272</t>
  </si>
  <si>
    <t>2610.352.629-000</t>
  </si>
  <si>
    <t>RODAMIENTO 2131/32</t>
  </si>
  <si>
    <t>2610.352.716-000</t>
  </si>
  <si>
    <t>MOTOR 3,6V 2105/36/2336 / 3927</t>
  </si>
  <si>
    <t>2610.352.770-000</t>
  </si>
  <si>
    <t>RODAMIENTO 7560-32 - DISCONTINUADO</t>
  </si>
  <si>
    <t>2610.352.772-000</t>
  </si>
  <si>
    <t>INDUCIDO 7560-32</t>
  </si>
  <si>
    <t>2610.352.773-000</t>
  </si>
  <si>
    <t>ESTATOR 7560-32</t>
  </si>
  <si>
    <t>2610.352.774-000</t>
  </si>
  <si>
    <t>BRIDA DE COJINETE 7560-32</t>
  </si>
  <si>
    <t>2610.352.805-000</t>
  </si>
  <si>
    <t>FIELTRO 7560-32</t>
  </si>
  <si>
    <t>2610.352.839-000</t>
  </si>
  <si>
    <t>ESTRIBO DE APRIETE 7560-32</t>
  </si>
  <si>
    <t>2610.352.840-000</t>
  </si>
  <si>
    <t>PLACA BASE 7560-32 OBSOLETO</t>
  </si>
  <si>
    <t>2610.352.856-000</t>
  </si>
  <si>
    <t>ANILLO DE AJUSTE 2272</t>
  </si>
  <si>
    <t>2610.352.858-000</t>
  </si>
  <si>
    <t>INTERRUPTOR 2105</t>
  </si>
  <si>
    <t>2610.352.875-000</t>
  </si>
  <si>
    <t>PLACA INTERMEDIA 6425-80</t>
  </si>
  <si>
    <t>2610.352.876-000</t>
  </si>
  <si>
    <t>ENGRANAJE 6425-80</t>
  </si>
  <si>
    <t>2610.352.893-000</t>
  </si>
  <si>
    <t>RESORTE 6901</t>
  </si>
  <si>
    <t>2610.353.027-000</t>
  </si>
  <si>
    <t>RODAMIENTO HD5550-41/HD1986-32</t>
  </si>
  <si>
    <t>2610.353.292-000</t>
  </si>
  <si>
    <t>MOTOR 2131/32</t>
  </si>
  <si>
    <t>2610.353.294-000</t>
  </si>
  <si>
    <t>ENGRANAJE 2131/32</t>
  </si>
  <si>
    <t>2610.353.356-000</t>
  </si>
  <si>
    <t>INDUCIDO 1835 U1</t>
  </si>
  <si>
    <t>2610.353.370-000</t>
  </si>
  <si>
    <t>PLACA INTERMEDIA 1823/35</t>
  </si>
  <si>
    <t>2610.353.371-000</t>
  </si>
  <si>
    <t>TOPE PROFUNDIDAD 1823/35</t>
  </si>
  <si>
    <t>2610.353.372-000</t>
  </si>
  <si>
    <t>TORNILLO PROFUNDIDAD 1823/35</t>
  </si>
  <si>
    <t>2610.353.373-000</t>
  </si>
  <si>
    <t>PERILLA  1835 U1</t>
  </si>
  <si>
    <t>2610.353.374-000</t>
  </si>
  <si>
    <t>TUERCA DE SUJECION 1835</t>
  </si>
  <si>
    <t>2610.353.376-000</t>
  </si>
  <si>
    <t>RESORTE COMPRESION 1823/3 OBSOLETO</t>
  </si>
  <si>
    <t>2610.353.377-000</t>
  </si>
  <si>
    <t>BOQUILLA 1/4"- 1823/1835 - DISCONTINUADO</t>
  </si>
  <si>
    <t>2610.353.378-000</t>
  </si>
  <si>
    <t>ARAND.COMPENSACION 1835 U1</t>
  </si>
  <si>
    <t>2610.353.379-000</t>
  </si>
  <si>
    <t>RESORTE TORSION 1823/35</t>
  </si>
  <si>
    <t>2610.353.380-000</t>
  </si>
  <si>
    <t>ESTRIBO ELASTICO 1823/35</t>
  </si>
  <si>
    <t>2610.353.381-000</t>
  </si>
  <si>
    <t>LLAVE FIJA 1823/1835/1870</t>
  </si>
  <si>
    <t>2610.353.384-000</t>
  </si>
  <si>
    <t>ESTATOR 1835 U1</t>
  </si>
  <si>
    <t>2610.353.395-000</t>
  </si>
  <si>
    <t>PROTECTOR VIRUTAS 1823/35</t>
  </si>
  <si>
    <t>2610.353.399-000</t>
  </si>
  <si>
    <t>TAPA INTERRUPTOR 1823/35</t>
  </si>
  <si>
    <t>2610.353.400-000</t>
  </si>
  <si>
    <t>CARCASA 1823/35</t>
  </si>
  <si>
    <t>2610.353.401-000</t>
  </si>
  <si>
    <t>TAPA DE MOTOR 1823/35 - DISCONTINUADO</t>
  </si>
  <si>
    <t>2610.353.407-000</t>
  </si>
  <si>
    <t>RESORTE 1835 U1</t>
  </si>
  <si>
    <t>2610.353.411-000</t>
  </si>
  <si>
    <t>GUARDAPOLVO INTERRUPTOR 1823 DISCONT.</t>
  </si>
  <si>
    <t>2610.353.412-000</t>
  </si>
  <si>
    <t>CASQUILLO 1823/35  - DISCONTINUADO</t>
  </si>
  <si>
    <t>2610.353.424-000</t>
  </si>
  <si>
    <t>PERNO ROSCADO 1835 U1 - DISCONTINUADO</t>
  </si>
  <si>
    <t>2610.353.425-000</t>
  </si>
  <si>
    <t>PLACA RETENCION 1823/35</t>
  </si>
  <si>
    <t>2610.353.426-000</t>
  </si>
  <si>
    <t>BASE 1835 OBSOLETO</t>
  </si>
  <si>
    <t>2610.353.433-000</t>
  </si>
  <si>
    <t>PERNO DE FIJACION 1823/35</t>
  </si>
  <si>
    <t>2610.353.434-000</t>
  </si>
  <si>
    <t>PERILLA 1835 U1 - DISCONTINUADO</t>
  </si>
  <si>
    <t>2610.353.446-000</t>
  </si>
  <si>
    <t>INTERRUPTOR 1835 U1 RX 996689</t>
  </si>
  <si>
    <t>2610.353.447-000</t>
  </si>
  <si>
    <t>PROTECTOR INTERRUPT. 1835 U1</t>
  </si>
  <si>
    <t>2610.353.495-000</t>
  </si>
  <si>
    <t>ENGRANAJE PLANET.2136-2105</t>
  </si>
  <si>
    <t>2610.353.752-000</t>
  </si>
  <si>
    <t>INTERRUPTOR 4395-4235</t>
  </si>
  <si>
    <t>2610.353.753-000</t>
  </si>
  <si>
    <t>INTERRUPTOR 6225-80/6425-80 DISCONTINUAD</t>
  </si>
  <si>
    <t>2610.353.754-000</t>
  </si>
  <si>
    <t>CARBONES (X1) 4115-4225-4235 - DISCONTI</t>
  </si>
  <si>
    <t>2610.353.759-000</t>
  </si>
  <si>
    <t>CARCASA 6425-80 OBSOLETO</t>
  </si>
  <si>
    <t>2610.353.949-000</t>
  </si>
  <si>
    <t>INTERRUPTOR 7313</t>
  </si>
  <si>
    <t>2610.353.992-000</t>
  </si>
  <si>
    <t>ESTATOR 6125-80/6345-80</t>
  </si>
  <si>
    <t>2610.353.993-000</t>
  </si>
  <si>
    <t>ESTATOR 6425-80</t>
  </si>
  <si>
    <t>2610.353.994-000</t>
  </si>
  <si>
    <t>ESTATOR 4115-4225-4235</t>
  </si>
  <si>
    <t>2610.353.999-000</t>
  </si>
  <si>
    <t>ESTATOR 6901/6</t>
  </si>
  <si>
    <t>2610.354.001-000</t>
  </si>
  <si>
    <t>POLEA 7313</t>
  </si>
  <si>
    <t>2610.354.011-000</t>
  </si>
  <si>
    <t>EJE DENTADO 7313</t>
  </si>
  <si>
    <t>2610.354.016-000</t>
  </si>
  <si>
    <t>RODILLO 7313</t>
  </si>
  <si>
    <t>2610.354.063-000</t>
  </si>
  <si>
    <t>INDUCIDO 7313 RX 996247</t>
  </si>
  <si>
    <t>2610.354.064-000</t>
  </si>
  <si>
    <t>ESTATOR 7313 OBSOLETO</t>
  </si>
  <si>
    <t>2610.354.369-000</t>
  </si>
  <si>
    <t>CARBONES 9105-41</t>
  </si>
  <si>
    <t>2610.354.385-000</t>
  </si>
  <si>
    <t>PLACA BASE  1823</t>
  </si>
  <si>
    <t>2610.354.398-000</t>
  </si>
  <si>
    <t>CARCASA 2105</t>
  </si>
  <si>
    <t>2610.354.457-000</t>
  </si>
  <si>
    <t>PIÑON 2336-32</t>
  </si>
  <si>
    <t>2610.354.662-000</t>
  </si>
  <si>
    <t>CARCASA INTERMEDIA 1823</t>
  </si>
  <si>
    <t>2610.354.697-000</t>
  </si>
  <si>
    <t>SOPORTE BLOQUEO 2105</t>
  </si>
  <si>
    <t>2610.354.721-000</t>
  </si>
  <si>
    <t>2610.354.744-000</t>
  </si>
  <si>
    <t>PINZA SUJECION 2136-2336</t>
  </si>
  <si>
    <t>2610.354.747-000</t>
  </si>
  <si>
    <t>ENGRANAJE 7313</t>
  </si>
  <si>
    <t>2610.355.200-000</t>
  </si>
  <si>
    <t>MANGUITO DE AJUSTE 6906</t>
  </si>
  <si>
    <t>2610.355.202-000</t>
  </si>
  <si>
    <t>RESORTE 6906</t>
  </si>
  <si>
    <t>2610.355.205-000</t>
  </si>
  <si>
    <t>JUNTA 6906</t>
  </si>
  <si>
    <t>2610.355.206-000</t>
  </si>
  <si>
    <t>RESORTE DE LAMINA 6901/6</t>
  </si>
  <si>
    <t>2610.355.207-000</t>
  </si>
  <si>
    <t>MANGUITO ROSCADO 6906</t>
  </si>
  <si>
    <t>2610.355.208-000</t>
  </si>
  <si>
    <t>HUSILLO 6906</t>
  </si>
  <si>
    <t>2610.355.209-000</t>
  </si>
  <si>
    <t>RODAMIENTO 6901/6</t>
  </si>
  <si>
    <t>2610.355.210-000</t>
  </si>
  <si>
    <t>HUSILLO 6901</t>
  </si>
  <si>
    <t>2610.355.211-000</t>
  </si>
  <si>
    <t>CARTER DE EMBRAGUE 6901 OBSOLETO</t>
  </si>
  <si>
    <t>2610.355.212-000</t>
  </si>
  <si>
    <t>CAPERUZA 6901</t>
  </si>
  <si>
    <t>2610.355.217-000</t>
  </si>
  <si>
    <t>PORTAHERRAMIENTAS 6901/6 OBSOLETO</t>
  </si>
  <si>
    <t>2610.355.264-000</t>
  </si>
  <si>
    <t>ARANDELA PLANA 1B21.0/1B20.0</t>
  </si>
  <si>
    <t>2610.355.267-000</t>
  </si>
  <si>
    <t>2610.355.272-000</t>
  </si>
  <si>
    <t>TUERCA 1B30.0</t>
  </si>
  <si>
    <t>2610.355.278-000</t>
  </si>
  <si>
    <t>TORNILLO P/3824/1B30</t>
  </si>
  <si>
    <t>2610.355.293-000</t>
  </si>
  <si>
    <t>2610.355.295-000</t>
  </si>
  <si>
    <t>2610.355.304-000</t>
  </si>
  <si>
    <t>ARANDELA PLANA  1B21.0</t>
  </si>
  <si>
    <t>2610.355.320-000</t>
  </si>
  <si>
    <t>ANILLO DE RETENCION 1B21.0</t>
  </si>
  <si>
    <t>2610.355.325-000</t>
  </si>
  <si>
    <t>2610.355.332-000</t>
  </si>
  <si>
    <t>TUERCA CUADRADA 1B20.0 - DISCONTINUADO</t>
  </si>
  <si>
    <t>2610.355.337-000</t>
  </si>
  <si>
    <t>2610.355.338-000</t>
  </si>
  <si>
    <t>TORNILLO 1B21.0/1B20.0</t>
  </si>
  <si>
    <t>2610.355.550-000</t>
  </si>
  <si>
    <t>BRIDA EXT.APRIETA SIER.5550/60 DISCONT.</t>
  </si>
  <si>
    <t>2610.355.559-000</t>
  </si>
  <si>
    <t>CUBREDISCO MOVIL 1986</t>
  </si>
  <si>
    <t>2610.355.560-000</t>
  </si>
  <si>
    <t>PLACA BASE 1986</t>
  </si>
  <si>
    <t>2610.355.570-000</t>
  </si>
  <si>
    <t>2610.355.577-000</t>
  </si>
  <si>
    <t>LLAVE EXAGONAL DE TUBO 1B21.0</t>
  </si>
  <si>
    <t>2610.355.581-000</t>
  </si>
  <si>
    <t>CARBON + PORTACARBON (X1) 5150</t>
  </si>
  <si>
    <t>2610.355.582-000</t>
  </si>
  <si>
    <t>PLACA BASE 5150 OBSOLETO</t>
  </si>
  <si>
    <t>2610.355.586-000</t>
  </si>
  <si>
    <t>ENGRANAJE HD5550-41 RA 2610350657</t>
  </si>
  <si>
    <t>2610.355.596-000</t>
  </si>
  <si>
    <t>ANILLO GOMA ASP.4365/4465/1510</t>
  </si>
  <si>
    <t>2610.355.655-000</t>
  </si>
  <si>
    <t>RESORTE 1870</t>
  </si>
  <si>
    <t>2610.355.665-000</t>
  </si>
  <si>
    <t>CARCASA INFERIOR 1870</t>
  </si>
  <si>
    <t>2610.355.677-000</t>
  </si>
  <si>
    <t>INDUCIDO 1870 DISCONTINUADO</t>
  </si>
  <si>
    <t>2610.355.678-000</t>
  </si>
  <si>
    <t>PLACA DE RETENCION 1870</t>
  </si>
  <si>
    <t>2610.355.710-000</t>
  </si>
  <si>
    <t>INTERRUPTOR 1870</t>
  </si>
  <si>
    <t>2610.355.738-000</t>
  </si>
  <si>
    <t>ESTATOR 1870</t>
  </si>
  <si>
    <t>2610.355.739-000</t>
  </si>
  <si>
    <t>CUBRE RODAMIENTO 1835 U1</t>
  </si>
  <si>
    <t>2610.355.746-000</t>
  </si>
  <si>
    <t>PORTACARBON+CARBON 1870 - DISCONT.</t>
  </si>
  <si>
    <t>2610.355.777-000</t>
  </si>
  <si>
    <t>LLAVE EXAGONAL DE TUBO 1B20.0</t>
  </si>
  <si>
    <t>2610.356.016-000</t>
  </si>
  <si>
    <t>VARILLA CALAD.SP.HOBBY-RX991256</t>
  </si>
  <si>
    <t>2610.356.017-000</t>
  </si>
  <si>
    <t>CARBONES+ PORTACARB.RX 2610.967.197-000</t>
  </si>
  <si>
    <t>2610.356.029-000</t>
  </si>
  <si>
    <t>TORNILLO 4115-80</t>
  </si>
  <si>
    <t>2610.356.033-000</t>
  </si>
  <si>
    <t>SOPORTE 2336-32</t>
  </si>
  <si>
    <t>2610.356.036-000</t>
  </si>
  <si>
    <t>ENGRANAJE 2336-32</t>
  </si>
  <si>
    <t>2610.356.652-000</t>
  </si>
  <si>
    <t>ENGRANAJE 2336-32 OBSOLETO</t>
  </si>
  <si>
    <t>2610.356.675-000</t>
  </si>
  <si>
    <t>CUBREDISCO  5150     RA0356675</t>
  </si>
  <si>
    <t>2610.356.680-000</t>
  </si>
  <si>
    <t>BUJE 5150</t>
  </si>
  <si>
    <t>2610.356.706-000</t>
  </si>
  <si>
    <t>2610.356.733-000</t>
  </si>
  <si>
    <t>TORNILLO 1B20.0/1B20.5</t>
  </si>
  <si>
    <t>2610.356.794-000</t>
  </si>
  <si>
    <t>DEFLECTOR 7560-32</t>
  </si>
  <si>
    <t>2610.357.092-000</t>
  </si>
  <si>
    <t>BRIDA INFERIOR 1986</t>
  </si>
  <si>
    <t>2610.357.411-000</t>
  </si>
  <si>
    <t>INTERRUPTOR 2136-32</t>
  </si>
  <si>
    <t>2610.357.532-000</t>
  </si>
  <si>
    <t>CARCASA 6345 OBSOLETO</t>
  </si>
  <si>
    <t>2610.357.542-000</t>
  </si>
  <si>
    <t>ENGRANAJ.INTERMEDIO 6345</t>
  </si>
  <si>
    <t>2610.358.001-000</t>
  </si>
  <si>
    <t>VENTILADOR 7560-32</t>
  </si>
  <si>
    <t>2610.358.010-000</t>
  </si>
  <si>
    <t>ENGRANAJE DE MANDO 6901</t>
  </si>
  <si>
    <t>2610.358.011-000</t>
  </si>
  <si>
    <t>TUERCA CILINDRICA 6901/6</t>
  </si>
  <si>
    <t>2610.358.013-000</t>
  </si>
  <si>
    <t>PINZA DE SUJECION 6901 RX2610909603</t>
  </si>
  <si>
    <t>2610.358.021-000</t>
  </si>
  <si>
    <t>PLACA DE PRESION 7560-32</t>
  </si>
  <si>
    <t>2610.358.055-000</t>
  </si>
  <si>
    <t>TORNILLO CABEZA CILINDR. 1B21.0</t>
  </si>
  <si>
    <t>2610.358.064-000</t>
  </si>
  <si>
    <t>CARCASA 2131/32</t>
  </si>
  <si>
    <t>2610.358.149-000</t>
  </si>
  <si>
    <t>2610.358.172-000</t>
  </si>
  <si>
    <t>TUERCA  1B20.0</t>
  </si>
  <si>
    <t>2610.358.439-000</t>
  </si>
  <si>
    <t>2610.358.560-000</t>
  </si>
  <si>
    <t>CLIP 2172</t>
  </si>
  <si>
    <t>2610.358.578-000</t>
  </si>
  <si>
    <t>CARCASA 2172 - DISCONTINUADO</t>
  </si>
  <si>
    <t>2610.358.595-000</t>
  </si>
  <si>
    <t>ESTATOR HD1986-32</t>
  </si>
  <si>
    <t>2610.358.598-000</t>
  </si>
  <si>
    <t>CUBREDISCO FIJO 19865 OBSOLETO</t>
  </si>
  <si>
    <t>2610.358.652-000</t>
  </si>
  <si>
    <t>CORREDERA INTERRUPTOR 9105</t>
  </si>
  <si>
    <t>2610.358.802-000</t>
  </si>
  <si>
    <t>2610.358.832-000</t>
  </si>
  <si>
    <t>2610.358.842-000</t>
  </si>
  <si>
    <t>SUJETADOR DE CABLE 1B30.0/.2</t>
  </si>
  <si>
    <t>2610.358.844-000</t>
  </si>
  <si>
    <t>2610.358.846-000</t>
  </si>
  <si>
    <t>CASQUILLO DE GOMA 1B30.0/.2</t>
  </si>
  <si>
    <t>2610.358.858-000</t>
  </si>
  <si>
    <t>2610.358.892-000</t>
  </si>
  <si>
    <t>CUBIERTA 1B30.0/.2</t>
  </si>
  <si>
    <t>2610.358.901-000</t>
  </si>
  <si>
    <t>2610.358.932-000</t>
  </si>
  <si>
    <t>CONECTOR 1B30.0/.2</t>
  </si>
  <si>
    <t>2610.358.936-000</t>
  </si>
  <si>
    <t>2610.360.176-000</t>
  </si>
  <si>
    <t>PROT.CABLE 4365/4465/1510/7385/300</t>
  </si>
  <si>
    <t>2610.361.473-000</t>
  </si>
  <si>
    <t>RESORTE  7313        RAN361473</t>
  </si>
  <si>
    <t>2610.361.665-000</t>
  </si>
  <si>
    <t>BUJE 6845</t>
  </si>
  <si>
    <t>2610.361.694-000</t>
  </si>
  <si>
    <t>BUJE 7313</t>
  </si>
  <si>
    <t>2610.362.954-000</t>
  </si>
  <si>
    <t>CABLE USO MULTIPLE -SKIL DISCONT</t>
  </si>
  <si>
    <t>2610.364.015-000</t>
  </si>
  <si>
    <t>LLAVE DEL VIERNES INTERIOR</t>
  </si>
  <si>
    <t>2610.364.374-000</t>
  </si>
  <si>
    <t>INTERRUPTOR 94 H1 OBSOLETO</t>
  </si>
  <si>
    <t>2610.366.280-000</t>
  </si>
  <si>
    <t>CARBONES 1400HD-80 DISCONT.</t>
  </si>
  <si>
    <t>2610.366.556-000</t>
  </si>
  <si>
    <t>CORREA HD 1400-80</t>
  </si>
  <si>
    <t>2610.366.564-000</t>
  </si>
  <si>
    <t>ESTATOR HD 1400-80</t>
  </si>
  <si>
    <t>2610.366.635-000</t>
  </si>
  <si>
    <t>ARANDELA 1400</t>
  </si>
  <si>
    <t>2610.366.653-000</t>
  </si>
  <si>
    <t>POLEA 1400</t>
  </si>
  <si>
    <t>2610.367.088-000</t>
  </si>
  <si>
    <t>ARANDELA DENTADA 7435</t>
  </si>
  <si>
    <t>2610.367.507-000</t>
  </si>
  <si>
    <t>BOLA 6845</t>
  </si>
  <si>
    <t>2610.367.556-000</t>
  </si>
  <si>
    <t>TORNILLO REGULACION 7313</t>
  </si>
  <si>
    <t>2610.367.938-000</t>
  </si>
  <si>
    <t>ESTATOR 6432/6444/6845 DISCONT.</t>
  </si>
  <si>
    <t>2610.370.203-000</t>
  </si>
  <si>
    <t>JGO.DE EMPU#ADURA 1400</t>
  </si>
  <si>
    <t>2610.370.207-000</t>
  </si>
  <si>
    <t>TAPA 1400</t>
  </si>
  <si>
    <t>2610.370.208-000</t>
  </si>
  <si>
    <t>TAPA DE COJINETE 1400</t>
  </si>
  <si>
    <t>2610.370.209-000</t>
  </si>
  <si>
    <t>CARCASA DE CORREA 1400</t>
  </si>
  <si>
    <t>2610.370.210-000</t>
  </si>
  <si>
    <t>DEFLECTOR 1400</t>
  </si>
  <si>
    <t>2610.370.211-000</t>
  </si>
  <si>
    <t>2610.370.213-000</t>
  </si>
  <si>
    <t>POLEA HD 1400-80</t>
  </si>
  <si>
    <t>2610.370.222-000</t>
  </si>
  <si>
    <t>PATA 1400</t>
  </si>
  <si>
    <t>2610.370.223-000</t>
  </si>
  <si>
    <t>HORQUILLA 1400</t>
  </si>
  <si>
    <t>2610.370.224-000</t>
  </si>
  <si>
    <t>SOPORTE 1400</t>
  </si>
  <si>
    <t>2610.370.225-000</t>
  </si>
  <si>
    <t>PLACA HD 1400-80</t>
  </si>
  <si>
    <t>2610.370.230-000</t>
  </si>
  <si>
    <t>RESORTE 1400</t>
  </si>
  <si>
    <t>2610.370.234-000</t>
  </si>
  <si>
    <t>ENGRANAJE 1400 H</t>
  </si>
  <si>
    <t>2610.370.238-000</t>
  </si>
  <si>
    <t>2610.370.241-000</t>
  </si>
  <si>
    <t>INDUCIDO HD 1400-80</t>
  </si>
  <si>
    <t>2610.370.243-000</t>
  </si>
  <si>
    <t>TOPE DE GOMA 1400</t>
  </si>
  <si>
    <t>2610.370.967-000</t>
  </si>
  <si>
    <t>PALANCA 1400</t>
  </si>
  <si>
    <t>2610.371.010-000</t>
  </si>
  <si>
    <t>PORTA CUCHILLA 94 H1</t>
  </si>
  <si>
    <t>2610.371.020-000</t>
  </si>
  <si>
    <t>PERILLA REGULACION 94H</t>
  </si>
  <si>
    <t>2610.371.021-000</t>
  </si>
  <si>
    <t>MANGUITO GUIA 94H1</t>
  </si>
  <si>
    <t>2610.371.026-000</t>
  </si>
  <si>
    <t>CARCASA 94H1 DISCONT.</t>
  </si>
  <si>
    <t>2610.371.027-000</t>
  </si>
  <si>
    <t>MUELLE DE COMPRESION 94H1</t>
  </si>
  <si>
    <t>2610.371.028-000</t>
  </si>
  <si>
    <t>PLACA DE BASE 94H1</t>
  </si>
  <si>
    <t>2610.371.029-000</t>
  </si>
  <si>
    <t>TORNILLO REGULACION 94H OBSOLETO</t>
  </si>
  <si>
    <t>2610.371.031-000</t>
  </si>
  <si>
    <t>TORNILLO 94 H1 OBSOLETO</t>
  </si>
  <si>
    <t>2610.371.034-000</t>
  </si>
  <si>
    <t>TAPA 94 H1</t>
  </si>
  <si>
    <t>2610.371.035-000</t>
  </si>
  <si>
    <t>TAPA 94 H1-DISCONTINUADO</t>
  </si>
  <si>
    <t>2610.371.036-000</t>
  </si>
  <si>
    <t>MUELLE DE TRACCION 94H1</t>
  </si>
  <si>
    <t>2610.371.037-000</t>
  </si>
  <si>
    <t>GUIA LATERAL SUJECION 94H</t>
  </si>
  <si>
    <t>2610.371.038-000</t>
  </si>
  <si>
    <t>PORTACARBONES 94H DISCONT.</t>
  </si>
  <si>
    <t>2610.371.043-000</t>
  </si>
  <si>
    <t>ESTATOR 94 H1</t>
  </si>
  <si>
    <t>2610.371.044-000</t>
  </si>
  <si>
    <t>INDUCIDO 94 H1</t>
  </si>
  <si>
    <t>2610.371.045-000</t>
  </si>
  <si>
    <t>ARBOL SOPORTE 94H</t>
  </si>
  <si>
    <t>2610.371.048-000</t>
  </si>
  <si>
    <t>EJE 94 H1</t>
  </si>
  <si>
    <t>2610.371.049-000</t>
  </si>
  <si>
    <t>2610.371.278-000</t>
  </si>
  <si>
    <t>ARANDELA 94H</t>
  </si>
  <si>
    <t>2610.371.776-000</t>
  </si>
  <si>
    <t>PRENSA LIJAS 663 H2 OBSOLETO</t>
  </si>
  <si>
    <t>2610.371.777-000</t>
  </si>
  <si>
    <t>GOMA BASE 662/663 OBSOLETO</t>
  </si>
  <si>
    <t>2610.371.784-000</t>
  </si>
  <si>
    <t>MARCO DE BASE 663H2</t>
  </si>
  <si>
    <t>2610.372.012-000</t>
  </si>
  <si>
    <t>TORNILLO DE CABEZAL 94H - DISCONTINUADO</t>
  </si>
  <si>
    <t>2610.372.068-000</t>
  </si>
  <si>
    <t>SOPORTE  6425-80</t>
  </si>
  <si>
    <t>2610.372.635-000</t>
  </si>
  <si>
    <t>TAPA DE BASE 663 H2</t>
  </si>
  <si>
    <t>2610.372.764-000</t>
  </si>
  <si>
    <t>RODILLO 7313 OBSOLETO</t>
  </si>
  <si>
    <t>2610.372.768-000</t>
  </si>
  <si>
    <t>PIÑON 7313</t>
  </si>
  <si>
    <t>2610.372.770-000</t>
  </si>
  <si>
    <t>REGULADOR RX 2610.386.570-000</t>
  </si>
  <si>
    <t>2610.372.780-000</t>
  </si>
  <si>
    <t>GOMA 7313</t>
  </si>
  <si>
    <t>2610.372.781-000</t>
  </si>
  <si>
    <t>RESORTE 7313</t>
  </si>
  <si>
    <t>2610.372.783-000</t>
  </si>
  <si>
    <t>CORREA 7313 OBSOLETO</t>
  </si>
  <si>
    <t>2610.372.789-000</t>
  </si>
  <si>
    <t>RODAMIENTO AGUJAS 7313 DISCONT.</t>
  </si>
  <si>
    <t>2610.372.883-000</t>
  </si>
  <si>
    <t>OJETE PROTECTOR 1570/7351</t>
  </si>
  <si>
    <t>2610.373.248-000</t>
  </si>
  <si>
    <t>CARBONES 94H</t>
  </si>
  <si>
    <t>2610.373.249-000</t>
  </si>
  <si>
    <t>POLEA 94 H1</t>
  </si>
  <si>
    <t>2610.373.250-000</t>
  </si>
  <si>
    <t>2610.373.251-000</t>
  </si>
  <si>
    <t>CORREA 94 H1 DISCONTINUADO</t>
  </si>
  <si>
    <t>2610.373.315-000</t>
  </si>
  <si>
    <t>PORTACARBON 7385</t>
  </si>
  <si>
    <t>2610.373.415-000</t>
  </si>
  <si>
    <t>RESORTE 7313 OBSOLETO</t>
  </si>
  <si>
    <t>2610.373.494-000</t>
  </si>
  <si>
    <t>CONDENSADOR 1510/7385/7435</t>
  </si>
  <si>
    <t>2610.373.897-000</t>
  </si>
  <si>
    <t>CHAPA SOPORTE 663H2 - DISCONTINUADO</t>
  </si>
  <si>
    <t>2610.373.995-000</t>
  </si>
  <si>
    <t>FIELTRO 4365/4465</t>
  </si>
  <si>
    <t>2610.373.997-000</t>
  </si>
  <si>
    <t>ANILLO GOMA 7640</t>
  </si>
  <si>
    <t>2610.374.649-000</t>
  </si>
  <si>
    <t>CLAVIJA CILINDRICA 7313 - DISCONTINUADO</t>
  </si>
  <si>
    <t>2610.374.700-000</t>
  </si>
  <si>
    <t>TORNILLO 6845/1510/7385</t>
  </si>
  <si>
    <t>2610.374.704-000</t>
  </si>
  <si>
    <t>CONDENSADOR 6845</t>
  </si>
  <si>
    <t>2610.374.725-000</t>
  </si>
  <si>
    <t>DEFLECTOR 7313 RX 2610919663000</t>
  </si>
  <si>
    <t>2610.374.862-000</t>
  </si>
  <si>
    <t>INDUCIDO 1200H1</t>
  </si>
  <si>
    <t>2610.374.919-000</t>
  </si>
  <si>
    <t>2610.374.984-000</t>
  </si>
  <si>
    <t>CONJUNTO BASE 663 H2 DISCONT.</t>
  </si>
  <si>
    <t>2610.374.994-000</t>
  </si>
  <si>
    <t>TORNILLO 7600</t>
  </si>
  <si>
    <t>2610.376.135-000</t>
  </si>
  <si>
    <t>PASADOR CILINDRICO 7313</t>
  </si>
  <si>
    <t>2610.376.140-000</t>
  </si>
  <si>
    <t>HORQUILLA 7600</t>
  </si>
  <si>
    <t>2610.376.234-000</t>
  </si>
  <si>
    <t>RODILLO HD 1400-80</t>
  </si>
  <si>
    <t>2610.376.249-000</t>
  </si>
  <si>
    <t>RODAMIENTO 6845/6906</t>
  </si>
  <si>
    <t>2610.376.473-000</t>
  </si>
  <si>
    <t>RODAM.9105/94 H/4365/4465/1510</t>
  </si>
  <si>
    <t>2610.376.656-000</t>
  </si>
  <si>
    <t>RESORTE 6432-80</t>
  </si>
  <si>
    <t>2610.376.663-000</t>
  </si>
  <si>
    <t>ARANDELA 6432-80</t>
  </si>
  <si>
    <t>2610.376.669-000</t>
  </si>
  <si>
    <t>PERILLA INVERS.DE MARCHA 6444</t>
  </si>
  <si>
    <t>2610.376.674-000</t>
  </si>
  <si>
    <t>INDUCIDO 6432-80 DISCONTINUADO</t>
  </si>
  <si>
    <t>2610.376.749-000</t>
  </si>
  <si>
    <t>INDUCIDO 663 H2</t>
  </si>
  <si>
    <t>2610.376.750-000</t>
  </si>
  <si>
    <t>CARCASA 663H2</t>
  </si>
  <si>
    <t>2610.376.866-000</t>
  </si>
  <si>
    <t>PALANCA 6432-80</t>
  </si>
  <si>
    <t>2610.376.869-000</t>
  </si>
  <si>
    <t>INTERRUPTOR 6432-80</t>
  </si>
  <si>
    <t>2610.376.870-000</t>
  </si>
  <si>
    <t>RESORTE 6432/6444/6845</t>
  </si>
  <si>
    <t>2610.376.873-000</t>
  </si>
  <si>
    <t>PORTACARBON 6432-80 / 6845 H1</t>
  </si>
  <si>
    <t>2610.376.874-000</t>
  </si>
  <si>
    <t>CARBONES OBSOLETO</t>
  </si>
  <si>
    <t>2610.376.878-000</t>
  </si>
  <si>
    <t>ENGRANAJE 6432-80 OBSOLETO</t>
  </si>
  <si>
    <t>2610.376.880-000</t>
  </si>
  <si>
    <t>ARRASTRE 6432-80 OBSOLETO</t>
  </si>
  <si>
    <t>2610.377.099-000</t>
  </si>
  <si>
    <t>REGLETA GUIA 6432</t>
  </si>
  <si>
    <t>2610.377.223-000</t>
  </si>
  <si>
    <t>RODAMIENTO DE AGUJAS 7600</t>
  </si>
  <si>
    <t>2610.377.318-000</t>
  </si>
  <si>
    <t>INTERRUPTOR 6432-80 / 6845 H1 OBSOLETO</t>
  </si>
  <si>
    <t>2610.377.321-000</t>
  </si>
  <si>
    <t>CARCASA 6432-80</t>
  </si>
  <si>
    <t>2610.377.470-000</t>
  </si>
  <si>
    <t>BOTON DE AJUSTE 6845</t>
  </si>
  <si>
    <t>2610.377.476-000</t>
  </si>
  <si>
    <t>PLACA DE RESORTE 6845</t>
  </si>
  <si>
    <t>2610.377.477-000</t>
  </si>
  <si>
    <t>PLACA 6845</t>
  </si>
  <si>
    <t>2610.377.480-000</t>
  </si>
  <si>
    <t>ANILLO DE FIELTRO 6845</t>
  </si>
  <si>
    <t>2610.377.484-000</t>
  </si>
  <si>
    <t>ANILLO DE SEGURIDAD 6845</t>
  </si>
  <si>
    <t>2610.377.487-000</t>
  </si>
  <si>
    <t>RESORTE 6845</t>
  </si>
  <si>
    <t>2610.377.562-000</t>
  </si>
  <si>
    <t>INDUCIDO 6845</t>
  </si>
  <si>
    <t>2610.377.563-000</t>
  </si>
  <si>
    <t>PLACA SOPORTE 6845</t>
  </si>
  <si>
    <t>2610.377.565-000</t>
  </si>
  <si>
    <t>ARBOL INTERMEDIO 6845 OBSOLETO</t>
  </si>
  <si>
    <t>2610.377.566-000</t>
  </si>
  <si>
    <t>EJE 6845</t>
  </si>
  <si>
    <t>2610.377.567-000</t>
  </si>
  <si>
    <t>ENGRANAJE 6845</t>
  </si>
  <si>
    <t>2610.383.159-000</t>
  </si>
  <si>
    <t>INTERRUPTOR 663 H2</t>
  </si>
  <si>
    <t>2610.384.231-000</t>
  </si>
  <si>
    <t>CARCASA 7385 OBSOLETO</t>
  </si>
  <si>
    <t>2610.384.233-000</t>
  </si>
  <si>
    <t>TOPE SOPORTE 7385</t>
  </si>
  <si>
    <t>2610.384.236-000</t>
  </si>
  <si>
    <t>RESORTE DE TENSION 7385</t>
  </si>
  <si>
    <t>2610.384.237-000</t>
  </si>
  <si>
    <t>PLANCHA DE GOMA 7385</t>
  </si>
  <si>
    <t>2610.384.240-000</t>
  </si>
  <si>
    <t>EMPAQUET.DE FIELTRO 7390H1</t>
  </si>
  <si>
    <t>2610.384.263-000</t>
  </si>
  <si>
    <t>INTERRUPTOR 7390H1 RA556</t>
  </si>
  <si>
    <t>2610.384.264-000</t>
  </si>
  <si>
    <t>INDUCIDO 7385</t>
  </si>
  <si>
    <t>2610.384.266-000</t>
  </si>
  <si>
    <t>VENTILADOR 7385</t>
  </si>
  <si>
    <t>2610.384.267-000</t>
  </si>
  <si>
    <t>RODAMIENTO 7385/7435</t>
  </si>
  <si>
    <t>2610.384.299-000</t>
  </si>
  <si>
    <t>PIÑON 1510 OBSOLETO</t>
  </si>
  <si>
    <t>2610.384.300-000</t>
  </si>
  <si>
    <t>POLEA 1510</t>
  </si>
  <si>
    <t>2610.384.301-000</t>
  </si>
  <si>
    <t>EMPUÑADURAS 1510</t>
  </si>
  <si>
    <t>2610.384.302-000</t>
  </si>
  <si>
    <t>CAPERUZA 1510</t>
  </si>
  <si>
    <t>2610.384.304-000</t>
  </si>
  <si>
    <t>DEFLECTOR DE AIRE 1510</t>
  </si>
  <si>
    <t>2610.384.305-000</t>
  </si>
  <si>
    <t>CUBIERTA 1510 DISCONTINUADO</t>
  </si>
  <si>
    <t>2610.384.306-000</t>
  </si>
  <si>
    <t>TAPA DE TRANSMISION 1510</t>
  </si>
  <si>
    <t>2610.384.309-000</t>
  </si>
  <si>
    <t>PLACA BASE 1510 - DISCONTINUADO</t>
  </si>
  <si>
    <t>2610.384.310-000</t>
  </si>
  <si>
    <t>PLACA BASE 1510 OBSOLETO</t>
  </si>
  <si>
    <t>2610.384.311-000</t>
  </si>
  <si>
    <t>INTERRUPTOR NO VENDER 115V</t>
  </si>
  <si>
    <t>2610.384.321-000</t>
  </si>
  <si>
    <t>INDUCIDO 1510 OBSOLETO</t>
  </si>
  <si>
    <t>2610.384.329-000</t>
  </si>
  <si>
    <t>INDUCIDO 9105-41 - DISCONTINUADO</t>
  </si>
  <si>
    <t>2610.384.337-000</t>
  </si>
  <si>
    <t>2610.384.418-000</t>
  </si>
  <si>
    <t>ADAPTADOR 4465/4365</t>
  </si>
  <si>
    <t>2610.384.555-000</t>
  </si>
  <si>
    <t>PLACA VIBRADORA 7385 OBSOLETO</t>
  </si>
  <si>
    <t>2610.384.556-000</t>
  </si>
  <si>
    <t>INTERRUPTOR 7385 RX263</t>
  </si>
  <si>
    <t>2610.384.558-000</t>
  </si>
  <si>
    <t>ESTATOR 7385</t>
  </si>
  <si>
    <t>2610.384.778-000</t>
  </si>
  <si>
    <t>2610.384.794-000</t>
  </si>
  <si>
    <t>CARCASA 1400</t>
  </si>
  <si>
    <t>2610.384.795-000</t>
  </si>
  <si>
    <t>BOTON 1400</t>
  </si>
  <si>
    <t>2610.384.797-000</t>
  </si>
  <si>
    <t>2610.384.960-000</t>
  </si>
  <si>
    <t>CARCASA 1510 DISCONTINUADO</t>
  </si>
  <si>
    <t>2610.384.961-000</t>
  </si>
  <si>
    <t>2610.384.962-000</t>
  </si>
  <si>
    <t>INTERRUPTOR 1510 - RX 2.610.384.311</t>
  </si>
  <si>
    <t>2610.385.129-000</t>
  </si>
  <si>
    <t>INTERRUPTOR 5150  RX348355</t>
  </si>
  <si>
    <t>2610.385.171-000</t>
  </si>
  <si>
    <t>TUERCA 1507</t>
  </si>
  <si>
    <t>2610.385.254-000</t>
  </si>
  <si>
    <t>CONTRAPESO 4365</t>
  </si>
  <si>
    <t>2610.385.396-000</t>
  </si>
  <si>
    <t>CARCASA 7435</t>
  </si>
  <si>
    <t>2610.385.456-000</t>
  </si>
  <si>
    <t>ANILLO 7435</t>
  </si>
  <si>
    <t>2610.385.457-000</t>
  </si>
  <si>
    <t>INDUCIDO 7435</t>
  </si>
  <si>
    <t>2610.385.458-000</t>
  </si>
  <si>
    <t>EMPUÑADURA 7435</t>
  </si>
  <si>
    <t>2610.385.459-000</t>
  </si>
  <si>
    <t>RODAMIENTO 7435</t>
  </si>
  <si>
    <t>2610.385.460-000</t>
  </si>
  <si>
    <t>TORNILLO MARIPOSA 7435 OBSOLETO</t>
  </si>
  <si>
    <t>2610.385.613-000</t>
  </si>
  <si>
    <t>PALANCA DE REGULACION 4375 HA</t>
  </si>
  <si>
    <t>2610.385.699-000</t>
  </si>
  <si>
    <t>BOTON GIRATORIO 1510 OBSOLETO</t>
  </si>
  <si>
    <t>2610.385.740-000</t>
  </si>
  <si>
    <t>INTERRUPTOR 7435</t>
  </si>
  <si>
    <t>2610.385.741-000</t>
  </si>
  <si>
    <t>ESTATOR  7435</t>
  </si>
  <si>
    <t>2610.385.742-000</t>
  </si>
  <si>
    <t>REGULADOR DE VELOCIDAD 7435</t>
  </si>
  <si>
    <t>2610.385.776-000</t>
  </si>
  <si>
    <t>CARCASA 6845</t>
  </si>
  <si>
    <t>2610.385.958-000</t>
  </si>
  <si>
    <t>CARRO 4375HA</t>
  </si>
  <si>
    <t>2610.385.960-000</t>
  </si>
  <si>
    <t>INDUCIDO 4365/4465 OBSOLETO</t>
  </si>
  <si>
    <t>2610.385.991-000</t>
  </si>
  <si>
    <t>RESORTE TENSOR 4465</t>
  </si>
  <si>
    <t>2610.386.053-000</t>
  </si>
  <si>
    <t>CORREDERA 4365/4465 OBSOLETO</t>
  </si>
  <si>
    <t>2610.386.089-000</t>
  </si>
  <si>
    <t>SOPORTE 4365</t>
  </si>
  <si>
    <t>2610.386.090-000</t>
  </si>
  <si>
    <t>EJE 4365</t>
  </si>
  <si>
    <t>2610.386.091-000</t>
  </si>
  <si>
    <t>TAPA DE COJINETE 4365/4465 OBSOLETO</t>
  </si>
  <si>
    <t>2610.386.095-000</t>
  </si>
  <si>
    <t>ARANDELA 4365/4465</t>
  </si>
  <si>
    <t>2610.386.102-000</t>
  </si>
  <si>
    <t>CLAVIJA CILINDRICA 4365/4465</t>
  </si>
  <si>
    <t>2610.386.104-000</t>
  </si>
  <si>
    <t>PERNO 4365/4465</t>
  </si>
  <si>
    <t>2610.386.382-000</t>
  </si>
  <si>
    <t>EJE PORTACUCHILLAS 1510</t>
  </si>
  <si>
    <t>2610.386.395-000</t>
  </si>
  <si>
    <t>PLACA BASE 4365/4465</t>
  </si>
  <si>
    <t>2610.386.398-000</t>
  </si>
  <si>
    <t>ESTRIBO DE SUJECION 4365</t>
  </si>
  <si>
    <t>2610.386.423-000</t>
  </si>
  <si>
    <t>TORNILLO 4365</t>
  </si>
  <si>
    <t>2610.386.442-000</t>
  </si>
  <si>
    <t>ESCUADRA DE FIJACION 7313 -DISCONTINUADO</t>
  </si>
  <si>
    <t>2610.386.454-000</t>
  </si>
  <si>
    <t>PALANCA  7600</t>
  </si>
  <si>
    <t>2610.386.470-000</t>
  </si>
  <si>
    <t>CHAPA DE APOYO 7313  RA372771</t>
  </si>
  <si>
    <t>2610.386.471-000</t>
  </si>
  <si>
    <t>PIEZA DE DESGASTE 7600</t>
  </si>
  <si>
    <t>2610.386.472-000</t>
  </si>
  <si>
    <t>POLEA 7313 (SIN ROSCA)</t>
  </si>
  <si>
    <t>2610.386.516-000</t>
  </si>
  <si>
    <t>2610.386.542-000</t>
  </si>
  <si>
    <t>COJINETE 4365/4465</t>
  </si>
  <si>
    <t>2610.386.545-000</t>
  </si>
  <si>
    <t>PORTACARBONES 4365/4465 OBSOLETO</t>
  </si>
  <si>
    <t>2610.386.546-000</t>
  </si>
  <si>
    <t>CARBONES 4365/4465</t>
  </si>
  <si>
    <t>2610.386.556-000</t>
  </si>
  <si>
    <t>2610.386.570-000</t>
  </si>
  <si>
    <t>REGULADOR 7313       RA372770</t>
  </si>
  <si>
    <t>2610.386.606-000</t>
  </si>
  <si>
    <t>CONMUTADOR 6443</t>
  </si>
  <si>
    <t>2610.386.607-000</t>
  </si>
  <si>
    <t>BOTON DE AJUSTE 6443 - DISCONTINUADO</t>
  </si>
  <si>
    <t>2610.386.608-000</t>
  </si>
  <si>
    <t>PLACA 6443 - DISCONTINUADO</t>
  </si>
  <si>
    <t>2610.386.630-000</t>
  </si>
  <si>
    <t>RESORTE 6443</t>
  </si>
  <si>
    <t>2610.386.669-000</t>
  </si>
  <si>
    <t>INDUCIDO 6443</t>
  </si>
  <si>
    <t>2610.386.695-000</t>
  </si>
  <si>
    <t>CASQUILLO DISTANCIADOR 4465</t>
  </si>
  <si>
    <t>2610.386.696-000</t>
  </si>
  <si>
    <t>EMBOLO PORTAUTIL 4365</t>
  </si>
  <si>
    <t>2610.386.698-000</t>
  </si>
  <si>
    <t>INTERRUPTOR 4365/4465</t>
  </si>
  <si>
    <t>2610.386.700-000</t>
  </si>
  <si>
    <t>ESTATOR 4365/4465 OBSOLETO</t>
  </si>
  <si>
    <t>2610.386.701-000</t>
  </si>
  <si>
    <t>ENGRANAJE 4365/4465</t>
  </si>
  <si>
    <t>2610.386.702-000</t>
  </si>
  <si>
    <t>REGUL.VELOCIDAD 4365/4465</t>
  </si>
  <si>
    <t>2610.386.834-000</t>
  </si>
  <si>
    <t>PROTECTOR 4365/4465</t>
  </si>
  <si>
    <t>2610.386.835-000</t>
  </si>
  <si>
    <t>ESTRIBO ELASTICO 4365</t>
  </si>
  <si>
    <t>2610.386.836-000</t>
  </si>
  <si>
    <t>TORNILLO 4465 OBSOLETO</t>
  </si>
  <si>
    <t>2610.386.889-000</t>
  </si>
  <si>
    <t>EMP. GIRATORIA 4465 OBSOLETO</t>
  </si>
  <si>
    <t>2610.386.922-000</t>
  </si>
  <si>
    <t>INTERRUPTOR 230V  7600</t>
  </si>
  <si>
    <t>2610.387.014-000</t>
  </si>
  <si>
    <t>CASQUILLO 4375HA/4230HA</t>
  </si>
  <si>
    <t>2610.387.047-000</t>
  </si>
  <si>
    <t>EJE C/ENGRANAJE 6443 RX 390 892</t>
  </si>
  <si>
    <t>2610.387.211-000</t>
  </si>
  <si>
    <t>JUEGO DE CUCHILLAS 94H1</t>
  </si>
  <si>
    <t>2610.387.212-000</t>
  </si>
  <si>
    <t>JGO. DE CUCHILLAS 1510</t>
  </si>
  <si>
    <t>2610.387.218-000</t>
  </si>
  <si>
    <t>ESTATOR 6443</t>
  </si>
  <si>
    <t>2610.387.247-000</t>
  </si>
  <si>
    <t>LINEA DE CONEXIÓN 1396.0 RX F000609189</t>
  </si>
  <si>
    <t>2610.387.532-000</t>
  </si>
  <si>
    <t>EMP. GIRATORIA 4465 RA386889 - DISCONT.</t>
  </si>
  <si>
    <t>2610.387.779-000</t>
  </si>
  <si>
    <t>LISTON PERFILADO 4230HA</t>
  </si>
  <si>
    <t>2610.387.781-000</t>
  </si>
  <si>
    <t>CUBIERTA 4375 HA/4230HA</t>
  </si>
  <si>
    <t>2610.387.799-000</t>
  </si>
  <si>
    <t>LISTON PERFILADO 4375 HA/4230HA</t>
  </si>
  <si>
    <t>2610.387.874-000</t>
  </si>
  <si>
    <t>PORTAESCOBILLA 6443</t>
  </si>
  <si>
    <t>2610.387.875-000</t>
  </si>
  <si>
    <t>2610.387.920-000</t>
  </si>
  <si>
    <t>TUERCA 4375HA/4230HA</t>
  </si>
  <si>
    <t>2610.387.925-000</t>
  </si>
  <si>
    <t>EMBOLO PORTAUTIL 4375HA RX2610389756</t>
  </si>
  <si>
    <t>2610.387.965-000</t>
  </si>
  <si>
    <t>CUBIERTA 7600</t>
  </si>
  <si>
    <t>2610.387.966-000</t>
  </si>
  <si>
    <t>COBERT.P/CINTAS 7600</t>
  </si>
  <si>
    <t>2610.387.967-000</t>
  </si>
  <si>
    <t>PLACA DE CUBIERTA 7600</t>
  </si>
  <si>
    <t>2610.387.977-000</t>
  </si>
  <si>
    <t>INDUCIDO C/VENTIL. 7600 OBSOLETO</t>
  </si>
  <si>
    <t>2610.387.984-000</t>
  </si>
  <si>
    <t>CORREA DENTADA 7600</t>
  </si>
  <si>
    <t>2610.387.990-000</t>
  </si>
  <si>
    <t>EJE C/ ENGRANAJE 7600</t>
  </si>
  <si>
    <t>2610.387.991-000</t>
  </si>
  <si>
    <t>ENGRANAJE 7600</t>
  </si>
  <si>
    <t>2610.388.002-000</t>
  </si>
  <si>
    <t>ARANDELA  7600</t>
  </si>
  <si>
    <t>2610.388.048-000</t>
  </si>
  <si>
    <t>CARCASA 4230HA</t>
  </si>
  <si>
    <t>2610.388.050-000</t>
  </si>
  <si>
    <t>CARCASA 4365      RA2610386085</t>
  </si>
  <si>
    <t>2610.388.051-000</t>
  </si>
  <si>
    <t>CARCASA 4465    OBSOLETO</t>
  </si>
  <si>
    <t>2610.388.251-000</t>
  </si>
  <si>
    <t>PLATO PORTACARBONES 7600</t>
  </si>
  <si>
    <t>2610.388.369-000</t>
  </si>
  <si>
    <t>TAPA DE COJINETE 4375 HA/ 4230HA</t>
  </si>
  <si>
    <t>2610.388.523-000</t>
  </si>
  <si>
    <t>CARCASA DEL MOTOR  7600</t>
  </si>
  <si>
    <t>2610.388.701-000</t>
  </si>
  <si>
    <t>POLEA 1507 - DISCONTINUADO</t>
  </si>
  <si>
    <t>2610.388.757-000</t>
  </si>
  <si>
    <t>CARCASA DE MOTOR 1507 OBSOLETO</t>
  </si>
  <si>
    <t>2610.388.759-000</t>
  </si>
  <si>
    <t>BOTON GIRATORIO 1507</t>
  </si>
  <si>
    <t>2610.388.779-000</t>
  </si>
  <si>
    <t>CAPERUZA PROTECTORA 4375 HA</t>
  </si>
  <si>
    <t>2610.388.781-000</t>
  </si>
  <si>
    <t>EMBOLO PORTAUTIL 4465 DISCONT.</t>
  </si>
  <si>
    <t>2610.388.813-000</t>
  </si>
  <si>
    <t>RESORTE 7600</t>
  </si>
  <si>
    <t>2610.388.840-000</t>
  </si>
  <si>
    <t>PLACA SOPORTE 6443 OBSOLETO</t>
  </si>
  <si>
    <t>2610.388.950-000</t>
  </si>
  <si>
    <t>ESTATOR 7600</t>
  </si>
  <si>
    <t>2610.388.968-000</t>
  </si>
  <si>
    <t>PIEZA DE CONTACTO 1507</t>
  </si>
  <si>
    <t>2610.389.010-000</t>
  </si>
  <si>
    <t>PEDESTAL DE COJINETE 4230HA</t>
  </si>
  <si>
    <t>2610.389.032-000</t>
  </si>
  <si>
    <t>2610.389.035-000</t>
  </si>
  <si>
    <t>ESTATOR 4375HA/4320HA</t>
  </si>
  <si>
    <t>2610.389.036-000</t>
  </si>
  <si>
    <t>INDUCIDO 4375HA/4230HA</t>
  </si>
  <si>
    <t>2610.389.040-000</t>
  </si>
  <si>
    <t>CORREA 1506/1510/1555 RA 385.407</t>
  </si>
  <si>
    <t>2610.389.123-000</t>
  </si>
  <si>
    <t>PLATO PORTACARBONES 4375HA/4230HA</t>
  </si>
  <si>
    <t>2610.389.703-000</t>
  </si>
  <si>
    <t>CARCASA 6443 RA 2610386622</t>
  </si>
  <si>
    <t>2610.389.756-000</t>
  </si>
  <si>
    <t>VARILLA PORTA UTIL  4230 DISCONTINUADO</t>
  </si>
  <si>
    <t>2610.390.098-000</t>
  </si>
  <si>
    <t>INTERRUPTOR 6443 RA 386.674</t>
  </si>
  <si>
    <t>2610.390.620-000</t>
  </si>
  <si>
    <t>RODILLO 7600</t>
  </si>
  <si>
    <t>2610.390.892-000</t>
  </si>
  <si>
    <t>EJE C/ENGRANAJE 6443 OBSOLETO</t>
  </si>
  <si>
    <t>2610.390.992-000</t>
  </si>
  <si>
    <t>ESTATOR 3365.0</t>
  </si>
  <si>
    <t>2610.391.898-000</t>
  </si>
  <si>
    <t>PLATO PORTACARBONES 7600 OBSOLETO</t>
  </si>
  <si>
    <t>2610.392.429-000</t>
  </si>
  <si>
    <t>FLANGE - RX 2605703014</t>
  </si>
  <si>
    <t>2610.393.200-000</t>
  </si>
  <si>
    <t>2610.393.201-000</t>
  </si>
  <si>
    <t>MANGUITO 1759</t>
  </si>
  <si>
    <t>2610.393.202-000</t>
  </si>
  <si>
    <t>JUEGO DE PIEZAS 1759</t>
  </si>
  <si>
    <t>2610.393.203-000</t>
  </si>
  <si>
    <t>2610.393.204-000</t>
  </si>
  <si>
    <t>2610.393.205-000</t>
  </si>
  <si>
    <t>ENGRANAJE ROTOMARTILLO 1759</t>
  </si>
  <si>
    <t>2610.393.206-000</t>
  </si>
  <si>
    <t>CUERPO INTERMEDIO</t>
  </si>
  <si>
    <t>2610.393.207-000</t>
  </si>
  <si>
    <t>INDUCIDO 220V 1759</t>
  </si>
  <si>
    <t>2610.393.208-000</t>
  </si>
  <si>
    <t>JUEGO DE EMPUÑADURAS</t>
  </si>
  <si>
    <t>2610.393.209-000</t>
  </si>
  <si>
    <t>PORTACARBONES Y CARBONES 1759</t>
  </si>
  <si>
    <t>2610.393.210-000</t>
  </si>
  <si>
    <t>INTERRUPTOR 220V 1759 EXP RX 2610Z01066</t>
  </si>
  <si>
    <t>2610.393.212-000</t>
  </si>
  <si>
    <t>UNIDAD ESTANQUEIZANTE</t>
  </si>
  <si>
    <t>2610.393.213-000</t>
  </si>
  <si>
    <t>SUJETADOR DE CABLE</t>
  </si>
  <si>
    <t>2610.393.214-000</t>
  </si>
  <si>
    <t>CARCASA DEL MOTOR 1759</t>
  </si>
  <si>
    <t>2610.393.215-000</t>
  </si>
  <si>
    <t>ESTATOR 1759</t>
  </si>
  <si>
    <t>2610.393.852-000</t>
  </si>
  <si>
    <t>BATERIA 2255/2211</t>
  </si>
  <si>
    <t>2610.393.855-000</t>
  </si>
  <si>
    <t>BATERIA SKIL PARA 2355/2311 RX2610398305</t>
  </si>
  <si>
    <t>2610.393.858-000</t>
  </si>
  <si>
    <t>BATERIA2455/2411/2497/2897 RX F000624015</t>
  </si>
  <si>
    <t>2610.393.904-000</t>
  </si>
  <si>
    <t>CARGADOR BAT 2211/2255 OBSOLETO</t>
  </si>
  <si>
    <t>2610.393.906-000</t>
  </si>
  <si>
    <t>CARGADOR 2355 /2311 - DISCONTINUADO</t>
  </si>
  <si>
    <t>2610.393.908-000</t>
  </si>
  <si>
    <t>CARGADOR 2455/2411</t>
  </si>
  <si>
    <t>2610.394.008-000</t>
  </si>
  <si>
    <t>INDUCIDO 9003</t>
  </si>
  <si>
    <t>2610.394.009-000</t>
  </si>
  <si>
    <t>CARBONES 9003/9371/9376</t>
  </si>
  <si>
    <t>2610.394.010-000</t>
  </si>
  <si>
    <t>2610.394.011-000</t>
  </si>
  <si>
    <t>2610.394.012-000</t>
  </si>
  <si>
    <t>CUBIERTA PROTECTORA - SAG SKIL</t>
  </si>
  <si>
    <t>2610.394.013-000</t>
  </si>
  <si>
    <t>2610.394.014-000</t>
  </si>
  <si>
    <t>2610.394.092-000</t>
  </si>
  <si>
    <t>INTERRUPTOR 127/220 - 9003</t>
  </si>
  <si>
    <t>2610.394.095-000</t>
  </si>
  <si>
    <t>2610.394.097-000</t>
  </si>
  <si>
    <t>2610.394.098-000</t>
  </si>
  <si>
    <t>2610.394.099-000</t>
  </si>
  <si>
    <t>2610.394.100-000</t>
  </si>
  <si>
    <t>MUELLE DE TRACCION</t>
  </si>
  <si>
    <t>2610.394.101-000</t>
  </si>
  <si>
    <t>CONJUNTO FRONTAL</t>
  </si>
  <si>
    <t>2610.394.102-000</t>
  </si>
  <si>
    <t>CORONA</t>
  </si>
  <si>
    <t>2610.394.103-000</t>
  </si>
  <si>
    <t>ESTATOR 220V - 9003</t>
  </si>
  <si>
    <t>2610.394.105-000</t>
  </si>
  <si>
    <t>HUSILLO AMOLADOR</t>
  </si>
  <si>
    <t>2610.394.289-000</t>
  </si>
  <si>
    <t>CARBONES 1830  S/R</t>
  </si>
  <si>
    <t>2610.394.290-000</t>
  </si>
  <si>
    <t>TAPA DA CARCASA</t>
  </si>
  <si>
    <t>2610.394.291-000</t>
  </si>
  <si>
    <t>TRABA</t>
  </si>
  <si>
    <t>2610.394.292-000</t>
  </si>
  <si>
    <t>2610.394.293-000</t>
  </si>
  <si>
    <t>MANGO CON INTERRUPTOR 1830 SKIL OBSOLETO</t>
  </si>
  <si>
    <t>2610.394.294-000</t>
  </si>
  <si>
    <t>LIMITADOR PROFUNDIDAD</t>
  </si>
  <si>
    <t>2610.394.295-000</t>
  </si>
  <si>
    <t>2610.394.296-000</t>
  </si>
  <si>
    <t>KIT BOQUILLA 1830 SKIL OBSOLETO</t>
  </si>
  <si>
    <t>2610.394.297-000</t>
  </si>
  <si>
    <t>TOPE PROFUNDIDAD</t>
  </si>
  <si>
    <t>2610.394.298-000</t>
  </si>
  <si>
    <t>GUIA DEL MOLDE</t>
  </si>
  <si>
    <t>2610.394.299-000</t>
  </si>
  <si>
    <t>PALANCA TRABA</t>
  </si>
  <si>
    <t>2610.394.300-000</t>
  </si>
  <si>
    <t>2610.394.302-000</t>
  </si>
  <si>
    <t>TORNILLO DE APRIETE - DESCONTINUADO</t>
  </si>
  <si>
    <t>2610.394.303-000</t>
  </si>
  <si>
    <t>REGULADOR DE VELOCIDAD 1830 SKIL OBSOLET</t>
  </si>
  <si>
    <t>2610.394.307-000</t>
  </si>
  <si>
    <t>PROTECTOR DE CABLE</t>
  </si>
  <si>
    <t>2610.394.329-000</t>
  </si>
  <si>
    <t>INTERRUPTOR 2497</t>
  </si>
  <si>
    <t>2610.394.330-000</t>
  </si>
  <si>
    <t>2610.394.331-000</t>
  </si>
  <si>
    <t>MOTOR Y CONTROLADOR 2497</t>
  </si>
  <si>
    <t>2610.394.332-000</t>
  </si>
  <si>
    <t>CONMUTADOR OBSOLETO</t>
  </si>
  <si>
    <t>2610.394.333-000</t>
  </si>
  <si>
    <t>DISIPADOR</t>
  </si>
  <si>
    <t>2610.394.334-000</t>
  </si>
  <si>
    <t>2610.394.451-000</t>
  </si>
  <si>
    <t>RUEDA CONICA 9003 (VIEJA)</t>
  </si>
  <si>
    <t>2610.394.608-000</t>
  </si>
  <si>
    <t>CARCASA DEL MOTOR 1555</t>
  </si>
  <si>
    <t>2610.394.609-000</t>
  </si>
  <si>
    <t>ESTATOR 1555 220V</t>
  </si>
  <si>
    <t>2610.394.612-000</t>
  </si>
  <si>
    <t>INTERRUPTOR 1555</t>
  </si>
  <si>
    <t>2610.394.613-000</t>
  </si>
  <si>
    <t>2610.394.614-000</t>
  </si>
  <si>
    <t>SUPRESOR</t>
  </si>
  <si>
    <t>2610.394.615-000</t>
  </si>
  <si>
    <t>2610.394.617-000</t>
  </si>
  <si>
    <t>CAPUCHA COBERTURA</t>
  </si>
  <si>
    <t>2610.394.619-000</t>
  </si>
  <si>
    <t>TAPA CORREA 1555</t>
  </si>
  <si>
    <t>2610.394.621-000</t>
  </si>
  <si>
    <t>2610.394.623-000</t>
  </si>
  <si>
    <t>CACHA</t>
  </si>
  <si>
    <t>2610.394.625-000</t>
  </si>
  <si>
    <t>JUEGO DE PIEZAS 1555 SKIL</t>
  </si>
  <si>
    <t>2610.394.626-000</t>
  </si>
  <si>
    <t>2610.394.627-000</t>
  </si>
  <si>
    <t>2610.394.628-000</t>
  </si>
  <si>
    <t>2610.394.630-000</t>
  </si>
  <si>
    <t>2610.394.631-000</t>
  </si>
  <si>
    <t>2610.394.632-000</t>
  </si>
  <si>
    <t>CALIBRE DE PROFUNDIDAD</t>
  </si>
  <si>
    <t>2610.394.634-000</t>
  </si>
  <si>
    <t>2610.394.635-000</t>
  </si>
  <si>
    <t>JUEGO DE CUCHILLAS 1555 SKIL</t>
  </si>
  <si>
    <t>2610.394.636-000</t>
  </si>
  <si>
    <t>2610.394.689-000</t>
  </si>
  <si>
    <t>2610.395.100-000</t>
  </si>
  <si>
    <t>BASE GUIA</t>
  </si>
  <si>
    <t>2610.395.434-000</t>
  </si>
  <si>
    <t>INTERRUPTOR 4170/4400/4380</t>
  </si>
  <si>
    <t>2610.395.435-000</t>
  </si>
  <si>
    <t>EMBOLO 4400/4003/4170/4380</t>
  </si>
  <si>
    <t>2610.395.436-000</t>
  </si>
  <si>
    <t>PITON ROSCADO 4400/4380/4170</t>
  </si>
  <si>
    <t>2610.395.438-000</t>
  </si>
  <si>
    <t>2610.395.439-000</t>
  </si>
  <si>
    <t>2610.395.440-000</t>
  </si>
  <si>
    <t>EMBOLO PORTATIL</t>
  </si>
  <si>
    <t>2610.395.441-000</t>
  </si>
  <si>
    <t>PLACA BASE    S/R</t>
  </si>
  <si>
    <t>2610.395.442-000</t>
  </si>
  <si>
    <t>ESTRIBO DE APOYO</t>
  </si>
  <si>
    <t>2610.395.444-000</t>
  </si>
  <si>
    <t>RUEDA DE ENGRANAJE</t>
  </si>
  <si>
    <t>2610.395.445-000</t>
  </si>
  <si>
    <t>TORNILLO AUTORROSCANTE ST3,9X19 4380</t>
  </si>
  <si>
    <t>2610.395.446-000</t>
  </si>
  <si>
    <t>BOTON CONMUTADOR 4400/4380</t>
  </si>
  <si>
    <t>2610.395.447-000</t>
  </si>
  <si>
    <t>TUERCA CUADRADA</t>
  </si>
  <si>
    <t>2610.395.448-000</t>
  </si>
  <si>
    <t>RIEL-GUIA 4400</t>
  </si>
  <si>
    <t>2610.395.449-000</t>
  </si>
  <si>
    <t>INDUCTANCIA</t>
  </si>
  <si>
    <t>2610.395.786-000</t>
  </si>
  <si>
    <t>2610.395.788-000</t>
  </si>
  <si>
    <t>PLACA ASIENTO</t>
  </si>
  <si>
    <t>2610.395.789-000</t>
  </si>
  <si>
    <t>FILTRO ANTIPARASITARIO</t>
  </si>
  <si>
    <t>2610.395.791-000</t>
  </si>
  <si>
    <t>HORQUILLA OBSOLETO</t>
  </si>
  <si>
    <t>2610.395.792-000</t>
  </si>
  <si>
    <t>JUEGO DE MUELLES</t>
  </si>
  <si>
    <t>2610.395.793-000</t>
  </si>
  <si>
    <t>2610.395.794-000</t>
  </si>
  <si>
    <t>BOTON DE AJUSTE</t>
  </si>
  <si>
    <t>2610.395.795-000</t>
  </si>
  <si>
    <t>2610.395.796-000</t>
  </si>
  <si>
    <t>2610.395.797-000</t>
  </si>
  <si>
    <t>INTERRUPTOR 220V  7640</t>
  </si>
  <si>
    <t>2610.395.798-000</t>
  </si>
  <si>
    <t>CUBIERTA PROTECCIÓN</t>
  </si>
  <si>
    <t>2610.395.799-000</t>
  </si>
  <si>
    <t>CAJA DE ENGRENAJE 7640</t>
  </si>
  <si>
    <t>2610.395.802-000</t>
  </si>
  <si>
    <t>2610.395.803-000</t>
  </si>
  <si>
    <t>SEGMENTO DE CARCASA  7640</t>
  </si>
  <si>
    <t>2610.395.804-000</t>
  </si>
  <si>
    <t>2610.395.805-000</t>
  </si>
  <si>
    <t>2610.395.810-000</t>
  </si>
  <si>
    <t>2610.395.811-000</t>
  </si>
  <si>
    <t>2610.395.812-000</t>
  </si>
  <si>
    <t>2610.396.238-000</t>
  </si>
  <si>
    <t>OJETE PROTECTOR 9780/9980</t>
  </si>
  <si>
    <t>2610.396.241-000</t>
  </si>
  <si>
    <t>PIÑON 9980</t>
  </si>
  <si>
    <t>2610.396.242-000</t>
  </si>
  <si>
    <t>CAJA DE ENGRANAJES 9780/9980</t>
  </si>
  <si>
    <t>2610.396.244-000</t>
  </si>
  <si>
    <t>MANGO 9780/9980</t>
  </si>
  <si>
    <t>2610.396.245-000</t>
  </si>
  <si>
    <t>PERNO DE FIJACION 9780/9980 OBSOLETO</t>
  </si>
  <si>
    <t>2610.396.251-000</t>
  </si>
  <si>
    <t>TORNILLO 9780/9980</t>
  </si>
  <si>
    <t>2610.396.254-000</t>
  </si>
  <si>
    <t>ARO DEFLECTOR 9780/9980</t>
  </si>
  <si>
    <t>2610.396.255-000</t>
  </si>
  <si>
    <t>ABRAZADERA 9780/9980</t>
  </si>
  <si>
    <t>2610.396.256-000</t>
  </si>
  <si>
    <t>2610.396.257-000</t>
  </si>
  <si>
    <t>CONDENSADOR ANTIPARASIT 9780/9980</t>
  </si>
  <si>
    <t>2610.396.346-000</t>
  </si>
  <si>
    <t>RODA CONICA 9003</t>
  </si>
  <si>
    <t>2610.396.347-000</t>
  </si>
  <si>
    <t>BOTON  2120</t>
  </si>
  <si>
    <t>2610.396.350-000</t>
  </si>
  <si>
    <t>INTERRUPTOR 2120</t>
  </si>
  <si>
    <t>2610.396.352-000</t>
  </si>
  <si>
    <t>JUEGO DE PILAS  7,2V 2120</t>
  </si>
  <si>
    <t>2610.396.358-000</t>
  </si>
  <si>
    <t>JUEGO DE PIEZAS  2120</t>
  </si>
  <si>
    <t>2610.396.536-000</t>
  </si>
  <si>
    <t>PLACA RESORTE 4003/4170</t>
  </si>
  <si>
    <t>2610.396.574-000</t>
  </si>
  <si>
    <t>SUJETADOR DE CABLE 7351</t>
  </si>
  <si>
    <t>2610.397.036-000</t>
  </si>
  <si>
    <t>GRUPO DE INTERRUPTORES 8005 V1</t>
  </si>
  <si>
    <t>2610.397.037-000</t>
  </si>
  <si>
    <t>OJETE PROTECTOR 8005 V1</t>
  </si>
  <si>
    <t>2610.397.038-000</t>
  </si>
  <si>
    <t>MODULO ELECTRONICO 8005</t>
  </si>
  <si>
    <t>2610.397.039-000</t>
  </si>
  <si>
    <t>RESISTENCIA 8005 220V</t>
  </si>
  <si>
    <t>2610.397.040-000</t>
  </si>
  <si>
    <t>MOTOR 8005</t>
  </si>
  <si>
    <t>2610.397.041-000</t>
  </si>
  <si>
    <t>TORNILLO 8005 V1</t>
  </si>
  <si>
    <t>2610.397.042-000</t>
  </si>
  <si>
    <t>JUEGO DE REPUESTOS 8005 V1</t>
  </si>
  <si>
    <t>2610.397.043-000</t>
  </si>
  <si>
    <t>APRIETACABLE 8005 V1</t>
  </si>
  <si>
    <t>2610.397.044-000</t>
  </si>
  <si>
    <t>BRIDA DE CONTACTO 8005 V1</t>
  </si>
  <si>
    <t>2610.397.045-000</t>
  </si>
  <si>
    <t>CONMUTADOR 8005 V1</t>
  </si>
  <si>
    <t>2610.397.046-000</t>
  </si>
  <si>
    <t>SALIENTE 8005 V1</t>
  </si>
  <si>
    <t>2610.397.047-000</t>
  </si>
  <si>
    <t>RESISTOR 8005 V1</t>
  </si>
  <si>
    <t>2610.397.056-000</t>
  </si>
  <si>
    <t>PORTACUCHILLAS 4900</t>
  </si>
  <si>
    <t>2610.397.057-000</t>
  </si>
  <si>
    <t>ESCUADRA DE SOPORTE 4900</t>
  </si>
  <si>
    <t>2610.397.058-000</t>
  </si>
  <si>
    <t>EMBOLO 4900</t>
  </si>
  <si>
    <t>2610.397.059-000</t>
  </si>
  <si>
    <t>TORNILLO 4900</t>
  </si>
  <si>
    <t>2610.397.060-000</t>
  </si>
  <si>
    <t>ENGRANAJE 4900 RX 2610.Z02.475-000</t>
  </si>
  <si>
    <t>2610.397.061-000</t>
  </si>
  <si>
    <t>RODAMIENTO 4900</t>
  </si>
  <si>
    <t>2610.397.066-000</t>
  </si>
  <si>
    <t>INDICADOR 4900</t>
  </si>
  <si>
    <t>2610.397.067-000</t>
  </si>
  <si>
    <t>REGULADOR 4900</t>
  </si>
  <si>
    <t>2610.397.068-000</t>
  </si>
  <si>
    <t>INTERRUPTOR 220V 4900</t>
  </si>
  <si>
    <t>2610.397.069-000</t>
  </si>
  <si>
    <t>2610.397.124-000</t>
  </si>
  <si>
    <t>OJETE PROTECTOR 4900</t>
  </si>
  <si>
    <t>2610.397.235-000</t>
  </si>
  <si>
    <t>BUSH ROSCADO</t>
  </si>
  <si>
    <t>2610.397.236-000</t>
  </si>
  <si>
    <t>2610.397.345-000</t>
  </si>
  <si>
    <t>LLAVE HEXAGONAL 1570</t>
  </si>
  <si>
    <t>2610.397.346-000</t>
  </si>
  <si>
    <t>2610.397.748-000</t>
  </si>
  <si>
    <t>ADAPTADOR DE VACIO 7314</t>
  </si>
  <si>
    <t>2610.398.305-000</t>
  </si>
  <si>
    <t>BATERÍA 2311/2355</t>
  </si>
  <si>
    <t>2610.398.306-000</t>
  </si>
  <si>
    <t>BATERIA 2897 - 14,4V RX F000624037</t>
  </si>
  <si>
    <t>2610.398.487-000</t>
  </si>
  <si>
    <t>PLACA BASE 7314</t>
  </si>
  <si>
    <t>2610.398.522-000</t>
  </si>
  <si>
    <t>ABRAZADERA DE APRIETE 4900</t>
  </si>
  <si>
    <t>2610.398.578-000</t>
  </si>
  <si>
    <t>INTERRUPTOR 7366/7351</t>
  </si>
  <si>
    <t>2610.398.579-000</t>
  </si>
  <si>
    <t>BOTON 7366/7351</t>
  </si>
  <si>
    <t>2610.398.580-000</t>
  </si>
  <si>
    <t>ESTATOR 7366/7351</t>
  </si>
  <si>
    <t>2610.398.581-000</t>
  </si>
  <si>
    <t>INDUCIDO 7366/7351</t>
  </si>
  <si>
    <t>2610.398.583-000</t>
  </si>
  <si>
    <t>SOPORTE 7366/7351</t>
  </si>
  <si>
    <t>2610.398.585-000</t>
  </si>
  <si>
    <t>JUEGO DE TORNILLOS 7351</t>
  </si>
  <si>
    <t>2610.398.586-000</t>
  </si>
  <si>
    <t>RECIPIENTE DE POLVO 7351</t>
  </si>
  <si>
    <t>2610.398.587-000</t>
  </si>
  <si>
    <t>CHAPA DE REBOTAMIENTO 7351</t>
  </si>
  <si>
    <t>2610.398.589-000</t>
  </si>
  <si>
    <t>PLACA ELECTRONICA 7366 DISCONT</t>
  </si>
  <si>
    <t>2610.398.590-000</t>
  </si>
  <si>
    <t>CARCASA 7366</t>
  </si>
  <si>
    <t>2610.398.591-000</t>
  </si>
  <si>
    <t>PLACA PORTACARBONES 7366/7351</t>
  </si>
  <si>
    <t>2610.398.735-000</t>
  </si>
  <si>
    <t>MANDRIL 2211/2311/2411</t>
  </si>
  <si>
    <t>2610.398.736-000</t>
  </si>
  <si>
    <t>MOTOR C.C. 2311</t>
  </si>
  <si>
    <t>2610.398.737-000</t>
  </si>
  <si>
    <t>MOTOR C.C 2411</t>
  </si>
  <si>
    <t>2610.398.739-000</t>
  </si>
  <si>
    <t>PLACA DE REFRIGERACION 2211/2311/2411</t>
  </si>
  <si>
    <t>2610.398.743-000</t>
  </si>
  <si>
    <t>INTERRUPTOR 2211/2311/2411</t>
  </si>
  <si>
    <t>2610.398.744-000</t>
  </si>
  <si>
    <t>BOTON PULSADOR 2311/2411</t>
  </si>
  <si>
    <t>2610.398.745-000</t>
  </si>
  <si>
    <t>TAPA DE DISTRIBUIDOR 2211/2311</t>
  </si>
  <si>
    <t>2610.398.746-000</t>
  </si>
  <si>
    <t>TAPA DE DISTRIBUIDOR 2411</t>
  </si>
  <si>
    <t>2610.398.860-000</t>
  </si>
  <si>
    <t>RETEN OBTURADOR 1570</t>
  </si>
  <si>
    <t>2610.398.861-000</t>
  </si>
  <si>
    <t>CARCASA DE MOTOR 1570</t>
  </si>
  <si>
    <t>2610.398.862-000</t>
  </si>
  <si>
    <t>CABEZAL DE CEPILLADO 1570</t>
  </si>
  <si>
    <t>2610.398.863-000</t>
  </si>
  <si>
    <t>INDUCIDO 1570</t>
  </si>
  <si>
    <t>2610.398.864-000</t>
  </si>
  <si>
    <t>ESTATOR 1570</t>
  </si>
  <si>
    <t>2610.398.865-000</t>
  </si>
  <si>
    <t>BOTON DE MANDO 1570</t>
  </si>
  <si>
    <t>2610.398.866-000</t>
  </si>
  <si>
    <t>CONMUTADOR 1570</t>
  </si>
  <si>
    <t>2610.398.867-000</t>
  </si>
  <si>
    <t>POLEA SKIL 1570</t>
  </si>
  <si>
    <t>2610.398.868-000</t>
  </si>
  <si>
    <t>PLACA DE APOYO 1570</t>
  </si>
  <si>
    <t>2610.398.869-000</t>
  </si>
  <si>
    <t>BUJE PUENTE 4115-4225-4235</t>
  </si>
  <si>
    <t>2610.398.870-000</t>
  </si>
  <si>
    <t>COJINETE 1570</t>
  </si>
  <si>
    <t>2610.398.871-000</t>
  </si>
  <si>
    <t>CARBONES 1570</t>
  </si>
  <si>
    <t>2610.398.872-000</t>
  </si>
  <si>
    <t>ELEMENTO FIJADOR 1570</t>
  </si>
  <si>
    <t>2610.398.873-000</t>
  </si>
  <si>
    <t>TAPA PROTECTORA 1570</t>
  </si>
  <si>
    <t>2610.398.874-000</t>
  </si>
  <si>
    <t>FILTRO ANTIPAR. 1570</t>
  </si>
  <si>
    <t>2610.398.875-000</t>
  </si>
  <si>
    <t>ANILLO DE AJUSTE 1570</t>
  </si>
  <si>
    <t>2610.398.876-000</t>
  </si>
  <si>
    <t>INTERRUPTOR 1570</t>
  </si>
  <si>
    <t>2610.398.877-000</t>
  </si>
  <si>
    <t>ADAPT.BOLSA RECOLECT.1510/94 - Discontin</t>
  </si>
  <si>
    <t>2610.398.878-000</t>
  </si>
  <si>
    <t>CORREA DENTADA 1570 RX 2604736013</t>
  </si>
  <si>
    <t>2610.398.879-000</t>
  </si>
  <si>
    <t>SOPORTE PIE 1570</t>
  </si>
  <si>
    <t>2610.398.880-000</t>
  </si>
  <si>
    <t>PLACA MOVIL 1570</t>
  </si>
  <si>
    <t>2610.398.881-000</t>
  </si>
  <si>
    <t>DISPOSITIVO DE AJUSTE 1570</t>
  </si>
  <si>
    <t>2610.398.914-000</t>
  </si>
  <si>
    <t>2610.398.915-000</t>
  </si>
  <si>
    <t>TUBO GUÍA</t>
  </si>
  <si>
    <t>2610.398.972-000</t>
  </si>
  <si>
    <t>INTERRUPTOR 7314</t>
  </si>
  <si>
    <t>2610.398.973-000</t>
  </si>
  <si>
    <t>SUJETADOR DE CABLE 7314</t>
  </si>
  <si>
    <t>2610.398.974-000</t>
  </si>
  <si>
    <t>CARBONES 7314</t>
  </si>
  <si>
    <t>2610.398.975-000</t>
  </si>
  <si>
    <t>OJETE PROTECTOR 7314</t>
  </si>
  <si>
    <t>2610.398.976-000</t>
  </si>
  <si>
    <t>ESTATOR 7314 OBSOLETO</t>
  </si>
  <si>
    <t>2610.398.978-000</t>
  </si>
  <si>
    <t>ARANDELA DE SEGURIDAD 7314</t>
  </si>
  <si>
    <t>2610.398.980-000</t>
  </si>
  <si>
    <t>2610.398.981-000</t>
  </si>
  <si>
    <t>PIEZA BASCULANTE</t>
  </si>
  <si>
    <t>2610.398.982-000</t>
  </si>
  <si>
    <t>INDUCIDO CON VENTILADOR 7314</t>
  </si>
  <si>
    <t>2610.398.983-000</t>
  </si>
  <si>
    <t>ENVOLVENTE DE VENTILADOR 7314</t>
  </si>
  <si>
    <t>2610.398.984-000</t>
  </si>
  <si>
    <t>PIERNA BATIENTE 7314 OBSOLETO</t>
  </si>
  <si>
    <t>2610.398.985-000</t>
  </si>
  <si>
    <t>CARCASA 7314</t>
  </si>
  <si>
    <t>2610.399.649-000</t>
  </si>
  <si>
    <t>PORTABROCAS RAPIDO + PARAFUSO</t>
  </si>
  <si>
    <t>2610.399.695-000</t>
  </si>
  <si>
    <t>CUBREDISCO 9003/9345/9006</t>
  </si>
  <si>
    <t>2610.399.698-000</t>
  </si>
  <si>
    <t>ABRAZADERA 9345</t>
  </si>
  <si>
    <t>2610.399.700-000</t>
  </si>
  <si>
    <t>MANGO 9345</t>
  </si>
  <si>
    <t>2610.399.704-000</t>
  </si>
  <si>
    <t>BRIDA DE COJINETE 9345</t>
  </si>
  <si>
    <t>2610.399.708-000</t>
  </si>
  <si>
    <t>TECLA DE EMPUJE 9345</t>
  </si>
  <si>
    <t>2610.399.709-000</t>
  </si>
  <si>
    <t>ESTATOR 9345</t>
  </si>
  <si>
    <t>2610.399.710-000</t>
  </si>
  <si>
    <t>PIÑON 9345</t>
  </si>
  <si>
    <t>2610.399.713-000</t>
  </si>
  <si>
    <t>CONJUNTO DE BOTON Y CORRED. 9345</t>
  </si>
  <si>
    <t>2610.399.714-000</t>
  </si>
  <si>
    <t>OJETE PROTECTOR 9345</t>
  </si>
  <si>
    <t>2610.901.970-000</t>
  </si>
  <si>
    <t>TORNILLO 4395-80 OBSOLETO</t>
  </si>
  <si>
    <t>2610.901.987-000</t>
  </si>
  <si>
    <t>2610.901.988-000</t>
  </si>
  <si>
    <t>2610.901.989-000</t>
  </si>
  <si>
    <t>KIT TUERCA + PERILLA  5150</t>
  </si>
  <si>
    <t>2610.902.373-000</t>
  </si>
  <si>
    <t>INDUCIDO 9410 T.1-80</t>
  </si>
  <si>
    <t>2610.902.374-000</t>
  </si>
  <si>
    <t>ESTATOR 9410 T.1-80</t>
  </si>
  <si>
    <t>2610.902.875-000</t>
  </si>
  <si>
    <t>INDUCIDO HD1986-32</t>
  </si>
  <si>
    <t>2610.902.880-000</t>
  </si>
  <si>
    <t>EMPUÑADURA 1986</t>
  </si>
  <si>
    <t>2610.902.896-000</t>
  </si>
  <si>
    <t>ENGRANAJE 1573.2</t>
  </si>
  <si>
    <t>2610.902.931-000</t>
  </si>
  <si>
    <t>AMORTIG.VIBRACIONES 7560-32</t>
  </si>
  <si>
    <t>2610.902.932-000</t>
  </si>
  <si>
    <t>PLACA DE FIJACION 7560-32</t>
  </si>
  <si>
    <t>2610.902.933-000</t>
  </si>
  <si>
    <t>PLACA VIBRADORA 7560-32</t>
  </si>
  <si>
    <t>2610.903.180-000</t>
  </si>
  <si>
    <t>CUBIERTA PROTECTORA 1573</t>
  </si>
  <si>
    <t>2610.903.192-000</t>
  </si>
  <si>
    <t>ENGRANAJE 1573.0</t>
  </si>
  <si>
    <t>2610.903.196-000</t>
  </si>
  <si>
    <t>2610.903.759-000</t>
  </si>
  <si>
    <t>CARCASA 9105-41</t>
  </si>
  <si>
    <t>2610.903.764-000</t>
  </si>
  <si>
    <t>RODAMIENTO 9105-41</t>
  </si>
  <si>
    <t>2610.903.770-000</t>
  </si>
  <si>
    <t>INTERRUPT.CORREDERA 9105-41</t>
  </si>
  <si>
    <t>2610.903.771-000</t>
  </si>
  <si>
    <t>RESORTE 9105-41</t>
  </si>
  <si>
    <t>2610.903.809-000</t>
  </si>
  <si>
    <t>CARCASA 7560-32</t>
  </si>
  <si>
    <t>2610.903.815-000</t>
  </si>
  <si>
    <t>BOLSA 7560-32</t>
  </si>
  <si>
    <t>2610.903.878-000</t>
  </si>
  <si>
    <t>CARCASA 6345      RX2610357532</t>
  </si>
  <si>
    <t>2610.904.202-000</t>
  </si>
  <si>
    <t>PLACA BASE 1573</t>
  </si>
  <si>
    <t>2610.904.250-000</t>
  </si>
  <si>
    <t>CARCASA 5150/1986</t>
  </si>
  <si>
    <t>2610.904.632-000</t>
  </si>
  <si>
    <t>ARRASTRADOR 2272</t>
  </si>
  <si>
    <t>2610.904.710-000</t>
  </si>
  <si>
    <t>PERNOS 9105-41</t>
  </si>
  <si>
    <t>2610.904.711-000</t>
  </si>
  <si>
    <t>CORONA 9105-41</t>
  </si>
  <si>
    <t>2610.904.740-000</t>
  </si>
  <si>
    <t>PORTACARBONES 9105-41 OBSOLETO</t>
  </si>
  <si>
    <t>2610.904.751-000</t>
  </si>
  <si>
    <t>ANILLO DE SEGURIDAD 2272</t>
  </si>
  <si>
    <t>2610.904.752-000</t>
  </si>
  <si>
    <t>EJE 2272-32</t>
  </si>
  <si>
    <t>2610.904.820-000</t>
  </si>
  <si>
    <t>CARCASA 2272</t>
  </si>
  <si>
    <t>2610.904.887-000</t>
  </si>
  <si>
    <t>EMPUÑADURA 5150</t>
  </si>
  <si>
    <t>2610.905.306-000</t>
  </si>
  <si>
    <t>TAPA TRASERA 5150</t>
  </si>
  <si>
    <t>2610.905.307-000</t>
  </si>
  <si>
    <t>CARCASA 5150</t>
  </si>
  <si>
    <t>2610.905.311-000</t>
  </si>
  <si>
    <t>TAPA TRASERA HD5660-41/1986</t>
  </si>
  <si>
    <t>2610.905.333-000</t>
  </si>
  <si>
    <t>CARCASA DE MOTOR 1870</t>
  </si>
  <si>
    <t>2610.905.334-000</t>
  </si>
  <si>
    <t>PALANCA HD5660-41</t>
  </si>
  <si>
    <t>2610.905.360-000</t>
  </si>
  <si>
    <t>TAPA DE MANGO 6901/6</t>
  </si>
  <si>
    <t>2610.905.362-000</t>
  </si>
  <si>
    <t>CARCASA DE MOTOR 6901/6 OBSOLETO</t>
  </si>
  <si>
    <t>2610.905.372-000</t>
  </si>
  <si>
    <t>CARCASA 9410 OBSOLETO</t>
  </si>
  <si>
    <t>2610.905.379-000</t>
  </si>
  <si>
    <t>CAJA DE ENGRANAJES 6901</t>
  </si>
  <si>
    <t>2610.906.132-000</t>
  </si>
  <si>
    <t>CARCASA INFERIOR 1835</t>
  </si>
  <si>
    <t>2610.906.137-000</t>
  </si>
  <si>
    <t>CONJ.RODILLO/TENSOR 7313 RA 376.138</t>
  </si>
  <si>
    <t>2610.906.321-000</t>
  </si>
  <si>
    <t>TOPE DE PROFUND.1420</t>
  </si>
  <si>
    <t>2610.907.370-000</t>
  </si>
  <si>
    <t>ARBOL DE ACCIONAMIENTO 1049</t>
  </si>
  <si>
    <t>2610.907.388-000</t>
  </si>
  <si>
    <t>MUELLE ESPIRAL  16A2 RX 1619P14306</t>
  </si>
  <si>
    <t>2610.907.529-000</t>
  </si>
  <si>
    <t>BOTON DE AJUSTE 1619</t>
  </si>
  <si>
    <t>2610.907.535-000</t>
  </si>
  <si>
    <t>CONJ.EMPU#ADURA 1573 RA 903 194/5</t>
  </si>
  <si>
    <t>2610.907.550-000</t>
  </si>
  <si>
    <t>CARCASA 1276 RA 908 627</t>
  </si>
  <si>
    <t>2610.907.616-000</t>
  </si>
  <si>
    <t>INTERRUPTOR 1049 RX 2607200920</t>
  </si>
  <si>
    <t>2610.907.721-000</t>
  </si>
  <si>
    <t>ETIQUETA ADHESIVA 1619</t>
  </si>
  <si>
    <t>2610.907.783-000</t>
  </si>
  <si>
    <t>ESTRIBO PROTECTOR 1B21.0</t>
  </si>
  <si>
    <t>2610.907.813-000</t>
  </si>
  <si>
    <t>MESA DE ASERRAR 1B20.0</t>
  </si>
  <si>
    <t>2610.907.816-000</t>
  </si>
  <si>
    <t>PLACA DE BASE 1B20.0</t>
  </si>
  <si>
    <t>2610.907.824-000</t>
  </si>
  <si>
    <t>TOPE PARA INGLETES 1B20.0 -DISCONTINUADO</t>
  </si>
  <si>
    <t>2610.907.826-000</t>
  </si>
  <si>
    <t>BASTIDOR COMPLEMENTARIO 1B20.0</t>
  </si>
  <si>
    <t>2610.907.844-000</t>
  </si>
  <si>
    <t>TAPA PROTECTORA  1B20.0 - DISCONTINUADO</t>
  </si>
  <si>
    <t>2610.907.846-000</t>
  </si>
  <si>
    <t>PLACA DE ESCALA  1B20.0</t>
  </si>
  <si>
    <t>2610.907.847-000</t>
  </si>
  <si>
    <t>PERNO DE BLOQUEO 1B20.0</t>
  </si>
  <si>
    <t>2610.907.850-000</t>
  </si>
  <si>
    <t>EMPUÑADURA 1B20.0</t>
  </si>
  <si>
    <t>2610.907.852-000</t>
  </si>
  <si>
    <t>AGUJA  1B20.0</t>
  </si>
  <si>
    <t>2610.907.854-000</t>
  </si>
  <si>
    <t>PLACA DE DESGASTE 1B20.0</t>
  </si>
  <si>
    <t>2610.907.863-000</t>
  </si>
  <si>
    <t>ENVOLVENTE DE VENT. 1613 RA 3605702588</t>
  </si>
  <si>
    <t>2610.907.864-000</t>
  </si>
  <si>
    <t>Rod</t>
  </si>
  <si>
    <t>2610.907.865-000</t>
  </si>
  <si>
    <t>Pointer</t>
  </si>
  <si>
    <t>2610.907.867-000</t>
  </si>
  <si>
    <t>ENVOLVENTE VENT. 1614 RA3605702583</t>
  </si>
  <si>
    <t>2610.907.942-000</t>
  </si>
  <si>
    <t>INDUCIDO 398</t>
  </si>
  <si>
    <t>2610.907.977-000</t>
  </si>
  <si>
    <t>PLACA DE CARACTERISTISTICAS 1619 OBSOLET</t>
  </si>
  <si>
    <t>2610.908.270-000</t>
  </si>
  <si>
    <t>2610.908.271-000</t>
  </si>
  <si>
    <t>TORNILLO PARA CHAPA 1B30.0/.2</t>
  </si>
  <si>
    <t>2610.908.272-000</t>
  </si>
  <si>
    <t>2610.908.288-000</t>
  </si>
  <si>
    <t>EJE 1B20.0</t>
  </si>
  <si>
    <t>2610.908.305-000</t>
  </si>
  <si>
    <t>SOPORTE 2375-32</t>
  </si>
  <si>
    <t>2610.908.306-000</t>
  </si>
  <si>
    <t>2610.908.318-000</t>
  </si>
  <si>
    <t>ACOPLAMIENTO 2272</t>
  </si>
  <si>
    <t>2610.908.319-000</t>
  </si>
  <si>
    <t>CARCASA 2375-32</t>
  </si>
  <si>
    <t>2610.908.334-000</t>
  </si>
  <si>
    <t>CORONA DENTADA 2272</t>
  </si>
  <si>
    <t>2610.908.335-000</t>
  </si>
  <si>
    <t>CONTACTO BATERIA 2480</t>
  </si>
  <si>
    <t>2610.908.358-000</t>
  </si>
  <si>
    <t>DEFLECTOR DE AIRE HD5660-41 - DISCONT.</t>
  </si>
  <si>
    <t>2610.908.382-000</t>
  </si>
  <si>
    <t>INDUCIDO 1573.2 RX 1.619.P06.121 DISCONT</t>
  </si>
  <si>
    <t>2610.908.398-000</t>
  </si>
  <si>
    <t>INDUCIDO HD5660-41</t>
  </si>
  <si>
    <t>2610.908.605-000</t>
  </si>
  <si>
    <t>ESTATOR 1276 - DISCONTINUADO</t>
  </si>
  <si>
    <t>2610.908.607-000</t>
  </si>
  <si>
    <t>INDUCIDO 1276 DISCONTINUADO</t>
  </si>
  <si>
    <t>2610.908.618-000</t>
  </si>
  <si>
    <t>EJE C/ENGRANAJ. 1276</t>
  </si>
  <si>
    <t>2610.908.621-000</t>
  </si>
  <si>
    <t>EJE DENTADO CON ROSCA 1276.7</t>
  </si>
  <si>
    <t>2610.908.623-000</t>
  </si>
  <si>
    <t>POLEA (GRANDE) 1276 RX2610994443</t>
  </si>
  <si>
    <t>2610.908.625-000</t>
  </si>
  <si>
    <t>PLACA APOYO LIJA 1276</t>
  </si>
  <si>
    <t>2610.908.627-000</t>
  </si>
  <si>
    <t>CARCASA 1276 RX 907 550</t>
  </si>
  <si>
    <t>2610.908.628-000</t>
  </si>
  <si>
    <t>PLACA DE CERAMICA 1276</t>
  </si>
  <si>
    <t>2610.908.629-000</t>
  </si>
  <si>
    <t>FLEJE 1276</t>
  </si>
  <si>
    <t>2610.908.630-000</t>
  </si>
  <si>
    <t>CAPERUZA PROTECC.1276.7</t>
  </si>
  <si>
    <t>2610.908.632-000</t>
  </si>
  <si>
    <t>SOPORTE DE RODILLO 1276</t>
  </si>
  <si>
    <t>2610.908.634-000</t>
  </si>
  <si>
    <t>EJE DE RODILLO 1276</t>
  </si>
  <si>
    <t>2610.908.637-000</t>
  </si>
  <si>
    <t>TORNILLO DE REGULACION 1276</t>
  </si>
  <si>
    <t>2610.908.642-000</t>
  </si>
  <si>
    <t>RODILLO 1276</t>
  </si>
  <si>
    <t>2610.908.644-000</t>
  </si>
  <si>
    <t>2610.908.651-000</t>
  </si>
  <si>
    <t>TAPA CUBREPOLVO 1276</t>
  </si>
  <si>
    <t>2610.908.652-000</t>
  </si>
  <si>
    <t>EMPUÑADURA ADICIONAL 1276</t>
  </si>
  <si>
    <t>2610.908.655-000</t>
  </si>
  <si>
    <t>TAPA DE ACCESO 1276</t>
  </si>
  <si>
    <t>2610.908.656-000</t>
  </si>
  <si>
    <t>DISPOSITIVO DE AJUSTE 1276</t>
  </si>
  <si>
    <t>2610.908.657-000</t>
  </si>
  <si>
    <t>TAPA DE RODILLO 1276</t>
  </si>
  <si>
    <t>2610.908.661-000</t>
  </si>
  <si>
    <t>ANILLO DE RETENCION 1276</t>
  </si>
  <si>
    <t>2610.908.665-000</t>
  </si>
  <si>
    <t>DEFLECTOR DE AIRE 1276</t>
  </si>
  <si>
    <t>2610.908.668-000</t>
  </si>
  <si>
    <t>TERMINAL 1276</t>
  </si>
  <si>
    <t>2610.908.671-000</t>
  </si>
  <si>
    <t>REGULADOR ELECTRONICO 1276 DISCONT</t>
  </si>
  <si>
    <t>2610.908.678-000</t>
  </si>
  <si>
    <t>CARBONES 1276</t>
  </si>
  <si>
    <t>2610.908.698-000</t>
  </si>
  <si>
    <t>CONCHA DE COJINETE 1F4J.0</t>
  </si>
  <si>
    <t>2610.908.799-000</t>
  </si>
  <si>
    <t>BASE DE CALADORA</t>
  </si>
  <si>
    <t>2610.908.804-000</t>
  </si>
  <si>
    <t>ARANDELA PROTECTORA 1F4J.0</t>
  </si>
  <si>
    <t>2610.908.901-000</t>
  </si>
  <si>
    <t>ENGRANAJ.PLANETARIO 2375-32</t>
  </si>
  <si>
    <t>2610.908.919-000</t>
  </si>
  <si>
    <t>2610.909.006-000</t>
  </si>
  <si>
    <t>HOJAS DE AVISO 1B20.0</t>
  </si>
  <si>
    <t>2610.909.058-000</t>
  </si>
  <si>
    <t>TOPE DE PROFUNDIDAD 1619</t>
  </si>
  <si>
    <t>2610.909.072-000</t>
  </si>
  <si>
    <t>TUERCA 1619</t>
  </si>
  <si>
    <t>2610.909.077-000</t>
  </si>
  <si>
    <t>VENTILADOR AXIAL</t>
  </si>
  <si>
    <t>2610.909.178-000</t>
  </si>
  <si>
    <t>ARANDELA 1B30.0/.2/1680</t>
  </si>
  <si>
    <t>2610.909.203-000</t>
  </si>
  <si>
    <t>2610.909.216-000</t>
  </si>
  <si>
    <t>SUJECION</t>
  </si>
  <si>
    <t>2610.909.310-000</t>
  </si>
  <si>
    <t>RODAMIENTO RIGIDO BOLAS 1245.7</t>
  </si>
  <si>
    <t>2610.909.578-000</t>
  </si>
  <si>
    <t>CARC.LATERAL7313/1200RA0372762</t>
  </si>
  <si>
    <t>2610.909.579-000</t>
  </si>
  <si>
    <t>CARCASA INF.7313 RAN2610909579</t>
  </si>
  <si>
    <t>2610.909.580-000</t>
  </si>
  <si>
    <t>CARCASA 7313</t>
  </si>
  <si>
    <t>2610.909.581-000</t>
  </si>
  <si>
    <t>2610.909.582-000</t>
  </si>
  <si>
    <t>CLIP 7313</t>
  </si>
  <si>
    <t>2610.909.583-000</t>
  </si>
  <si>
    <t>TAPA CORREA 7313 OBSOLETO</t>
  </si>
  <si>
    <t>2610.909.603-000</t>
  </si>
  <si>
    <t>PINZA DE SUJECION 6901 RA 2610358013</t>
  </si>
  <si>
    <t>2610.909.704-000</t>
  </si>
  <si>
    <t>INTERRUPTOR 2375-32</t>
  </si>
  <si>
    <t>2610.909.726-000</t>
  </si>
  <si>
    <t>MOTOR 2375-32</t>
  </si>
  <si>
    <t>2610.909.730-000</t>
  </si>
  <si>
    <t>MANGUITO DISTANCIADOR 2272</t>
  </si>
  <si>
    <t>2610.910.009-000</t>
  </si>
  <si>
    <t>BLOQUE DE ACOPLAMIENTO 1BA2.0/1C87.5</t>
  </si>
  <si>
    <t>2610.910.013-000</t>
  </si>
  <si>
    <t>2610.910.015-000</t>
  </si>
  <si>
    <t>PERNO UNION DE RODILLOS 1M30.5</t>
  </si>
  <si>
    <t>2610.910.046-000</t>
  </si>
  <si>
    <t>ARANDELA ELASTICA 1B21.0</t>
  </si>
  <si>
    <t>2610.910.047-000</t>
  </si>
  <si>
    <t>2610.910.108-000</t>
  </si>
  <si>
    <t>VARILLA 4395-80</t>
  </si>
  <si>
    <t>2610.910.115-000</t>
  </si>
  <si>
    <t>2610.910.119-000</t>
  </si>
  <si>
    <t>RODILLO 4115-4225-4235 RA 385.749</t>
  </si>
  <si>
    <t>2610.910.179-000</t>
  </si>
  <si>
    <t>CARCASA 4395-80 DISCONT.</t>
  </si>
  <si>
    <t>2610.910.180-000</t>
  </si>
  <si>
    <t>CARCASA 4115-4225-4235</t>
  </si>
  <si>
    <t>2610.910.185-000</t>
  </si>
  <si>
    <t>ESTATOR 1573.2/HD5550(RA341382</t>
  </si>
  <si>
    <t>2610.910.188-000</t>
  </si>
  <si>
    <t>CARCASA 6125-80 OBSOLETO</t>
  </si>
  <si>
    <t>2610.910.194-000</t>
  </si>
  <si>
    <t>INDUCIDO HD5550-41 OBSOLETO</t>
  </si>
  <si>
    <t>2610.910.300-000</t>
  </si>
  <si>
    <t>2610.910.316-000</t>
  </si>
  <si>
    <t>INTERR.6901/06 RA2610352866 DISCONTINUAD</t>
  </si>
  <si>
    <t>2610.910.424-000</t>
  </si>
  <si>
    <t>CONTACTO BATERIA 2580</t>
  </si>
  <si>
    <t>2610.910.431-000</t>
  </si>
  <si>
    <t>INTERRUPTOR HD2645</t>
  </si>
  <si>
    <t>2610.910.506-000</t>
  </si>
  <si>
    <t>CABLE 4115-4225-4235</t>
  </si>
  <si>
    <t>2610.910.566-000</t>
  </si>
  <si>
    <t>2610.910.606-000</t>
  </si>
  <si>
    <t>RETENEDOR 1619</t>
  </si>
  <si>
    <t>2610.910.608-000</t>
  </si>
  <si>
    <t>DISPOSITIVO AJUSTE FINO 1619</t>
  </si>
  <si>
    <t>2610.910.750-000</t>
  </si>
  <si>
    <t>TOPE 1B21.0</t>
  </si>
  <si>
    <t>2610.910.751-000</t>
  </si>
  <si>
    <t>MANGUITO 1B21.0/1B20.0</t>
  </si>
  <si>
    <t>2610.910.752-000</t>
  </si>
  <si>
    <t>ARANDELA HELICOIDAL  1B20.0/1B21</t>
  </si>
  <si>
    <t>2610.910.753-000</t>
  </si>
  <si>
    <t>MANGUITO  1B20.0/1B21</t>
  </si>
  <si>
    <t>2610.910.754-000</t>
  </si>
  <si>
    <t>ALAMBRE DE RESORTE 1B21.0/1B20.0</t>
  </si>
  <si>
    <t>2610.910.755-000</t>
  </si>
  <si>
    <t>MUELLE DE TORSION  1B21</t>
  </si>
  <si>
    <t>2610.910.756-000</t>
  </si>
  <si>
    <t>SUJETADOR DE CABLE 1B21.0</t>
  </si>
  <si>
    <t>2610.910.757-000</t>
  </si>
  <si>
    <t>VARA 1B21.0</t>
  </si>
  <si>
    <t>2610.910.758-000</t>
  </si>
  <si>
    <t>RESORTE  1B21</t>
  </si>
  <si>
    <t>2610.910.760-000</t>
  </si>
  <si>
    <t>TUERCA 1B21.0/1B20.0</t>
  </si>
  <si>
    <t>2610.910.761-000</t>
  </si>
  <si>
    <t>CLAVIJA DE TAPA 1B21.0</t>
  </si>
  <si>
    <t>2610.910.762-000</t>
  </si>
  <si>
    <t>2610.910.764-000</t>
  </si>
  <si>
    <t>PATA  1B20.0/1B21 OBSOLETO</t>
  </si>
  <si>
    <t>2610.910.765-000</t>
  </si>
  <si>
    <t>MUELLE DE COMPRESION 1B21.0/1B20.0</t>
  </si>
  <si>
    <t>2610.910.766-000</t>
  </si>
  <si>
    <t>2610.910.768-000</t>
  </si>
  <si>
    <t>PASADOR DE SUJECION  1B20.0/1B21</t>
  </si>
  <si>
    <t>2610.910.769-000</t>
  </si>
  <si>
    <t>2610.910.770-000</t>
  </si>
  <si>
    <t>RESORTE 1B21.0</t>
  </si>
  <si>
    <t>2610.910.774-000</t>
  </si>
  <si>
    <t>TUERCA  1B20.0/1B21</t>
  </si>
  <si>
    <t>2610.910.775-000</t>
  </si>
  <si>
    <t>PALANCA  1B20.0/1B21</t>
  </si>
  <si>
    <t>2610.910.776-000</t>
  </si>
  <si>
    <t>2610.910.777-000</t>
  </si>
  <si>
    <t>2610.910.778-000</t>
  </si>
  <si>
    <t>PERNO ROSCADO 1B20.0</t>
  </si>
  <si>
    <t>2610.910.779-000</t>
  </si>
  <si>
    <t>2610.910.781-000</t>
  </si>
  <si>
    <t>TORNILLO  1B20.0/1B21</t>
  </si>
  <si>
    <t>2610.910.782-000</t>
  </si>
  <si>
    <t>2610.910.783-000</t>
  </si>
  <si>
    <t>TUERCA 1B21</t>
  </si>
  <si>
    <t>2610.910.784-000</t>
  </si>
  <si>
    <t>TORNILLO  1B21.0</t>
  </si>
  <si>
    <t>2610.910.785-000</t>
  </si>
  <si>
    <t>2610.910.786-000</t>
  </si>
  <si>
    <t>VARILLA ROSCADA 1B21.0/1B20.0</t>
  </si>
  <si>
    <t>2610.910.787-000</t>
  </si>
  <si>
    <t>RODAMIENTO A BOLAS 1B21.0</t>
  </si>
  <si>
    <t>2610.910.788-000</t>
  </si>
  <si>
    <t>JUNTA TORICA 1B21.0/1B20.0</t>
  </si>
  <si>
    <t>2610.910.789-000</t>
  </si>
  <si>
    <t>2610.910.790-000</t>
  </si>
  <si>
    <t>2610.910.791-000</t>
  </si>
  <si>
    <t>2610.910.792-000</t>
  </si>
  <si>
    <t>ARANDELA 1B20.0</t>
  </si>
  <si>
    <t>2610.910.793-000</t>
  </si>
  <si>
    <t>2610.910.794-000</t>
  </si>
  <si>
    <t>2610.910.796-000</t>
  </si>
  <si>
    <t>PERNO 1B21.0</t>
  </si>
  <si>
    <t>2610.910.797-000</t>
  </si>
  <si>
    <t>2610.910.799-000</t>
  </si>
  <si>
    <t>2610.910.821-000</t>
  </si>
  <si>
    <t>ARANDELA DE SEGURIDAD  1B21</t>
  </si>
  <si>
    <t>2610.910.822-000</t>
  </si>
  <si>
    <t>SPALANCA DE APRIETE  1B21</t>
  </si>
  <si>
    <t>2610.910.827-000</t>
  </si>
  <si>
    <t>BOTON DE MANDO 1B21.0</t>
  </si>
  <si>
    <t>2610.910.828-000</t>
  </si>
  <si>
    <t>LLAVE 1B21.0</t>
  </si>
  <si>
    <t>2610.910.830-000</t>
  </si>
  <si>
    <t>PLACA DESLIZANTE  1B21</t>
  </si>
  <si>
    <t>2610.910.831-000</t>
  </si>
  <si>
    <t>LISTON INDICADOR  1B21</t>
  </si>
  <si>
    <t>2610.910.833-000</t>
  </si>
  <si>
    <t>PLACA DE CIERRE  1B20.0/1B21 - OBSOLETO</t>
  </si>
  <si>
    <t>2610.910.834-000</t>
  </si>
  <si>
    <t>ELEMENTO DE SUJECION  1B20.0</t>
  </si>
  <si>
    <t>2610.910.835-000</t>
  </si>
  <si>
    <t>CHAPA ANGULAR  1B21</t>
  </si>
  <si>
    <t>2610.910.837-000</t>
  </si>
  <si>
    <t>PLACA INTERMEDIA 1B21.0</t>
  </si>
  <si>
    <t>2610.910.838-000</t>
  </si>
  <si>
    <t>PALANCA TENSORA  1B20.0/1B21</t>
  </si>
  <si>
    <t>2610.910.839-000</t>
  </si>
  <si>
    <t>PIVOTE  1B21</t>
  </si>
  <si>
    <t>2610.910.842-000</t>
  </si>
  <si>
    <t>PIVOTE 1B21.0/1B20.0</t>
  </si>
  <si>
    <t>2610.910.844-000</t>
  </si>
  <si>
    <t>PLACA DE ROSCA 1B21.0/1B20.0</t>
  </si>
  <si>
    <t>2610.910.845-000</t>
  </si>
  <si>
    <t>TUBO DE ASPIRACION 1B21.0</t>
  </si>
  <si>
    <t>2610.910.848-000</t>
  </si>
  <si>
    <t>2610.910.849-000</t>
  </si>
  <si>
    <t>COLLAR 1B21.0/1B20.0</t>
  </si>
  <si>
    <t>2610.910.938-000</t>
  </si>
  <si>
    <t>BATERIA 12V - HD 2745 DISCONT.</t>
  </si>
  <si>
    <t>2610.910.947-000</t>
  </si>
  <si>
    <t>REGUL.DE TORQUE HD2745</t>
  </si>
  <si>
    <t>2610.910.965-000</t>
  </si>
  <si>
    <t>CARCASA HD2645</t>
  </si>
  <si>
    <t>2610.910.968-000</t>
  </si>
  <si>
    <t>CARCASA HD2745</t>
  </si>
  <si>
    <t>2610.910.986-000</t>
  </si>
  <si>
    <t>CONTACTOS DE BATER.HD2645/2745</t>
  </si>
  <si>
    <t>2610.911.048-000</t>
  </si>
  <si>
    <t>O'RING 22 MM- 1823</t>
  </si>
  <si>
    <t>2610.911.450-000</t>
  </si>
  <si>
    <t>2610.911.451-000</t>
  </si>
  <si>
    <t>2610.911.452-000</t>
  </si>
  <si>
    <t>2610.911.455-000</t>
  </si>
  <si>
    <t>ARANDELA ELASTICA  1B21.0 OBSOLETO</t>
  </si>
  <si>
    <t>2610.911.456-000</t>
  </si>
  <si>
    <t>TORNILLO  1B21.0 OBSOLETO</t>
  </si>
  <si>
    <t>2610.911.458-000</t>
  </si>
  <si>
    <t>2610.911.459-000</t>
  </si>
  <si>
    <t>2610.911.460-000</t>
  </si>
  <si>
    <t>2610.911.461-000</t>
  </si>
  <si>
    <t>2610.911.464-000</t>
  </si>
  <si>
    <t>OJETE PROTECTOR 1B21.0</t>
  </si>
  <si>
    <t>2610.911.465-000</t>
  </si>
  <si>
    <t>ARANDELA  1B20.0/1B21</t>
  </si>
  <si>
    <t>2610.911.466-000</t>
  </si>
  <si>
    <t>TORNILLO  M 8X0.8-10 1B20.0/1B21 OBSOLET</t>
  </si>
  <si>
    <t>2610.911.467-000</t>
  </si>
  <si>
    <t>PERNO ROSCADO =1619PA1344 Rx F016L76294</t>
  </si>
  <si>
    <t>2610.911.469-000</t>
  </si>
  <si>
    <t>2610.911.470-000</t>
  </si>
  <si>
    <t>JUEGO DE LLAVES  1B20.0/1B21</t>
  </si>
  <si>
    <t>2610.911.474-000</t>
  </si>
  <si>
    <t>CAJA DE ENGRANAJES 1B21.0</t>
  </si>
  <si>
    <t>2610.911.477-000</t>
  </si>
  <si>
    <t>ARO DEFLECTOR DE AIRE 1B21.0</t>
  </si>
  <si>
    <t>2610.911.479-000</t>
  </si>
  <si>
    <t>BRIDA DE COJINETE 1B21.0</t>
  </si>
  <si>
    <t>2610.911.484-000</t>
  </si>
  <si>
    <t>PERNO DE TRINQUETE 1B21.0</t>
  </si>
  <si>
    <t>2610.911.485-000</t>
  </si>
  <si>
    <t>MANGUITO DE COJINETE  1B21.0</t>
  </si>
  <si>
    <t>2610.911.486-000</t>
  </si>
  <si>
    <t>TRANSPORTADOR 1B21.0</t>
  </si>
  <si>
    <t>2610.911.487-000</t>
  </si>
  <si>
    <t>2610.911.488-000</t>
  </si>
  <si>
    <t>PORTAESCOBILLAS 1B21.0</t>
  </si>
  <si>
    <t>2610.911.551-000</t>
  </si>
  <si>
    <t>PLACA DE BASE 1B20.5</t>
  </si>
  <si>
    <t>2610.911.552-000</t>
  </si>
  <si>
    <t>MESA DE ASERRAR 1B20.5</t>
  </si>
  <si>
    <t>2610.911.554-000</t>
  </si>
  <si>
    <t>BASTIDOR COMPLEMENTARIO  1B20.5</t>
  </si>
  <si>
    <t>2610.911.556-000</t>
  </si>
  <si>
    <t>TAPA PROTECTORA VIRABLE  1B20.5</t>
  </si>
  <si>
    <t>2610.911.559-000</t>
  </si>
  <si>
    <t>PALANCA TENSORA 1B20.5</t>
  </si>
  <si>
    <t>2610.911.560-000</t>
  </si>
  <si>
    <t>2610.911.561-000</t>
  </si>
  <si>
    <t>BRIDA DE CONTACTO 1B20.5</t>
  </si>
  <si>
    <t>2610.911.562-000</t>
  </si>
  <si>
    <t>TORNILLO DE RETENCION 1B20.5</t>
  </si>
  <si>
    <t>2610.911.563-000</t>
  </si>
  <si>
    <t>TOPE 1B20.5</t>
  </si>
  <si>
    <t>2610.911.564-000</t>
  </si>
  <si>
    <t>RESORTE  1B20.5</t>
  </si>
  <si>
    <t>2610.911.566-000</t>
  </si>
  <si>
    <t>TAPA DE COJINETE 1M30.5/1B20.5</t>
  </si>
  <si>
    <t>2610.911.567-000</t>
  </si>
  <si>
    <t>ALAMBRE DE RESORTE 1B20.5</t>
  </si>
  <si>
    <t>2610.911.568-000</t>
  </si>
  <si>
    <t>MANGO  1B20.5</t>
  </si>
  <si>
    <t>2610.911.569-000</t>
  </si>
  <si>
    <t>INSERTO 1M30.5/1B20.5</t>
  </si>
  <si>
    <t>2610.911.570-000</t>
  </si>
  <si>
    <t>TUERCA HEX  1B20.5</t>
  </si>
  <si>
    <t>2610.911.572-000</t>
  </si>
  <si>
    <t>CAJA DE ENGRANAJES 1B20.5</t>
  </si>
  <si>
    <t>2610.911.576-000</t>
  </si>
  <si>
    <t>MUELLE DE COMPRESION 1B20.5</t>
  </si>
  <si>
    <t>2610.911.577-000</t>
  </si>
  <si>
    <t>PASADOR DE SUJECION 1B20.5</t>
  </si>
  <si>
    <t>2610.911.578-000</t>
  </si>
  <si>
    <t>BOTON 1B20.5</t>
  </si>
  <si>
    <t>2610.911.579-000</t>
  </si>
  <si>
    <t>2610.911.582-000</t>
  </si>
  <si>
    <t>RESORTE 1B20.5</t>
  </si>
  <si>
    <t>2610.911.583-000</t>
  </si>
  <si>
    <t>2610.911.584-000</t>
  </si>
  <si>
    <t>ALMAHODA DE GOMA 1B20.5</t>
  </si>
  <si>
    <t>2610.911.586-000</t>
  </si>
  <si>
    <t>SOPORTE 1B20.5</t>
  </si>
  <si>
    <t>2610.911.587-000</t>
  </si>
  <si>
    <t>PLACA INTERMEDIA 1B20.5</t>
  </si>
  <si>
    <t>2610.911.589-000</t>
  </si>
  <si>
    <t>ANILLO DE FIELTRO 1B20.5</t>
  </si>
  <si>
    <t>2610.911.590-000</t>
  </si>
  <si>
    <t>TUBO 1B20.5</t>
  </si>
  <si>
    <t>2610.911.591-000</t>
  </si>
  <si>
    <t>2610.911.592-000</t>
  </si>
  <si>
    <t>2610.911.593-000</t>
  </si>
  <si>
    <t>MANGUITO ELASTICO 1B20.5</t>
  </si>
  <si>
    <t>2610.911.594-000</t>
  </si>
  <si>
    <t>PERNO DE TRINQUETE  1B20.5</t>
  </si>
  <si>
    <t>2610.911.597-000</t>
  </si>
  <si>
    <t>PERNO 1B20.5</t>
  </si>
  <si>
    <t>2610.911.598-000</t>
  </si>
  <si>
    <t>TORNILLO DE RETENCION  1B20.5</t>
  </si>
  <si>
    <t>2610.911.599-000</t>
  </si>
  <si>
    <t>2610.911.658-000</t>
  </si>
  <si>
    <t>LETRERO DE AVISO  1B21/1B20.5</t>
  </si>
  <si>
    <t>2610.911.666-000</t>
  </si>
  <si>
    <t>LETRERO DE AVISO  1B20.5</t>
  </si>
  <si>
    <t>2610.911.667-000</t>
  </si>
  <si>
    <t>2610.911.668-000</t>
  </si>
  <si>
    <t>2610.911.669-000</t>
  </si>
  <si>
    <t>2610.911.671-000</t>
  </si>
  <si>
    <t>2610.911.693-000</t>
  </si>
  <si>
    <t>ESTATOR 1B21.0</t>
  </si>
  <si>
    <t>2610.911.695-000</t>
  </si>
  <si>
    <t>INDUCIDO  1B21.0 RX 2610020934</t>
  </si>
  <si>
    <t>2610.911.850-000</t>
  </si>
  <si>
    <t>ARANDELA  1B20.5</t>
  </si>
  <si>
    <t>2610.911.852-000</t>
  </si>
  <si>
    <t>TAPA  1B20.5</t>
  </si>
  <si>
    <t>2610.911.853-000</t>
  </si>
  <si>
    <t>2610.911.858-000</t>
  </si>
  <si>
    <t>PORTAESCOBILLAS ALT 1M30.5/1B20.5</t>
  </si>
  <si>
    <t>2610.911.859-000</t>
  </si>
  <si>
    <t>TAPA ESCOBILLAS Ø 20MM 1M30.5/1B20.5</t>
  </si>
  <si>
    <t>2610.911.860-000</t>
  </si>
  <si>
    <t>MUELLE DE TORSIÓN 1B20.5</t>
  </si>
  <si>
    <t>2610.911.861-000</t>
  </si>
  <si>
    <t>TORNILLO CABEZA HEX 1B20.5</t>
  </si>
  <si>
    <t>2610.911.862-000</t>
  </si>
  <si>
    <t>PLACA DE APOYO 1B20.5</t>
  </si>
  <si>
    <t>2610.911.863-000</t>
  </si>
  <si>
    <t>PLACA DESLIZANTE 1B20.5</t>
  </si>
  <si>
    <t>2610.911.864-000</t>
  </si>
  <si>
    <t>2610.911.865-000</t>
  </si>
  <si>
    <t>2610.911.866-000</t>
  </si>
  <si>
    <t>EMPUÑADURA 1B20.5</t>
  </si>
  <si>
    <t>2610.911.867-000</t>
  </si>
  <si>
    <t>NIDO 1B20.5</t>
  </si>
  <si>
    <t>2610.911.869-000</t>
  </si>
  <si>
    <t>VARA 1B20.5</t>
  </si>
  <si>
    <t>2610.911.870-000</t>
  </si>
  <si>
    <t>2610.911.872-000</t>
  </si>
  <si>
    <t>2610.911.873-000</t>
  </si>
  <si>
    <t>TORNILLO DE TOPE 1B20.5</t>
  </si>
  <si>
    <t>2610.911.874-000</t>
  </si>
  <si>
    <t>2610.911.875-000</t>
  </si>
  <si>
    <t>EJE 1B20.5</t>
  </si>
  <si>
    <t>2610.911.876-000</t>
  </si>
  <si>
    <t>AGUJA 1B20.5</t>
  </si>
  <si>
    <t>2610.911.877-000</t>
  </si>
  <si>
    <t>2610.911.883-000</t>
  </si>
  <si>
    <t>TORNILLO DE RETENCION  1B20.5 OBSOLETO</t>
  </si>
  <si>
    <t>2610.911.884-000</t>
  </si>
  <si>
    <t>PERNO ROSCADO 1B20.5</t>
  </si>
  <si>
    <t>2610.911.885-000</t>
  </si>
  <si>
    <t>2610.911.886-000</t>
  </si>
  <si>
    <t>TUERCA AUTOBLOCANTE 1B20.5</t>
  </si>
  <si>
    <t>2610.911.887-000</t>
  </si>
  <si>
    <t>2610.911.891-000</t>
  </si>
  <si>
    <t>2610.911.893-000</t>
  </si>
  <si>
    <t>2610.911.895-000</t>
  </si>
  <si>
    <t>2610.911.896-000</t>
  </si>
  <si>
    <t>2610.911.900-000</t>
  </si>
  <si>
    <t>2610.911.901-000</t>
  </si>
  <si>
    <t>TUERCA AUTOBLOCANTE 1M30.5/1B20.5</t>
  </si>
  <si>
    <t>2610.911.902-000</t>
  </si>
  <si>
    <t>GRAPA  1B20.5</t>
  </si>
  <si>
    <t>2610.911.903-000</t>
  </si>
  <si>
    <t>2610.911.904-000</t>
  </si>
  <si>
    <t>2610.911.905-000</t>
  </si>
  <si>
    <t>2610.911.906-000</t>
  </si>
  <si>
    <t>2610.911.907-000</t>
  </si>
  <si>
    <t>TORNILLO CON ARANDELA 1B20.5</t>
  </si>
  <si>
    <t>2610.911.908-000</t>
  </si>
  <si>
    <t>VARILLA ROSCADA 1B20.5</t>
  </si>
  <si>
    <t>2610.911.910-000</t>
  </si>
  <si>
    <t>PIVOTE 1B20.5</t>
  </si>
  <si>
    <t>2610.911.911-000</t>
  </si>
  <si>
    <t>2610.911.912-000</t>
  </si>
  <si>
    <t>2610.911.913-000</t>
  </si>
  <si>
    <t>MUELLE DE LAMINA 1B20.5</t>
  </si>
  <si>
    <t>2610.911.914-000</t>
  </si>
  <si>
    <t>2610.911.917-000</t>
  </si>
  <si>
    <t>2610.911.918-000</t>
  </si>
  <si>
    <t>2610.911.919-000</t>
  </si>
  <si>
    <t>PLACA DE ROSCA 1B20.5</t>
  </si>
  <si>
    <t>2610.911.920-000</t>
  </si>
  <si>
    <t>CASQUILLO DE GOMA 1M30.5/1B20.5</t>
  </si>
  <si>
    <t>2610.911.921-000</t>
  </si>
  <si>
    <t>GOMA REDONDA 1B20.5</t>
  </si>
  <si>
    <t>2610.911.922-000</t>
  </si>
  <si>
    <t>PEDESTAL DE COJINETE  1B20.5</t>
  </si>
  <si>
    <t>2610.911.923-000</t>
  </si>
  <si>
    <t>2610.911.924-000</t>
  </si>
  <si>
    <t>2610.911.925-000</t>
  </si>
  <si>
    <t>ANILLO  1B20.5 RX2610996948000</t>
  </si>
  <si>
    <t>2610.911.926-000</t>
  </si>
  <si>
    <t>TORNILLO  1B20.5 RX 1609902670000</t>
  </si>
  <si>
    <t>2610.911.927-000</t>
  </si>
  <si>
    <t>RODAMIENTO A BOLAS 1M30.5/1B20.5</t>
  </si>
  <si>
    <t>2610.911.928-000</t>
  </si>
  <si>
    <t>RODAMIENTO A BOLAS 1B20.5</t>
  </si>
  <si>
    <t>2610.911.929-000</t>
  </si>
  <si>
    <t>TORNILLO 1M30.5/1B20.5</t>
  </si>
  <si>
    <t>2610.911.930-000</t>
  </si>
  <si>
    <t>CABLE  280 MM 1B20.5</t>
  </si>
  <si>
    <t>2610.911.931-000</t>
  </si>
  <si>
    <t>ARO DEFLECTOR DE AIRE 1B20.5</t>
  </si>
  <si>
    <t>2610.911.932-000</t>
  </si>
  <si>
    <t>MANGUITO DE CABLE 1B20.5</t>
  </si>
  <si>
    <t>2610.911.933-000</t>
  </si>
  <si>
    <t>EMPALMADOR 1M30.5/1B20.5</t>
  </si>
  <si>
    <t>2610.911.934-000</t>
  </si>
  <si>
    <t>BOQUILLA DE ASPIRACION 1B20.5</t>
  </si>
  <si>
    <t>2610.911.937-000</t>
  </si>
  <si>
    <t>ARANDELA DE AJUSTE 1B20.5</t>
  </si>
  <si>
    <t>2610.911.938-000</t>
  </si>
  <si>
    <t>RODAMIENTO A BOLAS  1B20.5</t>
  </si>
  <si>
    <t>2610.911.939-000</t>
  </si>
  <si>
    <t>BOLSA DE POLVO  1B20.0</t>
  </si>
  <si>
    <t>2610.911.943-000</t>
  </si>
  <si>
    <t>RUEDA DE ENGRANAJE  1B20.5</t>
  </si>
  <si>
    <t>2610.911.949-000</t>
  </si>
  <si>
    <t>CAJA DE ENGRANAJES 1049</t>
  </si>
  <si>
    <t>2610.912.548-000</t>
  </si>
  <si>
    <t>2610.912.549-000</t>
  </si>
  <si>
    <t>TUERCA HEX 1B20.0</t>
  </si>
  <si>
    <t>2610.912.551-000</t>
  </si>
  <si>
    <t>TUERCA 1B20.0</t>
  </si>
  <si>
    <t>2610.912.553-000</t>
  </si>
  <si>
    <t>JUNTA TORICA 1B20.0</t>
  </si>
  <si>
    <t>2610.912.554-000</t>
  </si>
  <si>
    <t>BOTON 1B20.0</t>
  </si>
  <si>
    <t>2610.912.560-000</t>
  </si>
  <si>
    <t>MUELLE DE TORSION 1B20.0</t>
  </si>
  <si>
    <t>2610.912.561-000</t>
  </si>
  <si>
    <t>REFLECTOR  1B20.0</t>
  </si>
  <si>
    <t>2610.912.562-000</t>
  </si>
  <si>
    <t>ANILLO DE RETENCION 1B20.0</t>
  </si>
  <si>
    <t>2610.912.588-000</t>
  </si>
  <si>
    <t>2610.912.849-000</t>
  </si>
  <si>
    <t>INTERRUPTOR DREMEL 200</t>
  </si>
  <si>
    <t>2610.913.034-000</t>
  </si>
  <si>
    <t>2610.913.184-000</t>
  </si>
  <si>
    <t>LLAVE DE AJUSTE 6800</t>
  </si>
  <si>
    <t>2610.913.192-000</t>
  </si>
  <si>
    <t>MUELLE DE COMPRESION 1B30.0/.2</t>
  </si>
  <si>
    <t>2610.913.441-000</t>
  </si>
  <si>
    <t>2610.913.476-000</t>
  </si>
  <si>
    <t>ARANDELA 1619</t>
  </si>
  <si>
    <t>2610.913.573-000</t>
  </si>
  <si>
    <t>JUNTA TORICA 1619</t>
  </si>
  <si>
    <t>2610.913.683-000</t>
  </si>
  <si>
    <t>CAPERUZA DE CIERRE DREMEL 300</t>
  </si>
  <si>
    <t>2610.913.684-000</t>
  </si>
  <si>
    <t>TAPA DE CIERRE 398 RA 2610920772</t>
  </si>
  <si>
    <t>2610.913.718-000</t>
  </si>
  <si>
    <t>BORNE 1B20.5</t>
  </si>
  <si>
    <t>2610.913.818-000</t>
  </si>
  <si>
    <t>CONJ.DE CIERRE DREMEL 300RX2610009839</t>
  </si>
  <si>
    <t>2610.913.825-000</t>
  </si>
  <si>
    <t>TORNILLO ROSCA IZQUIERDA 1619</t>
  </si>
  <si>
    <t>2610.913.863-000</t>
  </si>
  <si>
    <t>2610.914.480-000</t>
  </si>
  <si>
    <t>TORNILLO  1100</t>
  </si>
  <si>
    <t>2610.914.543-000</t>
  </si>
  <si>
    <t>ARBOL FLEX DREMEL 225 RA 2615294109</t>
  </si>
  <si>
    <t>2610.915.161-000</t>
  </si>
  <si>
    <t>TORNILLO 1C87.5</t>
  </si>
  <si>
    <t>2610.915.760-000</t>
  </si>
  <si>
    <t>COJINETE LONGITUDINAL 1B20.5</t>
  </si>
  <si>
    <t>2610.916.005-000</t>
  </si>
  <si>
    <t>INTERRUPTOR 1573      RA348399</t>
  </si>
  <si>
    <t>2610.916.116-000</t>
  </si>
  <si>
    <t>Pieza de accionamiento</t>
  </si>
  <si>
    <t>2610.916.122-000</t>
  </si>
  <si>
    <t>CHAPA  1B21</t>
  </si>
  <si>
    <t>2610.916.207-000</t>
  </si>
  <si>
    <t>MOTOR DREMEL 7700</t>
  </si>
  <si>
    <t>2610.916.208-000</t>
  </si>
  <si>
    <t>INTERRUPTOR DREMEL 7700</t>
  </si>
  <si>
    <t>2610.916.357-000</t>
  </si>
  <si>
    <t>TAPA DREMEL 7700</t>
  </si>
  <si>
    <t>2610.916.359-000</t>
  </si>
  <si>
    <t>CARCASA DREMEL 7700</t>
  </si>
  <si>
    <t>2610.916.360-000</t>
  </si>
  <si>
    <t>TAPA DEL CUERPO DREMEL 7700</t>
  </si>
  <si>
    <t>2610.916.645-000</t>
  </si>
  <si>
    <t>CONDENSADOR ANTIPARASIT. 1668/67</t>
  </si>
  <si>
    <t>2610.916.802-000</t>
  </si>
  <si>
    <t>2610.917.048-000</t>
  </si>
  <si>
    <t>2610.917.052-000</t>
  </si>
  <si>
    <t>CAPERUZA GKS 65</t>
  </si>
  <si>
    <t>2610.917.191-000</t>
  </si>
  <si>
    <t>BARRA 1668/67</t>
  </si>
  <si>
    <t>2610.917.210-000</t>
  </si>
  <si>
    <t>2610.917.263-000</t>
  </si>
  <si>
    <t>PALANCA DE BLOQUEO DREMEL 7700</t>
  </si>
  <si>
    <t>2610.917.489-000</t>
  </si>
  <si>
    <t>RODAMIENTO A BOLAS 9050</t>
  </si>
  <si>
    <t>2610.918.051-000</t>
  </si>
  <si>
    <t>EJE  164J</t>
  </si>
  <si>
    <t>2610.918.116-000</t>
  </si>
  <si>
    <t>TORNILLO AVALLANADO TORX 1C87.5</t>
  </si>
  <si>
    <t>2610.918.145-000</t>
  </si>
  <si>
    <t>TAPA 1668/67/1676.0</t>
  </si>
  <si>
    <t>2610.918.148-000</t>
  </si>
  <si>
    <t>CABLE 1E7A.0</t>
  </si>
  <si>
    <t>2610.918.150-000</t>
  </si>
  <si>
    <t>MUELLE DE COMPRESION1668/67 RX1619P01642</t>
  </si>
  <si>
    <t>2610.918.151-000</t>
  </si>
  <si>
    <t>CASQUILLO DE GOMA 1668/67</t>
  </si>
  <si>
    <t>2610.918.985-000</t>
  </si>
  <si>
    <t>TUBO 1668/67</t>
  </si>
  <si>
    <t>2610.919.073-000</t>
  </si>
  <si>
    <t>PLACA DE FRENO</t>
  </si>
  <si>
    <t>2610.919.255-000</t>
  </si>
  <si>
    <t>RACOR DE EMPALME 1B20.0</t>
  </si>
  <si>
    <t>2610.919.256-000</t>
  </si>
  <si>
    <t>RACOR DE EMPALME</t>
  </si>
  <si>
    <t>2610.919.281-000</t>
  </si>
  <si>
    <t>2610.919.327-000</t>
  </si>
  <si>
    <t>VAINA COBERTERA 1668/67</t>
  </si>
  <si>
    <t>2610.919.467-000</t>
  </si>
  <si>
    <t>RESORTE 1668/67</t>
  </si>
  <si>
    <t>2610.919.663-000</t>
  </si>
  <si>
    <t>DEFLECTOR 7313</t>
  </si>
  <si>
    <t>2610.919.739-000</t>
  </si>
  <si>
    <t>CARCASA DREMEL 800</t>
  </si>
  <si>
    <t>2610.919.742-000</t>
  </si>
  <si>
    <t>INTERRUPTOR - DREMEL 10,8V</t>
  </si>
  <si>
    <t>2610.919.750-000</t>
  </si>
  <si>
    <t>MOTOR - DREMEL 10,8V</t>
  </si>
  <si>
    <t>2610.919.753-000</t>
  </si>
  <si>
    <t>2610.919.754-000</t>
  </si>
  <si>
    <t>TAPA ROSCADA DREMEL 300</t>
  </si>
  <si>
    <t>2610.919.868-000</t>
  </si>
  <si>
    <t>PALANCA 1668/67</t>
  </si>
  <si>
    <t>2610.920.614-000</t>
  </si>
  <si>
    <t>CARCASA 1297 OBSOLETO</t>
  </si>
  <si>
    <t>2610.920.617-000</t>
  </si>
  <si>
    <t>FILTRO ANTIPARASITARIO 1297 DISCONT</t>
  </si>
  <si>
    <t>2610.920.618-000</t>
  </si>
  <si>
    <t>VENTILADOR 1BA2.0</t>
  </si>
  <si>
    <t>2610.920.619-000</t>
  </si>
  <si>
    <t>2610.920.620-000</t>
  </si>
  <si>
    <t>TAPA DE VENTILADOR 1297</t>
  </si>
  <si>
    <t>2610.920.623-000</t>
  </si>
  <si>
    <t>2610.920.631-000</t>
  </si>
  <si>
    <t>PLACA ESPUMA 1B97 (GSS 140 A)</t>
  </si>
  <si>
    <t>2610.920.634-000</t>
  </si>
  <si>
    <t>CONTRAPESO 1297</t>
  </si>
  <si>
    <t>2610.920.635-000</t>
  </si>
  <si>
    <t>FIELTRO 1297</t>
  </si>
  <si>
    <t>2610.920.644-000</t>
  </si>
  <si>
    <t>TIRA DE GOMA 1297 RX 2609101232</t>
  </si>
  <si>
    <t>2610.920.650-000</t>
  </si>
  <si>
    <t>DISPOSITIVO P/PERFORAR LIJAS</t>
  </si>
  <si>
    <t>2610.920.651-000</t>
  </si>
  <si>
    <t>BOTON PALPADOR 1297</t>
  </si>
  <si>
    <t>2610.920.652-000</t>
  </si>
  <si>
    <t>ANILLO TOROIDAL 1297</t>
  </si>
  <si>
    <t>2610.920.684-000</t>
  </si>
  <si>
    <t>PORTAHERRAMIENTAS 1F4J.0</t>
  </si>
  <si>
    <t>2610.920.772-000</t>
  </si>
  <si>
    <t>TAPA DE CIERRE 398 RX2610913684</t>
  </si>
  <si>
    <t>2610.920.799-000</t>
  </si>
  <si>
    <t>VAINA COBERTORA 1668/67</t>
  </si>
  <si>
    <t>2610.921.108-000</t>
  </si>
  <si>
    <t>INTERRUPTOR 4230 OBSOLETO</t>
  </si>
  <si>
    <t>2610.921.110-000</t>
  </si>
  <si>
    <t>ESTATOR 4230</t>
  </si>
  <si>
    <t>2610.921.111-000</t>
  </si>
  <si>
    <t>GUIA HOJA 4230</t>
  </si>
  <si>
    <t>2610.921.112-000</t>
  </si>
  <si>
    <t>BUJE 4230 OBSOLETO</t>
  </si>
  <si>
    <t>2610.921.113-000</t>
  </si>
  <si>
    <t>INDUCIDO 4230 - DISCONTINUADO</t>
  </si>
  <si>
    <t>2610.921.115-000</t>
  </si>
  <si>
    <t>PUENTE 4230 - DISCONTINUADO</t>
  </si>
  <si>
    <t>2610.921.116-000</t>
  </si>
  <si>
    <t>ENGRANAJE 4230 OBSOLETO</t>
  </si>
  <si>
    <t>2610.921.117-000</t>
  </si>
  <si>
    <t>PORTACARBONES + CARBONES 4230 OBSOLETO</t>
  </si>
  <si>
    <t>2610.921.118-000</t>
  </si>
  <si>
    <t>BUJE 4230 - DISCONTINUADO</t>
  </si>
  <si>
    <t>2610.921.119-000</t>
  </si>
  <si>
    <t>VARILLA 4230 DESCONTINUADO</t>
  </si>
  <si>
    <t>2610.921.120-000</t>
  </si>
  <si>
    <t>TORNILLO 4230</t>
  </si>
  <si>
    <t>2610.921.121-000</t>
  </si>
  <si>
    <t>SUJETADOR 4230 OBSOLETO</t>
  </si>
  <si>
    <t>2610.921.122-000</t>
  </si>
  <si>
    <t>INTERRUPTOR 7230/32</t>
  </si>
  <si>
    <t>2610.921.124-000</t>
  </si>
  <si>
    <t>ESTATOR 220V 7230</t>
  </si>
  <si>
    <t>2610.921.125-000</t>
  </si>
  <si>
    <t>INDUCIDO 220V OBSOLETO</t>
  </si>
  <si>
    <t>2610.921.127-000</t>
  </si>
  <si>
    <t>APOYO - DISCONTINUADO</t>
  </si>
  <si>
    <t>2610.921.128-000</t>
  </si>
  <si>
    <t>RODAMIENTO DESCONTINUADO</t>
  </si>
  <si>
    <t>2610.921.130-000</t>
  </si>
  <si>
    <t>BASE DE GOMA OBSOLETO</t>
  </si>
  <si>
    <t>2610.921.131-000</t>
  </si>
  <si>
    <t>CARBONES 220V</t>
  </si>
  <si>
    <t>2610.921.132-000</t>
  </si>
  <si>
    <t>SOPORTE PLACA DE BASE 1297</t>
  </si>
  <si>
    <t>2610.921.133-000</t>
  </si>
  <si>
    <t>BASE 1297 RX2609100684-000</t>
  </si>
  <si>
    <t>2610.921.144-000</t>
  </si>
  <si>
    <t>ANILLO DE RETENCION 1668/67</t>
  </si>
  <si>
    <t>2610.921.176-000</t>
  </si>
  <si>
    <t>2610.921.530-000</t>
  </si>
  <si>
    <t>TAPA 1668/67</t>
  </si>
  <si>
    <t>2610.921.905-000</t>
  </si>
  <si>
    <t>REGULADOR DE REVOLUCIONES 1668/67</t>
  </si>
  <si>
    <t>2610.922.568-000</t>
  </si>
  <si>
    <t>CONSOLA DE BISAGRA 1668/67</t>
  </si>
  <si>
    <t>2610.922.569-000</t>
  </si>
  <si>
    <t>PLACA DEL FONDO 1668/67</t>
  </si>
  <si>
    <t>2610.922.570-000</t>
  </si>
  <si>
    <t>BRAZO DE SUJECION 1668/67</t>
  </si>
  <si>
    <t>2610.922.572-000</t>
  </si>
  <si>
    <t>ESCUADRA DE SOPORTE 1668/67</t>
  </si>
  <si>
    <t>2610.923.193-000</t>
  </si>
  <si>
    <t>Llave De Ajuste</t>
  </si>
  <si>
    <t>2610.923.224-000</t>
  </si>
  <si>
    <t>TORNILLO DE RETENCION 1E7A.0</t>
  </si>
  <si>
    <t>2610.923.615-000</t>
  </si>
  <si>
    <t>FUELLE 1619</t>
  </si>
  <si>
    <t>2610.923.830-000</t>
  </si>
  <si>
    <t>2610.923.941-000</t>
  </si>
  <si>
    <t>CARCASA 4230</t>
  </si>
  <si>
    <t>2610.923.942-000</t>
  </si>
  <si>
    <t>2610.924.143-000</t>
  </si>
  <si>
    <t>EMPUNADURA ADICIONAL 1668/67</t>
  </si>
  <si>
    <t>2610.924.368-000</t>
  </si>
  <si>
    <t>2610.924.448-000</t>
  </si>
  <si>
    <t>CHAPA DEFLECTORA 1668/67</t>
  </si>
  <si>
    <t>2610.924.635-000</t>
  </si>
  <si>
    <t>TORNILLO ESPECIAL 1668/67</t>
  </si>
  <si>
    <t>2610.924.636-000</t>
  </si>
  <si>
    <t>TORNILLO  RETENCION 1668/67</t>
  </si>
  <si>
    <t>2610.924.684-000</t>
  </si>
  <si>
    <t>CONTRATUERCA 1668/67</t>
  </si>
  <si>
    <t>2610.924.685-000</t>
  </si>
  <si>
    <t>TORNILLO DE REGLAJE 1E7A.0</t>
  </si>
  <si>
    <t>2610.924.687-000</t>
  </si>
  <si>
    <t>TORNILLO AVELLANADO 1676.0</t>
  </si>
  <si>
    <t>2610.924.961-000</t>
  </si>
  <si>
    <t>2610.925.187-000</t>
  </si>
  <si>
    <t>2610.925.244-000</t>
  </si>
  <si>
    <t>CAMARA DE SALIDA 1668/67</t>
  </si>
  <si>
    <t>2610.925.247-000</t>
  </si>
  <si>
    <t>TAPA 770/7700</t>
  </si>
  <si>
    <t>2610.925.248-000</t>
  </si>
  <si>
    <t>JUEGO DE CARCASA DREMEL 200</t>
  </si>
  <si>
    <t>2610.925.373-000</t>
  </si>
  <si>
    <t>EJE DE REDUCTOR 1668/67</t>
  </si>
  <si>
    <t>2610.925.374-000</t>
  </si>
  <si>
    <t>CARCASA SUPERIOR 1668/67</t>
  </si>
  <si>
    <t>2610.925.421-000</t>
  </si>
  <si>
    <t>INTERRUPTOR 1668/67</t>
  </si>
  <si>
    <t>2610.925.438-000</t>
  </si>
  <si>
    <t>2610.925.591-000</t>
  </si>
  <si>
    <t>LLAVE DE MONTAJE</t>
  </si>
  <si>
    <t>2610.925.714-000</t>
  </si>
  <si>
    <t>CARCASA DEL MOTOR RX 2610.004.592-000</t>
  </si>
  <si>
    <t>2610.925.721-000</t>
  </si>
  <si>
    <t>TAPA DREMEL 300</t>
  </si>
  <si>
    <t>2610.925.864-000</t>
  </si>
  <si>
    <t>2610.925.983-000</t>
  </si>
  <si>
    <t>MANETA 1297</t>
  </si>
  <si>
    <t>2610.927.767-000</t>
  </si>
  <si>
    <t>ESTATOR 1619</t>
  </si>
  <si>
    <t>2610.927.769-000</t>
  </si>
  <si>
    <t>INDUCIDO 1619 -1F49.0</t>
  </si>
  <si>
    <t>2610.928.647-000</t>
  </si>
  <si>
    <t>CARCASA DREMEL 398 </t>
  </si>
  <si>
    <t>2610.928.648-000</t>
  </si>
  <si>
    <t>REGULADOR VELOCIDAD 398 DISCONT</t>
  </si>
  <si>
    <t>2610.928.650-000</t>
  </si>
  <si>
    <t>TAPA ESCOBILLAS 398</t>
  </si>
  <si>
    <t>2610.929.391-000</t>
  </si>
  <si>
    <t>MUELLE DE TRACCION 1FB3.0</t>
  </si>
  <si>
    <t>2610.930.051-000</t>
  </si>
  <si>
    <t>CARCASA   1100</t>
  </si>
  <si>
    <t>2610.930.054-000</t>
  </si>
  <si>
    <t>MOTOR  1100</t>
  </si>
  <si>
    <t>2610.930.057-000</t>
  </si>
  <si>
    <t>REGULADOR DE VELOCIDAD 1100 </t>
  </si>
  <si>
    <t>2610.930.066-000</t>
  </si>
  <si>
    <t>PIEZA DE CIERRE 1100</t>
  </si>
  <si>
    <t>2610.930.070-000</t>
  </si>
  <si>
    <t>CAPERUZA  1100</t>
  </si>
  <si>
    <t>2610.930.071-000</t>
  </si>
  <si>
    <t>PATIN 1100</t>
  </si>
  <si>
    <t>2610.930.072-000</t>
  </si>
  <si>
    <t>BATERIA 1100 RX 2610013393</t>
  </si>
  <si>
    <t>2610.930.365-000</t>
  </si>
  <si>
    <t>CAPERUZA 1100</t>
  </si>
  <si>
    <t>2610.930.648-000</t>
  </si>
  <si>
    <t>2610.930.652-000</t>
  </si>
  <si>
    <t>2610.930.692-000</t>
  </si>
  <si>
    <t>2610.931.544-000</t>
  </si>
  <si>
    <t>Retaining snap ring</t>
  </si>
  <si>
    <t>2610.931.997-000</t>
  </si>
  <si>
    <t>2610.933.516-000</t>
  </si>
  <si>
    <t>2610.933.937-000</t>
  </si>
  <si>
    <t>BATERÍA DREMEL 7700</t>
  </si>
  <si>
    <t>2610.933.955-000</t>
  </si>
  <si>
    <t>MANGO 1668/67</t>
  </si>
  <si>
    <t>2610.933.956-000</t>
  </si>
  <si>
    <t>MANGO 1667</t>
  </si>
  <si>
    <t>2610.934.305-000</t>
  </si>
  <si>
    <t>CARCASA DEL MOTOR 1668/67</t>
  </si>
  <si>
    <t>2610.934.311-000</t>
  </si>
  <si>
    <t>2610.934.688-000</t>
  </si>
  <si>
    <t>2610.934.990-000</t>
  </si>
  <si>
    <t>PORTAESCOBILLAS  16A2</t>
  </si>
  <si>
    <t>2610.934.995-000</t>
  </si>
  <si>
    <t>JUNTA 1F4J.0</t>
  </si>
  <si>
    <t>2610.934.999-000</t>
  </si>
  <si>
    <t>CASQUILLO SINTERIZADO 1F4J.0</t>
  </si>
  <si>
    <t>2610.935.004-000</t>
  </si>
  <si>
    <t>ROSETA SINTETICA 1F4J.0</t>
  </si>
  <si>
    <t>2610.935.005-000</t>
  </si>
  <si>
    <t>SOPORTE-PIE 1F4J.0</t>
  </si>
  <si>
    <t>2610.935.008-000</t>
  </si>
  <si>
    <t>MANGUITO AISLANTE 1F4J.0</t>
  </si>
  <si>
    <t>2610.935.010-000</t>
  </si>
  <si>
    <t>CHAPA DE RETEN 1F4J.0</t>
  </si>
  <si>
    <t>2610.935.014-000</t>
  </si>
  <si>
    <t>CHAPA DEFLECTORA 1F4J.0</t>
  </si>
  <si>
    <t>2610.935.103-000</t>
  </si>
  <si>
    <t>CARCASA DELANTERA 1F4J.0</t>
  </si>
  <si>
    <t>2610.935.154-000</t>
  </si>
  <si>
    <t>2610.935.245-000</t>
  </si>
  <si>
    <t>Tecla De Empuje</t>
  </si>
  <si>
    <t>2610.935.246-000</t>
  </si>
  <si>
    <t>2610.935.247-000</t>
  </si>
  <si>
    <t>Perno Con Collar</t>
  </si>
  <si>
    <t>2610.935.249-000</t>
  </si>
  <si>
    <t>2610.935.251-000</t>
  </si>
  <si>
    <t>2610.935.431-000</t>
  </si>
  <si>
    <t>PLACA SUJETA-RESORTE 1F4J.0</t>
  </si>
  <si>
    <t>2610.936.575-000</t>
  </si>
  <si>
    <t>2610.936.576-000</t>
  </si>
  <si>
    <t>2610.937.289-000</t>
  </si>
  <si>
    <t>MANDO GIRATORIO 1B30.2/.5</t>
  </si>
  <si>
    <t>2610.937.290-000</t>
  </si>
  <si>
    <t>EJE 1B30.2/.5</t>
  </si>
  <si>
    <t>2610.937.291-000</t>
  </si>
  <si>
    <t>ESCUADRA DE FIJACION 1B30.2/.5</t>
  </si>
  <si>
    <t>2610.937.292-000</t>
  </si>
  <si>
    <t>ESPIGA DE GUIA 1B30.2/.5</t>
  </si>
  <si>
    <t>2610.937.293-000</t>
  </si>
  <si>
    <t>ANILLO ELÁSTICO 1M30.5</t>
  </si>
  <si>
    <t>2610.937.294-000</t>
  </si>
  <si>
    <t>PIEZA ANGULAR 1B30.2</t>
  </si>
  <si>
    <t>2610.937.396-000</t>
  </si>
  <si>
    <t>CARGADOR 1100</t>
  </si>
  <si>
    <t>2610.937.399-000</t>
  </si>
  <si>
    <t>PALANCA DE BLOQUEO 1668/67</t>
  </si>
  <si>
    <t>2610.937.437-000</t>
  </si>
  <si>
    <t>MUELLE DE COMPRESION 164J</t>
  </si>
  <si>
    <t>2610.937.452-000</t>
  </si>
  <si>
    <t>2610.937.464-000</t>
  </si>
  <si>
    <t>LLAVE EXAGONAL DE TUBO 1F6H.0</t>
  </si>
  <si>
    <t>2610.937.508-000</t>
  </si>
  <si>
    <t>Tornillo De Resalto</t>
  </si>
  <si>
    <t>2610.938.737-000</t>
  </si>
  <si>
    <t>GOMA 4900</t>
  </si>
  <si>
    <t>2610.938.887-000</t>
  </si>
  <si>
    <t>DISCO OSCILANTE 1F4J.0</t>
  </si>
  <si>
    <t>2610.941.202-000</t>
  </si>
  <si>
    <t>INDUCIDO 220V 1613 RA3604011621</t>
  </si>
  <si>
    <t>2610.942.109-000</t>
  </si>
  <si>
    <t>2610.942.118-000</t>
  </si>
  <si>
    <t>ENGRANAJE DE CONVERSION 1F4J.0</t>
  </si>
  <si>
    <t>2610.942.930-000</t>
  </si>
  <si>
    <t>DISPARADOR 1F6H.0</t>
  </si>
  <si>
    <t>2610.942.931-000</t>
  </si>
  <si>
    <t>Anillo De Centrado</t>
  </si>
  <si>
    <t>2610.943.033-000</t>
  </si>
  <si>
    <t>JUEGO DE CEPILLOS</t>
  </si>
  <si>
    <t>2610.943.105-000</t>
  </si>
  <si>
    <t>2610.943.623-000</t>
  </si>
  <si>
    <t>JUEGO DE ESCOBILLAS  16A2</t>
  </si>
  <si>
    <t>2610.943.873-000</t>
  </si>
  <si>
    <t>2610.943.874-000</t>
  </si>
  <si>
    <t>2610.943.875-000</t>
  </si>
  <si>
    <t>2610.943.877-000</t>
  </si>
  <si>
    <t>Arandela trasera</t>
  </si>
  <si>
    <t>2610.943.878-000</t>
  </si>
  <si>
    <t>Esfera rodando</t>
  </si>
  <si>
    <t>2610.943.879-000</t>
  </si>
  <si>
    <t>2610.943.880-000</t>
  </si>
  <si>
    <t>2610.943.881-000</t>
  </si>
  <si>
    <t>Anillo de placa</t>
  </si>
  <si>
    <t>2610.943.883-000</t>
  </si>
  <si>
    <t>2610.943.884-000</t>
  </si>
  <si>
    <t>2610.943.885-000</t>
  </si>
  <si>
    <t>2610.943.886-000</t>
  </si>
  <si>
    <t>2610.943.887-000</t>
  </si>
  <si>
    <t>2610.943.888-000</t>
  </si>
  <si>
    <t>Soportes planetarios</t>
  </si>
  <si>
    <t>2610.943.890-000</t>
  </si>
  <si>
    <t>2610.943.891-000</t>
  </si>
  <si>
    <t>2610.943.892-000</t>
  </si>
  <si>
    <t>Equipo de conversión</t>
  </si>
  <si>
    <t>2610.943.893-000</t>
  </si>
  <si>
    <t>2610.943.895-000</t>
  </si>
  <si>
    <t>Junta de goma</t>
  </si>
  <si>
    <t>2610.943.896-000</t>
  </si>
  <si>
    <t>2610.944.356-000</t>
  </si>
  <si>
    <t>BATERIA DREMEL 8000 10,8V</t>
  </si>
  <si>
    <t>2610.944.393-000</t>
  </si>
  <si>
    <t>GRUPO HUSILLO 1F4J.0</t>
  </si>
  <si>
    <t>2610.945.335-000</t>
  </si>
  <si>
    <t>PLACA PORTADORA 1F4J.0</t>
  </si>
  <si>
    <t>2610.945.804-000</t>
  </si>
  <si>
    <t>2610.946.075-000</t>
  </si>
  <si>
    <t>CASQUILLO-GUIA 166H</t>
  </si>
  <si>
    <t>2610.947.075-000</t>
  </si>
  <si>
    <t>2610.947.537-000</t>
  </si>
  <si>
    <t>ANILLO DE FIELTRO 1F4L.9</t>
  </si>
  <si>
    <t>2610.947.588-000</t>
  </si>
  <si>
    <t>ESTATOR COMPLETO</t>
  </si>
  <si>
    <t>2610.950.042-000</t>
  </si>
  <si>
    <t>2610.950.044-000</t>
  </si>
  <si>
    <t>2610.950.046-000</t>
  </si>
  <si>
    <t>2610.950.049-000</t>
  </si>
  <si>
    <t>2610.950.055-000</t>
  </si>
  <si>
    <t>2610.950.059-000</t>
  </si>
  <si>
    <t>2610.950.060-000</t>
  </si>
  <si>
    <t>2610.950.069-000</t>
  </si>
  <si>
    <t>2610.950.070-000</t>
  </si>
  <si>
    <t>2610.950.071-000</t>
  </si>
  <si>
    <t>2610.950.075-000</t>
  </si>
  <si>
    <t>RIEL DE RETENCION 1B30.5</t>
  </si>
  <si>
    <t>2610.950.077-000</t>
  </si>
  <si>
    <t>2610.950.108-000</t>
  </si>
  <si>
    <t>2610.950.109-000</t>
  </si>
  <si>
    <t>2610.950.117-000</t>
  </si>
  <si>
    <t>2610.950.120-000</t>
  </si>
  <si>
    <t>VARILLA ROSCADA 1B30.5</t>
  </si>
  <si>
    <t>2610.950.126-000</t>
  </si>
  <si>
    <t>ESCUADRA DE FIJACION 1M30.5</t>
  </si>
  <si>
    <t>2610.950.132-000</t>
  </si>
  <si>
    <t>2610.950.134-000</t>
  </si>
  <si>
    <t>2610.950.135-000</t>
  </si>
  <si>
    <t>2610.950.336-000</t>
  </si>
  <si>
    <t>INTERRUPTOR 1M23.6</t>
  </si>
  <si>
    <t>2610.950.389-000</t>
  </si>
  <si>
    <t>2610.950.427-000</t>
  </si>
  <si>
    <t>2610.950.439-000</t>
  </si>
  <si>
    <t>2610.951.118-000</t>
  </si>
  <si>
    <t>2610.951.945-000</t>
  </si>
  <si>
    <t>2610.953.099-000</t>
  </si>
  <si>
    <t>2610.955.158-000</t>
  </si>
  <si>
    <t>2610.955.160-000</t>
  </si>
  <si>
    <t>2610.955.162-000</t>
  </si>
  <si>
    <t>Caperuza Final</t>
  </si>
  <si>
    <t>2610.955.166-000</t>
  </si>
  <si>
    <t>2610.955.167-000</t>
  </si>
  <si>
    <t>CORREDERA DE BLOQUEO 1F6H.0</t>
  </si>
  <si>
    <t>2610.955.195-000</t>
  </si>
  <si>
    <t>2610.956.311-000</t>
  </si>
  <si>
    <t>Placa Base</t>
  </si>
  <si>
    <t>2610.956.312-000</t>
  </si>
  <si>
    <t>2610.956.413-000</t>
  </si>
  <si>
    <t>2610.956.414-000</t>
  </si>
  <si>
    <t>2610.956.415-000</t>
  </si>
  <si>
    <t>Rueda De Ajuste</t>
  </si>
  <si>
    <t>2610.956.416-000</t>
  </si>
  <si>
    <t>2610.956.663-000</t>
  </si>
  <si>
    <t>JUEGO DE EMPUNADURAS AZUL 1F4J.0</t>
  </si>
  <si>
    <t>2610.956.664-000</t>
  </si>
  <si>
    <t>SELECTOR  164J</t>
  </si>
  <si>
    <t>2610.956.683-000</t>
  </si>
  <si>
    <t>PLACA DESLIZANTE 1F4J.0</t>
  </si>
  <si>
    <t>2610.956.864-000</t>
  </si>
  <si>
    <t>2610.956.865-000</t>
  </si>
  <si>
    <t>2610.956.866-000</t>
  </si>
  <si>
    <t>MANGUITO DE CABLE 1F4C.8</t>
  </si>
  <si>
    <t>2610.956.867-000</t>
  </si>
  <si>
    <t>2610.956.868-000</t>
  </si>
  <si>
    <t>SUJETADOR DE CABLE 1F4C.8</t>
  </si>
  <si>
    <t>2610.956.869-000</t>
  </si>
  <si>
    <t>TORNILLO 1F4C.8</t>
  </si>
  <si>
    <t>2610.956.870-000</t>
  </si>
  <si>
    <t>BORNE EN FILA 1F4C.8</t>
  </si>
  <si>
    <t>2610.956.874-000</t>
  </si>
  <si>
    <t>PORTAESCOBILLAS 1F4C.8</t>
  </si>
  <si>
    <t>2610.956.877-000</t>
  </si>
  <si>
    <t>CARCASA 1F4C.8</t>
  </si>
  <si>
    <t>2610.956.878-000</t>
  </si>
  <si>
    <t>BORNE 1F4C.8</t>
  </si>
  <si>
    <t>2610.956.880-000</t>
  </si>
  <si>
    <t>ARO DEFLECTOR DE AIRE 1F4C.8</t>
  </si>
  <si>
    <t>2610.956.881-000</t>
  </si>
  <si>
    <t>SOPORTE PARA COJINETES 1F4C.8</t>
  </si>
  <si>
    <t>2610.956.882-000</t>
  </si>
  <si>
    <t>RODAMIENTO RIGIDO BOLAS 1F4C.8</t>
  </si>
  <si>
    <t>2610.956.884-000</t>
  </si>
  <si>
    <t>ARANDELA 1F4C.8</t>
  </si>
  <si>
    <t>2610.956.885-000</t>
  </si>
  <si>
    <t>ANILLO DE GOMA 1F4C.8</t>
  </si>
  <si>
    <t>2610.956.886-000</t>
  </si>
  <si>
    <t>CASQUILLO 1F4C.8</t>
  </si>
  <si>
    <t>2610.956.887-000</t>
  </si>
  <si>
    <t>2610.956.888-000</t>
  </si>
  <si>
    <t>CUBIERTA 1F4C.8</t>
  </si>
  <si>
    <t>2610.956.889-000</t>
  </si>
  <si>
    <t>2610.956.890-000</t>
  </si>
  <si>
    <t>TAPA DEL ENGRANAJE 1F4C.8</t>
  </si>
  <si>
    <t>2610.956.893-000</t>
  </si>
  <si>
    <t>2610.956.894-000</t>
  </si>
  <si>
    <t>2610.956.897-000</t>
  </si>
  <si>
    <t>TAPA DEL ENGRANAJE 164C</t>
  </si>
  <si>
    <t>2610.956.898-000</t>
  </si>
  <si>
    <t>SOPORTE-PIE 1F4C.8</t>
  </si>
  <si>
    <t>2610.956.899-000</t>
  </si>
  <si>
    <t>TORNILLO ROSCA CORTANTE 1F4C.8</t>
  </si>
  <si>
    <t>2610.956.900-000</t>
  </si>
  <si>
    <t>2610.956.902-000</t>
  </si>
  <si>
    <t>2610.956.906-000</t>
  </si>
  <si>
    <t>JUEGO DE EMPUNADURAS 1F4C.8</t>
  </si>
  <si>
    <t>2610.956.907-000</t>
  </si>
  <si>
    <t>GANCHO 1F4C.8</t>
  </si>
  <si>
    <t>2610.956.909-000</t>
  </si>
  <si>
    <t>PORTACUCHILLAS 164C RX1619PA4168000</t>
  </si>
  <si>
    <t>2610.956.916-000</t>
  </si>
  <si>
    <t>2610.956.919-000</t>
  </si>
  <si>
    <t>ESTATOR 230V 1F4C.8</t>
  </si>
  <si>
    <t>2610.956.920-000</t>
  </si>
  <si>
    <t>ROTOR 230V 1F4C.8</t>
  </si>
  <si>
    <t>2610.957.458-000</t>
  </si>
  <si>
    <t>CARCASA DEL MOTOR 164J</t>
  </si>
  <si>
    <t>2610.957.469-000</t>
  </si>
  <si>
    <t>Tornillo Cilíndrica  Hex</t>
  </si>
  <si>
    <t>2610.957.736-000</t>
  </si>
  <si>
    <t>2610.957.738-000</t>
  </si>
  <si>
    <t>2610.957.739-000</t>
  </si>
  <si>
    <t>Conector</t>
  </si>
  <si>
    <t>2610.957.778-000</t>
  </si>
  <si>
    <t>ANILLO 1F24.0</t>
  </si>
  <si>
    <t>2610.957.779-000</t>
  </si>
  <si>
    <t>2610.957.808-000</t>
  </si>
  <si>
    <t>INDUCIDO 18V 1F4J.0</t>
  </si>
  <si>
    <t>2610.957.811-000</t>
  </si>
  <si>
    <t>2610.957.812-000</t>
  </si>
  <si>
    <t>2610.957.840-000</t>
  </si>
  <si>
    <t>2610.957.841-000</t>
  </si>
  <si>
    <t>2610.957.842-000</t>
  </si>
  <si>
    <t>Anillo Indice</t>
  </si>
  <si>
    <t>2610.957.843-000</t>
  </si>
  <si>
    <t>Boton De Ajuste</t>
  </si>
  <si>
    <t>2610.957.844-000</t>
  </si>
  <si>
    <t>Platina De Cierre</t>
  </si>
  <si>
    <t>2610.957.845-000</t>
  </si>
  <si>
    <t>Espárrago</t>
  </si>
  <si>
    <t>2610.957.846-000</t>
  </si>
  <si>
    <t>Pieza De Cierre</t>
  </si>
  <si>
    <t>2610.957.974-000</t>
  </si>
  <si>
    <t>Revestimiento Protect</t>
  </si>
  <si>
    <t>2610.957.994-000</t>
  </si>
  <si>
    <t>2610.958.768-000</t>
  </si>
  <si>
    <t>LENGUETA 3335 - OBSOLETO</t>
  </si>
  <si>
    <t>2610.958.769-000</t>
  </si>
  <si>
    <t>ESPIGA 3335</t>
  </si>
  <si>
    <t>2610.958.771-000</t>
  </si>
  <si>
    <t>TORNILLO 3335</t>
  </si>
  <si>
    <t>2610.958.776-000</t>
  </si>
  <si>
    <t>PLACA 3335</t>
  </si>
  <si>
    <t>2610.958.778-000</t>
  </si>
  <si>
    <t>SOPORTE 3335</t>
  </si>
  <si>
    <t>2610.958.780-000</t>
  </si>
  <si>
    <t>TUBO 3335</t>
  </si>
  <si>
    <t>2610.958.781-000</t>
  </si>
  <si>
    <t>PESTILLO DE CIERRE 3335</t>
  </si>
  <si>
    <t>2610.958.782-000</t>
  </si>
  <si>
    <t>FUELLE 3335</t>
  </si>
  <si>
    <t>2610.958.784-000</t>
  </si>
  <si>
    <t>2610.958.785-000</t>
  </si>
  <si>
    <t>TORNILLO ESPECIAL 3335</t>
  </si>
  <si>
    <t>2610.958.788-000</t>
  </si>
  <si>
    <t>LLAVE 3335</t>
  </si>
  <si>
    <t>2610.958.790-000</t>
  </si>
  <si>
    <t>PERILLA 3335</t>
  </si>
  <si>
    <t>2610.958.791-000</t>
  </si>
  <si>
    <t>CONTROLADOR 3335 OBSOLETO</t>
  </si>
  <si>
    <t>2610.958.793-000</t>
  </si>
  <si>
    <t>CUBIERTA 3335</t>
  </si>
  <si>
    <t>2610.958.794-000</t>
  </si>
  <si>
    <t>ARANDELA DENTADA 3335</t>
  </si>
  <si>
    <t>2610.958.795-000</t>
  </si>
  <si>
    <t>PERNO 3335</t>
  </si>
  <si>
    <t>2610.958.796-000</t>
  </si>
  <si>
    <t>BASE 3335</t>
  </si>
  <si>
    <t>2610.958.797-000</t>
  </si>
  <si>
    <t>BLOQUE DE UNIDAD LUMINOSA 3335 DISCONT</t>
  </si>
  <si>
    <t>2610.958.798-000</t>
  </si>
  <si>
    <t>Unidad de escobilla de carbón 3335</t>
  </si>
  <si>
    <t>2610.958.799-000</t>
  </si>
  <si>
    <t>COJINETE DE AGUJAS 3385</t>
  </si>
  <si>
    <t>2610.958.800-000</t>
  </si>
  <si>
    <t>RUEDA 3385</t>
  </si>
  <si>
    <t>2610.958.802-000</t>
  </si>
  <si>
    <t>BOTON 3385</t>
  </si>
  <si>
    <t>2610.958.803-000</t>
  </si>
  <si>
    <t>BARRA 3385</t>
  </si>
  <si>
    <t>2610.958.805-000</t>
  </si>
  <si>
    <t>DIODO 3385</t>
  </si>
  <si>
    <t>2610.958.806-000</t>
  </si>
  <si>
    <t>ESPIGA 3385</t>
  </si>
  <si>
    <t>2610.958.809-000</t>
  </si>
  <si>
    <t>2610.958.810-000</t>
  </si>
  <si>
    <t>CORREA 3385</t>
  </si>
  <si>
    <t>2610.958.811-000</t>
  </si>
  <si>
    <t>CEPILLO 3385</t>
  </si>
  <si>
    <t>2610.958.812-000</t>
  </si>
  <si>
    <t>GATILLO DE CIERRE 3385</t>
  </si>
  <si>
    <t>2610.958.813-000</t>
  </si>
  <si>
    <t>INTERRUPTOR 3385</t>
  </si>
  <si>
    <t>2610.958.814-000</t>
  </si>
  <si>
    <t>CONMUTADOR 3385 OBSOLETO</t>
  </si>
  <si>
    <t>2610.958.815-000</t>
  </si>
  <si>
    <t>2610.958.816-000</t>
  </si>
  <si>
    <t>2610.958.817-000</t>
  </si>
  <si>
    <t>LASER 3385</t>
  </si>
  <si>
    <t>2610.958.818-000</t>
  </si>
  <si>
    <t>ABRAZADERA DE CABLE 3385</t>
  </si>
  <si>
    <t>2610.958.819-000</t>
  </si>
  <si>
    <t>SUPLEMENTO 3385</t>
  </si>
  <si>
    <t>2610.958.824-000</t>
  </si>
  <si>
    <t>OJETE PROTECTOR 3385</t>
  </si>
  <si>
    <t>2610.958.825-000</t>
  </si>
  <si>
    <t>REGLETA DE CONTACTOS 3385</t>
  </si>
  <si>
    <t>2610.958.826-000</t>
  </si>
  <si>
    <t>GUIA 3385</t>
  </si>
  <si>
    <t>2610.958.827-000</t>
  </si>
  <si>
    <t>ABRAZADERA DE APRIETE 3320</t>
  </si>
  <si>
    <t>2610.958.828-000</t>
  </si>
  <si>
    <t>TORNILLO HEXAG. INTERIOR 3320</t>
  </si>
  <si>
    <t>2610.958.829-000</t>
  </si>
  <si>
    <t>CIGUENAL 3320</t>
  </si>
  <si>
    <t>2610.958.830-000</t>
  </si>
  <si>
    <t>BARRA 3320</t>
  </si>
  <si>
    <t>2610.958.831-000</t>
  </si>
  <si>
    <t>BOTON DE AJUSTE 3320</t>
  </si>
  <si>
    <t>2610.958.832-000</t>
  </si>
  <si>
    <t>BARRA DE ACOPLAMIENTO 3320</t>
  </si>
  <si>
    <t>2610.958.833-000</t>
  </si>
  <si>
    <t>CORREA 3320</t>
  </si>
  <si>
    <t>2610.958.834-000</t>
  </si>
  <si>
    <t>INTERRUPTOR LASER 3320</t>
  </si>
  <si>
    <t>2610.958.836-000</t>
  </si>
  <si>
    <t>LLAVE 3320</t>
  </si>
  <si>
    <t>2610.958.837-000</t>
  </si>
  <si>
    <t>MANDRIL 3320</t>
  </si>
  <si>
    <t>2610.958.973-000</t>
  </si>
  <si>
    <t>BOTON 3320</t>
  </si>
  <si>
    <t>2610.958.975-000</t>
  </si>
  <si>
    <t>TORNILLO 3375</t>
  </si>
  <si>
    <t>2610.958.977-000</t>
  </si>
  <si>
    <t>RESORTE OSCILANTE 3375</t>
  </si>
  <si>
    <t>2610.958.979-000</t>
  </si>
  <si>
    <t>CUBIERTA 3375</t>
  </si>
  <si>
    <t>2610.958.980-000</t>
  </si>
  <si>
    <t>2610.959.234-000</t>
  </si>
  <si>
    <t>ABRAZADERA 3610</t>
  </si>
  <si>
    <t>2610.959.338-000</t>
  </si>
  <si>
    <t>TRONILLO ESPECIAL 3375/8050</t>
  </si>
  <si>
    <t>2610.959.343-000</t>
  </si>
  <si>
    <t>DISCO 3375</t>
  </si>
  <si>
    <t>2610.959.344-000</t>
  </si>
  <si>
    <t>CUBRERUEDA 3375</t>
  </si>
  <si>
    <t>2610.959.345-000</t>
  </si>
  <si>
    <t>2610.959.346-000</t>
  </si>
  <si>
    <t>2610.959.347-000</t>
  </si>
  <si>
    <t>CORREA MOTRIZ 3375</t>
  </si>
  <si>
    <t>2610.959.348-000</t>
  </si>
  <si>
    <t>PARACHOQUE 3375</t>
  </si>
  <si>
    <t>2610.959.349-000</t>
  </si>
  <si>
    <t>ANILLO DE RETENCION 3375</t>
  </si>
  <si>
    <t>2610.959.350-000</t>
  </si>
  <si>
    <t>REGLETA-GUIA 3375</t>
  </si>
  <si>
    <t>2610.959.351-000</t>
  </si>
  <si>
    <t>EJE DE PALANCA DE MANDO 3375 OBSOLETO</t>
  </si>
  <si>
    <t>2610.959.352-000</t>
  </si>
  <si>
    <t>TAMBOR 3375</t>
  </si>
  <si>
    <t>2610.959.353-000</t>
  </si>
  <si>
    <t>PALANCA TENSORA 3375</t>
  </si>
  <si>
    <t>2610.959.390-000</t>
  </si>
  <si>
    <t>CUBIERTA DE GOMA</t>
  </si>
  <si>
    <t>2610.959.394-000</t>
  </si>
  <si>
    <t>Pestilla</t>
  </si>
  <si>
    <t>2610.959.405-000</t>
  </si>
  <si>
    <t>MESA 3375</t>
  </si>
  <si>
    <t>2610.959.406-000</t>
  </si>
  <si>
    <t>2610.959.407-000</t>
  </si>
  <si>
    <t>JUEGO DE AJUSTE 3375</t>
  </si>
  <si>
    <t>2610.959.533-000</t>
  </si>
  <si>
    <t>2610.967.116-000</t>
  </si>
  <si>
    <t>PIÑON 1936.4-6/2745-16</t>
  </si>
  <si>
    <t>2610.967.121-000</t>
  </si>
  <si>
    <t>CARCASA 2480/2580</t>
  </si>
  <si>
    <t>2610.967.132-000</t>
  </si>
  <si>
    <t>MOTOR 2480 - 12 VOL</t>
  </si>
  <si>
    <t>2610.967.133-000</t>
  </si>
  <si>
    <t>PIÑON 2480/2580</t>
  </si>
  <si>
    <t>2610.967.134-000</t>
  </si>
  <si>
    <t>SOPORTE 2480/2580</t>
  </si>
  <si>
    <t>2610.967.138-000</t>
  </si>
  <si>
    <t>INTERR.VEL.VARIABL.2480-2580</t>
  </si>
  <si>
    <t>2610.967.144-000</t>
  </si>
  <si>
    <t>MOTOR 2580 - 14.4 VOL</t>
  </si>
  <si>
    <t>2610.967.152-000</t>
  </si>
  <si>
    <t>SOPORTE DE NIVEL OBSOLETO</t>
  </si>
  <si>
    <t>2610.967.197-000</t>
  </si>
  <si>
    <t>CARBON+PORTCARB 663/6432/7313</t>
  </si>
  <si>
    <t>2610.967.204-000</t>
  </si>
  <si>
    <t>NIVEL DE BURBUJA 6421/6426 - DISCONTINUA</t>
  </si>
  <si>
    <t>2610.967.422-000</t>
  </si>
  <si>
    <t>2610.967.432-000</t>
  </si>
  <si>
    <t>BORNA 1B21.0/1B20.0</t>
  </si>
  <si>
    <t>2610.967.433-000</t>
  </si>
  <si>
    <t>PLACA DE APRIETE 1B21.0/1B20.0</t>
  </si>
  <si>
    <t>2610.967.437-000</t>
  </si>
  <si>
    <t>PERNO ROSCADO  1B20.0</t>
  </si>
  <si>
    <t>2610.967.438-000</t>
  </si>
  <si>
    <t>ANILLO DE SEGURIDAD 1B21.0/1B20.0</t>
  </si>
  <si>
    <t>2610.967.439-000</t>
  </si>
  <si>
    <t>2610.967.440-000</t>
  </si>
  <si>
    <t>CARCASA DEL MOTOR 1B21.0</t>
  </si>
  <si>
    <t>2610.967.445-000</t>
  </si>
  <si>
    <t>2610.967.449-000</t>
  </si>
  <si>
    <t>MESA DE ASERRAR  1B21</t>
  </si>
  <si>
    <t>2610.967.609-000</t>
  </si>
  <si>
    <t>MOTOR HD 2645</t>
  </si>
  <si>
    <t>2610.967.610-000</t>
  </si>
  <si>
    <t>MOTOR HD 2745 OBSOLETO</t>
  </si>
  <si>
    <t>2610.967.626-000</t>
  </si>
  <si>
    <t>INTERRUPTOR HD 2745 OBSOLETO</t>
  </si>
  <si>
    <t>2610.967.639-000</t>
  </si>
  <si>
    <t>SELECTOR DE REVERSA HD 2645</t>
  </si>
  <si>
    <t>2610.967.692-000</t>
  </si>
  <si>
    <t>BRIDA DE SUJECION HD 2745</t>
  </si>
  <si>
    <t>2610.967.693-000</t>
  </si>
  <si>
    <t>BRIDA DE SIJECION HD 2645</t>
  </si>
  <si>
    <t>2610.968.308-000</t>
  </si>
  <si>
    <t>2610.968.473-000</t>
  </si>
  <si>
    <t>TUERCA 4365/4465</t>
  </si>
  <si>
    <t>2610.968.650-000</t>
  </si>
  <si>
    <t>BRIDA  COJINETE 5266</t>
  </si>
  <si>
    <t>2610.968.724-000</t>
  </si>
  <si>
    <t>TUERCA Y BRIDA 1573/5150 RX341361</t>
  </si>
  <si>
    <t>2610.968.739-000</t>
  </si>
  <si>
    <t>INTERRUPTOR 2131/32</t>
  </si>
  <si>
    <t>2610.968.740-000</t>
  </si>
  <si>
    <t>INTERRUPTOR 2172/2272 - DISCONTINUADO</t>
  </si>
  <si>
    <t>2610.990.025-000</t>
  </si>
  <si>
    <t>TAPA DE CIERRE 1276</t>
  </si>
  <si>
    <t>2610.990.029-000</t>
  </si>
  <si>
    <t>MUELLE DE COMPRESION 1276</t>
  </si>
  <si>
    <t>2610.990.039-000</t>
  </si>
  <si>
    <t>RESORTE DE RETENCION 1276</t>
  </si>
  <si>
    <t>2610.990.040-000</t>
  </si>
  <si>
    <t>TUERCA HEXAGONAL 1276</t>
  </si>
  <si>
    <t>2610.990.160-000</t>
  </si>
  <si>
    <t>CARCASA 5266</t>
  </si>
  <si>
    <t>2610.990.171-000</t>
  </si>
  <si>
    <t>2610.990.176-000</t>
  </si>
  <si>
    <t>INDUCIDO C/VENT. 5266</t>
  </si>
  <si>
    <t>2610.990.186-000</t>
  </si>
  <si>
    <t>PLACA BASE 5266</t>
  </si>
  <si>
    <t>2610.990.503-000</t>
  </si>
  <si>
    <t>ARANDELA ELASTICA  1B21.0</t>
  </si>
  <si>
    <t>2610.990.504-000</t>
  </si>
  <si>
    <t>SUJETACABLES 1B21.0</t>
  </si>
  <si>
    <t>2610.990.518-000</t>
  </si>
  <si>
    <t>RODILLO 1B21.0/1B20.0</t>
  </si>
  <si>
    <t>2610.990.521-000</t>
  </si>
  <si>
    <t>2610.990.522-000</t>
  </si>
  <si>
    <t>COJINETE 1B21.0/1B20.0</t>
  </si>
  <si>
    <t>2610.990.525-000</t>
  </si>
  <si>
    <t>PALANCA 1B21.0</t>
  </si>
  <si>
    <t>2610.990.806-000</t>
  </si>
  <si>
    <t>TORNILLO DE REGULACION 1668/67</t>
  </si>
  <si>
    <t>2610.990.845-000</t>
  </si>
  <si>
    <t>SOPORTE PARA COJINETES 157A</t>
  </si>
  <si>
    <t>2610.991.218-000</t>
  </si>
  <si>
    <t>SELECTOR VELOCIDAD HD2645- DISCONTINUADO</t>
  </si>
  <si>
    <t>2610.991.256-000</t>
  </si>
  <si>
    <t>VARILLA 4115-4225-4235-4395RXF000614006</t>
  </si>
  <si>
    <t>2610.991.280-000</t>
  </si>
  <si>
    <t>TORNILLO 4115-4225-4235</t>
  </si>
  <si>
    <t>2610.991.306-000</t>
  </si>
  <si>
    <t>2610.991.329-000</t>
  </si>
  <si>
    <t>CARCASA 1276      RA2610990682</t>
  </si>
  <si>
    <t>2610.991.370-000</t>
  </si>
  <si>
    <t>ANILLO DE CENTRADO 1619</t>
  </si>
  <si>
    <t>2610.991.372-000</t>
  </si>
  <si>
    <t>2610.991.375-000</t>
  </si>
  <si>
    <t>Soporte Para Cojinetes</t>
  </si>
  <si>
    <t>2610.991.395-000</t>
  </si>
  <si>
    <t>TORNILLO 12A2.0</t>
  </si>
  <si>
    <t>2610.991.398-000</t>
  </si>
  <si>
    <t>INDUCIDO 11304    RX1617000849</t>
  </si>
  <si>
    <t>2610.991.892-000</t>
  </si>
  <si>
    <t>MOTOR 2172/2272-32    RA353298</t>
  </si>
  <si>
    <t>2610.992.229-000</t>
  </si>
  <si>
    <t>CARCASA DE MOTOR 9105</t>
  </si>
  <si>
    <t>2610.992.314-000</t>
  </si>
  <si>
    <t>INTERRUPTOR 4225</t>
  </si>
  <si>
    <t>2610.992.363-000</t>
  </si>
  <si>
    <t>HUSILLO AMOLADOR  1B20.5</t>
  </si>
  <si>
    <t>2610.992.366-000</t>
  </si>
  <si>
    <t>ANILLO  1B21</t>
  </si>
  <si>
    <t>2610.992.372-000</t>
  </si>
  <si>
    <t>PERNO ROSCADO 1B21.0/1B20.0</t>
  </si>
  <si>
    <t>2610.992.377-000</t>
  </si>
  <si>
    <t>PERNO ROSCADO M8X1,25-30</t>
  </si>
  <si>
    <t>2610.992.380-000</t>
  </si>
  <si>
    <t>ANILLO DE SEGURIDAD 1B30.0/.2</t>
  </si>
  <si>
    <t>2610.992.408-000</t>
  </si>
  <si>
    <t>ESTATOR 11235 RX 1614220124-000</t>
  </si>
  <si>
    <t>2610.992.417-000</t>
  </si>
  <si>
    <t>Llave Fija De Una Boca</t>
  </si>
  <si>
    <t>2610.992.427-000</t>
  </si>
  <si>
    <t>CARBON/PTACARBON 1573/1835 RX 993157</t>
  </si>
  <si>
    <t>2610.992.580-000</t>
  </si>
  <si>
    <t>CAJA DE ENGRANAJE 5266</t>
  </si>
  <si>
    <t>2610.992.974-000</t>
  </si>
  <si>
    <t>CONTROL DE TORQUE 2480/2580</t>
  </si>
  <si>
    <t>2610.993.102-000</t>
  </si>
  <si>
    <t>CHAVETA DE DISCO 1B20.5</t>
  </si>
  <si>
    <t>2610.993.104-000</t>
  </si>
  <si>
    <t>2610.993.106-000</t>
  </si>
  <si>
    <t>CASQUILLO DE AGUJAS 1B20.5</t>
  </si>
  <si>
    <t>2610.993.107-000</t>
  </si>
  <si>
    <t>ARANDELA DE SEGURIDAD  1B20.5 OBSOLETO</t>
  </si>
  <si>
    <t>2610.993.108-000</t>
  </si>
  <si>
    <t>ANILLO DE SEGURIDAD 1B20.5</t>
  </si>
  <si>
    <t>2610.993.109-000</t>
  </si>
  <si>
    <t>2610.993.191-000</t>
  </si>
  <si>
    <t>SUJETACABLES 1668/67</t>
  </si>
  <si>
    <t>2610.993.221-000</t>
  </si>
  <si>
    <t>2610.993.238-000</t>
  </si>
  <si>
    <t>MANGO 5266</t>
  </si>
  <si>
    <t>2610.993.249-000</t>
  </si>
  <si>
    <t>CARBON + PORTACARBON (X1) 5150 OBSOLETO</t>
  </si>
  <si>
    <t>2610.993.502-000</t>
  </si>
  <si>
    <t>EJE DE SALIDA 6125RA2610350377</t>
  </si>
  <si>
    <t>2610.993.520-000</t>
  </si>
  <si>
    <t>RODAMIENTO 5266</t>
  </si>
  <si>
    <t>2610.993.526-000</t>
  </si>
  <si>
    <t>2610.993.575-000</t>
  </si>
  <si>
    <t>POLEA DE TRANSMISION 1276.7</t>
  </si>
  <si>
    <t>2610.994.016-000</t>
  </si>
  <si>
    <t>CARBONES 7560/6125/6345/6425 RA 321417</t>
  </si>
  <si>
    <t>2610.994.411-000</t>
  </si>
  <si>
    <t>PORTACARBON 1276</t>
  </si>
  <si>
    <t>2610.994.437-000</t>
  </si>
  <si>
    <t>TAPA PORTAESCOB.1273 - DISCONTINUADO</t>
  </si>
  <si>
    <t>2610.994.443-000</t>
  </si>
  <si>
    <t>ENGRANAJE 1276 RA2610908623</t>
  </si>
  <si>
    <t>2610.995.815-000</t>
  </si>
  <si>
    <t>RETÉN PARA EJES 1F4J.0</t>
  </si>
  <si>
    <t>2610.995.857-000</t>
  </si>
  <si>
    <t>REGUL.TORQUE HD2645   RA910946</t>
  </si>
  <si>
    <t>2610.996.054-000</t>
  </si>
  <si>
    <t>2610.996.079-000</t>
  </si>
  <si>
    <t>CARCASA DEL MOTOR  1619</t>
  </si>
  <si>
    <t>2610.996.083-000</t>
  </si>
  <si>
    <t>TAPA DEL CUERPO 1619</t>
  </si>
  <si>
    <t>2610.996.101-000</t>
  </si>
  <si>
    <t>CABLE DE CONEXION 1619</t>
  </si>
  <si>
    <t>2610.996.102-000</t>
  </si>
  <si>
    <t>MANGUITO DE COJINETE 1619</t>
  </si>
  <si>
    <t>2610.996.106-000</t>
  </si>
  <si>
    <t>MANGO 1619</t>
  </si>
  <si>
    <t>2610.996.107-000</t>
  </si>
  <si>
    <t>MANGO 1619 OBSOLETO</t>
  </si>
  <si>
    <t>2610.996.111-000</t>
  </si>
  <si>
    <t>PLACA DE BASE 1619 RX 2610023231000</t>
  </si>
  <si>
    <t>2610.996.118-000</t>
  </si>
  <si>
    <t>CHAPA DEFLECTORA 1619</t>
  </si>
  <si>
    <t>2610.996.119-000</t>
  </si>
  <si>
    <t>PESTILLO 1619</t>
  </si>
  <si>
    <t>2610.996.120-000</t>
  </si>
  <si>
    <t>MUELLE DE COMPRESION 1619</t>
  </si>
  <si>
    <t>2610.996.125-000</t>
  </si>
  <si>
    <t>PERNO DE CIERRE 1619</t>
  </si>
  <si>
    <t>2610.996.128-000</t>
  </si>
  <si>
    <t>MUELLE ARMADOR 1619</t>
  </si>
  <si>
    <t>2610.996.135-000</t>
  </si>
  <si>
    <t>PALANCA DE CIERRE 1619</t>
  </si>
  <si>
    <t>2610.996.137-000</t>
  </si>
  <si>
    <t>ARANDELA ELASTICA 1619</t>
  </si>
  <si>
    <t>2610.996.138-000</t>
  </si>
  <si>
    <t>APRIETE ELASTICO 1619</t>
  </si>
  <si>
    <t>2610.996.139-000</t>
  </si>
  <si>
    <t>PLACA DE CUBIERTA 1619</t>
  </si>
  <si>
    <t>2610.996.142-000</t>
  </si>
  <si>
    <t>TORNILLO 1619</t>
  </si>
  <si>
    <t>2610.996.143-000</t>
  </si>
  <si>
    <t>2610.996.147-000</t>
  </si>
  <si>
    <t>2610.996.148-000</t>
  </si>
  <si>
    <t>ENVOLVENTE DE VENTILADOR 1619</t>
  </si>
  <si>
    <t>2610.996.149-000</t>
  </si>
  <si>
    <t>ENGRANAJE DE CONVERSION 1619</t>
  </si>
  <si>
    <t>2610.996.247-000</t>
  </si>
  <si>
    <t>INDUCIDO 7313 RA 2610354063</t>
  </si>
  <si>
    <t>2610.996.647-000</t>
  </si>
  <si>
    <t>CARCASA DE MOTOR 5266</t>
  </si>
  <si>
    <t>2610.996.689-000</t>
  </si>
  <si>
    <t>INTERRUPTOR 1835 RA 2610353446 DISCONT.</t>
  </si>
  <si>
    <t>2610.996.853-000</t>
  </si>
  <si>
    <t>2610.996.854-000</t>
  </si>
  <si>
    <t>2610.996.855-000</t>
  </si>
  <si>
    <t>RIEL DE RETENCION 1B30.0/.2</t>
  </si>
  <si>
    <t>2610.996.856-000</t>
  </si>
  <si>
    <t>2610.996.861-000</t>
  </si>
  <si>
    <t>PLACA DE RETENCION 1B30.0/.2</t>
  </si>
  <si>
    <t>2610.996.862-000</t>
  </si>
  <si>
    <t>PERNO DE GUIA 1B30.0/.2</t>
  </si>
  <si>
    <t>2610.996.863-000</t>
  </si>
  <si>
    <t>CAJA DE ENGRANAJES 1B30.0/.2</t>
  </si>
  <si>
    <t>2610.996.864-000</t>
  </si>
  <si>
    <t>CARCASA GTS 10</t>
  </si>
  <si>
    <t>2610.996.865-000</t>
  </si>
  <si>
    <t>TAPA 1B30.0/.2</t>
  </si>
  <si>
    <t>2610.996.869-000</t>
  </si>
  <si>
    <t>TAPA DEL ENGRANAJE 1B30.0/.2</t>
  </si>
  <si>
    <t>2610.996.871-000</t>
  </si>
  <si>
    <t>BRIDA DE FIJACION 1B30.0/.2</t>
  </si>
  <si>
    <t>2610.996.874-000</t>
  </si>
  <si>
    <t>PALANCA DE BLOQUEO 1M30.5</t>
  </si>
  <si>
    <t>2610.996.875-000</t>
  </si>
  <si>
    <t>MUELLE DE TORSION 1M30.5</t>
  </si>
  <si>
    <t>2610.996.876-000</t>
  </si>
  <si>
    <t>TORNILLO DE RETENCION 1M30.5</t>
  </si>
  <si>
    <t>2610.996.877-000</t>
  </si>
  <si>
    <t>PLACA DE CUBIERTA 1B30.0/.2 - DISCONT.</t>
  </si>
  <si>
    <t>2610.996.878-000</t>
  </si>
  <si>
    <t>2610.996.879-000</t>
  </si>
  <si>
    <t>2610.996.880-000</t>
  </si>
  <si>
    <t>LLAVE 1B30.0/.2</t>
  </si>
  <si>
    <t>2610.996.884-000</t>
  </si>
  <si>
    <t>2610.996.885-000</t>
  </si>
  <si>
    <t>PLACA DE APRIETE 1B30.0/.2</t>
  </si>
  <si>
    <t>2610.996.886-000</t>
  </si>
  <si>
    <t>PALANCA DE BLOQUEO 1B30.0/.2</t>
  </si>
  <si>
    <t>2610.996.888-000</t>
  </si>
  <si>
    <t>RESORTE 1B30.0/.2</t>
  </si>
  <si>
    <t>2610.996.891-000</t>
  </si>
  <si>
    <t>RIEL DE DESLIZAMIENTO 1B30.0/.2</t>
  </si>
  <si>
    <t>2610.996.894-000</t>
  </si>
  <si>
    <t>PEDESTAL DE COJINETE 1B30.0/.2</t>
  </si>
  <si>
    <t>2610.996.895-000</t>
  </si>
  <si>
    <t>BARRA ROSCADA 1B30.0/.2</t>
  </si>
  <si>
    <t>2610.996.896-000</t>
  </si>
  <si>
    <t>RUEDA DE ENGRANAJE 1B30.0/.2</t>
  </si>
  <si>
    <t>2610.996.897-000</t>
  </si>
  <si>
    <t>EJE 1B30.0/.2</t>
  </si>
  <si>
    <t>2610.996.898-000</t>
  </si>
  <si>
    <t>PALANCA DE APRIETE 1B30.0/.2</t>
  </si>
  <si>
    <t>2610.996.911-000</t>
  </si>
  <si>
    <t>MUELLE DE SUJECION 1B30</t>
  </si>
  <si>
    <t>2610.996.912-000</t>
  </si>
  <si>
    <t>CHAPA FIJADORA 1M30.5</t>
  </si>
  <si>
    <t>2610.996.913-000</t>
  </si>
  <si>
    <t>PUNTA 1B30.0/.2</t>
  </si>
  <si>
    <t>2610.996.915-000</t>
  </si>
  <si>
    <t>PIEZA DE APRIETE 1B30.0/.2</t>
  </si>
  <si>
    <t>2610.996.917-000</t>
  </si>
  <si>
    <t>PLACA 1B30.0/.2</t>
  </si>
  <si>
    <t>2610.996.918-000</t>
  </si>
  <si>
    <t>2610.996.920-000</t>
  </si>
  <si>
    <t>TUERCA DE CONEXION 1M30.5</t>
  </si>
  <si>
    <t>2610.996.921-000</t>
  </si>
  <si>
    <t>ANGULO DE FIJACION 1B30.0/.2</t>
  </si>
  <si>
    <t>2610.996.922-000</t>
  </si>
  <si>
    <t>SUJECION 1B30.0/.2</t>
  </si>
  <si>
    <t>2610.996.923-000</t>
  </si>
  <si>
    <t>2610.996.925-000</t>
  </si>
  <si>
    <t>BOTON 1B30.0/.2</t>
  </si>
  <si>
    <t>2610.996.926-000</t>
  </si>
  <si>
    <t>2610.996.927-000</t>
  </si>
  <si>
    <t>AGUJA 1B30.0/.2</t>
  </si>
  <si>
    <t>2610.996.928-000</t>
  </si>
  <si>
    <t>CHAPA DE RETEN 1B30.0/.2</t>
  </si>
  <si>
    <t>2610.996.929-000</t>
  </si>
  <si>
    <t>2610.996.930-000</t>
  </si>
  <si>
    <t>PINZA DE SUJECION 1B30.0/.2</t>
  </si>
  <si>
    <t>2610.996.931-000</t>
  </si>
  <si>
    <t>2610.996.932-000</t>
  </si>
  <si>
    <t>MANGUITO DE COJINETE 1M30.5</t>
  </si>
  <si>
    <t>2610.996.933-000</t>
  </si>
  <si>
    <t>CASQUILLO ROSCADO 1B30.0/.2</t>
  </si>
  <si>
    <t>2610.996.938-000</t>
  </si>
  <si>
    <t>CASQUILLO 1B30.0/.2</t>
  </si>
  <si>
    <t>2610.996.941-000</t>
  </si>
  <si>
    <t>2610.996.949-000</t>
  </si>
  <si>
    <t>2610.997.003-000</t>
  </si>
  <si>
    <t>TECLA 1619</t>
  </si>
  <si>
    <t>2610.997.006-000</t>
  </si>
  <si>
    <t>2610.997.007-000</t>
  </si>
  <si>
    <t>INDUCIDO 1619</t>
  </si>
  <si>
    <t>2610.997.008-000</t>
  </si>
  <si>
    <t>2610.997.009-000</t>
  </si>
  <si>
    <t>LINEA DE CONEXION A RED 1619</t>
  </si>
  <si>
    <t>2610.997.010-000</t>
  </si>
  <si>
    <t>2610.997.012-000</t>
  </si>
  <si>
    <t>ANILLO INDICE 1619</t>
  </si>
  <si>
    <t>2610.997.030-000</t>
  </si>
  <si>
    <t>BORNE 1619</t>
  </si>
  <si>
    <t>2610.997.031-000</t>
  </si>
  <si>
    <t>2610.997.139-000</t>
  </si>
  <si>
    <t>2610.997.148-000</t>
  </si>
  <si>
    <t>2610.997.152-000</t>
  </si>
  <si>
    <t>CARBONES GOF 2000</t>
  </si>
  <si>
    <t>2610.997.157-000</t>
  </si>
  <si>
    <t>INTERRUPTOR 1619</t>
  </si>
  <si>
    <t>2610.997.184-000</t>
  </si>
  <si>
    <t>CONDENSADOR 1619</t>
  </si>
  <si>
    <t>2610.997.208-000</t>
  </si>
  <si>
    <t>RUEDA DE ENGRANAJE 1M30.5</t>
  </si>
  <si>
    <t>2610.997.210-000</t>
  </si>
  <si>
    <t>2610.997.211-000</t>
  </si>
  <si>
    <t>ARBOL RECEPTOR 1B30.0/.2</t>
  </si>
  <si>
    <t>2610.997.212-000</t>
  </si>
  <si>
    <t>ESCUADRA DE FIJACION 1B30.0/.2</t>
  </si>
  <si>
    <t>2610.997.213-000</t>
  </si>
  <si>
    <t>PLACA ASIENTO 1B30</t>
  </si>
  <si>
    <t>2610.997.214-000</t>
  </si>
  <si>
    <t>2610.997.215-000</t>
  </si>
  <si>
    <t>2610.997.216-000</t>
  </si>
  <si>
    <t>2610.997.217-000</t>
  </si>
  <si>
    <t>2610.997.218-000</t>
  </si>
  <si>
    <t>2610.997.221-000</t>
  </si>
  <si>
    <t>2610.997.222-000</t>
  </si>
  <si>
    <t>2610.997.240-000</t>
  </si>
  <si>
    <t>2610.997.244-000</t>
  </si>
  <si>
    <t>2610.997.245-000</t>
  </si>
  <si>
    <t>TORNILLO DE REGULACION 1B30.0/.2</t>
  </si>
  <si>
    <t>2610.997.246-000</t>
  </si>
  <si>
    <t>2610.997.270-000</t>
  </si>
  <si>
    <t>TORNILLO DE RETENCION 1B30.0/.2</t>
  </si>
  <si>
    <t>2610.997.271-000</t>
  </si>
  <si>
    <t>2610.997.273-000</t>
  </si>
  <si>
    <t>2610.997.274-000</t>
  </si>
  <si>
    <t>2610.997.275-000</t>
  </si>
  <si>
    <t>2610.997.276-000</t>
  </si>
  <si>
    <t>2610.997.277-000</t>
  </si>
  <si>
    <t>2610.997.281-000</t>
  </si>
  <si>
    <t>2610.997.282-000</t>
  </si>
  <si>
    <t>2610.997.283-000</t>
  </si>
  <si>
    <t>ESPARRAGO 1B30.0/.2</t>
  </si>
  <si>
    <t>2610.997.286-000</t>
  </si>
  <si>
    <t>2610.997.291-000</t>
  </si>
  <si>
    <t>ESPIGA 1B30.0/.2</t>
  </si>
  <si>
    <t>2610.997.292-000</t>
  </si>
  <si>
    <t>2610.997.293-000</t>
  </si>
  <si>
    <t>2610.997.294-000</t>
  </si>
  <si>
    <t>2610.997.296-000</t>
  </si>
  <si>
    <t>2610.997.297-000</t>
  </si>
  <si>
    <t>2610.997.298-000</t>
  </si>
  <si>
    <t>2610.997.299-000</t>
  </si>
  <si>
    <t>2610.997.509-000</t>
  </si>
  <si>
    <t>Placa De Soporte</t>
  </si>
  <si>
    <t>2610.997.756-000</t>
  </si>
  <si>
    <t>CORONA 5266</t>
  </si>
  <si>
    <t>2610.997.807-000</t>
  </si>
  <si>
    <t>2610.998.102-000</t>
  </si>
  <si>
    <t>TAPA DEL CUERPO 1049</t>
  </si>
  <si>
    <t>2610.998.113-000</t>
  </si>
  <si>
    <t>INTERRUPTOR DE INVERSION 1049</t>
  </si>
  <si>
    <t>2610.998.114-000</t>
  </si>
  <si>
    <t>PALANCA DE CIERRE 1049</t>
  </si>
  <si>
    <t>2610.998.115-000</t>
  </si>
  <si>
    <t>ARO DEFLECTOR DE AIRE 1049</t>
  </si>
  <si>
    <t>2610.998.116-000</t>
  </si>
  <si>
    <t>MUELLE DE COMPRESION 1049</t>
  </si>
  <si>
    <t>2610.998.117-000</t>
  </si>
  <si>
    <t>JUNTA 1049</t>
  </si>
  <si>
    <t>2610.998.128-000</t>
  </si>
  <si>
    <t>ANILLO DE SEGURIDAD 1049</t>
  </si>
  <si>
    <t>2610.998.132-000</t>
  </si>
  <si>
    <t>ARANDELA 1049</t>
  </si>
  <si>
    <t>2610.998.149-000</t>
  </si>
  <si>
    <t>ARBOL DENTADO 1049</t>
  </si>
  <si>
    <t>2610.998.150-000</t>
  </si>
  <si>
    <t>2610.998.153-000</t>
  </si>
  <si>
    <t>PLACA DE SOPORTE 1049</t>
  </si>
  <si>
    <t>2610.998.550-000</t>
  </si>
  <si>
    <t>2610.998.558-000</t>
  </si>
  <si>
    <t>PALANCA DE APRIETE 1B30</t>
  </si>
  <si>
    <t>2610.998.567-000</t>
  </si>
  <si>
    <t>OJETE PROTECTOR 1B30.5</t>
  </si>
  <si>
    <t>2610.998.570-000</t>
  </si>
  <si>
    <t>BRAZO DE SUJECION 1B30.0/.2</t>
  </si>
  <si>
    <t>2610.998.571-000</t>
  </si>
  <si>
    <t>TORNILLO ALT 1M30.5</t>
  </si>
  <si>
    <t>2610.998.572-000</t>
  </si>
  <si>
    <t>2610.998.573-000</t>
  </si>
  <si>
    <t>2610.998.574-000</t>
  </si>
  <si>
    <t>2610.998.575-000</t>
  </si>
  <si>
    <t>2610.998.577-000</t>
  </si>
  <si>
    <t>2610.998.579-000</t>
  </si>
  <si>
    <t>MANETA 1B30.0/.2</t>
  </si>
  <si>
    <t>2610.998.580-000</t>
  </si>
  <si>
    <t>2610.998.587-000</t>
  </si>
  <si>
    <t>2610.998.588-000</t>
  </si>
  <si>
    <t>2610.998.593-000</t>
  </si>
  <si>
    <t>2610.998.878-000</t>
  </si>
  <si>
    <t>PLACA INDICADORA 1619</t>
  </si>
  <si>
    <t>2610.998.879-000</t>
  </si>
  <si>
    <t>MARQUILLA 1619</t>
  </si>
  <si>
    <t>2610.999.105-000</t>
  </si>
  <si>
    <t>CARCASA DREMEL 395 RX 2610925248000</t>
  </si>
  <si>
    <t>2610.999.112-000</t>
  </si>
  <si>
    <t>UNID. DE MANDO DREMEL 395</t>
  </si>
  <si>
    <t>2610.A01.267-000</t>
  </si>
  <si>
    <t>2610.A02.324-000</t>
  </si>
  <si>
    <t>TORNILLO 1K68</t>
  </si>
  <si>
    <t>2610.A02.504-000</t>
  </si>
  <si>
    <t>2610.A02.507-000</t>
  </si>
  <si>
    <t>2610.A02.546-000</t>
  </si>
  <si>
    <t>ARANDELA 1K68</t>
  </si>
  <si>
    <t>2610.A02.549-000</t>
  </si>
  <si>
    <t>2610.A02.550-000</t>
  </si>
  <si>
    <t>PASADOR ELASTICO 1K68</t>
  </si>
  <si>
    <t>2610.A03.338-000</t>
  </si>
  <si>
    <t>BRIDA DE CONTACTO 1K68</t>
  </si>
  <si>
    <t>2610.A03.339-000</t>
  </si>
  <si>
    <t>2610.A03.364-000</t>
  </si>
  <si>
    <t>Compensador</t>
  </si>
  <si>
    <t>2610.A03.366-000</t>
  </si>
  <si>
    <t>Objetivo</t>
  </si>
  <si>
    <t>2610.A03.367-000</t>
  </si>
  <si>
    <t>2610.A03.368-000</t>
  </si>
  <si>
    <t>2610.A03.369-000</t>
  </si>
  <si>
    <t>2610.A03.370-000</t>
  </si>
  <si>
    <t>2610.A03.377-000</t>
  </si>
  <si>
    <t>Corredera</t>
  </si>
  <si>
    <t>2610.A03.379-000</t>
  </si>
  <si>
    <t>LECTOR 1K68</t>
  </si>
  <si>
    <t>2610.A03.380-000</t>
  </si>
  <si>
    <t>2610.A03.381-000</t>
  </si>
  <si>
    <t>2610.A03.382-000</t>
  </si>
  <si>
    <t>2610.A03.383-000</t>
  </si>
  <si>
    <t>Tubo</t>
  </si>
  <si>
    <t>2610.A03.384-000</t>
  </si>
  <si>
    <t>2610.A03.385-000</t>
  </si>
  <si>
    <t>DISPOSITIVO DE ENFOQUE 1K68</t>
  </si>
  <si>
    <t>2610.A03.389-000</t>
  </si>
  <si>
    <t>2610.A03.392-000</t>
  </si>
  <si>
    <t>Pieza De Distancia</t>
  </si>
  <si>
    <t>2610.A03.394-000</t>
  </si>
  <si>
    <t>CAPERUZA 1K68</t>
  </si>
  <si>
    <t>2610.A03.397-000</t>
  </si>
  <si>
    <t>VASTAGO 1K68</t>
  </si>
  <si>
    <t>2610.A03.398-000</t>
  </si>
  <si>
    <t>CAJA DE ENGRANAJES 1K68</t>
  </si>
  <si>
    <t>2610.A03.399-000</t>
  </si>
  <si>
    <t>JUNTA 1K68</t>
  </si>
  <si>
    <t>2610.A03.400-000</t>
  </si>
  <si>
    <t>ESPIGA 1K68</t>
  </si>
  <si>
    <t>2610.A03.401-000</t>
  </si>
  <si>
    <t>JUNTA TORICA 1K68</t>
  </si>
  <si>
    <t>2610.A03.402-000</t>
  </si>
  <si>
    <t>ANILLO DE TOPE 1K68</t>
  </si>
  <si>
    <t>2610.A03.403-000</t>
  </si>
  <si>
    <t>BOTON DE AJUSTE 1K68</t>
  </si>
  <si>
    <t>2610.A03.404-000</t>
  </si>
  <si>
    <t>2610.A03.405-000</t>
  </si>
  <si>
    <t>2610.A05.614-000</t>
  </si>
  <si>
    <t>2610.A05.622-000</t>
  </si>
  <si>
    <t>EMBOLO 1K68</t>
  </si>
  <si>
    <t>2610.A05.628-000</t>
  </si>
  <si>
    <t>2610.A05.629-000</t>
  </si>
  <si>
    <t>Anillo de apoio</t>
  </si>
  <si>
    <t>2610.A05.630-000</t>
  </si>
  <si>
    <t>2610.A05.631-000</t>
  </si>
  <si>
    <t>2610.A05.649-000</t>
  </si>
  <si>
    <t>Brida de contacto</t>
  </si>
  <si>
    <t>2610.A05.652-000</t>
  </si>
  <si>
    <t>2610.A05.653-000</t>
  </si>
  <si>
    <t>2610.A05.661-000</t>
  </si>
  <si>
    <t>2610.A05.662-000</t>
  </si>
  <si>
    <t>2610.A05.664-000</t>
  </si>
  <si>
    <t>HUSILLO 1K68</t>
  </si>
  <si>
    <t>2610.A05.665-000</t>
  </si>
  <si>
    <t>2610.A05.666-000</t>
  </si>
  <si>
    <t>2610.A05.667-000</t>
  </si>
  <si>
    <t>ENGRANAJE 1K68</t>
  </si>
  <si>
    <t>2610.A05.669-000</t>
  </si>
  <si>
    <t>2610.A05.671-000</t>
  </si>
  <si>
    <t>2610.A05.673-000</t>
  </si>
  <si>
    <t>Disco Graduado</t>
  </si>
  <si>
    <t>2610.A05.675-000</t>
  </si>
  <si>
    <t>2610.A05.677-000</t>
  </si>
  <si>
    <t>2610.A05.679-000</t>
  </si>
  <si>
    <t>2610.A05.680-000</t>
  </si>
  <si>
    <t>2610.A05.681-000</t>
  </si>
  <si>
    <t>PIEZA DE DISTANCIA 1K68</t>
  </si>
  <si>
    <t>2610.A05.682-000</t>
  </si>
  <si>
    <t>2610.A05.683-000</t>
  </si>
  <si>
    <t>PORTACONTACTOS 1K68</t>
  </si>
  <si>
    <t>2610.A05.684-000</t>
  </si>
  <si>
    <t>2610.A05.685-000</t>
  </si>
  <si>
    <t>CASQUILLO 1K68</t>
  </si>
  <si>
    <t>2610.A05.686-000</t>
  </si>
  <si>
    <t>2610.A05.689-000</t>
  </si>
  <si>
    <t>2610.A05.691-000</t>
  </si>
  <si>
    <t>2610.A05.692-000</t>
  </si>
  <si>
    <t>BOLA 1K68</t>
  </si>
  <si>
    <t>2610.A05.693-000</t>
  </si>
  <si>
    <t>asiento de bolas</t>
  </si>
  <si>
    <t>2610.A05.694-000</t>
  </si>
  <si>
    <t>2610.A05.697-000</t>
  </si>
  <si>
    <t>2610.A05.702-000</t>
  </si>
  <si>
    <t>TORNILLO DE REGULACIÓN 1K68</t>
  </si>
  <si>
    <t>2610.A05.712-000</t>
  </si>
  <si>
    <t>2610.A05.718-000</t>
  </si>
  <si>
    <t>NIVEL DE BURBUJA 1K68</t>
  </si>
  <si>
    <t>2610.A05.723-000</t>
  </si>
  <si>
    <t>ESCUADRA DE FIJACION 1K68</t>
  </si>
  <si>
    <t>2610.A05.724-000</t>
  </si>
  <si>
    <t>VARILLA ROSCADA 1K68</t>
  </si>
  <si>
    <t>2610.A05.726-000</t>
  </si>
  <si>
    <t>2610.A05.731-000</t>
  </si>
  <si>
    <t>junta</t>
  </si>
  <si>
    <t>2610.A05.734-000</t>
  </si>
  <si>
    <t>2610.A05.744-000</t>
  </si>
  <si>
    <t>2610.A05.748-000</t>
  </si>
  <si>
    <t>Perno De Articulacion</t>
  </si>
  <si>
    <t>2610.A05.751-000</t>
  </si>
  <si>
    <t>SEGURO DE TRANSPORTE 1K68</t>
  </si>
  <si>
    <t>2610.A05.758-000</t>
  </si>
  <si>
    <t>2610.A05.772-000</t>
  </si>
  <si>
    <t>OCULAR 1K68</t>
  </si>
  <si>
    <t>2610.A09.014-000</t>
  </si>
  <si>
    <t>ES     BASE DEL TRIPODE</t>
  </si>
  <si>
    <t>2610.A09.044-000</t>
  </si>
  <si>
    <t>2610.A09.286-000</t>
  </si>
  <si>
    <t>2610.A09.293-000</t>
  </si>
  <si>
    <t>CORREA PORTADORA</t>
  </si>
  <si>
    <t>2610.A09.314-000</t>
  </si>
  <si>
    <t>2610.A09.316-000</t>
  </si>
  <si>
    <t>2610.A09.381-000</t>
  </si>
  <si>
    <t>2610.A09.402-000</t>
  </si>
  <si>
    <t>MANIVELA OSCILANTE</t>
  </si>
  <si>
    <t>2610.A09.492-000</t>
  </si>
  <si>
    <t>2610.A11.682-000</t>
  </si>
  <si>
    <t>CUBIERTA PROTECTORA 1K68</t>
  </si>
  <si>
    <t>2610.A11.683-000</t>
  </si>
  <si>
    <t>CUBIERTA 1K68</t>
  </si>
  <si>
    <t>2610.A11.684-000</t>
  </si>
  <si>
    <t>ANILLO DE TAPA 1K68</t>
  </si>
  <si>
    <t>2610.A11.685-000</t>
  </si>
  <si>
    <t>TAPA DEL CUERPO 1K68</t>
  </si>
  <si>
    <t>2610.A11.687-000</t>
  </si>
  <si>
    <t>Placa De Cubierta</t>
  </si>
  <si>
    <t>2610.A11.904-000</t>
  </si>
  <si>
    <t>2610.A11.966-000</t>
  </si>
  <si>
    <t>2610.A12.224-000</t>
  </si>
  <si>
    <t>CASQUILLO PORTABOLAS GRL 250 HV</t>
  </si>
  <si>
    <t>2610.A12.237-000</t>
  </si>
  <si>
    <t>CARCASA DEL MOTOR GRL 250 HV</t>
  </si>
  <si>
    <t>2610.A12.269-000</t>
  </si>
  <si>
    <t>ARANDELA ESPECIAL GRL 250 HV</t>
  </si>
  <si>
    <t>2610.A12.272-000</t>
  </si>
  <si>
    <t>TORNILLO CILÍNDRICA HEX GRL 250 HV</t>
  </si>
  <si>
    <t>2610.A12.275-000</t>
  </si>
  <si>
    <t>2610.A12.283-000</t>
  </si>
  <si>
    <t>MUELLE DE TRACCION GRL 250 HV</t>
  </si>
  <si>
    <t>2610.A12.284-000</t>
  </si>
  <si>
    <t>2610.A12.298-000</t>
  </si>
  <si>
    <t>MONTANTE DEL OBJETIVO</t>
  </si>
  <si>
    <t>2610.A12.301-000</t>
  </si>
  <si>
    <t>TORNILLO AUTORROSCANTE GRL 250 HV</t>
  </si>
  <si>
    <t>2610.A12.309-000</t>
  </si>
  <si>
    <t>MANGO GRL 250 HV</t>
  </si>
  <si>
    <t>2610.A12.310-000</t>
  </si>
  <si>
    <t>PERNO ROSCADO GRL 250 HV</t>
  </si>
  <si>
    <t>2610.A12.311-000</t>
  </si>
  <si>
    <t>JAULA GRL 250 HV</t>
  </si>
  <si>
    <t>2610.A12.327-000</t>
  </si>
  <si>
    <t>CAJA DE BATERIAS 1015 RA 1609203X16</t>
  </si>
  <si>
    <t>2610.A12.340-000</t>
  </si>
  <si>
    <t>MONTAJE GRL 250 HV</t>
  </si>
  <si>
    <t>2610.A12.348-000</t>
  </si>
  <si>
    <t>2610.A12.359-000</t>
  </si>
  <si>
    <t>PLACA FLEX CIRC IMPRESO GRL 250 HV</t>
  </si>
  <si>
    <t>2610.A12.362-000</t>
  </si>
  <si>
    <t>2610.A12.459-000</t>
  </si>
  <si>
    <t>2610.A12.460-000</t>
  </si>
  <si>
    <t>2610.A12.461-000</t>
  </si>
  <si>
    <t>2610.A12.464-000</t>
  </si>
  <si>
    <t>2610.A12.957-000</t>
  </si>
  <si>
    <t>CARCASA GRL 250 HV</t>
  </si>
  <si>
    <t>2610.A12.991-000</t>
  </si>
  <si>
    <t>TELESCOPIO GOL 26 D 1K68</t>
  </si>
  <si>
    <t>2610.A13.065-000</t>
  </si>
  <si>
    <t>2610.A13.249-000</t>
  </si>
  <si>
    <t>ENSAMBLE MOTOR-ENGRANAJE GRL 250 HV</t>
  </si>
  <si>
    <t>2610.A13.397-000</t>
  </si>
  <si>
    <t>INTERRUPT. FIN DE CARRERA GRL 250 HV</t>
  </si>
  <si>
    <t>2610.A13.399-000</t>
  </si>
  <si>
    <t>2610.A13.403-000</t>
  </si>
  <si>
    <t>TECLADO GRL 250 HV</t>
  </si>
  <si>
    <t>2610.A13.404-000</t>
  </si>
  <si>
    <t>2610.A14.394-000</t>
  </si>
  <si>
    <t>RESORTE DE FRENO GRL 250 HV</t>
  </si>
  <si>
    <t>2610.A14.450-000</t>
  </si>
  <si>
    <t>CARCACA</t>
  </si>
  <si>
    <t>2610.A14.492-000</t>
  </si>
  <si>
    <t>Head</t>
  </si>
  <si>
    <t>2610.A14.493-000</t>
  </si>
  <si>
    <t>2610.A14.606-000</t>
  </si>
  <si>
    <t>2610.A14.607-000</t>
  </si>
  <si>
    <t>2610.A14.608-000</t>
  </si>
  <si>
    <t>Swing Clamp</t>
  </si>
  <si>
    <t>2610.A14.609-000</t>
  </si>
  <si>
    <t>Bolt</t>
  </si>
  <si>
    <t>2610.A14.624-000</t>
  </si>
  <si>
    <t>FARO GIRATORIO GRL 250 HV</t>
  </si>
  <si>
    <t>2610.A15.780-000</t>
  </si>
  <si>
    <t>MÓDULO LÁSER GRL 250 HV</t>
  </si>
  <si>
    <t>2610.A15.789-000</t>
  </si>
  <si>
    <t>Casquillo Portabolas</t>
  </si>
  <si>
    <t>2610.Z00.172-000</t>
  </si>
  <si>
    <t>TRABA DE EJE 9004</t>
  </si>
  <si>
    <t>2610.Z00.173-000</t>
  </si>
  <si>
    <t>CAJA DE ENGRANAJES 9004</t>
  </si>
  <si>
    <t>2610.Z00.174-000</t>
  </si>
  <si>
    <t>PIÑON 9004</t>
  </si>
  <si>
    <t>2610.Z00.175-000</t>
  </si>
  <si>
    <t>CORONA 9004</t>
  </si>
  <si>
    <t>2610.Z00.176-000</t>
  </si>
  <si>
    <t>HUSILLO AMOLADOR 9004</t>
  </si>
  <si>
    <t>2610.Z00.177-000</t>
  </si>
  <si>
    <t>RODAMIENTO 6201Z 9002</t>
  </si>
  <si>
    <t>2610.Z00.178-000</t>
  </si>
  <si>
    <t>BRIDA DE COJINETE 9004</t>
  </si>
  <si>
    <t>2610.Z00.179-000</t>
  </si>
  <si>
    <t>PORTA CARBONES 9004</t>
  </si>
  <si>
    <t>2610.Z00.181-000</t>
  </si>
  <si>
    <t>INTERRUPTOR 9002/9004</t>
  </si>
  <si>
    <t>2610.Z00.184-000</t>
  </si>
  <si>
    <t>OJETE PROTECTOR 9002</t>
  </si>
  <si>
    <t>2610.Z00.185-000</t>
  </si>
  <si>
    <t>PRENSA CABLE 9004</t>
  </si>
  <si>
    <t>2610.Z00.188-000</t>
  </si>
  <si>
    <t>TORNILLO AUTORROSCANTE 9051</t>
  </si>
  <si>
    <t>2610.Z00.626-000</t>
  </si>
  <si>
    <t>GRUPO HUSILLO 9455</t>
  </si>
  <si>
    <t>2610.Z00.627-000</t>
  </si>
  <si>
    <t>2610.Z00.628-000</t>
  </si>
  <si>
    <t>CARCASA DEL MOTOR 9455</t>
  </si>
  <si>
    <t>2610.Z00.630-000</t>
  </si>
  <si>
    <t>SUJETADOR DE CABLE 9455</t>
  </si>
  <si>
    <t>2610.Z00.634-000</t>
  </si>
  <si>
    <t>PORTAESCOBILLAS 9455</t>
  </si>
  <si>
    <t>2610.Z00.639-000</t>
  </si>
  <si>
    <t>2610.Z00.640-000</t>
  </si>
  <si>
    <t>OJETE PROTECTOR 9455</t>
  </si>
  <si>
    <t>2610.Z01.066-000</t>
  </si>
  <si>
    <t>JUEGO DE PIEZA INT. 1760 RA 2610393210</t>
  </si>
  <si>
    <t>2610.Z02.475-000</t>
  </si>
  <si>
    <t>EJE CON ENGRANAJE 4900</t>
  </si>
  <si>
    <t>2610.Z03.711-000</t>
  </si>
  <si>
    <t>2610.Z03.713-000</t>
  </si>
  <si>
    <t>2610.Z03.714-000</t>
  </si>
  <si>
    <t>2610.Z03.715-000</t>
  </si>
  <si>
    <t>OJETE PROTECTOR MS20</t>
  </si>
  <si>
    <t>2610.Z03.716-000</t>
  </si>
  <si>
    <t>2610.Z03.717-000</t>
  </si>
  <si>
    <t>Elemento De Cancamo</t>
  </si>
  <si>
    <t>2610.Z03.718-000</t>
  </si>
  <si>
    <t>2610.Z03.719-000</t>
  </si>
  <si>
    <t>Carcasa Superior</t>
  </si>
  <si>
    <t>2610.Z03.720-000</t>
  </si>
  <si>
    <t>Sistema de guía</t>
  </si>
  <si>
    <t>2610.Z03.721-000</t>
  </si>
  <si>
    <t>2610.Z03.722-000</t>
  </si>
  <si>
    <t>2610.Z03.723-000</t>
  </si>
  <si>
    <t>2610.Z03.724-000</t>
  </si>
  <si>
    <t>Mesa</t>
  </si>
  <si>
    <t>2610.Z03.725-000</t>
  </si>
  <si>
    <t>2610.Z04.038-000</t>
  </si>
  <si>
    <t>2610.Z04.595-000</t>
  </si>
  <si>
    <t>2610.Z04.596-000</t>
  </si>
  <si>
    <t>2610.Z05.061-000</t>
  </si>
  <si>
    <t>2610.Z07.220-000</t>
  </si>
  <si>
    <t>ESCOBILLA DE CARBON 1EA8.0 RA160432117B</t>
  </si>
  <si>
    <t>2610.Z09.804-000</t>
  </si>
  <si>
    <t>2610.Z09.805-000</t>
  </si>
  <si>
    <t>2610.Z09.806-000</t>
  </si>
  <si>
    <t>2610.Z09.807-000</t>
  </si>
  <si>
    <t>Grupo motor</t>
  </si>
  <si>
    <t>2610.Z09.808-000</t>
  </si>
  <si>
    <t>ELEMENTO DE SUJECION</t>
  </si>
  <si>
    <t>2610.Z09.809-000</t>
  </si>
  <si>
    <t>2610.Z09.810-000</t>
  </si>
  <si>
    <t>cable p.energía eléctr.</t>
  </si>
  <si>
    <t>2615.067.0AA-000</t>
  </si>
  <si>
    <t>DMINI SIERRA CIRCULAR 1/4" RX 26150670AC</t>
  </si>
  <si>
    <t>2615.110.480-000</t>
  </si>
  <si>
    <t>Manguito Roscado</t>
  </si>
  <si>
    <t>2615.294.028-000</t>
  </si>
  <si>
    <t>ANILLO DE RET. RX 2610925247000</t>
  </si>
  <si>
    <t>2615.294.035-000</t>
  </si>
  <si>
    <t>TORNILLO RANURA CRUCIF. 9050</t>
  </si>
  <si>
    <t>2615.294.043-000</t>
  </si>
  <si>
    <t>SUJETADOR HERRAMIENTA 398</t>
  </si>
  <si>
    <t>2615.294.178-000</t>
  </si>
  <si>
    <t>TUERCA ADAPTADORA 395 RX 2.610.916.116</t>
  </si>
  <si>
    <t>2615.294.309-000</t>
  </si>
  <si>
    <t>CONECTOR ESTRIADO DREMEL 396</t>
  </si>
  <si>
    <t>2615.294.888-000</t>
  </si>
  <si>
    <t>INTERRUP.DREMEL 395</t>
  </si>
  <si>
    <t>2615.295.093-000</t>
  </si>
  <si>
    <t>2615.296.243-000</t>
  </si>
  <si>
    <t>2615.296.765-000</t>
  </si>
  <si>
    <t>2615.297.061-000</t>
  </si>
  <si>
    <t>INDUCIDO DREMEL 395 RX2610941201</t>
  </si>
  <si>
    <t>2615.297.323-000</t>
  </si>
  <si>
    <t>2615.297.329-000</t>
  </si>
  <si>
    <t>2615.297.355-000</t>
  </si>
  <si>
    <t>TUERCA DREMEL RX 2610014582</t>
  </si>
  <si>
    <t>2615.297.356-000</t>
  </si>
  <si>
    <t>JGO. DE PIEZAS DREMEL 395</t>
  </si>
  <si>
    <t>2615.297.373-000</t>
  </si>
  <si>
    <t>Aislador</t>
  </si>
  <si>
    <t>2615.298.786-000</t>
  </si>
  <si>
    <t>INTERRUPTOR DREMEL 395 RA 294888</t>
  </si>
  <si>
    <t>2615.302.217-000</t>
  </si>
  <si>
    <t>TAPA CARBONES DREMEL 395</t>
  </si>
  <si>
    <t>2615.302.505-000</t>
  </si>
  <si>
    <t>GOMA DREMEL 4000</t>
  </si>
  <si>
    <t>2615.302.530-000</t>
  </si>
  <si>
    <t>PORTAESCOBILLAS 398</t>
  </si>
  <si>
    <t>2615.302.548-000</t>
  </si>
  <si>
    <t>OJETE PROTECTOR DREMEL 398/4000</t>
  </si>
  <si>
    <t>2615.302.683-000</t>
  </si>
  <si>
    <t>CONDENSADOR DREMEL 395/300/3000</t>
  </si>
  <si>
    <t>2615.302.747-000</t>
  </si>
  <si>
    <t>2615.302.807-000</t>
  </si>
  <si>
    <t>PERNO 398</t>
  </si>
  <si>
    <t>2615.303.020-000</t>
  </si>
  <si>
    <t>JUNTA 1B21.0</t>
  </si>
  <si>
    <t>2615.303.029-000</t>
  </si>
  <si>
    <t>2615.448.632-000</t>
  </si>
  <si>
    <t>MANDRIL UNIVERSAL  S/R</t>
  </si>
  <si>
    <t>2615.650.007-000</t>
  </si>
  <si>
    <t>SUJETADOR DE CABLE 12A2.0</t>
  </si>
  <si>
    <t>2631.163.851-000</t>
  </si>
  <si>
    <t>2910.011.082-000</t>
  </si>
  <si>
    <t>TORNILLO DIN 84-AM3,5X6-5.8 1C37.0</t>
  </si>
  <si>
    <t>2910.011.088-000</t>
  </si>
  <si>
    <t>TORNILLO DIN 84-AM3,5X12-5.8 1C16.8</t>
  </si>
  <si>
    <t>2910.011.125-000</t>
  </si>
  <si>
    <t>TORNILLO 3270 - DISCONTINUADOS</t>
  </si>
  <si>
    <t>2910.011.128-000</t>
  </si>
  <si>
    <t>TORNILLO DIN 84-AM4X18-5.8 1575.1</t>
  </si>
  <si>
    <t>2910.011.157-000</t>
  </si>
  <si>
    <t>TORNILLO 1321/2/31/2 - DISCONTINUADO</t>
  </si>
  <si>
    <t>2910.011.162-000</t>
  </si>
  <si>
    <t>2910.011.170-000</t>
  </si>
  <si>
    <t>TORNILLO CAB. CILINDR. DIN 84-BM5X40-5.8</t>
  </si>
  <si>
    <t>2910.020.120-000</t>
  </si>
  <si>
    <t>TORNILLO OBSOLETO</t>
  </si>
  <si>
    <t>2910.021.116-000</t>
  </si>
  <si>
    <t>TORNILLO 1361-2.0</t>
  </si>
  <si>
    <t>2910.021.118-000</t>
  </si>
  <si>
    <t>TORNILLO. DIN 84-AM4X8-8.8 1575.1</t>
  </si>
  <si>
    <t>2910.021.120-000</t>
  </si>
  <si>
    <t>TORNILLO 1105/1261</t>
  </si>
  <si>
    <t>2910.021.122-000</t>
  </si>
  <si>
    <t>TORNILLO 1321-22-31-32/3229</t>
  </si>
  <si>
    <t>2910.021.125-000</t>
  </si>
  <si>
    <t>TORNILLO 1270</t>
  </si>
  <si>
    <t>2910.021.126-000</t>
  </si>
  <si>
    <t>TORNILLO  1509/1281.769</t>
  </si>
  <si>
    <t>2910.021.132-000</t>
  </si>
  <si>
    <t>TORNILLO DIN 84-AM4X25-8.8 1575.1</t>
  </si>
  <si>
    <t>2910.021.154-000</t>
  </si>
  <si>
    <t>TORNILLO 3254/1286/1288</t>
  </si>
  <si>
    <t>2910.091.118-000</t>
  </si>
  <si>
    <t>TORNILLO DE CABEZA CIL. DIN 85-AM4X8-4.8</t>
  </si>
  <si>
    <t>2910.110.048-000</t>
  </si>
  <si>
    <t>Tornillo De Cabeza Cil.</t>
  </si>
  <si>
    <t>2910.110.120-000</t>
  </si>
  <si>
    <t>TORNILLO DE CABEZA CIL. 2305</t>
  </si>
  <si>
    <t>2910.130.244-000</t>
  </si>
  <si>
    <t>TORNILLO CILÍNDRICA RX 1600A015G7</t>
  </si>
  <si>
    <t>2910.131.197-000</t>
  </si>
  <si>
    <t>TORNILLO CILINDRICA  HEX 7461</t>
  </si>
  <si>
    <t>2910.141.047-000</t>
  </si>
  <si>
    <t>TORNILLO HEXAGONAL 7661 RX 3603400004000</t>
  </si>
  <si>
    <t>2910.141.126-000</t>
  </si>
  <si>
    <t>TORNILLO DISCONTINUADO</t>
  </si>
  <si>
    <t>2910.141.158-000</t>
  </si>
  <si>
    <t>TORN HEX DIN 912-M5X16-8.8 1245.7</t>
  </si>
  <si>
    <t>2910.141.162-000</t>
  </si>
  <si>
    <t>TORNILLO CILINDRICA  HEX 2305</t>
  </si>
  <si>
    <t>2910.141.168-000</t>
  </si>
  <si>
    <t>2910.141.197-000</t>
  </si>
  <si>
    <t>2910.141.199-000</t>
  </si>
  <si>
    <t>TORNILLO 11305</t>
  </si>
  <si>
    <t>2910.141.201-000</t>
  </si>
  <si>
    <t>TORNILLO HEXAGONAL 11309/1130A</t>
  </si>
  <si>
    <t>2910.141.203-000</t>
  </si>
  <si>
    <t>2910.141.218-000</t>
  </si>
  <si>
    <t>TORNILLO 0810</t>
  </si>
  <si>
    <t>2910.141.238-000</t>
  </si>
  <si>
    <t>TORNILLO 3237</t>
  </si>
  <si>
    <t>2910.141.242-000</t>
  </si>
  <si>
    <t>TORNILLO HEXAGONAL 1130A</t>
  </si>
  <si>
    <t>2910.141.244-000</t>
  </si>
  <si>
    <t>2910.141.248-000</t>
  </si>
  <si>
    <t>TORNILLO HEXAGONAL 11304/1130A</t>
  </si>
  <si>
    <t>2910.141.356-000</t>
  </si>
  <si>
    <t>TORNILLO CILÍNDRICA  HEX 1130A</t>
  </si>
  <si>
    <t>2910.151.246-000</t>
  </si>
  <si>
    <t>TORNILLO DIN 912-M8X30-10.9 1C16.8</t>
  </si>
  <si>
    <t>2910.151.356-000</t>
  </si>
  <si>
    <t>TORN.HEXAGONAL 11304  RA141356 - DISCONT</t>
  </si>
  <si>
    <t>2910.211.005-000</t>
  </si>
  <si>
    <t>2910.211.006-000</t>
  </si>
  <si>
    <t>2910.211.007-000</t>
  </si>
  <si>
    <t>TORNILLO DIN 7971-BZ2,9X16 1575.1</t>
  </si>
  <si>
    <t>2910.211.018-000</t>
  </si>
  <si>
    <t>TORNILLO 1120/1215.0/7</t>
  </si>
  <si>
    <t>2910.211.019-000</t>
  </si>
  <si>
    <t>TORNILLO DE ROSCA</t>
  </si>
  <si>
    <t>2910.211.020-000</t>
  </si>
  <si>
    <t>TORNILLO AUTORROSCANTE 2240/42 2331</t>
  </si>
  <si>
    <t>2910.211.025-000</t>
  </si>
  <si>
    <t>TORNILLO AUTORROSCANTE DIN 7971-BZ4,2X13</t>
  </si>
  <si>
    <t>2910.211.093-000</t>
  </si>
  <si>
    <t>2910.211.205-000</t>
  </si>
  <si>
    <t>TORNILLO 1215078 OBSOLETO</t>
  </si>
  <si>
    <t>2910.211.207-000</t>
  </si>
  <si>
    <t>TORNILLO1106.0-07.53147.1 RX 2910211007</t>
  </si>
  <si>
    <t>2910.211.217-000</t>
  </si>
  <si>
    <t>2910.211.218-000</t>
  </si>
  <si>
    <t>TORNILLO AUTORROSCANTE 1H31</t>
  </si>
  <si>
    <t>2910.211.219-000</t>
  </si>
  <si>
    <t>TORN 1106-7.5-71-1.7-21-84 RX 019</t>
  </si>
  <si>
    <t>2910.211.236-000</t>
  </si>
  <si>
    <t>TORNILLO 11214-309</t>
  </si>
  <si>
    <t>2910.281.203-000</t>
  </si>
  <si>
    <t>Tornillo Aplastado</t>
  </si>
  <si>
    <t>2910.281.205-000</t>
  </si>
  <si>
    <t>2910.281.209-000</t>
  </si>
  <si>
    <t>2910.285.226-000</t>
  </si>
  <si>
    <t>TORNILLO 3298</t>
  </si>
  <si>
    <t>2910.401.118-000</t>
  </si>
  <si>
    <t>2910.401.289-000</t>
  </si>
  <si>
    <t>2910.405.154-000</t>
  </si>
  <si>
    <t>TORNILLO 3281</t>
  </si>
  <si>
    <t>2910.501.130-000</t>
  </si>
  <si>
    <t>TORNILLO AVELLANADO 2305</t>
  </si>
  <si>
    <t>2910.501.152-000</t>
  </si>
  <si>
    <t>PERNO OBSOLETO</t>
  </si>
  <si>
    <t>2910.541.050-000</t>
  </si>
  <si>
    <t>TORNILLO AVELLANADO DIN 7991 M3X8-8.8</t>
  </si>
  <si>
    <t>2910.601.105-000</t>
  </si>
  <si>
    <t>2910.601.118-000</t>
  </si>
  <si>
    <t>2910.601.325-000</t>
  </si>
  <si>
    <t>2910.611.002-000</t>
  </si>
  <si>
    <t>2910.611.005-000</t>
  </si>
  <si>
    <t>TORNILLO 160A/1H31</t>
  </si>
  <si>
    <t>2910.611.006-000</t>
  </si>
  <si>
    <t>2910.611.007-000</t>
  </si>
  <si>
    <t>TORNILLO 3167-8</t>
  </si>
  <si>
    <t>2910.611.012-000</t>
  </si>
  <si>
    <t>TORNILLO  DIN 7981-ST3,5X16-C-H 1C16.8</t>
  </si>
  <si>
    <t>2910.611.015-000</t>
  </si>
  <si>
    <t>TORNILLO 1988</t>
  </si>
  <si>
    <t>2910.611.018-000</t>
  </si>
  <si>
    <t>TORNILLO 1509/1281.769</t>
  </si>
  <si>
    <t>2910.611.019-000</t>
  </si>
  <si>
    <t>TORN AUTOROSC 1509/1281.769/11269</t>
  </si>
  <si>
    <t>2910.611.020-000</t>
  </si>
  <si>
    <t>TORNILLO AUTORROS.ST3,9X19-C-H</t>
  </si>
  <si>
    <t>2910.611.022-000</t>
  </si>
  <si>
    <t>TORNILLO  GWS 670 RX 2603490024</t>
  </si>
  <si>
    <t>2910.611.093-000</t>
  </si>
  <si>
    <t>2910.615.407-000</t>
  </si>
  <si>
    <t>TORNILLO AUTORROSCANTE 194C.7</t>
  </si>
  <si>
    <t>2910.641.054-000</t>
  </si>
  <si>
    <t>2910.641.081-000</t>
  </si>
  <si>
    <t>TORNILLO DIN7985 1C94 RX 2910110048</t>
  </si>
  <si>
    <t>2910.641.122-000</t>
  </si>
  <si>
    <t>TORNILLO CABEZA BOM. DIN 7985-M4X12</t>
  </si>
  <si>
    <t>2910.648.880-000</t>
  </si>
  <si>
    <t>2910.771.118-000</t>
  </si>
  <si>
    <t>2910.871.122-000</t>
  </si>
  <si>
    <t>TORNILLO 1619</t>
  </si>
  <si>
    <t>2910.951.118-000</t>
  </si>
  <si>
    <t>2911.011.270-000</t>
  </si>
  <si>
    <t>Tornillo Cabeza Hex</t>
  </si>
  <si>
    <t>2911.011.363-000</t>
  </si>
  <si>
    <t>TORNILLO HEXAGONAL  RX2914550033</t>
  </si>
  <si>
    <t>2911.021.267-000</t>
  </si>
  <si>
    <t>TORNILLO CABEZA HEX</t>
  </si>
  <si>
    <t>2911.061.180-000</t>
  </si>
  <si>
    <t>TORNILLO HEXAGONAL 3272 DISCONTINUADO</t>
  </si>
  <si>
    <t>2912.031.193-000</t>
  </si>
  <si>
    <t>ESPIGA ROSCADA</t>
  </si>
  <si>
    <t>2912.041.114-000</t>
  </si>
  <si>
    <t>PARAFUSO SEM CABECA</t>
  </si>
  <si>
    <t>2912.041.147-000</t>
  </si>
  <si>
    <t>VARILLA ROSCADA 7452</t>
  </si>
  <si>
    <t>2912.081.116-000</t>
  </si>
  <si>
    <t>VARILLA ROSCADA\DIN 915-M4X6-45H  2334.1</t>
  </si>
  <si>
    <t>2912.401.005-000</t>
  </si>
  <si>
    <t>TORNILLO 1805/1821/1389</t>
  </si>
  <si>
    <t>2912.401.007-000</t>
  </si>
  <si>
    <t>TORNILLO 11900</t>
  </si>
  <si>
    <t>2912.401.018-000</t>
  </si>
  <si>
    <t>TORNILLO 1821/11321/11264/11337/11269</t>
  </si>
  <si>
    <t>2912.401.019-000</t>
  </si>
  <si>
    <t>TORNILLO 1356/57/61/62</t>
  </si>
  <si>
    <t>2912.401.020-000</t>
  </si>
  <si>
    <t>TORNILLO AUTORROSCANTE DIN 7981-3,9X19-C</t>
  </si>
  <si>
    <t>2912.401.038-000</t>
  </si>
  <si>
    <t>TORNILLO AUTORROSCANTE DIN 7981-4,8X38-C</t>
  </si>
  <si>
    <t>2912.401.412-000</t>
  </si>
  <si>
    <t>2912.401.420-000</t>
  </si>
  <si>
    <t>TORNILLO 1805/1821</t>
  </si>
  <si>
    <t>2912.731.122-000</t>
  </si>
  <si>
    <t>TORNILLO CABEZA CILINDR. M 4X12 1K70.7</t>
  </si>
  <si>
    <t>2912.738.178-000</t>
  </si>
  <si>
    <t>2914.201.468-000</t>
  </si>
  <si>
    <t>TORNILLO ESPECIAL 1949-36 OBSOLETO</t>
  </si>
  <si>
    <t>2914.201.483-000</t>
  </si>
  <si>
    <t>TORNILLO TORX 11258</t>
  </si>
  <si>
    <t>2914.201.503-000</t>
  </si>
  <si>
    <t>2914.201.504-000</t>
  </si>
  <si>
    <t>2914.201.506-000</t>
  </si>
  <si>
    <t>TORNILLO AUTORROSCANTE 1597</t>
  </si>
  <si>
    <t>2914.201.529-000</t>
  </si>
  <si>
    <t>2914.201.703-000</t>
  </si>
  <si>
    <t>TORNILLO DIN 4759 4X12 MM 1FB2.0</t>
  </si>
  <si>
    <t>2914.201.712-000</t>
  </si>
  <si>
    <t>2914.211.528-000</t>
  </si>
  <si>
    <t>2914.451.079-000</t>
  </si>
  <si>
    <t>TORNILLO CON ROSCA CORT.</t>
  </si>
  <si>
    <t>2914.451.080-000</t>
  </si>
  <si>
    <t>Thread-forming tap. Screw</t>
  </si>
  <si>
    <t>2914.461.401-000</t>
  </si>
  <si>
    <t>TORNILLO AUTORROSCANTE RX 1603.435.076</t>
  </si>
  <si>
    <t>2914.461.403-000</t>
  </si>
  <si>
    <t>TORNILLO AUTORROSCANTE 2209</t>
  </si>
  <si>
    <t>2914.491.410-000</t>
  </si>
  <si>
    <t>2914.491.413-000</t>
  </si>
  <si>
    <t>2914.500.009-000</t>
  </si>
  <si>
    <t>2914.501.028-000</t>
  </si>
  <si>
    <t>2914.541.008-000</t>
  </si>
  <si>
    <t>TORN.C/ARAN. DISCONTINUADO</t>
  </si>
  <si>
    <t>2914.550.033-000</t>
  </si>
  <si>
    <t>TORNILLO HEXAGONAL RX 2914550034</t>
  </si>
  <si>
    <t>2914.551.117-000</t>
  </si>
  <si>
    <t>TORNILLO MICROENCAPSULADO DIN 912-M 5X12</t>
  </si>
  <si>
    <t>2914.551.164-000</t>
  </si>
  <si>
    <t>TORNILLO 11263</t>
  </si>
  <si>
    <t>2914.551.176-000</t>
  </si>
  <si>
    <t>TORNILLO RA 2914501028</t>
  </si>
  <si>
    <t>2914.551.188-000</t>
  </si>
  <si>
    <t>TORNILLO MICROENCAPSULADO 1130A</t>
  </si>
  <si>
    <t>2914.551.189-000</t>
  </si>
  <si>
    <t>2914.555.131-000</t>
  </si>
  <si>
    <t>TORNILLO 17/22/23/29/30/2490</t>
  </si>
  <si>
    <t>2915.011.005-000</t>
  </si>
  <si>
    <t>2915.011.007-000</t>
  </si>
  <si>
    <t>TUERCA HEX 1C94.0/GWS 670 RX3603435044</t>
  </si>
  <si>
    <t>2915.011.009-000</t>
  </si>
  <si>
    <t>2915.011.011-000</t>
  </si>
  <si>
    <t>2915.011.038-000</t>
  </si>
  <si>
    <t>2915.050.107-000</t>
  </si>
  <si>
    <t>TUERCA HEX DIN 439-BM8-04</t>
  </si>
  <si>
    <t>2915.051.180-000</t>
  </si>
  <si>
    <t>TUERCA HEXAGONAL 11239.7</t>
  </si>
  <si>
    <t>2915.061.003-000</t>
  </si>
  <si>
    <t>TUERCA HEX DIN 985-M 5-8-A</t>
  </si>
  <si>
    <t>2915.121.006-000</t>
  </si>
  <si>
    <t>TUERCA CUADRADA DIN 562-M6-04</t>
  </si>
  <si>
    <t>2915.191.007-000</t>
  </si>
  <si>
    <t>TUERCA DE MARIPOSA 1753.1</t>
  </si>
  <si>
    <t>2916.011.005-000</t>
  </si>
  <si>
    <t>ARANDELA PLANA 2209/2305 DISCONT.</t>
  </si>
  <si>
    <t>2916.011.006-000</t>
  </si>
  <si>
    <t>ARANDELA125-A3,2-ST 7460.0 7260.1 7561.1</t>
  </si>
  <si>
    <t>2916.011.010-000</t>
  </si>
  <si>
    <t>2916.011.012-000</t>
  </si>
  <si>
    <t>ARANDELA PLANA 7457</t>
  </si>
  <si>
    <t>2916.011.014-000</t>
  </si>
  <si>
    <t>2916.011.015-000</t>
  </si>
  <si>
    <t>ARANDELA 1368</t>
  </si>
  <si>
    <t>2916.011.022-000</t>
  </si>
  <si>
    <t>ARAND.APOYO 1366.6</t>
  </si>
  <si>
    <t>2916.011.111-000</t>
  </si>
  <si>
    <t>Arandela Plana</t>
  </si>
  <si>
    <t>2916.011.892-000</t>
  </si>
  <si>
    <t>RODAMIENTO 1215078/.7/7252.1/1619</t>
  </si>
  <si>
    <t>2916.012.014-000</t>
  </si>
  <si>
    <t>2916.021.013-000</t>
  </si>
  <si>
    <t>ARANDELA PLANA 8-ST</t>
  </si>
  <si>
    <t>2916.031.018-000</t>
  </si>
  <si>
    <t>2916.060.006-000</t>
  </si>
  <si>
    <t>2916.060.007-000</t>
  </si>
  <si>
    <t>ARANDELA ELASTICA 3270.0</t>
  </si>
  <si>
    <t>2916.069.088-000</t>
  </si>
  <si>
    <t>ARANDELA ELASTICA 1EA4.3</t>
  </si>
  <si>
    <t>2916.080.006-000</t>
  </si>
  <si>
    <t>ANILLO 1577/1587 RX 2916080906000</t>
  </si>
  <si>
    <t>2916.080.007-000</t>
  </si>
  <si>
    <t>2916.080.008-000</t>
  </si>
  <si>
    <t>ARANDELA GDC 14-40</t>
  </si>
  <si>
    <t>2916.080.010-000</t>
  </si>
  <si>
    <t>ANILLO 1577/1587/3281 OBSOLETO</t>
  </si>
  <si>
    <t>2916.080.012-000</t>
  </si>
  <si>
    <t>ARAND.SEG. EXACT 12-10-9-8-6-2/0836/1597</t>
  </si>
  <si>
    <t>2916.080.014-000</t>
  </si>
  <si>
    <t>2916.080.906-000</t>
  </si>
  <si>
    <t>ANEL ELASTICO</t>
  </si>
  <si>
    <t>2916.080.907-000</t>
  </si>
  <si>
    <t>ARANDELA DE SEGURIDAD 1516</t>
  </si>
  <si>
    <t>2916.080.908-000</t>
  </si>
  <si>
    <t>ARANDELA DE BLOQUEO</t>
  </si>
  <si>
    <t>2916.080.909-000</t>
  </si>
  <si>
    <t>ARAND.SEGURIDAD 1588.7/1589.0/1598</t>
  </si>
  <si>
    <t>2916.080.910-000</t>
  </si>
  <si>
    <t>ARANDELA DE SEGURIDAD 11239.7</t>
  </si>
  <si>
    <t>2916.080.911-000</t>
  </si>
  <si>
    <t>2916.080.912-000</t>
  </si>
  <si>
    <t>ARANDELA DE BLOQUEO ST</t>
  </si>
  <si>
    <t>2916.082.908-000</t>
  </si>
  <si>
    <t>ARAND.SEGURIDAD 1588.7/1589.0 - DISCONT.</t>
  </si>
  <si>
    <t>2916.089.079-000</t>
  </si>
  <si>
    <t>ARANDELA DE SEGURIDAD 1621</t>
  </si>
  <si>
    <t>2916.120.023-000</t>
  </si>
  <si>
    <t>JUNTA 11230</t>
  </si>
  <si>
    <t>2916.130.004-000</t>
  </si>
  <si>
    <t>ARANDELA 3237</t>
  </si>
  <si>
    <t>2916.130.027-000</t>
  </si>
  <si>
    <t>2916.160.007-000</t>
  </si>
  <si>
    <t>MUELLE BELLEVILLE  11335 RX 1617.000.A4Z</t>
  </si>
  <si>
    <t>2916.160.009-000</t>
  </si>
  <si>
    <t>MUELLE BELLEVILLE DIN 2093-A25X12,2X1,5</t>
  </si>
  <si>
    <t>2916.160.109-000</t>
  </si>
  <si>
    <t>2916.190.004-000</t>
  </si>
  <si>
    <t>AJUSTE DE LAVADORA O CALA</t>
  </si>
  <si>
    <t>2916.190.012-000</t>
  </si>
  <si>
    <t>2916.190.013-000</t>
  </si>
  <si>
    <t>2916.190.108-000</t>
  </si>
  <si>
    <t>2916.190.284-000</t>
  </si>
  <si>
    <t>ARANDELA 11230 OBSOLETO</t>
  </si>
  <si>
    <t>2916.201.003-000</t>
  </si>
  <si>
    <t>2916.280.013-000</t>
  </si>
  <si>
    <t>2916.540.005-000</t>
  </si>
  <si>
    <t>ANILLO ELÁSTICO DIN 7993-A8</t>
  </si>
  <si>
    <t>2916.540.012-000</t>
  </si>
  <si>
    <t>ANILLO ELÁSTICO DIN 7993-A22 12A0</t>
  </si>
  <si>
    <t>2916.540.015-000</t>
  </si>
  <si>
    <t>ANILLO ELÁSTICO DIN 7993-28</t>
  </si>
  <si>
    <t>2916.540.018-000</t>
  </si>
  <si>
    <t>ANILLO ELÁSTICO DIN 7993-A32 1B66.0</t>
  </si>
  <si>
    <t>2916.550.006-000</t>
  </si>
  <si>
    <t>2916.550.011-000</t>
  </si>
  <si>
    <t>ANILLO 11250.7 RX 1614601057</t>
  </si>
  <si>
    <t>2916.600.007-000</t>
  </si>
  <si>
    <t>ANILLO DE MUELLE 1939.8</t>
  </si>
  <si>
    <t>2916.600.013-000</t>
  </si>
  <si>
    <t>2916.600.018-000</t>
  </si>
  <si>
    <t>2916.600.022-000</t>
  </si>
  <si>
    <t>ANILLO ELASTICO 7457</t>
  </si>
  <si>
    <t>2916.609.063-000</t>
  </si>
  <si>
    <t>ANILLO DE MUELLE</t>
  </si>
  <si>
    <t>2916.609.112-000</t>
  </si>
  <si>
    <t>ANILLO ELASTICO EXACT.</t>
  </si>
  <si>
    <t>2916.620.011-000</t>
  </si>
  <si>
    <t>2916.640.001-000</t>
  </si>
  <si>
    <t>2916.640.004-000</t>
  </si>
  <si>
    <t>ANILLO DE SEG. 7360.1 7260.1 7160.5</t>
  </si>
  <si>
    <t>2916.640.901-000</t>
  </si>
  <si>
    <t>2916.640.905-000</t>
  </si>
  <si>
    <t>ANILLO DE SEGURIDAD 158E/158J/158F</t>
  </si>
  <si>
    <t>2916.649.005-000</t>
  </si>
  <si>
    <t>ANILLO DE SEGURIDAD 1297</t>
  </si>
  <si>
    <t>2916.650.001-000</t>
  </si>
  <si>
    <t>ANILLO 1597</t>
  </si>
  <si>
    <t>2916.650.003-000</t>
  </si>
  <si>
    <t>ANILLO DE SEG DIN 471-12X1-FST 1245.7</t>
  </si>
  <si>
    <t>2916.650.006-000</t>
  </si>
  <si>
    <t>2916.650.008-000</t>
  </si>
  <si>
    <t>ANILLO DE SEGURIDAD DIN 471 17X1 MM</t>
  </si>
  <si>
    <t>2916.650.009-000</t>
  </si>
  <si>
    <t>2916.650.011-000</t>
  </si>
  <si>
    <t>2916.650.012-000</t>
  </si>
  <si>
    <t>2916.650.014-000</t>
  </si>
  <si>
    <t>ANILLO DE SEGURIDAD 1507.1/1619</t>
  </si>
  <si>
    <t>2916.650.037-000</t>
  </si>
  <si>
    <t>2916.650.038-000</t>
  </si>
  <si>
    <t>ARANDELA DE APOYO 1548/46</t>
  </si>
  <si>
    <t>2916.650.903-000</t>
  </si>
  <si>
    <t>ANILLO DE SEGURIDAD  1215.7</t>
  </si>
  <si>
    <t>2916.650.905-000</t>
  </si>
  <si>
    <t>2916.659.006-000</t>
  </si>
  <si>
    <t>2916.660.003-000</t>
  </si>
  <si>
    <t>ANILLO EXACT 2/3/6/7/8/14/15/22/23/30</t>
  </si>
  <si>
    <t>2916.660.007-000</t>
  </si>
  <si>
    <t>ANILLO DE SEGURIDAD DIN 472-22X1MM 12457</t>
  </si>
  <si>
    <t>2916.660.008-000</t>
  </si>
  <si>
    <t>2916.660.009-000</t>
  </si>
  <si>
    <t>ANILLO DE SEGURI 1347.1/3278.2</t>
  </si>
  <si>
    <t>2916.660.010-000</t>
  </si>
  <si>
    <t>ANILLO DE SEGURIDAD DIN 472-26X1,2 MM</t>
  </si>
  <si>
    <t>2916.660.011-000</t>
  </si>
  <si>
    <t>ANILLO DE SEGURIDAD 7452/1283</t>
  </si>
  <si>
    <t>2916.660.012-000</t>
  </si>
  <si>
    <t>2916.660.013-000</t>
  </si>
  <si>
    <t>Brazo de seguridad</t>
  </si>
  <si>
    <t>2916.660.014-000</t>
  </si>
  <si>
    <t>ANILLO DE SEGURIDAD DIN 472 35X1,5 MM</t>
  </si>
  <si>
    <t>2916.660.017-000</t>
  </si>
  <si>
    <t>ARO</t>
  </si>
  <si>
    <t>2916.660.019-000</t>
  </si>
  <si>
    <t>ANILLO DIN 472-42X1,75MM 1C38.7</t>
  </si>
  <si>
    <t>2916.660.021-000</t>
  </si>
  <si>
    <t>2916.660.023-000</t>
  </si>
  <si>
    <t>ANILLO DE SEG 11304.1/11241/11264/11269</t>
  </si>
  <si>
    <t>2916.660.024-000</t>
  </si>
  <si>
    <t>ANILLO SEG. 11206 RA 669024 11318/11321</t>
  </si>
  <si>
    <t>2916.660.027-000</t>
  </si>
  <si>
    <t>2916.660.033-000</t>
  </si>
  <si>
    <t>2916.660.040-000</t>
  </si>
  <si>
    <t>ANILLO SEGURIDAD 11245/11266.0.1</t>
  </si>
  <si>
    <t>2916.660.041-000</t>
  </si>
  <si>
    <t>2916.660.042-000</t>
  </si>
  <si>
    <t>2916.669.005-000</t>
  </si>
  <si>
    <t>anillo de seguridad</t>
  </si>
  <si>
    <t>2916.669.024-000</t>
  </si>
  <si>
    <t>ANILLO DE SEGURIDAD 11206</t>
  </si>
  <si>
    <t>2916.680.005-000</t>
  </si>
  <si>
    <t>Arandela Elástica</t>
  </si>
  <si>
    <t>2916.683.006-000</t>
  </si>
  <si>
    <t>CC: ANEL</t>
  </si>
  <si>
    <t>2916.710.636-000</t>
  </si>
  <si>
    <t>JUNTA PLANA 7661</t>
  </si>
  <si>
    <t>2917.030.110-000</t>
  </si>
  <si>
    <t>REMACHE SEMIESFERICO 1274.7</t>
  </si>
  <si>
    <t>2917.030.709-000</t>
  </si>
  <si>
    <t>REMACHE - DISCONTINUADO</t>
  </si>
  <si>
    <t>2917.500.095-000</t>
  </si>
  <si>
    <t>2917.500.157-000</t>
  </si>
  <si>
    <t>PERNO - DISCONTINUADO</t>
  </si>
  <si>
    <t>2917.511.104-000</t>
  </si>
  <si>
    <t>CLAVIJA CILINDRICA 1621</t>
  </si>
  <si>
    <t>2917.530.081-000</t>
  </si>
  <si>
    <t>2917.530.083-000</t>
  </si>
  <si>
    <t>CLAVIJA CILINDRICA 7452</t>
  </si>
  <si>
    <t>2917.530.095-000</t>
  </si>
  <si>
    <t>CLAVIJA CILINDRICA 3335</t>
  </si>
  <si>
    <t>2917.530.101-000</t>
  </si>
  <si>
    <t>2917.530.104-000</t>
  </si>
  <si>
    <t>2917.530.174-000</t>
  </si>
  <si>
    <t>2917.550.088-000</t>
  </si>
  <si>
    <t>CLAVIJA CIL. \ DIN 6325-3M6X32  7360.1</t>
  </si>
  <si>
    <t>2917.550.101-000</t>
  </si>
  <si>
    <t>2917.550.138-000</t>
  </si>
  <si>
    <t>CLAVIJA CILINDRICA 11214/231</t>
  </si>
  <si>
    <t>2917.550.184-000</t>
  </si>
  <si>
    <t>2917.601.059-000</t>
  </si>
  <si>
    <t>PINO CIL.ESTR. PARALELO</t>
  </si>
  <si>
    <t>2917.610.086-000</t>
  </si>
  <si>
    <t>CLAVIJA CILINDRICA 7457</t>
  </si>
  <si>
    <t>2917.610.093-000</t>
  </si>
  <si>
    <t>2917.700.040-000</t>
  </si>
  <si>
    <t>PASADOR CILIND.\ DIN 1475-2X18-ST 7460.0</t>
  </si>
  <si>
    <t>2917.710.039-000</t>
  </si>
  <si>
    <t>PASADOR CIL. ESTR. CENTR.</t>
  </si>
  <si>
    <t>2917.760.012-000</t>
  </si>
  <si>
    <t>MANGUITO ELASTICO 7461</t>
  </si>
  <si>
    <t>2917.760.034-000</t>
  </si>
  <si>
    <t>MANGUITO ELASTICO 1598</t>
  </si>
  <si>
    <t>2917.760.151-000</t>
  </si>
  <si>
    <t>2917.760.156-000</t>
  </si>
  <si>
    <t>PERNO 1551.1/1548.0</t>
  </si>
  <si>
    <t>2917.760.159-000</t>
  </si>
  <si>
    <t>ESPINA ELASTICA</t>
  </si>
  <si>
    <t>2917.760.187-000</t>
  </si>
  <si>
    <t>Slotted Spring Pin</t>
  </si>
  <si>
    <t>2917.761.253-000</t>
  </si>
  <si>
    <t>Manguito Elastico</t>
  </si>
  <si>
    <t>2917.780.078-000</t>
  </si>
  <si>
    <t>2917.780.105-000</t>
  </si>
  <si>
    <t>LEVA TENSORA</t>
  </si>
  <si>
    <t>2917.780.185-000</t>
  </si>
  <si>
    <t>MANGUITO ELASTICO DIN 7346-8X45</t>
  </si>
  <si>
    <t>2917.790.174-000</t>
  </si>
  <si>
    <t>MANGUITO ELASTICO 11264/11269</t>
  </si>
  <si>
    <t>2917.800.032-000</t>
  </si>
  <si>
    <t>MANGUITO ELASTICO 1189.7</t>
  </si>
  <si>
    <t>2917.800.053-000</t>
  </si>
  <si>
    <t>PASADOR ESPIRAL DIN 7343-5X2,5 1E94.3</t>
  </si>
  <si>
    <t>2917.800.253-000</t>
  </si>
  <si>
    <t>PASADOR ELASTICO ESPIRAL 1F23.0</t>
  </si>
  <si>
    <t>2917.800.303-000</t>
  </si>
  <si>
    <t>PASADOR ELASTICO ESPIRAL 159A</t>
  </si>
  <si>
    <t>2917.850.055-000</t>
  </si>
  <si>
    <t>PASADOR DE AJUSTE 7452</t>
  </si>
  <si>
    <t>2917.850.080-000</t>
  </si>
  <si>
    <t>2917.850.119-000</t>
  </si>
  <si>
    <t>2918.260.150-000</t>
  </si>
  <si>
    <t>2918.370.504-000</t>
  </si>
  <si>
    <t>TORNILLO AVELLANADO 1621</t>
  </si>
  <si>
    <t>2918.650.007-000</t>
  </si>
  <si>
    <t>ARANDELA PLANA DIN 125-A5,3-A2 1274.7</t>
  </si>
  <si>
    <t>2918.660.002-000</t>
  </si>
  <si>
    <t>3130.900.020-000</t>
  </si>
  <si>
    <t>RODAM 8x22x7 608-2Z/C3 RX 2609110491</t>
  </si>
  <si>
    <t>3600.000.006-000</t>
  </si>
  <si>
    <t>PLACA DE CUBIERTA - 3227</t>
  </si>
  <si>
    <t>3600.001.000-000</t>
  </si>
  <si>
    <t>PLACA DE CIERRE 2334.1  7461.2</t>
  </si>
  <si>
    <t>3600.002.000-000</t>
  </si>
  <si>
    <t>FILTRO 7561118</t>
  </si>
  <si>
    <t>3600.002.005-000</t>
  </si>
  <si>
    <t>COLADOR 7461</t>
  </si>
  <si>
    <t>3600.002.006-000</t>
  </si>
  <si>
    <t>COLADOR 7661/7460401/7160.5/7457</t>
  </si>
  <si>
    <t>3600.009.001-000</t>
  </si>
  <si>
    <t>VALVULA 7560502</t>
  </si>
  <si>
    <t>3600.009.002-000</t>
  </si>
  <si>
    <t>PLANCHA DE GOMA</t>
  </si>
  <si>
    <t>3600.031.002-000</t>
  </si>
  <si>
    <t>PLATO GUIA 7560.5</t>
  </si>
  <si>
    <t>3600.034.504-000</t>
  </si>
  <si>
    <t>ANILLO 1420/1423</t>
  </si>
  <si>
    <t>3600.034.505-000</t>
  </si>
  <si>
    <t>TAPA DE RODAMIENTO 1614</t>
  </si>
  <si>
    <t>3600.034.506-000</t>
  </si>
  <si>
    <t>CHAPA DE RETENCIÓN 1613 (GOF 1300)</t>
  </si>
  <si>
    <t>3600.054.004-000</t>
  </si>
  <si>
    <t>JUNTA 7460.0 7461.2</t>
  </si>
  <si>
    <t>3600.098.001-000</t>
  </si>
  <si>
    <t>SILENCIADOR 7260101</t>
  </si>
  <si>
    <t>3600.100.002-000</t>
  </si>
  <si>
    <t>ARANDELA ESPECIAL 3363.7</t>
  </si>
  <si>
    <t>3600.100.015-000</t>
  </si>
  <si>
    <t>ARANDELA DE TOPE  7661.5  7560.5</t>
  </si>
  <si>
    <t>3600.100.031-000</t>
  </si>
  <si>
    <t>3600.100.043-000</t>
  </si>
  <si>
    <t>ARANDELA PLANA 2240/42/43 2331</t>
  </si>
  <si>
    <t>3600.100.044-000</t>
  </si>
  <si>
    <t>DISCO DE ENCOSTO</t>
  </si>
  <si>
    <t>3600.100.045-000</t>
  </si>
  <si>
    <t>ANEL INTERMEDIARIO</t>
  </si>
  <si>
    <t>3600.100.048-000</t>
  </si>
  <si>
    <t>ANILLO PARA ESTANQUEIZAR  2334.1</t>
  </si>
  <si>
    <t>3600.100.049-000</t>
  </si>
  <si>
    <t>3600.100.062-000</t>
  </si>
  <si>
    <t>3600.100.076-000</t>
  </si>
  <si>
    <t>3600.100.077-000</t>
  </si>
  <si>
    <t>3600.100.098-000</t>
  </si>
  <si>
    <t>HASTA TARDE</t>
  </si>
  <si>
    <t>3600.100.099-000</t>
  </si>
  <si>
    <t>3600.100.527-000</t>
  </si>
  <si>
    <t>3600.100.528-000</t>
  </si>
  <si>
    <t>CC: ARRUELA DE COMPENSACAO</t>
  </si>
  <si>
    <t>3600.101.001-000</t>
  </si>
  <si>
    <t>ARANDELA DE TOPE 7452</t>
  </si>
  <si>
    <t>3600.101.002-000</t>
  </si>
  <si>
    <t>DISCO-SOPORTE  7461.2</t>
  </si>
  <si>
    <t>3600.101.004-000</t>
  </si>
  <si>
    <t>ARANDELA DE TOPE 7457</t>
  </si>
  <si>
    <t>3600.101.007-000</t>
  </si>
  <si>
    <t>ARANDELA PLANA 7461</t>
  </si>
  <si>
    <t>3600.101.008-000</t>
  </si>
  <si>
    <t>ARANDELA DE TOPE  7352.1</t>
  </si>
  <si>
    <t>3600.101.015-000</t>
  </si>
  <si>
    <t>DISCO SOPORTE</t>
  </si>
  <si>
    <t>3600.101.036-000</t>
  </si>
  <si>
    <t>ARANDELA DE RETENCION  7461.2 7460.0 DIS</t>
  </si>
  <si>
    <t>3600.101.039-000</t>
  </si>
  <si>
    <t>ARANDELA 2490.412  7461.2</t>
  </si>
  <si>
    <t>3600.101.052-000</t>
  </si>
  <si>
    <t>ARANDELA DE AJUSTE EXACT 10 /9 /6 /2</t>
  </si>
  <si>
    <t>3600.101.055-000</t>
  </si>
  <si>
    <t>Plain Washer</t>
  </si>
  <si>
    <t>3600.101.501-000</t>
  </si>
  <si>
    <t>RETENES 1273</t>
  </si>
  <si>
    <t>3600.102.005-000</t>
  </si>
  <si>
    <t>ARANDELA DE AJUSTE 7457</t>
  </si>
  <si>
    <t>3600.102.006-000</t>
  </si>
  <si>
    <t>3600.102.010-000</t>
  </si>
  <si>
    <t>3600.102.012-000</t>
  </si>
  <si>
    <t>3600.102.018-000</t>
  </si>
  <si>
    <t>ARRUELA ESPACADORA</t>
  </si>
  <si>
    <t>3600.102.049-000</t>
  </si>
  <si>
    <t>3600.103.018-000</t>
  </si>
  <si>
    <t>Anillo De Tapa</t>
  </si>
  <si>
    <t>3600.103.020-000</t>
  </si>
  <si>
    <t>JUNTA 1B21.1</t>
  </si>
  <si>
    <t>3600.105.001-000</t>
  </si>
  <si>
    <t>ARANDELA AJUSTE 7661/7460401/7160.5</t>
  </si>
  <si>
    <t>3600.105.002-000</t>
  </si>
  <si>
    <t>SILENCIADOR</t>
  </si>
  <si>
    <t>3600.105.009-000</t>
  </si>
  <si>
    <t>ANILLO DE JUNTA  1773/1621</t>
  </si>
  <si>
    <t>3600.105.011-000</t>
  </si>
  <si>
    <t>SILENCIADOR 7452</t>
  </si>
  <si>
    <t>3600.106.003-000</t>
  </si>
  <si>
    <t>DISCO DE SOPORTE 2490.412</t>
  </si>
  <si>
    <t>3600.106.010-000</t>
  </si>
  <si>
    <t>3600.106.011-000</t>
  </si>
  <si>
    <t>ANILLO  ROJO  EXACT 8/10/9/2/6/4/7</t>
  </si>
  <si>
    <t>3600.106.012-000</t>
  </si>
  <si>
    <t>ANILLO  AZUL  EXACT 8/10/9/2/6/7</t>
  </si>
  <si>
    <t>3600.106.013-000</t>
  </si>
  <si>
    <t>ANILLO  VERDE  EXACT 8/10/9/2/6/4/7</t>
  </si>
  <si>
    <t>3600.106.014-000</t>
  </si>
  <si>
    <t>ANILLO  NARANJA  EXACT 8/10/9/2/6/4/7</t>
  </si>
  <si>
    <t>3600.106.015-000</t>
  </si>
  <si>
    <t>ANILLO TOROIDAL EXACT 12/10/9/8/6/2/4/7</t>
  </si>
  <si>
    <t>3600.106.017-000</t>
  </si>
  <si>
    <t>ANILLO PLASTICO GRIS EXACT</t>
  </si>
  <si>
    <t>3600.106.020-000</t>
  </si>
  <si>
    <t>ANILLO ROJO ANGLE 17/23/30</t>
  </si>
  <si>
    <t>3600.106.021-000</t>
  </si>
  <si>
    <t>ANILLO 2490</t>
  </si>
  <si>
    <t>3600.106.022-000</t>
  </si>
  <si>
    <t>3600.106.023-000</t>
  </si>
  <si>
    <t>3600.106.025-000</t>
  </si>
  <si>
    <t>ANILLO EXACT</t>
  </si>
  <si>
    <t>3600.106.027-000</t>
  </si>
  <si>
    <t>JUEGO DE PIEZAS 2490</t>
  </si>
  <si>
    <t>3600.106.028-000</t>
  </si>
  <si>
    <t>3600.106.029-000</t>
  </si>
  <si>
    <t>3600.106.030-000</t>
  </si>
  <si>
    <t>3600.106.031-000</t>
  </si>
  <si>
    <t>3600.106.032-000</t>
  </si>
  <si>
    <t>3600.106.033-000</t>
  </si>
  <si>
    <t>3600.109.002-000</t>
  </si>
  <si>
    <t>ARANDELA DE ENCAJE 2490.412</t>
  </si>
  <si>
    <t>3600.109.019-000</t>
  </si>
  <si>
    <t>3600.109.024-000</t>
  </si>
  <si>
    <t>3600.112.006-000</t>
  </si>
  <si>
    <t>3600.113.014-000</t>
  </si>
  <si>
    <t>TOPE 7560502</t>
  </si>
  <si>
    <t>3600.113.015-000</t>
  </si>
  <si>
    <t>DISCO 7560502</t>
  </si>
  <si>
    <t>3600.113.021-000</t>
  </si>
  <si>
    <t>DISCO ARRASTRE 1189.7</t>
  </si>
  <si>
    <t>3600.113.506-000</t>
  </si>
  <si>
    <t>MANGUITO AISLANTE 1423.7/1420</t>
  </si>
  <si>
    <t>3600.115.001-000</t>
  </si>
  <si>
    <t>ARANDELA DE TOPE  7260.1</t>
  </si>
  <si>
    <t>3600.118.006-000</t>
  </si>
  <si>
    <t>ANILLO DE SEGURIDAD 7454</t>
  </si>
  <si>
    <t>3600.118.007-000</t>
  </si>
  <si>
    <t>ANILLO 7661</t>
  </si>
  <si>
    <t>3600.118.502-000</t>
  </si>
  <si>
    <t>ARANDELA GROVER 1423</t>
  </si>
  <si>
    <t>3600.119.016-000</t>
  </si>
  <si>
    <t>ARANDELA DE AJUSTE 2324.3</t>
  </si>
  <si>
    <t>3600.119.028-000</t>
  </si>
  <si>
    <t>3600.119.029-000</t>
  </si>
  <si>
    <t>ANILLO  7661</t>
  </si>
  <si>
    <t>3600.120.007-000</t>
  </si>
  <si>
    <t>ARO DEFLECTOR DE AIRE  2334.1</t>
  </si>
  <si>
    <t>3600.134.013-000</t>
  </si>
  <si>
    <t>ANILLO DE AJUSTE EXACT 12/10/9/6/2 RX014</t>
  </si>
  <si>
    <t>3600.134.014-000</t>
  </si>
  <si>
    <t>RING 12,5X10,6X1,5 TYPE202020</t>
  </si>
  <si>
    <t>3600.134.015-000</t>
  </si>
  <si>
    <t>ANILLO DE AJUSTE ANGLE 17/23/30</t>
  </si>
  <si>
    <t>3600.134.016-000</t>
  </si>
  <si>
    <t>ANILLO DE AJUSTE</t>
  </si>
  <si>
    <t>3600.149.500-000</t>
  </si>
  <si>
    <t>ANILLO DE SEGURIDAD 1619</t>
  </si>
  <si>
    <t>3600.150.003-000</t>
  </si>
  <si>
    <t>DISCO-SOPORTE 7457</t>
  </si>
  <si>
    <t>3600.150.005-000</t>
  </si>
  <si>
    <t>ARANDELA DE AJUSTE  7360.1 7160.5</t>
  </si>
  <si>
    <t>3600.150.006-000</t>
  </si>
  <si>
    <t>ARANDELA ELASTICA 2209/2305</t>
  </si>
  <si>
    <t>3600.150.011-000</t>
  </si>
  <si>
    <t>ARANDELA DE AJUSTE 1B21.1</t>
  </si>
  <si>
    <t>3600.150.021-000</t>
  </si>
  <si>
    <t>ARANDELA 1H25.0/1805/179M/1H31/193A/1G90</t>
  </si>
  <si>
    <t>3600.150.022-000</t>
  </si>
  <si>
    <t>ARANDELA DE PRESION 1373</t>
  </si>
  <si>
    <t>3600.150.023-000</t>
  </si>
  <si>
    <t>DISCO DE CUBIERTA  1773/1621</t>
  </si>
  <si>
    <t>3600.150.029-000</t>
  </si>
  <si>
    <t>PLACA DESLIZANTE 1621</t>
  </si>
  <si>
    <t>3600.171.001-000</t>
  </si>
  <si>
    <t>ANEL DENTADO</t>
  </si>
  <si>
    <t>3600.190.003-000</t>
  </si>
  <si>
    <t>DISCO SOPORTE 1436.8</t>
  </si>
  <si>
    <t>3600.190.007-000</t>
  </si>
  <si>
    <t>ARANDELA ELASTICA CONICA - 322 OBSOLETO</t>
  </si>
  <si>
    <t>3600.190.017-000</t>
  </si>
  <si>
    <t>PLATO DE LA VALVULA</t>
  </si>
  <si>
    <t>3600.190.023-000</t>
  </si>
  <si>
    <t>DISCO-SOPORTE - DISCONTINUADO</t>
  </si>
  <si>
    <t>3600.190.024-000</t>
  </si>
  <si>
    <t>ARANDELA 7452</t>
  </si>
  <si>
    <t>3600.190.027-000</t>
  </si>
  <si>
    <t>DISCO-EXACT 8/10/9/4/6 RX 3600190036</t>
  </si>
  <si>
    <t>3600.190.029-000</t>
  </si>
  <si>
    <t>DISCO-SOPORTE 2490</t>
  </si>
  <si>
    <t>3600.190.030-000</t>
  </si>
  <si>
    <t>DISCO-SOPORTE RX 3600190039000</t>
  </si>
  <si>
    <t>3600.190.036-000</t>
  </si>
  <si>
    <t>DISCO-EXACT 8/10/9/4/6</t>
  </si>
  <si>
    <t>3600.190.038-000</t>
  </si>
  <si>
    <t>3600.190.039-000</t>
  </si>
  <si>
    <t>Support Disc</t>
  </si>
  <si>
    <t>3600.190.520-000</t>
  </si>
  <si>
    <t>PLACA BASE 1614</t>
  </si>
  <si>
    <t>3600.190.521-000</t>
  </si>
  <si>
    <t>BASE 1613 - DISCONTINUADO</t>
  </si>
  <si>
    <t>3600.200.010-000</t>
  </si>
  <si>
    <t>BUJE DE GOMA 7561118</t>
  </si>
  <si>
    <t>3600.200.016-000</t>
  </si>
  <si>
    <t>ANILLO INTERMEDIO  7252.1</t>
  </si>
  <si>
    <t>3600.200.021-000</t>
  </si>
  <si>
    <t>ANILLO 2213</t>
  </si>
  <si>
    <t>3600.200.041-000</t>
  </si>
  <si>
    <t>3600.200.043-000</t>
  </si>
  <si>
    <t>ANILLO DE CENTRO 2490.412</t>
  </si>
  <si>
    <t>3600.200.055-000</t>
  </si>
  <si>
    <t>ANILLO DISTANCIADOR 7452</t>
  </si>
  <si>
    <t>3600.200.058-000</t>
  </si>
  <si>
    <t>Intermediate Ring</t>
  </si>
  <si>
    <t>3600.200.059-000</t>
  </si>
  <si>
    <t>3600.200.516-000</t>
  </si>
  <si>
    <t>ANILLO DE MUELLE 1423</t>
  </si>
  <si>
    <t>3600.202.004-000</t>
  </si>
  <si>
    <t>RING</t>
  </si>
  <si>
    <t>3600.202.006-000</t>
  </si>
  <si>
    <t>ANILLO DE APOYO 7661</t>
  </si>
  <si>
    <t>3600.202.007-000</t>
  </si>
  <si>
    <t>ANILLO APOYO EXACT 12/10/9/8/6/2 RX020</t>
  </si>
  <si>
    <t>3600.202.012-000</t>
  </si>
  <si>
    <t>RESORTE 7460001</t>
  </si>
  <si>
    <t>3600.202.020-000</t>
  </si>
  <si>
    <t>3600.203.002-000</t>
  </si>
  <si>
    <t>JUNTA 735211</t>
  </si>
  <si>
    <t>3600.203.004-000</t>
  </si>
  <si>
    <t>ANILLO DE CENTRADO 2324.3</t>
  </si>
  <si>
    <t>3600.203.005-000</t>
  </si>
  <si>
    <t>Anillo de centrado</t>
  </si>
  <si>
    <t>3600.205.002-000</t>
  </si>
  <si>
    <t>3600.206.003-000</t>
  </si>
  <si>
    <t>VALVULA 7260101</t>
  </si>
  <si>
    <t>3600.206.005-000</t>
  </si>
  <si>
    <t>JUNTA 7661/7461</t>
  </si>
  <si>
    <t>3600.206.006-000</t>
  </si>
  <si>
    <t>JUNTA 7561118</t>
  </si>
  <si>
    <t>3600.206.013-000</t>
  </si>
  <si>
    <t>ANILLO INTERMEDIO 7661 RX3600206017000</t>
  </si>
  <si>
    <t>3600.206.014-000</t>
  </si>
  <si>
    <t>ANILLO INTERMEDIO 7661</t>
  </si>
  <si>
    <t>3600.206.016-000</t>
  </si>
  <si>
    <t>3600.206.017-000</t>
  </si>
  <si>
    <t>Anillo intermedio</t>
  </si>
  <si>
    <t>3600.206.502-000</t>
  </si>
  <si>
    <t>CASQUILLO DE GOMA 1276</t>
  </si>
  <si>
    <t>3600.209.003-000</t>
  </si>
  <si>
    <t>ESPECIADOR 7460401</t>
  </si>
  <si>
    <t>3600.209.004-000</t>
  </si>
  <si>
    <t>VALVULA 7460401/7160.5</t>
  </si>
  <si>
    <t>3600.209.006-000</t>
  </si>
  <si>
    <t>ARO DEFLECTOR 2331/2/4/5 2334.1</t>
  </si>
  <si>
    <t>3600.209.008-000</t>
  </si>
  <si>
    <t>ARO DEFLECTOR DE AIRE 2242/43</t>
  </si>
  <si>
    <t>3600.209.010-000</t>
  </si>
  <si>
    <t>DEFLECTOR DE AIRE 2324.3</t>
  </si>
  <si>
    <t>3600.209.500-000</t>
  </si>
  <si>
    <t>3600.210.002-000</t>
  </si>
  <si>
    <t>3600.210.006-000</t>
  </si>
  <si>
    <t>SEAL RING</t>
  </si>
  <si>
    <t>3600.210.012-000</t>
  </si>
  <si>
    <t>JUNTA TORICA 2490</t>
  </si>
  <si>
    <t>3600.210.014-000</t>
  </si>
  <si>
    <t>3600.210.015-000</t>
  </si>
  <si>
    <t>ANEL O'RING</t>
  </si>
  <si>
    <t>3600.210.016-000</t>
  </si>
  <si>
    <t>JUNTA TORICA 2209</t>
  </si>
  <si>
    <t>3600.210.022-000</t>
  </si>
  <si>
    <t>O'RING  7352.1 7252.1</t>
  </si>
  <si>
    <t>3600.210.023-000</t>
  </si>
  <si>
    <t>3600.210.024-000</t>
  </si>
  <si>
    <t>3600.210.025-000</t>
  </si>
  <si>
    <t>ANILLO 7352</t>
  </si>
  <si>
    <t>3600.210.032-000</t>
  </si>
  <si>
    <t>3600.210.034-000</t>
  </si>
  <si>
    <t>3600.210.036-000</t>
  </si>
  <si>
    <t>3600.210.038-000</t>
  </si>
  <si>
    <t>ANEL 0-RING</t>
  </si>
  <si>
    <t>3600.210.050-000</t>
  </si>
  <si>
    <t>JUNTA TORICA 2240/42/43</t>
  </si>
  <si>
    <t>3600.210.057-000</t>
  </si>
  <si>
    <t>JUNTA TORICA 2242/43</t>
  </si>
  <si>
    <t>3600.210.058-000</t>
  </si>
  <si>
    <t>JUNTA TORICA 2240</t>
  </si>
  <si>
    <t>3600.210.082-000</t>
  </si>
  <si>
    <t>ANILLO 2324</t>
  </si>
  <si>
    <t>3600.210.086-000</t>
  </si>
  <si>
    <t>JUNTA TORICA 7457</t>
  </si>
  <si>
    <t>3600.210.104-000</t>
  </si>
  <si>
    <t>ANILLO TOROIDAL 7661</t>
  </si>
  <si>
    <t>3600.210.105-000</t>
  </si>
  <si>
    <t>3600.210.109-000</t>
  </si>
  <si>
    <t>3600.210.116-000</t>
  </si>
  <si>
    <t>3600.210.120-000</t>
  </si>
  <si>
    <t>ANILLO TOROIDAL  7450.5</t>
  </si>
  <si>
    <t>3600.210.124-000</t>
  </si>
  <si>
    <t>JUNTA TORICA 46,0X1,1 MM ROJO</t>
  </si>
  <si>
    <t>3600.210.128-000</t>
  </si>
  <si>
    <t>JUNTA EXACT 17/22/23/29/30/2490/91</t>
  </si>
  <si>
    <t>3600.210.129-000</t>
  </si>
  <si>
    <t>JUNTA EXACT 17/22/23/29/30/2490/91 OBSOL</t>
  </si>
  <si>
    <t>3600.210.130-000</t>
  </si>
  <si>
    <t>3600.210.136-000</t>
  </si>
  <si>
    <t>3600.210.506-000</t>
  </si>
  <si>
    <t>ANILLO 1423.7</t>
  </si>
  <si>
    <t>3600.210.507-000</t>
  </si>
  <si>
    <t>3600.222.005-000</t>
  </si>
  <si>
    <t>3600.224.001-000</t>
  </si>
  <si>
    <t>ANILLO ELASTICO 7461</t>
  </si>
  <si>
    <t>3600.224.005-000</t>
  </si>
  <si>
    <t>ANILLO DE MUELLE 1507.1</t>
  </si>
  <si>
    <t>3600.224.006-000</t>
  </si>
  <si>
    <t>ANILLO MUELLE EXACT 12/10/9/8/6/2/4</t>
  </si>
  <si>
    <t>3600.224.008-000</t>
  </si>
  <si>
    <t>3600.224.011-000</t>
  </si>
  <si>
    <t>BOQUILLA 6MM 7260.101</t>
  </si>
  <si>
    <t>3600.224.021-000</t>
  </si>
  <si>
    <t>BOQUILLA 1/4" 7260.101</t>
  </si>
  <si>
    <t>3600.224.035-000</t>
  </si>
  <si>
    <t>ARANDELA 7661</t>
  </si>
  <si>
    <t>3600.224.038-000</t>
  </si>
  <si>
    <t>ANILLO DE SEGURIDAD 7661/1125A</t>
  </si>
  <si>
    <t>3600.224.039-000</t>
  </si>
  <si>
    <t>ANILLO 7661 RX 3600118006000</t>
  </si>
  <si>
    <t>3600.224.053-000</t>
  </si>
  <si>
    <t>ANILLO DE MUELLE     EXACT 7/8/10/9/4</t>
  </si>
  <si>
    <t>3600.224.059-000</t>
  </si>
  <si>
    <t>ANILLO ELASTICO 7452</t>
  </si>
  <si>
    <t>3600.224.063-000</t>
  </si>
  <si>
    <t>3600.224.064-000</t>
  </si>
  <si>
    <t>ANILLO EXACT 19/22/23/29/30/17/23/30</t>
  </si>
  <si>
    <t>3600.232.504-000</t>
  </si>
  <si>
    <t>TOPE DE PROFUND. 1614 RX 2610997191000</t>
  </si>
  <si>
    <t>3600.240.500-000</t>
  </si>
  <si>
    <t>MANGUITO DE RETENCION 1614</t>
  </si>
  <si>
    <t>3600.250.002-000</t>
  </si>
  <si>
    <t>CONO DE VALVULA 7461</t>
  </si>
  <si>
    <t>3600.250.004-000</t>
  </si>
  <si>
    <t>ANILLO 7452</t>
  </si>
  <si>
    <t>3600.283.013-000</t>
  </si>
  <si>
    <t>JUNTA RADIAL</t>
  </si>
  <si>
    <t>3600.283.045-000</t>
  </si>
  <si>
    <t>ANILLO DE SEGURIDAD   1773/1621</t>
  </si>
  <si>
    <t>3600.290.001-000</t>
  </si>
  <si>
    <t>ANILLO DE MANDO 7457</t>
  </si>
  <si>
    <t>3600.290.004-000</t>
  </si>
  <si>
    <t>3600.290.502-000</t>
  </si>
  <si>
    <t>ANILLO DE JUNTA 1420/1440-41-45</t>
  </si>
  <si>
    <t>3600.290.503-000</t>
  </si>
  <si>
    <t>ANILLO DE JUNTA 1420</t>
  </si>
  <si>
    <t>3600.300.021-000</t>
  </si>
  <si>
    <t>3600.300.060-000</t>
  </si>
  <si>
    <t>MANGUITO DISTANCIADOR 1621</t>
  </si>
  <si>
    <t>3600.300.061-000</t>
  </si>
  <si>
    <t>3600.300.063-000</t>
  </si>
  <si>
    <t>ANEL DE AÇO</t>
  </si>
  <si>
    <t>3600.300.074-000</t>
  </si>
  <si>
    <t>ANILLO DE TAPA</t>
  </si>
  <si>
    <t>3600.301.007-000</t>
  </si>
  <si>
    <t>CASQUILLO SINTERIZADO 3227</t>
  </si>
  <si>
    <t>3600.301.501-000</t>
  </si>
  <si>
    <t>BUJE 1273/1276</t>
  </si>
  <si>
    <t>3600.301.502-000</t>
  </si>
  <si>
    <t>3600.301.510-000</t>
  </si>
  <si>
    <t>CASQUILLO 1420</t>
  </si>
  <si>
    <t>3600.309.003-000</t>
  </si>
  <si>
    <t>RODILLO 1621</t>
  </si>
  <si>
    <t>3600.311.001-000</t>
  </si>
  <si>
    <t>MANGUITO DE APRIETE 7461</t>
  </si>
  <si>
    <t>3600.311.007-000</t>
  </si>
  <si>
    <t>MANGUITO DE APRIETE 7661 RX3600311016000</t>
  </si>
  <si>
    <t>3600.311.012-000</t>
  </si>
  <si>
    <t>CASQUILLO 2490.412</t>
  </si>
  <si>
    <t>3600.311.015-000</t>
  </si>
  <si>
    <t>Clamping Sleeve</t>
  </si>
  <si>
    <t>3600.311.016-000</t>
  </si>
  <si>
    <t>3600.313.007-000</t>
  </si>
  <si>
    <t>CASQUILLO DE MANDO 7461</t>
  </si>
  <si>
    <t>3600.313.011-000</t>
  </si>
  <si>
    <t>TAPON ROSCADO 7661</t>
  </si>
  <si>
    <t>3600.320.005-000</t>
  </si>
  <si>
    <t>CASQUILLO DE VALVULA 7457</t>
  </si>
  <si>
    <t>3600.320.015-000</t>
  </si>
  <si>
    <t>Guante guía</t>
  </si>
  <si>
    <t>3600.320.016-000</t>
  </si>
  <si>
    <t>MANGUITO GUIA - RA 1600.506.010 RXIND001</t>
  </si>
  <si>
    <t>3600320016-001</t>
  </si>
  <si>
    <t>3600.320.016-001</t>
  </si>
  <si>
    <t>MANGUITO DE GUIA - RA 1600.506.010-000</t>
  </si>
  <si>
    <t>3600.320.017-000</t>
  </si>
  <si>
    <t>3600.323.000-000</t>
  </si>
  <si>
    <t>BUJE 0835</t>
  </si>
  <si>
    <t>3600.327.000-000</t>
  </si>
  <si>
    <t>MANGUITO DE GUIA  7352.1</t>
  </si>
  <si>
    <t>3600.328.033-000</t>
  </si>
  <si>
    <t>RODAMIENTO  1121.1</t>
  </si>
  <si>
    <t>3600.328.035-000</t>
  </si>
  <si>
    <t>MANGUITO DISTANCIADOR 7461.2  2334.1</t>
  </si>
  <si>
    <t>3600.328.043-000</t>
  </si>
  <si>
    <t>BRIDA 1B21.1</t>
  </si>
  <si>
    <t>3600.340.005-000</t>
  </si>
  <si>
    <t>VALVULA 7460001</t>
  </si>
  <si>
    <t>3600.360.002-000</t>
  </si>
  <si>
    <t>TUERCA DE RACOR 7457</t>
  </si>
  <si>
    <t>3600.360.505-000</t>
  </si>
  <si>
    <t>MANGUITO DE AJUSTE 1423.7/1420</t>
  </si>
  <si>
    <t>3600.360.507-000</t>
  </si>
  <si>
    <t>CASQUILLO DE AJUSTE</t>
  </si>
  <si>
    <t>3600.361.001-000</t>
  </si>
  <si>
    <t>ANILLO ROSCADO 1189.7</t>
  </si>
  <si>
    <t>3600.362.002-000</t>
  </si>
  <si>
    <t>CASQUILLO ROSCADO 7457</t>
  </si>
  <si>
    <t>3600.390.003-000</t>
  </si>
  <si>
    <t>CASQUILLO ROSCADO  7160.5</t>
  </si>
  <si>
    <t>3600.390.010-000</t>
  </si>
  <si>
    <t>CORREDERA DISTRIBUIDORA 7457</t>
  </si>
  <si>
    <t>3600.390.019-000</t>
  </si>
  <si>
    <t>PIEZA INTERMEDIA 7461</t>
  </si>
  <si>
    <t>3600.390.030-000</t>
  </si>
  <si>
    <t>CAJA 7661</t>
  </si>
  <si>
    <t>3600.390.033-000</t>
  </si>
  <si>
    <t>3600.390.501-000</t>
  </si>
  <si>
    <t>UNION PRENSAESTOPA 1602/2/4</t>
  </si>
  <si>
    <t>3600.390.502-000</t>
  </si>
  <si>
    <t>MANGUITO 1423.7/1420</t>
  </si>
  <si>
    <t>3600.400.008-000</t>
  </si>
  <si>
    <t>3600.400.012-000</t>
  </si>
  <si>
    <t>CASQUILLO DE ENCHUFE  7252.1</t>
  </si>
  <si>
    <t>3600.400.016-000</t>
  </si>
  <si>
    <t>VAINA PLASTICA 1367</t>
  </si>
  <si>
    <t>3600.400.032-000</t>
  </si>
  <si>
    <t>VAINA PROTECTORA 7452</t>
  </si>
  <si>
    <t>3600.400.034-000</t>
  </si>
  <si>
    <t>MANGUITO DISTANCIADOR 1B21.1</t>
  </si>
  <si>
    <t>3600.400.507-000</t>
  </si>
  <si>
    <t>Pieza de bloqueo</t>
  </si>
  <si>
    <t>3600.409.010-000</t>
  </si>
  <si>
    <t>MANGUITO 7452</t>
  </si>
  <si>
    <t>3600.409.011-000</t>
  </si>
  <si>
    <t>CASQUILLO OBTURADOR 7452</t>
  </si>
  <si>
    <t>3600.421.002-000</t>
  </si>
  <si>
    <t>DEFLECTOR 1366.7</t>
  </si>
  <si>
    <t>3600.421.500-000</t>
  </si>
  <si>
    <t>VAINA PROTECTORA 11304/1130A</t>
  </si>
  <si>
    <t>3600.422.000-000</t>
  </si>
  <si>
    <t>MANGUITO DE COJINETE 1507.1</t>
  </si>
  <si>
    <t>3600.422.006-000</t>
  </si>
  <si>
    <t>MANGUITO 2490.412</t>
  </si>
  <si>
    <t>3600.422.503-000</t>
  </si>
  <si>
    <t>PORTACARBON 1276 OBSOLETO</t>
  </si>
  <si>
    <t>3600.423.004-000</t>
  </si>
  <si>
    <t>MANGUITO EXACT 2/3/6/7/8/14/15/22/23/30</t>
  </si>
  <si>
    <t>3600.460.004-000</t>
  </si>
  <si>
    <t>PORCA DE REGULAGEM</t>
  </si>
  <si>
    <t>3600.460.005-000</t>
  </si>
  <si>
    <t>ANILLO  1189.7</t>
  </si>
  <si>
    <t>3600.492.504-000</t>
  </si>
  <si>
    <t>PORTACARBON 1273</t>
  </si>
  <si>
    <t>3600.499.003-000</t>
  </si>
  <si>
    <t>CASQ.APRIETE EXACT RX 3.600.499.022</t>
  </si>
  <si>
    <t>3600.499.016-000</t>
  </si>
  <si>
    <t>ARO DEFLECTOR 1189.7</t>
  </si>
  <si>
    <t>3600.499.022-000</t>
  </si>
  <si>
    <t> CLAMP BUSHING 15,7X15,5 TYPE499022</t>
  </si>
  <si>
    <t>3600.499.023-000</t>
  </si>
  <si>
    <t>Buje de sujeción</t>
  </si>
  <si>
    <t>3600.508.023-000</t>
  </si>
  <si>
    <t>TAPA DE CUERPO  1132</t>
  </si>
  <si>
    <t>3600.508.035-000</t>
  </si>
  <si>
    <t>CARCAZA DE MOTOR 2324/2370</t>
  </si>
  <si>
    <t>3600.521.002-000</t>
  </si>
  <si>
    <t>ARO DE BLINDAJE 7661</t>
  </si>
  <si>
    <t>3600.550.000-000</t>
  </si>
  <si>
    <t>3600.552.000-000</t>
  </si>
  <si>
    <t>CONTROL 7352112 RX3607030494000</t>
  </si>
  <si>
    <t>3600.552.505-000</t>
  </si>
  <si>
    <t>TOPE DE PROFUNDIDAD 1420</t>
  </si>
  <si>
    <t>3600.552.509-000</t>
  </si>
  <si>
    <t>3600.552.510-000</t>
  </si>
  <si>
    <t>BATENTE DE PROFUNDIDADE</t>
  </si>
  <si>
    <t>3600.590.505-000</t>
  </si>
  <si>
    <t>DEFLECTOR 1420</t>
  </si>
  <si>
    <t>3600.590.507-000</t>
  </si>
  <si>
    <t>DEFLECTOR DE AIRE 1614</t>
  </si>
  <si>
    <t>3600.590.508-000</t>
  </si>
  <si>
    <t>ANILLO GUIA DEL AIRE</t>
  </si>
  <si>
    <t>3600.591.000-000</t>
  </si>
  <si>
    <t>DEFLECTOR  7352.1</t>
  </si>
  <si>
    <t>3600.591.002-000</t>
  </si>
  <si>
    <t>ARO DEFLECTOR DE AIRE - 3227</t>
  </si>
  <si>
    <t>3600.690.503-000</t>
  </si>
  <si>
    <t>TRABA P/CINTA 1423.7/1420</t>
  </si>
  <si>
    <t>3600.700.029-000</t>
  </si>
  <si>
    <t>GUIA 7560502</t>
  </si>
  <si>
    <t>3600.700.033-000</t>
  </si>
  <si>
    <t>PIVOTE DE FIJACION 7461</t>
  </si>
  <si>
    <t>3600.700.035-000</t>
  </si>
  <si>
    <t>MANGUITO DISTANCIADOR 2242/43 RX700055</t>
  </si>
  <si>
    <t>3600.700.036-000</t>
  </si>
  <si>
    <t>MANGUITO DISTANCIADOR 2240</t>
  </si>
  <si>
    <t>3600.700.055-000</t>
  </si>
  <si>
    <t>MANGUITO DISTANCIADOR 2242/43</t>
  </si>
  <si>
    <t>3600.700.056-000</t>
  </si>
  <si>
    <t>Spacer Sleeve</t>
  </si>
  <si>
    <t>3600.703.003-000</t>
  </si>
  <si>
    <t>OJETE PROTECTOR ALTA FREC.</t>
  </si>
  <si>
    <t>3600.703.509-000</t>
  </si>
  <si>
    <t>PROTECTOR DE CABLE 1614  DESCONTINUED</t>
  </si>
  <si>
    <t>3600.707.001-000</t>
  </si>
  <si>
    <t>TUBO AISLANTE 7457</t>
  </si>
  <si>
    <t>3600.707.503-000</t>
  </si>
  <si>
    <t>OJETE PROTECTOR 1619</t>
  </si>
  <si>
    <t>3600.712.004-000</t>
  </si>
  <si>
    <t>TUBO FLEXIBLE CONTRACTIL2209RX3600712026</t>
  </si>
  <si>
    <t>3600.712.026-000</t>
  </si>
  <si>
    <t>Shrinkable Tube</t>
  </si>
  <si>
    <t>3600.760.023-000</t>
  </si>
  <si>
    <t>CARCASA DEL MOTOR 7457</t>
  </si>
  <si>
    <t>3600.760.040-000</t>
  </si>
  <si>
    <t>3600.760.113-000</t>
  </si>
  <si>
    <t>CARCASA DEL MOTOR 7452</t>
  </si>
  <si>
    <t>3600.760.119-000</t>
  </si>
  <si>
    <t>3600.900.018-000</t>
  </si>
  <si>
    <t>RODAMIENTO RIGIDO DE BOLAS</t>
  </si>
  <si>
    <t>3600.900.020-000</t>
  </si>
  <si>
    <t>RODAMIENTO 61901</t>
  </si>
  <si>
    <t>3600.900.021-000</t>
  </si>
  <si>
    <t>3600.900.026-000</t>
  </si>
  <si>
    <t>3600.900.512-000</t>
  </si>
  <si>
    <t>RODAMIENTO DE BOLAS 1276 RX2610010409</t>
  </si>
  <si>
    <t>3600.900.526-000</t>
  </si>
  <si>
    <t>RODAMIENTO RIGIDO BOLAS 1619</t>
  </si>
  <si>
    <t>3600.905.001-000</t>
  </si>
  <si>
    <t>3600.905.011-000</t>
  </si>
  <si>
    <t>3600.905.015-000</t>
  </si>
  <si>
    <t>RODAMIENTO RIGIDO BOLAS 7452</t>
  </si>
  <si>
    <t>3600.905.023-000</t>
  </si>
  <si>
    <t>RODAMIENTO  7452</t>
  </si>
  <si>
    <t>3600.905.025-000</t>
  </si>
  <si>
    <t>RODAMIENTO RIGIDO BOLAS  2334.1</t>
  </si>
  <si>
    <t>3600.905.027-000</t>
  </si>
  <si>
    <t>3600.905.039-000</t>
  </si>
  <si>
    <t>ROD.RIG. BOLAS 7461.27460.0 7252.1</t>
  </si>
  <si>
    <t>3600.905.045-000</t>
  </si>
  <si>
    <t>RODAMIENTO RIGIDO BOLAS  7461.2</t>
  </si>
  <si>
    <t>3600.905.056-000</t>
  </si>
  <si>
    <t>ROD.RIG.BOLAS\17X47X14 2334.1</t>
  </si>
  <si>
    <t>3600.905.057-000</t>
  </si>
  <si>
    <t>3600.905.058-000</t>
  </si>
  <si>
    <t>RODAMIENTO RIGIDO BOLAS 2242/43</t>
  </si>
  <si>
    <t>3600.905.060-000</t>
  </si>
  <si>
    <t>3600.905.063-000</t>
  </si>
  <si>
    <t>3600.905.075-000</t>
  </si>
  <si>
    <t>CONJUNTO 7160501/7160511</t>
  </si>
  <si>
    <t>3600.905.090-000</t>
  </si>
  <si>
    <t>RODAMIENTO 2324</t>
  </si>
  <si>
    <t>3600.905.095-000</t>
  </si>
  <si>
    <t>RODAMIENTO RIGIDO BOLAS  2334.1.05</t>
  </si>
  <si>
    <t>3600.905.104-000</t>
  </si>
  <si>
    <t>RODAMIENTO 7661</t>
  </si>
  <si>
    <t>3600.905.108-000</t>
  </si>
  <si>
    <t>3600.905.111-000</t>
  </si>
  <si>
    <t>3600.905.119-000</t>
  </si>
  <si>
    <t>RODAMIENTO 6201 - 12X32X10MM.</t>
  </si>
  <si>
    <t>3600.905.124-000</t>
  </si>
  <si>
    <t>3600.905.130-000</t>
  </si>
  <si>
    <t>RODAMIENTO RIGIDO BOLAS 1621</t>
  </si>
  <si>
    <t>3600.905.134-000</t>
  </si>
  <si>
    <t>3600.905.138-000</t>
  </si>
  <si>
    <t>RODAMIENTO RIGIDO BOLAS 2305</t>
  </si>
  <si>
    <t>3600.905.139-000</t>
  </si>
  <si>
    <t>3600.905.140-000</t>
  </si>
  <si>
    <t>3600.905.147-000</t>
  </si>
  <si>
    <t>3600.905.156-000</t>
  </si>
  <si>
    <t>3600.905.157-000</t>
  </si>
  <si>
    <t>RODAMIENTO RIGIDO BOLAS 1B21.1</t>
  </si>
  <si>
    <t>3600.905.158-000</t>
  </si>
  <si>
    <t>CONCHA DE COJINETE 164J</t>
  </si>
  <si>
    <t>3600.905.161-000</t>
  </si>
  <si>
    <t>3600.905.509-000</t>
  </si>
  <si>
    <t>RODAMIENTO 1614</t>
  </si>
  <si>
    <t>3600.905.510-000</t>
  </si>
  <si>
    <t>3600.905.512-000</t>
  </si>
  <si>
    <t>RODAMIENTO FIJO</t>
  </si>
  <si>
    <t>3600.905.513-000</t>
  </si>
  <si>
    <t>GUIA DE BOLAS 1F24.0</t>
  </si>
  <si>
    <t>3600.910.000-000</t>
  </si>
  <si>
    <t>CORONA DE AGUJAS 1575.1</t>
  </si>
  <si>
    <t>3600.910.001-000</t>
  </si>
  <si>
    <t>RODAMIENTO DE AGUJAS 1507.1 OBSOLETO</t>
  </si>
  <si>
    <t>3600.910.505-000</t>
  </si>
  <si>
    <t>BUJE 1423.7</t>
  </si>
  <si>
    <t>3600.913.000-000</t>
  </si>
  <si>
    <t>RODILLOS 7460401/7160.5</t>
  </si>
  <si>
    <t>3600.913.001-000</t>
  </si>
  <si>
    <t>JAULA DE AGUJAS 1507.1</t>
  </si>
  <si>
    <t>3600.913.006-000</t>
  </si>
  <si>
    <t>JAULA PARA AGUJAS  7461.2</t>
  </si>
  <si>
    <t>3600.913.010-000</t>
  </si>
  <si>
    <t>TUBO DISTANCIADOR  1773/1621</t>
  </si>
  <si>
    <t>3600.915.001-000</t>
  </si>
  <si>
    <t>3600.917.010-000</t>
  </si>
  <si>
    <t>CASQUILLO DE AGUJAS 7457</t>
  </si>
  <si>
    <t>3600.917.019-000</t>
  </si>
  <si>
    <t>3600.917.020-000</t>
  </si>
  <si>
    <t>CASQUILLO DE AGUJAS 7452</t>
  </si>
  <si>
    <t>3600.917.037-000</t>
  </si>
  <si>
    <t>COJINETE 2490.412</t>
  </si>
  <si>
    <t>3600.917.038-000</t>
  </si>
  <si>
    <t>3600.921.001-000</t>
  </si>
  <si>
    <t>COJINETE  EXACT 8/9/2/6/4</t>
  </si>
  <si>
    <t>3600.929.003-000</t>
  </si>
  <si>
    <t>RODAMIENTO AXIAL DE RODILLOS</t>
  </si>
  <si>
    <t>3600.929.005-000</t>
  </si>
  <si>
    <t>3600.929.008-000</t>
  </si>
  <si>
    <t>CORONA AXIAL 2490.412</t>
  </si>
  <si>
    <t>3601.010.001-000</t>
  </si>
  <si>
    <t>SILENCIADOR INTERNO (APLIC.VARIAS)/7160.</t>
  </si>
  <si>
    <t>3601.010.006-000</t>
  </si>
  <si>
    <t>SILENCIADOR 7561118/7461</t>
  </si>
  <si>
    <t>3601.010.010-000</t>
  </si>
  <si>
    <t>SILENCIADOR 7661</t>
  </si>
  <si>
    <t>3601.010.017-000</t>
  </si>
  <si>
    <t>3601.010.020-000</t>
  </si>
  <si>
    <t>3601.010.027-000</t>
  </si>
  <si>
    <t>SILENCIADOR 0607252</t>
  </si>
  <si>
    <t>3601.010.046-000</t>
  </si>
  <si>
    <t>VELLON DE FIBRA 7452</t>
  </si>
  <si>
    <t>3601.010.516-000</t>
  </si>
  <si>
    <t>PLACA BASE 1273/76</t>
  </si>
  <si>
    <t>3601.010.517-000</t>
  </si>
  <si>
    <t>INSERTO 1614</t>
  </si>
  <si>
    <t>3601.010.519-000</t>
  </si>
  <si>
    <t>COBERTURA</t>
  </si>
  <si>
    <t>3601.012.003-000</t>
  </si>
  <si>
    <t>PLACA DE PRESION 1121</t>
  </si>
  <si>
    <t>3601.015.503-000</t>
  </si>
  <si>
    <t>JUNTA  1276</t>
  </si>
  <si>
    <t>3601.016.502-000</t>
  </si>
  <si>
    <t>JUNTA 1423.7</t>
  </si>
  <si>
    <t>3601.016.504-000</t>
  </si>
  <si>
    <t>JUNTA 1420</t>
  </si>
  <si>
    <t>3601.021.509-000</t>
  </si>
  <si>
    <t>TRABA DE BOQUILLA 1614</t>
  </si>
  <si>
    <t>3601.021.510-000</t>
  </si>
  <si>
    <t>3601.023.003-000</t>
  </si>
  <si>
    <t>TRINQUETE 1621</t>
  </si>
  <si>
    <t>3601.023.007-000</t>
  </si>
  <si>
    <t>PLACA PORTADORA 2490.412</t>
  </si>
  <si>
    <t>3601.023.008-000</t>
  </si>
  <si>
    <t>PALANCA DE CIERRE 2490.412</t>
  </si>
  <si>
    <t>3601.023.011-000</t>
  </si>
  <si>
    <t>PLACA DE CIERRE    EXACT 8/9/2/6/4</t>
  </si>
  <si>
    <t>3601.099.003-000</t>
  </si>
  <si>
    <t>REVERSER</t>
  </si>
  <si>
    <t>3601.099.004-000</t>
  </si>
  <si>
    <t>CORREDERA EXACT</t>
  </si>
  <si>
    <t>3601.110.256-000</t>
  </si>
  <si>
    <t>PLACA INDICADORA 2490.412</t>
  </si>
  <si>
    <t>3601.110.616-000</t>
  </si>
  <si>
    <t>CARTA DE FIRMA BAJA</t>
  </si>
  <si>
    <t>3601.119.204-000</t>
  </si>
  <si>
    <t>PLACA DE CARACTERÍSTICAS EXACT 6</t>
  </si>
  <si>
    <t>3601.119.209-000</t>
  </si>
  <si>
    <t>PLACA DE MARCA EXACT 6</t>
  </si>
  <si>
    <t>3601.119.309-000</t>
  </si>
  <si>
    <t>3601.119.318-000</t>
  </si>
  <si>
    <t>3601.119.940-000</t>
  </si>
  <si>
    <t>3601.253.503-000</t>
  </si>
  <si>
    <t>ANILLO DE SEGURIDAD  1276</t>
  </si>
  <si>
    <t>3601.303.002-000</t>
  </si>
  <si>
    <t>ABRAZADERA 2240/42/43 2331</t>
  </si>
  <si>
    <t>3601.303.004-000</t>
  </si>
  <si>
    <t>ABRAZADERA 2240/42/43 2331/34</t>
  </si>
  <si>
    <t>3601.321.001-000</t>
  </si>
  <si>
    <t>ESTRIBO DE APRIETE 2209/2305</t>
  </si>
  <si>
    <t>3601.321.008-000</t>
  </si>
  <si>
    <t>PORTAESCOBILLAS 1189.7 OBSOLETO</t>
  </si>
  <si>
    <t>3601.376.007-000</t>
  </si>
  <si>
    <t>3601.902.001-000</t>
  </si>
  <si>
    <t>PALANCA DE MANDO  7460.0</t>
  </si>
  <si>
    <t>3601.902.012-000</t>
  </si>
  <si>
    <t>PALANCA DE BLOQUEO 1621</t>
  </si>
  <si>
    <t>3601.923.001-000</t>
  </si>
  <si>
    <t>CORREDERA DE BLOQUEO 1621</t>
  </si>
  <si>
    <t>3601.923.017-000</t>
  </si>
  <si>
    <t>ESTRIBO DE SUSPENSION  7661.5</t>
  </si>
  <si>
    <t>3601.923.022-000</t>
  </si>
  <si>
    <t>ELEMENTO CONMUTACION  EXACT 8/10/9/2/6/4</t>
  </si>
  <si>
    <t>3601.923.023-000</t>
  </si>
  <si>
    <t>CORREDERA   RX 3601.923.029-000</t>
  </si>
  <si>
    <t>3601.923.024-000</t>
  </si>
  <si>
    <t>ESTRIBO DE SUSPENSION EXACT</t>
  </si>
  <si>
    <t>3601.923.025-000</t>
  </si>
  <si>
    <t>ELEMENTO DE CONMUTACION 2490</t>
  </si>
  <si>
    <t>3601.923.029-000</t>
  </si>
  <si>
    <t>3601.923.030-000</t>
  </si>
  <si>
    <t>3601.923.502-000</t>
  </si>
  <si>
    <t>PLACA TENSORA 1276</t>
  </si>
  <si>
    <t>3602.000.000-000</t>
  </si>
  <si>
    <t>ALAVANCA</t>
  </si>
  <si>
    <t>3602.000.001-000</t>
  </si>
  <si>
    <t>PALANCA DE INVERTIR 7661</t>
  </si>
  <si>
    <t>3602.000.510-000</t>
  </si>
  <si>
    <t>3602.001.001-000</t>
  </si>
  <si>
    <t>BIELA 1507/1531</t>
  </si>
  <si>
    <t>3602.010.000-000</t>
  </si>
  <si>
    <t>PALANCA DE MANDO 7457</t>
  </si>
  <si>
    <t>3602.025.023-000</t>
  </si>
  <si>
    <t>EMPUNADURA DE INTERRUPTOR 1621</t>
  </si>
  <si>
    <t>3602.033.001-000</t>
  </si>
  <si>
    <t>PERILLA DE LLAVE 7352112</t>
  </si>
  <si>
    <t>3602.033.003-000</t>
  </si>
  <si>
    <t>TECLA DE EMPUJE 7461</t>
  </si>
  <si>
    <t>3602.033.004-000</t>
  </si>
  <si>
    <t>3602.053.003-000</t>
  </si>
  <si>
    <t>PULSADOR 7460401/7160.5</t>
  </si>
  <si>
    <t>3602.053.004-000</t>
  </si>
  <si>
    <t>BOTAO DE PRESSAO</t>
  </si>
  <si>
    <t>3602.053.005-000</t>
  </si>
  <si>
    <t>ALAVANCA DE MANOBRA</t>
  </si>
  <si>
    <t>3602.099.000-000</t>
  </si>
  <si>
    <t>CONMUTADOR DESLIZANTE  7260.1</t>
  </si>
  <si>
    <t>3602.300.011-000</t>
  </si>
  <si>
    <t>VARILLA DE ENLACE 2324/2370</t>
  </si>
  <si>
    <t>3602.305.011-000</t>
  </si>
  <si>
    <t>BOTON PULSADOR 1621</t>
  </si>
  <si>
    <t>3602.311.018-000</t>
  </si>
  <si>
    <t>PANTALLA PROTECTORA</t>
  </si>
  <si>
    <t>3602.311.047-000</t>
  </si>
  <si>
    <t>3602.311.052-000</t>
  </si>
  <si>
    <t>ESCUDO - 15005</t>
  </si>
  <si>
    <t>3602.317.037-000</t>
  </si>
  <si>
    <t>CUÑA GUIA 1189.7</t>
  </si>
  <si>
    <t>3602.317.042-000</t>
  </si>
  <si>
    <t>Tappet</t>
  </si>
  <si>
    <t>3602.317.050-000</t>
  </si>
  <si>
    <t>3602.329.026-000</t>
  </si>
  <si>
    <t>GUIA 2490.412</t>
  </si>
  <si>
    <t>3602.329.027-000</t>
  </si>
  <si>
    <t>GANCHITO 2490.412</t>
  </si>
  <si>
    <t>3602.329.031-000</t>
  </si>
  <si>
    <t>PESO CENTRIFUGO 7661</t>
  </si>
  <si>
    <t>3602.391.503-000</t>
  </si>
  <si>
    <t>TOPE DE GOMA 1F4J.0</t>
  </si>
  <si>
    <t>3603.001.529-000</t>
  </si>
  <si>
    <t>PERNO 1614</t>
  </si>
  <si>
    <t>3603.003.005-000</t>
  </si>
  <si>
    <t>BARRA 7452</t>
  </si>
  <si>
    <t>3603.008.500-000</t>
  </si>
  <si>
    <t>PORTAHERRAMIENTAS 1/4"</t>
  </si>
  <si>
    <t>3603.029.501-000</t>
  </si>
  <si>
    <t>TOPE DE PROFUNDIDAD 1614</t>
  </si>
  <si>
    <t>3603.050.005-000</t>
  </si>
  <si>
    <t>ARBOL DE ACCIONAMIENTO  7160.5</t>
  </si>
  <si>
    <t>3603.050.014-000</t>
  </si>
  <si>
    <t>EJE DE SALIDA 2213</t>
  </si>
  <si>
    <t>3603.060.010-000</t>
  </si>
  <si>
    <t>3603.060.012-000</t>
  </si>
  <si>
    <t>3603.070.000-000</t>
  </si>
  <si>
    <t>EMBOLO PORTAUTIL 1507.1</t>
  </si>
  <si>
    <t>3603.100.000-000</t>
  </si>
  <si>
    <t>3603.100.030-000</t>
  </si>
  <si>
    <t>BIELA 7452</t>
  </si>
  <si>
    <t>3603.100.031-000</t>
  </si>
  <si>
    <t>CLAVIJA CILINDRICA 7661</t>
  </si>
  <si>
    <t>3603.100.032-000</t>
  </si>
  <si>
    <t>PASADOR 7661</t>
  </si>
  <si>
    <t>3603.101.007-000</t>
  </si>
  <si>
    <t>PERNO GIRATORIO 1367</t>
  </si>
  <si>
    <t>3603.105.001-000</t>
  </si>
  <si>
    <t>TOPE DE PRESION 7457</t>
  </si>
  <si>
    <t>3603.105.003-000</t>
  </si>
  <si>
    <t>PASADOR DE RETENCION 7461</t>
  </si>
  <si>
    <t>3603.105.010-000</t>
  </si>
  <si>
    <t>EJE DE COJINETE 1621</t>
  </si>
  <si>
    <t>3603.120.001-000</t>
  </si>
  <si>
    <t>3603.120.003-000</t>
  </si>
  <si>
    <t>3603.120.502-000</t>
  </si>
  <si>
    <t>PECA GUIA</t>
  </si>
  <si>
    <t>3603.121.003-000</t>
  </si>
  <si>
    <t>PERNO DE FIJACION - 3227</t>
  </si>
  <si>
    <t>3603.121.004-000</t>
  </si>
  <si>
    <t>PERNO ROSCADO 0835 OBSOLETO</t>
  </si>
  <si>
    <t>3603.123.007-000</t>
  </si>
  <si>
    <t>PIEZA INTERMEDIA 7560502 RX3603123021000</t>
  </si>
  <si>
    <t>3603.123.010-000</t>
  </si>
  <si>
    <t>PERNO DE TOPE</t>
  </si>
  <si>
    <t>3603.123.017-000</t>
  </si>
  <si>
    <t>HUSILLO AMOLADOR 2209</t>
  </si>
  <si>
    <t>3603.123.021-000</t>
  </si>
  <si>
    <t>Mango intermedio</t>
  </si>
  <si>
    <t>3603.124.011-000</t>
  </si>
  <si>
    <t>ARBOL DE ACCIONAMIENTO 3227</t>
  </si>
  <si>
    <t>3603.124.023-000</t>
  </si>
  <si>
    <t>ARBOL RECEPTOR   EXACT 8 /10 /9 /2/6 /4</t>
  </si>
  <si>
    <t>3603.124.025-000</t>
  </si>
  <si>
    <t>ARBOL DE EMBRAGUE ANGLE 17/23/30</t>
  </si>
  <si>
    <t>3603.124.030-000</t>
  </si>
  <si>
    <t>ARBOL RECEPTOR 7452</t>
  </si>
  <si>
    <t>3603.132.000-000</t>
  </si>
  <si>
    <t>VALVULA 7561118</t>
  </si>
  <si>
    <t>3603.133.001-000</t>
  </si>
  <si>
    <t>CLAVO ENTALLADO  2334.1.05</t>
  </si>
  <si>
    <t>3603.200.007-000</t>
  </si>
  <si>
    <t>PERCUTOR 7560502</t>
  </si>
  <si>
    <t>3603.201.000-000</t>
  </si>
  <si>
    <t>RODILLO 7160509</t>
  </si>
  <si>
    <t>3603.201.005-000</t>
  </si>
  <si>
    <t>AGUJA PARA RODAMIENTO 7457</t>
  </si>
  <si>
    <t>3603.201.031-000</t>
  </si>
  <si>
    <t>3603.201.037-000</t>
  </si>
  <si>
    <t>3603.201.042-000</t>
  </si>
  <si>
    <t>RODAMIENTO 7260101</t>
  </si>
  <si>
    <t>3603.201.043-000</t>
  </si>
  <si>
    <t>PERNO 7460401/7160.5</t>
  </si>
  <si>
    <t>3603.201.047-000</t>
  </si>
  <si>
    <t>AGUJA PARA RODAMIENTO  7461.2</t>
  </si>
  <si>
    <t>3603.201.048-000</t>
  </si>
  <si>
    <t>CLAVIJA CILINDRICA 7461</t>
  </si>
  <si>
    <t>3603.201.050-000</t>
  </si>
  <si>
    <t>3603.201.055-000</t>
  </si>
  <si>
    <t>CLAVIJA 7661</t>
  </si>
  <si>
    <t>3603.201.077-000</t>
  </si>
  <si>
    <t>3603.201.085-000</t>
  </si>
  <si>
    <t>3603.203.007-000</t>
  </si>
  <si>
    <t>CONO DE VALVULA 7457</t>
  </si>
  <si>
    <t>3603.211.501-000</t>
  </si>
  <si>
    <t>BOTON 1614</t>
  </si>
  <si>
    <t>3603.230.004-000</t>
  </si>
  <si>
    <t>BOLA EXACT.</t>
  </si>
  <si>
    <t>3603.231.017-000</t>
  </si>
  <si>
    <t>CONO DE VALVULA</t>
  </si>
  <si>
    <t>3603.231.539-000</t>
  </si>
  <si>
    <t>3603.300.005-000</t>
  </si>
  <si>
    <t>PORCA</t>
  </si>
  <si>
    <t>3603.300.501-000</t>
  </si>
  <si>
    <t>TUERCA HEXAGONAL M15 - 1614</t>
  </si>
  <si>
    <t>3603.313.001-000</t>
  </si>
  <si>
    <t>TUERCA DE RACOR  7461.2 7460.0</t>
  </si>
  <si>
    <t>3603.313.002-000</t>
  </si>
  <si>
    <t>TUERCA DE RACOR 7461.2</t>
  </si>
  <si>
    <t>3603.313.006-000</t>
  </si>
  <si>
    <t>3603.313.007-000</t>
  </si>
  <si>
    <t>TUERCA DE RACOR  7560.5</t>
  </si>
  <si>
    <t>3603.315.500-000</t>
  </si>
  <si>
    <t>3603.317.002-000</t>
  </si>
  <si>
    <t>TAPA DE DEPOSITO</t>
  </si>
  <si>
    <t>3603.340.006-000</t>
  </si>
  <si>
    <t>ANILLO ROSCADO 7457</t>
  </si>
  <si>
    <t>3603.340.010-000</t>
  </si>
  <si>
    <t>TAPA ROSCADA  7461.2 RX 3603340019000</t>
  </si>
  <si>
    <t>3603.340.014-000</t>
  </si>
  <si>
    <t>TUERCA DE 2 AGUJEROS  7360.1</t>
  </si>
  <si>
    <t>3603.340.017-000</t>
  </si>
  <si>
    <t>3603.340.019-000</t>
  </si>
  <si>
    <t>Knurled Nut</t>
  </si>
  <si>
    <t>3603.340.501-000</t>
  </si>
  <si>
    <t>TUERCA INFERIOR 1773/1375.6/1H31</t>
  </si>
  <si>
    <t>3603.340.503-000</t>
  </si>
  <si>
    <t>TUERCA DE REGLAJE</t>
  </si>
  <si>
    <t>3603.342.001-000</t>
  </si>
  <si>
    <t>TUERCA 1204/1205/ RX 3603342009</t>
  </si>
  <si>
    <t>3603.342.002-000</t>
  </si>
  <si>
    <t>TUERCA DE RACOR 2490.412</t>
  </si>
  <si>
    <t>3603.342.003-000</t>
  </si>
  <si>
    <t>TUERCA DE REGLAJE 3258</t>
  </si>
  <si>
    <t>3603.342.004-000</t>
  </si>
  <si>
    <t>PORCA REDONDA</t>
  </si>
  <si>
    <t>3603.342.009-000</t>
  </si>
  <si>
    <t>TUERCA 1204/1205/ RA 001</t>
  </si>
  <si>
    <t>3603.344.003-000</t>
  </si>
  <si>
    <t>ANILLO ROSCADO 7253.101</t>
  </si>
  <si>
    <t>3603.344.023-000</t>
  </si>
  <si>
    <t>TAPON 7460001</t>
  </si>
  <si>
    <t>3603.344.024-000</t>
  </si>
  <si>
    <t>ANILLO ROSCADO  2334.1</t>
  </si>
  <si>
    <t>3603.344.039-000</t>
  </si>
  <si>
    <t>ANILLO ROSCADO 2209 RX 3603.344.059-000</t>
  </si>
  <si>
    <t>3603.344.046-000</t>
  </si>
  <si>
    <t>ARANDELA 7452/2490/91/92</t>
  </si>
  <si>
    <t>3603.344.047-000</t>
  </si>
  <si>
    <t>ARANDELA DE ENCASTRE EXACT10/9/6/2 RA046</t>
  </si>
  <si>
    <t>3603.344.052-000</t>
  </si>
  <si>
    <t>ARANDELA DE ENCASTRE</t>
  </si>
  <si>
    <t>3603.344.057-000</t>
  </si>
  <si>
    <t>ANILLO ROSCADO EXACT 25-30-40-50</t>
  </si>
  <si>
    <t>3603.344.059-000</t>
  </si>
  <si>
    <t>ANILLO ROSCADO 2209 RA 039</t>
  </si>
  <si>
    <t>3603.344.062-000</t>
  </si>
  <si>
    <t>Threaded Ring</t>
  </si>
  <si>
    <t>3603.344.097-000</t>
  </si>
  <si>
    <t>ANILLO ROSCADO 7452</t>
  </si>
  <si>
    <t>3603.345.016-000</t>
  </si>
  <si>
    <t>3603.386.001-000</t>
  </si>
  <si>
    <t>BOQUILLA DE EMPALME 7457</t>
  </si>
  <si>
    <t>3603.386.039-000</t>
  </si>
  <si>
    <t>BOQUILLA 7661</t>
  </si>
  <si>
    <t>3603.386.063-000</t>
  </si>
  <si>
    <t>Hose fitting</t>
  </si>
  <si>
    <t>3603.386.065-000</t>
  </si>
  <si>
    <t>3603.386.066-000</t>
  </si>
  <si>
    <t>3603.391.007-000</t>
  </si>
  <si>
    <t>CC: PARAFUSO DE ACO / DIN 7500-UM5x10-ST</t>
  </si>
  <si>
    <t>3603.400.003-000</t>
  </si>
  <si>
    <t>TUERCA CILINDRICA 2490.412</t>
  </si>
  <si>
    <t>3603.405.509-000</t>
  </si>
  <si>
    <t>PERNO MOVIL 1276</t>
  </si>
  <si>
    <t>3603.410.001-000</t>
  </si>
  <si>
    <t>TORNILLO 0835 OBSOLETO</t>
  </si>
  <si>
    <t>3603.410.005-000</t>
  </si>
  <si>
    <t>TORNILLO CON ROSCA CORT. RX2914451079</t>
  </si>
  <si>
    <t>3603.410.006-000</t>
  </si>
  <si>
    <t>TORNILLO  ROSCA CORT.\ AM 6X35-ST 2334.1</t>
  </si>
  <si>
    <t>3603.410.007-000</t>
  </si>
  <si>
    <t>TORNILLO AUTORROSCANTE 2240/42</t>
  </si>
  <si>
    <t>3603.410.504-000</t>
  </si>
  <si>
    <t>3603.414.020-000</t>
  </si>
  <si>
    <t>3603.414.021-000</t>
  </si>
  <si>
    <t>TORNILLO DE REHLA 7661</t>
  </si>
  <si>
    <t>3603.415.556-000</t>
  </si>
  <si>
    <t>TORNILLO CON CUELLO 1613/1614</t>
  </si>
  <si>
    <t>3603.415.560-000</t>
  </si>
  <si>
    <t>3603.430.505-000</t>
  </si>
  <si>
    <t>TORNIL.SUJ 2645//2580 RX 2609110721000</t>
  </si>
  <si>
    <t>3603.435.003-000</t>
  </si>
  <si>
    <t>3603.435.004-000</t>
  </si>
  <si>
    <t>TORNILLO AUTORROSCANTE 2305</t>
  </si>
  <si>
    <t>3603.435.020-000</t>
  </si>
  <si>
    <t>TORNILLO AUTORROSCANTE 1621 RX1613490017</t>
  </si>
  <si>
    <t>3603.435.042-000</t>
  </si>
  <si>
    <t>TORNILLO 1120/1121</t>
  </si>
  <si>
    <t>3603.435.044-000</t>
  </si>
  <si>
    <t>TUERCA HEX RA 2915011007</t>
  </si>
  <si>
    <t>3603.435.051-000</t>
  </si>
  <si>
    <t>Torx Flat-Head Screw</t>
  </si>
  <si>
    <t>3603.435.056-000</t>
  </si>
  <si>
    <t>3603.450.000-000</t>
  </si>
  <si>
    <t>TORNILLO CABEZA HEX 7457</t>
  </si>
  <si>
    <t>3603.450.006-000</t>
  </si>
  <si>
    <t>TORNILLO HEXAGONAL  7352.1 7252.1</t>
  </si>
  <si>
    <t>3603.450.008-000</t>
  </si>
  <si>
    <t>TORNILLO CABEZA CILINDR. 2209/2305</t>
  </si>
  <si>
    <t>3603.450.503-000</t>
  </si>
  <si>
    <t>TORNILLO ROSCADO 1614</t>
  </si>
  <si>
    <t>3603.450.504-000</t>
  </si>
  <si>
    <t>CC: TRINQUETE</t>
  </si>
  <si>
    <t>3603.458.008-000</t>
  </si>
  <si>
    <t>TUBULADURA DE LIGACAO</t>
  </si>
  <si>
    <t>3603.458.010-000</t>
  </si>
  <si>
    <t>RACOR DE EMPALME  7260.1</t>
  </si>
  <si>
    <t>3603.462.000-000</t>
  </si>
  <si>
    <t>SILENCIADOR 7641/7457/7661</t>
  </si>
  <si>
    <t>3603.462.004-000</t>
  </si>
  <si>
    <t>RACOR DE EMPALME 7457</t>
  </si>
  <si>
    <t>3603.462.006-000</t>
  </si>
  <si>
    <t>3603.462.007-000</t>
  </si>
  <si>
    <t>RACOR 7661 7560.5 7160.5  7360.1 7460.4</t>
  </si>
  <si>
    <t>3603.462.010-000</t>
  </si>
  <si>
    <t>ANEL TENSOR</t>
  </si>
  <si>
    <t>3603.462.011-000</t>
  </si>
  <si>
    <t>CC: ADAPTADOR</t>
  </si>
  <si>
    <t>3603.462.012-000</t>
  </si>
  <si>
    <t>RACOR DE EMPALME  7352.1 7252.1</t>
  </si>
  <si>
    <t>3603.463.003-000</t>
  </si>
  <si>
    <t>3603.463.005-000</t>
  </si>
  <si>
    <t>TAPON ROSCADO 7457</t>
  </si>
  <si>
    <t>3603.463.503-000</t>
  </si>
  <si>
    <t>TAPA PORTAESCOB.REEX2610994437</t>
  </si>
  <si>
    <t>3603.490.001-000</t>
  </si>
  <si>
    <t>BRIDA DE COJINETE 7457</t>
  </si>
  <si>
    <t>3603.490.015-000</t>
  </si>
  <si>
    <t>TORNILLO DE CABEZA CIL. 1621</t>
  </si>
  <si>
    <t>3603.490.016-000</t>
  </si>
  <si>
    <t>TORNILLO DE REGLA  7661.5 RX 36034900200</t>
  </si>
  <si>
    <t>3603.490.017-000</t>
  </si>
  <si>
    <t>TORNILLO 7661</t>
  </si>
  <si>
    <t>3603.490.020-000</t>
  </si>
  <si>
    <t>Estrangulador de tornillo</t>
  </si>
  <si>
    <t>3603.521.000-000</t>
  </si>
  <si>
    <t>PERNO DE TOPE 7457</t>
  </si>
  <si>
    <t>3603.523.008-000</t>
  </si>
  <si>
    <t>BUJE 1215.0/7/ 7252.1</t>
  </si>
  <si>
    <t>3603.523.013-000</t>
  </si>
  <si>
    <t>ADAPTADOR \ M 8/M 14  2334.1</t>
  </si>
  <si>
    <t>3603.523.016-000</t>
  </si>
  <si>
    <t>EJE DE SALIDA 1120.5</t>
  </si>
  <si>
    <t>3603.523.030-000</t>
  </si>
  <si>
    <t>EJE DE SALIDA 1368 RX 1603.523.100-000</t>
  </si>
  <si>
    <t>3603.523.032-000</t>
  </si>
  <si>
    <t>HUSILLO 2501/2305</t>
  </si>
  <si>
    <t>3603.523.034-000</t>
  </si>
  <si>
    <t>ARBOL DE LEVAS 7661</t>
  </si>
  <si>
    <t>3603.523.035-000</t>
  </si>
  <si>
    <t>3603.523.037-000</t>
  </si>
  <si>
    <t>3603.523.039-000</t>
  </si>
  <si>
    <t>EJE 1373</t>
  </si>
  <si>
    <t>3603.523.041-000</t>
  </si>
  <si>
    <t>HUSILLO  1773</t>
  </si>
  <si>
    <t>3603.523.042-000</t>
  </si>
  <si>
    <t>HUSILLO AMOLADOR 1621 RX 3603523041000</t>
  </si>
  <si>
    <t>3603.523.047-000</t>
  </si>
  <si>
    <t>3603.523.070-000</t>
  </si>
  <si>
    <t>3604.010.037-000</t>
  </si>
  <si>
    <t>INDUCIDO 0835 C/VENTILADOR</t>
  </si>
  <si>
    <t>3604.010.064-000</t>
  </si>
  <si>
    <t>INDUCIDO 1367</t>
  </si>
  <si>
    <t>3604.010.088-000</t>
  </si>
  <si>
    <t>INDUCIDO C/VENTIL. 1189.7 - NO COMP.</t>
  </si>
  <si>
    <t>3604.010.501-000</t>
  </si>
  <si>
    <t>INDUCIDO 1614</t>
  </si>
  <si>
    <t>3604.011.523-000</t>
  </si>
  <si>
    <t>INDUCIDO 1273 DISCONT.</t>
  </si>
  <si>
    <t>3604.011.587-000</t>
  </si>
  <si>
    <t>INDUCIDO 1420 C/VENT.    RA586</t>
  </si>
  <si>
    <t>3604.011.621-000</t>
  </si>
  <si>
    <t>INDUCIDO 1613 RX2610941202</t>
  </si>
  <si>
    <t>3604.080.018-000</t>
  </si>
  <si>
    <t>INDUCIDO 2472</t>
  </si>
  <si>
    <t>3604.080.024-000</t>
  </si>
  <si>
    <t>INDUCIDO 2240 2331</t>
  </si>
  <si>
    <t>3604.080.025-000</t>
  </si>
  <si>
    <t>INDUCIDO P/2332</t>
  </si>
  <si>
    <t>3604.080.037-000</t>
  </si>
  <si>
    <t>INDUCIDO 2242/2243</t>
  </si>
  <si>
    <t>3604.080.044-000</t>
  </si>
  <si>
    <t>INDUCIDO  2334.1</t>
  </si>
  <si>
    <t>3604.080.053-000</t>
  </si>
  <si>
    <t>INDUCIDO 2324.3</t>
  </si>
  <si>
    <t>3604.080.054-000</t>
  </si>
  <si>
    <t>INDUCIDO SIN ARROLLAMIENTO 2209</t>
  </si>
  <si>
    <t>3604.080.055-000</t>
  </si>
  <si>
    <t>3604.080.070-000</t>
  </si>
  <si>
    <t>INDUCIDO 2334</t>
  </si>
  <si>
    <t>3604.090.009-000</t>
  </si>
  <si>
    <t>ESTATOR 7352</t>
  </si>
  <si>
    <t>3604.090.022-000</t>
  </si>
  <si>
    <t>3604.090.023-000</t>
  </si>
  <si>
    <t>ESTATOR 7457</t>
  </si>
  <si>
    <t>3604.090.029-000</t>
  </si>
  <si>
    <t>ESTATOR \ 320W  7360.1 7260.17160.5</t>
  </si>
  <si>
    <t>3604.090.034-000</t>
  </si>
  <si>
    <t>3604.090.044-000</t>
  </si>
  <si>
    <t>ESTATOR 7461</t>
  </si>
  <si>
    <t>3604.090.046-000</t>
  </si>
  <si>
    <t>ESTATOR 7561118</t>
  </si>
  <si>
    <t>3604.090.049-000</t>
  </si>
  <si>
    <t>ESTATOR 7352112</t>
  </si>
  <si>
    <t>3604.090.057-000</t>
  </si>
  <si>
    <t>ESTATOR 7661</t>
  </si>
  <si>
    <t>3604.090.064-000</t>
  </si>
  <si>
    <t>ESTATOR 7452</t>
  </si>
  <si>
    <t>3604.220.021-000</t>
  </si>
  <si>
    <t>3604.220.033-000</t>
  </si>
  <si>
    <t>INDUCIDO 7457</t>
  </si>
  <si>
    <t>3604.220.034-000</t>
  </si>
  <si>
    <t>INDUCIDO 7160501</t>
  </si>
  <si>
    <t>3604.220.039-000</t>
  </si>
  <si>
    <t>INDUCIDO 7460401</t>
  </si>
  <si>
    <t>3604.220.042-000</t>
  </si>
  <si>
    <t>INDUCIDO 7260101</t>
  </si>
  <si>
    <t>3604.220.043-000</t>
  </si>
  <si>
    <t>INDUCIDO  7360.1 7461.2</t>
  </si>
  <si>
    <t>3604.220.044-000</t>
  </si>
  <si>
    <t>CC: ROTOR 7561105 TESOURA FACA</t>
  </si>
  <si>
    <t>3604.220.046-000</t>
  </si>
  <si>
    <t>ESTATOR 1120.5 RX1604220375</t>
  </si>
  <si>
    <t>3604.220.047-000</t>
  </si>
  <si>
    <t>INDUCIDO 7561118</t>
  </si>
  <si>
    <t>3604.220.061-000</t>
  </si>
  <si>
    <t>INDUCIDO 7461</t>
  </si>
  <si>
    <t>3604.220.069-000</t>
  </si>
  <si>
    <t>ESTATOR 0835</t>
  </si>
  <si>
    <t>3604.220.077-000</t>
  </si>
  <si>
    <t>INDUCIDO 7352109</t>
  </si>
  <si>
    <t>3604.220.078-000</t>
  </si>
  <si>
    <t>INDUCIDO 7252103/ 7252.1</t>
  </si>
  <si>
    <t>3604.220.085-000</t>
  </si>
  <si>
    <t>3604.220.092-000</t>
  </si>
  <si>
    <t>ESTATOR 1551.1</t>
  </si>
  <si>
    <t>3604.220.097-000</t>
  </si>
  <si>
    <t>INDUCIDO 7661</t>
  </si>
  <si>
    <t>3604.220.159-000</t>
  </si>
  <si>
    <t>INDUCIDO 7452</t>
  </si>
  <si>
    <t>3604.220.512-000</t>
  </si>
  <si>
    <t>ESTATOR 1273</t>
  </si>
  <si>
    <t>3604.220.559-000</t>
  </si>
  <si>
    <t>ESTATOR 1614</t>
  </si>
  <si>
    <t>3604.220.570-000</t>
  </si>
  <si>
    <t>ESTATOR 1613</t>
  </si>
  <si>
    <t>3604.229.057-000</t>
  </si>
  <si>
    <t>ESTATOR 2239/2240/2241/2330/2331</t>
  </si>
  <si>
    <t>3604.229.064-000</t>
  </si>
  <si>
    <t>3604.229.082-000</t>
  </si>
  <si>
    <t>ESTATOR 2242/43</t>
  </si>
  <si>
    <t>3604.229.095-000</t>
  </si>
  <si>
    <t>ESTATOR P/2332</t>
  </si>
  <si>
    <t>3604.229.109-000</t>
  </si>
  <si>
    <t>ESTATOR 2334</t>
  </si>
  <si>
    <t>3604.229.110-000</t>
  </si>
  <si>
    <t>ESTATOR \ 200V/300HZ  2334.1</t>
  </si>
  <si>
    <t>3604.229.114-000</t>
  </si>
  <si>
    <t>ESTATOR 2324.3</t>
  </si>
  <si>
    <t>3604.321.513-000</t>
  </si>
  <si>
    <t>CARBONES 1614</t>
  </si>
  <si>
    <t>3604.321.514-000</t>
  </si>
  <si>
    <t>CARBONES. SUB 2610.007.957 RX 2610007957</t>
  </si>
  <si>
    <t>3604.336.001-000</t>
  </si>
  <si>
    <t>PORTACARBONES 0835 OBSOLETO</t>
  </si>
  <si>
    <t>3604.336.012-000</t>
  </si>
  <si>
    <t>PORTACARBON GBM 23-2 Ra1607000189</t>
  </si>
  <si>
    <t>3604.336.507-000</t>
  </si>
  <si>
    <t>CARBONES RX 2610013632000</t>
  </si>
  <si>
    <t>3604.336.510-000</t>
  </si>
  <si>
    <t>PORTACARBONES 1614 OBSOLETO</t>
  </si>
  <si>
    <t>3604.422.049-000</t>
  </si>
  <si>
    <t>ROLLO DE CABLE</t>
  </si>
  <si>
    <t>3604.438.020-000</t>
  </si>
  <si>
    <t>CABLE DE CONEXION 1621</t>
  </si>
  <si>
    <t>3604.460.117-000</t>
  </si>
  <si>
    <t>CONDUCTOR DE LUZ 1621</t>
  </si>
  <si>
    <t>3604.460.132-000</t>
  </si>
  <si>
    <t>CONDUCTOR DE LUZ EXACT 6</t>
  </si>
  <si>
    <t>3604.460.526-000</t>
  </si>
  <si>
    <t>CABLE CONEX. 1273</t>
  </si>
  <si>
    <t>3604.462.002-000</t>
  </si>
  <si>
    <t>CABLE ESPIRAL 4P 0,75X4MM-2234</t>
  </si>
  <si>
    <t>3604.462.003-000</t>
  </si>
  <si>
    <t>CABLE ESPIRAL 4P 0,75X6MM-2234</t>
  </si>
  <si>
    <t>3604.462.004-000</t>
  </si>
  <si>
    <t>CONDUCTOR EN ESPIRAL(TODAS HF)</t>
  </si>
  <si>
    <t>3604.462.005-000</t>
  </si>
  <si>
    <t>3604.462.017-000</t>
  </si>
  <si>
    <t>CABLE 2240/42/43 2331/34 DISCONT</t>
  </si>
  <si>
    <t>3604.478.004-000</t>
  </si>
  <si>
    <t>CASQUILLO DE ENCHUFE 2240/42/43 2334</t>
  </si>
  <si>
    <t>3604.601.001-000</t>
  </si>
  <si>
    <t>ANILLO DE MUELLE 2490.412</t>
  </si>
  <si>
    <t>3604.610.007-000</t>
  </si>
  <si>
    <t>3604.610.011-000</t>
  </si>
  <si>
    <t>MUELLE DE COMPRESION EXACT 8/10/9//6/4</t>
  </si>
  <si>
    <t>3604.610.024-000</t>
  </si>
  <si>
    <t>3604.610.027-000</t>
  </si>
  <si>
    <t>MUELLE DE COMPRESION 7461</t>
  </si>
  <si>
    <t>3604.610.038-000</t>
  </si>
  <si>
    <t>RESORTE 2324</t>
  </si>
  <si>
    <t>3604.610.044-000</t>
  </si>
  <si>
    <t>MUELLE DE COMPRESION 7661</t>
  </si>
  <si>
    <t>3604.610.045-000</t>
  </si>
  <si>
    <t>MUELLE  7661 OBSOLETO</t>
  </si>
  <si>
    <t>3604.610.046-000</t>
  </si>
  <si>
    <t>MUELLE  7661</t>
  </si>
  <si>
    <t>3604.610.047-000</t>
  </si>
  <si>
    <t>3604.610.057-000</t>
  </si>
  <si>
    <t>MUELLE DE COMPRESION 7452</t>
  </si>
  <si>
    <t>3604.611.006-000</t>
  </si>
  <si>
    <t>ARANDELA DE PRESION 7561118</t>
  </si>
  <si>
    <t>3604.611.019-000</t>
  </si>
  <si>
    <t>MUELLE DE COMPRESION 2240/42/43 2331</t>
  </si>
  <si>
    <t>3604.611.020-000</t>
  </si>
  <si>
    <t>MUELLE DE COMPRESION 2490.412</t>
  </si>
  <si>
    <t>3604.611.021-000</t>
  </si>
  <si>
    <t>MUELLE  2490.412</t>
  </si>
  <si>
    <t>3604.611.022-000</t>
  </si>
  <si>
    <t>RESORTE EXACT 12/10/9/8/6/2/4</t>
  </si>
  <si>
    <t>3604.611.037-000</t>
  </si>
  <si>
    <t>MUELLE EXACT2/3/6/7/8/14/15/17/22/23/30</t>
  </si>
  <si>
    <t>3604.611.039-000</t>
  </si>
  <si>
    <t>3604.613.506-000</t>
  </si>
  <si>
    <t>RESORTE 1420/1423</t>
  </si>
  <si>
    <t>3604.613.507-000</t>
  </si>
  <si>
    <t>3604.613.508-000</t>
  </si>
  <si>
    <t>3604.615.000-000</t>
  </si>
  <si>
    <t>MUELLE DE COMPRESION  7461.2</t>
  </si>
  <si>
    <t>3604.615.001-000</t>
  </si>
  <si>
    <t>3604.615.004-000</t>
  </si>
  <si>
    <t>3604.615.009-000</t>
  </si>
  <si>
    <t>3604.616.002-000</t>
  </si>
  <si>
    <t>3604.616.008-000</t>
  </si>
  <si>
    <t>RESORTE 7561118</t>
  </si>
  <si>
    <t>3604.616.013-000</t>
  </si>
  <si>
    <t>MUELLE DE COMPRESION  7560.5.</t>
  </si>
  <si>
    <t>3604.617.000-000</t>
  </si>
  <si>
    <t>3604.618.003-000</t>
  </si>
  <si>
    <t>MUELLE DE COMPRESION \ BLANCO</t>
  </si>
  <si>
    <t>3604.618.008-000</t>
  </si>
  <si>
    <t>RESORTE INT.  11239.7</t>
  </si>
  <si>
    <t>3604.619.000-000</t>
  </si>
  <si>
    <t>MUELLEDECOMPRESION \ Ø 4MM 7461.2</t>
  </si>
  <si>
    <t>3604.619.003-000</t>
  </si>
  <si>
    <t>MUELLE COMPRESION \ AMARILLO EXACT 6/2/4</t>
  </si>
  <si>
    <t>3604.619.004-000</t>
  </si>
  <si>
    <t>3604.619.015-000</t>
  </si>
  <si>
    <t>RESORTE DE EMBRAGUE 17/23/30</t>
  </si>
  <si>
    <t>3604.619.020-000</t>
  </si>
  <si>
    <t>MUELLE COMPRESION \ AZUL   EXACT 8/10/9</t>
  </si>
  <si>
    <t>3604.619.500-000</t>
  </si>
  <si>
    <t>3604.630.000-000</t>
  </si>
  <si>
    <t>MUELLE DE COMPRESION - 3227</t>
  </si>
  <si>
    <t>3604.643.002-000</t>
  </si>
  <si>
    <t>MUELLE DE COMPRESION 7457</t>
  </si>
  <si>
    <t>3604.643.010-000</t>
  </si>
  <si>
    <t>3604.643.012-000</t>
  </si>
  <si>
    <t>RESORTE 7460401/7160509/7160.5</t>
  </si>
  <si>
    <t>3604.643.013-000</t>
  </si>
  <si>
    <t>3604.643.016-000</t>
  </si>
  <si>
    <t>3604.648.504-000</t>
  </si>
  <si>
    <t>MUELLE DE TRACCION 1614</t>
  </si>
  <si>
    <t>3604.650.000-000</t>
  </si>
  <si>
    <t>RESORTE 7560501</t>
  </si>
  <si>
    <t>3604.651.005-000</t>
  </si>
  <si>
    <t>MUELLE CON PATAS 1621</t>
  </si>
  <si>
    <t>3604.651.006-000</t>
  </si>
  <si>
    <t>3604.651.008-000</t>
  </si>
  <si>
    <t>RESORTE DE TRABA 1367</t>
  </si>
  <si>
    <t>3604.651.009-000</t>
  </si>
  <si>
    <t>RESORTE DE TORSION 1367</t>
  </si>
  <si>
    <t>3604.651.010-000</t>
  </si>
  <si>
    <t>MUELLE CON PATAS 1367</t>
  </si>
  <si>
    <t>3604.651.011-000</t>
  </si>
  <si>
    <t>FLEJE DE SUJECION 1367</t>
  </si>
  <si>
    <t>3604.651.012-000</t>
  </si>
  <si>
    <t>3604.651.016-000</t>
  </si>
  <si>
    <t>MUELLE DE TORSION 1621</t>
  </si>
  <si>
    <t>3604.651.502-000</t>
  </si>
  <si>
    <t>MUELLE DE TORSIÓN 1613/1614</t>
  </si>
  <si>
    <t>3604.651.503-000</t>
  </si>
  <si>
    <t>MUELLE DE COMPRESIÓN 1F17/1613/1614</t>
  </si>
  <si>
    <t>3604.652.500-000</t>
  </si>
  <si>
    <t>3604.652.501-000</t>
  </si>
  <si>
    <t>MOLA ESPIRAL</t>
  </si>
  <si>
    <t>3604.680.002-000</t>
  </si>
  <si>
    <t>MUELLE FLEXION PERFILADO 1621</t>
  </si>
  <si>
    <t>3604.680.500-000</t>
  </si>
  <si>
    <t>MUELLE DE AJUSTE 1276</t>
  </si>
  <si>
    <t>3604.682.002-000</t>
  </si>
  <si>
    <t>FRENO DE LEVA 7352112</t>
  </si>
  <si>
    <t>3604.710.003-000</t>
  </si>
  <si>
    <t>PINO CILINDRICO</t>
  </si>
  <si>
    <t>3604.710.031-000</t>
  </si>
  <si>
    <t>3604.710.054-000</t>
  </si>
  <si>
    <t>PIN 7352112</t>
  </si>
  <si>
    <t>3604.710.055-000</t>
  </si>
  <si>
    <t>CLAVIJA 7461.2</t>
  </si>
  <si>
    <t>3604.710.057-000</t>
  </si>
  <si>
    <t>3604.730.001-000</t>
  </si>
  <si>
    <t>CADENA DE SIERRA 0835.1 DISCONT.</t>
  </si>
  <si>
    <t>3604.736.505-000</t>
  </si>
  <si>
    <t>CORREA 1273.7/1276</t>
  </si>
  <si>
    <t>3605.102.040-000</t>
  </si>
  <si>
    <t>CARCASA DEL MOTOR 2209</t>
  </si>
  <si>
    <t>3605.102.076-000</t>
  </si>
  <si>
    <t>CARCASA 2324</t>
  </si>
  <si>
    <t>3605.102.079-000</t>
  </si>
  <si>
    <t>CARCASA DEL MOTOR 2305</t>
  </si>
  <si>
    <t>3605.105.014-000</t>
  </si>
  <si>
    <t>CARCASA 2490.412</t>
  </si>
  <si>
    <t>3605.105.015-000</t>
  </si>
  <si>
    <t>3605.105.016-000</t>
  </si>
  <si>
    <t>CARCASA        EXACT 8/10/12</t>
  </si>
  <si>
    <t>3605.105.017-000</t>
  </si>
  <si>
    <t>CARCASA ANGLE EXACT 2/3/6/7/8/15</t>
  </si>
  <si>
    <t>3605.105.019-000</t>
  </si>
  <si>
    <t>SOPORTE DE LED 2490</t>
  </si>
  <si>
    <t>3605.105.020-000</t>
  </si>
  <si>
    <t>3605.105.023-000</t>
  </si>
  <si>
    <t>SOPORTE DE LED ANGLE 17/23/30</t>
  </si>
  <si>
    <t>3605.105.024-000</t>
  </si>
  <si>
    <t>3605.105.025-000</t>
  </si>
  <si>
    <t>CARCASA ANGLE 17/23730</t>
  </si>
  <si>
    <t>3605.105.027-000</t>
  </si>
  <si>
    <t>3605.105.028-000</t>
  </si>
  <si>
    <t>3605.105.029-000</t>
  </si>
  <si>
    <t>3605.105.030-000</t>
  </si>
  <si>
    <t>3605.105.035-000</t>
  </si>
  <si>
    <t>CARCASA EXACT 2249</t>
  </si>
  <si>
    <t>3605.106.071-000</t>
  </si>
  <si>
    <t>ALOJAMIENTO DE HUSILLO</t>
  </si>
  <si>
    <t>3605.106.093-000</t>
  </si>
  <si>
    <t>ALOJAMIENTO DE HUSILLO 7452</t>
  </si>
  <si>
    <t>3605.106.107-000</t>
  </si>
  <si>
    <t>Gear Housing</t>
  </si>
  <si>
    <t>3605.108.040-000</t>
  </si>
  <si>
    <t>CUERPOR DE MOTOR 7160504/7160.5</t>
  </si>
  <si>
    <t>3605.108.045-000</t>
  </si>
  <si>
    <t>BOQUILLA 7260101</t>
  </si>
  <si>
    <t>3605.108.053-000</t>
  </si>
  <si>
    <t>CUERPO DE MOTOR 7260101</t>
  </si>
  <si>
    <t>3605.108.056-000</t>
  </si>
  <si>
    <t>CUERPO MOTOR 7460401/7160509</t>
  </si>
  <si>
    <t>3605.108.059-000</t>
  </si>
  <si>
    <t>CUERPO DE MOTOR 7352112</t>
  </si>
  <si>
    <t>3605.108.070-000</t>
  </si>
  <si>
    <t>CUERPO DE MOTOR 7460001</t>
  </si>
  <si>
    <t>3605.108.072-000</t>
  </si>
  <si>
    <t>CARCACA DO MOTOR</t>
  </si>
  <si>
    <t>3605.108.073-000</t>
  </si>
  <si>
    <t>CARCASA DEL MOTOR 7461</t>
  </si>
  <si>
    <t>3605.108.084-000</t>
  </si>
  <si>
    <t>3605.108.091-000</t>
  </si>
  <si>
    <t>CARCASA  1121.1</t>
  </si>
  <si>
    <t>3605.108.092-000</t>
  </si>
  <si>
    <t>CARCASA DE MOTOR 1120.5</t>
  </si>
  <si>
    <t>3605.108.101-000</t>
  </si>
  <si>
    <t>CARCASA DE MOTOR 3227</t>
  </si>
  <si>
    <t>3605.108.109-000</t>
  </si>
  <si>
    <t>3605.108.114-000</t>
  </si>
  <si>
    <t>3605.108.159-000</t>
  </si>
  <si>
    <t>CARCASA DEL MOTOR 2242/43</t>
  </si>
  <si>
    <t>3605.108.160-000</t>
  </si>
  <si>
    <t>3605.108.161-000</t>
  </si>
  <si>
    <t>CARCASA DEL MOTOR \ GR.810  2334.1</t>
  </si>
  <si>
    <t>3605.108.171-000</t>
  </si>
  <si>
    <t>CARCASA DE MOTOR 7661</t>
  </si>
  <si>
    <t>3605.108.181-000</t>
  </si>
  <si>
    <t>CARCASA DE MOTOR 1189.7</t>
  </si>
  <si>
    <t>3605.108.193-000</t>
  </si>
  <si>
    <t>CUBIERTA PROTECTORA 1621</t>
  </si>
  <si>
    <t>3605.108.194-000</t>
  </si>
  <si>
    <t>CARCASA 1621</t>
  </si>
  <si>
    <t>3605.108.557-000</t>
  </si>
  <si>
    <t>CARCASA 1420          RA559</t>
  </si>
  <si>
    <t>3605.108.561-000</t>
  </si>
  <si>
    <t>CARCASA 1273</t>
  </si>
  <si>
    <t>3605.108.566-000</t>
  </si>
  <si>
    <t>TAPA CUBIERTA 1273</t>
  </si>
  <si>
    <t>3605.108.580-000</t>
  </si>
  <si>
    <t>CARCASA 1614</t>
  </si>
  <si>
    <t>3605.108.584-000</t>
  </si>
  <si>
    <t>3605.109.000-000</t>
  </si>
  <si>
    <t>PISTON 7352112 RX3607030494000</t>
  </si>
  <si>
    <t>3605.110.078-000</t>
  </si>
  <si>
    <t>3605.110.079-000</t>
  </si>
  <si>
    <t>3605.125.031-000</t>
  </si>
  <si>
    <t>3605.125.032-000</t>
  </si>
  <si>
    <t>CARCACA INTERMEDIARIA</t>
  </si>
  <si>
    <t>3605.125.033-000</t>
  </si>
  <si>
    <t>CAJA DE ENGRANAJES  7160.5</t>
  </si>
  <si>
    <t>3605.125.034-000</t>
  </si>
  <si>
    <t>CARCACA DO MANCAL</t>
  </si>
  <si>
    <t>3605.125.049-000</t>
  </si>
  <si>
    <t>CAPUCHON 7160501</t>
  </si>
  <si>
    <t>3605.125.050-000</t>
  </si>
  <si>
    <t>CAJA DE ENGRANAJES 7461</t>
  </si>
  <si>
    <t>3605.125.051-000</t>
  </si>
  <si>
    <t>3605.125.062-000</t>
  </si>
  <si>
    <t>CARCASA 7452</t>
  </si>
  <si>
    <t>3605.132.024-000</t>
  </si>
  <si>
    <t>MANGO 2209</t>
  </si>
  <si>
    <t>3605.132.031-000</t>
  </si>
  <si>
    <t>EMPUÑADURA AUX. GBM 23-2 RA1605132098</t>
  </si>
  <si>
    <t>3605.132.042-000</t>
  </si>
  <si>
    <t>MANGO AMOLADORA A.F.2304</t>
  </si>
  <si>
    <t>3605.132.048-000</t>
  </si>
  <si>
    <t>EMPUNADURA 2501/2305</t>
  </si>
  <si>
    <t>3605.132.077-000</t>
  </si>
  <si>
    <t>3605.133.012-000</t>
  </si>
  <si>
    <t>CARCASA EMPUÑADURA 1120.5</t>
  </si>
  <si>
    <t>3605.133.015-000</t>
  </si>
  <si>
    <t>MANGO 1120.5</t>
  </si>
  <si>
    <t>3605.133.019-000</t>
  </si>
  <si>
    <t>CC: PUNHO</t>
  </si>
  <si>
    <t>3605.133.521-000</t>
  </si>
  <si>
    <t>TAPA DE EMPU#ADURA 1420</t>
  </si>
  <si>
    <t>3605.133.526-000</t>
  </si>
  <si>
    <t>TAPA DE EMPU¥.IZQ.1614</t>
  </si>
  <si>
    <t>3605.133.528-000</t>
  </si>
  <si>
    <t>TAPA DE EMPU¥.DER.1614</t>
  </si>
  <si>
    <t>3605.133.530-000</t>
  </si>
  <si>
    <t>TAPA DE EMPU¥AD.DER.1613</t>
  </si>
  <si>
    <t>3605.133.531-000</t>
  </si>
  <si>
    <t>TAPA DE EMPU¥AD.IZQ.1613</t>
  </si>
  <si>
    <t>3605.190.078-000</t>
  </si>
  <si>
    <t>MANGO 7457</t>
  </si>
  <si>
    <t>3605.190.104-000</t>
  </si>
  <si>
    <t>CAJA-MECANISMO PERCUTOR  7560.5</t>
  </si>
  <si>
    <t>3605.190.118-000</t>
  </si>
  <si>
    <t>PIEZA DE IMPACTO 7560502 RX 360519020000</t>
  </si>
  <si>
    <t>3605.190.137-000</t>
  </si>
  <si>
    <t>UNIDADE DE VALVULA</t>
  </si>
  <si>
    <t>3605.190.163-000</t>
  </si>
  <si>
    <t>CARCASA MANGO 0835.1.2</t>
  </si>
  <si>
    <t>3605.190.183-000</t>
  </si>
  <si>
    <t>CARCASA PROTECTORA 1367</t>
  </si>
  <si>
    <t>3605.190.188-000</t>
  </si>
  <si>
    <t>3605.190.195-000</t>
  </si>
  <si>
    <t>CARCASA DE VALVULA 7452</t>
  </si>
  <si>
    <t>3605.190.199-000</t>
  </si>
  <si>
    <t>Impact Mechanism Housing</t>
  </si>
  <si>
    <t>3605.190.200-000</t>
  </si>
  <si>
    <t>3605.190.512-000</t>
  </si>
  <si>
    <t>CABEZAL 1420</t>
  </si>
  <si>
    <t>3605.190.520-000</t>
  </si>
  <si>
    <t>EMBRAGUE 1420 OBSOLETO</t>
  </si>
  <si>
    <t>3605.190.522-000</t>
  </si>
  <si>
    <t>CARTER DE EMBRAGUE 1423.7</t>
  </si>
  <si>
    <t>3605.190.526-000</t>
  </si>
  <si>
    <t>CAJA DE ENGRANAJE 1423.7</t>
  </si>
  <si>
    <t>3605.405.000-000</t>
  </si>
  <si>
    <t>DEPOSITO DE ACEITE 0835 RX3607030320</t>
  </si>
  <si>
    <t>3605.430.001-000</t>
  </si>
  <si>
    <t>GRASA ROD. - RX 1615430020</t>
  </si>
  <si>
    <t>3605.430.002-000</t>
  </si>
  <si>
    <t>TUBO DE GRASA 225 ML</t>
  </si>
  <si>
    <t>3605.430.003-000</t>
  </si>
  <si>
    <t>TUBO DE GRASA ALBIDA 1E8F.0</t>
  </si>
  <si>
    <t>3605.430.008-000</t>
  </si>
  <si>
    <t>ACEITE AERO FLUID 4 SHELL 7661</t>
  </si>
  <si>
    <t>3605.430.009-000</t>
  </si>
  <si>
    <t>TUBO DE GRASA 225 ML - VP 720</t>
  </si>
  <si>
    <t>3605.500.017-000</t>
  </si>
  <si>
    <t>DEFLECTOR DE AIRE 1436.8</t>
  </si>
  <si>
    <t>3605.500.025-000</t>
  </si>
  <si>
    <t>VALVULA 7560.5</t>
  </si>
  <si>
    <t>3605.500.026-000</t>
  </si>
  <si>
    <t>3605.500.032-000</t>
  </si>
  <si>
    <t>TAPA-RACOR  7352.17252.1</t>
  </si>
  <si>
    <t>3605.500.043-000</t>
  </si>
  <si>
    <t>TAPA DE COJINETE 1189.7</t>
  </si>
  <si>
    <t>3605.500.046-000</t>
  </si>
  <si>
    <t>TAPA-RACOR 7461 DISCONT.</t>
  </si>
  <si>
    <t>3605.500.058-000</t>
  </si>
  <si>
    <t>TAPA DE CIERRE 1121</t>
  </si>
  <si>
    <t>3605.500.059-000</t>
  </si>
  <si>
    <t>TAPA 1121         RA1605500061</t>
  </si>
  <si>
    <t>3605.500.127-000</t>
  </si>
  <si>
    <t>BASE C/CAPERUZA PROTECT.1368</t>
  </si>
  <si>
    <t>3605.500.147-000</t>
  </si>
  <si>
    <t>TAPA DE CUERPO 7661</t>
  </si>
  <si>
    <t>3605.500.148-000</t>
  </si>
  <si>
    <t>TAPA DE CIERRE 7661</t>
  </si>
  <si>
    <t>3605.500.149-000</t>
  </si>
  <si>
    <t>3605.500.153-000</t>
  </si>
  <si>
    <t>TAPA 1189.7</t>
  </si>
  <si>
    <t>3605.500.164-000</t>
  </si>
  <si>
    <t>CAPERUZA DE PROTECCION 1621</t>
  </si>
  <si>
    <t>3605.500.171-000</t>
  </si>
  <si>
    <t>CAPERUZA DE PROTECCION EXACT</t>
  </si>
  <si>
    <t>3605.500.172-000</t>
  </si>
  <si>
    <t>CAPERUZA DE PROTECCION EXACT OBSOLETO</t>
  </si>
  <si>
    <t>3605.500.175-000</t>
  </si>
  <si>
    <t>3605.500.187-000</t>
  </si>
  <si>
    <t>Cojinete Intermedio</t>
  </si>
  <si>
    <t>3605.500.194-000</t>
  </si>
  <si>
    <t>BOLSA DE PROTECCION 1B21.1</t>
  </si>
  <si>
    <t>3605.500.220-000</t>
  </si>
  <si>
    <t>Sealing cap</t>
  </si>
  <si>
    <t>3605.500.222-000</t>
  </si>
  <si>
    <t>Tapa del acumulador</t>
  </si>
  <si>
    <t>3605.500.576-000</t>
  </si>
  <si>
    <t>CUBIERTA DE EMPU¥ADURA 1276</t>
  </si>
  <si>
    <t>3605.500.579-000</t>
  </si>
  <si>
    <t>TAPA DE VENTILADOR 1276</t>
  </si>
  <si>
    <t>3605.500.593-000</t>
  </si>
  <si>
    <t>TAPA DE CARCASA 1614</t>
  </si>
  <si>
    <t>3605.510.007-000</t>
  </si>
  <si>
    <t>COBERTA PROTETORA</t>
  </si>
  <si>
    <t>3605.510.031-000</t>
  </si>
  <si>
    <t>CUBIERTA PROTECTORA 2240</t>
  </si>
  <si>
    <t>3605.510.032-000</t>
  </si>
  <si>
    <t>CUBIERTA PROTECTORA 2242</t>
  </si>
  <si>
    <t>3605.510.033-000</t>
  </si>
  <si>
    <t>CUBIERTA PROTECTORA 2243</t>
  </si>
  <si>
    <t>3605.510.040-000</t>
  </si>
  <si>
    <t>ADAPTADOR ASPIRACIÓN 1773</t>
  </si>
  <si>
    <t>3605.510.505-000</t>
  </si>
  <si>
    <t>TAPA ENGRAN.1276  RA2610993630</t>
  </si>
  <si>
    <t>3605.510.525-000</t>
  </si>
  <si>
    <t>CUBIERTA INFERIOR 1276</t>
  </si>
  <si>
    <t>3605.510.538-000</t>
  </si>
  <si>
    <t>CUBIERTA PROTECTORA 1273</t>
  </si>
  <si>
    <t>3605.510.547-000</t>
  </si>
  <si>
    <t>TAPA 1613</t>
  </si>
  <si>
    <t>3605.510.548-000</t>
  </si>
  <si>
    <t>FOLE</t>
  </si>
  <si>
    <t>3605.700.011-000</t>
  </si>
  <si>
    <t>3605.700.012-000</t>
  </si>
  <si>
    <t>3605.700.039-000</t>
  </si>
  <si>
    <t>TAPA  7360.1 7260.1 7160.5</t>
  </si>
  <si>
    <t>3605.700.040-000</t>
  </si>
  <si>
    <t>TAPA C/ENGRANAJE 7160501/511</t>
  </si>
  <si>
    <t>3605.700.058-000</t>
  </si>
  <si>
    <t>TAPA 7260101</t>
  </si>
  <si>
    <t>3605.700.064-000</t>
  </si>
  <si>
    <t>3605.700.065-000</t>
  </si>
  <si>
    <t>ENGRANAJE 7460401</t>
  </si>
  <si>
    <t>3605.700.074-000</t>
  </si>
  <si>
    <t>BRIDA DE COJINETE 7352.1 7252.1</t>
  </si>
  <si>
    <t>3605.700.076-000</t>
  </si>
  <si>
    <t>BRIDA DE COJINETE  7461.2  7460.0</t>
  </si>
  <si>
    <t>3605.700.078-000</t>
  </si>
  <si>
    <t>3605.700.082-000</t>
  </si>
  <si>
    <t>BRIDA INTERMEDIA  7252.1</t>
  </si>
  <si>
    <t>3605.700.119-000</t>
  </si>
  <si>
    <t>BRIDA ANGULAR 2490.412</t>
  </si>
  <si>
    <t>3605.700.120-000</t>
  </si>
  <si>
    <t>3605.700.141-000</t>
  </si>
  <si>
    <t>BRIDA DE COJINETE 7661</t>
  </si>
  <si>
    <t>3605.700.158-000</t>
  </si>
  <si>
    <t>BRIDA DE COJINETE  1773/1621</t>
  </si>
  <si>
    <t>3605.700.165-000</t>
  </si>
  <si>
    <t>BRIDA ANGULAR 2490</t>
  </si>
  <si>
    <t>3605.700.170-000</t>
  </si>
  <si>
    <t>3605.700.173-000</t>
  </si>
  <si>
    <t>BRIDA DE COJINETE 7452 RX 3605700190000</t>
  </si>
  <si>
    <t>3605.700.174-000</t>
  </si>
  <si>
    <t>BRIDA DE COJINETE 7452</t>
  </si>
  <si>
    <t>3605.700.175-000</t>
  </si>
  <si>
    <t>3605.700.176-000</t>
  </si>
  <si>
    <t>3605.700.177-000</t>
  </si>
  <si>
    <t>3605.700.179-000</t>
  </si>
  <si>
    <t>3605.700.180-000</t>
  </si>
  <si>
    <t>3605.700.186-000</t>
  </si>
  <si>
    <t>BRIDA INTERMEDIA 1B21.1</t>
  </si>
  <si>
    <t>3605.700.190-000</t>
  </si>
  <si>
    <t>3605.700.191-000</t>
  </si>
  <si>
    <t>3605.700.192-000</t>
  </si>
  <si>
    <t>3605.700.210-000</t>
  </si>
  <si>
    <t>Brida de rodamiento</t>
  </si>
  <si>
    <t>3605.700.211-000</t>
  </si>
  <si>
    <t>3605.700.213-000</t>
  </si>
  <si>
    <t>FLUJO INTERMEDIO BAJO</t>
  </si>
  <si>
    <t>3605.702.581-000</t>
  </si>
  <si>
    <t>PERNO GUIA 1614</t>
  </si>
  <si>
    <t>3605.702.583-000</t>
  </si>
  <si>
    <t>CARCASA INFERIOR 1614</t>
  </si>
  <si>
    <t>3605.702.588-000</t>
  </si>
  <si>
    <t>ENVOLVENTE DE VENTILADOR 1613</t>
  </si>
  <si>
    <t>3605.702.598-000</t>
  </si>
  <si>
    <t>BASE 1613</t>
  </si>
  <si>
    <t>3605.703.029-000</t>
  </si>
  <si>
    <t>BRIDA DE ALOJAMIENTO</t>
  </si>
  <si>
    <t>3605.703.065-000</t>
  </si>
  <si>
    <t>ANILLO DE APRIETE 2243</t>
  </si>
  <si>
    <t>3605.703.066-000</t>
  </si>
  <si>
    <t>ANILLO DE APRIETE 2242</t>
  </si>
  <si>
    <t>3605.703.067-000</t>
  </si>
  <si>
    <t>BRIDA DE ALOJAMIENTO DISCONTINUADO</t>
  </si>
  <si>
    <t>3605.703.068-000</t>
  </si>
  <si>
    <t>BRIDA DE ALOJAMIENTO 2240</t>
  </si>
  <si>
    <t>3605.703.069-000</t>
  </si>
  <si>
    <t>BRIDA DE ALOJAMIENTO 2243</t>
  </si>
  <si>
    <t>3605.703.070-000</t>
  </si>
  <si>
    <t>BRIDA DE ALOJAMIENTO 2242</t>
  </si>
  <si>
    <t>3605.703.074-000</t>
  </si>
  <si>
    <t>ANILLO DE APRIETE 2242/43</t>
  </si>
  <si>
    <t>3605.703.077-000</t>
  </si>
  <si>
    <t>ANILLO DE APRIETE 2240</t>
  </si>
  <si>
    <t>3605.703.078-000</t>
  </si>
  <si>
    <t>3605.703.089-000</t>
  </si>
  <si>
    <t>BRIDA DE ALOJAMIENTO 2211/12/42</t>
  </si>
  <si>
    <t>3605.703.112-000</t>
  </si>
  <si>
    <t>Clamping-Flange</t>
  </si>
  <si>
    <t>3605.801.000-000</t>
  </si>
  <si>
    <t>ELEMENTO DE VALVULA 7457</t>
  </si>
  <si>
    <t>3605.805.009-000</t>
  </si>
  <si>
    <t>BRIDA DE COJINETES 2335.034</t>
  </si>
  <si>
    <t>3605.805.032-000</t>
  </si>
  <si>
    <t>CONJ. EJE/BRIDA 1373 OBSOLETO</t>
  </si>
  <si>
    <t>3605.805.038-000</t>
  </si>
  <si>
    <t>BRIDA INTERMEDIA 17/23/30</t>
  </si>
  <si>
    <t>3605.806.050-000</t>
  </si>
  <si>
    <t>CABEZAL  7352.1</t>
  </si>
  <si>
    <t>3605.806.053-000</t>
  </si>
  <si>
    <t>CABEZAL 1215078/.7 RX F000635264</t>
  </si>
  <si>
    <t>3605.806.066-000</t>
  </si>
  <si>
    <t>COJINETE HUSILLO 2119</t>
  </si>
  <si>
    <t>3605.806.067-000</t>
  </si>
  <si>
    <t>3605.806.109-000</t>
  </si>
  <si>
    <t>ALOJAMIENTO DE HUSILLO 2209</t>
  </si>
  <si>
    <t>3605.806.112-000</t>
  </si>
  <si>
    <t>COJINETE DE HUSILLO</t>
  </si>
  <si>
    <t>3605.806.114-000</t>
  </si>
  <si>
    <t>CARCASA ATORNILL.2433/34</t>
  </si>
  <si>
    <t>3605.806.138-000</t>
  </si>
  <si>
    <t>BRIDA DE COJINETE  2334.1</t>
  </si>
  <si>
    <t>3605.806.184-000</t>
  </si>
  <si>
    <t>COJIN. DE HUSILLO 1189.7</t>
  </si>
  <si>
    <t>3605.806.188-000</t>
  </si>
  <si>
    <t>TAPA INTERMEDIA 1189.7 RX 3607030438000</t>
  </si>
  <si>
    <t>3605.806.201-000</t>
  </si>
  <si>
    <t>CAJA DE ENGRANAJES 2490 RX 3605806216000</t>
  </si>
  <si>
    <t>3605.806.216-000</t>
  </si>
  <si>
    <t>3605.806.508-000</t>
  </si>
  <si>
    <t>TAPA DEL CUERPO 1273</t>
  </si>
  <si>
    <t>3605.806.537-000</t>
  </si>
  <si>
    <t>CONJ.SOPORTE 1423.7-RA544</t>
  </si>
  <si>
    <t>3605.806.541-000</t>
  </si>
  <si>
    <t>TAPA 1420</t>
  </si>
  <si>
    <t>3605.820.002-000</t>
  </si>
  <si>
    <t>BRIDA DE COJINETE 2213</t>
  </si>
  <si>
    <t>3605.820.013-000</t>
  </si>
  <si>
    <t>TAPA INTERMEDIA</t>
  </si>
  <si>
    <t>3605.820.036-000</t>
  </si>
  <si>
    <t>TAPA INTERMEDIA 1120.5</t>
  </si>
  <si>
    <t>3605.820.037-000</t>
  </si>
  <si>
    <t>CARCASA INTERMEDIA 1121.1</t>
  </si>
  <si>
    <t>3605.820.064-000</t>
  </si>
  <si>
    <t>BRIDA DE COJINETE 2305</t>
  </si>
  <si>
    <t>3605.820.065-000</t>
  </si>
  <si>
    <t>BRIDA DE COJINETE 2209</t>
  </si>
  <si>
    <t>3606.100.005-000</t>
  </si>
  <si>
    <t>RUEDA CONICA 2418</t>
  </si>
  <si>
    <t>3606.100.008-000</t>
  </si>
  <si>
    <t>RUEDA DENTADA DE ANGULO 7457</t>
  </si>
  <si>
    <t>3606.100.010-000</t>
  </si>
  <si>
    <t>ENGRANAJE 2472/52/57/7457</t>
  </si>
  <si>
    <t>3606.100.101-000</t>
  </si>
  <si>
    <t>3606.100.511-000</t>
  </si>
  <si>
    <t>ENGRANAJE C/EJE 1273 DISCONTINUADO</t>
  </si>
  <si>
    <t>3606.110.002-000</t>
  </si>
  <si>
    <t>ARBOL EXCENTRICO 1507.1</t>
  </si>
  <si>
    <t>3606.120.005-000</t>
  </si>
  <si>
    <t>HUSILLO AMOLADOR 2242/43</t>
  </si>
  <si>
    <t>3606.120.009-000</t>
  </si>
  <si>
    <t>HUSILLO AMOLADOR 2240</t>
  </si>
  <si>
    <t>3606.120.565-000</t>
  </si>
  <si>
    <t>ENGRANAJE 1420</t>
  </si>
  <si>
    <t>3606.120.567-000</t>
  </si>
  <si>
    <t>ENGRANAJE 1423.7 DISCONTINUADO</t>
  </si>
  <si>
    <t>3606.135.004-000</t>
  </si>
  <si>
    <t>EJE SALIDA RX 009</t>
  </si>
  <si>
    <t>3606.135.006-000</t>
  </si>
  <si>
    <t>HUSILLO 1189.7</t>
  </si>
  <si>
    <t>3606.135.009-000</t>
  </si>
  <si>
    <t>HUSILLO DE LA BROCA RA 004</t>
  </si>
  <si>
    <t>3606.200.029-000</t>
  </si>
  <si>
    <t>ENGRANAJE 2472/73</t>
  </si>
  <si>
    <t>3606.300.007-000</t>
  </si>
  <si>
    <t>PIÑON - ALTA FRECUENCIA</t>
  </si>
  <si>
    <t>3606.300.050-000</t>
  </si>
  <si>
    <t>PIÑON 7457</t>
  </si>
  <si>
    <t>3606.300.072-000</t>
  </si>
  <si>
    <t>3606.300.091-000</t>
  </si>
  <si>
    <t>RUEDA DE ENGRANAJE 2243</t>
  </si>
  <si>
    <t>3606.300.092-000</t>
  </si>
  <si>
    <t>3606.300.097-000</t>
  </si>
  <si>
    <t>RUEDA DE ENGRANAJE 2242</t>
  </si>
  <si>
    <t>3606.300.098-000</t>
  </si>
  <si>
    <t>PIÑON 2242</t>
  </si>
  <si>
    <t>3606.300.103-000</t>
  </si>
  <si>
    <t>RUEDA DE ENGRANAJE 2240</t>
  </si>
  <si>
    <t>3606.300.104-000</t>
  </si>
  <si>
    <t>PIÑON 2240</t>
  </si>
  <si>
    <t>3606.300.109-000</t>
  </si>
  <si>
    <t>ENGRANAJE 2239/2240</t>
  </si>
  <si>
    <t>3606.300.110-000</t>
  </si>
  <si>
    <t>PIÑON 2239/2240</t>
  </si>
  <si>
    <t>3606.300.137-000</t>
  </si>
  <si>
    <t>PINON 2490</t>
  </si>
  <si>
    <t>3606.300.138-000</t>
  </si>
  <si>
    <t>PIÑON EXACT 29/30/2490/91</t>
  </si>
  <si>
    <t>3606.300.139-000</t>
  </si>
  <si>
    <t>PIÑON EXACT 17/2490</t>
  </si>
  <si>
    <t>3606.300.144-000</t>
  </si>
  <si>
    <t>3606.300.147-000</t>
  </si>
  <si>
    <t>3606.300.156-000</t>
  </si>
  <si>
    <t>3606.300.177-000</t>
  </si>
  <si>
    <t>3606.302.500-000</t>
  </si>
  <si>
    <t>3606.309.015-000</t>
  </si>
  <si>
    <t>PI¥ON 2335.034</t>
  </si>
  <si>
    <t>3606.309.016-000</t>
  </si>
  <si>
    <t>PIÑON P/2332 2334.1</t>
  </si>
  <si>
    <t>3606.309.054-000</t>
  </si>
  <si>
    <t>EMBRAGUE 1189.7</t>
  </si>
  <si>
    <t>3606.309.058-000</t>
  </si>
  <si>
    <t>Arbol Dentado</t>
  </si>
  <si>
    <t>3606.309.060-000</t>
  </si>
  <si>
    <t>PIÑON EXACT 4</t>
  </si>
  <si>
    <t>3606.309.061-000</t>
  </si>
  <si>
    <t>PIÑON EXACT</t>
  </si>
  <si>
    <t>3606.316.000-000</t>
  </si>
  <si>
    <t>RUEDA DENTADA RECTA 7452</t>
  </si>
  <si>
    <t>3606.316.001-000</t>
  </si>
  <si>
    <t>3606.316.002-000</t>
  </si>
  <si>
    <t>3606.316.004-000</t>
  </si>
  <si>
    <t>RUEDA DENTADA RECTA EXACT. 7457 RX. 102</t>
  </si>
  <si>
    <t>3606.316.011-000</t>
  </si>
  <si>
    <t>ENGRANAJE 7460001</t>
  </si>
  <si>
    <t>3606.316.015-000</t>
  </si>
  <si>
    <t>ENGRANAJE 1507</t>
  </si>
  <si>
    <t>3606.316.057-000</t>
  </si>
  <si>
    <t>RUEDA DENTADA P/AMOLAD.RECTA</t>
  </si>
  <si>
    <t>3606.316.062-000</t>
  </si>
  <si>
    <t>RUEDA DENTADA RECTA 2490/7641</t>
  </si>
  <si>
    <t>3606.316.073-000</t>
  </si>
  <si>
    <t>3606.316.075-000</t>
  </si>
  <si>
    <t>RUEDA DENTADA RECTA \ Z= 16  7461.2</t>
  </si>
  <si>
    <t>3606.316.090-000</t>
  </si>
  <si>
    <t>3606.316.091-000</t>
  </si>
  <si>
    <t>RUEDA DENTADA RECTA - ALTA FRECUENCIA</t>
  </si>
  <si>
    <t>3606.316.093-000</t>
  </si>
  <si>
    <t>3606.316.097-000</t>
  </si>
  <si>
    <t>RUEDA PLANETARIA</t>
  </si>
  <si>
    <t>3606.316.098-000</t>
  </si>
  <si>
    <t>Cylindrical Gear</t>
  </si>
  <si>
    <t>3606.316.099-000</t>
  </si>
  <si>
    <t>3606.316.100-000</t>
  </si>
  <si>
    <t>3606.316.102-000</t>
  </si>
  <si>
    <t>RUEDA DENTADA RECTA EXACT. 7457 RA. 004</t>
  </si>
  <si>
    <t>3606.316.108-000</t>
  </si>
  <si>
    <t>RUEDA DENTADA 1121 Ra 1606317084</t>
  </si>
  <si>
    <t>3606.316.110-000</t>
  </si>
  <si>
    <t>3606.316.111-000</t>
  </si>
  <si>
    <t>ENGRANAJE CILINDRICO</t>
  </si>
  <si>
    <t>3606.316.116-000</t>
  </si>
  <si>
    <t>3606.317.002-000</t>
  </si>
  <si>
    <t>RUEDA DENTADA RECTA 7457</t>
  </si>
  <si>
    <t>3606.317.021-000</t>
  </si>
  <si>
    <t>ENGRANAJE 0835</t>
  </si>
  <si>
    <t>3606.317.031-000</t>
  </si>
  <si>
    <t>ARBOL CON RUEDA DENTADA 0835 OBSOLETO</t>
  </si>
  <si>
    <t>3606.317.047-000</t>
  </si>
  <si>
    <t>ENGRANAJE Z=34 1189.7</t>
  </si>
  <si>
    <t>3606.317.048-000</t>
  </si>
  <si>
    <t>ENGRANAJE Z=45 1189.7</t>
  </si>
  <si>
    <t>3606.317.055-000</t>
  </si>
  <si>
    <t>3606.319.522-000</t>
  </si>
  <si>
    <t>ENGRANAJE 1423.7</t>
  </si>
  <si>
    <t>3606.319.525-000</t>
  </si>
  <si>
    <t>3606.320.012-000</t>
  </si>
  <si>
    <t>3606.328.018-000</t>
  </si>
  <si>
    <t>PIÑON        EXACT 12/10/9</t>
  </si>
  <si>
    <t>3606.333.032-000</t>
  </si>
  <si>
    <t>PIÑON 2314</t>
  </si>
  <si>
    <t>3606.333.033-000</t>
  </si>
  <si>
    <t>CORONA 2313 - DISCONTINUADO</t>
  </si>
  <si>
    <t>3606.333.045-000</t>
  </si>
  <si>
    <t>RUEDA CONICA \ Z= 23  7352.1</t>
  </si>
  <si>
    <t>3606.333.047-000</t>
  </si>
  <si>
    <t>PIÑON 2331</t>
  </si>
  <si>
    <t>3606.333.048-000</t>
  </si>
  <si>
    <t>PIÑON 2332-2334</t>
  </si>
  <si>
    <t>3606.333.057-000</t>
  </si>
  <si>
    <t>PIÑON 2324.3</t>
  </si>
  <si>
    <t>3606.333.075-000</t>
  </si>
  <si>
    <t>JUEGO DE RUEDA CONICA</t>
  </si>
  <si>
    <t>3606.333.078-000</t>
  </si>
  <si>
    <t>RUEDA DENTADA DE ANGULO 7452</t>
  </si>
  <si>
    <t>3606.333.079-000</t>
  </si>
  <si>
    <t>RUEDA CONICA 7452</t>
  </si>
  <si>
    <t>3606.334.009-000</t>
  </si>
  <si>
    <t>CORONA DENTADA 1507/1531</t>
  </si>
  <si>
    <t>3606.334.015-000</t>
  </si>
  <si>
    <t>CAJA DE ENGRANAJES 7457</t>
  </si>
  <si>
    <t>3606.334.018-000</t>
  </si>
  <si>
    <t>ENGRANAJE 7160501</t>
  </si>
  <si>
    <t>3606.334.021-000</t>
  </si>
  <si>
    <t>3606.334.049-000</t>
  </si>
  <si>
    <t>CORONA 7352109</t>
  </si>
  <si>
    <t>3606.334.054-000</t>
  </si>
  <si>
    <t>RUEDA 7461.2</t>
  </si>
  <si>
    <t>3606.334.056-000</t>
  </si>
  <si>
    <t>CORONA ENGRANAJE 2335.034</t>
  </si>
  <si>
    <t>3606.334.058-000</t>
  </si>
  <si>
    <t>CORONA P/2332  2334.1</t>
  </si>
  <si>
    <t>3606.334.059-000</t>
  </si>
  <si>
    <t>CORONA 2331</t>
  </si>
  <si>
    <t>3606.334.061-000</t>
  </si>
  <si>
    <t>CORONA 2332-2334</t>
  </si>
  <si>
    <t>3606.334.082-000</t>
  </si>
  <si>
    <t>ACOPLAMIENTO 2238</t>
  </si>
  <si>
    <t>3606.334.086-000</t>
  </si>
  <si>
    <t>CORONA Z=37 2324.3</t>
  </si>
  <si>
    <t>3606.334.095-000</t>
  </si>
  <si>
    <t>CORONA DENTADA 7452</t>
  </si>
  <si>
    <t>3606.337.052-000</t>
  </si>
  <si>
    <t>BRAZO PLANETARIO 7457</t>
  </si>
  <si>
    <t>3606.337.054-000</t>
  </si>
  <si>
    <t>3606.337.056-000</t>
  </si>
  <si>
    <t>PLANETARIO 7460001</t>
  </si>
  <si>
    <t>3606.337.115-000</t>
  </si>
  <si>
    <t>ARRASTRADOR  7461.2</t>
  </si>
  <si>
    <t>3606.337.119-000</t>
  </si>
  <si>
    <t>BRAZO PLANETARIO 7461</t>
  </si>
  <si>
    <t>3606.337.143-000</t>
  </si>
  <si>
    <t>3606.337.210-000</t>
  </si>
  <si>
    <t>3606.337.211-000</t>
  </si>
  <si>
    <t>BRAZO PLANETARIO</t>
  </si>
  <si>
    <t>3606.337.213-000</t>
  </si>
  <si>
    <t>3606.337.219-000</t>
  </si>
  <si>
    <t>BRAZO PLANETARIO 7452</t>
  </si>
  <si>
    <t>3606.337.220-000</t>
  </si>
  <si>
    <t>3606.337.226-000</t>
  </si>
  <si>
    <t>3606.441.503-000</t>
  </si>
  <si>
    <t>CONJ.PIEZAS 1420.7/1423.7</t>
  </si>
  <si>
    <t>3606.445.008-000</t>
  </si>
  <si>
    <t>PIEZA DEL EMBRAGUE 7461</t>
  </si>
  <si>
    <t>3606.445.028-000</t>
  </si>
  <si>
    <t>PIEZA DEL EMBRAGUE 7457</t>
  </si>
  <si>
    <t>3606.445.032-000</t>
  </si>
  <si>
    <t>PIEZA DEL EMBRAGUE  7461.2</t>
  </si>
  <si>
    <t>3606.445.043-000</t>
  </si>
  <si>
    <t>PIEZA EMBRAGUE EXACT 8/10/9/4/2/6 RA038</t>
  </si>
  <si>
    <t>3606.445.044-000</t>
  </si>
  <si>
    <t>EMBRAGUE ANGLE 17/23/30</t>
  </si>
  <si>
    <t>3606.445.045-000</t>
  </si>
  <si>
    <t>SEMIACOPLAMIENTO 1221</t>
  </si>
  <si>
    <t>3606.455.036-000</t>
  </si>
  <si>
    <t>SEMIACOPLAMIENTO 2490.412</t>
  </si>
  <si>
    <t>3606.455.037-000</t>
  </si>
  <si>
    <t>RUEDA DE EMBRAGUE 2490.412</t>
  </si>
  <si>
    <t>3606.455.038-000</t>
  </si>
  <si>
    <t>DISCO 2490.412</t>
  </si>
  <si>
    <t>3606.455.042-000</t>
  </si>
  <si>
    <t>MESA DE CORTE</t>
  </si>
  <si>
    <t>3606.490.000-000</t>
  </si>
  <si>
    <t>EIXO DE ACIONAMENTO</t>
  </si>
  <si>
    <t>3606.490.004-000</t>
  </si>
  <si>
    <t>3606.490.005-000</t>
  </si>
  <si>
    <t>PECA DE ACOPLAMENTO</t>
  </si>
  <si>
    <t>3606.491.000-000</t>
  </si>
  <si>
    <t>Pieza Del Embrague</t>
  </si>
  <si>
    <t>3606.610.002-000</t>
  </si>
  <si>
    <t>VENTILADOR 1189.7</t>
  </si>
  <si>
    <t>3606.610.004-000</t>
  </si>
  <si>
    <t>VENTILADOR 2242</t>
  </si>
  <si>
    <t>3606.610.010-000</t>
  </si>
  <si>
    <t>VENTILADOR 2324.3</t>
  </si>
  <si>
    <t>3606.625.529-000</t>
  </si>
  <si>
    <t>ENGRANAJE 1273.7</t>
  </si>
  <si>
    <t>3606.625.531-000</t>
  </si>
  <si>
    <t>POLEA 1273.7</t>
  </si>
  <si>
    <t>3606.625.533-000</t>
  </si>
  <si>
    <t>RODILLO 1273.7 OBSOLETO</t>
  </si>
  <si>
    <t>3606.625.540-000</t>
  </si>
  <si>
    <t>RODILLO 1273</t>
  </si>
  <si>
    <t>3607.000.000-000</t>
  </si>
  <si>
    <t>SILENCIADOR 7352.1/7461/7457 RX 073-000</t>
  </si>
  <si>
    <t>3607.000.027-000</t>
  </si>
  <si>
    <t>TUBO FLEXIBLE PARA AIRE  7461.2  7460.0</t>
  </si>
  <si>
    <t>3607.000.073-000</t>
  </si>
  <si>
    <t>Silenciador</t>
  </si>
  <si>
    <t>3607.000.509-000</t>
  </si>
  <si>
    <t>BRIDA ALOJAMIENTO CABLE 11304</t>
  </si>
  <si>
    <t>3607.010.005-000</t>
  </si>
  <si>
    <t>ANEL-O DISCONT.</t>
  </si>
  <si>
    <t>3607.010.006-000</t>
  </si>
  <si>
    <t>CONJUNTO 7260101</t>
  </si>
  <si>
    <t>3607.010.007-000</t>
  </si>
  <si>
    <t>JUEGO DE PIEZAS 7457</t>
  </si>
  <si>
    <t>3607.010.017-000</t>
  </si>
  <si>
    <t>3607.010.018-000</t>
  </si>
  <si>
    <t>3607.010.026-000</t>
  </si>
  <si>
    <t>O'RING 7460401/7160.5</t>
  </si>
  <si>
    <t>3607.010.031-000</t>
  </si>
  <si>
    <t>RODAMIENTO DE AGUJAS 1500</t>
  </si>
  <si>
    <t>3607.014.000-000</t>
  </si>
  <si>
    <t>CARBONES 1120.5/1121.1 RX012</t>
  </si>
  <si>
    <t>3607.014.003-000</t>
  </si>
  <si>
    <t>CARBONES 1189.7</t>
  </si>
  <si>
    <t>3607.014.010-000</t>
  </si>
  <si>
    <t>CARBONES 1773/1621</t>
  </si>
  <si>
    <t>3607.014.012-000</t>
  </si>
  <si>
    <t>CARBONES 1120/21/1366 127/220</t>
  </si>
  <si>
    <t>3607.014.507-000</t>
  </si>
  <si>
    <t>CARBONES 1273.7</t>
  </si>
  <si>
    <t>3607.020.033-000</t>
  </si>
  <si>
    <t>CARCASA 1507</t>
  </si>
  <si>
    <t>3607.020.041-000</t>
  </si>
  <si>
    <t>CABEZAL ACODADO P.TORNIL. 2490</t>
  </si>
  <si>
    <t>3607.020.075-000</t>
  </si>
  <si>
    <t>CABEZAL COMPL.AMOL.A.F.2331/34 2334.1</t>
  </si>
  <si>
    <t>3607.020.161-000</t>
  </si>
  <si>
    <t>CABEZAL ACODADO</t>
  </si>
  <si>
    <t>3607.020.163-000</t>
  </si>
  <si>
    <t>3607.020.165-000</t>
  </si>
  <si>
    <t>3607.020.192-000</t>
  </si>
  <si>
    <t>CABEZAL ACODADO P.TORNIL. 7457</t>
  </si>
  <si>
    <t>3607.020.263-000</t>
  </si>
  <si>
    <t>RODAMIENTO RODILLOS</t>
  </si>
  <si>
    <t>3607.020.314-000</t>
  </si>
  <si>
    <t>CABEZAL ACODADO P.TORNIL. Ra 3609202A44</t>
  </si>
  <si>
    <t>3607.020.315-000</t>
  </si>
  <si>
    <t>CABEZAL ACODADO P.TORNIL. Ra 3609202A99</t>
  </si>
  <si>
    <t>3607.021.012-000</t>
  </si>
  <si>
    <t>REGULADOR MECANICO  7352.1</t>
  </si>
  <si>
    <t>3607.030.030-000</t>
  </si>
  <si>
    <t>LAMINAS 7461</t>
  </si>
  <si>
    <t>3607.030.033-000</t>
  </si>
  <si>
    <t>RACOR DE EMPALME  7461.2</t>
  </si>
  <si>
    <t>3607.030.059-000</t>
  </si>
  <si>
    <t>CONJUNTO PIEZAS RECAMBIO  7461.2</t>
  </si>
  <si>
    <t>3607.030.064-000</t>
  </si>
  <si>
    <t>MANDRIL CAMBIO RAPIDO  7461.2</t>
  </si>
  <si>
    <t>3607.030.093-000</t>
  </si>
  <si>
    <t>3607.030.095-000</t>
  </si>
  <si>
    <t>3607.030.109-000</t>
  </si>
  <si>
    <t>CONJUNTO PIEZAS RECAMBIO 7461</t>
  </si>
  <si>
    <t>3607.030.131-000</t>
  </si>
  <si>
    <t>COIFA DE VEDACAO</t>
  </si>
  <si>
    <t>3607.030.149-000</t>
  </si>
  <si>
    <t>3607.030.233-000</t>
  </si>
  <si>
    <t>CONJUNTO PIEZAS RECAMBIO 2209/2305</t>
  </si>
  <si>
    <t>3607.030.239-000</t>
  </si>
  <si>
    <t>CABLE  2334.1</t>
  </si>
  <si>
    <t>3607.030.244-000</t>
  </si>
  <si>
    <t>LAMINAS 7460401/7160.5</t>
  </si>
  <si>
    <t>3607.030.251-000</t>
  </si>
  <si>
    <t>CABEZAL 2324.3</t>
  </si>
  <si>
    <t>3607.030.252-000</t>
  </si>
  <si>
    <t>BRIDA DE CABEZAL 2324.3</t>
  </si>
  <si>
    <t>3607.030.254-000</t>
  </si>
  <si>
    <t>PALHETA DE ACO</t>
  </si>
  <si>
    <t>3607.030.260-000</t>
  </si>
  <si>
    <t>LAMINAS 7352112</t>
  </si>
  <si>
    <t>3607.030.289-000</t>
  </si>
  <si>
    <t>CONJUNTO PIEZAS RECAMBIO  2334.1</t>
  </si>
  <si>
    <t>3607.030.290-000</t>
  </si>
  <si>
    <t>JUEGO PIEZAS DE FIJACION  2334.1</t>
  </si>
  <si>
    <t>3607.030.292-000</t>
  </si>
  <si>
    <t>JGOS. LAMINAS 7253.101</t>
  </si>
  <si>
    <t>3607.030.293-000</t>
  </si>
  <si>
    <t>CONJUNTO PIEZAS RECAMBIO 7457</t>
  </si>
  <si>
    <t>3607.030.294-000</t>
  </si>
  <si>
    <t>MOTOR 2490.412</t>
  </si>
  <si>
    <t>3607.030.300-000</t>
  </si>
  <si>
    <t>LAMINA 7450599</t>
  </si>
  <si>
    <t>3607.030.320-000</t>
  </si>
  <si>
    <t>DEPOSITO DE ACEITE 0835 RA3605405000</t>
  </si>
  <si>
    <t>3607.030.321-000</t>
  </si>
  <si>
    <t>CABEZAL COMPL.AMOL.2304/05/2501</t>
  </si>
  <si>
    <t>3607.030.322-000</t>
  </si>
  <si>
    <t>JUEGO DE LAMINAS 7450.791</t>
  </si>
  <si>
    <t>3607.030.331-000</t>
  </si>
  <si>
    <t>JUEGO DE LAMINAS 7661</t>
  </si>
  <si>
    <t>3607.030.332-000</t>
  </si>
  <si>
    <t>CONJUNTO 7661</t>
  </si>
  <si>
    <t>3607.030.333-000</t>
  </si>
  <si>
    <t>3607.030.334-000</t>
  </si>
  <si>
    <t>CONJUNTO 7661 - DISCONTINUADO</t>
  </si>
  <si>
    <t>3607.030.335-000</t>
  </si>
  <si>
    <t>CONJUNTO PIEZAS RECAMBIO 7661</t>
  </si>
  <si>
    <t>3607.030.347-000</t>
  </si>
  <si>
    <t>3607.030.351-000</t>
  </si>
  <si>
    <t>3607.030.352-000</t>
  </si>
  <si>
    <t>3607.030.354-000</t>
  </si>
  <si>
    <t>CONE DE VALVULA  MÁQ. PNEUMÁTICA</t>
  </si>
  <si>
    <t>3607.030.360-000</t>
  </si>
  <si>
    <t>3607.030.374-000</t>
  </si>
  <si>
    <t>DISCO ABRASIVO</t>
  </si>
  <si>
    <t>3607.030.375-000</t>
  </si>
  <si>
    <t>BRIDA 2305 RA3600100075-3605805018</t>
  </si>
  <si>
    <t>3607.030.377-000</t>
  </si>
  <si>
    <t>CABEZAL 1773 RX16058065B1000</t>
  </si>
  <si>
    <t>3607.030.408-000</t>
  </si>
  <si>
    <t>TORQUE EXACT 8/6/2/12 RX 3607030488000</t>
  </si>
  <si>
    <t>3607.030.409-000</t>
  </si>
  <si>
    <t>BRAZO PLANETARIO EXACT 10/9/7 RX 490-000</t>
  </si>
  <si>
    <t>3607.030.414-000</t>
  </si>
  <si>
    <t>ENGRANAJE PLANET EXACT 4/6/1100 RX 442</t>
  </si>
  <si>
    <t>3607.030.418-000</t>
  </si>
  <si>
    <t>CABEÇOTE RETO</t>
  </si>
  <si>
    <t>3607.030.424-000</t>
  </si>
  <si>
    <t>3607.030.426-000</t>
  </si>
  <si>
    <t>ENGRANAJE PLANETARIO ANGLE 17/23/30</t>
  </si>
  <si>
    <t>3607.030.427-000</t>
  </si>
  <si>
    <t>3607.030.429-000</t>
  </si>
  <si>
    <t>ENGRANAJE PLAN.EXACT 17/2490/91</t>
  </si>
  <si>
    <t>3607.030.436-000</t>
  </si>
  <si>
    <t>COJINETE INTERMEDIO</t>
  </si>
  <si>
    <t>3607.030.438-000</t>
  </si>
  <si>
    <t>TAPA INTERMEDIA 1189.7</t>
  </si>
  <si>
    <t>3607.030.440-000</t>
  </si>
  <si>
    <t>ENGRANAJE PLANET. EXACT 25/40/50 RX 472</t>
  </si>
  <si>
    <t>3607.030.441-000</t>
  </si>
  <si>
    <t>ENGRANAJE PLANETARIO RX 3607030471</t>
  </si>
  <si>
    <t>3607.030.442-000</t>
  </si>
  <si>
    <t>ENGRANAJE PLANET. EXACT 4/6/1100 RA 414</t>
  </si>
  <si>
    <t>3607.030.443-000</t>
  </si>
  <si>
    <t>TORQUE EXACT 8/6/2/12 - RX 488</t>
  </si>
  <si>
    <t>3607.030.467-000</t>
  </si>
  <si>
    <t>CONJUNTO PIEZA RECAMBIO</t>
  </si>
  <si>
    <t>3607.030.469-000</t>
  </si>
  <si>
    <t>ENGRANAJE PLANETARIO RA 414 Y 442</t>
  </si>
  <si>
    <t>3607.030.471-000</t>
  </si>
  <si>
    <t>ENGRANAJE PLANETARIO RA 441</t>
  </si>
  <si>
    <t>3607.030.472-000</t>
  </si>
  <si>
    <t>ENGRANAJE PLANET.EXACT 25/40/50 RA 440</t>
  </si>
  <si>
    <t>3607.030.474-000</t>
  </si>
  <si>
    <t>UNIDAD TENSORA Ø6 MM 1B21.1/1B20.1</t>
  </si>
  <si>
    <t>3607.030.475-000</t>
  </si>
  <si>
    <t>ESTATOR 1220/1221</t>
  </si>
  <si>
    <t>3607.030.488-000</t>
  </si>
  <si>
    <t>TORQUE EXACT 8/6/2/12  RA 443</t>
  </si>
  <si>
    <t>3607.030.490-000</t>
  </si>
  <si>
    <t>ENGRANAJE PLANETARIO RA 409-000</t>
  </si>
  <si>
    <t>3607.030.492-000</t>
  </si>
  <si>
    <t>ENGRANAJE PLANETARIO EXACT.</t>
  </si>
  <si>
    <t>3607.030.494-000</t>
  </si>
  <si>
    <t>Módulo de émbolo</t>
  </si>
  <si>
    <t>3607.031.142-000</t>
  </si>
  <si>
    <t>ACONJUNTO PIEZAS RECAMBIO 7457</t>
  </si>
  <si>
    <t>3607.031.143-000</t>
  </si>
  <si>
    <t>ACOPL.DESCONEX.RECAM. 7457</t>
  </si>
  <si>
    <t>3607.031.146-000</t>
  </si>
  <si>
    <t>INDUCIDO 2313</t>
  </si>
  <si>
    <t>3607.031.147-000</t>
  </si>
  <si>
    <t>3607.031.159-000</t>
  </si>
  <si>
    <t>CONJUNTO DE PIEZAS DE RECAMBIO</t>
  </si>
  <si>
    <t>3607.031.168-000</t>
  </si>
  <si>
    <t>HUSILLO AMOLADOR  7252.1</t>
  </si>
  <si>
    <t>3607.031.182-000</t>
  </si>
  <si>
    <t>SOPORTE DEPOSITO 3227</t>
  </si>
  <si>
    <t>3607.031.199-000</t>
  </si>
  <si>
    <t>JUEGO DE PIEZAS 0835</t>
  </si>
  <si>
    <t>3607.031.201-000</t>
  </si>
  <si>
    <t>CJTO. PIEZAS REC. - CARCAZA 32</t>
  </si>
  <si>
    <t>3607.031.206-000</t>
  </si>
  <si>
    <t>CONJ.PLACA BASE 1612</t>
  </si>
  <si>
    <t>3607.031.207-000</t>
  </si>
  <si>
    <t>JUEGO DE PIEZAS 1621</t>
  </si>
  <si>
    <t>3607.031.208-000</t>
  </si>
  <si>
    <t>CONJ.BRIDA-HUSILLO-TUERCA 1612</t>
  </si>
  <si>
    <t>3607.031.288-000</t>
  </si>
  <si>
    <t>JUEGO PIEZAS DE FIJACION 2242/43</t>
  </si>
  <si>
    <t>3607.031.289-000</t>
  </si>
  <si>
    <t>COJINETE DE HUSILLO 2242/43</t>
  </si>
  <si>
    <t>3607.031.290-000</t>
  </si>
  <si>
    <t>JUEGO PIEZAS DE FIJACION 2240</t>
  </si>
  <si>
    <t>3607.031.291-000</t>
  </si>
  <si>
    <t>COJINETE DE HUSILLO 2240</t>
  </si>
  <si>
    <t>3607.031.292-000</t>
  </si>
  <si>
    <t>BRIDA DE COJINETE 2240/42/43</t>
  </si>
  <si>
    <t>3607.031.296-000</t>
  </si>
  <si>
    <t>JUEGO DE MUELLES  2334.1</t>
  </si>
  <si>
    <t>3607.031.297-000</t>
  </si>
  <si>
    <t>EMPUNADURA TRASERA 2331/34</t>
  </si>
  <si>
    <t>3607.031.298-000</t>
  </si>
  <si>
    <t>INTERRUPTOR P/2332-2331</t>
  </si>
  <si>
    <t>3607.031.299-000</t>
  </si>
  <si>
    <t>JUEGO DE MATERIAL DE PUES  2334.1</t>
  </si>
  <si>
    <t>3607.031.322-000</t>
  </si>
  <si>
    <t>PORTA PLANETÁRIAS 7160.504</t>
  </si>
  <si>
    <t>3607.031.335-000</t>
  </si>
  <si>
    <t>EMPUÑADURA AUXILIAR 1367</t>
  </si>
  <si>
    <t>3607.031.336-000</t>
  </si>
  <si>
    <t>CABEZAL 1367</t>
  </si>
  <si>
    <t>3607.031.342-000</t>
  </si>
  <si>
    <t>BRIDA DE COJINETE 2331</t>
  </si>
  <si>
    <t>3607.031.343-000</t>
  </si>
  <si>
    <t>3607.031.344-000</t>
  </si>
  <si>
    <t>BRIDA COJINETE 2335.034</t>
  </si>
  <si>
    <t>3607.031.346-000</t>
  </si>
  <si>
    <t>HUSILLO M14  2334.1 RA3603523025</t>
  </si>
  <si>
    <t>3607.031.534-000</t>
  </si>
  <si>
    <t>FITTED RING</t>
  </si>
  <si>
    <t>3607.031.535-000</t>
  </si>
  <si>
    <t>KIT DE TORQUE EXACT 7/8/9/10/12</t>
  </si>
  <si>
    <t>3607.031.537-000</t>
  </si>
  <si>
    <t>MOTOR EXACT 2, 6 ANGLE EXACT 3,8</t>
  </si>
  <si>
    <t>3607.031.538-000</t>
  </si>
  <si>
    <t>MOTOR CORRIENTE CONT 12V EXACT 12/10</t>
  </si>
  <si>
    <t>3607.031.545-000</t>
  </si>
  <si>
    <t>3607.031.546-000</t>
  </si>
  <si>
    <t>KIT</t>
  </si>
  <si>
    <t>3607.031.547-000</t>
  </si>
  <si>
    <t>BOTON GIRATORIO 1621</t>
  </si>
  <si>
    <t>3607.031.550-000</t>
  </si>
  <si>
    <t>OJETE PROTECTOR 2240/42/43 2331</t>
  </si>
  <si>
    <t>3607.031.551-000</t>
  </si>
  <si>
    <t>MOTOR C EXACT 9</t>
  </si>
  <si>
    <t>3607.031.552-000</t>
  </si>
  <si>
    <t>MOTOR EXACT 8</t>
  </si>
  <si>
    <t>3607.031.553-000</t>
  </si>
  <si>
    <t>MOTOR 9,6V EXACT 4/6</t>
  </si>
  <si>
    <t>3607.031.555-000</t>
  </si>
  <si>
    <t>MOTOR 9,6V  EXACT 2/7 2490</t>
  </si>
  <si>
    <t>3607.031.564-000</t>
  </si>
  <si>
    <t>MIC.INT.EXT 12/10/9/8/6/4/2 RX3609202762</t>
  </si>
  <si>
    <t>3607.031.566-000</t>
  </si>
  <si>
    <t>MOTOR 9,6V EXACT 15</t>
  </si>
  <si>
    <t>3607.031.567-000</t>
  </si>
  <si>
    <t>KIT PIEZAS</t>
  </si>
  <si>
    <t>3607.031.568-000</t>
  </si>
  <si>
    <t>3607.031.570-000</t>
  </si>
  <si>
    <t>ANDELA DE ENCASTRE EXACT12/9 RX360334407</t>
  </si>
  <si>
    <t>3607.031.571-000</t>
  </si>
  <si>
    <t>CARCASA DEL MOTOR ALTA FRECUENCIA</t>
  </si>
  <si>
    <t>3607.031.576-000</t>
  </si>
  <si>
    <t>3607.031.578-000</t>
  </si>
  <si>
    <t>KIT ANGLE 17/23/30</t>
  </si>
  <si>
    <t>3607.031.579-000</t>
  </si>
  <si>
    <t>MOTOR ANGLE 17/23/30</t>
  </si>
  <si>
    <t>3607.031.585-000</t>
  </si>
  <si>
    <t>3607.031.587-000</t>
  </si>
  <si>
    <t>MOTOR EXACT 17/2490</t>
  </si>
  <si>
    <t>3607.031.592-000</t>
  </si>
  <si>
    <t>MOTOR C/C</t>
  </si>
  <si>
    <t>3607.031.605-000</t>
  </si>
  <si>
    <t>3607.031.608-000</t>
  </si>
  <si>
    <t>3607.031.609-000</t>
  </si>
  <si>
    <t>3607.031.616-000</t>
  </si>
  <si>
    <t>MICROINTERRUPTOR 2490</t>
  </si>
  <si>
    <t>3607.031.620-000</t>
  </si>
  <si>
    <t>MOTOR CORRIENTE CONTINUA EXACT 412/02</t>
  </si>
  <si>
    <t>3607.031.624-000</t>
  </si>
  <si>
    <t>3607.031.625-000</t>
  </si>
  <si>
    <t>MOTOR CORRIENTE CONTINUA EXACT 10</t>
  </si>
  <si>
    <t>3607.031.626-000</t>
  </si>
  <si>
    <t>MOTOR CORRIENTE CONTINUA EXACT 1106/04</t>
  </si>
  <si>
    <t>3607.031.627-000</t>
  </si>
  <si>
    <t>MOTOR CORRIENTE CONTINUA EXACT 16</t>
  </si>
  <si>
    <t>3607.031.632-000</t>
  </si>
  <si>
    <t>MOTOR CORRIENTE CONTINUA EXACT 20/30/40</t>
  </si>
  <si>
    <t>3607.031.633-000</t>
  </si>
  <si>
    <t>MOTOR CORRIENTE CONTINUA EXACT 7/25</t>
  </si>
  <si>
    <t>3607.031.645-000</t>
  </si>
  <si>
    <t>TORNILLO HEXAG. INTERIOR RA 2603.414.026</t>
  </si>
  <si>
    <t>3607.031.651-000</t>
  </si>
  <si>
    <t>HUSILLO ESM.ALTA FREC.</t>
  </si>
  <si>
    <t>3607.031.652-000</t>
  </si>
  <si>
    <t>MOTOR CORRIENTE CONTINUA 14,4V</t>
  </si>
  <si>
    <t>3607.031.654-000</t>
  </si>
  <si>
    <t>3607.031.655-000</t>
  </si>
  <si>
    <t>MOTOR EXACT 2492</t>
  </si>
  <si>
    <t>3607.031.658-000</t>
  </si>
  <si>
    <t>BRIDA DE COJIN.AMOL.ALTA FREC.</t>
  </si>
  <si>
    <t>3607.031.667-000</t>
  </si>
  <si>
    <t>HUSILLO PORTAMUELA 1B21.1</t>
  </si>
  <si>
    <t>3607.031.756-000</t>
  </si>
  <si>
    <t>CARCASA ANGULAR - EXACT</t>
  </si>
  <si>
    <t>3607.031.757-000</t>
  </si>
  <si>
    <t>MOTOR DC EXACT RX 3607.031.827-000</t>
  </si>
  <si>
    <t>3607.031.758-000</t>
  </si>
  <si>
    <t>CONJ. DE CASCQUILLOS EXACT.</t>
  </si>
  <si>
    <t>3607.031.759-000</t>
  </si>
  <si>
    <t>3607.031.759-000 </t>
  </si>
  <si>
    <t>INTERRUPTOR 1800/1821/1282/1820</t>
  </si>
  <si>
    <t>3607.031.760-000</t>
  </si>
  <si>
    <t>3607.031.761-000</t>
  </si>
  <si>
    <t>PLACA ELECTRONICA ANGLE EXACT ION 15-500</t>
  </si>
  <si>
    <t>3607.031.762-000</t>
  </si>
  <si>
    <t>3607.031.765-000</t>
  </si>
  <si>
    <t>MOTOR ANGLE EXACT ION 30-300</t>
  </si>
  <si>
    <t>3607.031.766-000</t>
  </si>
  <si>
    <t>3607.031.767-000</t>
  </si>
  <si>
    <t>PLACA ELECTRONICA ANGLE EXACT ION 30-300</t>
  </si>
  <si>
    <t>3607.031.768-000</t>
  </si>
  <si>
    <t>BRIDA ANGULAR EXACT</t>
  </si>
  <si>
    <t>3607.031.770-000</t>
  </si>
  <si>
    <t>MOTOR ANGLE EXACT ION 50-190</t>
  </si>
  <si>
    <t>3607.031.771-000</t>
  </si>
  <si>
    <t>3607.031.772-000</t>
  </si>
  <si>
    <t>PLACA ELECTRONICA ANGLE EXACT ION 50-190</t>
  </si>
  <si>
    <t>3607.031.774-000</t>
  </si>
  <si>
    <t>CARCASA PISTOLA - EXACT</t>
  </si>
  <si>
    <t>3607.031.775-000</t>
  </si>
  <si>
    <t>MOTOR EXACT ION 6-1500</t>
  </si>
  <si>
    <t>3607.031.776-000</t>
  </si>
  <si>
    <t>3607.031.777-000</t>
  </si>
  <si>
    <t>PLACA ELECTRONICA EXACT ION 6-1500</t>
  </si>
  <si>
    <t>3607.031.779-000</t>
  </si>
  <si>
    <t>GRUPO MOTOR RX 3607.031.794-000</t>
  </si>
  <si>
    <t>3607.031.780-000</t>
  </si>
  <si>
    <t>3607.031.781-000</t>
  </si>
  <si>
    <t>PLACA ELECTRONICA EXACT ION 12-750</t>
  </si>
  <si>
    <t>3607.031.790-000</t>
  </si>
  <si>
    <t>GRUPO MOTOR EXACT.</t>
  </si>
  <si>
    <t>3607.031.791-000</t>
  </si>
  <si>
    <t>MODULO ELECTRONICO EXACT.</t>
  </si>
  <si>
    <t>3607.031.792-000</t>
  </si>
  <si>
    <t>3607.031.794-000</t>
  </si>
  <si>
    <t>MOTOR EXACT ION 12-750</t>
  </si>
  <si>
    <t>3607.031.827-000</t>
  </si>
  <si>
    <t>MOTOR ANGLE EXACT ION 15-500</t>
  </si>
  <si>
    <t>3607.031.860-000</t>
  </si>
  <si>
    <t>EJE EXCÉNTRICO</t>
  </si>
  <si>
    <t>3607.031.879-000</t>
  </si>
  <si>
    <t>3607.031.890-000</t>
  </si>
  <si>
    <t>EXACT ELECTRONIC MODULE Ra 3607031776</t>
  </si>
  <si>
    <t>3607.031.891-000</t>
  </si>
  <si>
    <t>ELECTRONIC BOARD Ra 3607031777</t>
  </si>
  <si>
    <t>3607.031.892-000</t>
  </si>
  <si>
    <t>MÓDULO ELECTRÓNICO        8-1100</t>
  </si>
  <si>
    <t>3607.031.893-000</t>
  </si>
  <si>
    <t>SISTEMA ELECTRÓNICO DE AC 8-1100</t>
  </si>
  <si>
    <t>3607.031.894-000</t>
  </si>
  <si>
    <t>EXACT ELECTRONIC MODULE Ra 3607031780</t>
  </si>
  <si>
    <t>3607.031.895-000</t>
  </si>
  <si>
    <t>3607.031.908-000</t>
  </si>
  <si>
    <t>EXACT ELECTRONIC MODULE Ra 3607031760</t>
  </si>
  <si>
    <t>3607.031.909-000</t>
  </si>
  <si>
    <t>ELECTRONIC BOARD Ra 3607031761</t>
  </si>
  <si>
    <t>3607.031.912-000</t>
  </si>
  <si>
    <t>EXACT ELECTRONIC MODULE Ra 3607031766</t>
  </si>
  <si>
    <t>3607.031.913-000</t>
  </si>
  <si>
    <t>ELECTRONIC BOARD Ra 3607031767</t>
  </si>
  <si>
    <t>3607.031.916-000</t>
  </si>
  <si>
    <t>MÓDULO ELECTRÓNICO       50-210</t>
  </si>
  <si>
    <t>3607.031.917-000</t>
  </si>
  <si>
    <t>ELECTRONIC BOARD Ra 3607031772</t>
  </si>
  <si>
    <t>3607.200.000-000</t>
  </si>
  <si>
    <t>LLAVE INVERSORA 1120/1121</t>
  </si>
  <si>
    <t>3607.200.001-000</t>
  </si>
  <si>
    <t>3607.200.024-000</t>
  </si>
  <si>
    <t>INTERRUPTOR 2231/2/4/5</t>
  </si>
  <si>
    <t>3607.200.063-000</t>
  </si>
  <si>
    <t>CONMUTADOR 2490.412</t>
  </si>
  <si>
    <t>3607.200.064-000</t>
  </si>
  <si>
    <t>INTERRUPTOR 1368</t>
  </si>
  <si>
    <t>3607.200.074-000</t>
  </si>
  <si>
    <t>INTERRUPTOR 1189.7</t>
  </si>
  <si>
    <t>3607.200.083-000</t>
  </si>
  <si>
    <t>INTERRUPTOR  EXACT 12/10/9/8/6/2/4</t>
  </si>
  <si>
    <t>3607.200.085-000</t>
  </si>
  <si>
    <t>GRUPO CONSTR. ELECTRONICO  EXACT RX097</t>
  </si>
  <si>
    <t>3607.200.086-000</t>
  </si>
  <si>
    <t>GRUPO CONSTR. ELEC EXACT12/10/8 RX 098</t>
  </si>
  <si>
    <t>3607.200.092-000</t>
  </si>
  <si>
    <t>PLAQUETA ELECTRONICA EXACT 2/3/6/7/8/15</t>
  </si>
  <si>
    <t>3607.200.093-000</t>
  </si>
  <si>
    <t>GRUPO CONSTRUCTIVO</t>
  </si>
  <si>
    <t>3607.200.094-000</t>
  </si>
  <si>
    <t>3607.200.095-000</t>
  </si>
  <si>
    <t>3607.200.096-000</t>
  </si>
  <si>
    <t>3607.200.097-000</t>
  </si>
  <si>
    <t>PLAQUETA ANGLE 2/4/6/7/9 RA 085 RX106</t>
  </si>
  <si>
    <t>3607.200.098-000</t>
  </si>
  <si>
    <t>PLAQUETA ELECTRONICA EXACT 12 RX 107</t>
  </si>
  <si>
    <t>3607.200.099-000</t>
  </si>
  <si>
    <t>INTERRUPTOR Y PLAQUETA ANGLE 17/23/30</t>
  </si>
  <si>
    <t>3607.200.106-000</t>
  </si>
  <si>
    <t>CIRCUIT PLATE EXACT 2,4,6,7,9,1100</t>
  </si>
  <si>
    <t>3607.200.107-000</t>
  </si>
  <si>
    <t>CIRCUIT PLATE EXACT 8,12, 700</t>
  </si>
  <si>
    <t>3607.200.108-000</t>
  </si>
  <si>
    <t>PLAQUETA EXACT 2/3/6/7/8/15 RA3607200092</t>
  </si>
  <si>
    <t>3607.200.109-000</t>
  </si>
  <si>
    <t>INTERRUPTOR Y PLAQUETA ANGLE 17</t>
  </si>
  <si>
    <t>3607.200.112-000</t>
  </si>
  <si>
    <t>GRUPO CONSTR. EL EXACT 409</t>
  </si>
  <si>
    <t>3607.200.113-000</t>
  </si>
  <si>
    <t>GRUPO CONSTR. EL EXACT 452</t>
  </si>
  <si>
    <t>3607.200.114-000</t>
  </si>
  <si>
    <t>INTERRUPTOR EXACT</t>
  </si>
  <si>
    <t>3607.200.120-000</t>
  </si>
  <si>
    <t>GRUPO CONSTR. EL EXACT 10/16/25</t>
  </si>
  <si>
    <t>3607.200.507-000</t>
  </si>
  <si>
    <t>INTERRUPTOR 1273/6</t>
  </si>
  <si>
    <t>3607.218.000-000</t>
  </si>
  <si>
    <t>DISTRIBUIDOR TENSION P/2332</t>
  </si>
  <si>
    <t>3607.218.009-000</t>
  </si>
  <si>
    <t>PIEZA DE SUJECION 2490.412</t>
  </si>
  <si>
    <t>3607.230.500-000</t>
  </si>
  <si>
    <t>REGULADOR ELECTRONICO 1273.7</t>
  </si>
  <si>
    <t>3607.233.026-000</t>
  </si>
  <si>
    <t>3607.950.005-000</t>
  </si>
  <si>
    <t>LLAVE FIJA DE UNA BOCA 2243 DISCONT</t>
  </si>
  <si>
    <t>3607.950.010-000</t>
  </si>
  <si>
    <t>LLAVE FIJA DE UNA BOCA 2240</t>
  </si>
  <si>
    <t>3607.950.020-000</t>
  </si>
  <si>
    <t>DESTORNILLADOR EXACT RX 3607950027</t>
  </si>
  <si>
    <t>3607.950.024-000</t>
  </si>
  <si>
    <t>LLAVE FIJA DE UNA BOCA SW19</t>
  </si>
  <si>
    <t>3607.950.025-000</t>
  </si>
  <si>
    <t>LLAVE FIJA DE UNA BOCA SW13</t>
  </si>
  <si>
    <t>3607.950.027-000</t>
  </si>
  <si>
    <t>DESTORNILLADOR EXACT RA 3607950020</t>
  </si>
  <si>
    <t>3608.000.000-000</t>
  </si>
  <si>
    <t>PLACA BASE 3237 - DISCONTINUADO</t>
  </si>
  <si>
    <t>3608.042.002-000</t>
  </si>
  <si>
    <t>SOPORTE CHCHILLAS 1507</t>
  </si>
  <si>
    <t>3608.300.177-000</t>
  </si>
  <si>
    <t>PLACA IMPRESA 2490.412</t>
  </si>
  <si>
    <t>3608.300.178-000</t>
  </si>
  <si>
    <t>3608.571.003-000</t>
  </si>
  <si>
    <t>MANDRIL CONICO 1120 - CONO B16</t>
  </si>
  <si>
    <t>3608.635.009-000</t>
  </si>
  <si>
    <t>CUCHILLO</t>
  </si>
  <si>
    <t>3608.639.026-000</t>
  </si>
  <si>
    <t>PUNZON CORTE CURVO 1530</t>
  </si>
  <si>
    <t>3608.750.017-000</t>
  </si>
  <si>
    <t>CONO DE VALVULA  7360.1</t>
  </si>
  <si>
    <t>3608.750.023-000</t>
  </si>
  <si>
    <t>CONTROL 7460001</t>
  </si>
  <si>
    <t>3608.750.024-000</t>
  </si>
  <si>
    <t>EMBOLO DE MANDO 7461</t>
  </si>
  <si>
    <t>3608.750.025-000</t>
  </si>
  <si>
    <t>EMBOLO DE MANDO</t>
  </si>
  <si>
    <t>3608.750.028-000</t>
  </si>
  <si>
    <t>EMBOLO DE REGULAGEM</t>
  </si>
  <si>
    <t>3608.750.030-000</t>
  </si>
  <si>
    <t>VALVULA</t>
  </si>
  <si>
    <t>3608.750.031-000</t>
  </si>
  <si>
    <t>3608.750.036-000</t>
  </si>
  <si>
    <t>CORREDERA 2490.412</t>
  </si>
  <si>
    <t>3608.750.037-000</t>
  </si>
  <si>
    <t>SOPORTE DE RED 2490.412</t>
  </si>
  <si>
    <t>3608.750.040-000</t>
  </si>
  <si>
    <t>3608.750.041-000</t>
  </si>
  <si>
    <t>3608.750.042-000</t>
  </si>
  <si>
    <t>CONO DE VALVULA 7661/7461</t>
  </si>
  <si>
    <t>3608.750.043-000</t>
  </si>
  <si>
    <t>EMBOLO 7661</t>
  </si>
  <si>
    <t>3608.750.044-000</t>
  </si>
  <si>
    <t>3608.750.046-000</t>
  </si>
  <si>
    <t>3608.750.047-000</t>
  </si>
  <si>
    <t>3608.870.327-000</t>
  </si>
  <si>
    <t>3608.870.382-000</t>
  </si>
  <si>
    <t>3608.871.840-000</t>
  </si>
  <si>
    <t>JUEGA DE RUEDAS CÓNICAS</t>
  </si>
  <si>
    <t>3608.872.913-000</t>
  </si>
  <si>
    <t>RODAMIENTO 1293 Ra 2600905071</t>
  </si>
  <si>
    <t>3608.873.782-000</t>
  </si>
  <si>
    <t>CARCASA 7457</t>
  </si>
  <si>
    <t>3608.874.669-000</t>
  </si>
  <si>
    <t>3608.874.921-000</t>
  </si>
  <si>
    <t>DISTANCIADOR 7452</t>
  </si>
  <si>
    <t>3608.874.923-000</t>
  </si>
  <si>
    <t>ARANDELA DE AJUSTE 7452</t>
  </si>
  <si>
    <t>3608.874.924-000</t>
  </si>
  <si>
    <t>3608.875.340-000</t>
  </si>
  <si>
    <t>Tornillo de cabina avellanar</t>
  </si>
  <si>
    <t>3609.200.255-000</t>
  </si>
  <si>
    <t>PINZA RESORTE P/AJ.ABRAS(7250)</t>
  </si>
  <si>
    <t>3609.200.268-000</t>
  </si>
  <si>
    <t>PESO CENTRIFUGO  7350.1</t>
  </si>
  <si>
    <t>3609.200.269-000</t>
  </si>
  <si>
    <t>TUBO DE CONEXION  7350.1</t>
  </si>
  <si>
    <t>3609.200.270-000</t>
  </si>
  <si>
    <t>MANGO  7350.1</t>
  </si>
  <si>
    <t>3609.200.271-000</t>
  </si>
  <si>
    <t>CAPERUZA PROTECT.7460400</t>
  </si>
  <si>
    <t>3609.200.272-000</t>
  </si>
  <si>
    <t>VALVULA 7350195</t>
  </si>
  <si>
    <t>3609.200.273-000</t>
  </si>
  <si>
    <t>CONTROL 7350195</t>
  </si>
  <si>
    <t>3609.200.274-000</t>
  </si>
  <si>
    <t>JUNTA  7350.1</t>
  </si>
  <si>
    <t>3609.200.275-000</t>
  </si>
  <si>
    <t>3609.200.276-000</t>
  </si>
  <si>
    <t>CARCASA PROTECTORA  7350.1</t>
  </si>
  <si>
    <t>3609.200.278-000</t>
  </si>
  <si>
    <t>CARCAZA DE MOTOR</t>
  </si>
  <si>
    <t>3609.200.279-000</t>
  </si>
  <si>
    <t>RODAMIENTO P/7350195 Y 7250200</t>
  </si>
  <si>
    <t>3609.200.289-000</t>
  </si>
  <si>
    <t>TURBINA P/7350195 Y 7250200</t>
  </si>
  <si>
    <t>3609.200.290-000</t>
  </si>
  <si>
    <t>ALETA TURBINA(7350195/7250200)</t>
  </si>
  <si>
    <t>3609.200.291-000</t>
  </si>
  <si>
    <t>PALANCA DE MANDO  7350.1</t>
  </si>
  <si>
    <t>3609.200.292-000</t>
  </si>
  <si>
    <t>TAPA 7350195</t>
  </si>
  <si>
    <t>3609.200.296-000</t>
  </si>
  <si>
    <t>EJE 7350195</t>
  </si>
  <si>
    <t>3609.200.297-000</t>
  </si>
  <si>
    <t>CHAVETA DE DISCO  7350.1</t>
  </si>
  <si>
    <t>3609.200.299-000</t>
  </si>
  <si>
    <t>RESORTE 7350.1</t>
  </si>
  <si>
    <t>3609.200.300-000</t>
  </si>
  <si>
    <t>O'RING 7350195</t>
  </si>
  <si>
    <t>3609.200.303-000</t>
  </si>
  <si>
    <t>3609.200.320-000</t>
  </si>
  <si>
    <t>CILINDRO  7250200 7350.1</t>
  </si>
  <si>
    <t>3609.200.325-000</t>
  </si>
  <si>
    <t>PLATO DE GOMA  7350.1 DISCONTINUADO</t>
  </si>
  <si>
    <t>3609.201.041-000</t>
  </si>
  <si>
    <t>RACOR DE EMPALME  7450.5 OBSOLETO</t>
  </si>
  <si>
    <t>3609.201.042-000</t>
  </si>
  <si>
    <t>RESORTE 7450599</t>
  </si>
  <si>
    <t>3609.201.043-000</t>
  </si>
  <si>
    <t>TOPE 7450599</t>
  </si>
  <si>
    <t>3609.201.044-000</t>
  </si>
  <si>
    <t>VALVULA 7450599</t>
  </si>
  <si>
    <t>3609.201.045-000</t>
  </si>
  <si>
    <t>PIN 7450599</t>
  </si>
  <si>
    <t>3609.201.046-000</t>
  </si>
  <si>
    <t>O'RING  7450599</t>
  </si>
  <si>
    <t>3609.201.047-000</t>
  </si>
  <si>
    <t>3609.201.048-000</t>
  </si>
  <si>
    <t>O'RING  7450599 OBSOLETO</t>
  </si>
  <si>
    <t>3609.201.049-000</t>
  </si>
  <si>
    <t>3609.201.050-000</t>
  </si>
  <si>
    <t>3609.201.053-000</t>
  </si>
  <si>
    <t>BOLILLA 7450599</t>
  </si>
  <si>
    <t>3609.201.054-000</t>
  </si>
  <si>
    <t>BOLA  7450.6  7450.5</t>
  </si>
  <si>
    <t>3609.201.055-000</t>
  </si>
  <si>
    <t>3609.201.056-000</t>
  </si>
  <si>
    <t>MUELLE DE COMPRESION  7450.5</t>
  </si>
  <si>
    <t>3609.201.057-000</t>
  </si>
  <si>
    <t>3609.201.058-000</t>
  </si>
  <si>
    <t>CONTROL 7450599</t>
  </si>
  <si>
    <t>3609.201.059-000</t>
  </si>
  <si>
    <t>JUNTA 7450599</t>
  </si>
  <si>
    <t>3609.201.060-000</t>
  </si>
  <si>
    <t>PERILLA DE INTERRUPTOR 7450.599</t>
  </si>
  <si>
    <t>3609.201.061-000</t>
  </si>
  <si>
    <t>TORNILLO 7450599</t>
  </si>
  <si>
    <t>3609.201.062-000</t>
  </si>
  <si>
    <t>FRENO  7450599</t>
  </si>
  <si>
    <t>3609.201.063-000</t>
  </si>
  <si>
    <t>CONTROL   7450599</t>
  </si>
  <si>
    <t>3609.201.065-000</t>
  </si>
  <si>
    <t>3609.201.067-000</t>
  </si>
  <si>
    <t>JUNTA RADIAL  7450.6 7450.5</t>
  </si>
  <si>
    <t>3609.201.068-000</t>
  </si>
  <si>
    <t>JUNTA RADIAL 7450599</t>
  </si>
  <si>
    <t>3609.201.071-000</t>
  </si>
  <si>
    <t>TOPE  7450599</t>
  </si>
  <si>
    <t>3609.201.072-000</t>
  </si>
  <si>
    <t>ANILLO  7450599</t>
  </si>
  <si>
    <t>3609.201.073-000</t>
  </si>
  <si>
    <t>ACOPLE 7450599</t>
  </si>
  <si>
    <t>3609.201.074-000</t>
  </si>
  <si>
    <t>PERNO 7450599</t>
  </si>
  <si>
    <t>3609.201.075-000</t>
  </si>
  <si>
    <t>ARRASTRADOR 7450599</t>
  </si>
  <si>
    <t>3609.201.079-000</t>
  </si>
  <si>
    <t>TAPA 7450599</t>
  </si>
  <si>
    <t>3609.201.081-000</t>
  </si>
  <si>
    <t>INDUCIDO 7450599</t>
  </si>
  <si>
    <t>3609.201.082-000</t>
  </si>
  <si>
    <t>ESTATOR 7450599</t>
  </si>
  <si>
    <t>3609.201.083-000</t>
  </si>
  <si>
    <t>3609.201.084-000</t>
  </si>
  <si>
    <t>3609.201.085-000</t>
  </si>
  <si>
    <t>TAPA  7450599</t>
  </si>
  <si>
    <t>3609.201.090-000</t>
  </si>
  <si>
    <t>ANILLO DE PROTECCION  7450.5</t>
  </si>
  <si>
    <t>3609.201.091-000</t>
  </si>
  <si>
    <t>CAPERUZA PROTECTORA  7450.5</t>
  </si>
  <si>
    <t>3609.201.092-000</t>
  </si>
  <si>
    <t>VALVULA  7450599</t>
  </si>
  <si>
    <t>3609.201.093-000</t>
  </si>
  <si>
    <t>GUIA  7450599</t>
  </si>
  <si>
    <t>3609.201.096-000</t>
  </si>
  <si>
    <t>CARCASA DEL MOTOR  7450.5</t>
  </si>
  <si>
    <t>3609.201.097-000</t>
  </si>
  <si>
    <t>CASQUILLO DE VALVULA  7450.5</t>
  </si>
  <si>
    <t>3609.201.098-000</t>
  </si>
  <si>
    <t>ARBOL SELECTOR 7450598 OBSOLETO</t>
  </si>
  <si>
    <t>3609.201.099-000</t>
  </si>
  <si>
    <t>3609.201.101-000</t>
  </si>
  <si>
    <t>3609.201.103-000</t>
  </si>
  <si>
    <t>3609.201.104-000</t>
  </si>
  <si>
    <t>3609.201.105-000</t>
  </si>
  <si>
    <t>EMBOLO DE MANDO 7450.5</t>
  </si>
  <si>
    <t>3609.201.106-000</t>
  </si>
  <si>
    <t>ANILLO TOROIDAL 7450.5</t>
  </si>
  <si>
    <t>3609.201.107-000</t>
  </si>
  <si>
    <t>3609.201.110-000</t>
  </si>
  <si>
    <t>DISCO DE PRESION  7450.5</t>
  </si>
  <si>
    <t>3609.201.111-000</t>
  </si>
  <si>
    <t>CASQUILLO  7450.5</t>
  </si>
  <si>
    <t>3609.201.112-000</t>
  </si>
  <si>
    <t>ARBOL DE PERCUSION  7450.5 OBSOLETO</t>
  </si>
  <si>
    <t>3609.201.113-000</t>
  </si>
  <si>
    <t>SOPORTE DE PERCUTOR  7450.5</t>
  </si>
  <si>
    <t>3609.201.115-000</t>
  </si>
  <si>
    <t>MANGUITO DE GUIA  7450.5</t>
  </si>
  <si>
    <t>3609.201.116-000</t>
  </si>
  <si>
    <t>ARRASTRADOR  7450.5</t>
  </si>
  <si>
    <t>3609.201.117-000</t>
  </si>
  <si>
    <t>3609.201.118-000</t>
  </si>
  <si>
    <t>ESTATOR  7450.5</t>
  </si>
  <si>
    <t>3609.201.119-000</t>
  </si>
  <si>
    <t>INDUCIDO 7450.5</t>
  </si>
  <si>
    <t>3609.201.121-000</t>
  </si>
  <si>
    <t>BRIDA DE COJINETE  7450.5</t>
  </si>
  <si>
    <t>3609.201.123-000</t>
  </si>
  <si>
    <t>3609.201.124-000</t>
  </si>
  <si>
    <t>JUNTA RADIAL  7450.5</t>
  </si>
  <si>
    <t>3609.201.125-000</t>
  </si>
  <si>
    <t>3609.201.127-000</t>
  </si>
  <si>
    <t>JUNTA  7450598</t>
  </si>
  <si>
    <t>3609.201.128-000</t>
  </si>
  <si>
    <t>TAPA  7450598</t>
  </si>
  <si>
    <t>3609.201.133-000</t>
  </si>
  <si>
    <t>RECHAZADOR  7450.5</t>
  </si>
  <si>
    <t>3609.201.135-000</t>
  </si>
  <si>
    <t>3609.201.137-000</t>
  </si>
  <si>
    <t>3609.201.138-000</t>
  </si>
  <si>
    <t>PROTECTOR 7450598</t>
  </si>
  <si>
    <t>3609.201.139-000</t>
  </si>
  <si>
    <t>3609.201.140-000</t>
  </si>
  <si>
    <t>3609.201.142-000</t>
  </si>
  <si>
    <t>JUNTA  7450.5</t>
  </si>
  <si>
    <t>3609.201.143-000</t>
  </si>
  <si>
    <t>CUERPO DE VALVULA 7540598</t>
  </si>
  <si>
    <t>3609.201.144-000</t>
  </si>
  <si>
    <t>PISTON DE VALVULA  7450.5</t>
  </si>
  <si>
    <t>3609.201.145-000</t>
  </si>
  <si>
    <t>CLAVIJA  7450.5</t>
  </si>
  <si>
    <t>3609.201.146-000</t>
  </si>
  <si>
    <t>VARILLA ROSCADA  7450.5</t>
  </si>
  <si>
    <t>3609.201.147-000</t>
  </si>
  <si>
    <t>3609.201.150-000</t>
  </si>
  <si>
    <t>CONJUNTO 7450598</t>
  </si>
  <si>
    <t>3609.201.151-000</t>
  </si>
  <si>
    <t>3609.201.152-000</t>
  </si>
  <si>
    <t>3609.201.153-000</t>
  </si>
  <si>
    <t>3609.201.154-000</t>
  </si>
  <si>
    <t>CLAVIJA DE PERCUSION  7450.5</t>
  </si>
  <si>
    <t>3609.201.155-000</t>
  </si>
  <si>
    <t>JUEGO DE LAMINAS 7450.5</t>
  </si>
  <si>
    <t>3609.201.179-000</t>
  </si>
  <si>
    <t>3609.201.181-000</t>
  </si>
  <si>
    <t>CONJUNTO PIEZAS RECAMBIO  7450.5</t>
  </si>
  <si>
    <t>3609.201.215-000</t>
  </si>
  <si>
    <t>CUERPO 7450599</t>
  </si>
  <si>
    <t>3609.201.216-000</t>
  </si>
  <si>
    <t>GUIA 7450599</t>
  </si>
  <si>
    <t>3609.201.295-000</t>
  </si>
  <si>
    <t>3609.201.297-000</t>
  </si>
  <si>
    <t>BUJE 7450599</t>
  </si>
  <si>
    <t>3609.201.298-000</t>
  </si>
  <si>
    <t>CC: ANEL O'RING 3X1</t>
  </si>
  <si>
    <t>3609.201.419-000</t>
  </si>
  <si>
    <t>ANILLO TOROIDAL  7450.6</t>
  </si>
  <si>
    <t>3609.201.420-000</t>
  </si>
  <si>
    <t>ANILLO DE JUNTA  7450.6</t>
  </si>
  <si>
    <t>3609.201.421-000</t>
  </si>
  <si>
    <t>JAULA  7450.6</t>
  </si>
  <si>
    <t>3609.201.422-000</t>
  </si>
  <si>
    <t>MANGUITO DE GUIA  7450.6</t>
  </si>
  <si>
    <t>3609.201.423-000</t>
  </si>
  <si>
    <t>BOLA  7450.6</t>
  </si>
  <si>
    <t>3609.201.424-000</t>
  </si>
  <si>
    <t>CASQUILLO DE MANDO</t>
  </si>
  <si>
    <t>3609.201.425-000</t>
  </si>
  <si>
    <t>PERNO DE PERCUSION 7450.601</t>
  </si>
  <si>
    <t>3609.201.426-000</t>
  </si>
  <si>
    <t>MUELLE DE COMPRESION  7450.6</t>
  </si>
  <si>
    <t>3609.201.428-000</t>
  </si>
  <si>
    <t>DISCO DE PRESION  7450.6</t>
  </si>
  <si>
    <t>3609.201.429-000</t>
  </si>
  <si>
    <t>3609.201.431-000</t>
  </si>
  <si>
    <t>CASQUILLO  7450.6</t>
  </si>
  <si>
    <t>3609.201.434-000</t>
  </si>
  <si>
    <t>3609.201.435-000</t>
  </si>
  <si>
    <t>ARBOL DE PERCUSION  7450.6</t>
  </si>
  <si>
    <t>3609.201.579-000</t>
  </si>
  <si>
    <t>3609.202.033-000</t>
  </si>
  <si>
    <t>BRAZO GIRATORIO 1368</t>
  </si>
  <si>
    <t>3609.202.037-000</t>
  </si>
  <si>
    <t>RODILLO 1368 36X50MM</t>
  </si>
  <si>
    <t>3609.202.038-000</t>
  </si>
  <si>
    <t>RODILLO 1368 36X28MM</t>
  </si>
  <si>
    <t>3609.202.039-000</t>
  </si>
  <si>
    <t>BRIDA CON CUELLO 1368/1621</t>
  </si>
  <si>
    <t>3609.202.040-000</t>
  </si>
  <si>
    <t>TUERCA CILINDRICA 1621</t>
  </si>
  <si>
    <t>3609.202.041-000</t>
  </si>
  <si>
    <t>ARANDELA 1368 4MM X 3 UNDS</t>
  </si>
  <si>
    <t>3609.202.042-000</t>
  </si>
  <si>
    <t>ARANDELA 1368 6MM X 4 UNDS</t>
  </si>
  <si>
    <t>3609.202.043-000</t>
  </si>
  <si>
    <t>TUERCA + ANILLO SEPARAD.1368/1621</t>
  </si>
  <si>
    <t>3609.202.308-000</t>
  </si>
  <si>
    <t>TAPA 7450791</t>
  </si>
  <si>
    <t>3609.202.309-000</t>
  </si>
  <si>
    <t>INDUCIDO 7450791</t>
  </si>
  <si>
    <t>3609.202.313-000</t>
  </si>
  <si>
    <t>SOPORTE 7450.7</t>
  </si>
  <si>
    <t>3609.202.314-000</t>
  </si>
  <si>
    <t>SATELITE 7450791</t>
  </si>
  <si>
    <t>3609.202.317-000</t>
  </si>
  <si>
    <t>EJE EXCENTRICO 7450791</t>
  </si>
  <si>
    <t>3609.202.318-000</t>
  </si>
  <si>
    <t>LEVA 7450791</t>
  </si>
  <si>
    <t>3609.202.319-000</t>
  </si>
  <si>
    <t>PIN 7450791</t>
  </si>
  <si>
    <t>3609.202.320-000</t>
  </si>
  <si>
    <t>CUADRANTE 7450791</t>
  </si>
  <si>
    <t>3609.202.321-000</t>
  </si>
  <si>
    <t>TUBO 7450791</t>
  </si>
  <si>
    <t>3609.202.403-000</t>
  </si>
  <si>
    <t>3609.202.406-000</t>
  </si>
  <si>
    <t>EMPUJADOR  7450.6</t>
  </si>
  <si>
    <t>3609.202.407-000</t>
  </si>
  <si>
    <t>SILENCIADOR  7450.6</t>
  </si>
  <si>
    <t>3609.202.408-000</t>
  </si>
  <si>
    <t>3609.202.409-000</t>
  </si>
  <si>
    <t>3609.202.410-000</t>
  </si>
  <si>
    <t>RESORTE DE VALVULA  7450.6</t>
  </si>
  <si>
    <t>3609.202.411-000</t>
  </si>
  <si>
    <t>RECHAZADOR  7450.6</t>
  </si>
  <si>
    <t>3609.202.412-000</t>
  </si>
  <si>
    <t>JUNTA  7450.6</t>
  </si>
  <si>
    <t>3609.202.413-000</t>
  </si>
  <si>
    <t>TAPA DEL CUERPO  7450.6</t>
  </si>
  <si>
    <t>3609.202.414-000</t>
  </si>
  <si>
    <t>CONMUTADOR  7450.6</t>
  </si>
  <si>
    <t>3609.202.415-000</t>
  </si>
  <si>
    <t>ESPIGA  7450.6</t>
  </si>
  <si>
    <t>3609.202.417-000</t>
  </si>
  <si>
    <t>3609.202.419-000</t>
  </si>
  <si>
    <t>LAMINA DE MOTOR 7450.601</t>
  </si>
  <si>
    <t>3609.202.420-000</t>
  </si>
  <si>
    <t>3609.202.421-000</t>
  </si>
  <si>
    <t>CILINDRO  7450.6</t>
  </si>
  <si>
    <t>3609.202.424-000</t>
  </si>
  <si>
    <t>3609.202.426-000</t>
  </si>
  <si>
    <t>ESTRIBO DE SUSPENSION  7450.6</t>
  </si>
  <si>
    <t>3609.202.433-000</t>
  </si>
  <si>
    <t>CAJA  7350.1</t>
  </si>
  <si>
    <t>3609.202.438-000</t>
  </si>
  <si>
    <t>INTERRUPTOR  7350.1</t>
  </si>
  <si>
    <t>3609.202.439-000</t>
  </si>
  <si>
    <t>EMPUJADOR  7350.1</t>
  </si>
  <si>
    <t>3609.202.440-000</t>
  </si>
  <si>
    <t>CASQUILLO DE VALVULA  7350.1</t>
  </si>
  <si>
    <t>3609.202.441-000</t>
  </si>
  <si>
    <t>ANILLO TOROIDAL  7350.1</t>
  </si>
  <si>
    <t>3609.202.443-000</t>
  </si>
  <si>
    <t>3609.202.444-000</t>
  </si>
  <si>
    <t>TUERCA  7350.1</t>
  </si>
  <si>
    <t>3609.202.445-000</t>
  </si>
  <si>
    <t>3609.202.446-000</t>
  </si>
  <si>
    <t>REGULADOR  7350.1</t>
  </si>
  <si>
    <t>3609.202.448-000</t>
  </si>
  <si>
    <t>BRIDA DE COJINETE  7350.1</t>
  </si>
  <si>
    <t>3609.202.449-000</t>
  </si>
  <si>
    <t>INDUCIDO 7350.1</t>
  </si>
  <si>
    <t>3609.202.450-000</t>
  </si>
  <si>
    <t>LAMINA ROTOR  7350.1</t>
  </si>
  <si>
    <t>3609.202.452-000</t>
  </si>
  <si>
    <t>CILINDRO  7350.1</t>
  </si>
  <si>
    <t>3609.202.453-000</t>
  </si>
  <si>
    <t>TORNILLO  7350.1</t>
  </si>
  <si>
    <t>3609.202.454-000</t>
  </si>
  <si>
    <t>HUSILLO  7350.1</t>
  </si>
  <si>
    <t>3609.202.456-000</t>
  </si>
  <si>
    <t>CALCE  7350.1</t>
  </si>
  <si>
    <t>3609.202.457-000</t>
  </si>
  <si>
    <t>ARANDELA DE AJUSTE  7350.1</t>
  </si>
  <si>
    <t>3609.202.459-000</t>
  </si>
  <si>
    <t>CONTRAPESO  7350.1</t>
  </si>
  <si>
    <t>3609.202.462-000</t>
  </si>
  <si>
    <t>3609.202.464-000</t>
  </si>
  <si>
    <t>3609.202.465-000</t>
  </si>
  <si>
    <t>3609.202.466-000</t>
  </si>
  <si>
    <t>ANILLO ROSCADO  7350.1</t>
  </si>
  <si>
    <t>3609.202.467-000</t>
  </si>
  <si>
    <t>TAPA  7350.1</t>
  </si>
  <si>
    <t>3609.202.469-000</t>
  </si>
  <si>
    <t>ANILLO DE SEGURIDAD  7350.1</t>
  </si>
  <si>
    <t>3609.202.471-000</t>
  </si>
  <si>
    <t>3609.202.475-000</t>
  </si>
  <si>
    <t>PLATO DE GOMA CON VELCRO Ø150MM</t>
  </si>
  <si>
    <t>3609.202.480-000</t>
  </si>
  <si>
    <t>CAPERUZA PROTECTORA  7350.1</t>
  </si>
  <si>
    <t>3609.202.485-000</t>
  </si>
  <si>
    <t>3609.202.489-000</t>
  </si>
  <si>
    <t>BRACADEIRA PARA MANGUEIRA</t>
  </si>
  <si>
    <t>3609.202.502-000</t>
  </si>
  <si>
    <t>RECHAZADOR  7350.1</t>
  </si>
  <si>
    <t>3609.202.510-000</t>
  </si>
  <si>
    <t>VALVULA DE ADMISION  7450.6</t>
  </si>
  <si>
    <t>3609.202.590-000</t>
  </si>
  <si>
    <t>3609.202.656-000</t>
  </si>
  <si>
    <t>EMBOLO DE MANDO  7450.5</t>
  </si>
  <si>
    <t>3609.202.735-000</t>
  </si>
  <si>
    <t>JUEGO DE LAMINILLAS  7450.6</t>
  </si>
  <si>
    <t>3609.202.746-000</t>
  </si>
  <si>
    <t>3609.202.752-000</t>
  </si>
  <si>
    <t>BOTON PALANCA CAMBIO  7450.6</t>
  </si>
  <si>
    <t>3609.202.753-000</t>
  </si>
  <si>
    <t>CASQUILLO DE VALVULA  7450.6</t>
  </si>
  <si>
    <t>3609.202.754-000</t>
  </si>
  <si>
    <t>INDUCIDO 7450.6</t>
  </si>
  <si>
    <t>3609.202.755-000</t>
  </si>
  <si>
    <t>LAMINA DE ROTOR  7450.6</t>
  </si>
  <si>
    <t>3609.202.756-000</t>
  </si>
  <si>
    <t>VASO DE MOLER  7450.6</t>
  </si>
  <si>
    <t>3609.202.762-000</t>
  </si>
  <si>
    <t>MICRO SWITCH EXACT</t>
  </si>
  <si>
    <t>3609.202.764-000</t>
  </si>
  <si>
    <t>DIODO 7452/2490/91/92</t>
  </si>
  <si>
    <t>3609.202.766-000</t>
  </si>
  <si>
    <t>JUEGO DE ENCHUFES EXACT 6/4 2490</t>
  </si>
  <si>
    <t>3609.202.799-000</t>
  </si>
  <si>
    <t>INDUCIDO  7350.1</t>
  </si>
  <si>
    <t>3609.202.805-000</t>
  </si>
  <si>
    <t>3609.202.979-000</t>
  </si>
  <si>
    <t>DIODO ELECTROLUMINESCENTE</t>
  </si>
  <si>
    <t>3609.202.980-000</t>
  </si>
  <si>
    <t>3609.202.982-000</t>
  </si>
  <si>
    <t>CONJUNTO PIEZAS RECAMBIO</t>
  </si>
  <si>
    <t>3609.202.986-000</t>
  </si>
  <si>
    <t>3609.202.988-000</t>
  </si>
  <si>
    <t>3609.202.989-000</t>
  </si>
  <si>
    <t>3609.202.A05-000</t>
  </si>
  <si>
    <t>3609.202.A08-000</t>
  </si>
  <si>
    <t>PRESOSTATO 7452</t>
  </si>
  <si>
    <t>3609.202.A19-000</t>
  </si>
  <si>
    <t>CONJUNTO PIEZAS RECAMBIO 7452</t>
  </si>
  <si>
    <t>3609.202.A29-000</t>
  </si>
  <si>
    <t>3609.202.A32-000</t>
  </si>
  <si>
    <t>CARCASA EXACT 25/30/40/50</t>
  </si>
  <si>
    <t>3609.202.A33-000</t>
  </si>
  <si>
    <t>BRIDA ANGULAR EXACT 25/50</t>
  </si>
  <si>
    <t>3609.202.A34-000</t>
  </si>
  <si>
    <t>3609.202.A36-000</t>
  </si>
  <si>
    <t>ARBOL DE ACCIONAMIENTO EXACT 25/30/40</t>
  </si>
  <si>
    <t>3609.202.A41-000</t>
  </si>
  <si>
    <t>JUEGO DE LAMINILLA 7450.629</t>
  </si>
  <si>
    <t>3609.202.A42-000</t>
  </si>
  <si>
    <t>MAZO DE CABLE EXACT</t>
  </si>
  <si>
    <t>3609.202.A43-000</t>
  </si>
  <si>
    <t>3609.202.A44-000</t>
  </si>
  <si>
    <t>CABEZAL ACODADO P.TORNIL. EXACT 25/30/40</t>
  </si>
  <si>
    <t>3609.202.A45-000</t>
  </si>
  <si>
    <t>CARCASA EXACT 10/16/25</t>
  </si>
  <si>
    <t>3609.202.A51-000</t>
  </si>
  <si>
    <t>PRESOSTATO 7457</t>
  </si>
  <si>
    <t>3609.202.A64-000</t>
  </si>
  <si>
    <t>JUNTA  7450.629</t>
  </si>
  <si>
    <t>3609.202.A66-000</t>
  </si>
  <si>
    <t>DEPOSITO 7450.629</t>
  </si>
  <si>
    <t>3609.202.A89-000</t>
  </si>
  <si>
    <t>JUNTA TORICA 7450.629</t>
  </si>
  <si>
    <t>3609.202.A90-000</t>
  </si>
  <si>
    <t>3609.202.A91-000</t>
  </si>
  <si>
    <t>RODAMIENTO 7450.629</t>
  </si>
  <si>
    <t>3609.202.A92-000</t>
  </si>
  <si>
    <t>3609.202.A98-000</t>
  </si>
  <si>
    <t>CARCASA EXACT 50</t>
  </si>
  <si>
    <t>3609.202.A99-000</t>
  </si>
  <si>
    <t>CABEZAL ACODADO P.TORNIL.50</t>
  </si>
  <si>
    <t>3609.202.B01-000</t>
  </si>
  <si>
    <t>BRIDA ANGULAR EXACT 30/40</t>
  </si>
  <si>
    <t>3609.202.B02-000</t>
  </si>
  <si>
    <t>MAZO DE CABLE ANGLE EXACT</t>
  </si>
  <si>
    <t>3609.202.B03-000</t>
  </si>
  <si>
    <t>3609.202.B07-000</t>
  </si>
  <si>
    <t>3609.202.B10-000</t>
  </si>
  <si>
    <t>3610.501.500-000</t>
  </si>
  <si>
    <t>CASQUILLO 11311/16/245</t>
  </si>
  <si>
    <t>3613.101.500-000</t>
  </si>
  <si>
    <t>EJE DE PISTON 1304.1</t>
  </si>
  <si>
    <t>3613.313.500-000</t>
  </si>
  <si>
    <t>3613.344.500-000</t>
  </si>
  <si>
    <t>ARO RECUPERADOR DE ACEITE 1245.7</t>
  </si>
  <si>
    <t>3613.461.500-000</t>
  </si>
  <si>
    <t>ANILLO ROSCADO 11223/45/316</t>
  </si>
  <si>
    <t>3614.012.503-000</t>
  </si>
  <si>
    <t>INDUCIDO 11311/223 -RX1617220073</t>
  </si>
  <si>
    <t>3614.640.501-000</t>
  </si>
  <si>
    <t>RESORTE PORTAHERR. 11304</t>
  </si>
  <si>
    <t>3615.102.507-000</t>
  </si>
  <si>
    <t>CARCASA 11311/223     RA103507</t>
  </si>
  <si>
    <t>3615.808.500-000</t>
  </si>
  <si>
    <t>CARCASA - REEM. X 1615808083</t>
  </si>
  <si>
    <t>6035.970.929-000</t>
  </si>
  <si>
    <t>BOLSO SERV.TECNICO - DISCONTINUADO</t>
  </si>
  <si>
    <t>6082.850.6S7-000</t>
  </si>
  <si>
    <t>Suplemento</t>
  </si>
  <si>
    <t>6082.942.MV5-000</t>
  </si>
  <si>
    <t>8905.407.017-000</t>
  </si>
  <si>
    <t>DIODO 3147.1 - DISCONTINUADO</t>
  </si>
  <si>
    <t>9001.140.359-000</t>
  </si>
  <si>
    <t>CASQUILLO DE AGUJAS DISCONTINUADO</t>
  </si>
  <si>
    <t>9617.081.833-000</t>
  </si>
  <si>
    <t>PALETA MEDIDORA DE GRASA CON ESPATULA</t>
  </si>
  <si>
    <t>9617.082.301-000</t>
  </si>
  <si>
    <t>DISP. PASA SACAR RODAMIENTO DE 1174</t>
  </si>
  <si>
    <t>9617.085.009-000</t>
  </si>
  <si>
    <t>Llaves S2 p/mandriles 13mm</t>
  </si>
  <si>
    <t>9617.089.023-000</t>
  </si>
  <si>
    <t>DISP. PARA EXTRAER ENGRANAJE</t>
  </si>
  <si>
    <t>9618.081.152-000</t>
  </si>
  <si>
    <t>ARANDELA 1577</t>
  </si>
  <si>
    <t>9618.081.153-000</t>
  </si>
  <si>
    <t>9618.081.154-000</t>
  </si>
  <si>
    <t>9618.081.155-000</t>
  </si>
  <si>
    <t>9618.081.156-000</t>
  </si>
  <si>
    <t>9618.081.157-000</t>
  </si>
  <si>
    <t>ARANDELA 1577-DISCONTINUADO</t>
  </si>
  <si>
    <t>9618.081.435-000</t>
  </si>
  <si>
    <t>CARCASA 1331.4.5/1332.4.5 - DISCONT.</t>
  </si>
  <si>
    <t>9618.081.438-000</t>
  </si>
  <si>
    <t>ENGRANAJE 3147.1   -  DISCONTINUADO</t>
  </si>
  <si>
    <t>9618.081.493-000</t>
  </si>
  <si>
    <t>PORTACARBON  1321 / 22 / 31 /32</t>
  </si>
  <si>
    <t>9618.081.500-000</t>
  </si>
  <si>
    <t>9618.081.548-000</t>
  </si>
  <si>
    <t>INDUCIDO 3254-DISCONTINUADO</t>
  </si>
  <si>
    <t>9618.081.601-000</t>
  </si>
  <si>
    <t>CARCASA 3147.8</t>
  </si>
  <si>
    <t>9618.081.606-000</t>
  </si>
  <si>
    <t>RODAMIENTO 1321/2 OBSOLETO</t>
  </si>
  <si>
    <t>9618.081.609-000</t>
  </si>
  <si>
    <t>RODAMIENTO 3254/1187/3141</t>
  </si>
  <si>
    <t>9618.081.678-000</t>
  </si>
  <si>
    <t>CARCASA 1557 DISCONTINUADO</t>
  </si>
  <si>
    <t>9618.081.679-000</t>
  </si>
  <si>
    <t>EMPUÑADURA 1557 - DISCONTINUADO</t>
  </si>
  <si>
    <t>9618.081.680-000</t>
  </si>
  <si>
    <t>9618.081.681-000</t>
  </si>
  <si>
    <t>CARCASA 3237 - DISCONTINUADO</t>
  </si>
  <si>
    <t>9618.081.682-000</t>
  </si>
  <si>
    <t>CARCASA DE MOTOR 3254 DISCONT.</t>
  </si>
  <si>
    <t>9618.081.702-000</t>
  </si>
  <si>
    <t>INDUCIDO 1328 - DISCONTINUADO.</t>
  </si>
  <si>
    <t>9618.081.777-000</t>
  </si>
  <si>
    <t>CONMUTADOR 3240 OBSOLETO</t>
  </si>
  <si>
    <t>9618.081.841-000</t>
  </si>
  <si>
    <t>PLACA DE REGULAC.3240.0 - DISCONTINUADO</t>
  </si>
  <si>
    <t>9618.081.842-000</t>
  </si>
  <si>
    <t>INTERRUPTOR RX9618086703-000</t>
  </si>
  <si>
    <t>9618.081.910-000</t>
  </si>
  <si>
    <t>CARCASA 1321.1/1322.1    RA778 - DISCONT</t>
  </si>
  <si>
    <t>9618.081.947-000</t>
  </si>
  <si>
    <t>CARCASA  1321.0.1.4 / 1322.0.1.4</t>
  </si>
  <si>
    <t>9618.081.955-000</t>
  </si>
  <si>
    <t>SOPORTE DE TENSION 3270 LIJBDA DISCONT.</t>
  </si>
  <si>
    <t>9618.082.081-000</t>
  </si>
  <si>
    <t>ESTATOR 3236.2 - DISCONTINUADO</t>
  </si>
  <si>
    <t>9618.082.084-000</t>
  </si>
  <si>
    <t>INDUCIDO 3236.2</t>
  </si>
  <si>
    <t>9618.082.090-000</t>
  </si>
  <si>
    <t>EMPUÑADURA 3237   RA1605132090</t>
  </si>
  <si>
    <t>9618.082.091-000</t>
  </si>
  <si>
    <t>ARANDELA 3236.2</t>
  </si>
  <si>
    <t>9618.082.112-000</t>
  </si>
  <si>
    <t>TOPE 3238.2 - DISCONTINUADO</t>
  </si>
  <si>
    <t>9618.082.114-000</t>
  </si>
  <si>
    <t>CURSOR (3238.2)</t>
  </si>
  <si>
    <t>9618.082.115-000</t>
  </si>
  <si>
    <t>PLACA BASE 3238.2 DISCONTINUADO</t>
  </si>
  <si>
    <t>9618.082.139-000</t>
  </si>
  <si>
    <t>INDUCIDO 3238.2 DISCONTINUADO</t>
  </si>
  <si>
    <t>9618.082.142-000</t>
  </si>
  <si>
    <t>ESTATOR 3238.2</t>
  </si>
  <si>
    <t>9618.082.154-000</t>
  </si>
  <si>
    <t>SOPORTE 3238.2</t>
  </si>
  <si>
    <t>9618.082.170-000</t>
  </si>
  <si>
    <t>ENGRANAJE 3238.2 DISCONT.</t>
  </si>
  <si>
    <t>9618.082.243-000</t>
  </si>
  <si>
    <t>ARANDELA 0,5 MM 3236.2</t>
  </si>
  <si>
    <t>9618.082.244-000</t>
  </si>
  <si>
    <t>ARANDELA 0,2 MM 3236.2</t>
  </si>
  <si>
    <t>9618.082.254-000</t>
  </si>
  <si>
    <t>RODAMIENTO 1551.0-RX 089.544</t>
  </si>
  <si>
    <t>9618.082.256-000</t>
  </si>
  <si>
    <t>TAPA  - DISCONTINUADO</t>
  </si>
  <si>
    <t>9618.082.260-000</t>
  </si>
  <si>
    <t>PORTA CARBON 1551.0 DISCONTINUADO</t>
  </si>
  <si>
    <t>9618.082.261-000</t>
  </si>
  <si>
    <t>TAPA 1551 - DISCONTINUADO</t>
  </si>
  <si>
    <t>9618.082.268-000</t>
  </si>
  <si>
    <t>INDUCIDO 1551.0 DISCONTINUADO</t>
  </si>
  <si>
    <t>9618.082.269-000</t>
  </si>
  <si>
    <t>PROTECTOR 1551.0 RXF000603002</t>
  </si>
  <si>
    <t>9618.082.270-000</t>
  </si>
  <si>
    <t>PROTECTOR 1551.1</t>
  </si>
  <si>
    <t>9618.082.278-000</t>
  </si>
  <si>
    <t>ESTATOR 1551.0</t>
  </si>
  <si>
    <t>9618.082.285-000</t>
  </si>
  <si>
    <t>EJE 1551.0.1</t>
  </si>
  <si>
    <t>9618.082.287-000</t>
  </si>
  <si>
    <t>ENGRANAJE 1551.0.1</t>
  </si>
  <si>
    <t>9618.082.288-000</t>
  </si>
  <si>
    <t>CU¥A 1551.1 - DISCONTINUADO</t>
  </si>
  <si>
    <t>9618.082.289-000</t>
  </si>
  <si>
    <t>PIÑON 1551.0.1</t>
  </si>
  <si>
    <t>9618.082.290-000</t>
  </si>
  <si>
    <t>CANILLA 1551.0.1</t>
  </si>
  <si>
    <t>9618.082.296-000</t>
  </si>
  <si>
    <t>INTERRUPTOR 1551.0.1 RX F000.608.006</t>
  </si>
  <si>
    <t>9618.082.305-000</t>
  </si>
  <si>
    <t>TAPA PORTAESCOBILLAS 9652-80</t>
  </si>
  <si>
    <t>9618.082.456-000</t>
  </si>
  <si>
    <t>CARCASA 11210 - DISCONTINUADO</t>
  </si>
  <si>
    <t>9618.082.765-000</t>
  </si>
  <si>
    <t>CARBONES 1321 /1130</t>
  </si>
  <si>
    <t>9618.082.810-000</t>
  </si>
  <si>
    <t>INDUCIDO 3147.1  DISCONT.</t>
  </si>
  <si>
    <t>9618.082.970-000</t>
  </si>
  <si>
    <t>CARC. MOTOR 1551.0 RX 9618089637</t>
  </si>
  <si>
    <t>9618.083.026-000</t>
  </si>
  <si>
    <t>BASTON ABRASIV.P/COLECTOR</t>
  </si>
  <si>
    <t>9618.083.146-000</t>
  </si>
  <si>
    <t>GUIA 3130/3238</t>
  </si>
  <si>
    <t>9618.083.154-000</t>
  </si>
  <si>
    <t>INDUCIDO 3230 - DISCONTINUADO</t>
  </si>
  <si>
    <t>9618.083.176-000</t>
  </si>
  <si>
    <t>9618.083.182-000</t>
  </si>
  <si>
    <t>BUJE 3238.2</t>
  </si>
  <si>
    <t>9618.083.183-000</t>
  </si>
  <si>
    <t>ARANDELA DE COMPENSACION</t>
  </si>
  <si>
    <t>9618.083.184-000</t>
  </si>
  <si>
    <t>ARANDEL DE COMPEN 1106-07.5-71</t>
  </si>
  <si>
    <t>9618.083.185-000</t>
  </si>
  <si>
    <t>ARANDEL DE COMPENSA 1106-07-71</t>
  </si>
  <si>
    <t>9618.083.190-000</t>
  </si>
  <si>
    <t>ANILLO 1106/1107</t>
  </si>
  <si>
    <t>9618.083.206-000</t>
  </si>
  <si>
    <t>INDUCIDO 3240 / 1171.1.7 DISCONTINUADO.</t>
  </si>
  <si>
    <t>9618.083.209-000</t>
  </si>
  <si>
    <t>EJE DE TRABAJO 3240</t>
  </si>
  <si>
    <t>9618.083.212-000</t>
  </si>
  <si>
    <t>EJE 1106.0/1171.0/1171.7 DISCONTINUADO</t>
  </si>
  <si>
    <t>9618.083.219-000</t>
  </si>
  <si>
    <t>SOPORT.1106/1171.0/1171.7RA188 DISCONT</t>
  </si>
  <si>
    <t>9618.083.349-000</t>
  </si>
  <si>
    <t>PLACA INTERMEDIA</t>
  </si>
  <si>
    <t>9618.083.350-000</t>
  </si>
  <si>
    <t>PIEZA DE VARILLA 1577</t>
  </si>
  <si>
    <t>9618.083.417-000</t>
  </si>
  <si>
    <t>CARCASA 3230 - DISCONTINUADO</t>
  </si>
  <si>
    <t>9618.083.430-000</t>
  </si>
  <si>
    <t>CARCASA 1106.0 DISCONT.</t>
  </si>
  <si>
    <t>9618.083.437-000</t>
  </si>
  <si>
    <t>CARCASA 1171.0</t>
  </si>
  <si>
    <t>9618.083.506-000</t>
  </si>
  <si>
    <t>INDUCIDO 1106.0 DISCONT.</t>
  </si>
  <si>
    <t>9618.083.525-000</t>
  </si>
  <si>
    <t>9618.083.581-000</t>
  </si>
  <si>
    <t>9618.083.593-000</t>
  </si>
  <si>
    <t>ESTATOR 1528/1577 - DISCONTINUADO</t>
  </si>
  <si>
    <t>9618.083.600-000</t>
  </si>
  <si>
    <t>SOPORTE 1204/1577-DISCONTINUADO</t>
  </si>
  <si>
    <t>9618.083.800-000</t>
  </si>
  <si>
    <t>BOLILLA 1171 / 6426-21</t>
  </si>
  <si>
    <t>9618.083.808-000</t>
  </si>
  <si>
    <t>DEFLECTOR 1204/1577</t>
  </si>
  <si>
    <t>9618.083.869-000</t>
  </si>
  <si>
    <t>TAPA                RX085475</t>
  </si>
  <si>
    <t>9618.083.899-000</t>
  </si>
  <si>
    <t>CONDUCTOR ELECTRICO 11210 DISCONT</t>
  </si>
  <si>
    <t>9618.084.341-000</t>
  </si>
  <si>
    <t>PROTECTOR PASA C. 1106</t>
  </si>
  <si>
    <t>9618.084.376-000</t>
  </si>
  <si>
    <t>CARCASA 11210.0</t>
  </si>
  <si>
    <t>9618.084.983-000</t>
  </si>
  <si>
    <t>9618.085.010-000</t>
  </si>
  <si>
    <t>LLAVE EXTRACTORA DE PIÑON 3253</t>
  </si>
  <si>
    <t>9618.085.220-000</t>
  </si>
  <si>
    <t>CARCASA DE MOTOR 1270- DISCONTINUADO</t>
  </si>
  <si>
    <t>9618.085.228-000</t>
  </si>
  <si>
    <t>9618.085.250-000</t>
  </si>
  <si>
    <t>PLACA IMPRES.3268</t>
  </si>
  <si>
    <t>9618.085.451-000</t>
  </si>
  <si>
    <t>INDUCIDO 1577   DISCONTINUADO</t>
  </si>
  <si>
    <t>9618.085.475-000</t>
  </si>
  <si>
    <t>TAPA                RA083869</t>
  </si>
  <si>
    <t>9618.085.479-000</t>
  </si>
  <si>
    <t>TRABA DISCO 1321 / 2 / 1331 / 2</t>
  </si>
  <si>
    <t>9618.085.617-000</t>
  </si>
  <si>
    <t>SOPORTE 1577-DISCONTINUADO</t>
  </si>
  <si>
    <t>9618.085.665-000</t>
  </si>
  <si>
    <t>CARCASA DE MOTOR 1215078</t>
  </si>
  <si>
    <t>9618.085.672-000</t>
  </si>
  <si>
    <t>RODAMIENTO RIGIDO BOLAS 1B28.1</t>
  </si>
  <si>
    <t>9618.085.689-000</t>
  </si>
  <si>
    <t>CARCASA 3147.1       RA082839 DISCONT.</t>
  </si>
  <si>
    <t>9618.085.745-000</t>
  </si>
  <si>
    <t>ESTATOR 1106/1171   RA083216 - DISCONT.</t>
  </si>
  <si>
    <t>9618.085.748-000</t>
  </si>
  <si>
    <t>ESTATOR 3240 MAGNUN</t>
  </si>
  <si>
    <t>9618.085.758-000</t>
  </si>
  <si>
    <t>INDUCIDO 3237 DISCONTINUADO</t>
  </si>
  <si>
    <t>9618.085.763-000</t>
  </si>
  <si>
    <t>ESTATOR 1107.0</t>
  </si>
  <si>
    <t>9618.085.796-000</t>
  </si>
  <si>
    <t>TORNILLO 1551.0.1/1548.0 RX F000.616.134</t>
  </si>
  <si>
    <t>9618.085.800-000</t>
  </si>
  <si>
    <t>EJE 1163.6 RA2606135012</t>
  </si>
  <si>
    <t>9618.085.825-000</t>
  </si>
  <si>
    <t>CABLE P/PROTEC. 1106/7/1171 RX089010</t>
  </si>
  <si>
    <t>9618.085.850-000</t>
  </si>
  <si>
    <t>DEFLECTOR 1551.0.1  RX F000 600 369</t>
  </si>
  <si>
    <t>9618.085.859-000</t>
  </si>
  <si>
    <t>ESTATOR 3254 DISCONTINUADO</t>
  </si>
  <si>
    <t>9618.085.861-000</t>
  </si>
  <si>
    <t>ESTATOR 3237.0</t>
  </si>
  <si>
    <t>9618.085.863-000</t>
  </si>
  <si>
    <t>ESTATOR 3230 - DISCONTINUADO</t>
  </si>
  <si>
    <t>9618.085.950-000</t>
  </si>
  <si>
    <t>9618.086.104-000</t>
  </si>
  <si>
    <t>CARCASA - DISCONTINUADO</t>
  </si>
  <si>
    <t>9618.086.121-000</t>
  </si>
  <si>
    <t>PORTACARBONES OBSOLETO</t>
  </si>
  <si>
    <t>9618.086.125-000</t>
  </si>
  <si>
    <t>PORTACARBONES 3147.1</t>
  </si>
  <si>
    <t>9618.086.131-000</t>
  </si>
  <si>
    <t>CONDUCTOR (1551.0) - DISCONTINUADO</t>
  </si>
  <si>
    <t>9618.086.222-000</t>
  </si>
  <si>
    <t>HUSILLO 1107.5</t>
  </si>
  <si>
    <t>9618.086.363-000</t>
  </si>
  <si>
    <t>CABEZAL   1331.5 - DISCONTINUADO</t>
  </si>
  <si>
    <t>9618.086.512-000</t>
  </si>
  <si>
    <t>INDUCIDO 1107.5 DISCONTINUADO.</t>
  </si>
  <si>
    <t>9618.086.521-000</t>
  </si>
  <si>
    <t>9618.086.561-000</t>
  </si>
  <si>
    <t>CONMUTADOR 3147.1 RA2607200039</t>
  </si>
  <si>
    <t>9618.086.565-000</t>
  </si>
  <si>
    <t>CARCASA 1138 - DISCONTINUADO</t>
  </si>
  <si>
    <t>9618.086.570-000</t>
  </si>
  <si>
    <t>ESTATOR 1107.5</t>
  </si>
  <si>
    <t>9618.086.575-000</t>
  </si>
  <si>
    <t>CARCASA 1107.5 - DISCONTINUADO</t>
  </si>
  <si>
    <t>9618.086.597-000</t>
  </si>
  <si>
    <t>PUNO OBSOLETO</t>
  </si>
  <si>
    <t>9618.086.600-000</t>
  </si>
  <si>
    <t>EMPUÑADURA 11210.0RA9618084377</t>
  </si>
  <si>
    <t>9618.086.601-000</t>
  </si>
  <si>
    <t>PLACA BASE 1551.0.1 OBSOLETO</t>
  </si>
  <si>
    <t>9618.086.603-000</t>
  </si>
  <si>
    <t>SOPORTE 1551- RX9618089760</t>
  </si>
  <si>
    <t>9618.086.615-000</t>
  </si>
  <si>
    <t>TORNILLO 1800/1H31/1C77.5</t>
  </si>
  <si>
    <t>9618.086.616-000</t>
  </si>
  <si>
    <t>9618.086.632-000</t>
  </si>
  <si>
    <t>INTERRUPTOR 1361-/1356-57 RX 160720031H</t>
  </si>
  <si>
    <t>9618.086.638-000</t>
  </si>
  <si>
    <t>TORNILLO 18A1/6/17A1/2/1283</t>
  </si>
  <si>
    <t>9618.086.661-000</t>
  </si>
  <si>
    <t>BRIDA 1366/.6</t>
  </si>
  <si>
    <t>9618.086.677-000</t>
  </si>
  <si>
    <t>BRIDA DE COMPENSACION 3261/2</t>
  </si>
  <si>
    <t>9618.086.678-000</t>
  </si>
  <si>
    <t>EMPUÑADURA 1366/.6</t>
  </si>
  <si>
    <t>9618.086.679-000</t>
  </si>
  <si>
    <t>TAPA 1551.0.1 RX F000600497</t>
  </si>
  <si>
    <t>9618.086.680-000</t>
  </si>
  <si>
    <t>BRIDA 1551.0.1</t>
  </si>
  <si>
    <t>9618.086.692-000</t>
  </si>
  <si>
    <t>BUJE SP.HOBBY DISCONTINUADO.</t>
  </si>
  <si>
    <t>9618.086.693-000</t>
  </si>
  <si>
    <t>BUJE DISIPADOR SP.HOBBY-6421/3/6 DISCONT</t>
  </si>
  <si>
    <t>9618.086.695-000</t>
  </si>
  <si>
    <t>9618.086.704-000</t>
  </si>
  <si>
    <t>ENGRANAJE - OBSOLETO</t>
  </si>
  <si>
    <t>9618.086.705-000</t>
  </si>
  <si>
    <t>CONMUTADOR SP.HOBBY C/PERC. RXF000623005</t>
  </si>
  <si>
    <t>9618.086.713-000</t>
  </si>
  <si>
    <t>CORONA 1359 SOLUC 1366/.6 RX F000617014</t>
  </si>
  <si>
    <t>9618.086.718-000</t>
  </si>
  <si>
    <t>DISCO DE GOMA PARA VELLON DE LANA GPO 14</t>
  </si>
  <si>
    <t>9618.086.773-000</t>
  </si>
  <si>
    <t>CARBONES 1121/1557/11206</t>
  </si>
  <si>
    <t>9618.086.775-000</t>
  </si>
  <si>
    <t>CARCASA 3114</t>
  </si>
  <si>
    <t>9618.086.782-000</t>
  </si>
  <si>
    <t>INDUCIDO 3114 - DISCONTINUADO</t>
  </si>
  <si>
    <t>9618.086.790-000</t>
  </si>
  <si>
    <t>CARCASA 3246.0/3246.2 OBSOLETO</t>
  </si>
  <si>
    <t>9618.086.793-000</t>
  </si>
  <si>
    <t>CARCASA 1135.0 OBSOLETO</t>
  </si>
  <si>
    <t>9618.086.800-000</t>
  </si>
  <si>
    <t>INDUCIDO 1135.0 - DISCONTINUADO</t>
  </si>
  <si>
    <t>9618.086.801-000</t>
  </si>
  <si>
    <t>CARCASA 1187 - DISCONTINUADO</t>
  </si>
  <si>
    <t>9618.086.807-000</t>
  </si>
  <si>
    <t>INDUCIDO 1187</t>
  </si>
  <si>
    <t>9618.086.810-000</t>
  </si>
  <si>
    <t>9618.086.818-000</t>
  </si>
  <si>
    <t>ESTATOR 1184.0              BR</t>
  </si>
  <si>
    <t>9618.086.819-000</t>
  </si>
  <si>
    <t>INDUCIDO 1184.0</t>
  </si>
  <si>
    <t>9618.086.821-000</t>
  </si>
  <si>
    <t>INDUCIDO 1163.6</t>
  </si>
  <si>
    <t>9618.086.823-000</t>
  </si>
  <si>
    <t>CARCASA 1184.084679900000</t>
  </si>
  <si>
    <t>9618.086.828-000</t>
  </si>
  <si>
    <t>CARCASA DE MOTOR 1163</t>
  </si>
  <si>
    <t>9618.086.830-000</t>
  </si>
  <si>
    <t>CARCASA MOTOR 1351</t>
  </si>
  <si>
    <t>9618.086.831-000</t>
  </si>
  <si>
    <t>CARCASA DE MOTOR 1352</t>
  </si>
  <si>
    <t>9618.086.832-000</t>
  </si>
  <si>
    <t>CARCASA DE MOTOR 1361.0     BR</t>
  </si>
  <si>
    <t>9618.086.833-000</t>
  </si>
  <si>
    <t>CARCASA DE MOTOR 1362.0     BR</t>
  </si>
  <si>
    <t>9618.086.836-000</t>
  </si>
  <si>
    <t>DISPOSITIVO PARA SACAR ENGRANAJE 1186</t>
  </si>
  <si>
    <t>9618.086.844-000</t>
  </si>
  <si>
    <t>CABEZAL 1351 /1352 OBSOLETO</t>
  </si>
  <si>
    <t>9618.086.845-000</t>
  </si>
  <si>
    <t>CABEZAL 1366/.6 RXF000602166</t>
  </si>
  <si>
    <t>9618.086.852-000</t>
  </si>
  <si>
    <t>DISPOSIT.EXTRACTOR - DISCONTINUADO</t>
  </si>
  <si>
    <t>9618.086.853-000</t>
  </si>
  <si>
    <t>LLAVE PARA COLOCAR Y EXTRAER PIÑON</t>
  </si>
  <si>
    <t>9618.086.854-000</t>
  </si>
  <si>
    <t>DISPOSITIVO</t>
  </si>
  <si>
    <t>9618.086.855-000</t>
  </si>
  <si>
    <t>DISPOSITIVO PARA EXTRAER EL ARRASTRE</t>
  </si>
  <si>
    <t>9618.086.856-000</t>
  </si>
  <si>
    <t>DISPOSITIVO PARA EXTRAER BRIDA ROSCADA</t>
  </si>
  <si>
    <t>9618.086.857-000</t>
  </si>
  <si>
    <t>DISPOSITIVO PARA ALINEAR - DISCONTINUADO</t>
  </si>
  <si>
    <t>9618.086.865-000</t>
  </si>
  <si>
    <t>TAPA AISLANTE 6438 RX2600707060</t>
  </si>
  <si>
    <t>9618.086.872-000</t>
  </si>
  <si>
    <t>PORTACARBON INFERIOR 1194.5</t>
  </si>
  <si>
    <t>9618.086.873-000</t>
  </si>
  <si>
    <t>PORTACARBON SUPERIOR 1194.5</t>
  </si>
  <si>
    <t>9618.086.876-000</t>
  </si>
  <si>
    <t>CABEZAL 1331/2   RA1605806346-DISCONT.</t>
  </si>
  <si>
    <t>9618.086.877-000</t>
  </si>
  <si>
    <t>CARCASA SUPER HOBBY RX9618086810</t>
  </si>
  <si>
    <t>9618.086.959-000</t>
  </si>
  <si>
    <t>CABLE DE CONEXION 1187.3 DISCONT</t>
  </si>
  <si>
    <t>9618.086.968-000</t>
  </si>
  <si>
    <t>CARCASA 3240.2 - OBSOLETO</t>
  </si>
  <si>
    <t>9618.086.981-000</t>
  </si>
  <si>
    <t>CAJA DE MOTOR SP.HOBBY DISCONT.</t>
  </si>
  <si>
    <t>9618.086.993-000</t>
  </si>
  <si>
    <t>ESTATOR 1135.0/3114 RX 9618088953</t>
  </si>
  <si>
    <t>9618.086.994-000</t>
  </si>
  <si>
    <t>INDUCIDO 3246 OBSOLETO</t>
  </si>
  <si>
    <t>9618.086.996-000</t>
  </si>
  <si>
    <t>ESTATOR 3246 OBSOLETO</t>
  </si>
  <si>
    <t>9618.086.999-000</t>
  </si>
  <si>
    <t>ESTATOR OBSOLETO</t>
  </si>
  <si>
    <t>9618.087.096-000</t>
  </si>
  <si>
    <t>PLACA SOPORTE</t>
  </si>
  <si>
    <t>9618.087.099-000</t>
  </si>
  <si>
    <t>9618.087.100-000</t>
  </si>
  <si>
    <t>TORNILLO AUTORROS 11A5/1283/1H31/1C77.5</t>
  </si>
  <si>
    <t>9618.087.101-000</t>
  </si>
  <si>
    <t>9618.087.122-000</t>
  </si>
  <si>
    <t>PU#O 3236.2</t>
  </si>
  <si>
    <t>9618.087.123-000</t>
  </si>
  <si>
    <t>PROTECTOR PENDULAR 3236.2</t>
  </si>
  <si>
    <t>9618.087.127-000</t>
  </si>
  <si>
    <t>CARCASA 3238.2</t>
  </si>
  <si>
    <t>9618.087.131-000</t>
  </si>
  <si>
    <t>BRIDA 9652-80 DISCONT.</t>
  </si>
  <si>
    <t>9618.087.135-000</t>
  </si>
  <si>
    <t>CABLE C/PROTEC. 1187.0.5</t>
  </si>
  <si>
    <t>9618.087.141-000</t>
  </si>
  <si>
    <t>INDUCIDO 1359  RX F000605024</t>
  </si>
  <si>
    <t>9618.087.160-000</t>
  </si>
  <si>
    <t>CORONA 1366.7 RX 1606333253</t>
  </si>
  <si>
    <t>9618.087.166-000</t>
  </si>
  <si>
    <t>BUJE SP.HOBBY C/PERCUS.-6421/6 OBSOLETO</t>
  </si>
  <si>
    <t>9618.087.172-000</t>
  </si>
  <si>
    <t>BUJE 3114/3246 RXF000600348</t>
  </si>
  <si>
    <t>9618.087.174-000</t>
  </si>
  <si>
    <t>9618.087.177-000</t>
  </si>
  <si>
    <t>ESTATOR 6421 RA 9618089269</t>
  </si>
  <si>
    <t>9618.087.183-000</t>
  </si>
  <si>
    <t>EJE 1135.0  DISCONT.</t>
  </si>
  <si>
    <t>9618.087.187-000</t>
  </si>
  <si>
    <t>CARBONES 1551.0 - DISCONTINUADO</t>
  </si>
  <si>
    <t>9618.087.192-000</t>
  </si>
  <si>
    <t>CARCASA 3236.2 OBSOLETO</t>
  </si>
  <si>
    <t>9618.087.601-000</t>
  </si>
  <si>
    <t>CARCASA 9652-80  -  DISCONTINUADO</t>
  </si>
  <si>
    <t>9618.087.622-000</t>
  </si>
  <si>
    <t>EJE 9652-80 - DISCONTINUADO</t>
  </si>
  <si>
    <t>9618.088.946-000</t>
  </si>
  <si>
    <t>BUJE DISIPADOR 3236.2/3238.2 OBSOLETO</t>
  </si>
  <si>
    <t>9618.088.953-000</t>
  </si>
  <si>
    <t>ESTATOR 1135.5 OBSOLETO</t>
  </si>
  <si>
    <t>9618.088.954-000</t>
  </si>
  <si>
    <t>INDUCIDO 1135.5</t>
  </si>
  <si>
    <t>9618.088.955-000</t>
  </si>
  <si>
    <t>CARCASA 1135.5 - DISCONTINUADO</t>
  </si>
  <si>
    <t>9618.089.010-000</t>
  </si>
  <si>
    <t>CABLE C/ENCH. 1106/71 RA85825</t>
  </si>
  <si>
    <t>9618.089.017-000</t>
  </si>
  <si>
    <t>CONMUTADOR 1187</t>
  </si>
  <si>
    <t>9618.089.058-000</t>
  </si>
  <si>
    <t>TUERCA INDUCIDO 1359 (SOLUCION 1366/.6)</t>
  </si>
  <si>
    <t>9618.089.083-000</t>
  </si>
  <si>
    <t>ESTATOR 3141 - DISCONTINUADO</t>
  </si>
  <si>
    <t>9618.089.085-000</t>
  </si>
  <si>
    <t>EJE 3141 - DISCONT.</t>
  </si>
  <si>
    <t>9618.089.087-000</t>
  </si>
  <si>
    <t>INDUCIDO 3141</t>
  </si>
  <si>
    <t>9618.089.090-000</t>
  </si>
  <si>
    <t>INDUCIDO 3169.078 - DISCONTINUADO</t>
  </si>
  <si>
    <t>9618.089.095-000</t>
  </si>
  <si>
    <t>ESTATOR 1366.6/1548 RX F000607063</t>
  </si>
  <si>
    <t>9618.089.096-000</t>
  </si>
  <si>
    <t>INDUCIDO 1366.7 RXF000605108</t>
  </si>
  <si>
    <t>9618.089.195-000</t>
  </si>
  <si>
    <t>PLACA DE TOPE 3246/081360 RXF000623005</t>
  </si>
  <si>
    <t>9618.089.207-000</t>
  </si>
  <si>
    <t>CONDUCT.DE PORTACARBON 3246.5</t>
  </si>
  <si>
    <t>9618.089.269-000</t>
  </si>
  <si>
    <t>ESTATOR 3246.5 / 6426 RX 9618087177</t>
  </si>
  <si>
    <t>9618.089.281-000</t>
  </si>
  <si>
    <t>BRIDA 3114/3246       RA087175</t>
  </si>
  <si>
    <t>9618.089.284-000</t>
  </si>
  <si>
    <t>SOPORTE 1187.3.5 - DISCONTINUADO</t>
  </si>
  <si>
    <t>9618.089.289-000</t>
  </si>
  <si>
    <t>CARBONES 1187.3.5/3141RX 982</t>
  </si>
  <si>
    <t>9618.089.302-000</t>
  </si>
  <si>
    <t>DISPOSITIVO PARA SACAR EL INDUCIDO 1374</t>
  </si>
  <si>
    <t>9618.089.307-000</t>
  </si>
  <si>
    <t>DISPOSITIVO PARA SACAR EL INDUCIDO</t>
  </si>
  <si>
    <t>9618.089.308-000</t>
  </si>
  <si>
    <t>BUJE C/RODAMIENTO 3246.5 RX281</t>
  </si>
  <si>
    <t>9618.089.316-000</t>
  </si>
  <si>
    <t>MANGUERA PARA CORTADORA DIAMANTADA</t>
  </si>
  <si>
    <t>9618.089.362-000</t>
  </si>
  <si>
    <t>9618.089.364-000</t>
  </si>
  <si>
    <t>9618.089.367-000</t>
  </si>
  <si>
    <t>CABEZAL 9752-80 RX F000.602.012</t>
  </si>
  <si>
    <t>9618.089.405-000</t>
  </si>
  <si>
    <t>SOPORTE 3141 - DISCONTINUADO</t>
  </si>
  <si>
    <t>9618.089.448-000</t>
  </si>
  <si>
    <t>9618.089.453-000</t>
  </si>
  <si>
    <t>SOPORTE 3141</t>
  </si>
  <si>
    <t>9618.089.467-000</t>
  </si>
  <si>
    <t>ESTATOR CALAD.SP.HOBBY - DISCONTINUADO</t>
  </si>
  <si>
    <t>9618.089.469-000</t>
  </si>
  <si>
    <t>INDUCIDO CALAD.SP.HOBBY - DISCONTINUADO</t>
  </si>
  <si>
    <t>9618.089.470-000</t>
  </si>
  <si>
    <t>9618.089.480-000</t>
  </si>
  <si>
    <t>RODAMIENTO RIGIDO BOLAS 17A1/2/1283</t>
  </si>
  <si>
    <t>9618.089.498-000</t>
  </si>
  <si>
    <t>SOPORTE 1135.6</t>
  </si>
  <si>
    <t>9618.089.504-000</t>
  </si>
  <si>
    <t>INDUCIDO 1187.3</t>
  </si>
  <si>
    <t>9618.089.508-000</t>
  </si>
  <si>
    <t>EJE 1187.3.5</t>
  </si>
  <si>
    <t>9618.089.509-000</t>
  </si>
  <si>
    <t>CARCASA 1187.3</t>
  </si>
  <si>
    <t>9618.089.517-000</t>
  </si>
  <si>
    <t>ROLDANA CALAD.SP.HOBBY</t>
  </si>
  <si>
    <t>9618.089.522-000</t>
  </si>
  <si>
    <t>EJE 6421</t>
  </si>
  <si>
    <t>9618.089.532-000</t>
  </si>
  <si>
    <t>EJE 1135.6 - DISCONTINUADO</t>
  </si>
  <si>
    <t>9618.089.539-000</t>
  </si>
  <si>
    <t>INDUCIDO 3246.5 / 6426</t>
  </si>
  <si>
    <t>9618.089.540-000</t>
  </si>
  <si>
    <t>CARCASA 3246.5 OBSOLETO</t>
  </si>
  <si>
    <t>9618.089.542-000</t>
  </si>
  <si>
    <t>ESTATOR 1187.3</t>
  </si>
  <si>
    <t>9618.089.544-000</t>
  </si>
  <si>
    <t>RODAMIENTO 1366.7/1551.1 RX F000615004</t>
  </si>
  <si>
    <t>9618.089.547-000</t>
  </si>
  <si>
    <t>RODAMIENTO 1551.1/12A2.0</t>
  </si>
  <si>
    <t>9618.089.552-000</t>
  </si>
  <si>
    <t>CARCASA CALAD.SP.HOBBY</t>
  </si>
  <si>
    <t>9618.089.553-000</t>
  </si>
  <si>
    <t>RETEN OBTURADOR 3219</t>
  </si>
  <si>
    <t>9618.089.563-000</t>
  </si>
  <si>
    <t>ESTATOR 3169.078</t>
  </si>
  <si>
    <t>9618.089.567-000</t>
  </si>
  <si>
    <t>CARCASA 3141</t>
  </si>
  <si>
    <t>9618.089.568-000</t>
  </si>
  <si>
    <t>ENGRANAJE 3141</t>
  </si>
  <si>
    <t>9618.089.569-000</t>
  </si>
  <si>
    <t>CARCASA 3169.078</t>
  </si>
  <si>
    <t>9618.089.570-000</t>
  </si>
  <si>
    <t>PIÑON 1366.7</t>
  </si>
  <si>
    <t>9618.089.586-000</t>
  </si>
  <si>
    <t>9618.089.589-000</t>
  </si>
  <si>
    <t>ESTATOR 1135.6</t>
  </si>
  <si>
    <t>9618.089.590-000</t>
  </si>
  <si>
    <t>INDUCIDO 1135.6</t>
  </si>
  <si>
    <t>9618.089.593-000</t>
  </si>
  <si>
    <t>TESTER DE BOBINADOS - DISCONTINUADO</t>
  </si>
  <si>
    <t>9618.089.596-000</t>
  </si>
  <si>
    <t>CARCASA DEL MOTOR 1194.5</t>
  </si>
  <si>
    <t>9618.089.601-000</t>
  </si>
  <si>
    <t>EJE DE SALIDA 1194.5 RX2606135013</t>
  </si>
  <si>
    <t>9618.089.606-000</t>
  </si>
  <si>
    <t>REGULADOR ELECTRONICO 1366 RX 1600A003MA</t>
  </si>
  <si>
    <t>9618.089.616-000</t>
  </si>
  <si>
    <t>CARCASA 9752-80</t>
  </si>
  <si>
    <t>9618.089.621-000</t>
  </si>
  <si>
    <t>CARCASA 9661-80</t>
  </si>
  <si>
    <t>9618.089.623-000</t>
  </si>
  <si>
    <t>CARCASA 9762-80</t>
  </si>
  <si>
    <t>9618.089.630-000</t>
  </si>
  <si>
    <t>CARCASA 3219.3 DISCONTINUADO</t>
  </si>
  <si>
    <t>9618.089.637-000</t>
  </si>
  <si>
    <t>CARC. MOTOR 1551.0 RA 9618082970-DISCONT</t>
  </si>
  <si>
    <t>9618.089.644-000</t>
  </si>
  <si>
    <t>CARCASA 1187.5</t>
  </si>
  <si>
    <t>9618.089.650-000</t>
  </si>
  <si>
    <t>ESTATOR 1187.5</t>
  </si>
  <si>
    <t>9618.089.651-000</t>
  </si>
  <si>
    <t>INDUCIDO 1187.5 - DISCONTINUADO</t>
  </si>
  <si>
    <t>9618.089.662-000</t>
  </si>
  <si>
    <t>9618.089.663-000</t>
  </si>
  <si>
    <t>INDUCIDO 3169.5 OBSOLETO</t>
  </si>
  <si>
    <t>9618.089.665-000</t>
  </si>
  <si>
    <t>CARCASA 3169.578 OBSOLETO</t>
  </si>
  <si>
    <t>9618.089.686-000</t>
  </si>
  <si>
    <t>ESTATOR 1356 / 1357 BR</t>
  </si>
  <si>
    <t>9618.089.687-000</t>
  </si>
  <si>
    <t>INDUCIDO 1356/1357(BR) RX F000.605.079</t>
  </si>
  <si>
    <t>9618.089.688-000</t>
  </si>
  <si>
    <t>HUSILLO 1182-1184-1194.5 RA2606135013</t>
  </si>
  <si>
    <t>9618.089.699-000</t>
  </si>
  <si>
    <t>CARCASA 1356(BR)</t>
  </si>
  <si>
    <t>9618.089.700-000</t>
  </si>
  <si>
    <t>CARCASA 1357(BR)DISCONT.</t>
  </si>
  <si>
    <t>9618.089.756-000</t>
  </si>
  <si>
    <t>TAPA DE PU¥O 1551.1</t>
  </si>
  <si>
    <t>9618.089.760-000</t>
  </si>
  <si>
    <t>SOPORTE 1551.1 DISCONTINUADO.</t>
  </si>
  <si>
    <t>9618.089.766-000</t>
  </si>
  <si>
    <t>INDUCIDO - 220V 1551.1</t>
  </si>
  <si>
    <t>9618.089.770-000</t>
  </si>
  <si>
    <t>INTERRUPTOR 3240.5-S.HOBBY OBSOLETO</t>
  </si>
  <si>
    <t>9618.089.875-000</t>
  </si>
  <si>
    <t>TAPA 1551.1 OBSOLETO</t>
  </si>
  <si>
    <t>9618.089.880-000</t>
  </si>
  <si>
    <t>CARCASA 6421/6426 RX 881</t>
  </si>
  <si>
    <t>9618.089.881-000</t>
  </si>
  <si>
    <t>9618.089.885-000</t>
  </si>
  <si>
    <t>TORNILLO 17A1/2/1283</t>
  </si>
  <si>
    <t>9618.089.890-000</t>
  </si>
  <si>
    <t>ENGRANAJE 3169.5  - DISCONTINUADO</t>
  </si>
  <si>
    <t>9618.089.903-000</t>
  </si>
  <si>
    <t>INDUCIDO 7081536 (SUPER HOBBY)</t>
  </si>
  <si>
    <t>9618.089.904-000</t>
  </si>
  <si>
    <t>ESTATOR - 220V SUPER HOBBY</t>
  </si>
  <si>
    <t>9618.089.908-000</t>
  </si>
  <si>
    <t>TORNILLO 1551.1 DISCONT.</t>
  </si>
  <si>
    <t>9618.089.939-000</t>
  </si>
  <si>
    <t>INTERRUPTOR 6426 RX 1607200187</t>
  </si>
  <si>
    <t>9618.089.968-000</t>
  </si>
  <si>
    <t>CARCASA 3240.5 OBSOLETO</t>
  </si>
  <si>
    <t>9618.089.973-000</t>
  </si>
  <si>
    <t>CARCASA SUPER HOBBY 7081.578</t>
  </si>
  <si>
    <t>9618.089.982-000</t>
  </si>
  <si>
    <t>CARBONES RA 289</t>
  </si>
  <si>
    <t>9618.089.985-000</t>
  </si>
  <si>
    <t>CARCASA 9500</t>
  </si>
  <si>
    <t>9618.089.999-000</t>
  </si>
  <si>
    <t>CARCASA DE MOTOR 1551.1-DISCONTINUADO</t>
  </si>
  <si>
    <t>9903.082.004-000</t>
  </si>
  <si>
    <t>BOLILLA P/ 3147.1 - DISCONTINUADO</t>
  </si>
  <si>
    <t>9903.083.004-000</t>
  </si>
  <si>
    <t>TUERCA - DISCONTINUADO</t>
  </si>
  <si>
    <t>F000.600.041-000</t>
  </si>
  <si>
    <t>TAPA TRASERA - DISCONTINUADO</t>
  </si>
  <si>
    <t>F000.600.044-000</t>
  </si>
  <si>
    <t>CARCASA MOTOR 1282 RA 1605.108.151</t>
  </si>
  <si>
    <t>F000.600.060-000</t>
  </si>
  <si>
    <t>ESTATOR 3278/9121/1347/1282</t>
  </si>
  <si>
    <t>F000.600.061-000</t>
  </si>
  <si>
    <t>INDUCIDO 9121/3278/1347/1282</t>
  </si>
  <si>
    <t>F000.600.076-000</t>
  </si>
  <si>
    <t>SOPORTE 3169.078/578 RX995</t>
  </si>
  <si>
    <t>F000.600.079-000</t>
  </si>
  <si>
    <t>EJE 3169.078</t>
  </si>
  <si>
    <t>F000.600.080-000</t>
  </si>
  <si>
    <t>EJE 3169.578 RX F000600315</t>
  </si>
  <si>
    <t>F000.600.101-000</t>
  </si>
  <si>
    <t>TAPA DEL MOTOR 1347.2.1</t>
  </si>
  <si>
    <t>F000.600.102-000</t>
  </si>
  <si>
    <t>TAPA MOTOR 3278.3-RA9618086848</t>
  </si>
  <si>
    <t>F000.600.112-000</t>
  </si>
  <si>
    <t>F000.600.113-000</t>
  </si>
  <si>
    <t>PORTACARBON 1120/1366/1551 RA1604336018</t>
  </si>
  <si>
    <t>F000.600.121-000</t>
  </si>
  <si>
    <t>PLACA BASE 3219.3 - REE. A 2601016074</t>
  </si>
  <si>
    <t>F000.600.133-000</t>
  </si>
  <si>
    <t>PORTACARBONES 9121 RX2601323021</t>
  </si>
  <si>
    <t>F000.600.146-000</t>
  </si>
  <si>
    <t>CONMUTADOR PERCUSION 1147/87/3169.5</t>
  </si>
  <si>
    <t>F000.600.150-000</t>
  </si>
  <si>
    <t>HUSILLO AMOLADOR 9777/90 1366/.6</t>
  </si>
  <si>
    <t>F000.600.209-000</t>
  </si>
  <si>
    <t>CARBONES RX F000611056</t>
  </si>
  <si>
    <t>F000.600.215-000</t>
  </si>
  <si>
    <t>TORNILLO 1754.4/1130A RA1603.435.036</t>
  </si>
  <si>
    <t>F000.600.216-000</t>
  </si>
  <si>
    <t>TORNILLO AUTORROSCANTE 17A1/2/1283</t>
  </si>
  <si>
    <t>F000.600.217-000</t>
  </si>
  <si>
    <t>TORNILLO PARA CHAPA GDC 14-40</t>
  </si>
  <si>
    <t>F000.600.218-000</t>
  </si>
  <si>
    <t>TORNILLO TRABA ESTATOR 1751/2/3/4</t>
  </si>
  <si>
    <t>F000.600.221-000</t>
  </si>
  <si>
    <t>INTERRUPTOR 1751 RX F000608035</t>
  </si>
  <si>
    <t>F000.600.222-000</t>
  </si>
  <si>
    <t>SEPARADOR CARCASA 1753.0 / 1754.0</t>
  </si>
  <si>
    <t>F000.600.223-000</t>
  </si>
  <si>
    <t>Llave fija de 17 p/GGS 27/POF400 Ra 339</t>
  </si>
  <si>
    <t>F000.600.238-000</t>
  </si>
  <si>
    <t>ESTATOR - 220V - RX F000607085</t>
  </si>
  <si>
    <t>F000.600.239-000</t>
  </si>
  <si>
    <t>INDUCIDO 220V - RX F000605227</t>
  </si>
  <si>
    <t>F000.600.241-000</t>
  </si>
  <si>
    <t>CAJA ENGRANAJES 1753/4.0 RXF000602007</t>
  </si>
  <si>
    <t>F000.600.242-000</t>
  </si>
  <si>
    <t>EMPUNADURA 1753/ 1754.0 RX F000.603.011</t>
  </si>
  <si>
    <t>F000.600.243-000</t>
  </si>
  <si>
    <t>ABRAZADERA 17A1/2</t>
  </si>
  <si>
    <t>F000.600.251-000</t>
  </si>
  <si>
    <t>ESTATOR 220V - RX F000.607.095-000</t>
  </si>
  <si>
    <t>F000.600.259-000</t>
  </si>
  <si>
    <t>ESTATOR 6843</t>
  </si>
  <si>
    <t>F000.600.260-000</t>
  </si>
  <si>
    <t>INDUCIDO 220V. EXCLUSIVO EXP.</t>
  </si>
  <si>
    <t>F000.600.262-000</t>
  </si>
  <si>
    <t>CARCASA 6843</t>
  </si>
  <si>
    <t>F000.600.268-000</t>
  </si>
  <si>
    <t>ESTATOR 127V 1751/2/7</t>
  </si>
  <si>
    <t>F000.600.270-000</t>
  </si>
  <si>
    <t>ESTATOR 220V RX F000.607.093-000</t>
  </si>
  <si>
    <t>F000.600.273-000</t>
  </si>
  <si>
    <t>CARBONES 6843 - DISCONTINUADO</t>
  </si>
  <si>
    <t>F000.600.274-000</t>
  </si>
  <si>
    <t>BUJE SOPORTE 1147.5 RX 995</t>
  </si>
  <si>
    <t>F000.600.280-000</t>
  </si>
  <si>
    <t>BOTON 1182/84/94- RA2602026017</t>
  </si>
  <si>
    <t>F000.600.290-000</t>
  </si>
  <si>
    <t>DISYUNTOR 1548/1283 RX 1607200332</t>
  </si>
  <si>
    <t>F000.600.297-000</t>
  </si>
  <si>
    <t>LINEA DE CONEXION A RED 9777/90</t>
  </si>
  <si>
    <t>F000.600.298-000</t>
  </si>
  <si>
    <t>INTERRUPTOR 1548/51.0.1 OBSOLETO</t>
  </si>
  <si>
    <t>F000.600.302-000</t>
  </si>
  <si>
    <t>LINEA DE CONEXION A RED 4121</t>
  </si>
  <si>
    <t>F000.600.308-000</t>
  </si>
  <si>
    <t>INTERRUPTOR 1103  RA1607200037</t>
  </si>
  <si>
    <t>F000.600.314-000</t>
  </si>
  <si>
    <t>COJINETE DE MOTOR 1551.1</t>
  </si>
  <si>
    <t>F000.600.315-000</t>
  </si>
  <si>
    <t>EJE DE SALIDA  1147.5 RXF000619022</t>
  </si>
  <si>
    <t>F000.600.320-000</t>
  </si>
  <si>
    <t>CAPERUZA DE PROTECCION 1551.1</t>
  </si>
  <si>
    <t>F000.600.323-000</t>
  </si>
  <si>
    <t>ESTATOR  1147.5 RX F000607013</t>
  </si>
  <si>
    <t>F000.600.326-000</t>
  </si>
  <si>
    <t>INDUCIDO  1147.5 RX F000.605.016</t>
  </si>
  <si>
    <t>F000.600.329-000</t>
  </si>
  <si>
    <t>CARCASA  1147.5 RXF000601076</t>
  </si>
  <si>
    <t>F000.600.340-000</t>
  </si>
  <si>
    <t>TORNILLO DE RETENCION 17A1/2</t>
  </si>
  <si>
    <t>F000.600.343-000</t>
  </si>
  <si>
    <t>DISPOSITIVO PARA SACAR EL PIÑON - 1552</t>
  </si>
  <si>
    <t>F000.600.348-000</t>
  </si>
  <si>
    <t>COJINETE SINTERIZADO 4121 RA9618087172</t>
  </si>
  <si>
    <t>F000.600.352-000</t>
  </si>
  <si>
    <t>CUNA 1184.1/1194.5 RX 2602300028</t>
  </si>
  <si>
    <t>F000.600.353-000</t>
  </si>
  <si>
    <t>DISP. EXTRACTOR DE RODAMIENTOS 1119/1121</t>
  </si>
  <si>
    <t>F000.600.354-000</t>
  </si>
  <si>
    <t>MORDAZA PARA EXTRAER ROD. 32MM</t>
  </si>
  <si>
    <t>F000.600.355-000</t>
  </si>
  <si>
    <t>MORDAZA PARA EXTRAER ROD. 35MM</t>
  </si>
  <si>
    <t>F000.600.369-000</t>
  </si>
  <si>
    <t>DEFLECTOR 1551.0.1-RA9618085850 DISCONT.</t>
  </si>
  <si>
    <t>F000.600.379-000</t>
  </si>
  <si>
    <t>ACOPLE GVC 20 EX</t>
  </si>
  <si>
    <t>F000.600.497-000</t>
  </si>
  <si>
    <t>TAPA 1551.0.1 RA 9618086679</t>
  </si>
  <si>
    <t>F000.600.528-000</t>
  </si>
  <si>
    <t>F000.600.544-000</t>
  </si>
  <si>
    <t>CARCASA DEL  MOTOR 1751.0</t>
  </si>
  <si>
    <t>F000.600.545-000</t>
  </si>
  <si>
    <t>CARCASA DE MOTOR 1752.0</t>
  </si>
  <si>
    <t>F000.600.546-000</t>
  </si>
  <si>
    <t>F000.600.547-000</t>
  </si>
  <si>
    <t>CARCASA MOTOR 1754.0</t>
  </si>
  <si>
    <t>F000.600.566-000</t>
  </si>
  <si>
    <t>ABRAZADERA 9790</t>
  </si>
  <si>
    <t>F000.600.568-000</t>
  </si>
  <si>
    <t>CC: MANGUEIRA COMPLETA 3.5</t>
  </si>
  <si>
    <t>F000.600.570-000</t>
  </si>
  <si>
    <t>ANILLO GUIA DE ALMA FLEXIBLE</t>
  </si>
  <si>
    <t>F000.600.576-000</t>
  </si>
  <si>
    <t>ALMA FLEXIBLE 3.5 M</t>
  </si>
  <si>
    <t>F000.600.579-000</t>
  </si>
  <si>
    <t>PUNTA</t>
  </si>
  <si>
    <t>F000.600.580-000</t>
  </si>
  <si>
    <t>CC: TUBO CAPA</t>
  </si>
  <si>
    <t>F000.600.581-000</t>
  </si>
  <si>
    <t>ROTOR EXCENTRICO</t>
  </si>
  <si>
    <t>F000.600.585-000</t>
  </si>
  <si>
    <t>RETENTOR POLIACRILICO</t>
  </si>
  <si>
    <t>F000.600.586-000</t>
  </si>
  <si>
    <t>CONEXION</t>
  </si>
  <si>
    <t>F000.600.588-000</t>
  </si>
  <si>
    <t>O RING</t>
  </si>
  <si>
    <t>F000.600.591-000</t>
  </si>
  <si>
    <t>JUEGO DE RODAMENTOS</t>
  </si>
  <si>
    <t>F000.600.904-000</t>
  </si>
  <si>
    <t>INDUCIDO 1751.0/ 1752.0 RXF000605082</t>
  </si>
  <si>
    <t>F000.600.989-000</t>
  </si>
  <si>
    <t>PIÑON 18A2/18A4/18A6 RX F000617061</t>
  </si>
  <si>
    <t>F000.600.995-000</t>
  </si>
  <si>
    <t>BUJE SOPORTE 1147.5 RA 274 Y 076</t>
  </si>
  <si>
    <t>F000.600.996-000</t>
  </si>
  <si>
    <t>INTERRUPTOR 1551.0.1 RA 608006 RX 608052</t>
  </si>
  <si>
    <t>F000.601.002-000</t>
  </si>
  <si>
    <t>CARCASA 1551.1(NUEVA)</t>
  </si>
  <si>
    <t>F000.601.005-000</t>
  </si>
  <si>
    <t>CARCASA 1756.0 OBSOLETO</t>
  </si>
  <si>
    <t>F000.601.061-000</t>
  </si>
  <si>
    <t>CARCASA MOTOR 9121</t>
  </si>
  <si>
    <t>F000.601.065-000</t>
  </si>
  <si>
    <t>JUEGO DE PIEZAS 9777/90 OBSOLETO</t>
  </si>
  <si>
    <t>F000.601.067-000</t>
  </si>
  <si>
    <t>CARCASA 3388.0</t>
  </si>
  <si>
    <t>F000.601.070-000</t>
  </si>
  <si>
    <t>CARCASA MOTOR 4121</t>
  </si>
  <si>
    <t>F000.601.076-000</t>
  </si>
  <si>
    <t>CARCASA 1147.5</t>
  </si>
  <si>
    <t>F000.601.084-000</t>
  </si>
  <si>
    <t>CARCASA  113C</t>
  </si>
  <si>
    <t>F000.601.090-000</t>
  </si>
  <si>
    <t>CARCASA MOTOR 1800.0</t>
  </si>
  <si>
    <t>F000.601.091-000</t>
  </si>
  <si>
    <t>CARCASA DEL MOTOR 1800</t>
  </si>
  <si>
    <t>F000.601.094-000</t>
  </si>
  <si>
    <t>CARCASA  6437</t>
  </si>
  <si>
    <t>F000.601.098-000</t>
  </si>
  <si>
    <t>CARCASA 6423 OBSOLETO</t>
  </si>
  <si>
    <t>F000.601.103-000</t>
  </si>
  <si>
    <t>CARCASA DE MOTOR  1281.719 RA2605105045</t>
  </si>
  <si>
    <t>F000.601.107-000</t>
  </si>
  <si>
    <t>F000.601.108-000</t>
  </si>
  <si>
    <t>CARCASA SUPERIOR 5300/5401</t>
  </si>
  <si>
    <t>F000.601.109-000</t>
  </si>
  <si>
    <t>CARCASA  DEL MOTOR 5300/5401</t>
  </si>
  <si>
    <t>F000.601.111-000</t>
  </si>
  <si>
    <t>TAPA DEL CUERPO 1282</t>
  </si>
  <si>
    <t>F000.601.112-000</t>
  </si>
  <si>
    <t>CARCASA DE MOTOR 1247 OBSOLETO</t>
  </si>
  <si>
    <t>F000.601.120-000</t>
  </si>
  <si>
    <t>CARCASA MOTOR 6438</t>
  </si>
  <si>
    <t>F000.601.122-000</t>
  </si>
  <si>
    <t>CARCASA DEL MOTOR 11226/28</t>
  </si>
  <si>
    <t>F000.601.123-000</t>
  </si>
  <si>
    <t>CARCASA 8003</t>
  </si>
  <si>
    <t>F000.601.124-000</t>
  </si>
  <si>
    <t>CARCASA 1548.0</t>
  </si>
  <si>
    <t>F000.601.129-000</t>
  </si>
  <si>
    <t>CARCASA DE MOTOR 1830 - DISCONTINUADO</t>
  </si>
  <si>
    <t>F000.601.130-000</t>
  </si>
  <si>
    <t>CARCASA 1751.4/1752.4/1754.4</t>
  </si>
  <si>
    <t>F000.601.131-000</t>
  </si>
  <si>
    <t>CARCASA MOTOR 1755/6 RX 1605108190</t>
  </si>
  <si>
    <t>F000.601.136-000</t>
  </si>
  <si>
    <t>CARCASA DE MOTOR 1546</t>
  </si>
  <si>
    <t>F000.601.140-000</t>
  </si>
  <si>
    <t>F000.601.143-000</t>
  </si>
  <si>
    <t>F000.601.144-000</t>
  </si>
  <si>
    <t>CARCASA   6642/6640 - DISCONTINUADO</t>
  </si>
  <si>
    <t>F000.601.145-000</t>
  </si>
  <si>
    <t>CARCASA 6644</t>
  </si>
  <si>
    <t>F000.601.148-000</t>
  </si>
  <si>
    <t>CARCASA 9230 - OBSOLETO</t>
  </si>
  <si>
    <t>F000.601.149-000</t>
  </si>
  <si>
    <t>CARCASA 2497</t>
  </si>
  <si>
    <t>F000.601.160-000</t>
  </si>
  <si>
    <t>CARCASA 1218</t>
  </si>
  <si>
    <t>F000.601.242-000</t>
  </si>
  <si>
    <t>CARCASA 4003</t>
  </si>
  <si>
    <t>F000.601.243-000</t>
  </si>
  <si>
    <t>CARCASA DEL MOTOR 7640.</t>
  </si>
  <si>
    <t>F000.601.244-000</t>
  </si>
  <si>
    <t>PROTECCION METALICA 9230/9050</t>
  </si>
  <si>
    <t>F000.601.248-000</t>
  </si>
  <si>
    <t>CARCASA  2120</t>
  </si>
  <si>
    <t>F000.601.249-000</t>
  </si>
  <si>
    <t>MOTOR  2120 - DISCONTINUADA</t>
  </si>
  <si>
    <t>F000.601.250-000</t>
  </si>
  <si>
    <t>DISPARADOR  2120 - DISCONTINUADO</t>
  </si>
  <si>
    <t>F000.601.251-000</t>
  </si>
  <si>
    <t>PIEZA DE UNION  2120</t>
  </si>
  <si>
    <t>F000.601.263-000</t>
  </si>
  <si>
    <t>CARCASA 9050</t>
  </si>
  <si>
    <t>F000.601.264-000</t>
  </si>
  <si>
    <t>CARCASA DEL MOTOR 6460/6462/6070</t>
  </si>
  <si>
    <t>F000.601.265-000</t>
  </si>
  <si>
    <t>CARCASA DEL MOTOR 6455</t>
  </si>
  <si>
    <t>F000.601.269-000</t>
  </si>
  <si>
    <t>CARCASA DE REPOSICIÓN - DISCONTINUADO</t>
  </si>
  <si>
    <t>F000.601.272-000</t>
  </si>
  <si>
    <t>CARCASA 113E</t>
  </si>
  <si>
    <t>F000.601.274-000</t>
  </si>
  <si>
    <t>F000.601.276-000</t>
  </si>
  <si>
    <t>F000.601.280-000</t>
  </si>
  <si>
    <t>CARCASA 4750</t>
  </si>
  <si>
    <t>F000.601.282-000</t>
  </si>
  <si>
    <t>CARCASA DEL MOTOR 9780/9980</t>
  </si>
  <si>
    <t>F000.601.283-000</t>
  </si>
  <si>
    <t>CARCASA DEL MOTOR 2211</t>
  </si>
  <si>
    <t>F000.601.284-000</t>
  </si>
  <si>
    <t>CARCASA DEL MOTOR 2311</t>
  </si>
  <si>
    <t>F000.601.285-000</t>
  </si>
  <si>
    <t>CARCASA DEL MOTOR 2411</t>
  </si>
  <si>
    <t>F000.601.286-000</t>
  </si>
  <si>
    <t>CARCASA DE MOTOR 119B.4</t>
  </si>
  <si>
    <t>F000.601.288-000</t>
  </si>
  <si>
    <t>CARCASA DEL MOTOR 4900</t>
  </si>
  <si>
    <t>F000.601.290-000</t>
  </si>
  <si>
    <t>CARCASA 7232</t>
  </si>
  <si>
    <t>F000.601.293-000</t>
  </si>
  <si>
    <t>CARCASA MOTOR 9345</t>
  </si>
  <si>
    <t>F000.601.296-000</t>
  </si>
  <si>
    <t>CARCASA DEL MOTOR 3000</t>
  </si>
  <si>
    <t>F000.601.301-000</t>
  </si>
  <si>
    <t>CARCASA DEL MOTOR 5601/5801</t>
  </si>
  <si>
    <t>F000.601.302-000</t>
  </si>
  <si>
    <t>CARCASA 1820</t>
  </si>
  <si>
    <t>F000.601.303-000</t>
  </si>
  <si>
    <t>CARCASA DEL MOTOR 9002</t>
  </si>
  <si>
    <t>F000.601.304-000</t>
  </si>
  <si>
    <t>CARCASA 9004</t>
  </si>
  <si>
    <t>F000.601.306-000</t>
  </si>
  <si>
    <t>CARCASA DEL MOTOR 1HA1.0/1HA2.0</t>
  </si>
  <si>
    <t>F000.601.309-000</t>
  </si>
  <si>
    <t>CARCASA DEL MOTOR 18A3/18A4</t>
  </si>
  <si>
    <t>F000.601.311-000</t>
  </si>
  <si>
    <t>CARCASA 18A5/18A6</t>
  </si>
  <si>
    <t>F000.601.312-000</t>
  </si>
  <si>
    <t>CARCASA 6400/6402</t>
  </si>
  <si>
    <t>F000.601.314-000</t>
  </si>
  <si>
    <t>CARCASA DEL MOTOR 3710</t>
  </si>
  <si>
    <t>F000.601.316-000</t>
  </si>
  <si>
    <t>CARCASA 1548.4</t>
  </si>
  <si>
    <t>F000.601.319-000</t>
  </si>
  <si>
    <t>TAPA 1AA5.0</t>
  </si>
  <si>
    <t>F000.601.320-000</t>
  </si>
  <si>
    <t>CARCASA DEL MOTOR 1AA6.0</t>
  </si>
  <si>
    <t>F000.601.322-000</t>
  </si>
  <si>
    <t>CARCASA DEL MOTOR 1B83.1</t>
  </si>
  <si>
    <t>F000.601.324-000</t>
  </si>
  <si>
    <t>CARCASA MOTOR 1447</t>
  </si>
  <si>
    <t>F000.601.438-000</t>
  </si>
  <si>
    <t>CARCASA 6570</t>
  </si>
  <si>
    <t>F000.601.599-000</t>
  </si>
  <si>
    <t>CARCASA DEL MOTOR 9071</t>
  </si>
  <si>
    <t>F000.601.600-000</t>
  </si>
  <si>
    <t>TAPA DEL CUERPO 9455</t>
  </si>
  <si>
    <t>F000.601.604-000</t>
  </si>
  <si>
    <t>CARCASA 1800</t>
  </si>
  <si>
    <t>F000.601.607-000</t>
  </si>
  <si>
    <t>F000.601.610-000</t>
  </si>
  <si>
    <t>BASE 1800</t>
  </si>
  <si>
    <t>F000.601.611-000</t>
  </si>
  <si>
    <t>PIEZA DE AJUSTE 1800</t>
  </si>
  <si>
    <t>F000.601.612-000</t>
  </si>
  <si>
    <t>F000.601.615-000</t>
  </si>
  <si>
    <t>CARCASA 6660/6662</t>
  </si>
  <si>
    <t>F000.601.616-000</t>
  </si>
  <si>
    <t>CARCASA 6664</t>
  </si>
  <si>
    <t>F000.601.619-000</t>
  </si>
  <si>
    <t>CARCASA DEL MOTOR 4550</t>
  </si>
  <si>
    <t>F000.601.624-000</t>
  </si>
  <si>
    <t>CARCASA DEL MOTOR 6550/6552</t>
  </si>
  <si>
    <t>F000.601.750-000</t>
  </si>
  <si>
    <t>F000.601.754-000</t>
  </si>
  <si>
    <t>CARCASA DEL MOTOR 3311</t>
  </si>
  <si>
    <t>F000.601.755-000</t>
  </si>
  <si>
    <t>CARCASA DEL MOTOR 9006</t>
  </si>
  <si>
    <t>F000.601.759-000</t>
  </si>
  <si>
    <t>CARCASA 1559</t>
  </si>
  <si>
    <t>F000.601.765-000</t>
  </si>
  <si>
    <t>CARCASA 2611</t>
  </si>
  <si>
    <t>F000.601.773-000</t>
  </si>
  <si>
    <t>CARCASA DEL MOTOR 6554</t>
  </si>
  <si>
    <t>F000.601.775-000</t>
  </si>
  <si>
    <t>CARCASA 1859</t>
  </si>
  <si>
    <t>F000.601.777-000</t>
  </si>
  <si>
    <t>CARCASA 9781/9981  S/R</t>
  </si>
  <si>
    <t>F000.602.001-000</t>
  </si>
  <si>
    <t>CAJA DE ENGRANAJES 9777/90 RX F000602012</t>
  </si>
  <si>
    <t>F000.602.007-000</t>
  </si>
  <si>
    <t>CABEZAL 1752 / 1754  RX 011</t>
  </si>
  <si>
    <t>F000.602.008-000</t>
  </si>
  <si>
    <t>CABEZAL 1751.4/52.4/54.4/55.4/56.4 RX010</t>
  </si>
  <si>
    <t>F000.602.009-000</t>
  </si>
  <si>
    <t>BASE 1830</t>
  </si>
  <si>
    <t>F000.602.010-000</t>
  </si>
  <si>
    <t>CAJA DE ENGRANAJES 1751/51/53/54</t>
  </si>
  <si>
    <t>F000.602.011-000</t>
  </si>
  <si>
    <t>CAJA DE ENGRANAJES RX F000602169</t>
  </si>
  <si>
    <t>F000.602.012-000</t>
  </si>
  <si>
    <t>CAJA DE ENGRANAJES RA 9618.089.367-</t>
  </si>
  <si>
    <t>F000.602.013-000</t>
  </si>
  <si>
    <t>ENGRANAJE 4750</t>
  </si>
  <si>
    <t>F000.602.014-000</t>
  </si>
  <si>
    <t>CAJA DE ENGRANAJES 9345</t>
  </si>
  <si>
    <t>F000.602.016-000</t>
  </si>
  <si>
    <t>TAPA LADO ACCIONAMIENTO 5601/5801</t>
  </si>
  <si>
    <t>F000.602.166-000</t>
  </si>
  <si>
    <t>CABEZAL 1366</t>
  </si>
  <si>
    <t>F000.602.170-000</t>
  </si>
  <si>
    <t>CAJA DE ENGRANAJES 9051</t>
  </si>
  <si>
    <t>F000.602.173-000</t>
  </si>
  <si>
    <t>CARCASA FRONTAL C/ROD 6570</t>
  </si>
  <si>
    <t>F000.602.175-000</t>
  </si>
  <si>
    <t>CAJA DE ENGRANAJES 1559</t>
  </si>
  <si>
    <t>F000.602.179-000</t>
  </si>
  <si>
    <t>CAJA DE ENGRANAJES 1B83.1</t>
  </si>
  <si>
    <t>F000.603.002-000</t>
  </si>
  <si>
    <t>PROTECTOR 1551.0  RA 9618082269</t>
  </si>
  <si>
    <t>F000.603.009-000</t>
  </si>
  <si>
    <t>TAPA TRASERA 9121</t>
  </si>
  <si>
    <t>F000.603.010-000</t>
  </si>
  <si>
    <t>F000.603.018-000</t>
  </si>
  <si>
    <t>F000.603.020-000</t>
  </si>
  <si>
    <t>TAPA AISLANTE 5401</t>
  </si>
  <si>
    <t>F000.603.021-000</t>
  </si>
  <si>
    <t>CAPA DE PROTECIÓN</t>
  </si>
  <si>
    <t>F000.603.024-000</t>
  </si>
  <si>
    <t>PORTACARBONES 1548.0</t>
  </si>
  <si>
    <t>F000.603.025-000</t>
  </si>
  <si>
    <t>HUTAPA DE CIERRE 1548.0</t>
  </si>
  <si>
    <t>F000.603.027-000</t>
  </si>
  <si>
    <t>CUBIERTO PROT. GDC 14-40</t>
  </si>
  <si>
    <t>F000.603.029-000</t>
  </si>
  <si>
    <t>TECLA 1548</t>
  </si>
  <si>
    <t>F000.603.033-000</t>
  </si>
  <si>
    <t>PALANCA CUBREDISCO 1E46</t>
  </si>
  <si>
    <t>F000.603.034-000</t>
  </si>
  <si>
    <t>TAPA DE CIERRE 1548/46</t>
  </si>
  <si>
    <t>F000.603.035-000</t>
  </si>
  <si>
    <t>PALANCA DE MANDO 1546</t>
  </si>
  <si>
    <t>F000.603.038-000</t>
  </si>
  <si>
    <t>CUBREDISCO 9230</t>
  </si>
  <si>
    <t>F000.603.043-000</t>
  </si>
  <si>
    <t>OJETE PROTECTOR 6460/6462/6455/1A0</t>
  </si>
  <si>
    <t>F000.603.044-000</t>
  </si>
  <si>
    <t>CONMUTADOR 113E</t>
  </si>
  <si>
    <t>F000.603.050-000</t>
  </si>
  <si>
    <t>MANGO - DISCONTINUADO</t>
  </si>
  <si>
    <t>F000.603.051-000</t>
  </si>
  <si>
    <t>JUEGO DE JUNTAS 9070</t>
  </si>
  <si>
    <t>F000.603.054-000</t>
  </si>
  <si>
    <t>ABRAZADERA 4750</t>
  </si>
  <si>
    <t>F000.603.055-000</t>
  </si>
  <si>
    <t>CUBIERTA PROTECTORA 4750</t>
  </si>
  <si>
    <t>F000.603.056-000</t>
  </si>
  <si>
    <t>CUBIERTA PROTECTORA 4750 OBSOLETO</t>
  </si>
  <si>
    <t>F000.603.057-000</t>
  </si>
  <si>
    <t>DESVIADOR DE VIRUTAS 4750 -DISCONTINUADO</t>
  </si>
  <si>
    <t>F000.603.058-000</t>
  </si>
  <si>
    <t>OJETE PROTECTOR 4750</t>
  </si>
  <si>
    <t>F000.603.059-000</t>
  </si>
  <si>
    <t>TAPA DE DISTRIBUIDOR 4900</t>
  </si>
  <si>
    <t>F000.603.060-000</t>
  </si>
  <si>
    <t>TAPA DE CIERRE 1548.4</t>
  </si>
  <si>
    <t>F000.603.061-000</t>
  </si>
  <si>
    <t>PORTAESCOBILLAS GDC 14-40</t>
  </si>
  <si>
    <t>F000.603.064-000</t>
  </si>
  <si>
    <t>TAPA DE CIERRE 3000</t>
  </si>
  <si>
    <t>F000.603.065-000</t>
  </si>
  <si>
    <t>PLACA BASE 3000</t>
  </si>
  <si>
    <t>F000.603.068-000</t>
  </si>
  <si>
    <t>OJETE PROTECTOR 3000</t>
  </si>
  <si>
    <t>F000.603.069-000</t>
  </si>
  <si>
    <t>PANTALLA PROTECTORA 3000</t>
  </si>
  <si>
    <t>F000.603.070-000</t>
  </si>
  <si>
    <t>APOYO PARA HERRAMIENTAS DER. 3000</t>
  </si>
  <si>
    <t>F000.603.071-000</t>
  </si>
  <si>
    <t>CUBIERTA PROTECTORA DER. 3000</t>
  </si>
  <si>
    <t>F000.603.072-000</t>
  </si>
  <si>
    <t>CUBIERTA PROTECTORA IZQ. 3000</t>
  </si>
  <si>
    <t>F000.603.073-000</t>
  </si>
  <si>
    <t>APOYO PARA HERRAMIENTAS   .</t>
  </si>
  <si>
    <t>F000.603.075-000</t>
  </si>
  <si>
    <t>OJETE PROTECTOR 5601/5801</t>
  </si>
  <si>
    <t>F000.603.076-000</t>
  </si>
  <si>
    <t>F000.603.077-000</t>
  </si>
  <si>
    <t>RECEPTACULO PARA ROLLO 5601/5801</t>
  </si>
  <si>
    <t>F000.603.078-000</t>
  </si>
  <si>
    <t>ANGULAR PROTECTOR 5601/5801</t>
  </si>
  <si>
    <t>F000.603.079-000</t>
  </si>
  <si>
    <t>ADAPTADOR 5401/5601/5801</t>
  </si>
  <si>
    <t>F000.603.080-000</t>
  </si>
  <si>
    <t>TAPA DE DISTRIBUIDOR 5601/5801</t>
  </si>
  <si>
    <t>F000.603.081-000</t>
  </si>
  <si>
    <t>TRINQUETE 5601/5801</t>
  </si>
  <si>
    <t>F000.603.082-000</t>
  </si>
  <si>
    <t>BOTON PALANCA CAMBIO 5601/5801</t>
  </si>
  <si>
    <t>F000.603.083-000</t>
  </si>
  <si>
    <t>TOPE 5601/5801</t>
  </si>
  <si>
    <t>F000.603.085-000</t>
  </si>
  <si>
    <t>PLACA BASE 5601/5801</t>
  </si>
  <si>
    <t>F000.603.086-000</t>
  </si>
  <si>
    <t>TUERCA DE MARIPOSA 5601/5801</t>
  </si>
  <si>
    <t>F000.603.087-000</t>
  </si>
  <si>
    <t>EMPUNADURA ADICIONAL 5601/5801</t>
  </si>
  <si>
    <t>F000.603.088-000</t>
  </si>
  <si>
    <t>ABRAZADERA 5601/5801</t>
  </si>
  <si>
    <t>F000.603.090-000</t>
  </si>
  <si>
    <t>ABRAZADERA 9002/9051</t>
  </si>
  <si>
    <t>F000.603.092-000</t>
  </si>
  <si>
    <t>TAPA DE MOTOR 9002</t>
  </si>
  <si>
    <t>F000.603.094-000</t>
  </si>
  <si>
    <t>TAPA DE CUERPO 9004</t>
  </si>
  <si>
    <t>F000.603.097-000</t>
  </si>
  <si>
    <t>CUBIERTA PROTECTORA 5601</t>
  </si>
  <si>
    <t>F000.603.098-000</t>
  </si>
  <si>
    <t>CUBIERTA INFERIOR 5401</t>
  </si>
  <si>
    <t>F000.603.099-000</t>
  </si>
  <si>
    <t>BOTON PALANCA DE CAMBIO 5401</t>
  </si>
  <si>
    <t>F000.603.100-000</t>
  </si>
  <si>
    <t>BOCAL 8003</t>
  </si>
  <si>
    <t>F000.603.101-000</t>
  </si>
  <si>
    <t>CAPERUZA 3320</t>
  </si>
  <si>
    <t>F000.603.102-000</t>
  </si>
  <si>
    <t>PORTA INTERRUPTOR 3320</t>
  </si>
  <si>
    <t>F000.603.103-000</t>
  </si>
  <si>
    <t>F000.603.105-000</t>
  </si>
  <si>
    <t>CONDENSADOR PC 3335</t>
  </si>
  <si>
    <t>F000.603.106-000</t>
  </si>
  <si>
    <t>KIT AJUSTE HOJA 3335</t>
  </si>
  <si>
    <t>F000.603.107-000</t>
  </si>
  <si>
    <t>KIT 3335</t>
  </si>
  <si>
    <t>F000.603.108-000</t>
  </si>
  <si>
    <t>F000.603.109-000</t>
  </si>
  <si>
    <t>MESA 3385</t>
  </si>
  <si>
    <t>F000.603.110-000</t>
  </si>
  <si>
    <t>ACCIONAMIENTO INTERIOR 3385</t>
  </si>
  <si>
    <t>F000.603.111-000</t>
  </si>
  <si>
    <t>CAJA 3385</t>
  </si>
  <si>
    <t>F000.603.112-000</t>
  </si>
  <si>
    <t>F000.603.113-000</t>
  </si>
  <si>
    <t>F000.603.114-000</t>
  </si>
  <si>
    <t>OJETE PROTECTOR 6400/6402</t>
  </si>
  <si>
    <t>F000.603.115-000</t>
  </si>
  <si>
    <t>ANGULO DE FIJACION OBSOLETO</t>
  </si>
  <si>
    <t>F000.603.116-000</t>
  </si>
  <si>
    <t>OJETE PROTECTOR 9071</t>
  </si>
  <si>
    <t>F000.603.117-000</t>
  </si>
  <si>
    <t>JUEGO DE JUNTAS 9071</t>
  </si>
  <si>
    <t>F000.603.118-000</t>
  </si>
  <si>
    <t>COJINETE DE ACCIONAMIENTO 9071</t>
  </si>
  <si>
    <t>F000.603.120-000</t>
  </si>
  <si>
    <t>MANGO 9071</t>
  </si>
  <si>
    <t>F000.603.121-000</t>
  </si>
  <si>
    <t>F000.603.122-000</t>
  </si>
  <si>
    <t>F000.603.125-000</t>
  </si>
  <si>
    <t>TAPA ESCOBILLAS 3710</t>
  </si>
  <si>
    <t>F000.603.126-000</t>
  </si>
  <si>
    <t>PROTECCION CONTRA CONTACT 3710</t>
  </si>
  <si>
    <t>F000.603.127-000</t>
  </si>
  <si>
    <t>TAPA PROTECTORA VIRABLE 3710</t>
  </si>
  <si>
    <t>F000.603.128-000</t>
  </si>
  <si>
    <t>TAPA DEL ENGRANAJE 3710</t>
  </si>
  <si>
    <t>F000.603.129-000</t>
  </si>
  <si>
    <t>OJETE PROTECTOR 6570</t>
  </si>
  <si>
    <t>F000.603.131-000</t>
  </si>
  <si>
    <t>ANILLO 6570</t>
  </si>
  <si>
    <t>F000.603.132-000</t>
  </si>
  <si>
    <t>ANILLO DE MUELLE 6570</t>
  </si>
  <si>
    <t>F000.603.135-000</t>
  </si>
  <si>
    <t>OJETE PROTECTOR 6660/6662/6664</t>
  </si>
  <si>
    <t>F000.603.136-000</t>
  </si>
  <si>
    <t>OJETE PROTECTOR 4550</t>
  </si>
  <si>
    <t>F000.603.149-000</t>
  </si>
  <si>
    <t>MANGO 3311</t>
  </si>
  <si>
    <t>F000.603.150-000</t>
  </si>
  <si>
    <t>TAPA CARBONES 3311</t>
  </si>
  <si>
    <t>F000.603.151-000</t>
  </si>
  <si>
    <t>TAPA 1AA5.0/1AA6.0</t>
  </si>
  <si>
    <t>F000.603.152-000</t>
  </si>
  <si>
    <t>F000.603.161-000</t>
  </si>
  <si>
    <t>SET BASICO 1859/1559</t>
  </si>
  <si>
    <t>F000.603.166-000</t>
  </si>
  <si>
    <t>TAPA DEL CUERPO 1B83.1</t>
  </si>
  <si>
    <t>F000.603.169-000</t>
  </si>
  <si>
    <t>CARCASA DEL MOTOR 9051</t>
  </si>
  <si>
    <t>F000.603.171-000</t>
  </si>
  <si>
    <t>MANGO 9981</t>
  </si>
  <si>
    <t>F000.604.000-000</t>
  </si>
  <si>
    <t>F000.604.001-000</t>
  </si>
  <si>
    <t>DISCO DE CUBIERTA 1548.0</t>
  </si>
  <si>
    <t>F000.604.003-000</t>
  </si>
  <si>
    <t>DEFLECTOR DE AIRE 1863</t>
  </si>
  <si>
    <t>F000.604.004-000</t>
  </si>
  <si>
    <t>F000.604.005-000</t>
  </si>
  <si>
    <t>VENTILADOR 7230 DISCONTINUADO</t>
  </si>
  <si>
    <t>F000.604.006-000</t>
  </si>
  <si>
    <t>F000.604.010-000</t>
  </si>
  <si>
    <t>F000.604.011-000</t>
  </si>
  <si>
    <t>ARO DEFLECTOR DE AIRE 4900</t>
  </si>
  <si>
    <t>F000.604.012-000</t>
  </si>
  <si>
    <t>VENTILADOR 7232</t>
  </si>
  <si>
    <t>F000.604.013-000</t>
  </si>
  <si>
    <t>DEFLECTOR 1548.4</t>
  </si>
  <si>
    <t>F000.604.014-000</t>
  </si>
  <si>
    <t>DEFLECTOR 9345</t>
  </si>
  <si>
    <t>F000.604.016-000</t>
  </si>
  <si>
    <t>ARO DEFLECTOR DE AIRE 5601/5801</t>
  </si>
  <si>
    <t>F000.604.018-000</t>
  </si>
  <si>
    <t>TAPA DE VENTILADOR 9071</t>
  </si>
  <si>
    <t>F000.605.007-000</t>
  </si>
  <si>
    <t>INDUCIDO 3388.0 RX 035</t>
  </si>
  <si>
    <t>F000.605.016-000</t>
  </si>
  <si>
    <t>INDUCIDO 1147.5 OBSOLETO</t>
  </si>
  <si>
    <t>F000.605.020-000</t>
  </si>
  <si>
    <t>INDUCIDO 1281.719</t>
  </si>
  <si>
    <t>F000.605.024-000</t>
  </si>
  <si>
    <t>INDUCIDO 1366.6 RA 9618087141 RX 112</t>
  </si>
  <si>
    <t>F000.605.035-000</t>
  </si>
  <si>
    <t>INDUCIDO 3388</t>
  </si>
  <si>
    <t>F000.605.041-000</t>
  </si>
  <si>
    <t>INDUCIDO 220V 5300</t>
  </si>
  <si>
    <t>F000.605.043-000</t>
  </si>
  <si>
    <t>INDUCIDO  1247 - DISCONTINUADO</t>
  </si>
  <si>
    <t>F000.605.048-000</t>
  </si>
  <si>
    <t>INDUCIDO 220V 1548 RX 098</t>
  </si>
  <si>
    <t>F000.605.051-000</t>
  </si>
  <si>
    <t>INDUCIDO 11228 - (127V)</t>
  </si>
  <si>
    <t>F000.605.059-000</t>
  </si>
  <si>
    <t>INDUCIDO 220V 1830 SKIL</t>
  </si>
  <si>
    <t>F000.605.060-000</t>
  </si>
  <si>
    <t>INDUCIDO  6642/6640 - RX 122</t>
  </si>
  <si>
    <t>F000.605.062-000</t>
  </si>
  <si>
    <t>INDUCIDO 6644 - SUB F000605123-000</t>
  </si>
  <si>
    <t>F000.605.064-000</t>
  </si>
  <si>
    <t>INDUCIDO CON VENT. 1546 RXF000605110</t>
  </si>
  <si>
    <t>F000.605.067-000</t>
  </si>
  <si>
    <t>INDUCIDO 1351/1352 RX F000605079</t>
  </si>
  <si>
    <t>F000.605.077-000</t>
  </si>
  <si>
    <t>INDUCIDO 7003</t>
  </si>
  <si>
    <t>F000.605.079-000</t>
  </si>
  <si>
    <t>INDUCIDO 1351/1352 DISCONTINUADO</t>
  </si>
  <si>
    <t>F000.605.082-000</t>
  </si>
  <si>
    <t>INDUCIDO 1751/2.0 - RX 118</t>
  </si>
  <si>
    <t>F000.605.085-000</t>
  </si>
  <si>
    <t>INDUCIDO 9003 RA 2610394008</t>
  </si>
  <si>
    <t>F000.605.086-000</t>
  </si>
  <si>
    <t>INDUCIDO VENT 9230 OBSOLETO</t>
  </si>
  <si>
    <t>F000.605.089-000</t>
  </si>
  <si>
    <t>INDUCIDO 220V 4003/4380</t>
  </si>
  <si>
    <t>F000.605.092-000</t>
  </si>
  <si>
    <t>INDUCIDO 1218</t>
  </si>
  <si>
    <t>F000.605.094-000</t>
  </si>
  <si>
    <t>F000.605.098-000</t>
  </si>
  <si>
    <t>INDUCIDO 1548 RX 179</t>
  </si>
  <si>
    <t>F000.605.101-000</t>
  </si>
  <si>
    <t>INDUCIDO 9050</t>
  </si>
  <si>
    <t>F000.605.108-000</t>
  </si>
  <si>
    <t>INDUCIDO 1366.7 RA 9618089096</t>
  </si>
  <si>
    <t>F000.605.110-000</t>
  </si>
  <si>
    <t>INDUCIDO 1546 (GKS 7-1/4)</t>
  </si>
  <si>
    <t>F000.605.116-000</t>
  </si>
  <si>
    <t>INDUCIDO 9070</t>
  </si>
  <si>
    <t>F000.605.118-000</t>
  </si>
  <si>
    <t>INDUCIDO 1751/2.0 RX 225</t>
  </si>
  <si>
    <t>F000.605.122-000</t>
  </si>
  <si>
    <t>INDUCIDO 6650/6652 - DISCONTINUADO</t>
  </si>
  <si>
    <t>F000.605.123-000</t>
  </si>
  <si>
    <t>INDUCIDO 6654</t>
  </si>
  <si>
    <t>F000.605.126-000</t>
  </si>
  <si>
    <t>INDUCIDO 220V 4750</t>
  </si>
  <si>
    <t>F000.605.128-000</t>
  </si>
  <si>
    <t>INDUCIDO P/1753/4/5/6 - RX 227</t>
  </si>
  <si>
    <t>F000.605.133-000</t>
  </si>
  <si>
    <t>INDUCIDO 220V 4900</t>
  </si>
  <si>
    <t>F000.605.135-000</t>
  </si>
  <si>
    <t>INDUCIDO 220V 7232</t>
  </si>
  <si>
    <t>F000.605.136-000</t>
  </si>
  <si>
    <t>INDUCIDO 18A3/18A4/18A5 RX 225</t>
  </si>
  <si>
    <t>F000.605.138-000</t>
  </si>
  <si>
    <t>INDUCIDO 18A5/18A6 RX 227</t>
  </si>
  <si>
    <t>F000.605.140-000</t>
  </si>
  <si>
    <t>INDUCIDO 18A1/18A2 RX 229</t>
  </si>
  <si>
    <t>F000.605.143-000</t>
  </si>
  <si>
    <t>INDUCIDO 9345</t>
  </si>
  <si>
    <t>F000.605.146-000</t>
  </si>
  <si>
    <t>ROTOR JAULA ARDILLA SKIL 3000 (INDUCIDO)</t>
  </si>
  <si>
    <t>F000.605.150-000</t>
  </si>
  <si>
    <t>INDUCIDO 220V 5801</t>
  </si>
  <si>
    <t>F000.605.152-000</t>
  </si>
  <si>
    <t>INDUCIDO 9002</t>
  </si>
  <si>
    <t>F000.605.156-000</t>
  </si>
  <si>
    <t>INDUCIDO 220V 5601</t>
  </si>
  <si>
    <t>F000.605.160-000</t>
  </si>
  <si>
    <t>MOTOR 3375</t>
  </si>
  <si>
    <t>F000.605.162-000</t>
  </si>
  <si>
    <t>MOTOR 3335</t>
  </si>
  <si>
    <t>F000.605.164-000</t>
  </si>
  <si>
    <t>MOTOR 3385</t>
  </si>
  <si>
    <t>F000.605.165-000</t>
  </si>
  <si>
    <t>INDUCIDO 3310 (127V)- NAO SERVE AR</t>
  </si>
  <si>
    <t>F000.605.166-000</t>
  </si>
  <si>
    <t>F000.605.169-000</t>
  </si>
  <si>
    <t>INDUCIDO 9071</t>
  </si>
  <si>
    <t>F000.605.172-000</t>
  </si>
  <si>
    <t>F000.605.177-000</t>
  </si>
  <si>
    <t>INDUCIDO SKIL 1800</t>
  </si>
  <si>
    <t>F000.605.179-000</t>
  </si>
  <si>
    <t>INDUCIDO 1548 RA 098</t>
  </si>
  <si>
    <t>F000.605.184-000</t>
  </si>
  <si>
    <t xml:space="preserve"> INDUCIDO 112A0 Rx 1614010276</t>
  </si>
  <si>
    <t>F000.605.186-000</t>
  </si>
  <si>
    <t>INDUCIDO 3610</t>
  </si>
  <si>
    <t>F000.605.188-000</t>
  </si>
  <si>
    <t>INDUCIDO 3710</t>
  </si>
  <si>
    <t>F000.605.192-000</t>
  </si>
  <si>
    <t>INDUCIDO 6660/6662/6664</t>
  </si>
  <si>
    <t>F000.605.193-000</t>
  </si>
  <si>
    <t>INDUCIDO 6570</t>
  </si>
  <si>
    <t>F000.605.200-000</t>
  </si>
  <si>
    <t>INDUCIDO 4550</t>
  </si>
  <si>
    <t>F000.605.206-000</t>
  </si>
  <si>
    <t>INDUCIDO 220V 5401</t>
  </si>
  <si>
    <t>F000.605.211-000</t>
  </si>
  <si>
    <t>INDUCIDO 6550/6552</t>
  </si>
  <si>
    <t>F000.605.217-000</t>
  </si>
  <si>
    <t>MOTOR CC. 2212</t>
  </si>
  <si>
    <t>F000.605.222-000</t>
  </si>
  <si>
    <t>MOTOR CC. 2511</t>
  </si>
  <si>
    <t>F000.605.232-000</t>
  </si>
  <si>
    <t>MOTOR CORRIENTE CONTINUA 2611</t>
  </si>
  <si>
    <t>F000.605.235-000</t>
  </si>
  <si>
    <t>MOTOR CORRIENTE CONTINUA 2811</t>
  </si>
  <si>
    <t>F000.605.236-000</t>
  </si>
  <si>
    <t>MOTOR CORRIENTE CONTINUA 2711</t>
  </si>
  <si>
    <t>F000.605.245-000</t>
  </si>
  <si>
    <t>INDUCIDO 220V 9051</t>
  </si>
  <si>
    <t>F000.605.247-000</t>
  </si>
  <si>
    <t>INDUCIDO 220V  1447</t>
  </si>
  <si>
    <t>F000.605.255-000</t>
  </si>
  <si>
    <t>INDUCIDO 6554</t>
  </si>
  <si>
    <t>F000.607.006-000</t>
  </si>
  <si>
    <t>ESTATOR 6423/6425/3388</t>
  </si>
  <si>
    <t>F000.607.013-000</t>
  </si>
  <si>
    <t>ESTATOR 1147.5 OBSOLETO</t>
  </si>
  <si>
    <t>F000.607.018-000</t>
  </si>
  <si>
    <t>ESTATOR 1281 (127 V)</t>
  </si>
  <si>
    <t>F000.607.022-000</t>
  </si>
  <si>
    <t>ESTATOR 9790 - DISCONTINUADO</t>
  </si>
  <si>
    <t>F000.607.024-000</t>
  </si>
  <si>
    <t>ESTATOR 113C/113E RX F000607174</t>
  </si>
  <si>
    <t>F000.607.026-000</t>
  </si>
  <si>
    <t>ESTATOR 220V 5300/5401</t>
  </si>
  <si>
    <t>F000.607.028-000</t>
  </si>
  <si>
    <t>ESTATOR 1247.5</t>
  </si>
  <si>
    <t>F000.607.032-000</t>
  </si>
  <si>
    <t>ESTATOR 11226/28  220V</t>
  </si>
  <si>
    <t>F000.607.037-000</t>
  </si>
  <si>
    <t>ESTATOR 220V 1830</t>
  </si>
  <si>
    <t>F000.607.040-000</t>
  </si>
  <si>
    <t>ESTATOR  6642/6640/6644/1447</t>
  </si>
  <si>
    <t>F000.607.042-000</t>
  </si>
  <si>
    <t>ESTATOR 1366/.6/1548/1546 OBSOLETO</t>
  </si>
  <si>
    <t>F000.607.047-000</t>
  </si>
  <si>
    <t>F000.607.049-000</t>
  </si>
  <si>
    <t>ESTATOR 1800/1820 RX 103</t>
  </si>
  <si>
    <t>F000.607.050-000</t>
  </si>
  <si>
    <t>ESTATOR 9230</t>
  </si>
  <si>
    <t>F000.607.053-000</t>
  </si>
  <si>
    <t>ESTATOR 220V 4003/4380</t>
  </si>
  <si>
    <t>F000.607.055-000</t>
  </si>
  <si>
    <t>ESTATOR 220V - 7640</t>
  </si>
  <si>
    <t>F000.607.057-000</t>
  </si>
  <si>
    <t>ESTATOR 1218 RX F000607175</t>
  </si>
  <si>
    <t>F000.607.060-000</t>
  </si>
  <si>
    <t>EXPANSION POLAR 220V 4400</t>
  </si>
  <si>
    <t>F000.607.063-000</t>
  </si>
  <si>
    <t>ESTATOR 1366/1548 RA 9618089095</t>
  </si>
  <si>
    <t>F000.607.064-000</t>
  </si>
  <si>
    <t>ESTATOR - 220V  113D RX F000.607.173-000</t>
  </si>
  <si>
    <t>F000.607.065-000</t>
  </si>
  <si>
    <t>ESTATOR 9050</t>
  </si>
  <si>
    <t>F000.607.070-000</t>
  </si>
  <si>
    <t>F000.607.072-000</t>
  </si>
  <si>
    <t>F000.607.075-000</t>
  </si>
  <si>
    <t>ESTATOR 9070 - DISCONTINUADO</t>
  </si>
  <si>
    <t>F000.607.078-000</t>
  </si>
  <si>
    <t>ESTATOR 1751/2  RXF000.607.093-000</t>
  </si>
  <si>
    <t>F000.607.082-000</t>
  </si>
  <si>
    <t>ESTATOR 4750</t>
  </si>
  <si>
    <t>F000.607.085-000</t>
  </si>
  <si>
    <t>ESTATOR 1753/1754 RX F000.607.095</t>
  </si>
  <si>
    <t>F000.607.088-000</t>
  </si>
  <si>
    <t>ESTATOR 119B.4 RX F000607169</t>
  </si>
  <si>
    <t>F000.607.090-000</t>
  </si>
  <si>
    <t>ESTATOR  220V 4900</t>
  </si>
  <si>
    <t>F000.607.092-000</t>
  </si>
  <si>
    <t>ESTATOR 7232</t>
  </si>
  <si>
    <t>F000.607.097-000</t>
  </si>
  <si>
    <t>ESTATOR 18A1/18A2</t>
  </si>
  <si>
    <t>F000.607.102-000</t>
  </si>
  <si>
    <t>ESTATOR SKIL 3000</t>
  </si>
  <si>
    <t>F000.607.103-000</t>
  </si>
  <si>
    <t>ESTATOR 1800/1820 RX 160422052X</t>
  </si>
  <si>
    <t>F000.607.106-000</t>
  </si>
  <si>
    <t>ESTATOR 220V 5801</t>
  </si>
  <si>
    <t>F000.607.110-000</t>
  </si>
  <si>
    <t>ESTATOR 9004</t>
  </si>
  <si>
    <t>F000.607.112-000</t>
  </si>
  <si>
    <t>ESTATOR 220V 5601</t>
  </si>
  <si>
    <t>F000.607.113-000</t>
  </si>
  <si>
    <t>MOTOR 3320 - BLOQUEADO ARGENTINA 127V</t>
  </si>
  <si>
    <t>F000.607.114-000</t>
  </si>
  <si>
    <t>MOTOR 3320 - BLOQUEADO POR CALIDAD</t>
  </si>
  <si>
    <t>F000.607.117-000</t>
  </si>
  <si>
    <t>ESTATOR 3310 (127V) 3310</t>
  </si>
  <si>
    <t>F000.607.118-000</t>
  </si>
  <si>
    <t>F000.607.124-000</t>
  </si>
  <si>
    <t>ESTATOR 9071</t>
  </si>
  <si>
    <t>F000.607.126-000</t>
  </si>
  <si>
    <t>ESTATOR 9455</t>
  </si>
  <si>
    <t>F000.607.130-000</t>
  </si>
  <si>
    <t>ESTATOR 1800</t>
  </si>
  <si>
    <t>F000.607.139-000</t>
  </si>
  <si>
    <t>ESTATOR 6660/6662/6664</t>
  </si>
  <si>
    <t>F000.607.140-000</t>
  </si>
  <si>
    <t>ESTATOR 6570</t>
  </si>
  <si>
    <t>F000.607.148-000</t>
  </si>
  <si>
    <t>ESTATOR 4550</t>
  </si>
  <si>
    <t>F000.607.151-000</t>
  </si>
  <si>
    <t>ESTATOR 6060/6660</t>
  </si>
  <si>
    <t>F000.607.155-000</t>
  </si>
  <si>
    <t>ESTATOR 6550/6552/6554</t>
  </si>
  <si>
    <t>F000.607.163-000</t>
  </si>
  <si>
    <t>ESTATOR 220V 1859</t>
  </si>
  <si>
    <t>F000.607.166-000</t>
  </si>
  <si>
    <t>EXPANSION POLAR 220V 9051</t>
  </si>
  <si>
    <t>F000.607.174-000</t>
  </si>
  <si>
    <t>ESTATOR 113C/113E Ra F000607024</t>
  </si>
  <si>
    <t>F000.607.178-000</t>
  </si>
  <si>
    <t>F000.607.184-000</t>
  </si>
  <si>
    <t>EXPANSION POLAR 220V 17A1/2</t>
  </si>
  <si>
    <t>F000.608.006-000</t>
  </si>
  <si>
    <t>INTERRUPTOR 1548/51.0.1 RXF000608061000</t>
  </si>
  <si>
    <t>F000.608.014-000</t>
  </si>
  <si>
    <t>CONMUTADOR PERC. 6437-8</t>
  </si>
  <si>
    <t>F000.608.015-000</t>
  </si>
  <si>
    <t>INTERRUPTOR  6640</t>
  </si>
  <si>
    <t>F000.608.016-000</t>
  </si>
  <si>
    <t>INTERRUPTOR 6423/6642</t>
  </si>
  <si>
    <t>F000.608.019-000</t>
  </si>
  <si>
    <t>INTERRUPTOR 3388.0</t>
  </si>
  <si>
    <t>F000.608.023-000</t>
  </si>
  <si>
    <t>INTERRUPTOR 9777/9790 DISCONTINUADO</t>
  </si>
  <si>
    <t>F000.608.027-000</t>
  </si>
  <si>
    <t>CONMUT. 6437-8/113C/1247/113E/6640-42-44</t>
  </si>
  <si>
    <t>F000.608.029-000</t>
  </si>
  <si>
    <t>INTERRUPTOR 220V 5300</t>
  </si>
  <si>
    <t>F000.608.036-000</t>
  </si>
  <si>
    <t>INTERRUPTOR 220V - 8003</t>
  </si>
  <si>
    <t>F000.608.037-000</t>
  </si>
  <si>
    <t>RESISTENCIA 220V 8003</t>
  </si>
  <si>
    <t>F000.608.051-000</t>
  </si>
  <si>
    <t>BOTON SEGURIDAD 1546</t>
  </si>
  <si>
    <t>F000.608.052-000</t>
  </si>
  <si>
    <t>INTERRUPTOR 1546 RA 600996</t>
  </si>
  <si>
    <t>F000.608.057-000</t>
  </si>
  <si>
    <t>F000.608.058-000</t>
  </si>
  <si>
    <t>CORREDERA INTERRUPTOR 9230/9050</t>
  </si>
  <si>
    <t>F000.608.059-000</t>
  </si>
  <si>
    <t>BOTON INTERRUPTOR 9230/9050</t>
  </si>
  <si>
    <t>F000.608.060-000</t>
  </si>
  <si>
    <t>PALANCA CUBRE DISCO 9230</t>
  </si>
  <si>
    <t>F000.608.061-000</t>
  </si>
  <si>
    <t>INTERRUPTOR 1548/51.0.1 RX F000608062000</t>
  </si>
  <si>
    <t>F000.608.062-000</t>
  </si>
  <si>
    <t>INTERRUPTOR 1548/51.0.1 RA 061</t>
  </si>
  <si>
    <t>F000.608.067-000</t>
  </si>
  <si>
    <t>REGULADOR DE ROTAÇÕES 220V - 7640</t>
  </si>
  <si>
    <t>F000.608.071-000</t>
  </si>
  <si>
    <t>REGULADOR DE VELOCIDAD 4170</t>
  </si>
  <si>
    <t>F000.608.075-000</t>
  </si>
  <si>
    <t>CARGADOR BATERIAS 2120 DESCONTINUADO</t>
  </si>
  <si>
    <t>F000.608.086-000</t>
  </si>
  <si>
    <t>CARGADOR DE BATERIA 2900</t>
  </si>
  <si>
    <t>F000.608.088-000</t>
  </si>
  <si>
    <t>INTERRUPTOR 6455/60/6055/60/70 RX 364</t>
  </si>
  <si>
    <t>F000.608.090-000</t>
  </si>
  <si>
    <t>INTERRUPTOR 6462/6402</t>
  </si>
  <si>
    <t>F000.608.092-000</t>
  </si>
  <si>
    <t>INTERRUPTOR 9070 RA 094 - DISCONTINUADO</t>
  </si>
  <si>
    <t>F000.608.094-000</t>
  </si>
  <si>
    <t>INTERRUPTOR 9070</t>
  </si>
  <si>
    <t>F000.608.095-000</t>
  </si>
  <si>
    <t>REGULADOR DE VELOCIDAD 9070 OBSOLETO</t>
  </si>
  <si>
    <t>F000.608.097-000</t>
  </si>
  <si>
    <t>BATERIA  2900 OBSOLETO</t>
  </si>
  <si>
    <t>F000.608.099-000</t>
  </si>
  <si>
    <t>CONDENSADOR 4750</t>
  </si>
  <si>
    <t>F000.608.100-000</t>
  </si>
  <si>
    <t>INTERRUPTOR 4750</t>
  </si>
  <si>
    <t>F000.608.102-000</t>
  </si>
  <si>
    <t>LASER 4750</t>
  </si>
  <si>
    <t>F000.608.103-000</t>
  </si>
  <si>
    <t>ARANDELA DE ENCASTRE 4750</t>
  </si>
  <si>
    <t>F000.608.105-000</t>
  </si>
  <si>
    <t>REGULADOR DE VELOCIDAD 4750</t>
  </si>
  <si>
    <t>F000.608.106-000</t>
  </si>
  <si>
    <t>INTERRUPTOR 7232</t>
  </si>
  <si>
    <t>F000.608.109-000</t>
  </si>
  <si>
    <t>INTERRUPTOR 3000</t>
  </si>
  <si>
    <t>F000.608.111-000</t>
  </si>
  <si>
    <t>CAPACITOR 3000</t>
  </si>
  <si>
    <t>F000.608.112-000</t>
  </si>
  <si>
    <t>INTERRUPTOR 3710</t>
  </si>
  <si>
    <t>F000.608.117-000</t>
  </si>
  <si>
    <t>INTERRUPTOR 6570</t>
  </si>
  <si>
    <t>F000.608.331-000</t>
  </si>
  <si>
    <t>INTERRUPTOR 5401/5601/5801</t>
  </si>
  <si>
    <t>F000.608.332-000</t>
  </si>
  <si>
    <t>DIODO ELECTROLUMINESCENTE 5801</t>
  </si>
  <si>
    <t>F000.608.333-000</t>
  </si>
  <si>
    <t>LENTE 5801</t>
  </si>
  <si>
    <t>F000.608.334-000</t>
  </si>
  <si>
    <t>ARANDELA DE ENCASTRE 5601/5801</t>
  </si>
  <si>
    <t>F000.608.335-000</t>
  </si>
  <si>
    <t>LASER 5601/5801</t>
  </si>
  <si>
    <t>F000.608.336-000</t>
  </si>
  <si>
    <t>BOTON PULSADOR 5601/5801</t>
  </si>
  <si>
    <t>F000.608.338-000</t>
  </si>
  <si>
    <t>INTERRUPTOR 3320</t>
  </si>
  <si>
    <t>F000.608.339-000</t>
  </si>
  <si>
    <t>LASER 3320</t>
  </si>
  <si>
    <t>F000.608.341-000</t>
  </si>
  <si>
    <t>F000.608.344-000</t>
  </si>
  <si>
    <t>LAMPARA 2897</t>
  </si>
  <si>
    <t>F000.608.347-000</t>
  </si>
  <si>
    <t>ACCIONAMIENTO INTERIOR 3375</t>
  </si>
  <si>
    <t>F000.608.353-000</t>
  </si>
  <si>
    <t>CONDENSADOR 3335</t>
  </si>
  <si>
    <t>F000.608.354-000</t>
  </si>
  <si>
    <t>INTERRUPTOR 3335</t>
  </si>
  <si>
    <t>F000.608.358-000</t>
  </si>
  <si>
    <t>SOPORTE 3385</t>
  </si>
  <si>
    <t>F000.608.361-000</t>
  </si>
  <si>
    <t>LLAVE 3385</t>
  </si>
  <si>
    <t>F000.608.378-000</t>
  </si>
  <si>
    <t>LINEA DE CONEXION A RED 7351</t>
  </si>
  <si>
    <t>F000.608.381-000</t>
  </si>
  <si>
    <t>REGULADOR DE VELOCIDAD 9071</t>
  </si>
  <si>
    <t>F000.608.386-000</t>
  </si>
  <si>
    <t>INTERRUPTOR DREMEL 1800</t>
  </si>
  <si>
    <t>F000.608.389-000</t>
  </si>
  <si>
    <t>INTERRUPTOR 3610 RX F000608398</t>
  </si>
  <si>
    <t>F000.608.401-000</t>
  </si>
  <si>
    <t>INTERRUPTOR 6664</t>
  </si>
  <si>
    <t>F000.608.402-000</t>
  </si>
  <si>
    <t>INTERRUPTOR 6660</t>
  </si>
  <si>
    <t>F000.608.405-000</t>
  </si>
  <si>
    <t>INTERRUPTOR VEL. VAR. 6664</t>
  </si>
  <si>
    <t>F000.608.407-000</t>
  </si>
  <si>
    <t>F000.608.413-000</t>
  </si>
  <si>
    <t>REGULADOR DE VELOCIDAD 4550</t>
  </si>
  <si>
    <t>F000.608.418-000</t>
  </si>
  <si>
    <t>LASER 3310</t>
  </si>
  <si>
    <t>F000.608.420-000</t>
  </si>
  <si>
    <t>BATERIA 2212 RX F000.621.992-000</t>
  </si>
  <si>
    <t>F000.608.422-000</t>
  </si>
  <si>
    <t>INTERRUPTOR 1859</t>
  </si>
  <si>
    <t>F000.608.424-000</t>
  </si>
  <si>
    <t>INTERRUPTOR 2212/2511/2611/2711/2811</t>
  </si>
  <si>
    <t>F000.608.426-000</t>
  </si>
  <si>
    <t>INTERRUPTOR 6552</t>
  </si>
  <si>
    <t>F000.608.428-000</t>
  </si>
  <si>
    <t>INTERRUPTOR 9781/9981</t>
  </si>
  <si>
    <t>F000.609.011-000</t>
  </si>
  <si>
    <t>F000.609.017-000</t>
  </si>
  <si>
    <t>CABLE C/ PLUG</t>
  </si>
  <si>
    <t>F000.609.023-000</t>
  </si>
  <si>
    <t>F000.609.166-000</t>
  </si>
  <si>
    <t>F000.609.189-000</t>
  </si>
  <si>
    <t>CABLE CON ENCHUFE</t>
  </si>
  <si>
    <t>F000.609.239-000</t>
  </si>
  <si>
    <t>CABLE DE ALIMENTACIÓN ELÉCTRICA AR</t>
  </si>
  <si>
    <t>F000.609.270-000</t>
  </si>
  <si>
    <t>LINEA CONEXION 2,00M 2 X 1,50MM H07 RNF</t>
  </si>
  <si>
    <t>F000.609.282-000</t>
  </si>
  <si>
    <t>F000.609.285-000</t>
  </si>
  <si>
    <t>LINEA DE CONEXION A RED AR 9002/1H31</t>
  </si>
  <si>
    <t>F000.609.286-000</t>
  </si>
  <si>
    <t>LINEA DE CONEXION AR 9004 RX F000609285</t>
  </si>
  <si>
    <t>F000.609.287-000</t>
  </si>
  <si>
    <t>CABLE DE RED 6650/6652/6654</t>
  </si>
  <si>
    <t>F000.609.334-000</t>
  </si>
  <si>
    <t>OJETE PROTECTOR 7232</t>
  </si>
  <si>
    <t>F000.609.381-000</t>
  </si>
  <si>
    <t>F000.609.415-000</t>
  </si>
  <si>
    <t>LINEA DE CONEXION A RED 4550 DISCONT</t>
  </si>
  <si>
    <t>F000.609.426-000</t>
  </si>
  <si>
    <t>F000.609.429-000</t>
  </si>
  <si>
    <t>F000.609.435-000</t>
  </si>
  <si>
    <t>CABLE DE RED 9006 DISCONT</t>
  </si>
  <si>
    <t>F000.609.443-000</t>
  </si>
  <si>
    <t>F000.609.456-000</t>
  </si>
  <si>
    <t>F000.609.466-000</t>
  </si>
  <si>
    <t>F000.609.476-000</t>
  </si>
  <si>
    <t>INTERRUPTOR 6554</t>
  </si>
  <si>
    <t>F000.610.015-000</t>
  </si>
  <si>
    <t>CAJA ANTIPARASITARIA 11226/28</t>
  </si>
  <si>
    <t>F000.610.025-000</t>
  </si>
  <si>
    <t>CABLE DE CONEXIÓN  6437/6438/113E OBSOLE</t>
  </si>
  <si>
    <t>F000.610.026-000</t>
  </si>
  <si>
    <t>CABLE CONECTOR 1247/113E RX F000.610.031</t>
  </si>
  <si>
    <t>F000.610.027-000</t>
  </si>
  <si>
    <t>CABLE DE CONEXIÓN 1AB5.0 RA1600A015Z5</t>
  </si>
  <si>
    <t>F000.610.028-000</t>
  </si>
  <si>
    <t>CABLE DE CONEXIÓN  6437/6438</t>
  </si>
  <si>
    <t>F000.610.031-000</t>
  </si>
  <si>
    <t>TUBO PARA CABLE</t>
  </si>
  <si>
    <t>F000.610.037-000</t>
  </si>
  <si>
    <t>F000.610.038-000</t>
  </si>
  <si>
    <t>F000.610.041-000</t>
  </si>
  <si>
    <t>CABLE DE CONEXIÓN 1AA5.0/1AA6.0</t>
  </si>
  <si>
    <t>F000.610.043-000</t>
  </si>
  <si>
    <t>F000.610.047-000</t>
  </si>
  <si>
    <t>CABLE DE CONEXIÓN 1BA0.2</t>
  </si>
  <si>
    <t>F000.610.048-000</t>
  </si>
  <si>
    <t>F000.610.056-000</t>
  </si>
  <si>
    <t>CABLE 1B83.1</t>
  </si>
  <si>
    <t>F000.611.018-000</t>
  </si>
  <si>
    <t>CARBONES 1551.1</t>
  </si>
  <si>
    <t>F000.611.030-000</t>
  </si>
  <si>
    <t>CARBO113D-E/A0.2/6438/40/42 RX1600A009VN</t>
  </si>
  <si>
    <t>F000.611.036-000</t>
  </si>
  <si>
    <t>CARBONES 1546-1548</t>
  </si>
  <si>
    <t>F000.611.056-000</t>
  </si>
  <si>
    <t>CARBONES 1751/2/3/4/5/6 RX 090</t>
  </si>
  <si>
    <t>F000.611.057-000</t>
  </si>
  <si>
    <t>F000.611.059-000</t>
  </si>
  <si>
    <t>CARBONES 4750</t>
  </si>
  <si>
    <t>F000.611.061-000</t>
  </si>
  <si>
    <t>F000.611.064-000</t>
  </si>
  <si>
    <t>CARBONES 7232</t>
  </si>
  <si>
    <t>F000.611.068-000</t>
  </si>
  <si>
    <t>F000.611.069-000</t>
  </si>
  <si>
    <t>PORTAESCOBILLAS 9002</t>
  </si>
  <si>
    <t>F000.611.073-000</t>
  </si>
  <si>
    <t>PORTAESCOBILLAS 3310 (127V)-NAO SERVE AR</t>
  </si>
  <si>
    <t>F000.611.083-000</t>
  </si>
  <si>
    <t>CARBONES SKIL 1800</t>
  </si>
  <si>
    <t>F000.611.087-000</t>
  </si>
  <si>
    <t>CARBONES 3610 RX 088</t>
  </si>
  <si>
    <t>F000.611.091-000</t>
  </si>
  <si>
    <t>CARBONES 127V (2PC) 175 E 18A</t>
  </si>
  <si>
    <t>F000.611.095-000</t>
  </si>
  <si>
    <t>CARBONES 6060/6660</t>
  </si>
  <si>
    <t>F000.611.100-000</t>
  </si>
  <si>
    <t>JUEGO DE CARBONES  4550</t>
  </si>
  <si>
    <t>F000.611.101-000</t>
  </si>
  <si>
    <t>CARBONES 6570</t>
  </si>
  <si>
    <t>F000.612.014-000</t>
  </si>
  <si>
    <t>F000.612.019-000</t>
  </si>
  <si>
    <t>PORTACARBON 1551.1</t>
  </si>
  <si>
    <t>F000.612.020-000</t>
  </si>
  <si>
    <t>PORTACARBONES 5300/5401</t>
  </si>
  <si>
    <t>F000.612.021-000</t>
  </si>
  <si>
    <t>CONECTORES DE ESTATOR 1366.7</t>
  </si>
  <si>
    <t>F000.612.022-000</t>
  </si>
  <si>
    <t>PORTACARBONES 1548</t>
  </si>
  <si>
    <t>F000.612.037-000</t>
  </si>
  <si>
    <t>PL.PORT 1218/6644/113D/113E RXF000612063</t>
  </si>
  <si>
    <t>F000.612.038-000</t>
  </si>
  <si>
    <t>F000.612.041-000</t>
  </si>
  <si>
    <t>PORTA CARBONES + CARBONES 9230/9050</t>
  </si>
  <si>
    <t>F000.612.043-000</t>
  </si>
  <si>
    <t>CONJUNTO PORTA ESCOVAS</t>
  </si>
  <si>
    <t>F000.612.051-000</t>
  </si>
  <si>
    <t>PORTACARBONES 6460/6462/6455</t>
  </si>
  <si>
    <t>F000.612.053-000</t>
  </si>
  <si>
    <t>PORTACARBONES 4750</t>
  </si>
  <si>
    <t>F000.612.054-000</t>
  </si>
  <si>
    <t>PORTACARBONES 9780/9980</t>
  </si>
  <si>
    <t>F000.612.056-000</t>
  </si>
  <si>
    <t>PORTACARBON 4900</t>
  </si>
  <si>
    <t>F000.612.057-000</t>
  </si>
  <si>
    <t>PORTACARBONES 7232</t>
  </si>
  <si>
    <t>F000.612.059-000</t>
  </si>
  <si>
    <t>PORTAESCOBILLAS 5601/5801</t>
  </si>
  <si>
    <t>F000.612.060-000</t>
  </si>
  <si>
    <t>F000.612.061-000</t>
  </si>
  <si>
    <t>TAPA CARBONES IZQ. 18A1/18A6/18A5/1283</t>
  </si>
  <si>
    <t>F000.612.062-000</t>
  </si>
  <si>
    <t>TAPA CARBONES DER. 18A1/18A6/18A5/1283</t>
  </si>
  <si>
    <t>F000.612.063-000</t>
  </si>
  <si>
    <t>PORTAESCOBILLAS 6604 RX 160433605C</t>
  </si>
  <si>
    <t>F000.612.069-000</t>
  </si>
  <si>
    <t>F000.612.072-000</t>
  </si>
  <si>
    <t>PORTAESCOBILLAS 3710</t>
  </si>
  <si>
    <t>F000.612.074-000</t>
  </si>
  <si>
    <t>PORTACARBONES 6570</t>
  </si>
  <si>
    <t>F000.612.076-000</t>
  </si>
  <si>
    <t>PORTACARBONES 6660/6662/6664</t>
  </si>
  <si>
    <t>F000.612.080-000</t>
  </si>
  <si>
    <t>PORTACARBONES 4550</t>
  </si>
  <si>
    <t>F000.612.082-000</t>
  </si>
  <si>
    <t>F000.612.090-000</t>
  </si>
  <si>
    <t>PORTACARBONES 3311</t>
  </si>
  <si>
    <t>F000.612.092-000</t>
  </si>
  <si>
    <t>MANGUITO 1859/1559</t>
  </si>
  <si>
    <t>F000.612.094-000</t>
  </si>
  <si>
    <t>F000.612.100-000</t>
  </si>
  <si>
    <t>PORTA CARBON  9781/9981</t>
  </si>
  <si>
    <t>F000.612.102-000</t>
  </si>
  <si>
    <t>PLATO PORTAESCOBILLAS 1447</t>
  </si>
  <si>
    <t>F000.613.000-000</t>
  </si>
  <si>
    <t>BRIDA (1321/22/31/32/3257) RX2600501006</t>
  </si>
  <si>
    <t>F000.613.006-000</t>
  </si>
  <si>
    <t>BRAZO DE COJINETE 4121</t>
  </si>
  <si>
    <t>F000.613.010-000</t>
  </si>
  <si>
    <t>PUENTE EJE SALIDA 3388.0/6423</t>
  </si>
  <si>
    <t>F000.613.018-000</t>
  </si>
  <si>
    <t>CONJ. MONTAJE  6437-8/65--</t>
  </si>
  <si>
    <t>F000.613.022-000</t>
  </si>
  <si>
    <t>BRAZO DE COJINETE 113C/113D/11A0.2</t>
  </si>
  <si>
    <t>F000.613.023-000</t>
  </si>
  <si>
    <t>CARCASA INDUCIDO 1548.0 SUB F000.613.062</t>
  </si>
  <si>
    <t>F000.613.024-000</t>
  </si>
  <si>
    <t>COJINETE DE MOTOR 1548.0 RX F000613053</t>
  </si>
  <si>
    <t>F000.613.027-000</t>
  </si>
  <si>
    <t>CONJ. MONTAJE 1247.6</t>
  </si>
  <si>
    <t>F000.613.029-000</t>
  </si>
  <si>
    <t>ESCUADRA DE FIJACIÓN 8003</t>
  </si>
  <si>
    <t>F000.613.034-000</t>
  </si>
  <si>
    <t>CUBREDISCO 1546</t>
  </si>
  <si>
    <t>F000.613.035-000</t>
  </si>
  <si>
    <t>COJINETE DE MOTOR 1548/46</t>
  </si>
  <si>
    <t>F000.613.036-000</t>
  </si>
  <si>
    <t>PERCUTOR 11218-26-28 RX 1618710057</t>
  </si>
  <si>
    <t>F000.613.037-000</t>
  </si>
  <si>
    <t>CARCASA INDUCIDO 1548/46 RX F000613034</t>
  </si>
  <si>
    <t>F000.613.041-000</t>
  </si>
  <si>
    <t>PLACA BASE 7003</t>
  </si>
  <si>
    <t>F000.613.042-000</t>
  </si>
  <si>
    <t>MANCAL 9230</t>
  </si>
  <si>
    <t>F000.613.043-000</t>
  </si>
  <si>
    <t>BRAZO DE COJINETE  1218</t>
  </si>
  <si>
    <t>F000.613.048-000</t>
  </si>
  <si>
    <t>BRAZO DE COJINETE 111E</t>
  </si>
  <si>
    <t>F000.613.050-000</t>
  </si>
  <si>
    <t>TAPA LADO ACCIONAMIENTO</t>
  </si>
  <si>
    <t>F000.613.051-000</t>
  </si>
  <si>
    <t>CAJA DE ENGRENAJE</t>
  </si>
  <si>
    <t>F000.613.053-000</t>
  </si>
  <si>
    <t>BUJE 1548.4</t>
  </si>
  <si>
    <t>F000.613.055-000</t>
  </si>
  <si>
    <t>ESTRIBO DE APOYO 4750</t>
  </si>
  <si>
    <t>F000.613.056-000</t>
  </si>
  <si>
    <t>JUEGO DE PIEZAS 9780/9980</t>
  </si>
  <si>
    <t>F000.613.058-000</t>
  </si>
  <si>
    <t>TAPA DE CABEZAL 9780</t>
  </si>
  <si>
    <t>F000.613.059-000</t>
  </si>
  <si>
    <t>CAJA DE ENGRANAJES 4900</t>
  </si>
  <si>
    <t>F000.613.062-000</t>
  </si>
  <si>
    <t>COJINETE DEL MOTOR 1548.4</t>
  </si>
  <si>
    <t>F000.613.063-000</t>
  </si>
  <si>
    <t>PLACA DE BASE 1548.4 RX F000613064</t>
  </si>
  <si>
    <t>F000.613.064-000</t>
  </si>
  <si>
    <t>PLACA AISLANTE RA F000613063</t>
  </si>
  <si>
    <t>F000.613.069-000</t>
  </si>
  <si>
    <t>PLACA RETENCION 9345</t>
  </si>
  <si>
    <t>F000.613.070-000</t>
  </si>
  <si>
    <t>TUERCA Y CONTRATUERCA 5601/5801</t>
  </si>
  <si>
    <t>F000.613.071-000</t>
  </si>
  <si>
    <t>HUSILLO 5601/5801</t>
  </si>
  <si>
    <t>F000.613.072-000</t>
  </si>
  <si>
    <t>BRIDA COJINETE 9002</t>
  </si>
  <si>
    <t>F000.613.073-000</t>
  </si>
  <si>
    <t>COJINETE 5401</t>
  </si>
  <si>
    <t>F000.613.074-000</t>
  </si>
  <si>
    <t>SOPORTE MOTOR 3320</t>
  </si>
  <si>
    <t>F000.613.075-000</t>
  </si>
  <si>
    <t>SOPORTE 3320</t>
  </si>
  <si>
    <t>F000.613.076-000</t>
  </si>
  <si>
    <t>SOPORTE  3320</t>
  </si>
  <si>
    <t>F000.613.077-000</t>
  </si>
  <si>
    <t>BASE PARA MORZA 3320</t>
  </si>
  <si>
    <t>F000.613.078-000</t>
  </si>
  <si>
    <t>BRIDA DE COJINETE 9071</t>
  </si>
  <si>
    <t>F000.613.079-000</t>
  </si>
  <si>
    <t>BRAZO 3710</t>
  </si>
  <si>
    <t>F000.613.080-000</t>
  </si>
  <si>
    <t>CONJUNTO DE MONTAJE 6660/6662/6664</t>
  </si>
  <si>
    <t>F000.613.090-000</t>
  </si>
  <si>
    <t>CONJUNTO DE MONTAJE 6070/6062/6060</t>
  </si>
  <si>
    <t>F000.613.092-000</t>
  </si>
  <si>
    <t>MECANISMO PERCUTOR 1559</t>
  </si>
  <si>
    <t>F000.613.097-000</t>
  </si>
  <si>
    <t>BRAZO DE COJINETE 6550/6552/6554</t>
  </si>
  <si>
    <t>F000.613.099-000</t>
  </si>
  <si>
    <t>BRIDA 1B83.1</t>
  </si>
  <si>
    <t>F000.613.100-000</t>
  </si>
  <si>
    <t>BRIDA DE COJINETE 9051</t>
  </si>
  <si>
    <t>F000.614.002-000</t>
  </si>
  <si>
    <t>ARANDELA ENCASTRE 3388.0/6423 RA 000</t>
  </si>
  <si>
    <t>F000.614.005-000</t>
  </si>
  <si>
    <t>ARANDELA DE ENCASTRE 11A5</t>
  </si>
  <si>
    <t>F000.614.006-000</t>
  </si>
  <si>
    <t>VARILLA 4115/4225/35/4395 RA 2610991256</t>
  </si>
  <si>
    <t>F000.614.007-000</t>
  </si>
  <si>
    <t>ARANDELA DE ENCASTRE  6642/6640/6644</t>
  </si>
  <si>
    <t>F000.614.014-000</t>
  </si>
  <si>
    <t>ARRASTRADOR 1B83.1</t>
  </si>
  <si>
    <t>F000.615.000-000</t>
  </si>
  <si>
    <t>F000.615.003-000</t>
  </si>
  <si>
    <t>COJINETE  6642/6640/6644 RX 2609.110.491</t>
  </si>
  <si>
    <t>F000.615.004-000</t>
  </si>
  <si>
    <t>RODAMIENTO 1366.7/1551.1/1551.0</t>
  </si>
  <si>
    <t>F000.615.005-000</t>
  </si>
  <si>
    <t>RODAMIENTO 5401</t>
  </si>
  <si>
    <t>F000.615.006-000</t>
  </si>
  <si>
    <t>F000.615.008-000</t>
  </si>
  <si>
    <t>F000.615.010-000</t>
  </si>
  <si>
    <t>TOPE</t>
  </si>
  <si>
    <t>F000.615.011-000</t>
  </si>
  <si>
    <t>CASQUILLO DE AGUJAS 1548</t>
  </si>
  <si>
    <t>F000.615.026-000</t>
  </si>
  <si>
    <t>ROLAMENTO - 7640</t>
  </si>
  <si>
    <t>F000.615.027-000</t>
  </si>
  <si>
    <t>F000.615.028-000</t>
  </si>
  <si>
    <t>F000.615.029-000</t>
  </si>
  <si>
    <t>F000.615.030-000</t>
  </si>
  <si>
    <t>F000.615.032-000</t>
  </si>
  <si>
    <t>RODAMIENTO 6460/6462/6400/6402</t>
  </si>
  <si>
    <t>F000.615.033-000</t>
  </si>
  <si>
    <t>BOLA 6455/1A0</t>
  </si>
  <si>
    <t>F000.615.034-000</t>
  </si>
  <si>
    <t>RODAMIENTO 9070 - DISCONTINUADO</t>
  </si>
  <si>
    <t>F000.615.036-000</t>
  </si>
  <si>
    <t>CASQUILLO DE AGUJAS 9070</t>
  </si>
  <si>
    <t>F000.615.037-000</t>
  </si>
  <si>
    <t>RODAMIENTO RIGIDO BOLAS 9070</t>
  </si>
  <si>
    <t>F000.615.039-000</t>
  </si>
  <si>
    <t>F000.615.040-000</t>
  </si>
  <si>
    <t>TAPA DE VENTILADOR 9070</t>
  </si>
  <si>
    <t>F000.615.041-000</t>
  </si>
  <si>
    <t>F000.615.042-000</t>
  </si>
  <si>
    <t>F000.615.043-000</t>
  </si>
  <si>
    <t>RODAMIENTO 4750/4751</t>
  </si>
  <si>
    <t>F000.615.044-000</t>
  </si>
  <si>
    <t>PALANCA AHORQUILLADA 4750</t>
  </si>
  <si>
    <t>F000.615.045-000</t>
  </si>
  <si>
    <t>CONTRAPESO 4750</t>
  </si>
  <si>
    <t>F000.615.046-000</t>
  </si>
  <si>
    <t>CASQUILLO SINTERIZADO 4750/4751</t>
  </si>
  <si>
    <t>F000.615.047-000</t>
  </si>
  <si>
    <t>RODILLO CONICO 4750</t>
  </si>
  <si>
    <t>F000.615.048-000</t>
  </si>
  <si>
    <t>RODAMIENTO 4750</t>
  </si>
  <si>
    <t>F000.615.050-000</t>
  </si>
  <si>
    <t>F000.615.051-000</t>
  </si>
  <si>
    <t>F000.615.052-000</t>
  </si>
  <si>
    <t>RODAMIENTO 626RS 7232</t>
  </si>
  <si>
    <t>F000.615.053-000</t>
  </si>
  <si>
    <t>F000.615.056-000</t>
  </si>
  <si>
    <t>F000.615.057-000</t>
  </si>
  <si>
    <t>RODAMIENTO RA 1619.P03.727</t>
  </si>
  <si>
    <t>F000.615.058-000</t>
  </si>
  <si>
    <t>ANILLO DE GOMA 9345</t>
  </si>
  <si>
    <t>F000.615.059-000</t>
  </si>
  <si>
    <t>RODAMIENTO 9345</t>
  </si>
  <si>
    <t>F000.615.061-000</t>
  </si>
  <si>
    <t>CASQUILLO DE AGUJAS 5601/5801</t>
  </si>
  <si>
    <t>F000.615.062-000</t>
  </si>
  <si>
    <t>RODAMIENTO 9002/9051</t>
  </si>
  <si>
    <t>F000.615.063-000</t>
  </si>
  <si>
    <t>RODAMIENTO 607Z C/CUBETA 9002</t>
  </si>
  <si>
    <t>F000.615.064-000</t>
  </si>
  <si>
    <t>RODAMIENTO 9004</t>
  </si>
  <si>
    <t>F000.615.065-000</t>
  </si>
  <si>
    <t>RODAMIENTO 3320</t>
  </si>
  <si>
    <t>F000.615.066-000</t>
  </si>
  <si>
    <t>CASQUILLO 3320</t>
  </si>
  <si>
    <t>F000.615.067-000</t>
  </si>
  <si>
    <t>F000.615.068-000</t>
  </si>
  <si>
    <t>F000.615.069-000</t>
  </si>
  <si>
    <t>F000.615.070-000</t>
  </si>
  <si>
    <t>COJINETE DE AGUJAS  3320</t>
  </si>
  <si>
    <t>F000.615.071-000</t>
  </si>
  <si>
    <t>CONJUNTO DE POLEAS 3320</t>
  </si>
  <si>
    <t>F000.615.074-000</t>
  </si>
  <si>
    <t>SOPORTE 3375</t>
  </si>
  <si>
    <t>F000.615.075-000</t>
  </si>
  <si>
    <t>F000.615.076-000</t>
  </si>
  <si>
    <t>POLEAS 3375</t>
  </si>
  <si>
    <t>F000.615.077-000</t>
  </si>
  <si>
    <t>CARCASA DE CORREA 3375</t>
  </si>
  <si>
    <t>F000.615.078-000</t>
  </si>
  <si>
    <t>ESTRIBO DE APOYO 3335</t>
  </si>
  <si>
    <t>F000.615.079-000</t>
  </si>
  <si>
    <t>F000.615.080-000</t>
  </si>
  <si>
    <t>F000.615.081-000</t>
  </si>
  <si>
    <t>POLEA 3385</t>
  </si>
  <si>
    <t>F000.615.082-000</t>
  </si>
  <si>
    <t>F000.615.083-000</t>
  </si>
  <si>
    <t>F000.615.084-000</t>
  </si>
  <si>
    <t>F000.615.085-000</t>
  </si>
  <si>
    <t>F000.615.086-000</t>
  </si>
  <si>
    <t>BOLA RA 1903230009-000</t>
  </si>
  <si>
    <t>F000.615.087-000</t>
  </si>
  <si>
    <t>RODAMIENTO RIGIDO BOLAS 9071</t>
  </si>
  <si>
    <t>F000.615.088-000</t>
  </si>
  <si>
    <t>F000.615.089-000</t>
  </si>
  <si>
    <t>IMAN ANULAR 9071</t>
  </si>
  <si>
    <t>F000.615.090-000</t>
  </si>
  <si>
    <t>F000.615.091-000</t>
  </si>
  <si>
    <t>CASQUILLO DE AGUJAS 9071</t>
  </si>
  <si>
    <t>F000.615.092-000</t>
  </si>
  <si>
    <t>RODAMIENTO 6660/6662/6664</t>
  </si>
  <si>
    <t>F000.615.095-000</t>
  </si>
  <si>
    <t>PLACA PENDULAR 4550</t>
  </si>
  <si>
    <t>F000.615.096-000</t>
  </si>
  <si>
    <t>RODAMIENTO AGUJAS SKIL 4550</t>
  </si>
  <si>
    <t>F000.615.102-000</t>
  </si>
  <si>
    <t>VASTAGO DE GUIA 4550</t>
  </si>
  <si>
    <t>F000.615.103-000</t>
  </si>
  <si>
    <t>SELECTOR 4550</t>
  </si>
  <si>
    <t>F000.615.110-000</t>
  </si>
  <si>
    <t>RODAMIENTO DE AGUJAS 17A1/2</t>
  </si>
  <si>
    <t>F000.615.128-000</t>
  </si>
  <si>
    <t>PORTAHERRAMIENTAS 1559</t>
  </si>
  <si>
    <t>F000.615.129-000</t>
  </si>
  <si>
    <t>EMBOLO 1559</t>
  </si>
  <si>
    <t>F000.615.172-000</t>
  </si>
  <si>
    <t>CONJ. DE PERCUTOR</t>
  </si>
  <si>
    <t>F000.615.173-000</t>
  </si>
  <si>
    <t>CONJ. PERCUTOR 1859</t>
  </si>
  <si>
    <t>F000.615.175-000</t>
  </si>
  <si>
    <t>RODAMIENTO RIGIDO BOLAS 1B83.1</t>
  </si>
  <si>
    <t>F000.616.006-000</t>
  </si>
  <si>
    <t>TORN.AVELLAN.11218/1194 RA2603.421.226</t>
  </si>
  <si>
    <t>F000.616.012-000</t>
  </si>
  <si>
    <t>TORNILLO RANURA CRUCIF. 12A2.0</t>
  </si>
  <si>
    <t>F000.616.022-000</t>
  </si>
  <si>
    <t>F000.616.024-000</t>
  </si>
  <si>
    <t>ARANDELA ONDULADA 5401</t>
  </si>
  <si>
    <t>F000.616.025-000</t>
  </si>
  <si>
    <t>ARANDELA DE AJUSTE 5401</t>
  </si>
  <si>
    <t>F000.616.026-000</t>
  </si>
  <si>
    <t>ARANDELA 5300</t>
  </si>
  <si>
    <t>F000.616.027-000</t>
  </si>
  <si>
    <t>F000.616.029-000</t>
  </si>
  <si>
    <t>F000.616.030-000</t>
  </si>
  <si>
    <t>ARANDELA 5401</t>
  </si>
  <si>
    <t>F000.616.031-000</t>
  </si>
  <si>
    <t>F000.616.032-000</t>
  </si>
  <si>
    <t>PALANCA 5401</t>
  </si>
  <si>
    <t>F000.616.033-000</t>
  </si>
  <si>
    <t>F000.616.035-000</t>
  </si>
  <si>
    <t>F000.616.036-000</t>
  </si>
  <si>
    <t>F000.616.038-000</t>
  </si>
  <si>
    <t>MANIPULO 5300/5401</t>
  </si>
  <si>
    <t>F000.616.039-000</t>
  </si>
  <si>
    <t>ESPIGA DE GUIA 5401</t>
  </si>
  <si>
    <t>F000.616.040-000</t>
  </si>
  <si>
    <t>ANILLO DE SEGURIDAD 5300/5401</t>
  </si>
  <si>
    <t>F000.616.041-000</t>
  </si>
  <si>
    <t>CASQUILLO-GUIA</t>
  </si>
  <si>
    <t>F000.616.042-000</t>
  </si>
  <si>
    <t>F000.616.043-000</t>
  </si>
  <si>
    <t>TORNILLO 5300/5401</t>
  </si>
  <si>
    <t>F000.616.044-000</t>
  </si>
  <si>
    <t>ARANDELA DE APOYO 1548</t>
  </si>
  <si>
    <t>F000.616.045-000</t>
  </si>
  <si>
    <t>BOTON PULSADOR 1548 RXF000616053</t>
  </si>
  <si>
    <t>F000.616.049-000</t>
  </si>
  <si>
    <t>CASQUILLO 5401</t>
  </si>
  <si>
    <t>F000.616.052-000</t>
  </si>
  <si>
    <t>TORNILLO RANURA CRUCIF. 1BA0.2</t>
  </si>
  <si>
    <t>F000.616.054-000</t>
  </si>
  <si>
    <t>TOPE CUBREDISCO 1546</t>
  </si>
  <si>
    <t>F000.616.055-000</t>
  </si>
  <si>
    <t>F000.616.057-000</t>
  </si>
  <si>
    <t>BRIDA DE CIERRE 1548</t>
  </si>
  <si>
    <t>F000.616.062-000</t>
  </si>
  <si>
    <t>F000.616.063-000</t>
  </si>
  <si>
    <t>FIJADOR</t>
  </si>
  <si>
    <t>F000.616.065-000</t>
  </si>
  <si>
    <t>TORNILLO 9050</t>
  </si>
  <si>
    <t>F000.616.066-000</t>
  </si>
  <si>
    <t>F000.616.067-000</t>
  </si>
  <si>
    <t>BOTON 9230/9050</t>
  </si>
  <si>
    <t>F000.616.068-000</t>
  </si>
  <si>
    <t>F000.616.076-000</t>
  </si>
  <si>
    <t>TORNILLO 2120</t>
  </si>
  <si>
    <t>F000.616.080-000</t>
  </si>
  <si>
    <t>ARANDELA DE AJUSTE 9050</t>
  </si>
  <si>
    <t>F000.616.081-000</t>
  </si>
  <si>
    <t>ANILLO 6460/6462/6455/6400/6402</t>
  </si>
  <si>
    <t>F000.616.082-000</t>
  </si>
  <si>
    <t>TORNILLO 6460/6462/6455/6400/6402</t>
  </si>
  <si>
    <t>F000.616.083-000</t>
  </si>
  <si>
    <t>F000.616.084-000</t>
  </si>
  <si>
    <t>ABRAZADERA 6460/6462/6455/6400/6402</t>
  </si>
  <si>
    <t>F000.616.086-000</t>
  </si>
  <si>
    <t>TORNILLO 9070</t>
  </si>
  <si>
    <t>F000.616.087-000</t>
  </si>
  <si>
    <t>ARANDELA 9070</t>
  </si>
  <si>
    <t>F000.616.092-000</t>
  </si>
  <si>
    <t>TORNILLO PARA CHAPA 9070</t>
  </si>
  <si>
    <t>F000.616.096-000</t>
  </si>
  <si>
    <t>ANILLO DE SEGURIDAD 9070</t>
  </si>
  <si>
    <t>F000.616.101-000</t>
  </si>
  <si>
    <t>CONJUNTO BOTÓN TRABA</t>
  </si>
  <si>
    <t>F000.616.103-000</t>
  </si>
  <si>
    <t>F000.616.104-000</t>
  </si>
  <si>
    <t>TORNILLO AUTORROSCANTE 1EA8.0</t>
  </si>
  <si>
    <t>F000.616.105-000</t>
  </si>
  <si>
    <t>ANILLO DE FIELTRO 4751</t>
  </si>
  <si>
    <t>F000.616.106-000</t>
  </si>
  <si>
    <t>ARANDELA 4751</t>
  </si>
  <si>
    <t>F000.616.107-000</t>
  </si>
  <si>
    <t>FIELTRO DE ENGRASE 4750</t>
  </si>
  <si>
    <t>F000.616.108-000</t>
  </si>
  <si>
    <t>EMBOLO PORTAUTIL 4750</t>
  </si>
  <si>
    <t>F000.616.109-000</t>
  </si>
  <si>
    <t>F000.616.110-000</t>
  </si>
  <si>
    <t>PLACA BASE 4750</t>
  </si>
  <si>
    <t>F000.616.111-000</t>
  </si>
  <si>
    <t>PLACA 4750</t>
  </si>
  <si>
    <t>F000.616.113-000</t>
  </si>
  <si>
    <t>F000.616.114-000</t>
  </si>
  <si>
    <t>F000.616.115-000</t>
  </si>
  <si>
    <t>ANILLO 9780/9980</t>
  </si>
  <si>
    <t>F000.616.116-000</t>
  </si>
  <si>
    <t>TORNILLO 7232</t>
  </si>
  <si>
    <t>F000.616.117-000</t>
  </si>
  <si>
    <t>ABRAZADERA 7232</t>
  </si>
  <si>
    <t>F000.616.120-000</t>
  </si>
  <si>
    <t>F000.616.122-000</t>
  </si>
  <si>
    <t>PERNO DE  FIJACION 1548.4</t>
  </si>
  <si>
    <t>F000.616.130-000</t>
  </si>
  <si>
    <t>OJETE PROTECTOR ROSC. 3000</t>
  </si>
  <si>
    <t>F000.616.131-000</t>
  </si>
  <si>
    <t>BRIDA 3000</t>
  </si>
  <si>
    <t>F000.616.136-000</t>
  </si>
  <si>
    <t>ANILLO DE SEGURIDAD 5601/5801</t>
  </si>
  <si>
    <t>F000.616.137-000</t>
  </si>
  <si>
    <t>ARANDELA ELASTICA 5601/5801</t>
  </si>
  <si>
    <t>F000.616.138-000</t>
  </si>
  <si>
    <t>ARANDELA PLANA 5601/5801</t>
  </si>
  <si>
    <t>F000.616.139-000</t>
  </si>
  <si>
    <t>JUNTA TORICA 5601/5801</t>
  </si>
  <si>
    <t>F000.616.142-000</t>
  </si>
  <si>
    <t>MANGUITO ELASTICO 5601/5801</t>
  </si>
  <si>
    <t>F000.616.144-000</t>
  </si>
  <si>
    <t>PESTILLO 5601/5801</t>
  </si>
  <si>
    <t>F000.616.145-000</t>
  </si>
  <si>
    <t>F000.616.149-000</t>
  </si>
  <si>
    <t>CHAPA DE RETENCION 9002</t>
  </si>
  <si>
    <t>F000.616.150-000</t>
  </si>
  <si>
    <t>BOTON C/CORREDERA 9002</t>
  </si>
  <si>
    <t>F000.616.151-000</t>
  </si>
  <si>
    <t>CHAPA DE RETEN 9051</t>
  </si>
  <si>
    <t>F000.616.152-000</t>
  </si>
  <si>
    <t>BOTON 9002/9051</t>
  </si>
  <si>
    <t>F000.616.153-000</t>
  </si>
  <si>
    <t>CHAPA RETEN 9004</t>
  </si>
  <si>
    <t>F000.616.154-000</t>
  </si>
  <si>
    <t>BOTON C/CORREDERA 9004</t>
  </si>
  <si>
    <t>F000.616.162-000</t>
  </si>
  <si>
    <t>PESTILLO 3320</t>
  </si>
  <si>
    <t>F000.616.164-000</t>
  </si>
  <si>
    <t>MANGO 3385</t>
  </si>
  <si>
    <t>F000.616.165-000</t>
  </si>
  <si>
    <t>TUERCA HEX. 1548.4</t>
  </si>
  <si>
    <t>F000.616.166-000</t>
  </si>
  <si>
    <t>TORNILLO CILINDRICO HEX. 1548.4</t>
  </si>
  <si>
    <t>F000.616.169-000</t>
  </si>
  <si>
    <t>TORNILLO RANURA CRUCIF. 9071</t>
  </si>
  <si>
    <t>F000.616.170-000</t>
  </si>
  <si>
    <t>F000.616.172-000</t>
  </si>
  <si>
    <t>ARANDELA ELÁSTICA 9071</t>
  </si>
  <si>
    <t>F000.616.173-000</t>
  </si>
  <si>
    <t>F000.616.174-000</t>
  </si>
  <si>
    <t>BOTON PULSADOR 9071</t>
  </si>
  <si>
    <t>F000.616.175-000</t>
  </si>
  <si>
    <t>PERNO DE FIJACION 9071</t>
  </si>
  <si>
    <t>F000.616.176-000</t>
  </si>
  <si>
    <t>F000.616.177-000</t>
  </si>
  <si>
    <t>F000.616.178-000</t>
  </si>
  <si>
    <t>TORNILLO CILÍNDRICA HEX 9071</t>
  </si>
  <si>
    <t>F000.616.179-000</t>
  </si>
  <si>
    <t>ARANDELA PLANA 9071</t>
  </si>
  <si>
    <t>F000.616.181-000</t>
  </si>
  <si>
    <t>F000.616.182-000</t>
  </si>
  <si>
    <t>MUELLE DE COMPRESION 9071</t>
  </si>
  <si>
    <t>F000.616.183-000</t>
  </si>
  <si>
    <t>PESTILLO 9071</t>
  </si>
  <si>
    <t>F000.616.186-000</t>
  </si>
  <si>
    <t>CIERRE 3710</t>
  </si>
  <si>
    <t>F000.616.210-000</t>
  </si>
  <si>
    <t>TUERCA CILINDRICA 1800</t>
  </si>
  <si>
    <t>F000.616.211-000</t>
  </si>
  <si>
    <t>MANGUITO ROSCADO 1800 DE 6 MM.</t>
  </si>
  <si>
    <t>F000.616.212-000</t>
  </si>
  <si>
    <t>TORNILLO 1800</t>
  </si>
  <si>
    <t>F000.616.213-000</t>
  </si>
  <si>
    <t>ANILLO 1800</t>
  </si>
  <si>
    <t>F000.616.214-000</t>
  </si>
  <si>
    <t>OJETE PROTECTOR 1800</t>
  </si>
  <si>
    <t>F000.616.215-000</t>
  </si>
  <si>
    <t>SUJETADOR DE CABLE 1800</t>
  </si>
  <si>
    <t>F000.616.217-000</t>
  </si>
  <si>
    <t>ANILLO DE SUJECION 1800</t>
  </si>
  <si>
    <t>F000.616.218-000</t>
  </si>
  <si>
    <t>PORTAESCOBILLAS 1800</t>
  </si>
  <si>
    <t>F000.616.219-000</t>
  </si>
  <si>
    <t>TAPA PORTACARB. 1800</t>
  </si>
  <si>
    <t>F000.616.221-000</t>
  </si>
  <si>
    <t>RODAMIENTO 1800</t>
  </si>
  <si>
    <t>F000.616.222-000</t>
  </si>
  <si>
    <t>ARANDELA PLANA 1800</t>
  </si>
  <si>
    <t>F000.616.223-000</t>
  </si>
  <si>
    <t>F000.616.229-000</t>
  </si>
  <si>
    <t>F000.616.233-000</t>
  </si>
  <si>
    <t>F000.616.235-000</t>
  </si>
  <si>
    <t>BRIDA DE FIJACION 3610</t>
  </si>
  <si>
    <t>F000.616.236-000</t>
  </si>
  <si>
    <t>F000.616.237-000</t>
  </si>
  <si>
    <t>F000.616.275-000</t>
  </si>
  <si>
    <t>MESA DE ASERRAR 3610</t>
  </si>
  <si>
    <t>F000.616.276-000</t>
  </si>
  <si>
    <t>PERNO REMACHADO 3610</t>
  </si>
  <si>
    <t>F000.616.278-000</t>
  </si>
  <si>
    <t>PERNO DE CABEZA HEXAGON 3610</t>
  </si>
  <si>
    <t>F000.616.279-000</t>
  </si>
  <si>
    <t>PERNO CON COLLAR 3610</t>
  </si>
  <si>
    <t>F000.616.287-000</t>
  </si>
  <si>
    <t>CHAPA PROTECTORA 3610</t>
  </si>
  <si>
    <t>F000.616.293-000</t>
  </si>
  <si>
    <t>CHAPA 3610</t>
  </si>
  <si>
    <t>F000.616.310-000</t>
  </si>
  <si>
    <t>TIRA DE GOMA 3610</t>
  </si>
  <si>
    <t>F000.616.311-000</t>
  </si>
  <si>
    <t>F000.616.312-000</t>
  </si>
  <si>
    <t>RIEL DE PERFIL 3610</t>
  </si>
  <si>
    <t>F000.616.313-000</t>
  </si>
  <si>
    <t>F000.616.314-000</t>
  </si>
  <si>
    <t>F000.616.316-000</t>
  </si>
  <si>
    <t>F000.616.318-000</t>
  </si>
  <si>
    <t>MUELLE ESPIRAL 3610</t>
  </si>
  <si>
    <t>F000.616.319-000</t>
  </si>
  <si>
    <t>TUERCA DE REGLAJE 3610</t>
  </si>
  <si>
    <t>F000.616.324-000</t>
  </si>
  <si>
    <t>F000.616.328-000</t>
  </si>
  <si>
    <t>PASADOR GUIA 3610</t>
  </si>
  <si>
    <t>F000.616.330-000</t>
  </si>
  <si>
    <t>F000.616.331-000</t>
  </si>
  <si>
    <t>LLAVE ESPIGAS FRONTALES 3610</t>
  </si>
  <si>
    <t>F000.616.332-000</t>
  </si>
  <si>
    <t>F000.616.333-000</t>
  </si>
  <si>
    <t>F000.616.334-000</t>
  </si>
  <si>
    <t>F000.616.335-000</t>
  </si>
  <si>
    <t>ESCUADRA DE SOPORTE 3610</t>
  </si>
  <si>
    <t>F000.616.336-000</t>
  </si>
  <si>
    <t>F000.616.337-000</t>
  </si>
  <si>
    <t>F000.616.338-000</t>
  </si>
  <si>
    <t>F000.616.339-000</t>
  </si>
  <si>
    <t>F000.616.340-000</t>
  </si>
  <si>
    <t>F000.616.341-000</t>
  </si>
  <si>
    <t>F000.616.343-000</t>
  </si>
  <si>
    <t>BASE 3610</t>
  </si>
  <si>
    <t>F000.616.344-000</t>
  </si>
  <si>
    <t>EJE C/ DEDOS 3610</t>
  </si>
  <si>
    <t>F000.616.345-000</t>
  </si>
  <si>
    <t>CABLE 3610</t>
  </si>
  <si>
    <t>F000.616.346-000</t>
  </si>
  <si>
    <t>VOLANTE DE MANO 3610</t>
  </si>
  <si>
    <t>F000.616.347-000</t>
  </si>
  <si>
    <t>TAPA PROTECTORA VIRABLE 3610</t>
  </si>
  <si>
    <t>F000.616.348-000</t>
  </si>
  <si>
    <t>CUNA DE PARTIR 3610</t>
  </si>
  <si>
    <t>F000.616.349-000</t>
  </si>
  <si>
    <t>TAPA DE INTERRUPTOR 3610</t>
  </si>
  <si>
    <t>F000.616.350-000</t>
  </si>
  <si>
    <t>PROTECCION CONTRA CONTACT 3610</t>
  </si>
  <si>
    <t>F000.616.351-000</t>
  </si>
  <si>
    <t>INSERTO 3610</t>
  </si>
  <si>
    <t>F000.616.352-000</t>
  </si>
  <si>
    <t>Pivote 3610</t>
  </si>
  <si>
    <t>F000.616.353-000</t>
  </si>
  <si>
    <t>TRINQUETE 3610</t>
  </si>
  <si>
    <t>F000.616.356-000</t>
  </si>
  <si>
    <t>CLAVIJA DE CIERRE 3710</t>
  </si>
  <si>
    <t>F000.616.358-000</t>
  </si>
  <si>
    <t>F000.616.359-000</t>
  </si>
  <si>
    <t>F000.616.366-000</t>
  </si>
  <si>
    <t>TORNILLO 6570</t>
  </si>
  <si>
    <t>F000.616.371-000</t>
  </si>
  <si>
    <t>ANILLO 6660/6662/6664</t>
  </si>
  <si>
    <t>F000.616.374-000</t>
  </si>
  <si>
    <t>ANILLO DE GOMA 6660/6662/6664</t>
  </si>
  <si>
    <t>F000.616.381-000</t>
  </si>
  <si>
    <t>PERNO DE FIJACION  4550</t>
  </si>
  <si>
    <t>F000.616.412-000</t>
  </si>
  <si>
    <t>F000.616.416-000</t>
  </si>
  <si>
    <t>INSERTO 3311</t>
  </si>
  <si>
    <t>F000.616.417-000</t>
  </si>
  <si>
    <t>PALANCA DE BLOQUEO 3311</t>
  </si>
  <si>
    <t>F000.616.418-000</t>
  </si>
  <si>
    <t>BOTON DE AJUSTE 3311</t>
  </si>
  <si>
    <t>F000.616.419-000</t>
  </si>
  <si>
    <t>F000.616.433-000</t>
  </si>
  <si>
    <t>TORNILLO 2212/2511/2611/2711/2811</t>
  </si>
  <si>
    <t>F000.616.434-000</t>
  </si>
  <si>
    <t>TORNILLO MANDRIL 2212/2511</t>
  </si>
  <si>
    <t>F000.616.486-000</t>
  </si>
  <si>
    <t>TUERCA HEX 1B83.1</t>
  </si>
  <si>
    <t>F000.616.487-000</t>
  </si>
  <si>
    <t>PESTILLO 1283</t>
  </si>
  <si>
    <t>F000.617.011-000</t>
  </si>
  <si>
    <t>ENGRANAJE 3388.0/6423  RX 020</t>
  </si>
  <si>
    <t>F000.617.014-000</t>
  </si>
  <si>
    <t>CORONA 1366.6</t>
  </si>
  <si>
    <t>F000.617.017-000</t>
  </si>
  <si>
    <t>ENGRANAJE  6438</t>
  </si>
  <si>
    <t>F000.617.019-000</t>
  </si>
  <si>
    <t>MANCAL CON ENGRENAJE 5300</t>
  </si>
  <si>
    <t>F000.617.020-000</t>
  </si>
  <si>
    <t>F000.617.029-000</t>
  </si>
  <si>
    <t>ENGRANJE 1546</t>
  </si>
  <si>
    <t>F000.617.032-000</t>
  </si>
  <si>
    <t>CORONA 18A1/3/5 1751/3/5 RX F000617060</t>
  </si>
  <si>
    <t>F000.617.033-000</t>
  </si>
  <si>
    <t>CORONA1752/4/6.4 18A2/4/6 RXF000.617.061</t>
  </si>
  <si>
    <t>F000.617.035-000</t>
  </si>
  <si>
    <t>CORONA 9050</t>
  </si>
  <si>
    <t>F000.617.036-000</t>
  </si>
  <si>
    <t>ENGRANAJE 6460/6462/6455/6400/6402</t>
  </si>
  <si>
    <t>F000.617.037-000</t>
  </si>
  <si>
    <t>RUEDA DENTADA</t>
  </si>
  <si>
    <t>F000.617.038-000</t>
  </si>
  <si>
    <t>RUEDA DENTADA RECTA 1548</t>
  </si>
  <si>
    <t>F000.617.039-000</t>
  </si>
  <si>
    <t>CORONA 9980</t>
  </si>
  <si>
    <t>F000.617.040-000</t>
  </si>
  <si>
    <t>CORONA 9780</t>
  </si>
  <si>
    <t>F000.617.041-000</t>
  </si>
  <si>
    <t>CONJUNTO ENGRENAJE 119B.4/11A5</t>
  </si>
  <si>
    <t>F000.617.044-000</t>
  </si>
  <si>
    <t>CONTRAPESO 7232</t>
  </si>
  <si>
    <t>F000.617.045-000</t>
  </si>
  <si>
    <t>CORONA 9345</t>
  </si>
  <si>
    <t>F000.617.046-000</t>
  </si>
  <si>
    <t>F000.617.048-000</t>
  </si>
  <si>
    <t>BARRA CREMALLERA 3320</t>
  </si>
  <si>
    <t>F000.617.049-000</t>
  </si>
  <si>
    <t>CAJA DE ENGRANAJES 9071</t>
  </si>
  <si>
    <t>F000.617.050-000</t>
  </si>
  <si>
    <t>CORONA 9071</t>
  </si>
  <si>
    <t>F000.617.053-000</t>
  </si>
  <si>
    <t>RUEDA DENTADA DE ANGULO 3710</t>
  </si>
  <si>
    <t>F000.617.056-000</t>
  </si>
  <si>
    <t>RUEDA DENTADA DE ANGULO 4550</t>
  </si>
  <si>
    <t>F000.617.060-000</t>
  </si>
  <si>
    <t>CJ. PIÑON - CORONA RX 1607000C5F</t>
  </si>
  <si>
    <t>F000.617.061-000</t>
  </si>
  <si>
    <t>CJ ENGRENAJE 9" RX 1607000C5G</t>
  </si>
  <si>
    <t>F000.617.064-000</t>
  </si>
  <si>
    <t>CAJA DE ENGRANAJE 2212 - DISCONT.</t>
  </si>
  <si>
    <t>F000.617.066-000</t>
  </si>
  <si>
    <t>CAJA DE ENGRANAJE 2511</t>
  </si>
  <si>
    <t>F000.617.067-000</t>
  </si>
  <si>
    <t>CAJA DE ENGRANAJE 2611</t>
  </si>
  <si>
    <t>F000.617.068-000</t>
  </si>
  <si>
    <t>CAJA DE ENGRANAJES 2711/2811</t>
  </si>
  <si>
    <t>F000.617.074-000</t>
  </si>
  <si>
    <t>JUEGO DE RUEDAS CONICAS 1B83.1</t>
  </si>
  <si>
    <t>F000.617.075-000</t>
  </si>
  <si>
    <t>JUEGO DE RUEDAS CONICAS 17A1</t>
  </si>
  <si>
    <t>F000.617.076-000</t>
  </si>
  <si>
    <t>JUEGO DE RUEDAS CONICAS 17A2</t>
  </si>
  <si>
    <t>F000.618.002-000</t>
  </si>
  <si>
    <t>F000.618.003-000</t>
  </si>
  <si>
    <t>PIÑON 9003 RA 2610394451</t>
  </si>
  <si>
    <t>F000.619.002-000</t>
  </si>
  <si>
    <t>EJE 1751.0/ 1752.0 RX1603523113</t>
  </si>
  <si>
    <t>F000.619.013-000</t>
  </si>
  <si>
    <t>EJE DE SALIDA  1147.5 RXF000600315</t>
  </si>
  <si>
    <t>F000.619.014-000</t>
  </si>
  <si>
    <t>EJE SALIDA - DISCONTINUADO</t>
  </si>
  <si>
    <t>F000.619.018-000</t>
  </si>
  <si>
    <t>EJE SALIDA 6437/8 / 113C - DISCONTINUADO</t>
  </si>
  <si>
    <t>F000.619.022-000</t>
  </si>
  <si>
    <t>EJE DE SALIDA  1147.5 RA F000600315 OBSO</t>
  </si>
  <si>
    <t>F000.619.026-000</t>
  </si>
  <si>
    <t>HUSILLO DE LA BROCA 1548</t>
  </si>
  <si>
    <t>F000.619.030-000</t>
  </si>
  <si>
    <t>HUSILLO PORTAMUELA 1H31</t>
  </si>
  <si>
    <t>F000.619.032-000</t>
  </si>
  <si>
    <t>HUSILLO 6642/6640/6644</t>
  </si>
  <si>
    <t>F000.619.034-000</t>
  </si>
  <si>
    <t>HUSILLO GKS 7 1/4</t>
  </si>
  <si>
    <t>F000.619.048-000</t>
  </si>
  <si>
    <t>EJE/HUSILLO 113D/113E/6555/11A0.2</t>
  </si>
  <si>
    <t>F000.619.050-000</t>
  </si>
  <si>
    <t>HUSILLO 6460/6462/6455/6400/6402</t>
  </si>
  <si>
    <t>F000.619.052-000</t>
  </si>
  <si>
    <t>F000.619.061-000</t>
  </si>
  <si>
    <t>HUSILLO AMOLADOR 9002</t>
  </si>
  <si>
    <t>F000.619.064-000</t>
  </si>
  <si>
    <t>EJE 3320</t>
  </si>
  <si>
    <t>F000.619.065-000</t>
  </si>
  <si>
    <t>ARBOL PRIMARIO 3320</t>
  </si>
  <si>
    <t>F000.619.066-000</t>
  </si>
  <si>
    <t>HUSILLO 9071</t>
  </si>
  <si>
    <t>F000.619.067-000</t>
  </si>
  <si>
    <t>CAJA DE ENGRANAJES 6570</t>
  </si>
  <si>
    <t>F000.619.068-000</t>
  </si>
  <si>
    <t>HUSILLO 6570</t>
  </si>
  <si>
    <t>F000.619.069-000</t>
  </si>
  <si>
    <t>HUSILLO 6660/6662/6664</t>
  </si>
  <si>
    <t>F000.619.076-000</t>
  </si>
  <si>
    <t>Husillo</t>
  </si>
  <si>
    <t>F000.619.083-000</t>
  </si>
  <si>
    <t>PLACA DE ARRASTRE 1559</t>
  </si>
  <si>
    <t>F000.619.093-000</t>
  </si>
  <si>
    <t>CONJ. PORTA HERRAMIENTA 1859</t>
  </si>
  <si>
    <t>F000.619.094-000</t>
  </si>
  <si>
    <t>HUSILLO 6550/6552/6554</t>
  </si>
  <si>
    <t>F000.619.096-000</t>
  </si>
  <si>
    <t>HUSILLO PORTAMUELA 1B83.1</t>
  </si>
  <si>
    <t>F000.620.001-000</t>
  </si>
  <si>
    <t>MUELLE DE COMPRESSION 5300/5401</t>
  </si>
  <si>
    <t>F000.620.002-000</t>
  </si>
  <si>
    <t>RESORTE DE COMPRESION</t>
  </si>
  <si>
    <t>F000.620.003-000</t>
  </si>
  <si>
    <t>F000.620.006-000</t>
  </si>
  <si>
    <t>F000.620.007-000</t>
  </si>
  <si>
    <t>RESORTE 1546</t>
  </si>
  <si>
    <t>F000.620.008-000</t>
  </si>
  <si>
    <t>F000.620.010-000</t>
  </si>
  <si>
    <t>F000.620.012-000</t>
  </si>
  <si>
    <t>RESORTE RA 2609000034 RA 2609000034</t>
  </si>
  <si>
    <t>F000.620.013-000</t>
  </si>
  <si>
    <t>RESORTE GDC 14-40</t>
  </si>
  <si>
    <t>F000.620.014-000</t>
  </si>
  <si>
    <t>RESORTE RA 2609000049</t>
  </si>
  <si>
    <t>F000.620.015-000</t>
  </si>
  <si>
    <t>RESORTE 6460/6462/6455 S/R</t>
  </si>
  <si>
    <t>F000.620.017-000</t>
  </si>
  <si>
    <t>MUELLE DE COMPRESION 4750</t>
  </si>
  <si>
    <t>F000.620.018-000</t>
  </si>
  <si>
    <t>F000.620.019-000</t>
  </si>
  <si>
    <t>RESORTE 5601/5801</t>
  </si>
  <si>
    <t>F000.620.020-000</t>
  </si>
  <si>
    <t>RESORTE 5401</t>
  </si>
  <si>
    <t>F000.620.021-000</t>
  </si>
  <si>
    <t>MUELLE ESPIRAL 9071</t>
  </si>
  <si>
    <t>F000.620.022-000</t>
  </si>
  <si>
    <t>F000.620.023-000</t>
  </si>
  <si>
    <t>F000.620.024-000</t>
  </si>
  <si>
    <t>RESORTE 3710</t>
  </si>
  <si>
    <t>F000.620.026-000</t>
  </si>
  <si>
    <t>RESORTE 6570</t>
  </si>
  <si>
    <t>F000.620.027-000</t>
  </si>
  <si>
    <t>RESORTE 6660/6662/6664</t>
  </si>
  <si>
    <t>F000.621.00V-000</t>
  </si>
  <si>
    <t>CARCASA 2511</t>
  </si>
  <si>
    <t>F000.621.01U-000</t>
  </si>
  <si>
    <t>BATERIA SKIL 2611 14,4V</t>
  </si>
  <si>
    <t>F000.621.01Z-000</t>
  </si>
  <si>
    <t>BATERIA 2811</t>
  </si>
  <si>
    <t>F000.621.02G-000</t>
  </si>
  <si>
    <t>BATERIA 2711</t>
  </si>
  <si>
    <t>F000.621.984-000</t>
  </si>
  <si>
    <t>CARCASA 2212</t>
  </si>
  <si>
    <t>F000.621.992-000</t>
  </si>
  <si>
    <t>BATERIA 2212</t>
  </si>
  <si>
    <t>F000.623.004-000</t>
  </si>
  <si>
    <t>CONJ. DE MONTAJE 9777/90 - DISCONTINUADO</t>
  </si>
  <si>
    <t>F000.623.005-000</t>
  </si>
  <si>
    <t>F000.623.007-000</t>
  </si>
  <si>
    <t>SELECTOR PERCUSION 6423 OBSOLETO</t>
  </si>
  <si>
    <t>F000.623.009-000</t>
  </si>
  <si>
    <t>PLACA DE BASE 1548.0</t>
  </si>
  <si>
    <t>F000.623.015-000</t>
  </si>
  <si>
    <t>PLACA BASE 1546</t>
  </si>
  <si>
    <t>F000.623.019-000</t>
  </si>
  <si>
    <t>PLACA DE BASE</t>
  </si>
  <si>
    <t>F000.623.020-000</t>
  </si>
  <si>
    <t>CONMUTADOR  6642/6640/6644</t>
  </si>
  <si>
    <t>F000.623.028-000</t>
  </si>
  <si>
    <t>SUJECION 2120</t>
  </si>
  <si>
    <t>F000.623.030-000</t>
  </si>
  <si>
    <t>CONMUTADOR 6460/6462/6455/6400/6402</t>
  </si>
  <si>
    <t>F000.623.031-000</t>
  </si>
  <si>
    <t>TAMBOR DE EXCENTRICA 6460/62/55/00/02</t>
  </si>
  <si>
    <t>F000.623.032-000</t>
  </si>
  <si>
    <t>BASE 3710</t>
  </si>
  <si>
    <t>F000.623.033-000</t>
  </si>
  <si>
    <t>VARILLAJE 3710</t>
  </si>
  <si>
    <t>F000.623.035-000</t>
  </si>
  <si>
    <t>CONMUTADOR 6570</t>
  </si>
  <si>
    <t>F000.623.037-000</t>
  </si>
  <si>
    <t>SOPORTE 6570</t>
  </si>
  <si>
    <t>F000.623.039-000</t>
  </si>
  <si>
    <t>F000.623.041-000</t>
  </si>
  <si>
    <t>BOTÓN CONMUTADOR 6664</t>
  </si>
  <si>
    <t>F000.623.042-000</t>
  </si>
  <si>
    <t>CONMUTADOR 6660/6662/6664</t>
  </si>
  <si>
    <t>F000.623.045-000</t>
  </si>
  <si>
    <t>ADAPTADOR DE VACIO 4550</t>
  </si>
  <si>
    <t>F000.623.049-000</t>
  </si>
  <si>
    <t>ENCHUFE DEL JACK 4550</t>
  </si>
  <si>
    <t>F000.623.051-000</t>
  </si>
  <si>
    <t>SET DE BASE 4550</t>
  </si>
  <si>
    <t>F000.623.054-000</t>
  </si>
  <si>
    <t>CONMUTADOR RA F000623071</t>
  </si>
  <si>
    <t>F000.623.061-000</t>
  </si>
  <si>
    <t>BOTON 3311</t>
  </si>
  <si>
    <t>F000.623.062-000</t>
  </si>
  <si>
    <t>F000.623.064-000</t>
  </si>
  <si>
    <t>BOTON PULSADOR 2212/2511</t>
  </si>
  <si>
    <t>F000.623.067-000</t>
  </si>
  <si>
    <t>BOTON SELECTOR 1559</t>
  </si>
  <si>
    <t>F000.623.068-000</t>
  </si>
  <si>
    <t>BOTON PULSADOR 2611/2711/2811</t>
  </si>
  <si>
    <t>F000.623.069-000</t>
  </si>
  <si>
    <t>F000.623.074-000</t>
  </si>
  <si>
    <t>BOTON SELECTOR 1859</t>
  </si>
  <si>
    <t>F000.623.075-000</t>
  </si>
  <si>
    <t>CONMUTADOR 1447</t>
  </si>
  <si>
    <t>F000.623.076-000</t>
  </si>
  <si>
    <t>F000.623.077-000</t>
  </si>
  <si>
    <t>F000.624.008-000</t>
  </si>
  <si>
    <t>CARG.BATERIAS 220V 2100/2248 DISCO OBSOL</t>
  </si>
  <si>
    <t>F000.624.014-000</t>
  </si>
  <si>
    <t>CARGADOR BATERIAS 2497/2455</t>
  </si>
  <si>
    <t>F000.624.015-000</t>
  </si>
  <si>
    <t>BATERIA 2455/2497/2897 RX F000624037</t>
  </si>
  <si>
    <t>F000.624.018-000</t>
  </si>
  <si>
    <t>CARGADOR DE BATERIAS 220V P/2000 OBSOLET</t>
  </si>
  <si>
    <t>F000.624.025-000</t>
  </si>
  <si>
    <t>MOTOR 220V 8003</t>
  </si>
  <si>
    <t>F000.624.026-000</t>
  </si>
  <si>
    <t>MOTOR C.C. 2211</t>
  </si>
  <si>
    <t>F000.624.044-000</t>
  </si>
  <si>
    <t>CARGADOR 2212 (127V-NO VENDER) RX 049</t>
  </si>
  <si>
    <t>F000.624.048-000</t>
  </si>
  <si>
    <t>CARGADOR 2212 - 220V</t>
  </si>
  <si>
    <t>F000.624.050-000</t>
  </si>
  <si>
    <t>BATERIA 2511 RX F00062100U</t>
  </si>
  <si>
    <t>F000.624.051-000</t>
  </si>
  <si>
    <t>BASE DE CARGADOR 2511</t>
  </si>
  <si>
    <t>F000.624.052-000</t>
  </si>
  <si>
    <t>CARGADOR 2511 - 120 VOLTS</t>
  </si>
  <si>
    <t>F000.624.053-000</t>
  </si>
  <si>
    <t>CARGADOR 2511 - 220V</t>
  </si>
  <si>
    <t>F000.624.058-000</t>
  </si>
  <si>
    <t>CARGADOR 2611/2711/2811</t>
  </si>
  <si>
    <t>F000.624.059-000</t>
  </si>
  <si>
    <t>CARGADOR SKIL 2511; 2611; 2711; 2212;</t>
  </si>
  <si>
    <t>F000.624.066-000</t>
  </si>
  <si>
    <t>CARGADOR SKIL 2000 - OBSOLETO</t>
  </si>
  <si>
    <t>F000.624.067-000</t>
  </si>
  <si>
    <t>CARGADOR SKIL 2248 - OBSOLETO</t>
  </si>
  <si>
    <t>F000.631.071-000</t>
  </si>
  <si>
    <t>LIJA BANDA SKIL 101,6X914 (3375) X 3 UNI</t>
  </si>
  <si>
    <t>F000.631.072-000</t>
  </si>
  <si>
    <t>DISCO LIJA ADHESIVO 152,4MM (3375) X 5UN</t>
  </si>
  <si>
    <t>F000.631.078-000</t>
  </si>
  <si>
    <t>PLATO DE GOMA 9051</t>
  </si>
  <si>
    <t>F000.632.031-000</t>
  </si>
  <si>
    <t>MANDRIL 1/2"(13 MM) + LLAVE RxF000632019</t>
  </si>
  <si>
    <t>F000.632.057-000</t>
  </si>
  <si>
    <t>MANDRIL 6570</t>
  </si>
  <si>
    <t>F000.632.059-000</t>
  </si>
  <si>
    <t>LLAVE MANDRIL 6570</t>
  </si>
  <si>
    <t>F000.632.293-000</t>
  </si>
  <si>
    <t>DESTORNILL.HEXAG.INTERIOR 4550</t>
  </si>
  <si>
    <t>F000.632.296-000</t>
  </si>
  <si>
    <t>MANDRIL 2212/2511</t>
  </si>
  <si>
    <t>F000.632.297-000</t>
  </si>
  <si>
    <t>MANDRIL 2711/2811</t>
  </si>
  <si>
    <t>F000.633.006-000</t>
  </si>
  <si>
    <t>CUBIERTA PROTECTORA 9790 RX 2605.510.298</t>
  </si>
  <si>
    <t>F000.633.012-000</t>
  </si>
  <si>
    <t>F000.633.016-000</t>
  </si>
  <si>
    <t>CUBREDISCO MOVIL 1546 RX F000633046-000</t>
  </si>
  <si>
    <t>F000.633.029-000</t>
  </si>
  <si>
    <t>BOTON PULSADOR 4751</t>
  </si>
  <si>
    <t>F000.633.030-000</t>
  </si>
  <si>
    <t>MANIVELA OSCILANTE 4750</t>
  </si>
  <si>
    <t>F000.633.038-000</t>
  </si>
  <si>
    <t>F000.633.039-000</t>
  </si>
  <si>
    <t>F000.633.040-000</t>
  </si>
  <si>
    <t>CARRO DE GUIA 3610</t>
  </si>
  <si>
    <t>F000.633.041-000</t>
  </si>
  <si>
    <t>MANGO 6570</t>
  </si>
  <si>
    <t>F000.633.044-000</t>
  </si>
  <si>
    <t>TOPE PARALELO 4550</t>
  </si>
  <si>
    <t>F000.633.055-000</t>
  </si>
  <si>
    <t>MANGO DE HERRAMIENTAS 1859</t>
  </si>
  <si>
    <t>F000.633.057-000</t>
  </si>
  <si>
    <t>CUBO</t>
  </si>
  <si>
    <t>F000.634.050-000</t>
  </si>
  <si>
    <t>LLAVE PARA DESMONTAJE</t>
  </si>
  <si>
    <t>F000.634.145-000</t>
  </si>
  <si>
    <t>DOSIFICADOR DE AGUA 1548 RXF000634146</t>
  </si>
  <si>
    <t>F000.634.146-000</t>
  </si>
  <si>
    <t>CANILLA 1548 RA F000634145</t>
  </si>
  <si>
    <t>F000.635.045-000</t>
  </si>
  <si>
    <t>TUERCA REDONDA P/ GPO 14 E RA1603345004</t>
  </si>
  <si>
    <t>F000.635.074-000</t>
  </si>
  <si>
    <t>F000.635.092-000</t>
  </si>
  <si>
    <t>ARAND.184/94/1215/1587/51RA2600150004</t>
  </si>
  <si>
    <t>F000.635.095-000</t>
  </si>
  <si>
    <t>BUJE 3230 RA 2600301049 - DISCONTINUADO</t>
  </si>
  <si>
    <t>F000.635.117-000</t>
  </si>
  <si>
    <t>TUERCA PARA FIJAR DISCO DE GOMA</t>
  </si>
  <si>
    <t>F000.635.118-000</t>
  </si>
  <si>
    <t>F000.635.152-000</t>
  </si>
  <si>
    <t>TUERCA BLANCA P/AMOLADORAS RX 1603345043</t>
  </si>
  <si>
    <t>F000.635.161-000</t>
  </si>
  <si>
    <t>INDUCIDO VENT  9762 - DISCONTINUADO</t>
  </si>
  <si>
    <t>F000.635.165-000</t>
  </si>
  <si>
    <t>RESORTE 1751/2/3/4/5/6.0.4 RX 1604652019</t>
  </si>
  <si>
    <t>F000.635.180-000</t>
  </si>
  <si>
    <t>PIÑON 1347.1 RA 1606333216</t>
  </si>
  <si>
    <t>F000.635.186-000</t>
  </si>
  <si>
    <t>LLAVE PERNOS AMOL. M14 RXF000632033</t>
  </si>
  <si>
    <t>F000.635.207-000</t>
  </si>
  <si>
    <t>TOPE DE PROFUNDIDAD SW 6X210 MM 1B28.1</t>
  </si>
  <si>
    <t>F000.635.217-000</t>
  </si>
  <si>
    <t>SUJETADOR DE CABLE 1B83.1</t>
  </si>
  <si>
    <t>F000.635.232-000</t>
  </si>
  <si>
    <t>RESORTE 11210/1587/3335 RA 2604613000</t>
  </si>
  <si>
    <t>F000.635.236-000</t>
  </si>
  <si>
    <t>BRIDA INTERMEDIA 1163.1 OBSOLETO</t>
  </si>
  <si>
    <t>F000.635.239-000</t>
  </si>
  <si>
    <t>CAJA DE ENGRANAJES 1163 RA2605806365</t>
  </si>
  <si>
    <t>F000.635.240-000</t>
  </si>
  <si>
    <t>CARCASA ENGRANAJE 1184/94 OBSOLETO</t>
  </si>
  <si>
    <t>F000.635.242-000</t>
  </si>
  <si>
    <t>HUSILLO 1169 RA 26063135011</t>
  </si>
  <si>
    <t>F000.635.245-000</t>
  </si>
  <si>
    <t>EJE C/ENGRANAJE</t>
  </si>
  <si>
    <t>F000.635.246-000</t>
  </si>
  <si>
    <t>EJE 1184.1/1194.5 OBSOLETO</t>
  </si>
  <si>
    <t>F000.635.252-000</t>
  </si>
  <si>
    <t>ENGRANAJE 1184 / 94</t>
  </si>
  <si>
    <t>F000.635.263-000</t>
  </si>
  <si>
    <t>EJE 1215.0/7/ 7252.1 RA 3603523008</t>
  </si>
  <si>
    <t>F000.635.264-000</t>
  </si>
  <si>
    <t>CABEZAL 1215078/.7 RA 3605806053</t>
  </si>
  <si>
    <t>F000.635.276-000</t>
  </si>
  <si>
    <t>EMPUÑADURA AUXILIAR AMOLADORAS 7"/9"(M14</t>
  </si>
  <si>
    <t>F000.635.317-000</t>
  </si>
  <si>
    <t>BRIDA 1347 RA1605805070</t>
  </si>
  <si>
    <t>F000.635.394-000</t>
  </si>
  <si>
    <t>ENGRANAJE 1184/94 RA2606317045</t>
  </si>
  <si>
    <t>F000.635.416-000</t>
  </si>
  <si>
    <t>ESTATOR 220V 1351 - OBSOLETO</t>
  </si>
  <si>
    <t>F000.635.453-000</t>
  </si>
  <si>
    <t>BRIDA INTERMEDIA OBSOLETO</t>
  </si>
  <si>
    <t>F000.635.459-000</t>
  </si>
  <si>
    <t>SOPORTE RX 1605805137</t>
  </si>
  <si>
    <t>F000.635.461-000</t>
  </si>
  <si>
    <t>BRIDA1321.4-22-31-32 DISCONTINUADO.</t>
  </si>
  <si>
    <t>F000.635.463-000</t>
  </si>
  <si>
    <t>SOPORTE 1357 RA1605805065 - DISCONT.</t>
  </si>
  <si>
    <t>F000.635.465-000</t>
  </si>
  <si>
    <t>CARCASA ENGRENAJE OBSOLETO</t>
  </si>
  <si>
    <t>F000.635.702-000</t>
  </si>
  <si>
    <t>PIÑON 1752.4/1754.4/1756.4 OBSOLETO</t>
  </si>
  <si>
    <t>F000.635.712-000</t>
  </si>
  <si>
    <t>CORONA C/ EJE 9230</t>
  </si>
  <si>
    <t>F000.635.713-000</t>
  </si>
  <si>
    <t>INDUCIDO 9230 - RX F000605086</t>
  </si>
  <si>
    <t>F000.640.007-000</t>
  </si>
  <si>
    <t>ANILLO 1546/1676.0</t>
  </si>
  <si>
    <t>F000.640.008-000</t>
  </si>
  <si>
    <t>JUNTA TORICA 1548.4</t>
  </si>
  <si>
    <t>F002.G31.025-000</t>
  </si>
  <si>
    <t>TORNILLO 1980</t>
  </si>
  <si>
    <t>F002.G31.065-000</t>
  </si>
  <si>
    <t>TAPA 1980 RX F002G31245</t>
  </si>
  <si>
    <t>F002.G31.245-000</t>
  </si>
  <si>
    <t>TAPA 1980 RA F002G31065</t>
  </si>
  <si>
    <t>F006230770-00</t>
  </si>
  <si>
    <t>F006.230.770-00</t>
  </si>
  <si>
    <t>CARBONES (2pc) 175x/18Ax/17A1/2</t>
  </si>
  <si>
    <t>F012.200.000-000</t>
  </si>
  <si>
    <t>REPUESTO SKIL 2000 DISCONT</t>
  </si>
  <si>
    <t>F012.210.0BA-000</t>
  </si>
  <si>
    <t>BATERIA 2100 - DISCONTINUADO</t>
  </si>
  <si>
    <t>F012.210.0IN-000</t>
  </si>
  <si>
    <t>INTERRUPTOR 2100 - DISCONTINUADO</t>
  </si>
  <si>
    <t>F012.224.856-000</t>
  </si>
  <si>
    <t>REPUESTO HERRAMIENTA 2248 DISCONTINUADO</t>
  </si>
  <si>
    <t>F012.224.8CA-000</t>
  </si>
  <si>
    <t>Cargador Ator. 4,8v SKIL 2248 - DISCONT.</t>
  </si>
  <si>
    <t>F012.224.8IN-000</t>
  </si>
  <si>
    <t>INTERRUPTOR 2248 - DISCONTINUADO</t>
  </si>
  <si>
    <t>F012.225.500-000</t>
  </si>
  <si>
    <t>REPUESTO HERRAMIENTA 2255 9,6V - DISCONT</t>
  </si>
  <si>
    <t>F012.225.5CR-000</t>
  </si>
  <si>
    <t>CARCASA 2255</t>
  </si>
  <si>
    <t>F012.233.0BA-000</t>
  </si>
  <si>
    <t>BATERIA 9,6V 2330 DISCONTINUADO.</t>
  </si>
  <si>
    <t>F012.233.0CA-000</t>
  </si>
  <si>
    <t>CARGADOR 2330 obsoleto</t>
  </si>
  <si>
    <t>F012.233.0CR-000</t>
  </si>
  <si>
    <t>CARCASA 2330 - DISCONTINUADO</t>
  </si>
  <si>
    <t>F012.233.0CT-000</t>
  </si>
  <si>
    <t>CONTROLADOR TORQUE 2330</t>
  </si>
  <si>
    <t>F012.233.0IN-000</t>
  </si>
  <si>
    <t>INTERRUPTOR 2330 - DISCONTINUADO</t>
  </si>
  <si>
    <t>F012.233.0MO-000</t>
  </si>
  <si>
    <t>MOTOR 9,6V 2330</t>
  </si>
  <si>
    <t>F012.233.5CR-000</t>
  </si>
  <si>
    <t>CARCASA SKIL 2335 - DISCONTINUADO</t>
  </si>
  <si>
    <t>F012.233.5IN-000</t>
  </si>
  <si>
    <t>INTERRUPTOR SKIL 2335 DISCONTINUADO</t>
  </si>
  <si>
    <t>F012.233.5MO-000</t>
  </si>
  <si>
    <t>MOTOR SKIL 2335 - DISCONTINUADO</t>
  </si>
  <si>
    <t>F012.235.500-000</t>
  </si>
  <si>
    <t>REPUESTO HERRAMIENTA 2355 DISCONT</t>
  </si>
  <si>
    <t>F012.235.5BA-000</t>
  </si>
  <si>
    <t>BATERIA 2355 Rx2610393855</t>
  </si>
  <si>
    <t>F012.235.5CR-000</t>
  </si>
  <si>
    <t>CARCASA 2355 - DISCONTINUADO</t>
  </si>
  <si>
    <t>F012.235.5CT-000</t>
  </si>
  <si>
    <t>CONTROLADOR DE TORQUE 2355</t>
  </si>
  <si>
    <t>F012.235.5IN-000</t>
  </si>
  <si>
    <t>INTERRUPTOR 2355</t>
  </si>
  <si>
    <t>F012.245.500-000</t>
  </si>
  <si>
    <t>REPUESTO HERRAMIENTA 2455 DISCONT</t>
  </si>
  <si>
    <t>F012.245.5BA-000</t>
  </si>
  <si>
    <t>BATERIA 2455 Rx2610393858</t>
  </si>
  <si>
    <t>F012.245.5CR-000</t>
  </si>
  <si>
    <t>CARCASA 2455 - DISCONTINUADO</t>
  </si>
  <si>
    <t>F012.245.5IN-000</t>
  </si>
  <si>
    <t>INTERRUPTOR 2455 - DISCONTINUADO</t>
  </si>
  <si>
    <t>F012.800.3CA-000</t>
  </si>
  <si>
    <t>F012.800.3MO-000</t>
  </si>
  <si>
    <t>MOTOR  8003</t>
  </si>
  <si>
    <t>F016.102.096-000</t>
  </si>
  <si>
    <t>TORNILLO CUCHILLA 0899.0</t>
  </si>
  <si>
    <t>F016.102.289-000</t>
  </si>
  <si>
    <t>INTERRUPTOR 0887.0/0889.0</t>
  </si>
  <si>
    <t>F016.102.328-000</t>
  </si>
  <si>
    <t>VENTILADOR 0899.0</t>
  </si>
  <si>
    <t>F016.102.356-000</t>
  </si>
  <si>
    <t>TAPA CORREA MOTRIZ 0889.0</t>
  </si>
  <si>
    <t>F016.102.357-000</t>
  </si>
  <si>
    <t>POLEA 0889.0</t>
  </si>
  <si>
    <t>F016.102.358-000</t>
  </si>
  <si>
    <t>CORREA MOTRIZ 0889.0</t>
  </si>
  <si>
    <t>F016.102.365-000</t>
  </si>
  <si>
    <t>VENTILADOR CON LEVA 0887.0</t>
  </si>
  <si>
    <t>F016.102.390-000</t>
  </si>
  <si>
    <t>CUCHILLAS 0887 RX 1619X04550</t>
  </si>
  <si>
    <t>F016.102.403-000</t>
  </si>
  <si>
    <t>F016.102.407-000</t>
  </si>
  <si>
    <t>ARO RANURADO  AHR-1100 OBSOLETO</t>
  </si>
  <si>
    <t>F016.102.409-000</t>
  </si>
  <si>
    <t>RACOR DE EMPALME  AHR-1100</t>
  </si>
  <si>
    <t>F016.102.414-000</t>
  </si>
  <si>
    <t>F016.102.417-000</t>
  </si>
  <si>
    <t>CUBIERTA PROTECTORA  AHR-1100</t>
  </si>
  <si>
    <t>F016.102.418-000</t>
  </si>
  <si>
    <t>INTERRUPTOR  AHR-1100</t>
  </si>
  <si>
    <t>F016.102.419-000</t>
  </si>
  <si>
    <t>SOPORTE  AHR-1100 OBSOLETO</t>
  </si>
  <si>
    <t>F016.102.420-000</t>
  </si>
  <si>
    <t>PRENSA CABLE  AHR-1100</t>
  </si>
  <si>
    <t>F016.102.421-000</t>
  </si>
  <si>
    <t>VALVULA DE RETENCION  AHR-1100</t>
  </si>
  <si>
    <t>F016.102.422-000</t>
  </si>
  <si>
    <t>PIEZA GUIA   AHR-1100</t>
  </si>
  <si>
    <t>F016.102.423-000</t>
  </si>
  <si>
    <t>MUELLE COMPRESION  AHR-1100</t>
  </si>
  <si>
    <t>F016.102.424-000</t>
  </si>
  <si>
    <t>EMBOLO  AHR-1100</t>
  </si>
  <si>
    <t>F016.102.425-000</t>
  </si>
  <si>
    <t>F016.102.427-000</t>
  </si>
  <si>
    <t>TAPON CULATA  AHR-1100</t>
  </si>
  <si>
    <t>F016.102.428-000</t>
  </si>
  <si>
    <t>VALVULA PRESION  AHR-1100</t>
  </si>
  <si>
    <t>F016.102.429-000</t>
  </si>
  <si>
    <t>F016.102.430-000</t>
  </si>
  <si>
    <t>CASQUILLO  AHR-1100</t>
  </si>
  <si>
    <t>F016.102.431-000</t>
  </si>
  <si>
    <t>VALVULA  AHR-1100</t>
  </si>
  <si>
    <t>F016.102.432-000</t>
  </si>
  <si>
    <t>CULATA  AHR-1100</t>
  </si>
  <si>
    <t>F016.102.433-000</t>
  </si>
  <si>
    <t>VENTILADOR  AHR-1100</t>
  </si>
  <si>
    <t>F016.102.435-000</t>
  </si>
  <si>
    <t>F016.102.436-000</t>
  </si>
  <si>
    <t>ACOPLAMIENTO  AHR-900</t>
  </si>
  <si>
    <t>F016.102.437-000</t>
  </si>
  <si>
    <t>ENVOLVENTE DE VENTILADOR  AHR-1100</t>
  </si>
  <si>
    <t>F016.102.439-000</t>
  </si>
  <si>
    <t>TAPA COJINETE  AHR-1100</t>
  </si>
  <si>
    <t>F016.102.454-000</t>
  </si>
  <si>
    <t>VALVULA BY´PASS   AHR-1100 OBSOLETO</t>
  </si>
  <si>
    <t>F016.102.455-000</t>
  </si>
  <si>
    <t>CAJA INTERRUPTOR  AHR-1100</t>
  </si>
  <si>
    <t>F016.102.456-000</t>
  </si>
  <si>
    <t>MANOMETRO  AHR-1100</t>
  </si>
  <si>
    <t>F016.102.471-000</t>
  </si>
  <si>
    <t>TOBERA  AHR 1100 - ORIGINAL  DISCONT.</t>
  </si>
  <si>
    <t>F016.102.474-000</t>
  </si>
  <si>
    <t>DOSIFICADOR DE DETERGENTE AHR 1100 DISC.</t>
  </si>
  <si>
    <t>F016.102.477-000</t>
  </si>
  <si>
    <t>TOBERA AHR 1100 C. CIRCULAR DISCONT.</t>
  </si>
  <si>
    <t>F016.102.483-000</t>
  </si>
  <si>
    <t>ARANDELA   AHR-1100</t>
  </si>
  <si>
    <t>F016.102.490-000</t>
  </si>
  <si>
    <t>CARCASA  AHR-1100</t>
  </si>
  <si>
    <t>F016.102.496-000</t>
  </si>
  <si>
    <t>CARCASA .AHR-1100</t>
  </si>
  <si>
    <t>F016.102.511-000</t>
  </si>
  <si>
    <t>F016.102.514-000</t>
  </si>
  <si>
    <t>MANGUERA  AHR 1100 DISCONT.</t>
  </si>
  <si>
    <t>F016.102.519-000</t>
  </si>
  <si>
    <t>F016.102.530-000</t>
  </si>
  <si>
    <t>ANILLLO TOROIDAL  AHR-1100</t>
  </si>
  <si>
    <t>F016.102.642-000</t>
  </si>
  <si>
    <t>CONDENSADOR  AHR-1100</t>
  </si>
  <si>
    <t>F016.102.658-000</t>
  </si>
  <si>
    <t>PORTACARRETEL BORD 821/2 RA 1607000950</t>
  </si>
  <si>
    <t>F016.102.666-000</t>
  </si>
  <si>
    <t>MANIJA (NUEVA) AHR-1100</t>
  </si>
  <si>
    <t>F016.102.667-000</t>
  </si>
  <si>
    <t>MANGUERA (NUEVA)  AHR-1100</t>
  </si>
  <si>
    <t>F016.102.703-000</t>
  </si>
  <si>
    <t>ASIENTO DE VALVULA  AHR-1100</t>
  </si>
  <si>
    <t>F016.102.751-000</t>
  </si>
  <si>
    <t>VARILLAS 0889</t>
  </si>
  <si>
    <t>F016.102.772-000</t>
  </si>
  <si>
    <t>CUCHILLA 0889.0</t>
  </si>
  <si>
    <t>F016.102.782-000</t>
  </si>
  <si>
    <t>REGULADOR ALTURA 0889</t>
  </si>
  <si>
    <t>F016.102.795-000</t>
  </si>
  <si>
    <t>TOBERA (NUEVA) AHR-1100</t>
  </si>
  <si>
    <t>F016.103.136-000</t>
  </si>
  <si>
    <t>CAJA INTERRUPTOR 0889/0899</t>
  </si>
  <si>
    <t>F016.800.012-000</t>
  </si>
  <si>
    <t>Cuchillas 0899.0 Discont.</t>
  </si>
  <si>
    <t>F016.L37.433-000</t>
  </si>
  <si>
    <t>Tornillo ventilador 0887.0/0889.0</t>
  </si>
  <si>
    <t>F016.L59.335-000</t>
  </si>
  <si>
    <t>MOTOR 0899.0</t>
  </si>
  <si>
    <t>F016.L61.536-000</t>
  </si>
  <si>
    <t>TAPA DE CADENA 0870</t>
  </si>
  <si>
    <t>F016.L61.773-000</t>
  </si>
  <si>
    <t>Tapa de cierre 0899.0</t>
  </si>
  <si>
    <t>F016.L62.216-000</t>
  </si>
  <si>
    <t>REGULADOR ALTURA RUEDAS 0899</t>
  </si>
  <si>
    <t>F016.L62.217-000</t>
  </si>
  <si>
    <t>F016.L62.270-000</t>
  </si>
  <si>
    <t>RUEDAS 0889</t>
  </si>
  <si>
    <t>F016.L62.280-000</t>
  </si>
  <si>
    <t>PIÑON 0889.0</t>
  </si>
  <si>
    <t>F016.L62.282-000</t>
  </si>
  <si>
    <t>RODILLO APOYO 0889</t>
  </si>
  <si>
    <t>F016.L62.292-000</t>
  </si>
  <si>
    <t>MANGO 0889</t>
  </si>
  <si>
    <t>F016.L62.299-000</t>
  </si>
  <si>
    <t>TAPA DE CIERRE 0889.0</t>
  </si>
  <si>
    <t>F016.L62.300-000</t>
  </si>
  <si>
    <t>RECIPIENTE DE CESPED 0889.0</t>
  </si>
  <si>
    <t>F016.L62.352-000</t>
  </si>
  <si>
    <t>CUERPO SUP. DE MOTOR 0887.</t>
  </si>
  <si>
    <t>F016.L62.356-000</t>
  </si>
  <si>
    <t>PERNO 0887.0</t>
  </si>
  <si>
    <t>F016.L62.466-000</t>
  </si>
  <si>
    <t>CUERPO DE FILTRO 0887.0</t>
  </si>
  <si>
    <t>F016.L62.486-000</t>
  </si>
  <si>
    <t>CILINDRO 0889.0</t>
  </si>
  <si>
    <t>F016.L62.699-000</t>
  </si>
  <si>
    <t>MONTURA 0887.0</t>
  </si>
  <si>
    <t>F016.L62.806-000</t>
  </si>
  <si>
    <t>RECIPIENTE DE CESPED 0899.0</t>
  </si>
  <si>
    <t>F016.L65.676-000</t>
  </si>
  <si>
    <t>PALANCA DE AJUSTE 0887/0889</t>
  </si>
  <si>
    <t>F016.L80.968-000</t>
  </si>
  <si>
    <t>MOTOR 0887.0</t>
  </si>
  <si>
    <t>F016.T49.902-000</t>
  </si>
  <si>
    <t>TIRADOR 0899 DISCONT.</t>
  </si>
  <si>
    <t>RENTABILIDAD 65 %</t>
  </si>
  <si>
    <t>ATORNILLADOR BOSCH GDX 180-LI DE IMPACTO 06019G52H0</t>
  </si>
  <si>
    <t>ATORNILLADOR BOSCH GSB 180 LI CON PERCUSION (1 BATERIA) 06019F83H3</t>
  </si>
  <si>
    <t>ATORNILLADOR BOSCH GSB 180 LI CON PERCUSION (2 BATERIAS) 06019F83H0</t>
  </si>
  <si>
    <t>ATORNILLADOR BOSCH GSB 120 2-LI SMART C/PERCUSION 06019G81H0</t>
  </si>
  <si>
    <t>ATORNILLADOR BOSCH GSB 18V-50 BT SIN BATERIA 06019H51E2</t>
  </si>
  <si>
    <t>ATORNILLADOR BOSCH GSR 1000 SMART 06019F40H2</t>
  </si>
  <si>
    <t>ATORNILLADOR BOSCH GSR 120 2-LI SMART S/PERCUSION 06019G80H0</t>
  </si>
  <si>
    <t>ATORNILLADOR BOSCH GSR 180 LI SIN PERCUSION (2 BATERIAS) 06019F81H0</t>
  </si>
  <si>
    <t>FRESADORA BOSCH GKF 550 06016A00H0</t>
  </si>
  <si>
    <t>FRESADORA BOSCH GOF 1600 CE 06016240H0</t>
  </si>
  <si>
    <t>FRESADORA SKIL 1831 1100W F0121831JB</t>
  </si>
  <si>
    <t>INGLETADORA BOSCH GCM 12 GDL 0601B236H0</t>
  </si>
  <si>
    <t>INGLETADORA BOSCH GCM 10 X 0601B150H0</t>
  </si>
  <si>
    <t>INGLETADORA SKIL 3310 F0123310JB</t>
  </si>
  <si>
    <t>INGLETADORA SKIL 3311 TELESCOPICA F0123311JB</t>
  </si>
  <si>
    <t>LIJADORA DE BANDA SKIL 7640 F0127640JB</t>
  </si>
  <si>
    <t>LIJADORA DE PALMA BOSCH GSS 140 06012A80H0</t>
  </si>
  <si>
    <t>LIJADORA ORBITAL BOSCH GSS 23 AE 06010707H0</t>
  </si>
  <si>
    <t>MARTILLO DEM. BOSCH GSH 5 (11337) 06113370H0</t>
  </si>
  <si>
    <t>MARTILLO DEM. BOSCH GSH 5 CE (11321) 06113210H0</t>
  </si>
  <si>
    <t>MARTILLO DEM. BOSCH GSH 500 06113387H0</t>
  </si>
  <si>
    <t>MARTILLO DEM. BOSCH GSH 11 E (11316) 06113168H0</t>
  </si>
  <si>
    <t>MARTILLO DEM. BOSCH GSH 11 VC (11336) 06113360H0</t>
  </si>
  <si>
    <t>MARTILLO DEM. BOSCH GSH 27 VC (11304) 061130A0H0</t>
  </si>
  <si>
    <t>MARTILLO DEM. BOSCH GSH 16-28 (11335) 06113350H0</t>
  </si>
  <si>
    <t>MARTILLO PERF. BOSCH GBH 220 06112A60H0</t>
  </si>
  <si>
    <t>MARTILLO PERF. BOSCH GBH 2-24 D 06112A00H0</t>
  </si>
  <si>
    <t>MARTILLO PERF. BOSCH GBH 2-24 DF 06112A02H3</t>
  </si>
  <si>
    <t>MARTILLO PERF. BOSCH GBH 2-26 DRE (11253) 06112537H0</t>
  </si>
  <si>
    <t>MARTILLO PERF. BOSCH GBH 2-28 D 850 W 06112673H0</t>
  </si>
  <si>
    <t>MARTILLO PERF. BOSCH GBH 3-28 DRE 061123A0H0</t>
  </si>
  <si>
    <t>MARTILLO PERF. DEM. BOSCH GBH 5-40 D (11269) 06112690H0</t>
  </si>
  <si>
    <t>MARTILLO PERF. DEM. BOSCH GBH 5-40 DCE (11264) 06112640H0</t>
  </si>
  <si>
    <t>MARTILLO PERF. DEM. BOSCH GBH 8-45 D 06112640H0</t>
  </si>
  <si>
    <t>MARTILLO PERF. DEM. BOSCH GBH 8-45 DV (11265) 06112650H0</t>
  </si>
  <si>
    <t>MARTILLO PERF. DEM. BOSCH GBH 12-52 DV (11266) 06112660H0</t>
  </si>
  <si>
    <t>MARTILLO PERF. SKIL 1859 JB F0121859JB</t>
  </si>
  <si>
    <t>MEDIDOR DE DISTANCIA LASER BOSCH GLM40 0601072900</t>
  </si>
  <si>
    <t>MEDIDOR DE DISTANCIA LASER BOSCH GLM50 C 0601072C00</t>
  </si>
  <si>
    <t>MEDIDOR DE DISTANCIA LASER BOSCH GLM50-12 0601072RG0</t>
  </si>
  <si>
    <t>MEDIDOR DE DISTANCIA LASER BOSCH GLM50-27 CG 0601072U00</t>
  </si>
  <si>
    <t>MEDIDOR DE DISTANCIA LASER BOSCH GLM120 C 0601072FG0</t>
  </si>
  <si>
    <t>NIVEL LASER BOSCH GCL 2-15 C/SOPORTE Y MALETIN 0601066E02</t>
  </si>
  <si>
    <t>NIVEL LASER BOSCH GCL 2-15 GREEN C/SOPORTE Y MALETIN 0601066J00</t>
  </si>
  <si>
    <t>NIVEL LASER BOSCH GLL 2-12 GREEN 0601063VD0</t>
  </si>
  <si>
    <t>NIVEL LASER BOSCH GLL 2-12 ROJO 0601063BG0</t>
  </si>
  <si>
    <t>NIVEL LASER BOSCH GLL 2-15 G C/SOPORTE 0601063W02</t>
  </si>
  <si>
    <t>NIVEL LASER BOSCH GLL 2-20 G C/TRIPODE 0601065001</t>
  </si>
  <si>
    <t>NIVEL LASER BOSCH GLL 3-80 0601063S00</t>
  </si>
  <si>
    <t>NIVEL LASER BOSCH GLL 3-80 G SOLO 0601063Y00</t>
  </si>
  <si>
    <t>NIVEL LASER BOSCH GLL 3-80 CG C/RECEPTOR LR7 SIN TRIPODE NI SOPORTE 0601063T01</t>
  </si>
  <si>
    <t>NIVEL OPTICO BOSCH GOL 26 D 0601068000</t>
  </si>
  <si>
    <t>NIVEL LASER BOSCH GTL 3 0601015200</t>
  </si>
  <si>
    <t>NIVEL LASER BOSCH NIVELOX 3 LINEAS 0601063XG0</t>
  </si>
  <si>
    <t>ODOMETRO BOSCH GWM 32 0601074000</t>
  </si>
  <si>
    <t>PISTOLA DE CALOR BOSCH GHG 180 060194D0H0</t>
  </si>
  <si>
    <t>PISTOLA DE CALOR SKIL 8003 F0128003JB</t>
  </si>
  <si>
    <t>PISTOLA DE CALOR SKIL 8003 C/MALETIN Y 4 BOQUILLAS F0128003JF</t>
  </si>
  <si>
    <t>PULIDORA SKIL 7" 1300 W 9071JF CON MALETIN F0129071JF</t>
  </si>
  <si>
    <t>REGLA BOSCH GR 500 PARA GRADUAR NIVEL OPTICO 0601094300</t>
  </si>
  <si>
    <t>SENSITIVA BOSCH GCO 14-24 0601B370H0</t>
  </si>
  <si>
    <t>SIERRA CALADORA BOSCH GST700 06012A70H0</t>
  </si>
  <si>
    <t>SIERRA CALADORA BOSCH GST75 E 060158H0H0</t>
  </si>
  <si>
    <t>SIERRA CALADORA SKIL 4400 F0124400JB</t>
  </si>
  <si>
    <t>SIERRA CALADORA SKIL 4550 JB SIN MALETIN F0124550JB</t>
  </si>
  <si>
    <t>SIERRA CIRCULAR BOSCH DE MESA GTS 10 J 0601B305H0</t>
  </si>
  <si>
    <t>VIBRADOR BOSCH GVC 22 EX C/MANGUERA 06012831H1</t>
  </si>
  <si>
    <t>SIERRA CIRCULAR BOSCH GKS 150 7 1/4" 1500 W 06016B30H0</t>
  </si>
  <si>
    <t>SIERRA CIRCULAR BOSCH GKS 150 7 1/4" 1500 W C/BOLSO 06016B30H2</t>
  </si>
  <si>
    <t>SIERRA CIRCULAR BOSCH GKS 20-65 7 1/4" 2000 W 06016B20H0</t>
  </si>
  <si>
    <t>SIERRA CIRCULAR BOSCH GKS 18V-68 GC INALAMBRICA SIN BATERIA 06016B51E0</t>
  </si>
  <si>
    <t>SIERRA CIRCULAR BOSCH GKS 235 9" (157A) 060157A0H0</t>
  </si>
  <si>
    <t>SIERRA CIRCULAR SKIL 7 1/4" 5200 F0125200JB</t>
  </si>
  <si>
    <t>SIERRA CIRCULAR SKIL 7 1/4" 5402 F0125402JB</t>
  </si>
  <si>
    <t>SIERRA CIRCULAR SKIL 7 1/4" 5402 C/BOLSO F0125402JF</t>
  </si>
  <si>
    <t>SIERRA DE BANCO BOSCH GTS 254 0601B450H0</t>
  </si>
  <si>
    <t>SOPORTE BOSCH BM1 PARA NIVEL LASER 0601015A01</t>
  </si>
  <si>
    <t>SOPORTE BOSCH BM3 PARA NIVEL LASER 0601015D00</t>
  </si>
  <si>
    <t>TALADRO BOSCH GSB 13 RE CON MALETIN 06012B80H1</t>
  </si>
  <si>
    <t>TALADRO BOSCH GSB 16 RE CON MALETIN 06012B90H1</t>
  </si>
  <si>
    <t>TALADRO BOSCH GBM 16-2 RE SIN PERCUSION 06011B80H0</t>
  </si>
  <si>
    <t>TALADRO SKIL C/PERCUSION 13 MM - MODELO 6060/6660 F0126060JB</t>
  </si>
  <si>
    <t>TALADRO SKIL C/PERCUSION 13 MM - MODELO 6555 F0126555JB</t>
  </si>
  <si>
    <t>TRIPODE BOSCH BT 150 0601096B00</t>
  </si>
  <si>
    <t>TRIPODE BOSCH BT 160 0601091200</t>
  </si>
  <si>
    <t>VER GABRIEL ESLINGAR</t>
  </si>
  <si>
    <t>TRITURADORA DE CASCOTE CON EQUIPO DE LUBRICACION S/MOTOR</t>
  </si>
  <si>
    <t>MECHA TWILL ACERO RAPIDO 6 MM 111685</t>
  </si>
  <si>
    <t>MECHA TWILL ACERO RAPIDO 4 MM 111677</t>
  </si>
  <si>
    <t>MECHA TWILL ACERO RAPIDO 7,25 MM 111690</t>
  </si>
  <si>
    <t>MECHA TWILL ACERO RAPIDO 8 MM 111693</t>
  </si>
  <si>
    <t>MECHA TWILL ACERO RAPIDO 10 MM 111701</t>
  </si>
  <si>
    <t>MECHA TWILL ACERO RAPIDO 11 MM 111705</t>
  </si>
  <si>
    <t>MECHA TWILL ACERO RAPIDO 12 MM 111709</t>
  </si>
  <si>
    <t>NIVEL PLASTICO 40 CM SOLA SOPF40 118604</t>
  </si>
  <si>
    <t>NIVEL PLASTICO 50 CM SOLA SOPF50 118605</t>
  </si>
  <si>
    <t>NIVEL PLASTICO 60 CM SOLA SOPF60 118606</t>
  </si>
  <si>
    <t>NIVEL PLASTICO 80 CM SOLA SOPF80 118607</t>
  </si>
  <si>
    <t>ATORNILLADOR CAT DX155 18 V C/PERCUSION 1 BATERIA</t>
  </si>
  <si>
    <t>ATORNILLADOR CAT DX12 18 V C/PERCUSION SIN CARBONES</t>
  </si>
  <si>
    <t>MAS BARATO TOPASOL</t>
  </si>
  <si>
    <t>TRF E -4.5</t>
  </si>
  <si>
    <t>NIVEL ALUMINIO BREMEN ABS600 BR7166</t>
  </si>
  <si>
    <t>SERRUCHO SANTA JUANA 55 CM P/DURLOCK - RETAK SAJ1055</t>
  </si>
  <si>
    <t>MARTILLO DEM. MAKITA HM 1501X1 48 J</t>
  </si>
  <si>
    <t>MARTILLO PERF. MAKITA MT 8701B 26 MM</t>
  </si>
  <si>
    <t>HORMIGONERA 150 LTS MET.ROSARIO C/MOTOR 1HP REFORZADO</t>
  </si>
  <si>
    <t>MARTILLO DEM. DOWEN PAGIO 30 KG 9993934</t>
  </si>
  <si>
    <t>POLEA "B" DIAMETRO 80 (MR)</t>
  </si>
  <si>
    <t>PIÑON Y EJE P/320 (MR)</t>
  </si>
  <si>
    <t>MANGUERA DE VIBRADOR KLD 38 MM 6 MTS KLDTRIPA38</t>
  </si>
  <si>
    <t>HACHA DE MANO INECO CON CABO FIBRA HAX02012508</t>
  </si>
  <si>
    <t>CANDADO 50 MM ZELTA ARO LARGO ZECA0350</t>
  </si>
  <si>
    <t>JUEGO CINCELES SDS PLUS INECO x 10 UNIDADES AKD2101</t>
  </si>
  <si>
    <t>ANTIPARRA STEEL PRO ZEX ESPEJADA 201018043</t>
  </si>
  <si>
    <t>19 30 98 101</t>
  </si>
  <si>
    <t>PINZA PICOLORO 10" INECO HPP28258</t>
  </si>
  <si>
    <t>PINZA PICOLORO 12" INECO HPP03300</t>
  </si>
  <si>
    <t>HOJA DE SIERRA BOSCH 10"x100 D MULTIMATERIAL 2608642202</t>
  </si>
  <si>
    <t>ACANALADORA DE MURO TE-MA 1500 4350735</t>
  </si>
  <si>
    <t>DISCO BOSCH DIAMANTADO TIPO TRF 4 1/2 2608602478</t>
  </si>
  <si>
    <t>COMPRESOR SHIMURA 2 HP 25 LTS SH-FL25</t>
  </si>
  <si>
    <t>ROSCADORA DE PIE 1/2" A 2" SHIMURA ZIT-50</t>
  </si>
  <si>
    <t>ROSCADORA DE PIE 1/2" A 4" SHIMURA ZIT-100</t>
  </si>
  <si>
    <t xml:space="preserve">MAS BARATO LOUREIRO </t>
  </si>
  <si>
    <t>CEPILLO ELECTRICO BOSCH GHO 26-82</t>
  </si>
  <si>
    <t>Vigente</t>
  </si>
  <si>
    <t>RODAMIENTO 608-Discontinuado 17A1/2/1283</t>
  </si>
  <si>
    <t>RUEDA DENTADA EXCÉNTRICA RA 1600A00Discontinuado3</t>
  </si>
  <si>
    <t>RUEDA DENT EXCE 11264/11269 RX1600A00Discontinuado3</t>
  </si>
  <si>
    <t xml:space="preserve">1604.010.BK7-000 </t>
  </si>
  <si>
    <t>Inducido Ra 1619P20622</t>
  </si>
  <si>
    <t>SEPARADOR CRUZ CERAMICA 8 MM x 50 U</t>
  </si>
  <si>
    <t>TENAZA CROSSMASTER 12" 1/2 CORTE 9972224</t>
  </si>
  <si>
    <t>ZORRA HIDRAULICA 2,5 TN 68X1,20 CM KLD1171</t>
  </si>
  <si>
    <t>ESPATULA TACTIX ESQUINERA EXTERIOR TX283096/283094</t>
  </si>
  <si>
    <t>MARTILLO GALPONERO STANLEY STHT51370</t>
  </si>
  <si>
    <t>CINTA METRICA GIANT 7,5 MTS CON IMAN NEGRA</t>
  </si>
  <si>
    <t>STARTER KIT GAL 18V-40 2X4,0AH</t>
  </si>
  <si>
    <t>STARTER KIT GAL 18V-20 2X2,0AH</t>
  </si>
  <si>
    <t>ROTOMARTILLO TC-RH 620 - 4257997</t>
  </si>
  <si>
    <t>FICHA HEMBRA TRIFASICA KALOP 32 AMP 2820</t>
  </si>
  <si>
    <t>ATORNILLADOR BOSCH GSB 18V-50 BT C/2 BATERIAS 06019H51H0</t>
  </si>
  <si>
    <t>CINTA ENMASCARAR DE PAPEL UNITAPE AZUL 24 MM - 60127-00001</t>
  </si>
  <si>
    <t>CINTA ENMASCARAR DE PAPEL TESA BLANCA 24 MM x 40 MTS 66261173111</t>
  </si>
  <si>
    <t>CINTA ENMASCARAR DE PAPEL TESA BLANCA 48 MM x 40 MTS 66261173113</t>
  </si>
  <si>
    <t>LIJA AL AGUA  60/80/100/150/220 NORTON O DOBLE AA 66261170704</t>
  </si>
  <si>
    <t>MECHA KWB P/MADERA 5 MM 49511465</t>
  </si>
  <si>
    <t>JUEGO MECHAS KWB x 5 U PARA MADERA 49514000</t>
  </si>
  <si>
    <t>14 19 29 12</t>
  </si>
  <si>
    <t xml:space="preserve">NIVEL LASER SOLA SMART </t>
  </si>
  <si>
    <t>REGLA DE ACERO SOLA 30 CM LSS</t>
  </si>
  <si>
    <t>LAPIZ SANITARISTA SOLA AZUL/ROJO 17 CM RBB17</t>
  </si>
  <si>
    <t>TERMOFUSORA 1500 W C/BOQUILLAS Y CORTADORA CAÑO OMAHA TF-1500</t>
  </si>
  <si>
    <t>CORTAHIERRO BOSCH SDS MAX 400 MM 2608690237 (x 10 unidades) 2608690239 (x1)</t>
  </si>
  <si>
    <t>CORTAHIERRO BOSCH SDS MAX R-TEC AUTOAFILABLE 460385 2608690166 (x 10 unidades) 2608690124 (x1)</t>
  </si>
  <si>
    <t>CORTAHIERRO BOSCH SDS PLUS 2608578518 (x 1) 2608578519 (x10 unidades)</t>
  </si>
  <si>
    <t xml:space="preserve">LIJA DE BANDA 75x533 BOSCH G80 x 3 unidades 2608606071 </t>
  </si>
  <si>
    <t>LIJA DE BANDA 75x533 BOSCH G150 y G220 x 3 unidades 2608606074</t>
  </si>
  <si>
    <t>PUNTA BOSCH SDS-MAX 400 MM 2608690235 (x10 unidades) 2608690240 (x1)</t>
  </si>
  <si>
    <t>PUNTA BOSCH SDS-MAX 400 MM R-TEC AUTOAFILABLE 2608690167 (x 1) 2608690168(caja X10u)</t>
  </si>
  <si>
    <t xml:space="preserve">Codigo </t>
  </si>
  <si>
    <t>160090005F</t>
  </si>
  <si>
    <t>160090005P</t>
  </si>
  <si>
    <t>160090005R</t>
  </si>
  <si>
    <t>1600A003EB</t>
  </si>
  <si>
    <t>1600A005AJ</t>
  </si>
  <si>
    <t>1600A008BV</t>
  </si>
  <si>
    <t>1600A009VN</t>
  </si>
  <si>
    <t>1600A00DT4</t>
  </si>
  <si>
    <t>1600A00PB7</t>
  </si>
  <si>
    <t>1600A00Z9R</t>
  </si>
  <si>
    <t>1600A012Y7</t>
  </si>
  <si>
    <t>1600A014HK</t>
  </si>
  <si>
    <t>1600A014L2</t>
  </si>
  <si>
    <t>1600A014L3</t>
  </si>
  <si>
    <t>1600A014T8</t>
  </si>
  <si>
    <t>1600A0153H</t>
  </si>
  <si>
    <t>1600A01CU1</t>
  </si>
  <si>
    <t>1600A01LX7</t>
  </si>
  <si>
    <t>1600A020RA</t>
  </si>
  <si>
    <t>1604010A20</t>
  </si>
  <si>
    <t>1604010A90</t>
  </si>
  <si>
    <t>1604010B3J</t>
  </si>
  <si>
    <t>1604010B3Y</t>
  </si>
  <si>
    <t>1604010B4R</t>
  </si>
  <si>
    <t>1604010B50</t>
  </si>
  <si>
    <t>1604010B5E</t>
  </si>
  <si>
    <t>1604010B9G</t>
  </si>
  <si>
    <t>1604010B9J</t>
  </si>
  <si>
    <t>160422057C</t>
  </si>
  <si>
    <t>160432115S</t>
  </si>
  <si>
    <t>160432115T</t>
  </si>
  <si>
    <t>160432115U</t>
  </si>
  <si>
    <t>160432115Z</t>
  </si>
  <si>
    <t>160432117D</t>
  </si>
  <si>
    <t>160433605C</t>
  </si>
  <si>
    <t>16051082H7</t>
  </si>
  <si>
    <t>16058065C0</t>
  </si>
  <si>
    <t>16058065C4</t>
  </si>
  <si>
    <t>16058065NX</t>
  </si>
  <si>
    <t>16058080AL</t>
  </si>
  <si>
    <t>16063332C8</t>
  </si>
  <si>
    <t>1607000A85</t>
  </si>
  <si>
    <t>1607000C14</t>
  </si>
  <si>
    <t>1607000C4L</t>
  </si>
  <si>
    <t>1607000C5F</t>
  </si>
  <si>
    <t>1607000C5G</t>
  </si>
  <si>
    <t>1607000C5K</t>
  </si>
  <si>
    <t>1607000CZ1</t>
  </si>
  <si>
    <t>1607000D17</t>
  </si>
  <si>
    <t>1607000D3N</t>
  </si>
  <si>
    <t>1607000D4Y</t>
  </si>
  <si>
    <t>1607000D62</t>
  </si>
  <si>
    <t>1607000D64</t>
  </si>
  <si>
    <t>1607000D6A</t>
  </si>
  <si>
    <t>1607000D6C</t>
  </si>
  <si>
    <t>1607000E3M</t>
  </si>
  <si>
    <t>1607000V37</t>
  </si>
  <si>
    <t>1607000V51</t>
  </si>
  <si>
    <t>1607000V53</t>
  </si>
  <si>
    <t>160701418F</t>
  </si>
  <si>
    <t>160701418R</t>
  </si>
  <si>
    <t>160702266N</t>
  </si>
  <si>
    <t>160720031H</t>
  </si>
  <si>
    <t>160720031V</t>
  </si>
  <si>
    <t>160720032T</t>
  </si>
  <si>
    <t>160720032Y</t>
  </si>
  <si>
    <t>160722005V</t>
  </si>
  <si>
    <t>16072335CV</t>
  </si>
  <si>
    <t>16170006CB</t>
  </si>
  <si>
    <t>16170006D3</t>
  </si>
  <si>
    <t>16170006EJ</t>
  </si>
  <si>
    <t>1619P00456</t>
  </si>
  <si>
    <t>1619P01685</t>
  </si>
  <si>
    <t>1619P01844</t>
  </si>
  <si>
    <t>1619P02762</t>
  </si>
  <si>
    <t>1619P02839</t>
  </si>
  <si>
    <t>1619P02870</t>
  </si>
  <si>
    <t>1619P07451</t>
  </si>
  <si>
    <t>1619P07749</t>
  </si>
  <si>
    <t>1619P09415</t>
  </si>
  <si>
    <t>1619P10952</t>
  </si>
  <si>
    <t>1619P10967</t>
  </si>
  <si>
    <t>1619P11240</t>
  </si>
  <si>
    <t>1619P11715</t>
  </si>
  <si>
    <t>1619P13103</t>
  </si>
  <si>
    <t>1619P13946</t>
  </si>
  <si>
    <t>1619P15184</t>
  </si>
  <si>
    <t>1619P20622</t>
  </si>
  <si>
    <t>1619PA1358</t>
  </si>
  <si>
    <t>2610Z00180</t>
  </si>
  <si>
    <t>F000601307</t>
  </si>
  <si>
    <t>F000603011</t>
  </si>
  <si>
    <t>F000603096</t>
  </si>
  <si>
    <t>F000603119</t>
  </si>
  <si>
    <t>F000603133</t>
  </si>
  <si>
    <t>F000604017</t>
  </si>
  <si>
    <t>F000605032</t>
  </si>
  <si>
    <t>F000605052</t>
  </si>
  <si>
    <t>F000605103</t>
  </si>
  <si>
    <t>F000605131</t>
  </si>
  <si>
    <t>F000605225</t>
  </si>
  <si>
    <t>F000605227</t>
  </si>
  <si>
    <t>F000605229</t>
  </si>
  <si>
    <t>F000605240</t>
  </si>
  <si>
    <t>F000605241</t>
  </si>
  <si>
    <t>F000605256</t>
  </si>
  <si>
    <t>F000607169</t>
  </si>
  <si>
    <t>F000607173</t>
  </si>
  <si>
    <t>F000607175</t>
  </si>
  <si>
    <t>F000608012</t>
  </si>
  <si>
    <t>F000608035</t>
  </si>
  <si>
    <t>F000608081</t>
  </si>
  <si>
    <t>F000608364</t>
  </si>
  <si>
    <t>F000609174</t>
  </si>
  <si>
    <t>F000609175</t>
  </si>
  <si>
    <t>F000611019</t>
  </si>
  <si>
    <t>F000611021</t>
  </si>
  <si>
    <t>F000611029</t>
  </si>
  <si>
    <t>F000611048</t>
  </si>
  <si>
    <t>F000611060</t>
  </si>
  <si>
    <t>F000611075</t>
  </si>
  <si>
    <t>F000611078</t>
  </si>
  <si>
    <t>F000611080</t>
  </si>
  <si>
    <t>F000611088</t>
  </si>
  <si>
    <t>F000611090</t>
  </si>
  <si>
    <t>F000611108</t>
  </si>
  <si>
    <t>F000612015</t>
  </si>
  <si>
    <t>F000613046</t>
  </si>
  <si>
    <t>F000613060</t>
  </si>
  <si>
    <t>F000613103</t>
  </si>
  <si>
    <t>F000616060</t>
  </si>
  <si>
    <t>F000616119</t>
  </si>
  <si>
    <t>F000616134</t>
  </si>
  <si>
    <t>F000617034</t>
  </si>
  <si>
    <t>F000617073</t>
  </si>
  <si>
    <t>F000623029</t>
  </si>
  <si>
    <t>F000632019</t>
  </si>
  <si>
    <t>160059105C</t>
  </si>
  <si>
    <t>160059105U</t>
  </si>
  <si>
    <t>1600A0019T</t>
  </si>
  <si>
    <t>1600A00376</t>
  </si>
  <si>
    <t>1600A003EE</t>
  </si>
  <si>
    <t>1600A003M8</t>
  </si>
  <si>
    <t>1600A003M9</t>
  </si>
  <si>
    <t>1600A0070C</t>
  </si>
  <si>
    <t>1600A00721</t>
  </si>
  <si>
    <t>1600A008D6</t>
  </si>
  <si>
    <t>1600A008DL</t>
  </si>
  <si>
    <t>1600A008RF</t>
  </si>
  <si>
    <t>1600A008RP</t>
  </si>
  <si>
    <t>1600A008RV</t>
  </si>
  <si>
    <t>1600A009VC</t>
  </si>
  <si>
    <t>1600A009XG</t>
  </si>
  <si>
    <t>1600A00B6H</t>
  </si>
  <si>
    <t>1600A00C10</t>
  </si>
  <si>
    <t>1600A00C11</t>
  </si>
  <si>
    <t>1600A00C16</t>
  </si>
  <si>
    <t>1600A00D30</t>
  </si>
  <si>
    <t>1600A00DT2</t>
  </si>
  <si>
    <t>1600A00N61</t>
  </si>
  <si>
    <t>1600A00P8Z</t>
  </si>
  <si>
    <t>1600A00P90</t>
  </si>
  <si>
    <t>1600A00PB8</t>
  </si>
  <si>
    <t>1600A00XK9</t>
  </si>
  <si>
    <t>1600A011KB</t>
  </si>
  <si>
    <t>1600A0123H</t>
  </si>
  <si>
    <t>1600A0123L</t>
  </si>
  <si>
    <t>1600A0137P</t>
  </si>
  <si>
    <t>1600A014FF</t>
  </si>
  <si>
    <t>1600A014FH</t>
  </si>
  <si>
    <t>1600A014L4</t>
  </si>
  <si>
    <t>1600A014S6</t>
  </si>
  <si>
    <t>1600A014TX</t>
  </si>
  <si>
    <t>1600A01MK9</t>
  </si>
  <si>
    <t>1600A01N6C</t>
  </si>
  <si>
    <t>1600A01R95</t>
  </si>
  <si>
    <t>1600A0204N</t>
  </si>
  <si>
    <t>160312304V</t>
  </si>
  <si>
    <t>160312304Z</t>
  </si>
  <si>
    <t>160343001L</t>
  </si>
  <si>
    <t>1604010A22</t>
  </si>
  <si>
    <t>1604010A52</t>
  </si>
  <si>
    <t>1604010B98</t>
  </si>
  <si>
    <t>1604010B9X</t>
  </si>
  <si>
    <t>160460102U</t>
  </si>
  <si>
    <t>16051082CT</t>
  </si>
  <si>
    <t>16055002C6</t>
  </si>
  <si>
    <t>16058065G9</t>
  </si>
  <si>
    <t>160580808Z</t>
  </si>
  <si>
    <t>1607000C4M</t>
  </si>
  <si>
    <t>1607000D16</t>
  </si>
  <si>
    <t>1607000D3P</t>
  </si>
  <si>
    <t>1607000D50</t>
  </si>
  <si>
    <t>1607000D9C</t>
  </si>
  <si>
    <t>1607000V33</t>
  </si>
  <si>
    <t>1607000V35</t>
  </si>
  <si>
    <t>1607000V36</t>
  </si>
  <si>
    <t>1607000V40</t>
  </si>
  <si>
    <t>1607000V41</t>
  </si>
  <si>
    <t>1607000V54</t>
  </si>
  <si>
    <t>160701418P</t>
  </si>
  <si>
    <t>16072335DK</t>
  </si>
  <si>
    <t>16072335FX</t>
  </si>
  <si>
    <t>1607A350BZ</t>
  </si>
  <si>
    <t>1607A350DY</t>
  </si>
  <si>
    <t>1609203L02</t>
  </si>
  <si>
    <t>16170006A5</t>
  </si>
  <si>
    <t>16170006B0</t>
  </si>
  <si>
    <t>16170006B9</t>
  </si>
  <si>
    <t>16170006BC</t>
  </si>
  <si>
    <t>16170006CT</t>
  </si>
  <si>
    <t>16170006DX</t>
  </si>
  <si>
    <t>16170006ET</t>
  </si>
  <si>
    <t>1619P01115</t>
  </si>
  <si>
    <t>1619P01642</t>
  </si>
  <si>
    <t>1619P01696</t>
  </si>
  <si>
    <t>1619P01777</t>
  </si>
  <si>
    <t>1619P02811</t>
  </si>
  <si>
    <t>1619P02818</t>
  </si>
  <si>
    <t>1619P02819</t>
  </si>
  <si>
    <t>1619P03776</t>
  </si>
  <si>
    <t>1619P04474</t>
  </si>
  <si>
    <t>1619P04839</t>
  </si>
  <si>
    <t>1619P06095</t>
  </si>
  <si>
    <t>1619P06204</t>
  </si>
  <si>
    <t>1619P06232</t>
  </si>
  <si>
    <t>1619P06238</t>
  </si>
  <si>
    <t>1619P06345</t>
  </si>
  <si>
    <t>1619P06346</t>
  </si>
  <si>
    <t>1619P06419</t>
  </si>
  <si>
    <t>1619P07239</t>
  </si>
  <si>
    <t>1619P07452</t>
  </si>
  <si>
    <t>1619P07571</t>
  </si>
  <si>
    <t>1619P07620</t>
  </si>
  <si>
    <t>1619P07713</t>
  </si>
  <si>
    <t>1619P07761</t>
  </si>
  <si>
    <t>1619P08234</t>
  </si>
  <si>
    <t>1619P08333</t>
  </si>
  <si>
    <t>1619P08334</t>
  </si>
  <si>
    <t>1619P08594</t>
  </si>
  <si>
    <t>1619P09115</t>
  </si>
  <si>
    <t>1619P09207</t>
  </si>
  <si>
    <t>1619P09252</t>
  </si>
  <si>
    <t>1619P09794</t>
  </si>
  <si>
    <t>1619P09815</t>
  </si>
  <si>
    <t>1619P09976</t>
  </si>
  <si>
    <t>1619P10063</t>
  </si>
  <si>
    <t>1619P10662</t>
  </si>
  <si>
    <t>1619P10838</t>
  </si>
  <si>
    <t>1619P10953</t>
  </si>
  <si>
    <t>1619P10958</t>
  </si>
  <si>
    <t>1619P10968</t>
  </si>
  <si>
    <t>1619P12188</t>
  </si>
  <si>
    <t>1619P12765</t>
  </si>
  <si>
    <t>1619P14887</t>
  </si>
  <si>
    <t>1619P15165</t>
  </si>
  <si>
    <t>1619P15178</t>
  </si>
  <si>
    <t>1619P15321</t>
  </si>
  <si>
    <t>1619P15323</t>
  </si>
  <si>
    <t>1619PA0212</t>
  </si>
  <si>
    <t>1619PA0221</t>
  </si>
  <si>
    <t>1619PA0253</t>
  </si>
  <si>
    <t>1619PA0258</t>
  </si>
  <si>
    <t>1619PA0273</t>
  </si>
  <si>
    <t>1619PA0471</t>
  </si>
  <si>
    <t>1619PA0474</t>
  </si>
  <si>
    <t>1619PA0475</t>
  </si>
  <si>
    <t>1619PA1749</t>
  </si>
  <si>
    <t>1619PA3549</t>
  </si>
  <si>
    <t>1619PA3573</t>
  </si>
  <si>
    <t>1619PA7326</t>
  </si>
  <si>
    <t>1619PA7827</t>
  </si>
  <si>
    <t>1619PA7848</t>
  </si>
  <si>
    <t>1619PB3062</t>
  </si>
  <si>
    <t>1619PB4056</t>
  </si>
  <si>
    <t>1619PB4266</t>
  </si>
  <si>
    <t>1619PB4295</t>
  </si>
  <si>
    <t>1619PB5491</t>
  </si>
  <si>
    <t>1619X03061</t>
  </si>
  <si>
    <t>1619X07509</t>
  </si>
  <si>
    <t>2610Z03710</t>
  </si>
  <si>
    <t>F000600231</t>
  </si>
  <si>
    <t>F000600349</t>
  </si>
  <si>
    <t>F000600350</t>
  </si>
  <si>
    <t>F000600372</t>
  </si>
  <si>
    <t>F000600567</t>
  </si>
  <si>
    <t>F000601259</t>
  </si>
  <si>
    <t>F000601752</t>
  </si>
  <si>
    <t>F000602168</t>
  </si>
  <si>
    <t>F000602169</t>
  </si>
  <si>
    <t>F000602177</t>
  </si>
  <si>
    <t>F000603014</t>
  </si>
  <si>
    <t>F000603015</t>
  </si>
  <si>
    <t>F000603017</t>
  </si>
  <si>
    <t>F000603019</t>
  </si>
  <si>
    <t>F000603172</t>
  </si>
  <si>
    <t>F000605010</t>
  </si>
  <si>
    <t>F000605039</t>
  </si>
  <si>
    <t>F000605096</t>
  </si>
  <si>
    <t>F000605099</t>
  </si>
  <si>
    <t>F000605112</t>
  </si>
  <si>
    <t>F000605154</t>
  </si>
  <si>
    <t>F000605190</t>
  </si>
  <si>
    <t>F000605221</t>
  </si>
  <si>
    <t>F000607020</t>
  </si>
  <si>
    <t>F000607067</t>
  </si>
  <si>
    <t>F000607083</t>
  </si>
  <si>
    <t>F000607093</t>
  </si>
  <si>
    <t>F000607095</t>
  </si>
  <si>
    <t>F000607108</t>
  </si>
  <si>
    <t>F000607136</t>
  </si>
  <si>
    <t>F000607161</t>
  </si>
  <si>
    <t>F000607182</t>
  </si>
  <si>
    <t>F000608066</t>
  </si>
  <si>
    <t>F000608122</t>
  </si>
  <si>
    <t>F000608124</t>
  </si>
  <si>
    <t>F000608323</t>
  </si>
  <si>
    <t>F000608328</t>
  </si>
  <si>
    <t>F000608349</t>
  </si>
  <si>
    <t>F000608382</t>
  </si>
  <si>
    <t>F000608398</t>
  </si>
  <si>
    <t>F000608399</t>
  </si>
  <si>
    <t>F000608415</t>
  </si>
  <si>
    <t>F000608423</t>
  </si>
  <si>
    <t>F000608425</t>
  </si>
  <si>
    <t>F000611007</t>
  </si>
  <si>
    <t>F000611028</t>
  </si>
  <si>
    <t>F000611051</t>
  </si>
  <si>
    <t>F000611063</t>
  </si>
  <si>
    <t>F000611067</t>
  </si>
  <si>
    <t>F000611072</t>
  </si>
  <si>
    <t>F000611089</t>
  </si>
  <si>
    <t>F000611096</t>
  </si>
  <si>
    <t>F000611114</t>
  </si>
  <si>
    <t>F000612031</t>
  </si>
  <si>
    <t>F000612058</t>
  </si>
  <si>
    <t>F000612067</t>
  </si>
  <si>
    <t>F000612093</t>
  </si>
  <si>
    <t>F000613057</t>
  </si>
  <si>
    <t>F000614013</t>
  </si>
  <si>
    <t>F000615014</t>
  </si>
  <si>
    <t>F000615049</t>
  </si>
  <si>
    <t>F000615054</t>
  </si>
  <si>
    <t>F000616028</t>
  </si>
  <si>
    <t>F000616053</t>
  </si>
  <si>
    <t>F000616056</t>
  </si>
  <si>
    <t>F000616112</t>
  </si>
  <si>
    <t>F000616118</t>
  </si>
  <si>
    <t>F000617024</t>
  </si>
  <si>
    <t>F000617026</t>
  </si>
  <si>
    <t>F000617047</t>
  </si>
  <si>
    <t>F000618005</t>
  </si>
  <si>
    <t>F00062100U</t>
  </si>
  <si>
    <t>F000624047</t>
  </si>
  <si>
    <t>F000635221</t>
  </si>
  <si>
    <t>F000635272</t>
  </si>
  <si>
    <t>0000Y00013</t>
  </si>
  <si>
    <t>0000Y00020</t>
  </si>
  <si>
    <t>0000Y00023</t>
  </si>
  <si>
    <t>0000Y00049</t>
  </si>
  <si>
    <t>0000Y00050</t>
  </si>
  <si>
    <t>0000Y00058</t>
  </si>
  <si>
    <t>0000Y00066</t>
  </si>
  <si>
    <t>0000Y00067</t>
  </si>
  <si>
    <t>0000Y00104</t>
  </si>
  <si>
    <t>0000Y00109</t>
  </si>
  <si>
    <t>0000Y00111</t>
  </si>
  <si>
    <t>0000Y00141</t>
  </si>
  <si>
    <t>0000Y00142</t>
  </si>
  <si>
    <t>0000Y00143</t>
  </si>
  <si>
    <t>0000Y00193</t>
  </si>
  <si>
    <t>0000Y00194</t>
  </si>
  <si>
    <t>0000Y00195</t>
  </si>
  <si>
    <t>000346554K</t>
  </si>
  <si>
    <t>061880004W</t>
  </si>
  <si>
    <t>0KDEW80044</t>
  </si>
  <si>
    <t>1600100P12</t>
  </si>
  <si>
    <t>160010805C</t>
  </si>
  <si>
    <t>160010805D</t>
  </si>
  <si>
    <t>160015001B</t>
  </si>
  <si>
    <t>160015001F</t>
  </si>
  <si>
    <t>160015001V</t>
  </si>
  <si>
    <t>160015002K</t>
  </si>
  <si>
    <t>160015002R</t>
  </si>
  <si>
    <t>160015002X</t>
  </si>
  <si>
    <t>160015002Y</t>
  </si>
  <si>
    <t>160015003M</t>
  </si>
  <si>
    <t>160021005S</t>
  </si>
  <si>
    <t>160021005U</t>
  </si>
  <si>
    <t>160021005V</t>
  </si>
  <si>
    <t>160021007H</t>
  </si>
  <si>
    <t>160021007U</t>
  </si>
  <si>
    <t>160021009M</t>
  </si>
  <si>
    <t>160022002A</t>
  </si>
  <si>
    <t>160030010K</t>
  </si>
  <si>
    <t>160030010X</t>
  </si>
  <si>
    <t>160030011H</t>
  </si>
  <si>
    <t>160030011X</t>
  </si>
  <si>
    <t>160059105G</t>
  </si>
  <si>
    <t>160059105N</t>
  </si>
  <si>
    <t>160059105S</t>
  </si>
  <si>
    <t>160059105T</t>
  </si>
  <si>
    <t>160059105Z</t>
  </si>
  <si>
    <t>160059106M</t>
  </si>
  <si>
    <t>160059106N</t>
  </si>
  <si>
    <t>160059106W</t>
  </si>
  <si>
    <t>160070304F</t>
  </si>
  <si>
    <t>160070304H</t>
  </si>
  <si>
    <t>160070304K</t>
  </si>
  <si>
    <t>160070304N</t>
  </si>
  <si>
    <t>160070304R</t>
  </si>
  <si>
    <t>160070305B</t>
  </si>
  <si>
    <t>160071203J</t>
  </si>
  <si>
    <t>160090004H</t>
  </si>
  <si>
    <t>160090005X</t>
  </si>
  <si>
    <t>160090005Y</t>
  </si>
  <si>
    <t>160090005Z</t>
  </si>
  <si>
    <t>160090006B</t>
  </si>
  <si>
    <t>160090006C</t>
  </si>
  <si>
    <t>160090006D</t>
  </si>
  <si>
    <t>160090006F</t>
  </si>
  <si>
    <t>160090006Y</t>
  </si>
  <si>
    <t>160090007R</t>
  </si>
  <si>
    <t>160090007S</t>
  </si>
  <si>
    <t>160090007T</t>
  </si>
  <si>
    <t>160090008N</t>
  </si>
  <si>
    <t>160090009G</t>
  </si>
  <si>
    <t>1600A00039</t>
  </si>
  <si>
    <t>1600A00071</t>
  </si>
  <si>
    <t>1600A00092</t>
  </si>
  <si>
    <t>1600A00093</t>
  </si>
  <si>
    <t>1600A00094</t>
  </si>
  <si>
    <t>1600A00095</t>
  </si>
  <si>
    <t>1600A00096</t>
  </si>
  <si>
    <t>1600A000A1</t>
  </si>
  <si>
    <t>1600A000A2</t>
  </si>
  <si>
    <t>1600A000A3</t>
  </si>
  <si>
    <t>1600A000A5</t>
  </si>
  <si>
    <t>1600A000A6</t>
  </si>
  <si>
    <t>1600A000A8</t>
  </si>
  <si>
    <t>1600A000AA</t>
  </si>
  <si>
    <t>1600A000AB</t>
  </si>
  <si>
    <t>1600A000K3</t>
  </si>
  <si>
    <t>1600A000LE</t>
  </si>
  <si>
    <t>1600A000R5</t>
  </si>
  <si>
    <t>1600A000R7</t>
  </si>
  <si>
    <t>1600A000XS</t>
  </si>
  <si>
    <t>1600A000XT</t>
  </si>
  <si>
    <t>1600A000XU</t>
  </si>
  <si>
    <t>1600A000XV</t>
  </si>
  <si>
    <t>1600A0013J</t>
  </si>
  <si>
    <t>1600A0013V</t>
  </si>
  <si>
    <t>1600A0013W</t>
  </si>
  <si>
    <t>1600A0013X</t>
  </si>
  <si>
    <t>1600A0014G</t>
  </si>
  <si>
    <t>1600A0015D</t>
  </si>
  <si>
    <t>1600A0015E</t>
  </si>
  <si>
    <t>1600A0015F</t>
  </si>
  <si>
    <t>1600A0015H</t>
  </si>
  <si>
    <t>1600A0015N</t>
  </si>
  <si>
    <t>1600A0015P</t>
  </si>
  <si>
    <t>1600A00168</t>
  </si>
  <si>
    <t>1600A00175</t>
  </si>
  <si>
    <t>1600A00188</t>
  </si>
  <si>
    <t>1600A001BG</t>
  </si>
  <si>
    <t>1600A001CL</t>
  </si>
  <si>
    <t>1600A001CP</t>
  </si>
  <si>
    <t>1600A001CR</t>
  </si>
  <si>
    <t>1600A001CS</t>
  </si>
  <si>
    <t>1600A001CT</t>
  </si>
  <si>
    <t>1600A001E5</t>
  </si>
  <si>
    <t>1600A001ED</t>
  </si>
  <si>
    <t>1600A001MJ</t>
  </si>
  <si>
    <t>1600A001MK</t>
  </si>
  <si>
    <t>1600A001PY</t>
  </si>
  <si>
    <t>1600A001XA</t>
  </si>
  <si>
    <t>1600A001XC</t>
  </si>
  <si>
    <t>1600A001XD</t>
  </si>
  <si>
    <t>1600A001XE</t>
  </si>
  <si>
    <t>1600A001XF</t>
  </si>
  <si>
    <t>1600A001Y6</t>
  </si>
  <si>
    <t>1600A00206</t>
  </si>
  <si>
    <t>1600A00207</t>
  </si>
  <si>
    <t>1600A0020M</t>
  </si>
  <si>
    <t>1600A0020N</t>
  </si>
  <si>
    <t>1600A0020X</t>
  </si>
  <si>
    <t>1600A00218</t>
  </si>
  <si>
    <t>1600A0022W</t>
  </si>
  <si>
    <t>1600A002NE</t>
  </si>
  <si>
    <t>1600A002PC</t>
  </si>
  <si>
    <t>1600A002PM</t>
  </si>
  <si>
    <t>1600A002PP</t>
  </si>
  <si>
    <t>1600A002PR</t>
  </si>
  <si>
    <t>1600A002PS</t>
  </si>
  <si>
    <t>1600A002YB</t>
  </si>
  <si>
    <t>1600A002YF</t>
  </si>
  <si>
    <t>1600A002YG</t>
  </si>
  <si>
    <t>1600A00305</t>
  </si>
  <si>
    <t>1600A00307</t>
  </si>
  <si>
    <t>1600A00308</t>
  </si>
  <si>
    <t>1600A0030F</t>
  </si>
  <si>
    <t>1600A0030G</t>
  </si>
  <si>
    <t>1600A0030J</t>
  </si>
  <si>
    <t>1600A0030L</t>
  </si>
  <si>
    <t>1600A0030R</t>
  </si>
  <si>
    <t>1600A0030W</t>
  </si>
  <si>
    <t>1600A0032J</t>
  </si>
  <si>
    <t>1600A0033N</t>
  </si>
  <si>
    <t>1600A0037C</t>
  </si>
  <si>
    <t>1600A0037G</t>
  </si>
  <si>
    <t>1600A0039T</t>
  </si>
  <si>
    <t>1600A003A1</t>
  </si>
  <si>
    <t>1600A003A2</t>
  </si>
  <si>
    <t>1600A003A5</t>
  </si>
  <si>
    <t>1600A003DA</t>
  </si>
  <si>
    <t>1600A003DY</t>
  </si>
  <si>
    <t>1600A003DZ</t>
  </si>
  <si>
    <t>1600A003E0</t>
  </si>
  <si>
    <t>1600A003E1</t>
  </si>
  <si>
    <t>1600A003E2</t>
  </si>
  <si>
    <t>1600A003E4</t>
  </si>
  <si>
    <t>1600A003E5</t>
  </si>
  <si>
    <t>1600A003E6</t>
  </si>
  <si>
    <t>1600A003E7</t>
  </si>
  <si>
    <t>1600A003E8</t>
  </si>
  <si>
    <t>1600A003E9</t>
  </si>
  <si>
    <t>1600A003EA</t>
  </si>
  <si>
    <t>1600A003EC</t>
  </si>
  <si>
    <t>1600A003ED</t>
  </si>
  <si>
    <t>1600A003EF</t>
  </si>
  <si>
    <t>1600A003EL</t>
  </si>
  <si>
    <t>1600A003EN</t>
  </si>
  <si>
    <t>1600A003EP</t>
  </si>
  <si>
    <t>1600A003ER</t>
  </si>
  <si>
    <t>1600A003ES</t>
  </si>
  <si>
    <t>1600A003FU</t>
  </si>
  <si>
    <t>1600A003FV</t>
  </si>
  <si>
    <t>1600A003G4</t>
  </si>
  <si>
    <t>1600A003MA</t>
  </si>
  <si>
    <t>1600A003ND</t>
  </si>
  <si>
    <t>1600A003SK</t>
  </si>
  <si>
    <t>1600A003SL</t>
  </si>
  <si>
    <t>1600A003SN</t>
  </si>
  <si>
    <t>1600A003SP</t>
  </si>
  <si>
    <t>1600A003ST</t>
  </si>
  <si>
    <t>1600A003TD</t>
  </si>
  <si>
    <t>1600A003TE</t>
  </si>
  <si>
    <t>1600A003TF</t>
  </si>
  <si>
    <t>1600A003TG</t>
  </si>
  <si>
    <t>1600A003TK</t>
  </si>
  <si>
    <t>1600A003TL</t>
  </si>
  <si>
    <t>1600A003TP</t>
  </si>
  <si>
    <t>1600A003TS</t>
  </si>
  <si>
    <t>1600A003TT</t>
  </si>
  <si>
    <t>1600A003V5</t>
  </si>
  <si>
    <t>1600A003YK</t>
  </si>
  <si>
    <t>1600A003YL</t>
  </si>
  <si>
    <t>1600A0048F</t>
  </si>
  <si>
    <t>1600A0048G</t>
  </si>
  <si>
    <t>1600A0048H</t>
  </si>
  <si>
    <t>1600A0048K</t>
  </si>
  <si>
    <t>1600A004BM</t>
  </si>
  <si>
    <t>1600A004D8</t>
  </si>
  <si>
    <t>1600A004D9</t>
  </si>
  <si>
    <t>1600A004DH</t>
  </si>
  <si>
    <t>1600A004DT</t>
  </si>
  <si>
    <t>1600A004E6</t>
  </si>
  <si>
    <t>1600A004HA</t>
  </si>
  <si>
    <t>1600A004HD</t>
  </si>
  <si>
    <t>1600A004HE</t>
  </si>
  <si>
    <t>1600A004HH</t>
  </si>
  <si>
    <t>1600A004HJ</t>
  </si>
  <si>
    <t>1600A004HM</t>
  </si>
  <si>
    <t>1600A004TF</t>
  </si>
  <si>
    <t>1600A005A4</t>
  </si>
  <si>
    <t>1600A005AB</t>
  </si>
  <si>
    <t>1600A005AC</t>
  </si>
  <si>
    <t>1600A005AD</t>
  </si>
  <si>
    <t>1600A005AF</t>
  </si>
  <si>
    <t>1600A005AL</t>
  </si>
  <si>
    <t>1600A005AM</t>
  </si>
  <si>
    <t>1600A005AN</t>
  </si>
  <si>
    <t>1600A005AP</t>
  </si>
  <si>
    <t>1600A005AR</t>
  </si>
  <si>
    <t>1600A005AS</t>
  </si>
  <si>
    <t>1600A005AT</t>
  </si>
  <si>
    <t>1600A005B7</t>
  </si>
  <si>
    <t>1600A005BD</t>
  </si>
  <si>
    <t>1600A005BH</t>
  </si>
  <si>
    <t>1600A005BT</t>
  </si>
  <si>
    <t>1600A005BV</t>
  </si>
  <si>
    <t>1600A005HN</t>
  </si>
  <si>
    <t>1600A005HP</t>
  </si>
  <si>
    <t>1600A005HR</t>
  </si>
  <si>
    <t>1600A005HS</t>
  </si>
  <si>
    <t>1600A006ZT</t>
  </si>
  <si>
    <t>1600A006ZW</t>
  </si>
  <si>
    <t>1600A006ZX</t>
  </si>
  <si>
    <t>1600A006ZY</t>
  </si>
  <si>
    <t>1600A006ZZ</t>
  </si>
  <si>
    <t>1600.A00.6ZZ-000</t>
  </si>
  <si>
    <t>1600A00722</t>
  </si>
  <si>
    <t>1600A00724</t>
  </si>
  <si>
    <t>1600A00726</t>
  </si>
  <si>
    <t>1600A0072C</t>
  </si>
  <si>
    <t>1600A0072E</t>
  </si>
  <si>
    <t>1600A00733</t>
  </si>
  <si>
    <t>1600A0073C</t>
  </si>
  <si>
    <t>1600A00748</t>
  </si>
  <si>
    <t>1600A00752</t>
  </si>
  <si>
    <t>1600A0078U</t>
  </si>
  <si>
    <t>1600A00798</t>
  </si>
  <si>
    <t>1600A007JH</t>
  </si>
  <si>
    <t>1600A007JW</t>
  </si>
  <si>
    <t>1600A007RE</t>
  </si>
  <si>
    <t>1600A007RX</t>
  </si>
  <si>
    <t>1600A007RY</t>
  </si>
  <si>
    <t>1600A007RZ</t>
  </si>
  <si>
    <t>1600A007TL</t>
  </si>
  <si>
    <t>1600A0086Z</t>
  </si>
  <si>
    <t>1600A0089A</t>
  </si>
  <si>
    <t>1600A0089F</t>
  </si>
  <si>
    <t>1600A008A0</t>
  </si>
  <si>
    <t>1600A008AG</t>
  </si>
  <si>
    <t>1600A008BL</t>
  </si>
  <si>
    <t>1600A008BT</t>
  </si>
  <si>
    <t>1600A008C6</t>
  </si>
  <si>
    <t>1600A008CS</t>
  </si>
  <si>
    <t>1600A008CT</t>
  </si>
  <si>
    <t>1600A008D3</t>
  </si>
  <si>
    <t>1600A008D5</t>
  </si>
  <si>
    <t>1600A008D9</t>
  </si>
  <si>
    <t>1600A008DC</t>
  </si>
  <si>
    <t>1600A008DE</t>
  </si>
  <si>
    <t>1600A008DF</t>
  </si>
  <si>
    <t>1600A008DG</t>
  </si>
  <si>
    <t>1600A008DJ</t>
  </si>
  <si>
    <t>1600A008DK</t>
  </si>
  <si>
    <t>1600A008DN</t>
  </si>
  <si>
    <t>1600A008DX</t>
  </si>
  <si>
    <t>1600A008F6</t>
  </si>
  <si>
    <t>1600A008RB</t>
  </si>
  <si>
    <t>1600A008RC</t>
  </si>
  <si>
    <t>1600A008RG</t>
  </si>
  <si>
    <t>1600A008RH</t>
  </si>
  <si>
    <t>1600A008RJ</t>
  </si>
  <si>
    <t>1600A008RK</t>
  </si>
  <si>
    <t>1600A008RL</t>
  </si>
  <si>
    <t>1600A008RM</t>
  </si>
  <si>
    <t>1600A008RR</t>
  </si>
  <si>
    <t>1600A008RT</t>
  </si>
  <si>
    <t>1600A008RW</t>
  </si>
  <si>
    <t>1600A008RX</t>
  </si>
  <si>
    <t>1600A008S7</t>
  </si>
  <si>
    <t>1600A008S8</t>
  </si>
  <si>
    <t>1600A008SA</t>
  </si>
  <si>
    <t>1600A008SC</t>
  </si>
  <si>
    <t>1600A0092A</t>
  </si>
  <si>
    <t>1600A0093R</t>
  </si>
  <si>
    <t>1600A0093S</t>
  </si>
  <si>
    <t>1600A0093T</t>
  </si>
  <si>
    <t>1600A009AN</t>
  </si>
  <si>
    <t>1600A009VG</t>
  </si>
  <si>
    <t>1600A00AR1</t>
  </si>
  <si>
    <t>1600A00AR5</t>
  </si>
  <si>
    <t>1600A00B6M</t>
  </si>
  <si>
    <t>1600A00B6N</t>
  </si>
  <si>
    <t>1600A00B71</t>
  </si>
  <si>
    <t>1600A00B92</t>
  </si>
  <si>
    <t>1600A00C17</t>
  </si>
  <si>
    <t>1600A00C2J</t>
  </si>
  <si>
    <t>1600A00C3T</t>
  </si>
  <si>
    <t>1600A00D2R</t>
  </si>
  <si>
    <t>1600A00D2Z</t>
  </si>
  <si>
    <t>1600A00D66</t>
  </si>
  <si>
    <t>1600A00D6J</t>
  </si>
  <si>
    <t>1600A00D78</t>
  </si>
  <si>
    <t>1600A00DC1</t>
  </si>
  <si>
    <t>1600A00DH4</t>
  </si>
  <si>
    <t>1600A00DT5</t>
  </si>
  <si>
    <t>1600A00E0F</t>
  </si>
  <si>
    <t>1600A00EY1</t>
  </si>
  <si>
    <t>1600.A00.EY1-000</t>
  </si>
  <si>
    <t>1600A00F3K</t>
  </si>
  <si>
    <t>1600A00F4S</t>
  </si>
  <si>
    <t>1600A00F4T</t>
  </si>
  <si>
    <t>1600A00F4U</t>
  </si>
  <si>
    <t>1600A00F4V</t>
  </si>
  <si>
    <t>1600A00F4W</t>
  </si>
  <si>
    <t>1600A00F8P</t>
  </si>
  <si>
    <t>1600A00F9H</t>
  </si>
  <si>
    <t>1600A00FC4</t>
  </si>
  <si>
    <t>1600A00FG7</t>
  </si>
  <si>
    <t>1600A00FL3</t>
  </si>
  <si>
    <t>1600A00H3A</t>
  </si>
  <si>
    <t>1600A00H64</t>
  </si>
  <si>
    <t>1600A00H7C</t>
  </si>
  <si>
    <t>1600A00H7D</t>
  </si>
  <si>
    <t>1600A00H7E</t>
  </si>
  <si>
    <t>1600A00H7F</t>
  </si>
  <si>
    <t>1600A00H85</t>
  </si>
  <si>
    <t>1600A00H89</t>
  </si>
  <si>
    <t>1600A00H8B</t>
  </si>
  <si>
    <t>1600A00H8D</t>
  </si>
  <si>
    <t>1600A00H8G</t>
  </si>
  <si>
    <t>1600A00H8H</t>
  </si>
  <si>
    <t>1600A00H8J</t>
  </si>
  <si>
    <t>1600A00H8K</t>
  </si>
  <si>
    <t>1600A00H8N</t>
  </si>
  <si>
    <t>1600A00H8P</t>
  </si>
  <si>
    <t>1600A00H8R</t>
  </si>
  <si>
    <t>1600A00H8X</t>
  </si>
  <si>
    <t>1600A00H8Y</t>
  </si>
  <si>
    <t>1600A00H8Z</t>
  </si>
  <si>
    <t>1600A00H90</t>
  </si>
  <si>
    <t>1600A00H92</t>
  </si>
  <si>
    <t>1600A00H93</t>
  </si>
  <si>
    <t>1600A00H9S</t>
  </si>
  <si>
    <t>1600A00HG2</t>
  </si>
  <si>
    <t>1600A00HN7</t>
  </si>
  <si>
    <t>1600A00HZ4</t>
  </si>
  <si>
    <t>1600A00HZ5</t>
  </si>
  <si>
    <t>1600A00J16</t>
  </si>
  <si>
    <t>1600A00J1B</t>
  </si>
  <si>
    <t>1600A00J37</t>
  </si>
  <si>
    <t>1600A00J5S</t>
  </si>
  <si>
    <t>1600A00J93</t>
  </si>
  <si>
    <t>1600A00J95</t>
  </si>
  <si>
    <t>1600A00JB1</t>
  </si>
  <si>
    <t>1600A00JE7</t>
  </si>
  <si>
    <t>1600A00JN1</t>
  </si>
  <si>
    <t>1600A00JN2</t>
  </si>
  <si>
    <t>1600A00L3B</t>
  </si>
  <si>
    <t>1600A00L5X</t>
  </si>
  <si>
    <t>1600A00M4P</t>
  </si>
  <si>
    <t>1600A00M52</t>
  </si>
  <si>
    <t>1600A00M53</t>
  </si>
  <si>
    <t>1600A00M5K</t>
  </si>
  <si>
    <t>1600A00M5U</t>
  </si>
  <si>
    <t>1600A00M85</t>
  </si>
  <si>
    <t>1600A00M8F</t>
  </si>
  <si>
    <t>1600A00M8J</t>
  </si>
  <si>
    <t>1600A00MM2</t>
  </si>
  <si>
    <t>1600A00MP2</t>
  </si>
  <si>
    <t>1600A00MS2</t>
  </si>
  <si>
    <t>1600A00MX9</t>
  </si>
  <si>
    <t>1600A00N2Y</t>
  </si>
  <si>
    <t>1600A00N5Z</t>
  </si>
  <si>
    <t>1600A00N7Y</t>
  </si>
  <si>
    <t>1600A00N82</t>
  </si>
  <si>
    <t>1600A00N99</t>
  </si>
  <si>
    <t>1600A00N9B</t>
  </si>
  <si>
    <t>1600A00N9C</t>
  </si>
  <si>
    <t>1600A00N9D</t>
  </si>
  <si>
    <t>1600A00N9E</t>
  </si>
  <si>
    <t>1600A00N9J</t>
  </si>
  <si>
    <t>1600A00N9L</t>
  </si>
  <si>
    <t>1600A00NF1</t>
  </si>
  <si>
    <t>1600A00NK3</t>
  </si>
  <si>
    <t>1600A00NK6</t>
  </si>
  <si>
    <t>1600A00NL0</t>
  </si>
  <si>
    <t>1600A00NL4</t>
  </si>
  <si>
    <t>1600A00NL8</t>
  </si>
  <si>
    <t>1600A00NL9</t>
  </si>
  <si>
    <t>1600A00NM0</t>
  </si>
  <si>
    <t>1600A00NM4</t>
  </si>
  <si>
    <t>1600A00NM5</t>
  </si>
  <si>
    <t>1600A00NM8</t>
  </si>
  <si>
    <t>1600A00NN2</t>
  </si>
  <si>
    <t>1600A00NP3</t>
  </si>
  <si>
    <t>1600A00NP9</t>
  </si>
  <si>
    <t>1600A00NR9</t>
  </si>
  <si>
    <t>1600A00P14</t>
  </si>
  <si>
    <t>1600A00P17</t>
  </si>
  <si>
    <t>1600A00P18</t>
  </si>
  <si>
    <t>1600A00P1B</t>
  </si>
  <si>
    <t>1600A00P1T</t>
  </si>
  <si>
    <t>1600A00P2N</t>
  </si>
  <si>
    <t>1600A00P4H</t>
  </si>
  <si>
    <t>1600A00P4K</t>
  </si>
  <si>
    <t>1600A00P4M</t>
  </si>
  <si>
    <t>1600A00PB4</t>
  </si>
  <si>
    <t>1600A00PC0</t>
  </si>
  <si>
    <t>1600A00PE3</t>
  </si>
  <si>
    <t>1600A00R0L</t>
  </si>
  <si>
    <t>1600A00R0S</t>
  </si>
  <si>
    <t>1600A00R0U</t>
  </si>
  <si>
    <t>1600A00R6U</t>
  </si>
  <si>
    <t>1600A00R9F</t>
  </si>
  <si>
    <t>1600A00R9L</t>
  </si>
  <si>
    <t>1600A00RD6</t>
  </si>
  <si>
    <t>1600A00RK2</t>
  </si>
  <si>
    <t>1600A00RK8</t>
  </si>
  <si>
    <t>1600A00RK9</t>
  </si>
  <si>
    <t>1600A00RM1</t>
  </si>
  <si>
    <t>1600A00RM4</t>
  </si>
  <si>
    <t>1600A00RM8</t>
  </si>
  <si>
    <t>1600A00RR2</t>
  </si>
  <si>
    <t>1600A00RU8</t>
  </si>
  <si>
    <t>1600A00RV6</t>
  </si>
  <si>
    <t>1600A00RV7</t>
  </si>
  <si>
    <t>1600A00S4G</t>
  </si>
  <si>
    <t>1600A00S4H</t>
  </si>
  <si>
    <t>1600A00X5A</t>
  </si>
  <si>
    <t>1600A00XB1</t>
  </si>
  <si>
    <t>1600A00XC4</t>
  </si>
  <si>
    <t>1600A00XC7</t>
  </si>
  <si>
    <t>1600A00XC9</t>
  </si>
  <si>
    <t>1600A00XD7</t>
  </si>
  <si>
    <t>1600A00XF7</t>
  </si>
  <si>
    <t>1600A00XK8</t>
  </si>
  <si>
    <t>1600A00XL5</t>
  </si>
  <si>
    <t>1600A00XL6</t>
  </si>
  <si>
    <t>1600A00XL9</t>
  </si>
  <si>
    <t>1600A00XM0</t>
  </si>
  <si>
    <t>1600A00XR3</t>
  </si>
  <si>
    <t>1600A00XS4</t>
  </si>
  <si>
    <t>1600A00XU3</t>
  </si>
  <si>
    <t>1600A00XU5</t>
  </si>
  <si>
    <t>1600A00XU6</t>
  </si>
  <si>
    <t>1600A00XU7</t>
  </si>
  <si>
    <t>1600A00XY2</t>
  </si>
  <si>
    <t>1600.A00.XY2-000</t>
  </si>
  <si>
    <t>1600A00XZ2</t>
  </si>
  <si>
    <t>1600A00XZ6</t>
  </si>
  <si>
    <t>1600A00XZ9</t>
  </si>
  <si>
    <t>1600A00Y2H</t>
  </si>
  <si>
    <t>1600.A00.Y2H-000</t>
  </si>
  <si>
    <t>1600A00Y9B</t>
  </si>
  <si>
    <t>1600A00Z28</t>
  </si>
  <si>
    <t>1600A00Z5N</t>
  </si>
  <si>
    <t>1600A00Z9L</t>
  </si>
  <si>
    <t>1600A00Z9U</t>
  </si>
  <si>
    <t>1600A00ZS0</t>
  </si>
  <si>
    <t>1600A00ZS9</t>
  </si>
  <si>
    <t>1600A00ZZ3</t>
  </si>
  <si>
    <t>1600.A00.ZZ3-000</t>
  </si>
  <si>
    <t>1600A0100K</t>
  </si>
  <si>
    <t>1600A0100L</t>
  </si>
  <si>
    <t>1600A0103S</t>
  </si>
  <si>
    <t>1600A011DL</t>
  </si>
  <si>
    <t>1600A011E6</t>
  </si>
  <si>
    <t>1600A011EM</t>
  </si>
  <si>
    <t>1600A011ER</t>
  </si>
  <si>
    <t>1600A011ES</t>
  </si>
  <si>
    <t>1600A011G2</t>
  </si>
  <si>
    <t>1600A011GY</t>
  </si>
  <si>
    <t>1600A011GZ</t>
  </si>
  <si>
    <t>1600A011H7</t>
  </si>
  <si>
    <t>1600A011H8</t>
  </si>
  <si>
    <t>1600A011H9</t>
  </si>
  <si>
    <t>1600A011HB</t>
  </si>
  <si>
    <t>1600A011HD</t>
  </si>
  <si>
    <t>1600A011KY</t>
  </si>
  <si>
    <t>1600A011L4</t>
  </si>
  <si>
    <t>1600A011PJ</t>
  </si>
  <si>
    <t>1600A011PK</t>
  </si>
  <si>
    <t>1600A011RL</t>
  </si>
  <si>
    <t>1600A011RM</t>
  </si>
  <si>
    <t>1600A011RN</t>
  </si>
  <si>
    <t>1600A011RP</t>
  </si>
  <si>
    <t>1600A011RR</t>
  </si>
  <si>
    <t>1600A011RS</t>
  </si>
  <si>
    <t>1600A011RT</t>
  </si>
  <si>
    <t>1600A011RU</t>
  </si>
  <si>
    <t>1600A011RW</t>
  </si>
  <si>
    <t>1600A011RX</t>
  </si>
  <si>
    <t>1600A011RY</t>
  </si>
  <si>
    <t>1600A011RZ</t>
  </si>
  <si>
    <t>1600A011S7</t>
  </si>
  <si>
    <t>1600A011S8</t>
  </si>
  <si>
    <t>1600A011S9</t>
  </si>
  <si>
    <t>1600A0123G</t>
  </si>
  <si>
    <t>1600A01243</t>
  </si>
  <si>
    <t>1600A01268</t>
  </si>
  <si>
    <t>1600A0126S</t>
  </si>
  <si>
    <t>1600A01286</t>
  </si>
  <si>
    <t>1600A012AZ</t>
  </si>
  <si>
    <t>1600A012BS</t>
  </si>
  <si>
    <t>1600A012CF</t>
  </si>
  <si>
    <t>1600A012F8</t>
  </si>
  <si>
    <t>1600A012FA</t>
  </si>
  <si>
    <t>1600A012FH</t>
  </si>
  <si>
    <t>1600A012FK</t>
  </si>
  <si>
    <t>1600A012G8</t>
  </si>
  <si>
    <t>1600A012H4</t>
  </si>
  <si>
    <t>1600A012LA</t>
  </si>
  <si>
    <t>1600A012MM</t>
  </si>
  <si>
    <t>1600A012MN</t>
  </si>
  <si>
    <t>1600A012MP</t>
  </si>
  <si>
    <t>1600A012MU</t>
  </si>
  <si>
    <t>1600A012MV</t>
  </si>
  <si>
    <t>1600A012RS</t>
  </si>
  <si>
    <t>1600A012VS</t>
  </si>
  <si>
    <t>1600A012VU</t>
  </si>
  <si>
    <t>1600A012X9</t>
  </si>
  <si>
    <t>1600A012YT</t>
  </si>
  <si>
    <t>1600A012ZA</t>
  </si>
  <si>
    <t>1600A012ZD</t>
  </si>
  <si>
    <t>1600A012ZH</t>
  </si>
  <si>
    <t>1600A01300</t>
  </si>
  <si>
    <t>1600A01305</t>
  </si>
  <si>
    <t>1600A0131C</t>
  </si>
  <si>
    <t>1600A0135N</t>
  </si>
  <si>
    <t>1600A0137V</t>
  </si>
  <si>
    <t>1600A01384</t>
  </si>
  <si>
    <t>1600A013A0</t>
  </si>
  <si>
    <t>1600A013BF</t>
  </si>
  <si>
    <t>1600A013DD</t>
  </si>
  <si>
    <t>1600A013TC</t>
  </si>
  <si>
    <t>1600A013UA</t>
  </si>
  <si>
    <t>1600A013WF</t>
  </si>
  <si>
    <t>1600A0140K</t>
  </si>
  <si>
    <t>1600A01437</t>
  </si>
  <si>
    <t>1600A0145D</t>
  </si>
  <si>
    <t>1600A0149S</t>
  </si>
  <si>
    <t>1600A014A0</t>
  </si>
  <si>
    <t>1600A014A7</t>
  </si>
  <si>
    <t>1600A014BT</t>
  </si>
  <si>
    <t>1600A014CC</t>
  </si>
  <si>
    <t>1600A014CE</t>
  </si>
  <si>
    <t>1600A014E1</t>
  </si>
  <si>
    <t>1600A014FB</t>
  </si>
  <si>
    <t>1600A014FE</t>
  </si>
  <si>
    <t>1600A014FK</t>
  </si>
  <si>
    <t>1600A014FN</t>
  </si>
  <si>
    <t>1600A014FT</t>
  </si>
  <si>
    <t>1600A014HJ</t>
  </si>
  <si>
    <t>1600A014KM</t>
  </si>
  <si>
    <t>1600A014KN</t>
  </si>
  <si>
    <t>1600A014KV</t>
  </si>
  <si>
    <t>1600A014L1</t>
  </si>
  <si>
    <t>1600A014R6</t>
  </si>
  <si>
    <t>1600A014S8</t>
  </si>
  <si>
    <t>1600A014S9</t>
  </si>
  <si>
    <t>1600A014T0</t>
  </si>
  <si>
    <t>1600A014TU</t>
  </si>
  <si>
    <t>1600A014TW</t>
  </si>
  <si>
    <t>1600A014U0</t>
  </si>
  <si>
    <t>1600A014U1</t>
  </si>
  <si>
    <t>1600A014U2</t>
  </si>
  <si>
    <t>1600A014U3</t>
  </si>
  <si>
    <t>1600A014UP</t>
  </si>
  <si>
    <t>1600A014UR</t>
  </si>
  <si>
    <t>1600A014US</t>
  </si>
  <si>
    <t>1600A014UT</t>
  </si>
  <si>
    <t>1600A014VC</t>
  </si>
  <si>
    <t>1600A014VJ</t>
  </si>
  <si>
    <t>1600A014VK</t>
  </si>
  <si>
    <t>1600A014VL</t>
  </si>
  <si>
    <t>1600A0150K</t>
  </si>
  <si>
    <t>1600A0152P</t>
  </si>
  <si>
    <t>1600A0155U</t>
  </si>
  <si>
    <t>1600A0155W</t>
  </si>
  <si>
    <t>1600A0155X</t>
  </si>
  <si>
    <t>1600A0155Y</t>
  </si>
  <si>
    <t>1600A01564</t>
  </si>
  <si>
    <t>1600A015AA</t>
  </si>
  <si>
    <t>1600A015E8</t>
  </si>
  <si>
    <t>1600A015G7</t>
  </si>
  <si>
    <t>1600A015MM</t>
  </si>
  <si>
    <t>1600A015PA</t>
  </si>
  <si>
    <t>1600A015RL</t>
  </si>
  <si>
    <t>1600A015RV</t>
  </si>
  <si>
    <t>1600A015UH</t>
  </si>
  <si>
    <t>1600A015UW</t>
  </si>
  <si>
    <t>1600A015X0</t>
  </si>
  <si>
    <t>1600A01606</t>
  </si>
  <si>
    <t>1600A0160S</t>
  </si>
  <si>
    <t>1600A0160T</t>
  </si>
  <si>
    <t>1600A0161F</t>
  </si>
  <si>
    <t>1600A0162B</t>
  </si>
  <si>
    <t>1600A016CY</t>
  </si>
  <si>
    <t>1600A016CZ</t>
  </si>
  <si>
    <t>1600A016D0</t>
  </si>
  <si>
    <t>1600A016D1</t>
  </si>
  <si>
    <t>1600A016DA</t>
  </si>
  <si>
    <t>1600A016DN</t>
  </si>
  <si>
    <t>1600A016EN</t>
  </si>
  <si>
    <t>1600A016EP</t>
  </si>
  <si>
    <t>1600A016JC</t>
  </si>
  <si>
    <t>1600A016ML</t>
  </si>
  <si>
    <t>1600A016MW</t>
  </si>
  <si>
    <t>1600A016PP</t>
  </si>
  <si>
    <t>1600A016PW</t>
  </si>
  <si>
    <t>1600A016PX</t>
  </si>
  <si>
    <t>1600A016SU</t>
  </si>
  <si>
    <t>1600A016U4</t>
  </si>
  <si>
    <t>1600A016YW</t>
  </si>
  <si>
    <t>1600A016ZT</t>
  </si>
  <si>
    <t>1600A0174J</t>
  </si>
  <si>
    <t>1600A0178V</t>
  </si>
  <si>
    <t>1600A017EM</t>
  </si>
  <si>
    <t>1600A017HF</t>
  </si>
  <si>
    <t>1600A017HH</t>
  </si>
  <si>
    <t>1600A017J3</t>
  </si>
  <si>
    <t>1600A018TN</t>
  </si>
  <si>
    <t>1600A018U8</t>
  </si>
  <si>
    <t>1600A018W7</t>
  </si>
  <si>
    <t>1600A018W8</t>
  </si>
  <si>
    <t>1600A018Z2</t>
  </si>
  <si>
    <t>1600A0192G</t>
  </si>
  <si>
    <t>1600A01953</t>
  </si>
  <si>
    <t>1600A0195K</t>
  </si>
  <si>
    <t>1600A019AD</t>
  </si>
  <si>
    <t>1600A019B3</t>
  </si>
  <si>
    <t>1600A019DG</t>
  </si>
  <si>
    <t>1600A019F0</t>
  </si>
  <si>
    <t>1600A019H0</t>
  </si>
  <si>
    <t>1600A019L6</t>
  </si>
  <si>
    <t>1600A019L7</t>
  </si>
  <si>
    <t>1600A019L8</t>
  </si>
  <si>
    <t>1600A019TP</t>
  </si>
  <si>
    <t>1600A019TY</t>
  </si>
  <si>
    <t>1600A019WL</t>
  </si>
  <si>
    <t>1600A019XJ</t>
  </si>
  <si>
    <t>1600A019Z0</t>
  </si>
  <si>
    <t>1600A019Z4</t>
  </si>
  <si>
    <t>1600A01A4D</t>
  </si>
  <si>
    <t>1600A01A54</t>
  </si>
  <si>
    <t>1600A01A6N</t>
  </si>
  <si>
    <t>1600A01A6S</t>
  </si>
  <si>
    <t>1600A01A78</t>
  </si>
  <si>
    <t>1600A01AH5</t>
  </si>
  <si>
    <t>1600A01AH6</t>
  </si>
  <si>
    <t>1600A01AV6</t>
  </si>
  <si>
    <t>1600A01B11</t>
  </si>
  <si>
    <t>1600A01B36</t>
  </si>
  <si>
    <t>1600A01B3C</t>
  </si>
  <si>
    <t>1600A01B3E</t>
  </si>
  <si>
    <t>1600A01B3F</t>
  </si>
  <si>
    <t>1600A01B3G</t>
  </si>
  <si>
    <t>1600A01B64</t>
  </si>
  <si>
    <t>1600A01B74</t>
  </si>
  <si>
    <t>1600A01B75</t>
  </si>
  <si>
    <t>1600A01B9G</t>
  </si>
  <si>
    <t>1600A01B9J</t>
  </si>
  <si>
    <t>1600A01BG3</t>
  </si>
  <si>
    <t>1600A01BG6</t>
  </si>
  <si>
    <t>1600A01BH0</t>
  </si>
  <si>
    <t>1600A01C3T</t>
  </si>
  <si>
    <t>1600A01C7L</t>
  </si>
  <si>
    <t>1600A01C8C</t>
  </si>
  <si>
    <t>1600A01C8L</t>
  </si>
  <si>
    <t>1600A01C8X</t>
  </si>
  <si>
    <t>1600A01C95</t>
  </si>
  <si>
    <t>1600A01C9M</t>
  </si>
  <si>
    <t>1600A01D0V</t>
  </si>
  <si>
    <t>1600A01D0W</t>
  </si>
  <si>
    <t>1600A01D6X</t>
  </si>
  <si>
    <t>1600A01D7B</t>
  </si>
  <si>
    <t>1600A01D7C</t>
  </si>
  <si>
    <t>1600A01D7D</t>
  </si>
  <si>
    <t>1600A01D8L</t>
  </si>
  <si>
    <t>1600A01D8N</t>
  </si>
  <si>
    <t>1600A01D8P</t>
  </si>
  <si>
    <t>1600A01D8R</t>
  </si>
  <si>
    <t>1600A01D8S</t>
  </si>
  <si>
    <t>1600A01D8T</t>
  </si>
  <si>
    <t>1600A01D8U</t>
  </si>
  <si>
    <t>1600A01D8V</t>
  </si>
  <si>
    <t>1600A01D8W</t>
  </si>
  <si>
    <t>1600A01D8X</t>
  </si>
  <si>
    <t>1600A01D8Y</t>
  </si>
  <si>
    <t>1600A01D8Z</t>
  </si>
  <si>
    <t>1600A01D90</t>
  </si>
  <si>
    <t>1600A01D91</t>
  </si>
  <si>
    <t>1600A01DD4</t>
  </si>
  <si>
    <t>1600A01E0A</t>
  </si>
  <si>
    <t>1600A01E10</t>
  </si>
  <si>
    <t>1600A01E7S</t>
  </si>
  <si>
    <t>1600A01E7T</t>
  </si>
  <si>
    <t>1600A01E7U</t>
  </si>
  <si>
    <t>1600A01E9C</t>
  </si>
  <si>
    <t>1600A01EC4</t>
  </si>
  <si>
    <t>1600A01H00</t>
  </si>
  <si>
    <t>1600A01L55</t>
  </si>
  <si>
    <t>1600A01L56</t>
  </si>
  <si>
    <t>1600A01L7D</t>
  </si>
  <si>
    <t>1600A01LJ8</t>
  </si>
  <si>
    <t>1600A01LJ9</t>
  </si>
  <si>
    <t>1600A01M4B</t>
  </si>
  <si>
    <t>1600A01M59</t>
  </si>
  <si>
    <t>1600A01M8Z</t>
  </si>
  <si>
    <t>1600A01MH9</t>
  </si>
  <si>
    <t>1600A01MN8</t>
  </si>
  <si>
    <t>1600A01N0J</t>
  </si>
  <si>
    <t>1600A01N0N</t>
  </si>
  <si>
    <t>1600A01N0V</t>
  </si>
  <si>
    <t>1600A01N64</t>
  </si>
  <si>
    <t>1600A01N8R</t>
  </si>
  <si>
    <t>1600A01N8S</t>
  </si>
  <si>
    <t>1600A01N9M</t>
  </si>
  <si>
    <t>1600A01NA9</t>
  </si>
  <si>
    <t>1600A01NC3</t>
  </si>
  <si>
    <t>1600A01NE4</t>
  </si>
  <si>
    <t>1600A01P3K</t>
  </si>
  <si>
    <t>1600A01P8Z</t>
  </si>
  <si>
    <t>1600A01PG3</t>
  </si>
  <si>
    <t>1600A01PN1</t>
  </si>
  <si>
    <t>1600A01R18</t>
  </si>
  <si>
    <t>1600A01R1M</t>
  </si>
  <si>
    <t>1600A01R7G</t>
  </si>
  <si>
    <t>1600A01R96</t>
  </si>
  <si>
    <t>1600A01RH6</t>
  </si>
  <si>
    <t>1600A01RH7</t>
  </si>
  <si>
    <t>1600A01RJ3</t>
  </si>
  <si>
    <t>1600A01RJ5</t>
  </si>
  <si>
    <t>1600A01RX5</t>
  </si>
  <si>
    <t>1600A01S0T</t>
  </si>
  <si>
    <t>1600A01S1M</t>
  </si>
  <si>
    <t>1600A01S8V</t>
  </si>
  <si>
    <t>1600A01SH6</t>
  </si>
  <si>
    <t>1600A01T3V</t>
  </si>
  <si>
    <t>1600A01T49</t>
  </si>
  <si>
    <t>1600A01T4A</t>
  </si>
  <si>
    <t>1600A01T4C</t>
  </si>
  <si>
    <t>1600A01T91</t>
  </si>
  <si>
    <t>1600A01TA7</t>
  </si>
  <si>
    <t>1600A01TD0</t>
  </si>
  <si>
    <t>1600A01TJ5</t>
  </si>
  <si>
    <t>1600A01TN9</t>
  </si>
  <si>
    <t>1600A01U33</t>
  </si>
  <si>
    <t>1600A01U34</t>
  </si>
  <si>
    <t>1600A01UT1</t>
  </si>
  <si>
    <t>1600A01V56</t>
  </si>
  <si>
    <t>1600A01V6E</t>
  </si>
  <si>
    <t>1600A01V6F</t>
  </si>
  <si>
    <t>1600A01V6K</t>
  </si>
  <si>
    <t>1600A01V6L</t>
  </si>
  <si>
    <t>1600A01VF0</t>
  </si>
  <si>
    <t>1600A01VF1</t>
  </si>
  <si>
    <t>1600A01VP3</t>
  </si>
  <si>
    <t>1600A01YB7</t>
  </si>
  <si>
    <t>1600A01YE8</t>
  </si>
  <si>
    <t>1600A01YV1</t>
  </si>
  <si>
    <t>1600A01ZK6</t>
  </si>
  <si>
    <t>1600A01ZK8</t>
  </si>
  <si>
    <t>1600A01ZM8</t>
  </si>
  <si>
    <t>1600A01ZN0</t>
  </si>
  <si>
    <t>1600A01ZT9</t>
  </si>
  <si>
    <t>1600A020T1</t>
  </si>
  <si>
    <t>1600A020WP</t>
  </si>
  <si>
    <t>1600A020XW</t>
  </si>
  <si>
    <t>1600A0210V</t>
  </si>
  <si>
    <t>1600A0213M</t>
  </si>
  <si>
    <t>1600A0213N</t>
  </si>
  <si>
    <t>1600A0221L</t>
  </si>
  <si>
    <t>1600A022BK</t>
  </si>
  <si>
    <t>1600A022BL</t>
  </si>
  <si>
    <t>1600A022BM</t>
  </si>
  <si>
    <t>1600A022BN</t>
  </si>
  <si>
    <t>1600A022BP</t>
  </si>
  <si>
    <t>1600A022BR</t>
  </si>
  <si>
    <t>1600A022BS</t>
  </si>
  <si>
    <t>1600A022BT</t>
  </si>
  <si>
    <t>1600A022BW</t>
  </si>
  <si>
    <t>1600A022BY</t>
  </si>
  <si>
    <t>1600A022C0</t>
  </si>
  <si>
    <t>1600A022C3</t>
  </si>
  <si>
    <t>1600A022C4</t>
  </si>
  <si>
    <t>1600A022C7</t>
  </si>
  <si>
    <t>1600A022C9</t>
  </si>
  <si>
    <t>1600A022CC</t>
  </si>
  <si>
    <t>1600A022CD</t>
  </si>
  <si>
    <t>1600A022CF</t>
  </si>
  <si>
    <t>1600A022CG</t>
  </si>
  <si>
    <t>1600A022CH</t>
  </si>
  <si>
    <t>1600A022CJ</t>
  </si>
  <si>
    <t>1600A022CK</t>
  </si>
  <si>
    <t>1600A022CL</t>
  </si>
  <si>
    <t>1600A022CM</t>
  </si>
  <si>
    <t>1600A022CN</t>
  </si>
  <si>
    <t>1600A022CP</t>
  </si>
  <si>
    <t>1600A022CX</t>
  </si>
  <si>
    <t>1600A022CY</t>
  </si>
  <si>
    <t>1600A022CZ</t>
  </si>
  <si>
    <t>1600A022D0</t>
  </si>
  <si>
    <t>1600A022D1</t>
  </si>
  <si>
    <t>1600A022D6</t>
  </si>
  <si>
    <t>1600A022D7</t>
  </si>
  <si>
    <t>1600A022D8</t>
  </si>
  <si>
    <t>1600A022DA</t>
  </si>
  <si>
    <t>1600A022DD</t>
  </si>
  <si>
    <t>1600A022DE</t>
  </si>
  <si>
    <t>1600A022DF</t>
  </si>
  <si>
    <t>1600A022DG</t>
  </si>
  <si>
    <t>1600A022DH</t>
  </si>
  <si>
    <t>1600A022DJ</t>
  </si>
  <si>
    <t>1600A022DK</t>
  </si>
  <si>
    <t>1600A022DL</t>
  </si>
  <si>
    <t>1600A022DM</t>
  </si>
  <si>
    <t>1600A022DN</t>
  </si>
  <si>
    <t>1600A022DP</t>
  </si>
  <si>
    <t>1600A022DS</t>
  </si>
  <si>
    <t>1600A022DT</t>
  </si>
  <si>
    <t>1600A022DU</t>
  </si>
  <si>
    <t>1600A022DV</t>
  </si>
  <si>
    <t>1600A022DY</t>
  </si>
  <si>
    <t>1600A022DZ</t>
  </si>
  <si>
    <t>1600A022E0</t>
  </si>
  <si>
    <t>1600A022E1</t>
  </si>
  <si>
    <t>1600A022E2</t>
  </si>
  <si>
    <t>1600A022E3</t>
  </si>
  <si>
    <t>1600A022E4</t>
  </si>
  <si>
    <t>1600A022E5</t>
  </si>
  <si>
    <t>1600A022E8</t>
  </si>
  <si>
    <t>1600A022E9</t>
  </si>
  <si>
    <t>1600A022EA</t>
  </si>
  <si>
    <t>1600A022EB</t>
  </si>
  <si>
    <t>1600A022EC</t>
  </si>
  <si>
    <t>1600A022ED</t>
  </si>
  <si>
    <t>1600A022EG</t>
  </si>
  <si>
    <t>1600A022EL</t>
  </si>
  <si>
    <t>1600A022EP</t>
  </si>
  <si>
    <t>1600A022ER</t>
  </si>
  <si>
    <t>1600A022ES</t>
  </si>
  <si>
    <t>1600A022ET</t>
  </si>
  <si>
    <t>1600A022EU</t>
  </si>
  <si>
    <t>1600A022EX</t>
  </si>
  <si>
    <t>1600A022EY</t>
  </si>
  <si>
    <t>1600A022EZ</t>
  </si>
  <si>
    <t>1600A022F1</t>
  </si>
  <si>
    <t>1600A022F2</t>
  </si>
  <si>
    <t>1600A022F4</t>
  </si>
  <si>
    <t>1600A022F5</t>
  </si>
  <si>
    <t>1600A022F6</t>
  </si>
  <si>
    <t>1600A022F7</t>
  </si>
  <si>
    <t>1600A022F8</t>
  </si>
  <si>
    <t>1600A022F9</t>
  </si>
  <si>
    <t>1600A022FA</t>
  </si>
  <si>
    <t>1600A022FB</t>
  </si>
  <si>
    <t>1600A022FD</t>
  </si>
  <si>
    <t>1600A022FE</t>
  </si>
  <si>
    <t>1600A022FF</t>
  </si>
  <si>
    <t>1600A022FG</t>
  </si>
  <si>
    <t>1600A022FK</t>
  </si>
  <si>
    <t>1600A022FM</t>
  </si>
  <si>
    <t>1600A022FN</t>
  </si>
  <si>
    <t>1600A022FP</t>
  </si>
  <si>
    <t>1600A022FR</t>
  </si>
  <si>
    <t>1600A022FS</t>
  </si>
  <si>
    <t>1600A022FT</t>
  </si>
  <si>
    <t>1600A022FU</t>
  </si>
  <si>
    <t>1600A022FV</t>
  </si>
  <si>
    <t>1600A022FW</t>
  </si>
  <si>
    <t>1600A022FX</t>
  </si>
  <si>
    <t>1600A022FY</t>
  </si>
  <si>
    <t>1600A022FZ</t>
  </si>
  <si>
    <t>1600A022G5</t>
  </si>
  <si>
    <t>1600A0230T</t>
  </si>
  <si>
    <t>1600A02354</t>
  </si>
  <si>
    <t>1600A023G7</t>
  </si>
  <si>
    <t>1600A023J3</t>
  </si>
  <si>
    <t>1600A023VS</t>
  </si>
  <si>
    <t>1600A023VT</t>
  </si>
  <si>
    <t>1600A023VV</t>
  </si>
  <si>
    <t>1600A024AU</t>
  </si>
  <si>
    <t>1600A024AZ</t>
  </si>
  <si>
    <t>1600A024N1</t>
  </si>
  <si>
    <t>1600A024SC</t>
  </si>
  <si>
    <t>1600A024SG</t>
  </si>
  <si>
    <t>1600A024X4</t>
  </si>
  <si>
    <t>1600A024X5</t>
  </si>
  <si>
    <t>1600A024YV</t>
  </si>
  <si>
    <t>1600A024YW</t>
  </si>
  <si>
    <t>1600A0250N</t>
  </si>
  <si>
    <t>1600A025F2</t>
  </si>
  <si>
    <t>1600A025FA</t>
  </si>
  <si>
    <t>1600A025FB</t>
  </si>
  <si>
    <t>1600A025V9</t>
  </si>
  <si>
    <t>1600A0261R</t>
  </si>
  <si>
    <t>1600A026DC</t>
  </si>
  <si>
    <t>1600A026DE</t>
  </si>
  <si>
    <t>1600A026PN</t>
  </si>
  <si>
    <t>1600A026PP</t>
  </si>
  <si>
    <t>1600A026YU</t>
  </si>
  <si>
    <t>1600A027H7</t>
  </si>
  <si>
    <t>1600A027VK</t>
  </si>
  <si>
    <t>1600A027W8</t>
  </si>
  <si>
    <t>1600A028H1</t>
  </si>
  <si>
    <t>1600A029B2</t>
  </si>
  <si>
    <t>1600A029GR</t>
  </si>
  <si>
    <t>1601118A55</t>
  </si>
  <si>
    <t>1601118A64</t>
  </si>
  <si>
    <t>1601118A77</t>
  </si>
  <si>
    <t>1601118S69</t>
  </si>
  <si>
    <t>1601118T27</t>
  </si>
  <si>
    <t>160111A3H0</t>
  </si>
  <si>
    <t>160111A3H3</t>
  </si>
  <si>
    <t>160111A3H5</t>
  </si>
  <si>
    <t>160111A3H9</t>
  </si>
  <si>
    <t>160111A3RV</t>
  </si>
  <si>
    <t>160111A4AX</t>
  </si>
  <si>
    <t>160111A4XG</t>
  </si>
  <si>
    <t>160111A51D</t>
  </si>
  <si>
    <t>160111A54D</t>
  </si>
  <si>
    <t>160111A55Y</t>
  </si>
  <si>
    <t>160111A5BE</t>
  </si>
  <si>
    <t>160111A5CK</t>
  </si>
  <si>
    <t>160111A5CU</t>
  </si>
  <si>
    <t>160111A5D1</t>
  </si>
  <si>
    <t>160111A5MZ</t>
  </si>
  <si>
    <t>160111A632</t>
  </si>
  <si>
    <t>160111A6JB</t>
  </si>
  <si>
    <t>160111A6JR</t>
  </si>
  <si>
    <t>160111A6LF</t>
  </si>
  <si>
    <t>160111A6LK</t>
  </si>
  <si>
    <t>160111A6YS</t>
  </si>
  <si>
    <t>160111A6Z1</t>
  </si>
  <si>
    <t>160111A70H</t>
  </si>
  <si>
    <t>160111A72H</t>
  </si>
  <si>
    <t>160111A75E</t>
  </si>
  <si>
    <t>160111A76H</t>
  </si>
  <si>
    <t>160111A7Y7</t>
  </si>
  <si>
    <t>160111A81V</t>
  </si>
  <si>
    <t>160111C0P1</t>
  </si>
  <si>
    <t>160111C0RD</t>
  </si>
  <si>
    <t>160111C0RN</t>
  </si>
  <si>
    <t>160111C0RP</t>
  </si>
  <si>
    <t>160111C0RX</t>
  </si>
  <si>
    <t>160111C0WU</t>
  </si>
  <si>
    <t>160111C0WW</t>
  </si>
  <si>
    <t>160111C0YP</t>
  </si>
  <si>
    <t>160111C12V</t>
  </si>
  <si>
    <t>160111C1KU</t>
  </si>
  <si>
    <t>160111C21G</t>
  </si>
  <si>
    <t>160111C21T</t>
  </si>
  <si>
    <t>160111C21W</t>
  </si>
  <si>
    <t>160111C227</t>
  </si>
  <si>
    <t>160111C25M</t>
  </si>
  <si>
    <t>160111C25N</t>
  </si>
  <si>
    <t>160111C297</t>
  </si>
  <si>
    <t>160111C299</t>
  </si>
  <si>
    <t>160111C2DV</t>
  </si>
  <si>
    <t>160111C2EM</t>
  </si>
  <si>
    <t>160111C2MU</t>
  </si>
  <si>
    <t>160111C2N0</t>
  </si>
  <si>
    <t>160111C2N1</t>
  </si>
  <si>
    <t>160111C2PR</t>
  </si>
  <si>
    <t>160111C2RY</t>
  </si>
  <si>
    <t>160111C2SE</t>
  </si>
  <si>
    <t>160111C2TN</t>
  </si>
  <si>
    <t>160111C2TS</t>
  </si>
  <si>
    <t>160111C2TW</t>
  </si>
  <si>
    <t>160111C2UV</t>
  </si>
  <si>
    <t>160111C2WB</t>
  </si>
  <si>
    <t>160111C322</t>
  </si>
  <si>
    <t>160111C324</t>
  </si>
  <si>
    <t>160111C327</t>
  </si>
  <si>
    <t>160111C32F</t>
  </si>
  <si>
    <t>160111C36W</t>
  </si>
  <si>
    <t>160111C375</t>
  </si>
  <si>
    <t>160111C376</t>
  </si>
  <si>
    <t>160111C37H</t>
  </si>
  <si>
    <t>160111C3BV</t>
  </si>
  <si>
    <t>160111C3ND</t>
  </si>
  <si>
    <t>160111C3TM</t>
  </si>
  <si>
    <t>160111C3U5</t>
  </si>
  <si>
    <t>160111C3WM</t>
  </si>
  <si>
    <t>160111C41S</t>
  </si>
  <si>
    <t>160120000C</t>
  </si>
  <si>
    <t>160202507H</t>
  </si>
  <si>
    <t>160202507R</t>
  </si>
  <si>
    <t>160202507U</t>
  </si>
  <si>
    <t>160202507W</t>
  </si>
  <si>
    <t>160202507X</t>
  </si>
  <si>
    <t>160202507Y</t>
  </si>
  <si>
    <t>160202508D</t>
  </si>
  <si>
    <t>160202508J</t>
  </si>
  <si>
    <t>160202508K</t>
  </si>
  <si>
    <t>160202508T</t>
  </si>
  <si>
    <t>160202508X</t>
  </si>
  <si>
    <t>160202508Y</t>
  </si>
  <si>
    <t>160202509C</t>
  </si>
  <si>
    <t>160202509T</t>
  </si>
  <si>
    <t>160202509X</t>
  </si>
  <si>
    <t>160202509Z</t>
  </si>
  <si>
    <t>16020250A0</t>
  </si>
  <si>
    <t>160202610B</t>
  </si>
  <si>
    <t>160312304B</t>
  </si>
  <si>
    <t>160312304R</t>
  </si>
  <si>
    <t>160312305U</t>
  </si>
  <si>
    <t>160312305W</t>
  </si>
  <si>
    <t>160312305Z</t>
  </si>
  <si>
    <t>160312307V</t>
  </si>
  <si>
    <t>160343000A</t>
  </si>
  <si>
    <t>160343000H</t>
  </si>
  <si>
    <t>160343000J</t>
  </si>
  <si>
    <t>160343000K</t>
  </si>
  <si>
    <t>160343000V</t>
  </si>
  <si>
    <t>160343001B</t>
  </si>
  <si>
    <t>160343001C</t>
  </si>
  <si>
    <t>160343001D</t>
  </si>
  <si>
    <t>160343001F</t>
  </si>
  <si>
    <t>160343001G</t>
  </si>
  <si>
    <t>160343001H</t>
  </si>
  <si>
    <t>160343001J</t>
  </si>
  <si>
    <t>160343001K</t>
  </si>
  <si>
    <t>160343001M</t>
  </si>
  <si>
    <t>160343001N</t>
  </si>
  <si>
    <t>160343002C</t>
  </si>
  <si>
    <t>160343002D</t>
  </si>
  <si>
    <t>160343002L</t>
  </si>
  <si>
    <t>160343003T</t>
  </si>
  <si>
    <t>160343003V</t>
  </si>
  <si>
    <t>160343003W</t>
  </si>
  <si>
    <t>160343005U</t>
  </si>
  <si>
    <t>160343005Y</t>
  </si>
  <si>
    <t>160343008V</t>
  </si>
  <si>
    <t>160343008W</t>
  </si>
  <si>
    <t>160343008Y</t>
  </si>
  <si>
    <t>160343008Z</t>
  </si>
  <si>
    <t>160343009A</t>
  </si>
  <si>
    <t>160343009B</t>
  </si>
  <si>
    <t>160343009C</t>
  </si>
  <si>
    <t>160343009D</t>
  </si>
  <si>
    <t>160343009F</t>
  </si>
  <si>
    <t>160343009G</t>
  </si>
  <si>
    <t>160343009H</t>
  </si>
  <si>
    <t>160343009L</t>
  </si>
  <si>
    <t>160343009M</t>
  </si>
  <si>
    <t>160343009N</t>
  </si>
  <si>
    <t>160343009P</t>
  </si>
  <si>
    <t>160343009R</t>
  </si>
  <si>
    <t>16034300A7</t>
  </si>
  <si>
    <t>160343507A</t>
  </si>
  <si>
    <t>160343507C</t>
  </si>
  <si>
    <t>160343507D</t>
  </si>
  <si>
    <t>160343507P</t>
  </si>
  <si>
    <t>160343507U</t>
  </si>
  <si>
    <t>160343507X</t>
  </si>
  <si>
    <t>160343507Y</t>
  </si>
  <si>
    <t>160343507Z</t>
  </si>
  <si>
    <t>160343508V</t>
  </si>
  <si>
    <t>160343508X</t>
  </si>
  <si>
    <t>1603490A07</t>
  </si>
  <si>
    <t>1603490A08</t>
  </si>
  <si>
    <t>1603490A0C</t>
  </si>
  <si>
    <t>1604010A21</t>
  </si>
  <si>
    <t>1604010A23</t>
  </si>
  <si>
    <t>1604010A29</t>
  </si>
  <si>
    <t>1604010A44</t>
  </si>
  <si>
    <t>1604010A58</t>
  </si>
  <si>
    <t>1604010B06</t>
  </si>
  <si>
    <t>1604010B1E</t>
  </si>
  <si>
    <t>1604010B38</t>
  </si>
  <si>
    <t>1604010B3V</t>
  </si>
  <si>
    <t>1604010B41</t>
  </si>
  <si>
    <t>1604010B60</t>
  </si>
  <si>
    <t>1604010B6A</t>
  </si>
  <si>
    <t>1604010B6R</t>
  </si>
  <si>
    <t>1604010B74</t>
  </si>
  <si>
    <t>1604010B7E</t>
  </si>
  <si>
    <t>1604010B7H</t>
  </si>
  <si>
    <t>1604010B7L</t>
  </si>
  <si>
    <t>1604010B8S</t>
  </si>
  <si>
    <t>1604010B9F</t>
  </si>
  <si>
    <t>1604010B9H</t>
  </si>
  <si>
    <t>1604010B9L</t>
  </si>
  <si>
    <t>1604010B9N</t>
  </si>
  <si>
    <t>1604010B9U</t>
  </si>
  <si>
    <t>1604010BC1</t>
  </si>
  <si>
    <t>1604010BC2</t>
  </si>
  <si>
    <t>1604010BD2</t>
  </si>
  <si>
    <t>1604010BD4</t>
  </si>
  <si>
    <t>1604010BE6</t>
  </si>
  <si>
    <t>1604010BG3</t>
  </si>
  <si>
    <t>1604010BN9</t>
  </si>
  <si>
    <t>1604010BP1</t>
  </si>
  <si>
    <t>1604010BS1</t>
  </si>
  <si>
    <t>1604010BS4</t>
  </si>
  <si>
    <t>160422023P</t>
  </si>
  <si>
    <t>160422052C</t>
  </si>
  <si>
    <t>160422052F</t>
  </si>
  <si>
    <t>160422052M</t>
  </si>
  <si>
    <t>160422052R</t>
  </si>
  <si>
    <t>160422052X</t>
  </si>
  <si>
    <t>160422052Y</t>
  </si>
  <si>
    <t>160422052Z</t>
  </si>
  <si>
    <t>160422053J</t>
  </si>
  <si>
    <t>160422053U</t>
  </si>
  <si>
    <t>160422053Y</t>
  </si>
  <si>
    <t>160422054A</t>
  </si>
  <si>
    <t>160422054D</t>
  </si>
  <si>
    <t>160422054G</t>
  </si>
  <si>
    <t>160422054J</t>
  </si>
  <si>
    <t>160422054U</t>
  </si>
  <si>
    <t>160422056P</t>
  </si>
  <si>
    <t>160422057G</t>
  </si>
  <si>
    <t>160422057K</t>
  </si>
  <si>
    <t>160422058H</t>
  </si>
  <si>
    <t>160422058V</t>
  </si>
  <si>
    <t>160422059K</t>
  </si>
  <si>
    <t>160422059M</t>
  </si>
  <si>
    <t>16042205A4</t>
  </si>
  <si>
    <t>160432115J</t>
  </si>
  <si>
    <t>160432116M</t>
  </si>
  <si>
    <t>160432116Z</t>
  </si>
  <si>
    <t>160432117B</t>
  </si>
  <si>
    <t>160433605A</t>
  </si>
  <si>
    <t>160433605B</t>
  </si>
  <si>
    <t>160436004S</t>
  </si>
  <si>
    <t>160440000B</t>
  </si>
  <si>
    <t>160440000C</t>
  </si>
  <si>
    <t>160440001A</t>
  </si>
  <si>
    <t>160440001N</t>
  </si>
  <si>
    <t>160440001P</t>
  </si>
  <si>
    <t>160446071X</t>
  </si>
  <si>
    <t>160446073W</t>
  </si>
  <si>
    <t>160446074F</t>
  </si>
  <si>
    <t>160446074H</t>
  </si>
  <si>
    <t>160446076C</t>
  </si>
  <si>
    <t>160446076D</t>
  </si>
  <si>
    <t>160460102S</t>
  </si>
  <si>
    <t>160460103K</t>
  </si>
  <si>
    <t>160460103M</t>
  </si>
  <si>
    <t>160461200N</t>
  </si>
  <si>
    <t>160461200R</t>
  </si>
  <si>
    <t>160461200X</t>
  </si>
  <si>
    <t>160461201P</t>
  </si>
  <si>
    <t>160461201U</t>
  </si>
  <si>
    <t>160461201X</t>
  </si>
  <si>
    <t>160461202N</t>
  </si>
  <si>
    <t>160461203M</t>
  </si>
  <si>
    <t>160465101C</t>
  </si>
  <si>
    <t>160465101F</t>
  </si>
  <si>
    <t>160465202A</t>
  </si>
  <si>
    <t>160465202D</t>
  </si>
  <si>
    <t>160465202F</t>
  </si>
  <si>
    <t>160465202M</t>
  </si>
  <si>
    <t>160510829B</t>
  </si>
  <si>
    <t>16051082AD</t>
  </si>
  <si>
    <t>16051082AF</t>
  </si>
  <si>
    <t>16051082AW</t>
  </si>
  <si>
    <t>16051082B2</t>
  </si>
  <si>
    <t>16051082B8</t>
  </si>
  <si>
    <t>16051082BB</t>
  </si>
  <si>
    <t>16051082BG</t>
  </si>
  <si>
    <t>16051082BZ</t>
  </si>
  <si>
    <t>16051082C0</t>
  </si>
  <si>
    <t>16051082CC</t>
  </si>
  <si>
    <t>16051082CH</t>
  </si>
  <si>
    <t>16051082CU</t>
  </si>
  <si>
    <t>16051082CZ</t>
  </si>
  <si>
    <t>16051082D1</t>
  </si>
  <si>
    <t>16051082D5</t>
  </si>
  <si>
    <t>16051082DB</t>
  </si>
  <si>
    <t>16051082EL</t>
  </si>
  <si>
    <t>16051082F0</t>
  </si>
  <si>
    <t>16051082FG</t>
  </si>
  <si>
    <t>16051082FT</t>
  </si>
  <si>
    <t>16051082FV</t>
  </si>
  <si>
    <t>16051082G8</t>
  </si>
  <si>
    <t>16051082HP</t>
  </si>
  <si>
    <t>16051082HZ</t>
  </si>
  <si>
    <t>16051082JL</t>
  </si>
  <si>
    <t>16051082JX</t>
  </si>
  <si>
    <t>16051082K9</t>
  </si>
  <si>
    <t>16051082LZ</t>
  </si>
  <si>
    <t>16051082M0</t>
  </si>
  <si>
    <t>16051082M1</t>
  </si>
  <si>
    <t>16051082NX</t>
  </si>
  <si>
    <t>16051082NY</t>
  </si>
  <si>
    <t>16051082NZ</t>
  </si>
  <si>
    <t>16051082P0</t>
  </si>
  <si>
    <t>16051082RT</t>
  </si>
  <si>
    <t>16051082RU</t>
  </si>
  <si>
    <t>16051082S0</t>
  </si>
  <si>
    <t>16051082S1</t>
  </si>
  <si>
    <t>16051082TR</t>
  </si>
  <si>
    <t>160513216N</t>
  </si>
  <si>
    <t>160513217B</t>
  </si>
  <si>
    <t>160513217U</t>
  </si>
  <si>
    <t>160513217V</t>
  </si>
  <si>
    <t>160513217Z</t>
  </si>
  <si>
    <t>160513218U</t>
  </si>
  <si>
    <t>160513218X</t>
  </si>
  <si>
    <t>160513218Y</t>
  </si>
  <si>
    <t>160513219G</t>
  </si>
  <si>
    <t>160513219J</t>
  </si>
  <si>
    <t>160513219K</t>
  </si>
  <si>
    <t>160541101G</t>
  </si>
  <si>
    <t>160541101H</t>
  </si>
  <si>
    <t>16054381G2</t>
  </si>
  <si>
    <t>160550028R</t>
  </si>
  <si>
    <t>16055002A4</t>
  </si>
  <si>
    <t>16055002A5</t>
  </si>
  <si>
    <t>16055002A8</t>
  </si>
  <si>
    <t>16055002AC</t>
  </si>
  <si>
    <t>16055002AU</t>
  </si>
  <si>
    <t>16055002BV</t>
  </si>
  <si>
    <t>16055002C5</t>
  </si>
  <si>
    <t>16055002CF</t>
  </si>
  <si>
    <t>16055002CJ</t>
  </si>
  <si>
    <t>16055002DV</t>
  </si>
  <si>
    <t>16055002EP</t>
  </si>
  <si>
    <t>16055002F9</t>
  </si>
  <si>
    <t>16055002FA</t>
  </si>
  <si>
    <t>16055002GJ</t>
  </si>
  <si>
    <t>16055002GW</t>
  </si>
  <si>
    <t>16055002HL</t>
  </si>
  <si>
    <t>16055002HM</t>
  </si>
  <si>
    <t>16055002HN</t>
  </si>
  <si>
    <t>16055002J9</t>
  </si>
  <si>
    <t>16055002JA</t>
  </si>
  <si>
    <t>160550044M</t>
  </si>
  <si>
    <t>160580515D</t>
  </si>
  <si>
    <t>160580515F</t>
  </si>
  <si>
    <t>160580657C</t>
  </si>
  <si>
    <t>160580657F</t>
  </si>
  <si>
    <t>160580657S</t>
  </si>
  <si>
    <t>160580658F</t>
  </si>
  <si>
    <t>160580658T</t>
  </si>
  <si>
    <t>160580659B</t>
  </si>
  <si>
    <t>16058065B1</t>
  </si>
  <si>
    <t>16058065ET</t>
  </si>
  <si>
    <t>16058065KW</t>
  </si>
  <si>
    <t>16058065LV</t>
  </si>
  <si>
    <t>16058065LW</t>
  </si>
  <si>
    <t>16058065M0</t>
  </si>
  <si>
    <t>16058065M2</t>
  </si>
  <si>
    <t>16058065RA</t>
  </si>
  <si>
    <t>16058065RB</t>
  </si>
  <si>
    <t>16058065S3</t>
  </si>
  <si>
    <t>16058065S4</t>
  </si>
  <si>
    <t>16058065SB</t>
  </si>
  <si>
    <t>16058065SC</t>
  </si>
  <si>
    <t>16058065TR</t>
  </si>
  <si>
    <t>16058065W7</t>
  </si>
  <si>
    <t>16058065XA</t>
  </si>
  <si>
    <t>16058065Y1</t>
  </si>
  <si>
    <t>1605.806.5Y1-000</t>
  </si>
  <si>
    <t>16058065Y4</t>
  </si>
  <si>
    <t>160580660K</t>
  </si>
  <si>
    <t>160580661K</t>
  </si>
  <si>
    <t>160580662M</t>
  </si>
  <si>
    <t>160580662W</t>
  </si>
  <si>
    <t>160580664R</t>
  </si>
  <si>
    <t>160580664U</t>
  </si>
  <si>
    <t>160580664W</t>
  </si>
  <si>
    <t>160580808U</t>
  </si>
  <si>
    <t>16058080A8</t>
  </si>
  <si>
    <t>16058080EW</t>
  </si>
  <si>
    <t>160582023G</t>
  </si>
  <si>
    <t>1605A00047</t>
  </si>
  <si>
    <t>1605A00048</t>
  </si>
  <si>
    <t>1605A000CT</t>
  </si>
  <si>
    <t>1605A000D0</t>
  </si>
  <si>
    <t>1605A000DX</t>
  </si>
  <si>
    <t>1605A000DY</t>
  </si>
  <si>
    <t>160630000V</t>
  </si>
  <si>
    <t>160630000W</t>
  </si>
  <si>
    <t>160630000X</t>
  </si>
  <si>
    <t>16063332BW</t>
  </si>
  <si>
    <t>16063332FF</t>
  </si>
  <si>
    <t>160661015K</t>
  </si>
  <si>
    <t>1607000A06</t>
  </si>
  <si>
    <t>1607000A26</t>
  </si>
  <si>
    <t>1607000A27</t>
  </si>
  <si>
    <t>1607000A30</t>
  </si>
  <si>
    <t>1607000A32</t>
  </si>
  <si>
    <t>1607000A36</t>
  </si>
  <si>
    <t>1607000A38</t>
  </si>
  <si>
    <t>1607000A40</t>
  </si>
  <si>
    <t>1607000A41</t>
  </si>
  <si>
    <t>1607000A42</t>
  </si>
  <si>
    <t>1607000A43</t>
  </si>
  <si>
    <t>1607000A44</t>
  </si>
  <si>
    <t>1607000A47</t>
  </si>
  <si>
    <t>1607000A71</t>
  </si>
  <si>
    <t>1607000A87</t>
  </si>
  <si>
    <t>1607000A88</t>
  </si>
  <si>
    <t>1607000C00</t>
  </si>
  <si>
    <t>1607000C03</t>
  </si>
  <si>
    <t>1607000C04</t>
  </si>
  <si>
    <t>1607000C05</t>
  </si>
  <si>
    <t>1607000C07</t>
  </si>
  <si>
    <t>1607000C13</t>
  </si>
  <si>
    <t>1607000C17</t>
  </si>
  <si>
    <t>1607000C21</t>
  </si>
  <si>
    <t>1607000C22</t>
  </si>
  <si>
    <t>1607000C24</t>
  </si>
  <si>
    <t>1607000C26</t>
  </si>
  <si>
    <t>1607000C3E</t>
  </si>
  <si>
    <t>1607000C3M</t>
  </si>
  <si>
    <t>1607000C3N</t>
  </si>
  <si>
    <t>1607000C3P</t>
  </si>
  <si>
    <t>1607000C3R</t>
  </si>
  <si>
    <t>1607000C3S</t>
  </si>
  <si>
    <t>1607000C3V</t>
  </si>
  <si>
    <t>1607000C3Y</t>
  </si>
  <si>
    <t>1607000C3Z</t>
  </si>
  <si>
    <t>1607000C40</t>
  </si>
  <si>
    <t>1607000C41</t>
  </si>
  <si>
    <t>1607000C42</t>
  </si>
  <si>
    <t>1607000C43</t>
  </si>
  <si>
    <t>1607000C44</t>
  </si>
  <si>
    <t>1607000C45</t>
  </si>
  <si>
    <t>1607000C46</t>
  </si>
  <si>
    <t>1607000C47</t>
  </si>
  <si>
    <t>1607000C48</t>
  </si>
  <si>
    <t>1607000C49</t>
  </si>
  <si>
    <t>1607000C4A</t>
  </si>
  <si>
    <t>1607000C4B</t>
  </si>
  <si>
    <t>1607000C4C</t>
  </si>
  <si>
    <t>1607000C4D</t>
  </si>
  <si>
    <t>1607000C4E</t>
  </si>
  <si>
    <t>1607000C4F</t>
  </si>
  <si>
    <t>1607000C4G</t>
  </si>
  <si>
    <t>1607000C4J</t>
  </si>
  <si>
    <t>1607000C4K</t>
  </si>
  <si>
    <t>1607000C5H</t>
  </si>
  <si>
    <t>1607000C5N</t>
  </si>
  <si>
    <t>1607000C68</t>
  </si>
  <si>
    <t>1607000C69</t>
  </si>
  <si>
    <t>1607000C6B</t>
  </si>
  <si>
    <t>1607000C6C</t>
  </si>
  <si>
    <t>1607000C8U</t>
  </si>
  <si>
    <t>1607000C8W</t>
  </si>
  <si>
    <t>1607000C8X</t>
  </si>
  <si>
    <t>1607000C8Y</t>
  </si>
  <si>
    <t>1607000C8Z</t>
  </si>
  <si>
    <t>1607000C9S</t>
  </si>
  <si>
    <t>1607000C9T</t>
  </si>
  <si>
    <t>1607000C9U</t>
  </si>
  <si>
    <t>1607000C9Z</t>
  </si>
  <si>
    <t>1607000CA0</t>
  </si>
  <si>
    <t>1607000CA3</t>
  </si>
  <si>
    <t>1607000CA4</t>
  </si>
  <si>
    <t>1607000CA5</t>
  </si>
  <si>
    <t>1607000CA6</t>
  </si>
  <si>
    <t>1607000CA8</t>
  </si>
  <si>
    <t>1607000CA9</t>
  </si>
  <si>
    <t>1607000CC0</t>
  </si>
  <si>
    <t>1607000CC8</t>
  </si>
  <si>
    <t>1607000CD1</t>
  </si>
  <si>
    <t>1607000CD6</t>
  </si>
  <si>
    <t>1607000CD7</t>
  </si>
  <si>
    <t>1607000CD9</t>
  </si>
  <si>
    <t>1607000CE0</t>
  </si>
  <si>
    <t>1607000CE1</t>
  </si>
  <si>
    <t>1607000CF0</t>
  </si>
  <si>
    <t>1607000CF2</t>
  </si>
  <si>
    <t>1607000CF9</t>
  </si>
  <si>
    <t>1607000CG7</t>
  </si>
  <si>
    <t>1607000CG9</t>
  </si>
  <si>
    <t>1607000CH4</t>
  </si>
  <si>
    <t>1607000CH6</t>
  </si>
  <si>
    <t>1607000CH8</t>
  </si>
  <si>
    <t>1607000CJ0</t>
  </si>
  <si>
    <t>1607000CJ1</t>
  </si>
  <si>
    <t>1607000CM2</t>
  </si>
  <si>
    <t>1607000CM3</t>
  </si>
  <si>
    <t>1607000CM4</t>
  </si>
  <si>
    <t>1607000CM5</t>
  </si>
  <si>
    <t>1607000CN6</t>
  </si>
  <si>
    <t>1607000CN7</t>
  </si>
  <si>
    <t>1607000CP1</t>
  </si>
  <si>
    <t>1607000CP2</t>
  </si>
  <si>
    <t>1607000CR4</t>
  </si>
  <si>
    <t>1607000CU5</t>
  </si>
  <si>
    <t>1607000CV1</t>
  </si>
  <si>
    <t>1607000CW1</t>
  </si>
  <si>
    <t>1607000CW9</t>
  </si>
  <si>
    <t>1607000CX0</t>
  </si>
  <si>
    <t>1607000CX2</t>
  </si>
  <si>
    <t>1607000CX3</t>
  </si>
  <si>
    <t>1607000CY2</t>
  </si>
  <si>
    <t>1607.000.CY2-000</t>
  </si>
  <si>
    <t>1607000CY3</t>
  </si>
  <si>
    <t>1607.000.CY3-000</t>
  </si>
  <si>
    <t>1607000CY7</t>
  </si>
  <si>
    <t>1607000D09</t>
  </si>
  <si>
    <t>1607000D0A</t>
  </si>
  <si>
    <t>1607000D0C</t>
  </si>
  <si>
    <t>1607000D0D</t>
  </si>
  <si>
    <t>1607000D0H</t>
  </si>
  <si>
    <t>1607000D0S</t>
  </si>
  <si>
    <t>1607000D10</t>
  </si>
  <si>
    <t>1607000D1F</t>
  </si>
  <si>
    <t>1607000D1V</t>
  </si>
  <si>
    <t>1607000D2J</t>
  </si>
  <si>
    <t>1607000D3M</t>
  </si>
  <si>
    <t>1607000D4F</t>
  </si>
  <si>
    <t>1607000D4H</t>
  </si>
  <si>
    <t>1607000D5C</t>
  </si>
  <si>
    <t>1607000D5D</t>
  </si>
  <si>
    <t>1607000D5G</t>
  </si>
  <si>
    <t>1607000D5J</t>
  </si>
  <si>
    <t>1607000D5V</t>
  </si>
  <si>
    <t>1607000D5W</t>
  </si>
  <si>
    <t>1607000D5X</t>
  </si>
  <si>
    <t>1607000D5Z</t>
  </si>
  <si>
    <t>1607000D6D</t>
  </si>
  <si>
    <t>1607000D77</t>
  </si>
  <si>
    <t>1607000D78</t>
  </si>
  <si>
    <t>1607000D7K</t>
  </si>
  <si>
    <t>1607000D7Y</t>
  </si>
  <si>
    <t>1607000D81</t>
  </si>
  <si>
    <t>1607000D83</t>
  </si>
  <si>
    <t>1607000D90</t>
  </si>
  <si>
    <t>1607000D91</t>
  </si>
  <si>
    <t>1607000D92</t>
  </si>
  <si>
    <t>1607000D97</t>
  </si>
  <si>
    <t>1607000D99</t>
  </si>
  <si>
    <t>1607000D9Z</t>
  </si>
  <si>
    <t>1607000DA2</t>
  </si>
  <si>
    <t>1607000DF1</t>
  </si>
  <si>
    <t>1607000DF2</t>
  </si>
  <si>
    <t>1607000DF3</t>
  </si>
  <si>
    <t>1607000DF4</t>
  </si>
  <si>
    <t>1607000DF5</t>
  </si>
  <si>
    <t>1607000DF6</t>
  </si>
  <si>
    <t>1607000DK5</t>
  </si>
  <si>
    <t>1607000DL2</t>
  </si>
  <si>
    <t>1607000DL3</t>
  </si>
  <si>
    <t>1607000DL4</t>
  </si>
  <si>
    <t>1607000DL5</t>
  </si>
  <si>
    <t>1607000DL7</t>
  </si>
  <si>
    <t>1607000DL8</t>
  </si>
  <si>
    <t>1607000DL9</t>
  </si>
  <si>
    <t>1607000DM8</t>
  </si>
  <si>
    <t>1607000DN0</t>
  </si>
  <si>
    <t>1607000DN1</t>
  </si>
  <si>
    <t>1607000DN4</t>
  </si>
  <si>
    <t>1607000DN5</t>
  </si>
  <si>
    <t>1607000DN6</t>
  </si>
  <si>
    <t>1607000E0N</t>
  </si>
  <si>
    <t>1607000E1D</t>
  </si>
  <si>
    <t>1607000E1R</t>
  </si>
  <si>
    <t>1607000E4F</t>
  </si>
  <si>
    <t>1607000E5A</t>
  </si>
  <si>
    <t>1607000E5B</t>
  </si>
  <si>
    <t>1607000E5C</t>
  </si>
  <si>
    <t>1607000E5D</t>
  </si>
  <si>
    <t>1607000E5E</t>
  </si>
  <si>
    <t>1607000E6A</t>
  </si>
  <si>
    <t>1607000E6G</t>
  </si>
  <si>
    <t>1607000E6H</t>
  </si>
  <si>
    <t>1607000E6J</t>
  </si>
  <si>
    <t>1607000E6K</t>
  </si>
  <si>
    <t>1607000E6U</t>
  </si>
  <si>
    <t>1607000E7U</t>
  </si>
  <si>
    <t>1607000EC3</t>
  </si>
  <si>
    <t>1607000EH2</t>
  </si>
  <si>
    <t>1607000V14</t>
  </si>
  <si>
    <t>1607000V38</t>
  </si>
  <si>
    <t>1607000V39</t>
  </si>
  <si>
    <t>1607000V42</t>
  </si>
  <si>
    <t>1607000V43</t>
  </si>
  <si>
    <t>1607000V44</t>
  </si>
  <si>
    <t>1607000V49</t>
  </si>
  <si>
    <t>1607000V55</t>
  </si>
  <si>
    <t>160701417H</t>
  </si>
  <si>
    <t>160701417J</t>
  </si>
  <si>
    <t>160701417U</t>
  </si>
  <si>
    <t>160701418A</t>
  </si>
  <si>
    <t>160701418D</t>
  </si>
  <si>
    <t>160701418G</t>
  </si>
  <si>
    <t>160701418H</t>
  </si>
  <si>
    <t>160701418J</t>
  </si>
  <si>
    <t>160701418K</t>
  </si>
  <si>
    <t>160701418L</t>
  </si>
  <si>
    <t>160701418M</t>
  </si>
  <si>
    <t>160701418S</t>
  </si>
  <si>
    <t>160701418T</t>
  </si>
  <si>
    <t>160701418U</t>
  </si>
  <si>
    <t>160701418V</t>
  </si>
  <si>
    <t>160701418W</t>
  </si>
  <si>
    <t>160701418X</t>
  </si>
  <si>
    <t>160701418Y</t>
  </si>
  <si>
    <t>160701418Z</t>
  </si>
  <si>
    <t>160702264L</t>
  </si>
  <si>
    <t>160702266M</t>
  </si>
  <si>
    <t>160702266W</t>
  </si>
  <si>
    <t>160702266Y</t>
  </si>
  <si>
    <t>160702267D</t>
  </si>
  <si>
    <t>160702267K</t>
  </si>
  <si>
    <t>160702267M</t>
  </si>
  <si>
    <t>160702269Z</t>
  </si>
  <si>
    <t>160703129W</t>
  </si>
  <si>
    <t>16070312AE</t>
  </si>
  <si>
    <t>16070312DL</t>
  </si>
  <si>
    <t>16070312DM</t>
  </si>
  <si>
    <t>16070312DN</t>
  </si>
  <si>
    <t>16070312DP</t>
  </si>
  <si>
    <t>16070312DR</t>
  </si>
  <si>
    <t>16070312DU</t>
  </si>
  <si>
    <t>16070312DW</t>
  </si>
  <si>
    <t>16070312DY</t>
  </si>
  <si>
    <t>16070312DZ</t>
  </si>
  <si>
    <t>160720030F</t>
  </si>
  <si>
    <t>160720031D</t>
  </si>
  <si>
    <t>160720031S</t>
  </si>
  <si>
    <t>160720031X</t>
  </si>
  <si>
    <t>160720031Y</t>
  </si>
  <si>
    <t>160720032U</t>
  </si>
  <si>
    <t>160720033H</t>
  </si>
  <si>
    <t>160720033L</t>
  </si>
  <si>
    <t>160720035A</t>
  </si>
  <si>
    <t>160720035M</t>
  </si>
  <si>
    <t>160720035P</t>
  </si>
  <si>
    <t>160720035W</t>
  </si>
  <si>
    <t>160720036A</t>
  </si>
  <si>
    <t>160720037L</t>
  </si>
  <si>
    <t>160722007S</t>
  </si>
  <si>
    <t>160723358M</t>
  </si>
  <si>
    <t>160723359J</t>
  </si>
  <si>
    <t>160723359P</t>
  </si>
  <si>
    <t>16072335A2</t>
  </si>
  <si>
    <t>16072335A5</t>
  </si>
  <si>
    <t>16072335A7</t>
  </si>
  <si>
    <t>16072335A9</t>
  </si>
  <si>
    <t>16072335AB</t>
  </si>
  <si>
    <t>16072335AS</t>
  </si>
  <si>
    <t>16072335BK</t>
  </si>
  <si>
    <t>16072335BL</t>
  </si>
  <si>
    <t>16072335D3</t>
  </si>
  <si>
    <t>16072335DD</t>
  </si>
  <si>
    <t>16072335DH</t>
  </si>
  <si>
    <t>16072335DW</t>
  </si>
  <si>
    <t>16072335EA</t>
  </si>
  <si>
    <t>16072335EH</t>
  </si>
  <si>
    <t>16072335EP</t>
  </si>
  <si>
    <t>16072335EZ</t>
  </si>
  <si>
    <t>16072335F7</t>
  </si>
  <si>
    <t>16072335FM</t>
  </si>
  <si>
    <t>16072335FP</t>
  </si>
  <si>
    <t>16072335FR</t>
  </si>
  <si>
    <t>16072335FZ</t>
  </si>
  <si>
    <t>16072335G5</t>
  </si>
  <si>
    <t>16072335G6</t>
  </si>
  <si>
    <t>16072335G8</t>
  </si>
  <si>
    <t>16072335GB</t>
  </si>
  <si>
    <t>16072335GD</t>
  </si>
  <si>
    <t>16072335GP</t>
  </si>
  <si>
    <t>16072335JG</t>
  </si>
  <si>
    <t>16072335LG</t>
  </si>
  <si>
    <t>16072335LH</t>
  </si>
  <si>
    <t>16072335LS</t>
  </si>
  <si>
    <t>16072335LX</t>
  </si>
  <si>
    <t>16072335M7</t>
  </si>
  <si>
    <t>16072335MR</t>
  </si>
  <si>
    <t>16072335N0</t>
  </si>
  <si>
    <t>16072335NR</t>
  </si>
  <si>
    <t>16072335R2</t>
  </si>
  <si>
    <t>1607A35040</t>
  </si>
  <si>
    <t>1607A35063</t>
  </si>
  <si>
    <t>1607A3506A</t>
  </si>
  <si>
    <t>1607A35071</t>
  </si>
  <si>
    <t>1607A350AT</t>
  </si>
  <si>
    <t>1607A350B2</t>
  </si>
  <si>
    <t>1607A350B9</t>
  </si>
  <si>
    <t>1607A350BG</t>
  </si>
  <si>
    <t>1607A350C5</t>
  </si>
  <si>
    <t>1607A350C8</t>
  </si>
  <si>
    <t>1607A350DX</t>
  </si>
  <si>
    <t>1607A350F7</t>
  </si>
  <si>
    <t>1607A350H7</t>
  </si>
  <si>
    <t>1607A350MA</t>
  </si>
  <si>
    <t>160804011B</t>
  </si>
  <si>
    <t>1609203A40</t>
  </si>
  <si>
    <t>1609203A55</t>
  </si>
  <si>
    <t>1609203B13</t>
  </si>
  <si>
    <t>1609203B14</t>
  </si>
  <si>
    <t>1609203C10</t>
  </si>
  <si>
    <t>1609203C27</t>
  </si>
  <si>
    <t>1609203C28</t>
  </si>
  <si>
    <t>1609203C29</t>
  </si>
  <si>
    <t>1609203C30</t>
  </si>
  <si>
    <t>1609203C32</t>
  </si>
  <si>
    <t>1609203C33</t>
  </si>
  <si>
    <t>1609203C34</t>
  </si>
  <si>
    <t>1609203C39</t>
  </si>
  <si>
    <t>1609203C40</t>
  </si>
  <si>
    <t>1609203C42</t>
  </si>
  <si>
    <t>1609203C43</t>
  </si>
  <si>
    <t>1609203C46</t>
  </si>
  <si>
    <t>1609203C48</t>
  </si>
  <si>
    <t>1609203C49</t>
  </si>
  <si>
    <t>1609203C50</t>
  </si>
  <si>
    <t>1609203C51</t>
  </si>
  <si>
    <t>1609203C52</t>
  </si>
  <si>
    <t>1609203C53</t>
  </si>
  <si>
    <t>1609203C54</t>
  </si>
  <si>
    <t>1609203C58</t>
  </si>
  <si>
    <t>1609203C59</t>
  </si>
  <si>
    <t>1609203C60</t>
  </si>
  <si>
    <t>1609203C61</t>
  </si>
  <si>
    <t>1609203C62</t>
  </si>
  <si>
    <t>1609203C63</t>
  </si>
  <si>
    <t>1609203C65</t>
  </si>
  <si>
    <t>1609203C66</t>
  </si>
  <si>
    <t>1609203C69</t>
  </si>
  <si>
    <t>1609203C70</t>
  </si>
  <si>
    <t>1609203C71</t>
  </si>
  <si>
    <t>1609203C72</t>
  </si>
  <si>
    <t>1609203C73</t>
  </si>
  <si>
    <t>1609203C74</t>
  </si>
  <si>
    <t>1609203C75</t>
  </si>
  <si>
    <t>1609203C76</t>
  </si>
  <si>
    <t>1609203C77</t>
  </si>
  <si>
    <t>1609203C78</t>
  </si>
  <si>
    <t>1609203C80</t>
  </si>
  <si>
    <t>1609203C81</t>
  </si>
  <si>
    <t>1609203C86</t>
  </si>
  <si>
    <t>1609203C90</t>
  </si>
  <si>
    <t>1609203C91</t>
  </si>
  <si>
    <t>1609203C93</t>
  </si>
  <si>
    <t>1609203C94</t>
  </si>
  <si>
    <t>1609203C95</t>
  </si>
  <si>
    <t>1609203C96</t>
  </si>
  <si>
    <t>1609203C97</t>
  </si>
  <si>
    <t>1609203C98</t>
  </si>
  <si>
    <t>1609203C99</t>
  </si>
  <si>
    <t>1609203D06</t>
  </si>
  <si>
    <t>1609203D07</t>
  </si>
  <si>
    <t>1609203D08</t>
  </si>
  <si>
    <t>1609203D09</t>
  </si>
  <si>
    <t>1609203D13</t>
  </si>
  <si>
    <t>1609203D14</t>
  </si>
  <si>
    <t>1609203D16</t>
  </si>
  <si>
    <t>1609203G68</t>
  </si>
  <si>
    <t>1609203G71</t>
  </si>
  <si>
    <t>1609203G72</t>
  </si>
  <si>
    <t>1609203G73</t>
  </si>
  <si>
    <t>1609203G74</t>
  </si>
  <si>
    <t>1609203G75</t>
  </si>
  <si>
    <t>1609203G76</t>
  </si>
  <si>
    <t>1609203G79</t>
  </si>
  <si>
    <t>1609203G80</t>
  </si>
  <si>
    <t>1609203G81</t>
  </si>
  <si>
    <t>1609203G83</t>
  </si>
  <si>
    <t>1609203G84</t>
  </si>
  <si>
    <t>1609203G86</t>
  </si>
  <si>
    <t>1609203G91</t>
  </si>
  <si>
    <t>1609203G92</t>
  </si>
  <si>
    <t>1609203G93</t>
  </si>
  <si>
    <t>1609203G94</t>
  </si>
  <si>
    <t>1609203G95</t>
  </si>
  <si>
    <t>1609203G98</t>
  </si>
  <si>
    <t>1609203G99</t>
  </si>
  <si>
    <t>1609203H18</t>
  </si>
  <si>
    <t>1609203H33</t>
  </si>
  <si>
    <t>1609203H34</t>
  </si>
  <si>
    <t>1609203H39</t>
  </si>
  <si>
    <t>1609203H52</t>
  </si>
  <si>
    <t>1609203H53</t>
  </si>
  <si>
    <t>1609203H55</t>
  </si>
  <si>
    <t>1609203H61</t>
  </si>
  <si>
    <t>1609203H62</t>
  </si>
  <si>
    <t>1609203H65</t>
  </si>
  <si>
    <t>1609203H66</t>
  </si>
  <si>
    <t>1609203H67</t>
  </si>
  <si>
    <t>1609203H79</t>
  </si>
  <si>
    <t>1609203H81</t>
  </si>
  <si>
    <t>1609203H90</t>
  </si>
  <si>
    <t>1609203H94</t>
  </si>
  <si>
    <t>1609203H96</t>
  </si>
  <si>
    <t>1609203H98</t>
  </si>
  <si>
    <t>1609203H99</t>
  </si>
  <si>
    <t>1609203J00</t>
  </si>
  <si>
    <t>1609203J01</t>
  </si>
  <si>
    <t>1609203J02</t>
  </si>
  <si>
    <t>1609203J05</t>
  </si>
  <si>
    <t>1609203J06</t>
  </si>
  <si>
    <t>1609203J08</t>
  </si>
  <si>
    <t>1609203J09</t>
  </si>
  <si>
    <t>1609203J10</t>
  </si>
  <si>
    <t>1609203J11</t>
  </si>
  <si>
    <t>1609203J12</t>
  </si>
  <si>
    <t>1609203J13</t>
  </si>
  <si>
    <t>1609203J14</t>
  </si>
  <si>
    <t>1609203J15</t>
  </si>
  <si>
    <t>1609203J17</t>
  </si>
  <si>
    <t>1609203J18</t>
  </si>
  <si>
    <t>1609203J19</t>
  </si>
  <si>
    <t>1609203J20</t>
  </si>
  <si>
    <t>1609203J21</t>
  </si>
  <si>
    <t>1609203J22</t>
  </si>
  <si>
    <t>1609203J23</t>
  </si>
  <si>
    <t>1609203J24</t>
  </si>
  <si>
    <t>1609203J25</t>
  </si>
  <si>
    <t>1609203J26</t>
  </si>
  <si>
    <t>1609203J29</t>
  </si>
  <si>
    <t>1609203J56</t>
  </si>
  <si>
    <t>1609203J59</t>
  </si>
  <si>
    <t>1609203J60</t>
  </si>
  <si>
    <t>1609203J61</t>
  </si>
  <si>
    <t>1609203J63</t>
  </si>
  <si>
    <t>1609203J66</t>
  </si>
  <si>
    <t>1609203J68</t>
  </si>
  <si>
    <t>1609203J69</t>
  </si>
  <si>
    <t>1609203J70</t>
  </si>
  <si>
    <t>1609203J71</t>
  </si>
  <si>
    <t>1609203J72</t>
  </si>
  <si>
    <t>1609203J74</t>
  </si>
  <si>
    <t>1609203J88</t>
  </si>
  <si>
    <t>1609203K41</t>
  </si>
  <si>
    <t>1609203K86</t>
  </si>
  <si>
    <t>1609203K88</t>
  </si>
  <si>
    <t>1609203K89</t>
  </si>
  <si>
    <t>1609203K90</t>
  </si>
  <si>
    <t>1609203K91</t>
  </si>
  <si>
    <t>1609203K93</t>
  </si>
  <si>
    <t>1609203K94</t>
  </si>
  <si>
    <t>1609203K95</t>
  </si>
  <si>
    <t>1609203K96</t>
  </si>
  <si>
    <t>1609203K97</t>
  </si>
  <si>
    <t>1609203K99</t>
  </si>
  <si>
    <t>1609203L00</t>
  </si>
  <si>
    <t>1609203L03</t>
  </si>
  <si>
    <t>1609203L04</t>
  </si>
  <si>
    <t>1609203L05</t>
  </si>
  <si>
    <t>1609203L06</t>
  </si>
  <si>
    <t>1609203L07</t>
  </si>
  <si>
    <t>1609203L08</t>
  </si>
  <si>
    <t>1609203L09</t>
  </si>
  <si>
    <t>1609203L10</t>
  </si>
  <si>
    <t>1609203L11</t>
  </si>
  <si>
    <t>1609203L12</t>
  </si>
  <si>
    <t>1609203L13</t>
  </si>
  <si>
    <t>1609203L14</t>
  </si>
  <si>
    <t>1609203L15</t>
  </si>
  <si>
    <t>1609203L16</t>
  </si>
  <si>
    <t>1609203L18</t>
  </si>
  <si>
    <t>1609203L19</t>
  </si>
  <si>
    <t>1609203L30</t>
  </si>
  <si>
    <t>1609203L32</t>
  </si>
  <si>
    <t>1609203L33</t>
  </si>
  <si>
    <t>1609203L34</t>
  </si>
  <si>
    <t>1609203L36</t>
  </si>
  <si>
    <t>1609203L37</t>
  </si>
  <si>
    <t>1609203L38</t>
  </si>
  <si>
    <t>1609203L39</t>
  </si>
  <si>
    <t>1609203L40</t>
  </si>
  <si>
    <t>1609203L41</t>
  </si>
  <si>
    <t>1609203L42</t>
  </si>
  <si>
    <t>1609203L43</t>
  </si>
  <si>
    <t>1609203L51</t>
  </si>
  <si>
    <t>1609203L64</t>
  </si>
  <si>
    <t>1609203L96</t>
  </si>
  <si>
    <t>1609203M06</t>
  </si>
  <si>
    <t>1609203M07</t>
  </si>
  <si>
    <t>1609203M81</t>
  </si>
  <si>
    <t>1609203M84</t>
  </si>
  <si>
    <t>1609203S98</t>
  </si>
  <si>
    <t>1609203S99</t>
  </si>
  <si>
    <t>1609203U04</t>
  </si>
  <si>
    <t>1609203U05</t>
  </si>
  <si>
    <t>1609203W42</t>
  </si>
  <si>
    <t>1609203X16</t>
  </si>
  <si>
    <t>1609203X36</t>
  </si>
  <si>
    <t>1609203X48</t>
  </si>
  <si>
    <t>1609203X73</t>
  </si>
  <si>
    <t>1609203X78</t>
  </si>
  <si>
    <t>1609203Z37</t>
  </si>
  <si>
    <t>1609203Z57</t>
  </si>
  <si>
    <t>1609244A01</t>
  </si>
  <si>
    <t>1609244A07</t>
  </si>
  <si>
    <t>1609244A14</t>
  </si>
  <si>
    <t>1609244A15</t>
  </si>
  <si>
    <t>1609244A16</t>
  </si>
  <si>
    <t>1609244A17</t>
  </si>
  <si>
    <t>1609244A29</t>
  </si>
  <si>
    <t>1609244A30</t>
  </si>
  <si>
    <t>1609244A32</t>
  </si>
  <si>
    <t>1609244A41</t>
  </si>
  <si>
    <t>1609244A42</t>
  </si>
  <si>
    <t>1609244A43</t>
  </si>
  <si>
    <t>1609244A46</t>
  </si>
  <si>
    <t>1609244A47</t>
  </si>
  <si>
    <t>1609244A53</t>
  </si>
  <si>
    <t>1609244A54</t>
  </si>
  <si>
    <t>1609244A55</t>
  </si>
  <si>
    <t>1609244A56</t>
  </si>
  <si>
    <t>1609244A57</t>
  </si>
  <si>
    <t>1609244A58</t>
  </si>
  <si>
    <t>1609244A59</t>
  </si>
  <si>
    <t>1609244A60</t>
  </si>
  <si>
    <t>1609244A62</t>
  </si>
  <si>
    <t>1609244A63</t>
  </si>
  <si>
    <t>1609244A64</t>
  </si>
  <si>
    <t>1609244A67</t>
  </si>
  <si>
    <t>1609244A68</t>
  </si>
  <si>
    <t>1609244A71</t>
  </si>
  <si>
    <t>1609244A72</t>
  </si>
  <si>
    <t>1609244A75</t>
  </si>
  <si>
    <t>1609244A76</t>
  </si>
  <si>
    <t>1609244A77</t>
  </si>
  <si>
    <t>1609244A78</t>
  </si>
  <si>
    <t>1609244A79</t>
  </si>
  <si>
    <t>1609244A80</t>
  </si>
  <si>
    <t>1609244A86</t>
  </si>
  <si>
    <t>1609244A87</t>
  </si>
  <si>
    <t>1609244A88</t>
  </si>
  <si>
    <t>1609244A91</t>
  </si>
  <si>
    <t>1609244A92</t>
  </si>
  <si>
    <t>1609244A97</t>
  </si>
  <si>
    <t>1609244A98</t>
  </si>
  <si>
    <t>1609244B01</t>
  </si>
  <si>
    <t>1609244B02</t>
  </si>
  <si>
    <t>1609244B03</t>
  </si>
  <si>
    <t>1609244B42</t>
  </si>
  <si>
    <t>1609244B43</t>
  </si>
  <si>
    <t>1609244B58</t>
  </si>
  <si>
    <t>1609244B60</t>
  </si>
  <si>
    <t>1609244B61</t>
  </si>
  <si>
    <t>1609244B62</t>
  </si>
  <si>
    <t>1609244B63</t>
  </si>
  <si>
    <t>1609244B67</t>
  </si>
  <si>
    <t>1609244C02</t>
  </si>
  <si>
    <t>1609244C03</t>
  </si>
  <si>
    <t>1609244C04</t>
  </si>
  <si>
    <t>1609244C05</t>
  </si>
  <si>
    <t>1609244C06</t>
  </si>
  <si>
    <t>1609244C42</t>
  </si>
  <si>
    <t>1609244C44</t>
  </si>
  <si>
    <t>1609244C45</t>
  </si>
  <si>
    <t>1609271BS3</t>
  </si>
  <si>
    <t>16099221KP</t>
  </si>
  <si>
    <t>1609929D56</t>
  </si>
  <si>
    <t>1609929D58</t>
  </si>
  <si>
    <t>1609929D62</t>
  </si>
  <si>
    <t>1609929D64</t>
  </si>
  <si>
    <t>1609929DB2</t>
  </si>
  <si>
    <t>1609929DB4</t>
  </si>
  <si>
    <t>1609929DB8</t>
  </si>
  <si>
    <t>1609929DC1</t>
  </si>
  <si>
    <t>1609B00046</t>
  </si>
  <si>
    <t>1609B00055</t>
  </si>
  <si>
    <t>1609B00057</t>
  </si>
  <si>
    <t>1609B00068</t>
  </si>
  <si>
    <t>1609B00105</t>
  </si>
  <si>
    <t>1609B00119</t>
  </si>
  <si>
    <t>1609B00123</t>
  </si>
  <si>
    <t>1609B00129</t>
  </si>
  <si>
    <t>1609B00135</t>
  </si>
  <si>
    <t>1609B00137</t>
  </si>
  <si>
    <t>1609B00201</t>
  </si>
  <si>
    <t>1609B00203</t>
  </si>
  <si>
    <t>1609B00204</t>
  </si>
  <si>
    <t>1609B00205</t>
  </si>
  <si>
    <t>1609B00206</t>
  </si>
  <si>
    <t>1609B00207</t>
  </si>
  <si>
    <t>1609B00210</t>
  </si>
  <si>
    <t>1609B00211</t>
  </si>
  <si>
    <t>1609B00212</t>
  </si>
  <si>
    <t>1609B00213</t>
  </si>
  <si>
    <t>1609B00222</t>
  </si>
  <si>
    <t>1609B00223</t>
  </si>
  <si>
    <t>1609B00225</t>
  </si>
  <si>
    <t>1609B00226</t>
  </si>
  <si>
    <t>1609B00227</t>
  </si>
  <si>
    <t>1609B00228</t>
  </si>
  <si>
    <t>1609B00229</t>
  </si>
  <si>
    <t>1609B00230</t>
  </si>
  <si>
    <t>1609B00231</t>
  </si>
  <si>
    <t>1609B00232</t>
  </si>
  <si>
    <t>1609B00233</t>
  </si>
  <si>
    <t>1609B00234</t>
  </si>
  <si>
    <t>1609B00235</t>
  </si>
  <si>
    <t>1609B00236</t>
  </si>
  <si>
    <t>1609B00237</t>
  </si>
  <si>
    <t>1609B00238</t>
  </si>
  <si>
    <t>1609B00244</t>
  </si>
  <si>
    <t>1609B00245</t>
  </si>
  <si>
    <t>1609B00246</t>
  </si>
  <si>
    <t>1609B00247</t>
  </si>
  <si>
    <t>1609B00248</t>
  </si>
  <si>
    <t>1609B00249</t>
  </si>
  <si>
    <t>1609B00250</t>
  </si>
  <si>
    <t>1609B00251</t>
  </si>
  <si>
    <t>1609B00252</t>
  </si>
  <si>
    <t>1609B00253</t>
  </si>
  <si>
    <t>1609B00254</t>
  </si>
  <si>
    <t>1609B00255</t>
  </si>
  <si>
    <t>1609B00256</t>
  </si>
  <si>
    <t>1609B00263</t>
  </si>
  <si>
    <t>1609B00273</t>
  </si>
  <si>
    <t>1609B00275</t>
  </si>
  <si>
    <t>1609B00276</t>
  </si>
  <si>
    <t>1609B00277</t>
  </si>
  <si>
    <t>1609B00278</t>
  </si>
  <si>
    <t>1609B00279</t>
  </si>
  <si>
    <t>1609B00280</t>
  </si>
  <si>
    <t>1609B00281</t>
  </si>
  <si>
    <t>1609B00282</t>
  </si>
  <si>
    <t>1609B00283</t>
  </si>
  <si>
    <t>1609B00284</t>
  </si>
  <si>
    <t>1609B00285</t>
  </si>
  <si>
    <t>1609B00286</t>
  </si>
  <si>
    <t>1609B00287</t>
  </si>
  <si>
    <t>1609B00288</t>
  </si>
  <si>
    <t>1609B00289</t>
  </si>
  <si>
    <t>1609B00291</t>
  </si>
  <si>
    <t>1609B00292</t>
  </si>
  <si>
    <t>1609B00293</t>
  </si>
  <si>
    <t>1609B00294</t>
  </si>
  <si>
    <t>1609B00295</t>
  </si>
  <si>
    <t>1609B00296</t>
  </si>
  <si>
    <t>1609B00297</t>
  </si>
  <si>
    <t>1609B00298</t>
  </si>
  <si>
    <t>1609B00299</t>
  </si>
  <si>
    <t>1609B00301</t>
  </si>
  <si>
    <t>1609B00302</t>
  </si>
  <si>
    <t>1609B00303</t>
  </si>
  <si>
    <t>1609B00304</t>
  </si>
  <si>
    <t>1609B00305</t>
  </si>
  <si>
    <t>1609B00306</t>
  </si>
  <si>
    <t>1609B00308</t>
  </si>
  <si>
    <t>1609B00309</t>
  </si>
  <si>
    <t>1609B00310</t>
  </si>
  <si>
    <t>1609B00311</t>
  </si>
  <si>
    <t>1609B00312</t>
  </si>
  <si>
    <t>1609B00325</t>
  </si>
  <si>
    <t>1609B00331</t>
  </si>
  <si>
    <t>1609B00335</t>
  </si>
  <si>
    <t>1609B00337</t>
  </si>
  <si>
    <t>1609B00338</t>
  </si>
  <si>
    <t>1609B00339</t>
  </si>
  <si>
    <t>1609B00342</t>
  </si>
  <si>
    <t>1609B00343</t>
  </si>
  <si>
    <t>1609B00344</t>
  </si>
  <si>
    <t>1609B00345</t>
  </si>
  <si>
    <t>1609B00346</t>
  </si>
  <si>
    <t>1609B00347</t>
  </si>
  <si>
    <t>1609B00348</t>
  </si>
  <si>
    <t>1609B00349</t>
  </si>
  <si>
    <t>1609B00350</t>
  </si>
  <si>
    <t>1609B00351</t>
  </si>
  <si>
    <t>1609B00352</t>
  </si>
  <si>
    <t>1609B00353</t>
  </si>
  <si>
    <t>1609B00354</t>
  </si>
  <si>
    <t>1609B00355</t>
  </si>
  <si>
    <t>1609B00356</t>
  </si>
  <si>
    <t>1609B00357</t>
  </si>
  <si>
    <t>1609B00358</t>
  </si>
  <si>
    <t>1609B00359</t>
  </si>
  <si>
    <t>1609B00361</t>
  </si>
  <si>
    <t>1609B00362</t>
  </si>
  <si>
    <t>1609B00364</t>
  </si>
  <si>
    <t>1609B00367</t>
  </si>
  <si>
    <t>1609B00368</t>
  </si>
  <si>
    <t>1609B00369</t>
  </si>
  <si>
    <t>1609B00370</t>
  </si>
  <si>
    <t>1609B00371</t>
  </si>
  <si>
    <t>1609B00382</t>
  </si>
  <si>
    <t>1609B00384</t>
  </si>
  <si>
    <t>1609B00385</t>
  </si>
  <si>
    <t>1609B00386</t>
  </si>
  <si>
    <t>1609B00387</t>
  </si>
  <si>
    <t>1609B00388</t>
  </si>
  <si>
    <t>1609B00389</t>
  </si>
  <si>
    <t>1609B00390</t>
  </si>
  <si>
    <t>1609B00391</t>
  </si>
  <si>
    <t>1609B00392</t>
  </si>
  <si>
    <t>1609B00404</t>
  </si>
  <si>
    <t>1609B00405</t>
  </si>
  <si>
    <t>1609B00414</t>
  </si>
  <si>
    <t>1609B00415</t>
  </si>
  <si>
    <t>1609B00417</t>
  </si>
  <si>
    <t>1609B00418</t>
  </si>
  <si>
    <t>1609B00419</t>
  </si>
  <si>
    <t>1609B00446</t>
  </si>
  <si>
    <t>1609B00448</t>
  </si>
  <si>
    <t>1609B00449</t>
  </si>
  <si>
    <t>1609B00451</t>
  </si>
  <si>
    <t>1609B00453</t>
  </si>
  <si>
    <t>1609B00454</t>
  </si>
  <si>
    <t>1609B00455</t>
  </si>
  <si>
    <t>1609B00457</t>
  </si>
  <si>
    <t>1609B00458</t>
  </si>
  <si>
    <t>1609B00460</t>
  </si>
  <si>
    <t>1609B00471</t>
  </si>
  <si>
    <t>1609B00476</t>
  </si>
  <si>
    <t>1609B00478</t>
  </si>
  <si>
    <t>1609B00479</t>
  </si>
  <si>
    <t>1609B00480</t>
  </si>
  <si>
    <t>1609B00482</t>
  </si>
  <si>
    <t>1609B00483</t>
  </si>
  <si>
    <t>1609B00501</t>
  </si>
  <si>
    <t>1609B00502</t>
  </si>
  <si>
    <t>1609B00504</t>
  </si>
  <si>
    <t>1609B00505</t>
  </si>
  <si>
    <t>1609B00506</t>
  </si>
  <si>
    <t>1609B00523</t>
  </si>
  <si>
    <t>1609B00532</t>
  </si>
  <si>
    <t>1609B00533</t>
  </si>
  <si>
    <t>1609B00542</t>
  </si>
  <si>
    <t>1609B00543</t>
  </si>
  <si>
    <t>1609B00549</t>
  </si>
  <si>
    <t>1609B00582</t>
  </si>
  <si>
    <t>1609B00583</t>
  </si>
  <si>
    <t>1609B00592</t>
  </si>
  <si>
    <t>1609B00593</t>
  </si>
  <si>
    <t>1609B00594</t>
  </si>
  <si>
    <t>1609B00596</t>
  </si>
  <si>
    <t>1609B00597</t>
  </si>
  <si>
    <t>1609B00599</t>
  </si>
  <si>
    <t>1609B00600</t>
  </si>
  <si>
    <t>1609B00601</t>
  </si>
  <si>
    <t>1609B00602</t>
  </si>
  <si>
    <t>1609B00603</t>
  </si>
  <si>
    <t>1609B00604</t>
  </si>
  <si>
    <t>1609B00605</t>
  </si>
  <si>
    <t>1609B00608</t>
  </si>
  <si>
    <t>1609B00609</t>
  </si>
  <si>
    <t>1609B00610</t>
  </si>
  <si>
    <t>1609B00612</t>
  </si>
  <si>
    <t>1609B00614</t>
  </si>
  <si>
    <t>1609B00615</t>
  </si>
  <si>
    <t>1609B00616</t>
  </si>
  <si>
    <t>1609B00617</t>
  </si>
  <si>
    <t>1609B00618</t>
  </si>
  <si>
    <t>1609B00620</t>
  </si>
  <si>
    <t>1609B00621</t>
  </si>
  <si>
    <t>1609B00622</t>
  </si>
  <si>
    <t>1609B00623</t>
  </si>
  <si>
    <t>1609B00624</t>
  </si>
  <si>
    <t>1609B00625</t>
  </si>
  <si>
    <t>1609B00627</t>
  </si>
  <si>
    <t>1609B00628</t>
  </si>
  <si>
    <t>1609B00630</t>
  </si>
  <si>
    <t>1609B00631</t>
  </si>
  <si>
    <t>1609B00632</t>
  </si>
  <si>
    <t>1609B00633</t>
  </si>
  <si>
    <t>1609B00634</t>
  </si>
  <si>
    <t>1609B00636</t>
  </si>
  <si>
    <t>1609B00637</t>
  </si>
  <si>
    <t>1609B00638</t>
  </si>
  <si>
    <t>1609B00641</t>
  </si>
  <si>
    <t>1609B00642</t>
  </si>
  <si>
    <t>1609B00643</t>
  </si>
  <si>
    <t>1609B00644</t>
  </si>
  <si>
    <t>1609B00645</t>
  </si>
  <si>
    <t>1609B00647</t>
  </si>
  <si>
    <t>1609B00649</t>
  </si>
  <si>
    <t>1609B00650</t>
  </si>
  <si>
    <t>1609B00652</t>
  </si>
  <si>
    <t>1609B00653</t>
  </si>
  <si>
    <t>1609B00654</t>
  </si>
  <si>
    <t>1609B00655</t>
  </si>
  <si>
    <t>1609B00656</t>
  </si>
  <si>
    <t>1609B00658</t>
  </si>
  <si>
    <t>1609B00660</t>
  </si>
  <si>
    <t>1609B00661</t>
  </si>
  <si>
    <t>1609B00662</t>
  </si>
  <si>
    <t>1609B00664</t>
  </si>
  <si>
    <t>1609B00665</t>
  </si>
  <si>
    <t>1609B00667</t>
  </si>
  <si>
    <t>1609B00669</t>
  </si>
  <si>
    <t>1609B00670</t>
  </si>
  <si>
    <t>1609B00672</t>
  </si>
  <si>
    <t>1609B00673</t>
  </si>
  <si>
    <t>1609B00674</t>
  </si>
  <si>
    <t>1609B00675</t>
  </si>
  <si>
    <t>1609B00676</t>
  </si>
  <si>
    <t>1609B00678</t>
  </si>
  <si>
    <t>1609B00680</t>
  </si>
  <si>
    <t>1609B00681</t>
  </si>
  <si>
    <t>1609B00682</t>
  </si>
  <si>
    <t>1609B00687</t>
  </si>
  <si>
    <t>1609B00688</t>
  </si>
  <si>
    <t>1609B00689</t>
  </si>
  <si>
    <t>1609B00690</t>
  </si>
  <si>
    <t>1609B00691</t>
  </si>
  <si>
    <t>1609B00700</t>
  </si>
  <si>
    <t>1609B00705</t>
  </si>
  <si>
    <t>1609B00706</t>
  </si>
  <si>
    <t>1609B00709</t>
  </si>
  <si>
    <t>1609B00711</t>
  </si>
  <si>
    <t>1609B00713</t>
  </si>
  <si>
    <t>1609B00714</t>
  </si>
  <si>
    <t>1609B00715</t>
  </si>
  <si>
    <t>1609B00716</t>
  </si>
  <si>
    <t>1609B00717</t>
  </si>
  <si>
    <t>1609B00719</t>
  </si>
  <si>
    <t>1609B00721</t>
  </si>
  <si>
    <t>1609B00722</t>
  </si>
  <si>
    <t>1609B00723</t>
  </si>
  <si>
    <t>1609B00725</t>
  </si>
  <si>
    <t>1609B00726</t>
  </si>
  <si>
    <t>1609B00727</t>
  </si>
  <si>
    <t>1609B00728</t>
  </si>
  <si>
    <t>1609B00730</t>
  </si>
  <si>
    <t>1609B00732</t>
  </si>
  <si>
    <t>1609B00734</t>
  </si>
  <si>
    <t>1609B00735</t>
  </si>
  <si>
    <t>1609B00736</t>
  </si>
  <si>
    <t>1609B00742</t>
  </si>
  <si>
    <t>1609B00744</t>
  </si>
  <si>
    <t>1609B00748</t>
  </si>
  <si>
    <t>1609B00749</t>
  </si>
  <si>
    <t>1609B00750</t>
  </si>
  <si>
    <t>1609B00751</t>
  </si>
  <si>
    <t>1609B00753</t>
  </si>
  <si>
    <t>1609B00754</t>
  </si>
  <si>
    <t>1609B00757</t>
  </si>
  <si>
    <t>1609B00758</t>
  </si>
  <si>
    <t>1609B00760</t>
  </si>
  <si>
    <t>1609B00761</t>
  </si>
  <si>
    <t>1609B00762</t>
  </si>
  <si>
    <t>1609B00763</t>
  </si>
  <si>
    <t>1609B00764</t>
  </si>
  <si>
    <t>1609B00765</t>
  </si>
  <si>
    <t>1609B00766</t>
  </si>
  <si>
    <t>1609B00767</t>
  </si>
  <si>
    <t>1609B00769</t>
  </si>
  <si>
    <t>1609B00771</t>
  </si>
  <si>
    <t>1609B00772</t>
  </si>
  <si>
    <t>1609B00773</t>
  </si>
  <si>
    <t>1609B00774</t>
  </si>
  <si>
    <t>1609B00775</t>
  </si>
  <si>
    <t>1609B00777</t>
  </si>
  <si>
    <t>1609B00779</t>
  </si>
  <si>
    <t>1609B00780</t>
  </si>
  <si>
    <t>1609B00781</t>
  </si>
  <si>
    <t>1609B00784</t>
  </si>
  <si>
    <t>1609B00785</t>
  </si>
  <si>
    <t>1609B00786</t>
  </si>
  <si>
    <t>1609B00787</t>
  </si>
  <si>
    <t>1609B00788</t>
  </si>
  <si>
    <t>1609B00798</t>
  </si>
  <si>
    <t>1609B00799</t>
  </si>
  <si>
    <t>1609B00800</t>
  </si>
  <si>
    <t>1609B00802</t>
  </si>
  <si>
    <t>1609B00803</t>
  </si>
  <si>
    <t>1609B00804</t>
  </si>
  <si>
    <t>1609B00806</t>
  </si>
  <si>
    <t>1609B00807</t>
  </si>
  <si>
    <t>1609B00810</t>
  </si>
  <si>
    <t>1609B00811</t>
  </si>
  <si>
    <t>1609B00812</t>
  </si>
  <si>
    <t>1609B00813</t>
  </si>
  <si>
    <t>1609B00815</t>
  </si>
  <si>
    <t>1609B00816</t>
  </si>
  <si>
    <t>1609B00820</t>
  </si>
  <si>
    <t>1609B00822</t>
  </si>
  <si>
    <t>1609B00823</t>
  </si>
  <si>
    <t>1609B00824</t>
  </si>
  <si>
    <t>1609B00828</t>
  </si>
  <si>
    <t>1609B00829</t>
  </si>
  <si>
    <t>1609B00834</t>
  </si>
  <si>
    <t>1609B00835</t>
  </si>
  <si>
    <t>1609B00838</t>
  </si>
  <si>
    <t>1609B00872</t>
  </si>
  <si>
    <t>1609B00882</t>
  </si>
  <si>
    <t>1609B00917</t>
  </si>
  <si>
    <t>1609B00918</t>
  </si>
  <si>
    <t>1609B00919</t>
  </si>
  <si>
    <t>1609B00920</t>
  </si>
  <si>
    <t>1609B00921</t>
  </si>
  <si>
    <t>1609B00930</t>
  </si>
  <si>
    <t>1609B00960</t>
  </si>
  <si>
    <t>1609B00969</t>
  </si>
  <si>
    <t>1609B00981</t>
  </si>
  <si>
    <t>1609B00982</t>
  </si>
  <si>
    <t>1609B00983</t>
  </si>
  <si>
    <t>1609B00984</t>
  </si>
  <si>
    <t>1609B00985</t>
  </si>
  <si>
    <t>1609B00986</t>
  </si>
  <si>
    <t>1609B00987</t>
  </si>
  <si>
    <t>1609B00988</t>
  </si>
  <si>
    <t>1609B00989</t>
  </si>
  <si>
    <t>1609B00990</t>
  </si>
  <si>
    <t>1609B00991</t>
  </si>
  <si>
    <t>1609B00992</t>
  </si>
  <si>
    <t>1609B01041</t>
  </si>
  <si>
    <t>1609B01046</t>
  </si>
  <si>
    <t>1609B01050</t>
  </si>
  <si>
    <t>1609B01186</t>
  </si>
  <si>
    <t>1609B01196</t>
  </si>
  <si>
    <t>1609B01243</t>
  </si>
  <si>
    <t>1609B01253</t>
  </si>
  <si>
    <t>1609B01281</t>
  </si>
  <si>
    <t>1609B01282</t>
  </si>
  <si>
    <t>1609B01287</t>
  </si>
  <si>
    <t>1609B01322</t>
  </si>
  <si>
    <t>1609B01356</t>
  </si>
  <si>
    <t>1609B01397</t>
  </si>
  <si>
    <t>1609B01427</t>
  </si>
  <si>
    <t>1609B01428</t>
  </si>
  <si>
    <t>1609B01431</t>
  </si>
  <si>
    <t>1609B01435</t>
  </si>
  <si>
    <t>1609B01436</t>
  </si>
  <si>
    <t>1609B01442</t>
  </si>
  <si>
    <t>1609B01452</t>
  </si>
  <si>
    <t>1609B01453</t>
  </si>
  <si>
    <t>1609B01454</t>
  </si>
  <si>
    <t>1609B01457</t>
  </si>
  <si>
    <t>1609B01458</t>
  </si>
  <si>
    <t>1609B01459</t>
  </si>
  <si>
    <t>1609B01460</t>
  </si>
  <si>
    <t>1609B01461</t>
  </si>
  <si>
    <t>1609B01462</t>
  </si>
  <si>
    <t>1609B01463</t>
  </si>
  <si>
    <t>1609B01464</t>
  </si>
  <si>
    <t>1609B01465</t>
  </si>
  <si>
    <t>1609B01466</t>
  </si>
  <si>
    <t>1609B01469</t>
  </si>
  <si>
    <t>1609B01470</t>
  </si>
  <si>
    <t>1609B01472</t>
  </si>
  <si>
    <t>1609B01473</t>
  </si>
  <si>
    <t>1609B01474</t>
  </si>
  <si>
    <t>1609B01475</t>
  </si>
  <si>
    <t>1609B01476</t>
  </si>
  <si>
    <t>1609B01477</t>
  </si>
  <si>
    <t>1609B01479</t>
  </si>
  <si>
    <t>1609B01482</t>
  </si>
  <si>
    <t>1609B01483</t>
  </si>
  <si>
    <t>1609B01499</t>
  </si>
  <si>
    <t>1609B01501</t>
  </si>
  <si>
    <t>1609B01504</t>
  </si>
  <si>
    <t>1609B01507</t>
  </si>
  <si>
    <t>1609B01508</t>
  </si>
  <si>
    <t>1609B01509</t>
  </si>
  <si>
    <t>1609B01513</t>
  </si>
  <si>
    <t>1609B01514</t>
  </si>
  <si>
    <t>1609B01515</t>
  </si>
  <si>
    <t>1609B01522</t>
  </si>
  <si>
    <t>1609B01525</t>
  </si>
  <si>
    <t>1609B01530</t>
  </si>
  <si>
    <t>1609B01531</t>
  </si>
  <si>
    <t>1609B01538</t>
  </si>
  <si>
    <t>1609B01539</t>
  </si>
  <si>
    <t>1609B01560</t>
  </si>
  <si>
    <t>1609B01561</t>
  </si>
  <si>
    <t>1609B01570</t>
  </si>
  <si>
    <t>1609B01574</t>
  </si>
  <si>
    <t>1609B01575</t>
  </si>
  <si>
    <t>1609B01576</t>
  </si>
  <si>
    <t>1609B01580</t>
  </si>
  <si>
    <t>1609B01584</t>
  </si>
  <si>
    <t>1609B01586</t>
  </si>
  <si>
    <t>1609B01587</t>
  </si>
  <si>
    <t>1609B01592</t>
  </si>
  <si>
    <t>1609B01593</t>
  </si>
  <si>
    <t>1609B01594</t>
  </si>
  <si>
    <t>1609B01595</t>
  </si>
  <si>
    <t>1609B01596</t>
  </si>
  <si>
    <t>1609B01597</t>
  </si>
  <si>
    <t>1609B01598</t>
  </si>
  <si>
    <t>1609B01599</t>
  </si>
  <si>
    <t>1609B01600</t>
  </si>
  <si>
    <t>1609B01601</t>
  </si>
  <si>
    <t>1609B01602</t>
  </si>
  <si>
    <t>1609B01603</t>
  </si>
  <si>
    <t>1609B01604</t>
  </si>
  <si>
    <t>1609B01605</t>
  </si>
  <si>
    <t>1609B01606</t>
  </si>
  <si>
    <t>1609B01607</t>
  </si>
  <si>
    <t>1609B01611</t>
  </si>
  <si>
    <t>1609B01612</t>
  </si>
  <si>
    <t>1609B01613</t>
  </si>
  <si>
    <t>1609B01621</t>
  </si>
  <si>
    <t>1609B01631</t>
  </si>
  <si>
    <t>1609B01632</t>
  </si>
  <si>
    <t>1609B01651</t>
  </si>
  <si>
    <t>1609B01652</t>
  </si>
  <si>
    <t>1609B01654</t>
  </si>
  <si>
    <t>1609B01655</t>
  </si>
  <si>
    <t>1609B01656</t>
  </si>
  <si>
    <t>1609B01660</t>
  </si>
  <si>
    <t>1609B01665</t>
  </si>
  <si>
    <t>1609B01668</t>
  </si>
  <si>
    <t>1609B01670</t>
  </si>
  <si>
    <t>1609B01672</t>
  </si>
  <si>
    <t>1609B01674</t>
  </si>
  <si>
    <t>1609B01680</t>
  </si>
  <si>
    <t>1609B01689</t>
  </si>
  <si>
    <t>1609B01690</t>
  </si>
  <si>
    <t>1609B01692</t>
  </si>
  <si>
    <t>1609B01693</t>
  </si>
  <si>
    <t>1609B01696</t>
  </si>
  <si>
    <t>1609B01701</t>
  </si>
  <si>
    <t>1609B01708</t>
  </si>
  <si>
    <t>1609B01710</t>
  </si>
  <si>
    <t>1609B01713</t>
  </si>
  <si>
    <t>1609B01715</t>
  </si>
  <si>
    <t>1609B01716</t>
  </si>
  <si>
    <t>1609B01717</t>
  </si>
  <si>
    <t>1609B01719</t>
  </si>
  <si>
    <t>1609B01720</t>
  </si>
  <si>
    <t>1609B01721</t>
  </si>
  <si>
    <t>1609B01722</t>
  </si>
  <si>
    <t>1609B01723</t>
  </si>
  <si>
    <t>1609B01727</t>
  </si>
  <si>
    <t>1609B01785</t>
  </si>
  <si>
    <t>1609B01992</t>
  </si>
  <si>
    <t>1609B02101</t>
  </si>
  <si>
    <t>1609B02102</t>
  </si>
  <si>
    <t>1609B02103</t>
  </si>
  <si>
    <t>1609B02104</t>
  </si>
  <si>
    <t>1609B02105</t>
  </si>
  <si>
    <t>1609B02119</t>
  </si>
  <si>
    <t>1609B02120</t>
  </si>
  <si>
    <t>1609B02122</t>
  </si>
  <si>
    <t>1609B02145</t>
  </si>
  <si>
    <t>1609B02146</t>
  </si>
  <si>
    <t>1609B02152</t>
  </si>
  <si>
    <t>1609B02153</t>
  </si>
  <si>
    <t>1609B02157</t>
  </si>
  <si>
    <t>1609B02159</t>
  </si>
  <si>
    <t>1609B02160</t>
  </si>
  <si>
    <t>1609B02174</t>
  </si>
  <si>
    <t>1609B02178</t>
  </si>
  <si>
    <t>1609B02181</t>
  </si>
  <si>
    <t>1609B02183</t>
  </si>
  <si>
    <t>1609B02184</t>
  </si>
  <si>
    <t>1609B02189</t>
  </si>
  <si>
    <t>1609B02190</t>
  </si>
  <si>
    <t>1609B02191</t>
  </si>
  <si>
    <t>1609B02192</t>
  </si>
  <si>
    <t>1609B02302</t>
  </si>
  <si>
    <t>1609B02303</t>
  </si>
  <si>
    <t>1609B02304</t>
  </si>
  <si>
    <t>1609B02305</t>
  </si>
  <si>
    <t>1609B02307</t>
  </si>
  <si>
    <t>1609B02309</t>
  </si>
  <si>
    <t>1609B02310</t>
  </si>
  <si>
    <t>1609B02314</t>
  </si>
  <si>
    <t>1609B02316</t>
  </si>
  <si>
    <t>1609B02351</t>
  </si>
  <si>
    <t>1609B02352</t>
  </si>
  <si>
    <t>1609B02355</t>
  </si>
  <si>
    <t>1609B02356</t>
  </si>
  <si>
    <t>1609B02357</t>
  </si>
  <si>
    <t>1609B02358</t>
  </si>
  <si>
    <t>1609B02359</t>
  </si>
  <si>
    <t>1609B02362</t>
  </si>
  <si>
    <t>1609B02363</t>
  </si>
  <si>
    <t>1609B02365</t>
  </si>
  <si>
    <t>1609B02367</t>
  </si>
  <si>
    <t>1609B02368</t>
  </si>
  <si>
    <t>1609B02371</t>
  </si>
  <si>
    <t>1609B02375</t>
  </si>
  <si>
    <t>1609B02377</t>
  </si>
  <si>
    <t>1609B02380</t>
  </si>
  <si>
    <t>1609B02381</t>
  </si>
  <si>
    <t>1609B02383</t>
  </si>
  <si>
    <t>1609B02384</t>
  </si>
  <si>
    <t>1609B02391</t>
  </si>
  <si>
    <t>1609B02392</t>
  </si>
  <si>
    <t>1609B02395</t>
  </si>
  <si>
    <t>1609B02396</t>
  </si>
  <si>
    <t>1609B02397</t>
  </si>
  <si>
    <t>1609B02399</t>
  </si>
  <si>
    <t>1609B02405</t>
  </si>
  <si>
    <t>1609B02406</t>
  </si>
  <si>
    <t>1609B02408</t>
  </si>
  <si>
    <t>1609B02411</t>
  </si>
  <si>
    <t>1609B02412</t>
  </si>
  <si>
    <t>1609B02415</t>
  </si>
  <si>
    <t>1609B02416</t>
  </si>
  <si>
    <t>1609B02423</t>
  </si>
  <si>
    <t>1609B02425</t>
  </si>
  <si>
    <t>1609B02426</t>
  </si>
  <si>
    <t>1609B02427</t>
  </si>
  <si>
    <t>1609B02428</t>
  </si>
  <si>
    <t>1609B02429</t>
  </si>
  <si>
    <t>1609B02430</t>
  </si>
  <si>
    <t>1609B02431</t>
  </si>
  <si>
    <t>1609B02432</t>
  </si>
  <si>
    <t>1609B02433</t>
  </si>
  <si>
    <t>1609B02434</t>
  </si>
  <si>
    <t>1609B02437</t>
  </si>
  <si>
    <t>1609B02438</t>
  </si>
  <si>
    <t>1609B02439</t>
  </si>
  <si>
    <t>1609B02440</t>
  </si>
  <si>
    <t>1609B02465</t>
  </si>
  <si>
    <t>1609B02467</t>
  </si>
  <si>
    <t>1609B02468</t>
  </si>
  <si>
    <t>1609B02478</t>
  </si>
  <si>
    <t>1609B02482</t>
  </si>
  <si>
    <t>1609B02484</t>
  </si>
  <si>
    <t>1609B02490</t>
  </si>
  <si>
    <t>1609B02497</t>
  </si>
  <si>
    <t>1609B02499</t>
  </si>
  <si>
    <t>1609B02552</t>
  </si>
  <si>
    <t>1609B02562</t>
  </si>
  <si>
    <t>1609B02572</t>
  </si>
  <si>
    <t>1609B02574</t>
  </si>
  <si>
    <t>1609B02581</t>
  </si>
  <si>
    <t>1609B02583</t>
  </si>
  <si>
    <t>1609B02585</t>
  </si>
  <si>
    <t>1609B02590</t>
  </si>
  <si>
    <t>1609B02591</t>
  </si>
  <si>
    <t>1609B02592</t>
  </si>
  <si>
    <t>1609B02593</t>
  </si>
  <si>
    <t>1609B02594</t>
  </si>
  <si>
    <t>1609B02595</t>
  </si>
  <si>
    <t>1609B02597</t>
  </si>
  <si>
    <t>1609B02598</t>
  </si>
  <si>
    <t>1609B02751</t>
  </si>
  <si>
    <t>1609B02941</t>
  </si>
  <si>
    <t>1609B02953</t>
  </si>
  <si>
    <t>1609B02958</t>
  </si>
  <si>
    <t>1609B02964</t>
  </si>
  <si>
    <t>1609B02965</t>
  </si>
  <si>
    <t>1609B02966</t>
  </si>
  <si>
    <t>1609B02967</t>
  </si>
  <si>
    <t>1609B02968</t>
  </si>
  <si>
    <t>1609B02970</t>
  </si>
  <si>
    <t>1609B02973</t>
  </si>
  <si>
    <t>1609B02974</t>
  </si>
  <si>
    <t>1609B02986</t>
  </si>
  <si>
    <t>1609B02987</t>
  </si>
  <si>
    <t>1609B02988</t>
  </si>
  <si>
    <t>1609B02991</t>
  </si>
  <si>
    <t>1609B02995</t>
  </si>
  <si>
    <t>1609B02997</t>
  </si>
  <si>
    <t>1609B02998</t>
  </si>
  <si>
    <t>1609B02999</t>
  </si>
  <si>
    <t>1609B03179</t>
  </si>
  <si>
    <t>1609B03361</t>
  </si>
  <si>
    <t>1609B03500</t>
  </si>
  <si>
    <t>1609B03501</t>
  </si>
  <si>
    <t>1609B03502</t>
  </si>
  <si>
    <t>1609B03503</t>
  </si>
  <si>
    <t>1609B03505</t>
  </si>
  <si>
    <t>1609B03506</t>
  </si>
  <si>
    <t>1609B03513</t>
  </si>
  <si>
    <t>1609B03516</t>
  </si>
  <si>
    <t>1609B03517</t>
  </si>
  <si>
    <t>1609B03518</t>
  </si>
  <si>
    <t>1609B03519</t>
  </si>
  <si>
    <t>1609B03520</t>
  </si>
  <si>
    <t>1609B03522</t>
  </si>
  <si>
    <t>1609B03523</t>
  </si>
  <si>
    <t>1609B03524</t>
  </si>
  <si>
    <t>1609B03525</t>
  </si>
  <si>
    <t>1609B03526</t>
  </si>
  <si>
    <t>1609B03528</t>
  </si>
  <si>
    <t>1609B03529</t>
  </si>
  <si>
    <t>1609B03530</t>
  </si>
  <si>
    <t>1609B03532</t>
  </si>
  <si>
    <t>1609B03533</t>
  </si>
  <si>
    <t>1609B03535</t>
  </si>
  <si>
    <t>1609B03544</t>
  </si>
  <si>
    <t>1609B03566</t>
  </si>
  <si>
    <t>1609B03576</t>
  </si>
  <si>
    <t>1609B03590</t>
  </si>
  <si>
    <t>1609B03591</t>
  </si>
  <si>
    <t>1609B03592</t>
  </si>
  <si>
    <t>1609B03594</t>
  </si>
  <si>
    <t>1609B03598</t>
  </si>
  <si>
    <t>1609B03600</t>
  </si>
  <si>
    <t>1609B03601</t>
  </si>
  <si>
    <t>1609B03602</t>
  </si>
  <si>
    <t>1609B03604</t>
  </si>
  <si>
    <t>1609B03605</t>
  </si>
  <si>
    <t>1609B03607</t>
  </si>
  <si>
    <t>1609B03608</t>
  </si>
  <si>
    <t>1609B03610</t>
  </si>
  <si>
    <t>1609B03612</t>
  </si>
  <si>
    <t>1609B03614</t>
  </si>
  <si>
    <t>1609B03615</t>
  </si>
  <si>
    <t>1609B03616</t>
  </si>
  <si>
    <t>1609B03617</t>
  </si>
  <si>
    <t>1609B03618</t>
  </si>
  <si>
    <t>1609B03619</t>
  </si>
  <si>
    <t>1609B03622</t>
  </si>
  <si>
    <t>1609B03623</t>
  </si>
  <si>
    <t>1609B03624</t>
  </si>
  <si>
    <t>1609B03625</t>
  </si>
  <si>
    <t>1609B03626</t>
  </si>
  <si>
    <t>1609B03627</t>
  </si>
  <si>
    <t>1609B03628</t>
  </si>
  <si>
    <t>1609B03629</t>
  </si>
  <si>
    <t>1609B03630</t>
  </si>
  <si>
    <t>1609B03631</t>
  </si>
  <si>
    <t>1609B03637</t>
  </si>
  <si>
    <t>1609B03638</t>
  </si>
  <si>
    <t>1609B03639</t>
  </si>
  <si>
    <t>1609B03640</t>
  </si>
  <si>
    <t>1609B03641</t>
  </si>
  <si>
    <t>1609B03642</t>
  </si>
  <si>
    <t>1609B03644</t>
  </si>
  <si>
    <t>1609B03645</t>
  </si>
  <si>
    <t>1609B03667</t>
  </si>
  <si>
    <t>1609B03674</t>
  </si>
  <si>
    <t>1609B03675</t>
  </si>
  <si>
    <t>1609B03686</t>
  </si>
  <si>
    <t>1609B03691</t>
  </si>
  <si>
    <t>1609B03776</t>
  </si>
  <si>
    <t>1609B03777</t>
  </si>
  <si>
    <t>1609B03829</t>
  </si>
  <si>
    <t>1609B03863</t>
  </si>
  <si>
    <t>1609B03874</t>
  </si>
  <si>
    <t>1609B03886</t>
  </si>
  <si>
    <t>1609B03891</t>
  </si>
  <si>
    <t>1609B03913</t>
  </si>
  <si>
    <t>1609B03915</t>
  </si>
  <si>
    <t>1609B03916</t>
  </si>
  <si>
    <t>1609B03923</t>
  </si>
  <si>
    <t>1609B03929</t>
  </si>
  <si>
    <t>1609B03937</t>
  </si>
  <si>
    <t>1609B03944</t>
  </si>
  <si>
    <t>1609B03947</t>
  </si>
  <si>
    <t>1609B03948</t>
  </si>
  <si>
    <t>1609B03959</t>
  </si>
  <si>
    <t>1609B03960</t>
  </si>
  <si>
    <t>1609B03961</t>
  </si>
  <si>
    <t>1609B03963</t>
  </si>
  <si>
    <t>1609B03964</t>
  </si>
  <si>
    <t>1609B03965</t>
  </si>
  <si>
    <t>1609B03966</t>
  </si>
  <si>
    <t>1609B03967</t>
  </si>
  <si>
    <t>1609B03968</t>
  </si>
  <si>
    <t>1609B03969</t>
  </si>
  <si>
    <t>1609B03970</t>
  </si>
  <si>
    <t>1609B03971</t>
  </si>
  <si>
    <t>1609B03972</t>
  </si>
  <si>
    <t>1609B03973</t>
  </si>
  <si>
    <t>1609B03974</t>
  </si>
  <si>
    <t>1609B03975</t>
  </si>
  <si>
    <t>1609B03976</t>
  </si>
  <si>
    <t>1609B03978</t>
  </si>
  <si>
    <t>1609B03979</t>
  </si>
  <si>
    <t>1609B03981</t>
  </si>
  <si>
    <t>1609B03983</t>
  </si>
  <si>
    <t>1609B03984</t>
  </si>
  <si>
    <t>1609B03985</t>
  </si>
  <si>
    <t>1609B03986</t>
  </si>
  <si>
    <t>1609B03988</t>
  </si>
  <si>
    <t>1609B03990</t>
  </si>
  <si>
    <t>1609B03993</t>
  </si>
  <si>
    <t>1609B03994</t>
  </si>
  <si>
    <t>1609B03995</t>
  </si>
  <si>
    <t>1609B04082</t>
  </si>
  <si>
    <t>1609B04117</t>
  </si>
  <si>
    <t>1609B04225</t>
  </si>
  <si>
    <t>1609B04227</t>
  </si>
  <si>
    <t>1609B04278</t>
  </si>
  <si>
    <t>1609B04380</t>
  </si>
  <si>
    <t>1609B04411</t>
  </si>
  <si>
    <t>1609B04462</t>
  </si>
  <si>
    <t>1609B04463</t>
  </si>
  <si>
    <t>1609B04470</t>
  </si>
  <si>
    <t>1609B04471</t>
  </si>
  <si>
    <t>1609B04477</t>
  </si>
  <si>
    <t>1609B04479</t>
  </si>
  <si>
    <t>1609B04480</t>
  </si>
  <si>
    <t>1609B04481</t>
  </si>
  <si>
    <t>1609B04485</t>
  </si>
  <si>
    <t>1609B04486</t>
  </si>
  <si>
    <t>1609B04487</t>
  </si>
  <si>
    <t>1609B04488</t>
  </si>
  <si>
    <t>1609B04491</t>
  </si>
  <si>
    <t>1609B04492</t>
  </si>
  <si>
    <t>1609B04493</t>
  </si>
  <si>
    <t>1609B04494</t>
  </si>
  <si>
    <t>1609B04517</t>
  </si>
  <si>
    <t>1609B04519</t>
  </si>
  <si>
    <t>1609B04520</t>
  </si>
  <si>
    <t>1609B04522</t>
  </si>
  <si>
    <t>1609B04523</t>
  </si>
  <si>
    <t>1609B04524</t>
  </si>
  <si>
    <t>1609B04525</t>
  </si>
  <si>
    <t>1609B04528</t>
  </si>
  <si>
    <t>1609B04529</t>
  </si>
  <si>
    <t>1609B04530</t>
  </si>
  <si>
    <t>1609B04531</t>
  </si>
  <si>
    <t>1609B04533</t>
  </si>
  <si>
    <t>1609B04541</t>
  </si>
  <si>
    <t>1609B04551</t>
  </si>
  <si>
    <t>1609B04560</t>
  </si>
  <si>
    <t>1609B04562</t>
  </si>
  <si>
    <t>1609B04590</t>
  </si>
  <si>
    <t>1609B04626</t>
  </si>
  <si>
    <t>1609B04725</t>
  </si>
  <si>
    <t>1609B04809</t>
  </si>
  <si>
    <t>1609B04810</t>
  </si>
  <si>
    <t>1609B04811</t>
  </si>
  <si>
    <t>1609B04838</t>
  </si>
  <si>
    <t>1609B04865</t>
  </si>
  <si>
    <t>1609B04872</t>
  </si>
  <si>
    <t>1609B04876</t>
  </si>
  <si>
    <t>1609B04936</t>
  </si>
  <si>
    <t>1609B04954</t>
  </si>
  <si>
    <t>1609B04955</t>
  </si>
  <si>
    <t>1609B04959</t>
  </si>
  <si>
    <t>1609B05010</t>
  </si>
  <si>
    <t>1609B05017</t>
  </si>
  <si>
    <t>1609B05025</t>
  </si>
  <si>
    <t>1609B05115</t>
  </si>
  <si>
    <t>1609B05166</t>
  </si>
  <si>
    <t>1609B05179</t>
  </si>
  <si>
    <t>1609B05286</t>
  </si>
  <si>
    <t>1609B05390</t>
  </si>
  <si>
    <t>1609B05392</t>
  </si>
  <si>
    <t>1609B05657</t>
  </si>
  <si>
    <t>1609B05713</t>
  </si>
  <si>
    <t>1609B05715</t>
  </si>
  <si>
    <t>1609B05720</t>
  </si>
  <si>
    <t>1609B06200</t>
  </si>
  <si>
    <t>1609B06203</t>
  </si>
  <si>
    <t>1609B06214</t>
  </si>
  <si>
    <t>1609B06217</t>
  </si>
  <si>
    <t>1609B06223</t>
  </si>
  <si>
    <t>1609B06236</t>
  </si>
  <si>
    <t>1609B06246</t>
  </si>
  <si>
    <t>1609B06265</t>
  </si>
  <si>
    <t>1609B06284</t>
  </si>
  <si>
    <t>1609B06287</t>
  </si>
  <si>
    <t>1609B06333</t>
  </si>
  <si>
    <t>1609B06340</t>
  </si>
  <si>
    <t>1609B06341</t>
  </si>
  <si>
    <t>1609B06352</t>
  </si>
  <si>
    <t>1609B06362</t>
  </si>
  <si>
    <t>1609B06363</t>
  </si>
  <si>
    <t>1609B06368</t>
  </si>
  <si>
    <t>1609B06378</t>
  </si>
  <si>
    <t>1609B06380</t>
  </si>
  <si>
    <t>1609B06382</t>
  </si>
  <si>
    <t>1609B06383</t>
  </si>
  <si>
    <t>1609B06384</t>
  </si>
  <si>
    <t>1609B06385</t>
  </si>
  <si>
    <t>1609B06400</t>
  </si>
  <si>
    <t>1609B06405</t>
  </si>
  <si>
    <t>1609B06406</t>
  </si>
  <si>
    <t>1609B06410</t>
  </si>
  <si>
    <t>1609B06413</t>
  </si>
  <si>
    <t>1609B06415</t>
  </si>
  <si>
    <t>1609B06421</t>
  </si>
  <si>
    <t>1609B06423</t>
  </si>
  <si>
    <t>1609B06424</t>
  </si>
  <si>
    <t>1609B06426</t>
  </si>
  <si>
    <t>1609B06427</t>
  </si>
  <si>
    <t>1609B06429</t>
  </si>
  <si>
    <t>1609B06431</t>
  </si>
  <si>
    <t>1609B06433</t>
  </si>
  <si>
    <t>1609B06434</t>
  </si>
  <si>
    <t>1609B06435</t>
  </si>
  <si>
    <t>1609B06440</t>
  </si>
  <si>
    <t>1609B06441</t>
  </si>
  <si>
    <t>1609B06443</t>
  </si>
  <si>
    <t>1609B06444</t>
  </si>
  <si>
    <t>1609B06445</t>
  </si>
  <si>
    <t>1609B06446</t>
  </si>
  <si>
    <t>1609B06447</t>
  </si>
  <si>
    <t>1609B06448</t>
  </si>
  <si>
    <t>1609B06449</t>
  </si>
  <si>
    <t>1609B06455</t>
  </si>
  <si>
    <t>1609B06456</t>
  </si>
  <si>
    <t>1609B06457</t>
  </si>
  <si>
    <t>1609B06458</t>
  </si>
  <si>
    <t>1609B06459</t>
  </si>
  <si>
    <t>1609B06460</t>
  </si>
  <si>
    <t>1609B06462</t>
  </si>
  <si>
    <t>1609B06464</t>
  </si>
  <si>
    <t>1609B06468</t>
  </si>
  <si>
    <t>1609B06469</t>
  </si>
  <si>
    <t>1609B06471</t>
  </si>
  <si>
    <t>1609B06474</t>
  </si>
  <si>
    <t>1609B06478</t>
  </si>
  <si>
    <t>1609B06479</t>
  </si>
  <si>
    <t>1609B06480</t>
  </si>
  <si>
    <t>1609B06482</t>
  </si>
  <si>
    <t>1609B06483</t>
  </si>
  <si>
    <t>1609B06486</t>
  </si>
  <si>
    <t>1609B06487</t>
  </si>
  <si>
    <t>1609B06545</t>
  </si>
  <si>
    <t>1609B06547</t>
  </si>
  <si>
    <t>1609B06557</t>
  </si>
  <si>
    <t>1609B06560</t>
  </si>
  <si>
    <t>1609B06561</t>
  </si>
  <si>
    <t>1609B06589</t>
  </si>
  <si>
    <t>1609B06601</t>
  </si>
  <si>
    <t>1609B06685</t>
  </si>
  <si>
    <t>1609B06686</t>
  </si>
  <si>
    <t>1609B06687</t>
  </si>
  <si>
    <t>1609B06688</t>
  </si>
  <si>
    <t>1609B06689</t>
  </si>
  <si>
    <t>1609B06690</t>
  </si>
  <si>
    <t>1609B06691</t>
  </si>
  <si>
    <t>1609B06694</t>
  </si>
  <si>
    <t>1609B06697</t>
  </si>
  <si>
    <t>1609B06698</t>
  </si>
  <si>
    <t>1609B06699</t>
  </si>
  <si>
    <t>1609B06702</t>
  </si>
  <si>
    <t>1609B06704</t>
  </si>
  <si>
    <t>1609B06705</t>
  </si>
  <si>
    <t>1609B06706</t>
  </si>
  <si>
    <t>1609B06707</t>
  </si>
  <si>
    <t>1609B06708</t>
  </si>
  <si>
    <t>1609B06711</t>
  </si>
  <si>
    <t>1609B06715</t>
  </si>
  <si>
    <t>1609B06718</t>
  </si>
  <si>
    <t>1609B06720</t>
  </si>
  <si>
    <t>1609B06734</t>
  </si>
  <si>
    <t>1609B06743</t>
  </si>
  <si>
    <t>1609B06744</t>
  </si>
  <si>
    <t>1609B06747</t>
  </si>
  <si>
    <t>1609B06753</t>
  </si>
  <si>
    <t>1609B06754</t>
  </si>
  <si>
    <t>1609B06755</t>
  </si>
  <si>
    <t>1609B06756</t>
  </si>
  <si>
    <t>1609B06758</t>
  </si>
  <si>
    <t>1609B06759</t>
  </si>
  <si>
    <t>1609B06772</t>
  </si>
  <si>
    <t>1609B06781</t>
  </si>
  <si>
    <t>1609B06785</t>
  </si>
  <si>
    <t>1609B06801</t>
  </si>
  <si>
    <t>1609B06802</t>
  </si>
  <si>
    <t>1609B06807</t>
  </si>
  <si>
    <t>1609B06808</t>
  </si>
  <si>
    <t>1609B06809</t>
  </si>
  <si>
    <t>1609B06921</t>
  </si>
  <si>
    <t>1609BN0232</t>
  </si>
  <si>
    <t>1609BN0312</t>
  </si>
  <si>
    <t>1609BN0407</t>
  </si>
  <si>
    <t>1609BN0414</t>
  </si>
  <si>
    <t>1609BP7039</t>
  </si>
  <si>
    <t>1609BP7042</t>
  </si>
  <si>
    <t>1609BP7045</t>
  </si>
  <si>
    <t>1609BP7059</t>
  </si>
  <si>
    <t>1609BP7098</t>
  </si>
  <si>
    <t>1609BP7124</t>
  </si>
  <si>
    <t>1609BP7137</t>
  </si>
  <si>
    <t>1609BP7138</t>
  </si>
  <si>
    <t>1609BT4033</t>
  </si>
  <si>
    <t>161029012A</t>
  </si>
  <si>
    <t>1611110D43</t>
  </si>
  <si>
    <t>1611110W39</t>
  </si>
  <si>
    <t>1611110X17</t>
  </si>
  <si>
    <t>1614010B1C</t>
  </si>
  <si>
    <t>161513213B</t>
  </si>
  <si>
    <t>161633329D</t>
  </si>
  <si>
    <t>1616B00224</t>
  </si>
  <si>
    <t>1616B10268</t>
  </si>
  <si>
    <t>1616B10269</t>
  </si>
  <si>
    <t>16170006AE</t>
  </si>
  <si>
    <t>16170006AT</t>
  </si>
  <si>
    <t>16170006B1</t>
  </si>
  <si>
    <t>16170006B2</t>
  </si>
  <si>
    <t>16170006B3</t>
  </si>
  <si>
    <t>16170006B4</t>
  </si>
  <si>
    <t>16170006B7</t>
  </si>
  <si>
    <t>16170006B8</t>
  </si>
  <si>
    <t>16170006BB</t>
  </si>
  <si>
    <t>16170006BF</t>
  </si>
  <si>
    <t>16170006BG</t>
  </si>
  <si>
    <t>16170006BH</t>
  </si>
  <si>
    <t>16170006BJ</t>
  </si>
  <si>
    <t>16170006BS</t>
  </si>
  <si>
    <t>16170006BT</t>
  </si>
  <si>
    <t>16170006BW</t>
  </si>
  <si>
    <t>16170006C9</t>
  </si>
  <si>
    <t>16170006CA</t>
  </si>
  <si>
    <t>16170006DJ</t>
  </si>
  <si>
    <t>16170006DM</t>
  </si>
  <si>
    <t>16170006DV</t>
  </si>
  <si>
    <t>16170006DY</t>
  </si>
  <si>
    <t>16170006EE</t>
  </si>
  <si>
    <t>16170006EP</t>
  </si>
  <si>
    <t>16170006EW</t>
  </si>
  <si>
    <t>1617000A00</t>
  </si>
  <si>
    <t>1617000A01</t>
  </si>
  <si>
    <t>1617000A02</t>
  </si>
  <si>
    <t>1617000A03</t>
  </si>
  <si>
    <t>1617000A04</t>
  </si>
  <si>
    <t>1617000A05</t>
  </si>
  <si>
    <t>1617000A07</t>
  </si>
  <si>
    <t>1617000A10</t>
  </si>
  <si>
    <t>1617000A26</t>
  </si>
  <si>
    <t>1617000A29</t>
  </si>
  <si>
    <t>1617000A30</t>
  </si>
  <si>
    <t>1617000A31</t>
  </si>
  <si>
    <t>1617000A32</t>
  </si>
  <si>
    <t>1617000A33</t>
  </si>
  <si>
    <t>1617000A34</t>
  </si>
  <si>
    <t>1617000A35</t>
  </si>
  <si>
    <t>1617000A36</t>
  </si>
  <si>
    <t>1617000A37</t>
  </si>
  <si>
    <t>1617000A38</t>
  </si>
  <si>
    <t>1617000A4J</t>
  </si>
  <si>
    <t>1617000A4L</t>
  </si>
  <si>
    <t>1617000A4R</t>
  </si>
  <si>
    <t>1617000A4W</t>
  </si>
  <si>
    <t>1617000A4Z</t>
  </si>
  <si>
    <t>1617000A50</t>
  </si>
  <si>
    <t>1617000A55</t>
  </si>
  <si>
    <t>1617000A5K</t>
  </si>
  <si>
    <t>1617000V41</t>
  </si>
  <si>
    <t>1617000V42</t>
  </si>
  <si>
    <t>1617000V43</t>
  </si>
  <si>
    <t>1617000V55</t>
  </si>
  <si>
    <t>1617000V75</t>
  </si>
  <si>
    <t>1617000V76</t>
  </si>
  <si>
    <t>1617S00T1Z</t>
  </si>
  <si>
    <t>1617S00T4M</t>
  </si>
  <si>
    <t>1618B00804</t>
  </si>
  <si>
    <t>1618B00903</t>
  </si>
  <si>
    <t>1618C0012T</t>
  </si>
  <si>
    <t>1618C00325</t>
  </si>
  <si>
    <t>1618C00326</t>
  </si>
  <si>
    <t>1618C00462</t>
  </si>
  <si>
    <t>1618C00463</t>
  </si>
  <si>
    <t>1618C00464</t>
  </si>
  <si>
    <t>1618C00465</t>
  </si>
  <si>
    <t>1618C00487</t>
  </si>
  <si>
    <t>1618C00489</t>
  </si>
  <si>
    <t>1618C00491</t>
  </si>
  <si>
    <t>1618C00492</t>
  </si>
  <si>
    <t>1618C0060U</t>
  </si>
  <si>
    <t>1618C0061B</t>
  </si>
  <si>
    <t>1618C0061N</t>
  </si>
  <si>
    <t>1618C0066E</t>
  </si>
  <si>
    <t>1618C0075A</t>
  </si>
  <si>
    <t>1618C0081G</t>
  </si>
  <si>
    <t>1618C0088U</t>
  </si>
  <si>
    <t>1618C0109R</t>
  </si>
  <si>
    <t>1618C0110Z</t>
  </si>
  <si>
    <t>1618C0111A</t>
  </si>
  <si>
    <t>1618C0111B</t>
  </si>
  <si>
    <t>1618C0111C</t>
  </si>
  <si>
    <t>1618C0114L</t>
  </si>
  <si>
    <t>1618C0114U</t>
  </si>
  <si>
    <t>1618C0119V</t>
  </si>
  <si>
    <t>1618C0120G</t>
  </si>
  <si>
    <t>1618C0121B</t>
  </si>
  <si>
    <t>1618C0121C</t>
  </si>
  <si>
    <t>1618C0125E</t>
  </si>
  <si>
    <t>1618C0126V</t>
  </si>
  <si>
    <t>1618C0126X</t>
  </si>
  <si>
    <t>1618C0139J</t>
  </si>
  <si>
    <t>1618C01473</t>
  </si>
  <si>
    <t>1618C01495</t>
  </si>
  <si>
    <t>1618C01699</t>
  </si>
  <si>
    <t>1618C01707</t>
  </si>
  <si>
    <t>1618C01752</t>
  </si>
  <si>
    <t>1618C01773</t>
  </si>
  <si>
    <t>1618C01774</t>
  </si>
  <si>
    <t>1619P00029</t>
  </si>
  <si>
    <t>1619P00105</t>
  </si>
  <si>
    <t>1619P00108</t>
  </si>
  <si>
    <t>1619P00109</t>
  </si>
  <si>
    <t>1619P00141</t>
  </si>
  <si>
    <t>1619P00219</t>
  </si>
  <si>
    <t>1619P00220</t>
  </si>
  <si>
    <t>1619P00228</t>
  </si>
  <si>
    <t>1619P00290</t>
  </si>
  <si>
    <t>1619P00428</t>
  </si>
  <si>
    <t>1619P00444</t>
  </si>
  <si>
    <t>1619P00445</t>
  </si>
  <si>
    <t>1619P00446</t>
  </si>
  <si>
    <t>1619P00455</t>
  </si>
  <si>
    <t>1619P00828</t>
  </si>
  <si>
    <t>1619P00829</t>
  </si>
  <si>
    <t>1619P00987</t>
  </si>
  <si>
    <t>1619P00999</t>
  </si>
  <si>
    <t>1619P01066</t>
  </si>
  <si>
    <t>1619P01104</t>
  </si>
  <si>
    <t>1619P01127</t>
  </si>
  <si>
    <t>1619P01130</t>
  </si>
  <si>
    <t>1619P01131</t>
  </si>
  <si>
    <t>1619P01137</t>
  </si>
  <si>
    <t>1619P01139</t>
  </si>
  <si>
    <t>1619P01140</t>
  </si>
  <si>
    <t>1619P01141</t>
  </si>
  <si>
    <t>1619P01142</t>
  </si>
  <si>
    <t>1619P01143</t>
  </si>
  <si>
    <t>1619P01151</t>
  </si>
  <si>
    <t>1619P01152</t>
  </si>
  <si>
    <t>1619P01153</t>
  </si>
  <si>
    <t>1619P01154</t>
  </si>
  <si>
    <t>1619P01155</t>
  </si>
  <si>
    <t>1619P01156</t>
  </si>
  <si>
    <t>1619P01158</t>
  </si>
  <si>
    <t>1619P01161</t>
  </si>
  <si>
    <t>1619P01173</t>
  </si>
  <si>
    <t>1619P01182</t>
  </si>
  <si>
    <t>1619P01194</t>
  </si>
  <si>
    <t>1619P01195</t>
  </si>
  <si>
    <t>1619P01197</t>
  </si>
  <si>
    <t>1619P01198</t>
  </si>
  <si>
    <t>1619P01199</t>
  </si>
  <si>
    <t>1619P01203</t>
  </si>
  <si>
    <t>1619P01204</t>
  </si>
  <si>
    <t>1619P01205</t>
  </si>
  <si>
    <t>1619P01206</t>
  </si>
  <si>
    <t>1619P01207</t>
  </si>
  <si>
    <t>1619P01209</t>
  </si>
  <si>
    <t>1619P01212</t>
  </si>
  <si>
    <t>1619P01213</t>
  </si>
  <si>
    <t>1619P01214</t>
  </si>
  <si>
    <t>1619P01218</t>
  </si>
  <si>
    <t>1619P01220</t>
  </si>
  <si>
    <t>1619P01230</t>
  </si>
  <si>
    <t>1619P01231</t>
  </si>
  <si>
    <t>1619P01232</t>
  </si>
  <si>
    <t>1619P01238</t>
  </si>
  <si>
    <t>1619P01239</t>
  </si>
  <si>
    <t>1619P01240</t>
  </si>
  <si>
    <t>1619P01242</t>
  </si>
  <si>
    <t>1619P01243</t>
  </si>
  <si>
    <t>1619P01244</t>
  </si>
  <si>
    <t>1619P01245</t>
  </si>
  <si>
    <t>1619P01246</t>
  </si>
  <si>
    <t>1619P01254</t>
  </si>
  <si>
    <t>1619P01255</t>
  </si>
  <si>
    <t>1619P01256</t>
  </si>
  <si>
    <t>1619P01257</t>
  </si>
  <si>
    <t>1619P01258</t>
  </si>
  <si>
    <t>1619P01259</t>
  </si>
  <si>
    <t>1619P01260</t>
  </si>
  <si>
    <t>1619P01261</t>
  </si>
  <si>
    <t>1619P01262</t>
  </si>
  <si>
    <t>1619P01264</t>
  </si>
  <si>
    <t>1619P01265</t>
  </si>
  <si>
    <t>1619P01266</t>
  </si>
  <si>
    <t>1619P01268</t>
  </si>
  <si>
    <t>1619P01310</t>
  </si>
  <si>
    <t>1619P01316</t>
  </si>
  <si>
    <t>1619P01317</t>
  </si>
  <si>
    <t>1619P01325</t>
  </si>
  <si>
    <t>1619P01327</t>
  </si>
  <si>
    <t>1619P01375</t>
  </si>
  <si>
    <t>1619P01380</t>
  </si>
  <si>
    <t>1619P01385</t>
  </si>
  <si>
    <t>1619P01387</t>
  </si>
  <si>
    <t>1619P01389</t>
  </si>
  <si>
    <t>1619P01392</t>
  </si>
  <si>
    <t>1619P01393</t>
  </si>
  <si>
    <t>1619P01395</t>
  </si>
  <si>
    <t>1619P01396</t>
  </si>
  <si>
    <t>1619P01397</t>
  </si>
  <si>
    <t>1619P01446</t>
  </si>
  <si>
    <t>1619P01447</t>
  </si>
  <si>
    <t>1619P01449</t>
  </si>
  <si>
    <t>1619P01508</t>
  </si>
  <si>
    <t>1619P01511</t>
  </si>
  <si>
    <t>1619P01524</t>
  </si>
  <si>
    <t>1619P01532</t>
  </si>
  <si>
    <t>1619P01535</t>
  </si>
  <si>
    <t>1619P01539</t>
  </si>
  <si>
    <t>1619P01571</t>
  </si>
  <si>
    <t>1619P01598</t>
  </si>
  <si>
    <t>1619P01618</t>
  </si>
  <si>
    <t>1619P01620</t>
  </si>
  <si>
    <t>1619P01623</t>
  </si>
  <si>
    <t>1619P01624</t>
  </si>
  <si>
    <t>1619P01626</t>
  </si>
  <si>
    <t>1619P01627</t>
  </si>
  <si>
    <t>1619P01628</t>
  </si>
  <si>
    <t>1619P01629</t>
  </si>
  <si>
    <t>1619P01630</t>
  </si>
  <si>
    <t>1619P01631</t>
  </si>
  <si>
    <t>1619P01632</t>
  </si>
  <si>
    <t>1619P01633</t>
  </si>
  <si>
    <t>1619P01634</t>
  </si>
  <si>
    <t>1619P01635</t>
  </si>
  <si>
    <t>1619P01636</t>
  </si>
  <si>
    <t>1619P01637</t>
  </si>
  <si>
    <t>1619P01639</t>
  </si>
  <si>
    <t>1619P01643</t>
  </si>
  <si>
    <t>1619P01644</t>
  </si>
  <si>
    <t>1619P01665</t>
  </si>
  <si>
    <t>1619P01666</t>
  </si>
  <si>
    <t>1619P01668</t>
  </si>
  <si>
    <t>1619P01669</t>
  </si>
  <si>
    <t>1619P01673</t>
  </si>
  <si>
    <t>1619P01674</t>
  </si>
  <si>
    <t>1619P01676</t>
  </si>
  <si>
    <t>1619P01677</t>
  </si>
  <si>
    <t>1619P01678</t>
  </si>
  <si>
    <t>1619P01679</t>
  </si>
  <si>
    <t>1619P01680</t>
  </si>
  <si>
    <t>1619P01717</t>
  </si>
  <si>
    <t>1619P01767</t>
  </si>
  <si>
    <t>1619P01769</t>
  </si>
  <si>
    <t>1619P01771</t>
  </si>
  <si>
    <t>1619P01772</t>
  </si>
  <si>
    <t>1619P01773</t>
  </si>
  <si>
    <t>1619P01775</t>
  </si>
  <si>
    <t>1619P01776</t>
  </si>
  <si>
    <t>1619P01783</t>
  </si>
  <si>
    <t>1619P01787</t>
  </si>
  <si>
    <t>1619P01811</t>
  </si>
  <si>
    <t>1619P01902</t>
  </si>
  <si>
    <t>1619P01925</t>
  </si>
  <si>
    <t>1619P01931</t>
  </si>
  <si>
    <t>1619P01932</t>
  </si>
  <si>
    <t>1619P01957</t>
  </si>
  <si>
    <t>1619P01960</t>
  </si>
  <si>
    <t>1619P01962</t>
  </si>
  <si>
    <t>1619P02043</t>
  </si>
  <si>
    <t>1619P02138</t>
  </si>
  <si>
    <t>1619P02182</t>
  </si>
  <si>
    <t>1619P02325</t>
  </si>
  <si>
    <t>1619P02328</t>
  </si>
  <si>
    <t>1619P02333</t>
  </si>
  <si>
    <t>1619P02421</t>
  </si>
  <si>
    <t>1619P02422</t>
  </si>
  <si>
    <t>1619P02580</t>
  </si>
  <si>
    <t>1619P02581</t>
  </si>
  <si>
    <t>1619P02708</t>
  </si>
  <si>
    <t>1619P02775</t>
  </si>
  <si>
    <t>1619P02776</t>
  </si>
  <si>
    <t>1619P02783</t>
  </si>
  <si>
    <t>1619P02796</t>
  </si>
  <si>
    <t>1619P02799</t>
  </si>
  <si>
    <t>1619P02800</t>
  </si>
  <si>
    <t>1619P02801</t>
  </si>
  <si>
    <t>1619P02809</t>
  </si>
  <si>
    <t>1619P02812</t>
  </si>
  <si>
    <t>1619P02820</t>
  </si>
  <si>
    <t>1619P02821</t>
  </si>
  <si>
    <t>1619P02822</t>
  </si>
  <si>
    <t>1619P02823</t>
  </si>
  <si>
    <t>1619P02824</t>
  </si>
  <si>
    <t>1619P02825</t>
  </si>
  <si>
    <t>1619P02826</t>
  </si>
  <si>
    <t>1619P02827</t>
  </si>
  <si>
    <t>1619P02828</t>
  </si>
  <si>
    <t>1619P02833</t>
  </si>
  <si>
    <t>1619P02834</t>
  </si>
  <si>
    <t>1619P02835</t>
  </si>
  <si>
    <t>1619P02838</t>
  </si>
  <si>
    <t>1619P02843</t>
  </si>
  <si>
    <t>1619P02845</t>
  </si>
  <si>
    <t>1619P02848</t>
  </si>
  <si>
    <t>1619P02849</t>
  </si>
  <si>
    <t>1619P02866</t>
  </si>
  <si>
    <t>1619P02872</t>
  </si>
  <si>
    <t>1619P02873</t>
  </si>
  <si>
    <t>1619P03278</t>
  </si>
  <si>
    <t>1619P03323</t>
  </si>
  <si>
    <t>1619P03324</t>
  </si>
  <si>
    <t>1619P03340</t>
  </si>
  <si>
    <t>1619P03453</t>
  </si>
  <si>
    <t>1619P03470</t>
  </si>
  <si>
    <t>1619P03473</t>
  </si>
  <si>
    <t>1619P03474</t>
  </si>
  <si>
    <t>1619P03482</t>
  </si>
  <si>
    <t>1619P03669</t>
  </si>
  <si>
    <t>1619P03725</t>
  </si>
  <si>
    <t>1619P03727</t>
  </si>
  <si>
    <t>1619P03732</t>
  </si>
  <si>
    <t>1619P03733</t>
  </si>
  <si>
    <t>1619P03734</t>
  </si>
  <si>
    <t>1619P03735</t>
  </si>
  <si>
    <t>1619P03740</t>
  </si>
  <si>
    <t>1619P03741</t>
  </si>
  <si>
    <t>1619P03744</t>
  </si>
  <si>
    <t>1619P03748</t>
  </si>
  <si>
    <t>1619P03749</t>
  </si>
  <si>
    <t>1619P03750</t>
  </si>
  <si>
    <t>1619P03751</t>
  </si>
  <si>
    <t>1619P03752</t>
  </si>
  <si>
    <t>1619P03753</t>
  </si>
  <si>
    <t>1619P03755</t>
  </si>
  <si>
    <t>1619P03756</t>
  </si>
  <si>
    <t>1619P03757</t>
  </si>
  <si>
    <t>1619P03758</t>
  </si>
  <si>
    <t>1619P03760</t>
  </si>
  <si>
    <t>1619P03761</t>
  </si>
  <si>
    <t>1619P03762</t>
  </si>
  <si>
    <t>1619P03763</t>
  </si>
  <si>
    <t>1619P03764</t>
  </si>
  <si>
    <t>1619P03765</t>
  </si>
  <si>
    <t>1619P03766</t>
  </si>
  <si>
    <t>1619P03771</t>
  </si>
  <si>
    <t>1619P03778</t>
  </si>
  <si>
    <t>1619P03782</t>
  </si>
  <si>
    <t>1619P03783</t>
  </si>
  <si>
    <t>1619P03786</t>
  </si>
  <si>
    <t>1619P03801</t>
  </si>
  <si>
    <t>1619P03802</t>
  </si>
  <si>
    <t>1619P03807</t>
  </si>
  <si>
    <t>1619P03808</t>
  </si>
  <si>
    <t>1619P03809</t>
  </si>
  <si>
    <t>1619P03810</t>
  </si>
  <si>
    <t>1619P03811</t>
  </si>
  <si>
    <t>1619P03812</t>
  </si>
  <si>
    <t>1619P03814</t>
  </si>
  <si>
    <t>1619P03815</t>
  </si>
  <si>
    <t>1619P03816</t>
  </si>
  <si>
    <t>1619P03818</t>
  </si>
  <si>
    <t>1619P03819</t>
  </si>
  <si>
    <t>1619P03821</t>
  </si>
  <si>
    <t>1619P03822</t>
  </si>
  <si>
    <t>1619P03823</t>
  </si>
  <si>
    <t>1619P03824</t>
  </si>
  <si>
    <t>1619P03825</t>
  </si>
  <si>
    <t>1619P03826</t>
  </si>
  <si>
    <t>1619P03827</t>
  </si>
  <si>
    <t>1619P03828</t>
  </si>
  <si>
    <t>1619P03829</t>
  </si>
  <si>
    <t>1619P03830</t>
  </si>
  <si>
    <t>1619P03831</t>
  </si>
  <si>
    <t>1619P03832</t>
  </si>
  <si>
    <t>1619P03833</t>
  </si>
  <si>
    <t>1619P03834</t>
  </si>
  <si>
    <t>1619P03835</t>
  </si>
  <si>
    <t>1619P03837</t>
  </si>
  <si>
    <t>1619P03838</t>
  </si>
  <si>
    <t>1619P03839</t>
  </si>
  <si>
    <t>1619P03840</t>
  </si>
  <si>
    <t>1619P03841</t>
  </si>
  <si>
    <t>1619P03844</t>
  </si>
  <si>
    <t>1619P03848</t>
  </si>
  <si>
    <t>1619P03850</t>
  </si>
  <si>
    <t>1619P03853</t>
  </si>
  <si>
    <t>1619P03855</t>
  </si>
  <si>
    <t>1619P03860</t>
  </si>
  <si>
    <t>1619P03863</t>
  </si>
  <si>
    <t>1619P03864</t>
  </si>
  <si>
    <t>1619P03866</t>
  </si>
  <si>
    <t>1619P03871</t>
  </si>
  <si>
    <t>1619P03873</t>
  </si>
  <si>
    <t>1619P03903</t>
  </si>
  <si>
    <t>1619P03904</t>
  </si>
  <si>
    <t>1619P03905</t>
  </si>
  <si>
    <t>1619P03907</t>
  </si>
  <si>
    <t>1619P03909</t>
  </si>
  <si>
    <t>1619P03911</t>
  </si>
  <si>
    <t>1619P03914</t>
  </si>
  <si>
    <t>1619P03927</t>
  </si>
  <si>
    <t>1619P04420</t>
  </si>
  <si>
    <t>1619P04421</t>
  </si>
  <si>
    <t>1619P04424</t>
  </si>
  <si>
    <t>1619P04451</t>
  </si>
  <si>
    <t>1619P04505</t>
  </si>
  <si>
    <t>1619P04514</t>
  </si>
  <si>
    <t>1619P04540</t>
  </si>
  <si>
    <t>1619P04820</t>
  </si>
  <si>
    <t>1619P04821</t>
  </si>
  <si>
    <t>1619P04823</t>
  </si>
  <si>
    <t>1619P04824</t>
  </si>
  <si>
    <t>1619P04826</t>
  </si>
  <si>
    <t>1619P04827</t>
  </si>
  <si>
    <t>1619P04828</t>
  </si>
  <si>
    <t>1619P04831</t>
  </si>
  <si>
    <t>1619P04833</t>
  </si>
  <si>
    <t>1619P04834</t>
  </si>
  <si>
    <t>1619P04835</t>
  </si>
  <si>
    <t>1619P04837</t>
  </si>
  <si>
    <t>1619P04840</t>
  </si>
  <si>
    <t>1619P05084</t>
  </si>
  <si>
    <t>1619P05210</t>
  </si>
  <si>
    <t>1619P05243</t>
  </si>
  <si>
    <t>1619P05282</t>
  </si>
  <si>
    <t>1619P05305</t>
  </si>
  <si>
    <t>1619P05379</t>
  </si>
  <si>
    <t>1619P05382</t>
  </si>
  <si>
    <t>1619P05408</t>
  </si>
  <si>
    <t>1619P05422</t>
  </si>
  <si>
    <t>1619P05669</t>
  </si>
  <si>
    <t>1619P05670</t>
  </si>
  <si>
    <t>1619P05967</t>
  </si>
  <si>
    <t>1619P06024</t>
  </si>
  <si>
    <t>1619P06026</t>
  </si>
  <si>
    <t>1619P06027</t>
  </si>
  <si>
    <t>1619P06028</t>
  </si>
  <si>
    <t>1619P06029</t>
  </si>
  <si>
    <t>1619P06030</t>
  </si>
  <si>
    <t>1619P06031</t>
  </si>
  <si>
    <t>1619P06032</t>
  </si>
  <si>
    <t>1619P06033</t>
  </si>
  <si>
    <t>1619P06034</t>
  </si>
  <si>
    <t>1619P06035</t>
  </si>
  <si>
    <t>1619P06036</t>
  </si>
  <si>
    <t>1619P06037</t>
  </si>
  <si>
    <t>1619P06038</t>
  </si>
  <si>
    <t>1619P06039</t>
  </si>
  <si>
    <t>1619P06040</t>
  </si>
  <si>
    <t>1619P06041</t>
  </si>
  <si>
    <t>1619P06071</t>
  </si>
  <si>
    <t>1619P06072</t>
  </si>
  <si>
    <t>1619P06089</t>
  </si>
  <si>
    <t>1619P06121</t>
  </si>
  <si>
    <t>1619P06199</t>
  </si>
  <si>
    <t>1619P06207</t>
  </si>
  <si>
    <t>1619P06211</t>
  </si>
  <si>
    <t>1619P06212</t>
  </si>
  <si>
    <t>1619P06213</t>
  </si>
  <si>
    <t>1619P06218</t>
  </si>
  <si>
    <t>1619P06219</t>
  </si>
  <si>
    <t>1619P06221</t>
  </si>
  <si>
    <t>1619P06222</t>
  </si>
  <si>
    <t>1619P06225</t>
  </si>
  <si>
    <t>1619P06226</t>
  </si>
  <si>
    <t>1619P06227</t>
  </si>
  <si>
    <t>1619P06231</t>
  </si>
  <si>
    <t>1619P06234</t>
  </si>
  <si>
    <t>1619P06235</t>
  </si>
  <si>
    <t>1619P06236</t>
  </si>
  <si>
    <t>1619P06237</t>
  </si>
  <si>
    <t>1619P06244</t>
  </si>
  <si>
    <t>1619P06245</t>
  </si>
  <si>
    <t>1619P06246</t>
  </si>
  <si>
    <t>1619P06252</t>
  </si>
  <si>
    <t>1619P06265</t>
  </si>
  <si>
    <t>1619P06286</t>
  </si>
  <si>
    <t>1619P06313</t>
  </si>
  <si>
    <t>1619P06314</t>
  </si>
  <si>
    <t>1619P06316</t>
  </si>
  <si>
    <t>1619P06317</t>
  </si>
  <si>
    <t>1619P06327</t>
  </si>
  <si>
    <t>1619P06334</t>
  </si>
  <si>
    <t>1619P06341</t>
  </si>
  <si>
    <t>1619P06342</t>
  </si>
  <si>
    <t>1619P06343</t>
  </si>
  <si>
    <t>1619P06372</t>
  </si>
  <si>
    <t>1619P06374</t>
  </si>
  <si>
    <t>1619P06391</t>
  </si>
  <si>
    <t>1619P06392</t>
  </si>
  <si>
    <t>1619P06451</t>
  </si>
  <si>
    <t>1619P06471</t>
  </si>
  <si>
    <t>1619P06522</t>
  </si>
  <si>
    <t>1619P06597</t>
  </si>
  <si>
    <t>1619P06968</t>
  </si>
  <si>
    <t>1619P07060</t>
  </si>
  <si>
    <t>1619P07126</t>
  </si>
  <si>
    <t>1619P07127</t>
  </si>
  <si>
    <t>1619P07128</t>
  </si>
  <si>
    <t>1619P07129</t>
  </si>
  <si>
    <t>1619P07133</t>
  </si>
  <si>
    <t>1619P07135</t>
  </si>
  <si>
    <t>1619P07137</t>
  </si>
  <si>
    <t>1619P07138</t>
  </si>
  <si>
    <t>1619P07139</t>
  </si>
  <si>
    <t>1619P07142</t>
  </si>
  <si>
    <t>1619P07143</t>
  </si>
  <si>
    <t>1619P07147</t>
  </si>
  <si>
    <t>1619P07151</t>
  </si>
  <si>
    <t>1619P07152</t>
  </si>
  <si>
    <t>1619P07156</t>
  </si>
  <si>
    <t>1619P07158</t>
  </si>
  <si>
    <t>1619P07159</t>
  </si>
  <si>
    <t>1619P07162</t>
  </si>
  <si>
    <t>1619P07163</t>
  </si>
  <si>
    <t>1619P07166</t>
  </si>
  <si>
    <t>1619P07167</t>
  </si>
  <si>
    <t>1619P07186</t>
  </si>
  <si>
    <t>1619P07188</t>
  </si>
  <si>
    <t>1619P07190</t>
  </si>
  <si>
    <t>1619P07191</t>
  </si>
  <si>
    <t>1619P07192</t>
  </si>
  <si>
    <t>1619P07193</t>
  </si>
  <si>
    <t>1619P07194</t>
  </si>
  <si>
    <t>1619P07196</t>
  </si>
  <si>
    <t>1619P07199</t>
  </si>
  <si>
    <t>1619P07200</t>
  </si>
  <si>
    <t>1619P07202</t>
  </si>
  <si>
    <t>1619P07205</t>
  </si>
  <si>
    <t>1619P07250</t>
  </si>
  <si>
    <t>1619P07276</t>
  </si>
  <si>
    <t>1619P07277</t>
  </si>
  <si>
    <t>1619P07286</t>
  </si>
  <si>
    <t>1619P07304</t>
  </si>
  <si>
    <t>1619P07318</t>
  </si>
  <si>
    <t>1619P07414</t>
  </si>
  <si>
    <t>1619P07418</t>
  </si>
  <si>
    <t>1619P07426</t>
  </si>
  <si>
    <t>1619P07440</t>
  </si>
  <si>
    <t>1619P07470</t>
  </si>
  <si>
    <t>1619P07541</t>
  </si>
  <si>
    <t>1619P07542</t>
  </si>
  <si>
    <t>1619P07543</t>
  </si>
  <si>
    <t>1619P07544</t>
  </si>
  <si>
    <t>1619P07545</t>
  </si>
  <si>
    <t>1619P07546</t>
  </si>
  <si>
    <t>1619P07563</t>
  </si>
  <si>
    <t>1619P07576</t>
  </si>
  <si>
    <t>1619P07596</t>
  </si>
  <si>
    <t>1619P07611</t>
  </si>
  <si>
    <t>1619P07612</t>
  </si>
  <si>
    <t>1619P07628</t>
  </si>
  <si>
    <t>1619P07647</t>
  </si>
  <si>
    <t>1619P07650</t>
  </si>
  <si>
    <t>1619P07657</t>
  </si>
  <si>
    <t>1619P07658</t>
  </si>
  <si>
    <t>1619P07688</t>
  </si>
  <si>
    <t>1619P07689</t>
  </si>
  <si>
    <t>1619P07702</t>
  </si>
  <si>
    <t>1619P07704</t>
  </si>
  <si>
    <t>1619P07708</t>
  </si>
  <si>
    <t>1619P07709</t>
  </si>
  <si>
    <t>1619P07710</t>
  </si>
  <si>
    <t>1619P07711</t>
  </si>
  <si>
    <t>1619P07715</t>
  </si>
  <si>
    <t>1619P07722</t>
  </si>
  <si>
    <t>1619P07723</t>
  </si>
  <si>
    <t>1619P07724</t>
  </si>
  <si>
    <t>1619P07734</t>
  </si>
  <si>
    <t>1619P07738</t>
  </si>
  <si>
    <t>1619P07739</t>
  </si>
  <si>
    <t>1619P07740</t>
  </si>
  <si>
    <t>1619P07742</t>
  </si>
  <si>
    <t>1619P07743</t>
  </si>
  <si>
    <t>1619P07746</t>
  </si>
  <si>
    <t>1619P07748</t>
  </si>
  <si>
    <t>1619P07751</t>
  </si>
  <si>
    <t>1619P07754</t>
  </si>
  <si>
    <t>1619P07755</t>
  </si>
  <si>
    <t>1619P07756</t>
  </si>
  <si>
    <t>1619P07762</t>
  </si>
  <si>
    <t>1619P07768</t>
  </si>
  <si>
    <t>1619P07770</t>
  </si>
  <si>
    <t>1619P07772</t>
  </si>
  <si>
    <t>1619P07773</t>
  </si>
  <si>
    <t>1619P07774</t>
  </si>
  <si>
    <t>1619P07775</t>
  </si>
  <si>
    <t>1619P07776</t>
  </si>
  <si>
    <t>1619P07778</t>
  </si>
  <si>
    <t>1619P07780</t>
  </si>
  <si>
    <t>1619P07781</t>
  </si>
  <si>
    <t>1619P07786</t>
  </si>
  <si>
    <t>1619P07788</t>
  </si>
  <si>
    <t>1619P07789</t>
  </si>
  <si>
    <t>1619P07792</t>
  </si>
  <si>
    <t>1619P07795</t>
  </si>
  <si>
    <t>1619P07796</t>
  </si>
  <si>
    <t>1619P07797</t>
  </si>
  <si>
    <t>1619P07798</t>
  </si>
  <si>
    <t>1619P07799</t>
  </si>
  <si>
    <t>1619P07801</t>
  </si>
  <si>
    <t>1619P07806</t>
  </si>
  <si>
    <t>1619P07811</t>
  </si>
  <si>
    <t>1619P07815</t>
  </si>
  <si>
    <t>1619P07816</t>
  </si>
  <si>
    <t>1619P07821</t>
  </si>
  <si>
    <t>1619P07822</t>
  </si>
  <si>
    <t>1619P07829</t>
  </si>
  <si>
    <t>1619P07839</t>
  </si>
  <si>
    <t>1619P07906</t>
  </si>
  <si>
    <t>1619P07907</t>
  </si>
  <si>
    <t>1619P07911</t>
  </si>
  <si>
    <t>1619P07912</t>
  </si>
  <si>
    <t>1619P07915</t>
  </si>
  <si>
    <t>1619P07918</t>
  </si>
  <si>
    <t>1619P07919</t>
  </si>
  <si>
    <t>1619P07958</t>
  </si>
  <si>
    <t>1619P08212</t>
  </si>
  <si>
    <t>1619P08237</t>
  </si>
  <si>
    <t>1619P08314</t>
  </si>
  <si>
    <t>1619P08320</t>
  </si>
  <si>
    <t>1619P08323</t>
  </si>
  <si>
    <t>1619P08340</t>
  </si>
  <si>
    <t>1619P08583</t>
  </si>
  <si>
    <t>1619P08600</t>
  </si>
  <si>
    <t>1619P08603</t>
  </si>
  <si>
    <t>1619P08606</t>
  </si>
  <si>
    <t>1619P08609</t>
  </si>
  <si>
    <t>1619P08610</t>
  </si>
  <si>
    <t>1619P08611</t>
  </si>
  <si>
    <t>1619P08612</t>
  </si>
  <si>
    <t>1619P08613</t>
  </si>
  <si>
    <t>1619P08614</t>
  </si>
  <si>
    <t>1619P08616</t>
  </si>
  <si>
    <t>1619P08617</t>
  </si>
  <si>
    <t>1619P08618</t>
  </si>
  <si>
    <t>1619P08621</t>
  </si>
  <si>
    <t>1619P08622</t>
  </si>
  <si>
    <t>1619P08625</t>
  </si>
  <si>
    <t>1619P08626</t>
  </si>
  <si>
    <t>1619P08627</t>
  </si>
  <si>
    <t>1619P08645</t>
  </si>
  <si>
    <t>1619P08646</t>
  </si>
  <si>
    <t>1619P08651</t>
  </si>
  <si>
    <t>1619P08652</t>
  </si>
  <si>
    <t>1619P08754</t>
  </si>
  <si>
    <t>1619P08767</t>
  </si>
  <si>
    <t>1619P08778</t>
  </si>
  <si>
    <t>1619P08780</t>
  </si>
  <si>
    <t>1619P08783</t>
  </si>
  <si>
    <t>1619P08785</t>
  </si>
  <si>
    <t>1619P08787</t>
  </si>
  <si>
    <t>1619P08792</t>
  </si>
  <si>
    <t>1619P08797</t>
  </si>
  <si>
    <t>1619P08820</t>
  </si>
  <si>
    <t>1619P08825</t>
  </si>
  <si>
    <t>1619P08829</t>
  </si>
  <si>
    <t>1619P08888</t>
  </si>
  <si>
    <t>1619P08889</t>
  </si>
  <si>
    <t>1619P08890</t>
  </si>
  <si>
    <t>1619P08903</t>
  </si>
  <si>
    <t>1619P08926</t>
  </si>
  <si>
    <t>1619P08927</t>
  </si>
  <si>
    <t>1619P08928</t>
  </si>
  <si>
    <t>1619P08936</t>
  </si>
  <si>
    <t>1619P08938</t>
  </si>
  <si>
    <t>1619P09014</t>
  </si>
  <si>
    <t>1619P09017</t>
  </si>
  <si>
    <t>1619P09078</t>
  </si>
  <si>
    <t>1619P09079</t>
  </si>
  <si>
    <t>1619P09080</t>
  </si>
  <si>
    <t>1619P09081</t>
  </si>
  <si>
    <t>1619P09082</t>
  </si>
  <si>
    <t>1619P09136</t>
  </si>
  <si>
    <t>1619P09137</t>
  </si>
  <si>
    <t>1619P09138</t>
  </si>
  <si>
    <t>1619P09139</t>
  </si>
  <si>
    <t>1619P09140</t>
  </si>
  <si>
    <t>1619P09154</t>
  </si>
  <si>
    <t>1619P09157</t>
  </si>
  <si>
    <t>1619P09186</t>
  </si>
  <si>
    <t>1619P09208</t>
  </si>
  <si>
    <t>1619P09218</t>
  </si>
  <si>
    <t>1619P09219</t>
  </si>
  <si>
    <t>1619P09232</t>
  </si>
  <si>
    <t>1619P09244</t>
  </si>
  <si>
    <t>1619P09249</t>
  </si>
  <si>
    <t>1619P09253</t>
  </si>
  <si>
    <t>1619P09255</t>
  </si>
  <si>
    <t>1619P09256</t>
  </si>
  <si>
    <t>1619P09261</t>
  </si>
  <si>
    <t>1619P09262</t>
  </si>
  <si>
    <t>1619P09263</t>
  </si>
  <si>
    <t>1619P09265</t>
  </si>
  <si>
    <t>1619P09267</t>
  </si>
  <si>
    <t>1619P09269</t>
  </si>
  <si>
    <t>1619P09290</t>
  </si>
  <si>
    <t>1619P09390</t>
  </si>
  <si>
    <t>1619P09434</t>
  </si>
  <si>
    <t>1619P09483</t>
  </si>
  <si>
    <t>1619P09533</t>
  </si>
  <si>
    <t>1619P09589</t>
  </si>
  <si>
    <t>1619P09616</t>
  </si>
  <si>
    <t>1619P09617</t>
  </si>
  <si>
    <t>1619P09645</t>
  </si>
  <si>
    <t>1619P09722</t>
  </si>
  <si>
    <t>1619P09772</t>
  </si>
  <si>
    <t>1619P09795</t>
  </si>
  <si>
    <t>1619P09797</t>
  </si>
  <si>
    <t>1619P09798</t>
  </si>
  <si>
    <t>1619P09801</t>
  </si>
  <si>
    <t>1619P09803</t>
  </si>
  <si>
    <t>1619P09816</t>
  </si>
  <si>
    <t>1619P09862</t>
  </si>
  <si>
    <t>1619P09863</t>
  </si>
  <si>
    <t>1619P09874</t>
  </si>
  <si>
    <t>1619P09886</t>
  </si>
  <si>
    <t>1619P09888</t>
  </si>
  <si>
    <t>1619P09922</t>
  </si>
  <si>
    <t>1619P09928</t>
  </si>
  <si>
    <t>1619P09955</t>
  </si>
  <si>
    <t>1619P09972</t>
  </si>
  <si>
    <t>1619P10037</t>
  </si>
  <si>
    <t>1619P10061</t>
  </si>
  <si>
    <t>1619P10062</t>
  </si>
  <si>
    <t>1619P10064</t>
  </si>
  <si>
    <t>1619P10066</t>
  </si>
  <si>
    <t>1619P10067</t>
  </si>
  <si>
    <t>1619P10070</t>
  </si>
  <si>
    <t>1619P10072</t>
  </si>
  <si>
    <t>1619P10086</t>
  </si>
  <si>
    <t>1619P10106</t>
  </si>
  <si>
    <t>1619P10133</t>
  </si>
  <si>
    <t>1619P10158</t>
  </si>
  <si>
    <t>1619P10160</t>
  </si>
  <si>
    <t>1619P10162</t>
  </si>
  <si>
    <t>1619P10163</t>
  </si>
  <si>
    <t>1619P10164</t>
  </si>
  <si>
    <t>1619P10165</t>
  </si>
  <si>
    <t>1619P10167</t>
  </si>
  <si>
    <t>1619P10168</t>
  </si>
  <si>
    <t>1619P10171</t>
  </si>
  <si>
    <t>1619P10172</t>
  </si>
  <si>
    <t>1619P10176</t>
  </si>
  <si>
    <t>1619P10177</t>
  </si>
  <si>
    <t>1619P10179</t>
  </si>
  <si>
    <t>1619P10181</t>
  </si>
  <si>
    <t>1619P10182</t>
  </si>
  <si>
    <t>1619P10206</t>
  </si>
  <si>
    <t>1619P10219</t>
  </si>
  <si>
    <t>1619P10220</t>
  </si>
  <si>
    <t>1619P10224</t>
  </si>
  <si>
    <t>1619P10235</t>
  </si>
  <si>
    <t>1619P10286</t>
  </si>
  <si>
    <t>1619P10301</t>
  </si>
  <si>
    <t>1619P10303</t>
  </si>
  <si>
    <t>1619P10349</t>
  </si>
  <si>
    <t>1619P10350</t>
  </si>
  <si>
    <t>1619P10377</t>
  </si>
  <si>
    <t>1619P10381</t>
  </si>
  <si>
    <t>1619P10396</t>
  </si>
  <si>
    <t>1619P10481</t>
  </si>
  <si>
    <t>1619P10522</t>
  </si>
  <si>
    <t>1619P10533</t>
  </si>
  <si>
    <t>1619P10559</t>
  </si>
  <si>
    <t>1619P10565</t>
  </si>
  <si>
    <t>1619P10569</t>
  </si>
  <si>
    <t>1619P10570</t>
  </si>
  <si>
    <t>1619P10572</t>
  </si>
  <si>
    <t>1619P10573</t>
  </si>
  <si>
    <t>1619P10574</t>
  </si>
  <si>
    <t>1619P10576</t>
  </si>
  <si>
    <t>1619P10578</t>
  </si>
  <si>
    <t>1619P10580</t>
  </si>
  <si>
    <t>1619P10581</t>
  </si>
  <si>
    <t>1619P10582</t>
  </si>
  <si>
    <t>1619P10583</t>
  </si>
  <si>
    <t>1619P10585</t>
  </si>
  <si>
    <t>1619P10586</t>
  </si>
  <si>
    <t>1619P10587</t>
  </si>
  <si>
    <t>1619P10588</t>
  </si>
  <si>
    <t>1619P10589</t>
  </si>
  <si>
    <t>1619P10608</t>
  </si>
  <si>
    <t>1619P10653</t>
  </si>
  <si>
    <t>1619P10665</t>
  </si>
  <si>
    <t>1619P10667</t>
  </si>
  <si>
    <t>1619P10681</t>
  </si>
  <si>
    <t>1619P10683</t>
  </si>
  <si>
    <t>1619P10684</t>
  </si>
  <si>
    <t>1619P10709</t>
  </si>
  <si>
    <t>1619P10718</t>
  </si>
  <si>
    <t>1619P10720</t>
  </si>
  <si>
    <t>1619P10721</t>
  </si>
  <si>
    <t>1619P10722</t>
  </si>
  <si>
    <t>1619P10724</t>
  </si>
  <si>
    <t>1619P10725</t>
  </si>
  <si>
    <t>1619P10726</t>
  </si>
  <si>
    <t>1619P10727</t>
  </si>
  <si>
    <t>1619P10728</t>
  </si>
  <si>
    <t>1619P10729</t>
  </si>
  <si>
    <t>1619P10730</t>
  </si>
  <si>
    <t>1619P10731</t>
  </si>
  <si>
    <t>1619P10732</t>
  </si>
  <si>
    <t>1619P10733</t>
  </si>
  <si>
    <t>1619P10734</t>
  </si>
  <si>
    <t>1619P10735</t>
  </si>
  <si>
    <t>1619P10736</t>
  </si>
  <si>
    <t>1619P10737</t>
  </si>
  <si>
    <t>1619P10738</t>
  </si>
  <si>
    <t>1619P10739</t>
  </si>
  <si>
    <t>1619P10741</t>
  </si>
  <si>
    <t>1619P10742</t>
  </si>
  <si>
    <t>1619P10745</t>
  </si>
  <si>
    <t>1619P10749</t>
  </si>
  <si>
    <t>1619P10752</t>
  </si>
  <si>
    <t>1619P10765</t>
  </si>
  <si>
    <t>1619P10766</t>
  </si>
  <si>
    <t>1619P10767</t>
  </si>
  <si>
    <t>1619P10768</t>
  </si>
  <si>
    <t>1619P10769</t>
  </si>
  <si>
    <t>1619P10770</t>
  </si>
  <si>
    <t>1619P10828</t>
  </si>
  <si>
    <t>1619P10834</t>
  </si>
  <si>
    <t>1619P10835</t>
  </si>
  <si>
    <t>1619P10847</t>
  </si>
  <si>
    <t>1619P10959</t>
  </si>
  <si>
    <t>1619P10961</t>
  </si>
  <si>
    <t>1619P10963</t>
  </si>
  <si>
    <t>1619P10969</t>
  </si>
  <si>
    <t>1619P10970</t>
  </si>
  <si>
    <t>1619P10971</t>
  </si>
  <si>
    <t>1619P10979</t>
  </si>
  <si>
    <t>1619P11076</t>
  </si>
  <si>
    <t>1619P11096</t>
  </si>
  <si>
    <t>1619P11098</t>
  </si>
  <si>
    <t>1619P11118</t>
  </si>
  <si>
    <t>1619P11122</t>
  </si>
  <si>
    <t>1619P11147</t>
  </si>
  <si>
    <t>1619P11187</t>
  </si>
  <si>
    <t>1619P11190</t>
  </si>
  <si>
    <t>1619P11191</t>
  </si>
  <si>
    <t>1619P11262</t>
  </si>
  <si>
    <t>1619P11327</t>
  </si>
  <si>
    <t>1619P11329</t>
  </si>
  <si>
    <t>1619P11358</t>
  </si>
  <si>
    <t>1619P11416</t>
  </si>
  <si>
    <t>1619P11420</t>
  </si>
  <si>
    <t>1619P11427</t>
  </si>
  <si>
    <t>1619P11431</t>
  </si>
  <si>
    <t>1619P11432</t>
  </si>
  <si>
    <t>1619P11483</t>
  </si>
  <si>
    <t>1619P11484</t>
  </si>
  <si>
    <t>1619P11485</t>
  </si>
  <si>
    <t>1619P11487</t>
  </si>
  <si>
    <t>1619P11536</t>
  </si>
  <si>
    <t>1619P11537</t>
  </si>
  <si>
    <t>1619P11562</t>
  </si>
  <si>
    <t>1619P11626</t>
  </si>
  <si>
    <t>1619P11754</t>
  </si>
  <si>
    <t>1619P11770</t>
  </si>
  <si>
    <t>1619P11795</t>
  </si>
  <si>
    <t>1619P11863</t>
  </si>
  <si>
    <t>1619P11877</t>
  </si>
  <si>
    <t>1619P11879</t>
  </si>
  <si>
    <t>1619P11883</t>
  </si>
  <si>
    <t>1619P11884</t>
  </si>
  <si>
    <t>1619P11885</t>
  </si>
  <si>
    <t>1619P11886</t>
  </si>
  <si>
    <t>1619P11898</t>
  </si>
  <si>
    <t>1619P11900</t>
  </si>
  <si>
    <t>1619P11904</t>
  </si>
  <si>
    <t>1619P11906</t>
  </si>
  <si>
    <t>1619P11912</t>
  </si>
  <si>
    <t>1619P11913</t>
  </si>
  <si>
    <t>1619P11916</t>
  </si>
  <si>
    <t>1619P11917</t>
  </si>
  <si>
    <t>1619P11929</t>
  </si>
  <si>
    <t>1619P11989</t>
  </si>
  <si>
    <t>1619P12045</t>
  </si>
  <si>
    <t>1619P12117</t>
  </si>
  <si>
    <t>1619P12186</t>
  </si>
  <si>
    <t>1619P12250</t>
  </si>
  <si>
    <t>1619P12316</t>
  </si>
  <si>
    <t>1619P12336</t>
  </si>
  <si>
    <t>1619P12589</t>
  </si>
  <si>
    <t>1619P12767</t>
  </si>
  <si>
    <t>1619P13104</t>
  </si>
  <si>
    <t>1619P13299</t>
  </si>
  <si>
    <t>1619P13426</t>
  </si>
  <si>
    <t>1619P13440</t>
  </si>
  <si>
    <t>1619P13476</t>
  </si>
  <si>
    <t>1619P13518</t>
  </si>
  <si>
    <t>1619P13557</t>
  </si>
  <si>
    <t>1619P13558</t>
  </si>
  <si>
    <t>1619P13608</t>
  </si>
  <si>
    <t>1619P13609</t>
  </si>
  <si>
    <t>1619P13742</t>
  </si>
  <si>
    <t>1619P13744</t>
  </si>
  <si>
    <t>1619P13747</t>
  </si>
  <si>
    <t>1619P13749</t>
  </si>
  <si>
    <t>1619P13750</t>
  </si>
  <si>
    <t>1619P13760</t>
  </si>
  <si>
    <t>1619P13761</t>
  </si>
  <si>
    <t>1619P13814</t>
  </si>
  <si>
    <t>1619P13836</t>
  </si>
  <si>
    <t>1619P13857</t>
  </si>
  <si>
    <t>1619P13893</t>
  </si>
  <si>
    <t>1619P13896</t>
  </si>
  <si>
    <t>1619P13907</t>
  </si>
  <si>
    <t>1619P13910</t>
  </si>
  <si>
    <t>1619P13911</t>
  </si>
  <si>
    <t>1619P13916</t>
  </si>
  <si>
    <t>1619P13963</t>
  </si>
  <si>
    <t>1619P13964</t>
  </si>
  <si>
    <t>1619P13967</t>
  </si>
  <si>
    <t>1619P14032</t>
  </si>
  <si>
    <t>1619P14036</t>
  </si>
  <si>
    <t>1619P14042</t>
  </si>
  <si>
    <t>1619P14043</t>
  </si>
  <si>
    <t>1619P14045</t>
  </si>
  <si>
    <t>1619P14049</t>
  </si>
  <si>
    <t>1619P14050</t>
  </si>
  <si>
    <t>1619P14051</t>
  </si>
  <si>
    <t>1619P14052</t>
  </si>
  <si>
    <t>1619P14053</t>
  </si>
  <si>
    <t>1619P14054</t>
  </si>
  <si>
    <t>1619P14055</t>
  </si>
  <si>
    <t>1619P14056</t>
  </si>
  <si>
    <t>1619P14058</t>
  </si>
  <si>
    <t>1619P14063</t>
  </si>
  <si>
    <t>1619P14111</t>
  </si>
  <si>
    <t>1619P14139</t>
  </si>
  <si>
    <t>1619P14196</t>
  </si>
  <si>
    <t>1619P14201</t>
  </si>
  <si>
    <t>1619P14202</t>
  </si>
  <si>
    <t>1619P14206</t>
  </si>
  <si>
    <t>1619P14207</t>
  </si>
  <si>
    <t>1619P14209</t>
  </si>
  <si>
    <t>1619P14210</t>
  </si>
  <si>
    <t>1619P14211</t>
  </si>
  <si>
    <t>1619P14241</t>
  </si>
  <si>
    <t>1619P14277</t>
  </si>
  <si>
    <t>1619P14287</t>
  </si>
  <si>
    <t>1619P14288</t>
  </si>
  <si>
    <t>1619P14306</t>
  </si>
  <si>
    <t>1619P14308</t>
  </si>
  <si>
    <t>1619P14309</t>
  </si>
  <si>
    <t>1619P14336</t>
  </si>
  <si>
    <t>1619P14345</t>
  </si>
  <si>
    <t>1619P14346</t>
  </si>
  <si>
    <t>1619P14369</t>
  </si>
  <si>
    <t>1619P14405</t>
  </si>
  <si>
    <t>1619P14424</t>
  </si>
  <si>
    <t>1619P14440</t>
  </si>
  <si>
    <t>1619P14446</t>
  </si>
  <si>
    <t>1619P14461</t>
  </si>
  <si>
    <t>1619P14462</t>
  </si>
  <si>
    <t>1619P14463</t>
  </si>
  <si>
    <t>1619P14464</t>
  </si>
  <si>
    <t>1619P14465</t>
  </si>
  <si>
    <t>1619P14474</t>
  </si>
  <si>
    <t>1619P14477</t>
  </si>
  <si>
    <t>1619P14481</t>
  </si>
  <si>
    <t>1619P14506</t>
  </si>
  <si>
    <t>1619P14539</t>
  </si>
  <si>
    <t>1619P14544</t>
  </si>
  <si>
    <t>1619P14546</t>
  </si>
  <si>
    <t>1619P14559</t>
  </si>
  <si>
    <t>1619P14586</t>
  </si>
  <si>
    <t>1619P14598</t>
  </si>
  <si>
    <t>1619P14614</t>
  </si>
  <si>
    <t>1619P14615</t>
  </si>
  <si>
    <t>1619P14636</t>
  </si>
  <si>
    <t>1619P14642</t>
  </si>
  <si>
    <t>1619P14649</t>
  </si>
  <si>
    <t>1619P14656</t>
  </si>
  <si>
    <t>1619P14667</t>
  </si>
  <si>
    <t>1619P14673</t>
  </si>
  <si>
    <t>1619P14677</t>
  </si>
  <si>
    <t>1619P14682</t>
  </si>
  <si>
    <t>1619P14685</t>
  </si>
  <si>
    <t>1619P14691</t>
  </si>
  <si>
    <t>1619P14753</t>
  </si>
  <si>
    <t>1619P14777</t>
  </si>
  <si>
    <t>1619P14798</t>
  </si>
  <si>
    <t>1619P14813</t>
  </si>
  <si>
    <t>1619P14886</t>
  </si>
  <si>
    <t>1619P14923</t>
  </si>
  <si>
    <t>1619P14924</t>
  </si>
  <si>
    <t>1619P14929</t>
  </si>
  <si>
    <t>1619P14930</t>
  </si>
  <si>
    <t>1619P14935</t>
  </si>
  <si>
    <t>1619P15015</t>
  </si>
  <si>
    <t>1619P15020</t>
  </si>
  <si>
    <t>1619P15022</t>
  </si>
  <si>
    <t>1619P15030</t>
  </si>
  <si>
    <t>1619P15044</t>
  </si>
  <si>
    <t>1619P15050</t>
  </si>
  <si>
    <t>1619P15054</t>
  </si>
  <si>
    <t>1619P15073</t>
  </si>
  <si>
    <t>1619P15103</t>
  </si>
  <si>
    <t>1619P15106</t>
  </si>
  <si>
    <t>1619P15112</t>
  </si>
  <si>
    <t>1619P15154</t>
  </si>
  <si>
    <t>1619P15166</t>
  </si>
  <si>
    <t>1619P15177</t>
  </si>
  <si>
    <t>1619P15179</t>
  </si>
  <si>
    <t>1619P15186</t>
  </si>
  <si>
    <t>1619P15209</t>
  </si>
  <si>
    <t>1619P15313</t>
  </si>
  <si>
    <t>1619P15315</t>
  </si>
  <si>
    <t>1619P15317</t>
  </si>
  <si>
    <t>1619P15334</t>
  </si>
  <si>
    <t>1619P15337</t>
  </si>
  <si>
    <t>1619P15338</t>
  </si>
  <si>
    <t>1619P15347</t>
  </si>
  <si>
    <t>1619P15392</t>
  </si>
  <si>
    <t>1619P15396</t>
  </si>
  <si>
    <t>1619P15397</t>
  </si>
  <si>
    <t>1619P15409</t>
  </si>
  <si>
    <t>1619P15476</t>
  </si>
  <si>
    <t>1619P15493</t>
  </si>
  <si>
    <t>1619P15567</t>
  </si>
  <si>
    <t>1619P15577</t>
  </si>
  <si>
    <t>1619P15622</t>
  </si>
  <si>
    <t>1619P15668</t>
  </si>
  <si>
    <t>1619P15676</t>
  </si>
  <si>
    <t>1619P15677</t>
  </si>
  <si>
    <t>1619P15717</t>
  </si>
  <si>
    <t>1619P15722</t>
  </si>
  <si>
    <t>1619P15723</t>
  </si>
  <si>
    <t>1619P15724</t>
  </si>
  <si>
    <t>1619P15727</t>
  </si>
  <si>
    <t>1619P15729</t>
  </si>
  <si>
    <t>1619P15730</t>
  </si>
  <si>
    <t>1619P15731</t>
  </si>
  <si>
    <t>1619P15733</t>
  </si>
  <si>
    <t>1619P15734</t>
  </si>
  <si>
    <t>1619P15751</t>
  </si>
  <si>
    <t>1619P15775</t>
  </si>
  <si>
    <t>1619P15781</t>
  </si>
  <si>
    <t>1619P15794</t>
  </si>
  <si>
    <t>1619P15795</t>
  </si>
  <si>
    <t>1619P15806</t>
  </si>
  <si>
    <t>1619P15817</t>
  </si>
  <si>
    <t>1619P15818</t>
  </si>
  <si>
    <t>1619P15819</t>
  </si>
  <si>
    <t>1619P15872</t>
  </si>
  <si>
    <t>1619P15875</t>
  </si>
  <si>
    <t>1619P15876</t>
  </si>
  <si>
    <t>1619P15952</t>
  </si>
  <si>
    <t>1619P15956</t>
  </si>
  <si>
    <t>1619P15963</t>
  </si>
  <si>
    <t>1619P15969</t>
  </si>
  <si>
    <t>1619P15970</t>
  </si>
  <si>
    <t>1619P15990</t>
  </si>
  <si>
    <t>1619P16021</t>
  </si>
  <si>
    <t>1619P16023</t>
  </si>
  <si>
    <t>1619P16024</t>
  </si>
  <si>
    <t>1619P16027</t>
  </si>
  <si>
    <t>1619P16030</t>
  </si>
  <si>
    <t>1619P16044</t>
  </si>
  <si>
    <t>1619P16098</t>
  </si>
  <si>
    <t>1619P16099</t>
  </si>
  <si>
    <t>1619P16104</t>
  </si>
  <si>
    <t>1619P16106</t>
  </si>
  <si>
    <t>1619P16111</t>
  </si>
  <si>
    <t>1619P16119</t>
  </si>
  <si>
    <t>1619P16218</t>
  </si>
  <si>
    <t>1619P16219</t>
  </si>
  <si>
    <t>1619P16223</t>
  </si>
  <si>
    <t>1619P16234</t>
  </si>
  <si>
    <t>1619P16236</t>
  </si>
  <si>
    <t>1619P16237</t>
  </si>
  <si>
    <t>1619P16240</t>
  </si>
  <si>
    <t>1619P16241</t>
  </si>
  <si>
    <t>1619P16242</t>
  </si>
  <si>
    <t>1619P16259</t>
  </si>
  <si>
    <t>1619P16260</t>
  </si>
  <si>
    <t>1619P16274</t>
  </si>
  <si>
    <t>1619P16276</t>
  </si>
  <si>
    <t>1619P16278</t>
  </si>
  <si>
    <t>1619P16280</t>
  </si>
  <si>
    <t>1619P16282</t>
  </si>
  <si>
    <t>1619P16284</t>
  </si>
  <si>
    <t>1619P16289</t>
  </si>
  <si>
    <t>1619P16293</t>
  </si>
  <si>
    <t>1619P16294</t>
  </si>
  <si>
    <t>1619P16327</t>
  </si>
  <si>
    <t>1619P16372</t>
  </si>
  <si>
    <t>1619P16440</t>
  </si>
  <si>
    <t>1619P16471</t>
  </si>
  <si>
    <t>1619P16473</t>
  </si>
  <si>
    <t>1619P16506</t>
  </si>
  <si>
    <t>1619P16507</t>
  </si>
  <si>
    <t>1619P16535</t>
  </si>
  <si>
    <t>1619P16617</t>
  </si>
  <si>
    <t>1619P16618</t>
  </si>
  <si>
    <t>1619P16710</t>
  </si>
  <si>
    <t>1619P16712</t>
  </si>
  <si>
    <t>1619P16713</t>
  </si>
  <si>
    <t>1619P16839</t>
  </si>
  <si>
    <t>1619P16878</t>
  </si>
  <si>
    <t>1619P16879</t>
  </si>
  <si>
    <t>1619P16880</t>
  </si>
  <si>
    <t>1619P16881</t>
  </si>
  <si>
    <t>1619P16883</t>
  </si>
  <si>
    <t>1619P16884</t>
  </si>
  <si>
    <t>1619P16885</t>
  </si>
  <si>
    <t>1619P16903</t>
  </si>
  <si>
    <t>1619P16905</t>
  </si>
  <si>
    <t>1619P16906</t>
  </si>
  <si>
    <t>1619P16907</t>
  </si>
  <si>
    <t>1619P16908</t>
  </si>
  <si>
    <t>1619P16909</t>
  </si>
  <si>
    <t>1619P16910</t>
  </si>
  <si>
    <t>1619P16912</t>
  </si>
  <si>
    <t>1619P16913</t>
  </si>
  <si>
    <t>1619P16931</t>
  </si>
  <si>
    <t>1619P16997</t>
  </si>
  <si>
    <t>1619P16999</t>
  </si>
  <si>
    <t>1619P17003</t>
  </si>
  <si>
    <t>1619P17074</t>
  </si>
  <si>
    <t>1619P17115</t>
  </si>
  <si>
    <t>1619P17155</t>
  </si>
  <si>
    <t>1619P17173</t>
  </si>
  <si>
    <t>1619P17175</t>
  </si>
  <si>
    <t>1619P17207</t>
  </si>
  <si>
    <t>1619P17216</t>
  </si>
  <si>
    <t>1619P17217</t>
  </si>
  <si>
    <t>1619P17219</t>
  </si>
  <si>
    <t>1619P17222</t>
  </si>
  <si>
    <t>1619P17223</t>
  </si>
  <si>
    <t>1619P17224</t>
  </si>
  <si>
    <t>1619P17225</t>
  </si>
  <si>
    <t>1619P17227</t>
  </si>
  <si>
    <t>1619P17245</t>
  </si>
  <si>
    <t>1619P17248</t>
  </si>
  <si>
    <t>1619P17336</t>
  </si>
  <si>
    <t>1619P17472</t>
  </si>
  <si>
    <t>1619P17476</t>
  </si>
  <si>
    <t>1619P17479</t>
  </si>
  <si>
    <t>1619P17480</t>
  </si>
  <si>
    <t>1619P17511</t>
  </si>
  <si>
    <t>1619P20535</t>
  </si>
  <si>
    <t>1619P20537</t>
  </si>
  <si>
    <t>1619P20540</t>
  </si>
  <si>
    <t>1619P20541</t>
  </si>
  <si>
    <t>1619P20547</t>
  </si>
  <si>
    <t>1619P20548</t>
  </si>
  <si>
    <t>1619P20563</t>
  </si>
  <si>
    <t>1619P20702</t>
  </si>
  <si>
    <t>1619P31072</t>
  </si>
  <si>
    <t>1619P32497</t>
  </si>
  <si>
    <t>1619P50021</t>
  </si>
  <si>
    <t>1619PA0209</t>
  </si>
  <si>
    <t>1619PA0213</t>
  </si>
  <si>
    <t>1619PA0217</t>
  </si>
  <si>
    <t>1619PA0222</t>
  </si>
  <si>
    <t>1619PA0226</t>
  </si>
  <si>
    <t>1619PA0229</t>
  </si>
  <si>
    <t>1619PA0234</t>
  </si>
  <si>
    <t>1619PA0235</t>
  </si>
  <si>
    <t>1619PA0240</t>
  </si>
  <si>
    <t>1619PA0243</t>
  </si>
  <si>
    <t>1619PA0251</t>
  </si>
  <si>
    <t>1619PA0256</t>
  </si>
  <si>
    <t>1619PA0261</t>
  </si>
  <si>
    <t>1619PA0263</t>
  </si>
  <si>
    <t>1619PA0266</t>
  </si>
  <si>
    <t>1619PA0271</t>
  </si>
  <si>
    <t>1619PA0272</t>
  </si>
  <si>
    <t>1619PA0279</t>
  </si>
  <si>
    <t>1619PA0282</t>
  </si>
  <si>
    <t>1619PA0290</t>
  </si>
  <si>
    <t>1619PA0291</t>
  </si>
  <si>
    <t>1619PA0292</t>
  </si>
  <si>
    <t>1619PA0294</t>
  </si>
  <si>
    <t>1619PA0295</t>
  </si>
  <si>
    <t>1619PA0296</t>
  </si>
  <si>
    <t>1619PA0300</t>
  </si>
  <si>
    <t>1619PA0304</t>
  </si>
  <si>
    <t>1619PA0307</t>
  </si>
  <si>
    <t>1619PA0311</t>
  </si>
  <si>
    <t>1619PA0312</t>
  </si>
  <si>
    <t>1619PA0313</t>
  </si>
  <si>
    <t>1619PA0316</t>
  </si>
  <si>
    <t>1619PA0321</t>
  </si>
  <si>
    <t>1619PA0322</t>
  </si>
  <si>
    <t>1619PA0323</t>
  </si>
  <si>
    <t>1619PA0324</t>
  </si>
  <si>
    <t>1619PA0325</t>
  </si>
  <si>
    <t>1619PA0326</t>
  </si>
  <si>
    <t>1619PA0328</t>
  </si>
  <si>
    <t>1619PA0329</t>
  </si>
  <si>
    <t>1619PA0331</t>
  </si>
  <si>
    <t>1619PA0334</t>
  </si>
  <si>
    <t>1619PA0335</t>
  </si>
  <si>
    <t>1619PA0336</t>
  </si>
  <si>
    <t>1619PA0337</t>
  </si>
  <si>
    <t>1619PA0677</t>
  </si>
  <si>
    <t>1619PA0678</t>
  </si>
  <si>
    <t>1619PA0679</t>
  </si>
  <si>
    <t>1619PA0684</t>
  </si>
  <si>
    <t>1619PA0685</t>
  </si>
  <si>
    <t>1619PA0690</t>
  </si>
  <si>
    <t>1619PA0697</t>
  </si>
  <si>
    <t>1619PA0701</t>
  </si>
  <si>
    <t>1619PA0702</t>
  </si>
  <si>
    <t>1619PA0703</t>
  </si>
  <si>
    <t>1619PA0901</t>
  </si>
  <si>
    <t>1619PA0902</t>
  </si>
  <si>
    <t>1619PA0903</t>
  </si>
  <si>
    <t>1619PA0906</t>
  </si>
  <si>
    <t>1619PA0913</t>
  </si>
  <si>
    <t>1619PA1343</t>
  </si>
  <si>
    <t>1619PA1344</t>
  </si>
  <si>
    <t>1619PA1345</t>
  </si>
  <si>
    <t>1619PA1346</t>
  </si>
  <si>
    <t>1619PA1347</t>
  </si>
  <si>
    <t>1619PA1349</t>
  </si>
  <si>
    <t>1619PA1350</t>
  </si>
  <si>
    <t>1619PA1351</t>
  </si>
  <si>
    <t>1619PA1359</t>
  </si>
  <si>
    <t>1619PA1360</t>
  </si>
  <si>
    <t>1619PA1365</t>
  </si>
  <si>
    <t>1619PA1366</t>
  </si>
  <si>
    <t>1619PA1368</t>
  </si>
  <si>
    <t>1619PA1372</t>
  </si>
  <si>
    <t>1619PA1378</t>
  </si>
  <si>
    <t>1619PA1379</t>
  </si>
  <si>
    <t>1619PA1381</t>
  </si>
  <si>
    <t>1619PA1382</t>
  </si>
  <si>
    <t>1619PA1383</t>
  </si>
  <si>
    <t>1619PA1384</t>
  </si>
  <si>
    <t>1619PA1388</t>
  </si>
  <si>
    <t>1619PA1390</t>
  </si>
  <si>
    <t>1619PA1391</t>
  </si>
  <si>
    <t>1619PA1407</t>
  </si>
  <si>
    <t>1619PA1489</t>
  </si>
  <si>
    <t>1619PA1496</t>
  </si>
  <si>
    <t>1619PA1497</t>
  </si>
  <si>
    <t>1619PA1502</t>
  </si>
  <si>
    <t>1619PA1503</t>
  </si>
  <si>
    <t>1619PA1504</t>
  </si>
  <si>
    <t>1619PA1505</t>
  </si>
  <si>
    <t>1619PA1508</t>
  </si>
  <si>
    <t>1619PA1509</t>
  </si>
  <si>
    <t>1619PA1510</t>
  </si>
  <si>
    <t>1619PA1511</t>
  </si>
  <si>
    <t>1619PA1512</t>
  </si>
  <si>
    <t>1619PA1513</t>
  </si>
  <si>
    <t>1619PA1514</t>
  </si>
  <si>
    <t>1619PA1515</t>
  </si>
  <si>
    <t>1619PA1517</t>
  </si>
  <si>
    <t>1619PA1527</t>
  </si>
  <si>
    <t>1619PA1528</t>
  </si>
  <si>
    <t>1619PA1530</t>
  </si>
  <si>
    <t>1619PA1531</t>
  </si>
  <si>
    <t>1619PA1532</t>
  </si>
  <si>
    <t>1619PA1533</t>
  </si>
  <si>
    <t>1619PA1534</t>
  </si>
  <si>
    <t>1619PA1535</t>
  </si>
  <si>
    <t>1619PA1536</t>
  </si>
  <si>
    <t>1619PA1538</t>
  </si>
  <si>
    <t>1619PA1539</t>
  </si>
  <si>
    <t>1619PA1540</t>
  </si>
  <si>
    <t>1619PA1541</t>
  </si>
  <si>
    <t>1619PA1544</t>
  </si>
  <si>
    <t>1619PA1545</t>
  </si>
  <si>
    <t>1619PA1546</t>
  </si>
  <si>
    <t>1619PA1547</t>
  </si>
  <si>
    <t>1619PA1548</t>
  </si>
  <si>
    <t>1619PA1549</t>
  </si>
  <si>
    <t>1619PA1550</t>
  </si>
  <si>
    <t>1619PA1551</t>
  </si>
  <si>
    <t>1619PA1552</t>
  </si>
  <si>
    <t>1619PA1553</t>
  </si>
  <si>
    <t>1619PA1554</t>
  </si>
  <si>
    <t>1619PA1555</t>
  </si>
  <si>
    <t>1619PA1556</t>
  </si>
  <si>
    <t>1619PA1557</t>
  </si>
  <si>
    <t>1619PA1558</t>
  </si>
  <si>
    <t>1619PA1559</t>
  </si>
  <si>
    <t>1619PA1560</t>
  </si>
  <si>
    <t>1619PA1562</t>
  </si>
  <si>
    <t>1619PA1563</t>
  </si>
  <si>
    <t>1619PA1565</t>
  </si>
  <si>
    <t>1619PA1566</t>
  </si>
  <si>
    <t>1619PA1569</t>
  </si>
  <si>
    <t>1619PA1572</t>
  </si>
  <si>
    <t>1619PA1573</t>
  </si>
  <si>
    <t>1619PA1574</t>
  </si>
  <si>
    <t>1619PA1575</t>
  </si>
  <si>
    <t>1619PA1577</t>
  </si>
  <si>
    <t>1619PA1578</t>
  </si>
  <si>
    <t>1619PA1732</t>
  </si>
  <si>
    <t>1619PA1739</t>
  </si>
  <si>
    <t>1619PA1743</t>
  </si>
  <si>
    <t>1619PA1744</t>
  </si>
  <si>
    <t>1619PA1746</t>
  </si>
  <si>
    <t>1619PA1751</t>
  </si>
  <si>
    <t>1619PA1752</t>
  </si>
  <si>
    <t>1619PA1753</t>
  </si>
  <si>
    <t>1619PA1755</t>
  </si>
  <si>
    <t>1619PA1756</t>
  </si>
  <si>
    <t>1619PA1758</t>
  </si>
  <si>
    <t>1619PA1759</t>
  </si>
  <si>
    <t>1619PA1760</t>
  </si>
  <si>
    <t>1619PA1761</t>
  </si>
  <si>
    <t>1619PA1762</t>
  </si>
  <si>
    <t>1619PA1764</t>
  </si>
  <si>
    <t>1619PA1765</t>
  </si>
  <si>
    <t>1619PA1770</t>
  </si>
  <si>
    <t>1619PA1781</t>
  </si>
  <si>
    <t>1619PA1782</t>
  </si>
  <si>
    <t>1619PA1783</t>
  </si>
  <si>
    <t>1619PA1831</t>
  </si>
  <si>
    <t>1619PA1834</t>
  </si>
  <si>
    <t>1619PA1836</t>
  </si>
  <si>
    <t>1619PA1837</t>
  </si>
  <si>
    <t>1619PA1840</t>
  </si>
  <si>
    <t>1619PA1841</t>
  </si>
  <si>
    <t>1619PA1844</t>
  </si>
  <si>
    <t>1619PA1858</t>
  </si>
  <si>
    <t>1619PA1903</t>
  </si>
  <si>
    <t>1619PA1905</t>
  </si>
  <si>
    <t>1619PA1907</t>
  </si>
  <si>
    <t>1619PA1909</t>
  </si>
  <si>
    <t>1619PA1910</t>
  </si>
  <si>
    <t>1619PA1911</t>
  </si>
  <si>
    <t>1619PA1914</t>
  </si>
  <si>
    <t>1619PA1916</t>
  </si>
  <si>
    <t>1619PA1917</t>
  </si>
  <si>
    <t>1619PA1918</t>
  </si>
  <si>
    <t>1619PA1919</t>
  </si>
  <si>
    <t>1619PA1920</t>
  </si>
  <si>
    <t>1619PA1921</t>
  </si>
  <si>
    <t>1619PA1942</t>
  </si>
  <si>
    <t>1619PA1943</t>
  </si>
  <si>
    <t>1619PA1944</t>
  </si>
  <si>
    <t>1619PA1945</t>
  </si>
  <si>
    <t>1619PA1947</t>
  </si>
  <si>
    <t>1619PA2329</t>
  </si>
  <si>
    <t>1619PA2330</t>
  </si>
  <si>
    <t>1619PA2331</t>
  </si>
  <si>
    <t>1619PA2332</t>
  </si>
  <si>
    <t>1619PA2333</t>
  </si>
  <si>
    <t>1619PA2334</t>
  </si>
  <si>
    <t>1619PA2335</t>
  </si>
  <si>
    <t>1619PA2336</t>
  </si>
  <si>
    <t>1619PA2337</t>
  </si>
  <si>
    <t>1619PA2338</t>
  </si>
  <si>
    <t>1619PA2339</t>
  </si>
  <si>
    <t>1619PA2340</t>
  </si>
  <si>
    <t>1619PA2802</t>
  </si>
  <si>
    <t>1619PA3145</t>
  </si>
  <si>
    <t>1619PA3304</t>
  </si>
  <si>
    <t>1619PA3305</t>
  </si>
  <si>
    <t>1619PA3545</t>
  </si>
  <si>
    <t>1619PA3546</t>
  </si>
  <si>
    <t>1619PA3548</t>
  </si>
  <si>
    <t>1619PA3558</t>
  </si>
  <si>
    <t>1619PA3559</t>
  </si>
  <si>
    <t>1619PA3560</t>
  </si>
  <si>
    <t>1619PA3562</t>
  </si>
  <si>
    <t>1619PA3568</t>
  </si>
  <si>
    <t>1619PA3569</t>
  </si>
  <si>
    <t>1619PA3570</t>
  </si>
  <si>
    <t>1619PA3571</t>
  </si>
  <si>
    <t>1619PA3572</t>
  </si>
  <si>
    <t>1619PA3585</t>
  </si>
  <si>
    <t>1619PA3587</t>
  </si>
  <si>
    <t>1619PA4091</t>
  </si>
  <si>
    <t>1619PA4168</t>
  </si>
  <si>
    <t>1619PA5003</t>
  </si>
  <si>
    <t>1619PA5043</t>
  </si>
  <si>
    <t>1619PA5044</t>
  </si>
  <si>
    <t>1619PA5054</t>
  </si>
  <si>
    <t>1619PA5181</t>
  </si>
  <si>
    <t>1619PA5182</t>
  </si>
  <si>
    <t>1619PA5184</t>
  </si>
  <si>
    <t>1619PA5185</t>
  </si>
  <si>
    <t>1619PA5187</t>
  </si>
  <si>
    <t>1619PA5188</t>
  </si>
  <si>
    <t>1619PA5189</t>
  </si>
  <si>
    <t>1619PA5190</t>
  </si>
  <si>
    <t>1619PA5191</t>
  </si>
  <si>
    <t>1619PA5192</t>
  </si>
  <si>
    <t>1619PA5193</t>
  </si>
  <si>
    <t>1619PA5194</t>
  </si>
  <si>
    <t>1619PA5196</t>
  </si>
  <si>
    <t>1619PA5197</t>
  </si>
  <si>
    <t>1619PA5198</t>
  </si>
  <si>
    <t>1619PA5199</t>
  </si>
  <si>
    <t>1619PA5200</t>
  </si>
  <si>
    <t>1619PA5201</t>
  </si>
  <si>
    <t>1619PA5202</t>
  </si>
  <si>
    <t>1619PA5203</t>
  </si>
  <si>
    <t>1619PA5204</t>
  </si>
  <si>
    <t>1619PA5205</t>
  </si>
  <si>
    <t>1619PA5234</t>
  </si>
  <si>
    <t>1619PA5235</t>
  </si>
  <si>
    <t>1619PA6835</t>
  </si>
  <si>
    <t>1619PA6901</t>
  </si>
  <si>
    <t>1619PA6908</t>
  </si>
  <si>
    <t>1619PA6915</t>
  </si>
  <si>
    <t>1619PA6916</t>
  </si>
  <si>
    <t>1619PA6920</t>
  </si>
  <si>
    <t>1619PA6921</t>
  </si>
  <si>
    <t>1619PA6922</t>
  </si>
  <si>
    <t>1619PA6923</t>
  </si>
  <si>
    <t>1619PA6924</t>
  </si>
  <si>
    <t>1619PA6925</t>
  </si>
  <si>
    <t>1619PA6926</t>
  </si>
  <si>
    <t>1619PA6927</t>
  </si>
  <si>
    <t>1619PA6928</t>
  </si>
  <si>
    <t>1619PA6929</t>
  </si>
  <si>
    <t>1619PA6930</t>
  </si>
  <si>
    <t>1619PA6931</t>
  </si>
  <si>
    <t>1619PA6932</t>
  </si>
  <si>
    <t>1619PA6933</t>
  </si>
  <si>
    <t>1619PA6934</t>
  </si>
  <si>
    <t>1619PA6935</t>
  </si>
  <si>
    <t>1619PA6936</t>
  </si>
  <si>
    <t>1619PA6937</t>
  </si>
  <si>
    <t>1619PA6938</t>
  </si>
  <si>
    <t>1619PA6939</t>
  </si>
  <si>
    <t>1619PA6940</t>
  </si>
  <si>
    <t>1619PA6941</t>
  </si>
  <si>
    <t>1619PA6942</t>
  </si>
  <si>
    <t>1619PA6943</t>
  </si>
  <si>
    <t>1619PA6944</t>
  </si>
  <si>
    <t>1619PA6945</t>
  </si>
  <si>
    <t>1619PA6946</t>
  </si>
  <si>
    <t>1619PA6948</t>
  </si>
  <si>
    <t>1619PA6949</t>
  </si>
  <si>
    <t>1619PA6950</t>
  </si>
  <si>
    <t>1619PA6951</t>
  </si>
  <si>
    <t>1619PA6952</t>
  </si>
  <si>
    <t>1619PA6953</t>
  </si>
  <si>
    <t>1619PA6954</t>
  </si>
  <si>
    <t>1619PA6955</t>
  </si>
  <si>
    <t>1619PA6956</t>
  </si>
  <si>
    <t>1619PA6957</t>
  </si>
  <si>
    <t>1619PA6958</t>
  </si>
  <si>
    <t>1619PA6959</t>
  </si>
  <si>
    <t>1619PA6960</t>
  </si>
  <si>
    <t>1619PA6961</t>
  </si>
  <si>
    <t>1619PA6962</t>
  </si>
  <si>
    <t>1619PA6963</t>
  </si>
  <si>
    <t>1619PA6964</t>
  </si>
  <si>
    <t>1619PA6965</t>
  </si>
  <si>
    <t>1619PA6966</t>
  </si>
  <si>
    <t>1619PA6967</t>
  </si>
  <si>
    <t>1619PA6968</t>
  </si>
  <si>
    <t>1619PA6969</t>
  </si>
  <si>
    <t>1619PA6970</t>
  </si>
  <si>
    <t>1619PA6971</t>
  </si>
  <si>
    <t>1619PA6972</t>
  </si>
  <si>
    <t>1619PA6973</t>
  </si>
  <si>
    <t>1619PA6974</t>
  </si>
  <si>
    <t>1619PA6975</t>
  </si>
  <si>
    <t>1619PA6976</t>
  </si>
  <si>
    <t>1619PA6980</t>
  </si>
  <si>
    <t>1619PA6981</t>
  </si>
  <si>
    <t>1619PA6982</t>
  </si>
  <si>
    <t>1619PA6983</t>
  </si>
  <si>
    <t>1619PA6984</t>
  </si>
  <si>
    <t>1619PA6985</t>
  </si>
  <si>
    <t>1619PA6986</t>
  </si>
  <si>
    <t>1619PA6987</t>
  </si>
  <si>
    <t>1619PA6988</t>
  </si>
  <si>
    <t>1619PA6989</t>
  </si>
  <si>
    <t>1619PA6990</t>
  </si>
  <si>
    <t>1619PA6991</t>
  </si>
  <si>
    <t>1619PA6992</t>
  </si>
  <si>
    <t>1619PA6993</t>
  </si>
  <si>
    <t>1619PA6994</t>
  </si>
  <si>
    <t>1619PA6995</t>
  </si>
  <si>
    <t>1619PA6996</t>
  </si>
  <si>
    <t>1619PA6998</t>
  </si>
  <si>
    <t>1619PA6999</t>
  </si>
  <si>
    <t>1619PA7000</t>
  </si>
  <si>
    <t>1619PA7001</t>
  </si>
  <si>
    <t>1619PA7002</t>
  </si>
  <si>
    <t>1619PA7003</t>
  </si>
  <si>
    <t>1619PA7004</t>
  </si>
  <si>
    <t>1619PA7005</t>
  </si>
  <si>
    <t>1619PA7006</t>
  </si>
  <si>
    <t>1619PA7007</t>
  </si>
  <si>
    <t>1619PA7008</t>
  </si>
  <si>
    <t>1619PA7009</t>
  </si>
  <si>
    <t>1619PA7010</t>
  </si>
  <si>
    <t>1619PA7011</t>
  </si>
  <si>
    <t>1619PA7012</t>
  </si>
  <si>
    <t>1619PA7013</t>
  </si>
  <si>
    <t>1619PA7014</t>
  </si>
  <si>
    <t>1619PA7015</t>
  </si>
  <si>
    <t>1619PA7016</t>
  </si>
  <si>
    <t>1619PA7017</t>
  </si>
  <si>
    <t>1619PA7018</t>
  </si>
  <si>
    <t>1619PA7019</t>
  </si>
  <si>
    <t>1619PA7020</t>
  </si>
  <si>
    <t>1619PA7021</t>
  </si>
  <si>
    <t>1619PA7022</t>
  </si>
  <si>
    <t>1619PA7023</t>
  </si>
  <si>
    <t>1619PA7024</t>
  </si>
  <si>
    <t>1619PA7026</t>
  </si>
  <si>
    <t>1619PA7027</t>
  </si>
  <si>
    <t>1619PA7028</t>
  </si>
  <si>
    <t>1619PA7029</t>
  </si>
  <si>
    <t>1619PA7032</t>
  </si>
  <si>
    <t>1619PA7033</t>
  </si>
  <si>
    <t>1619PA7034</t>
  </si>
  <si>
    <t>1619PA7036</t>
  </si>
  <si>
    <t>1619PA7037</t>
  </si>
  <si>
    <t>1619PA7046</t>
  </si>
  <si>
    <t>1619PA7051</t>
  </si>
  <si>
    <t>1619PA7055</t>
  </si>
  <si>
    <t>1619PA7056</t>
  </si>
  <si>
    <t>1619PA7057</t>
  </si>
  <si>
    <t>1619PA7058</t>
  </si>
  <si>
    <t>1619PA7071</t>
  </si>
  <si>
    <t>1619PA7077</t>
  </si>
  <si>
    <t>1619PA7081</t>
  </si>
  <si>
    <t>1619PA7095</t>
  </si>
  <si>
    <t>1619PA7266</t>
  </si>
  <si>
    <t>1619PA7267</t>
  </si>
  <si>
    <t>1619PA7269</t>
  </si>
  <si>
    <t>1619PA7270</t>
  </si>
  <si>
    <t>1619PA7271</t>
  </si>
  <si>
    <t>1619PA7280</t>
  </si>
  <si>
    <t>1619PA7285</t>
  </si>
  <si>
    <t>1619PA7288</t>
  </si>
  <si>
    <t>1619PA7290</t>
  </si>
  <si>
    <t>1619PA7301</t>
  </si>
  <si>
    <t>1619PA7303</t>
  </si>
  <si>
    <t>1619PA7304</t>
  </si>
  <si>
    <t>1619PA7305</t>
  </si>
  <si>
    <t>1619PA7306</t>
  </si>
  <si>
    <t>1619PA7307</t>
  </si>
  <si>
    <t>1619PA7310</t>
  </si>
  <si>
    <t>1619PA7311</t>
  </si>
  <si>
    <t>1619PA7312</t>
  </si>
  <si>
    <t>1619PA7313</t>
  </si>
  <si>
    <t>1619PA7314</t>
  </si>
  <si>
    <t>1619PA7315</t>
  </si>
  <si>
    <t>1619PA7316</t>
  </si>
  <si>
    <t>1619PA7318</t>
  </si>
  <si>
    <t>1619PA7319</t>
  </si>
  <si>
    <t>1619PA7320</t>
  </si>
  <si>
    <t>1619PA7322</t>
  </si>
  <si>
    <t>1619PA7324</t>
  </si>
  <si>
    <t>1619PA7325</t>
  </si>
  <si>
    <t>1619PA7327</t>
  </si>
  <si>
    <t>1619PA7328</t>
  </si>
  <si>
    <t>1619PA7329</t>
  </si>
  <si>
    <t>1619PA7331</t>
  </si>
  <si>
    <t>1619PA7345</t>
  </si>
  <si>
    <t>1619PA7349</t>
  </si>
  <si>
    <t>1619PA7400</t>
  </si>
  <si>
    <t>1619PA7410</t>
  </si>
  <si>
    <t>1619PA7501</t>
  </si>
  <si>
    <t>1619PA7502</t>
  </si>
  <si>
    <t>1619PA7655</t>
  </si>
  <si>
    <t>1619PA7656</t>
  </si>
  <si>
    <t>1619PA7657</t>
  </si>
  <si>
    <t>1619PA7659</t>
  </si>
  <si>
    <t>1619PA7662</t>
  </si>
  <si>
    <t>1619PA7663</t>
  </si>
  <si>
    <t>1619PA7665</t>
  </si>
  <si>
    <t>1619PA7666</t>
  </si>
  <si>
    <t>1619PA7667</t>
  </si>
  <si>
    <t>1619PA7669</t>
  </si>
  <si>
    <t>1619PA7670</t>
  </si>
  <si>
    <t>1619PA7671</t>
  </si>
  <si>
    <t>1619PA7672</t>
  </si>
  <si>
    <t>1619PA7673</t>
  </si>
  <si>
    <t>1619PA7674</t>
  </si>
  <si>
    <t>1619PA7678</t>
  </si>
  <si>
    <t>1619PA7680</t>
  </si>
  <si>
    <t>1619PA7682</t>
  </si>
  <si>
    <t>1619PA7683</t>
  </si>
  <si>
    <t>1619PA7686</t>
  </si>
  <si>
    <t>1619PA7687</t>
  </si>
  <si>
    <t>1619PA7688</t>
  </si>
  <si>
    <t>1619PA7689</t>
  </si>
  <si>
    <t>1619PA7690</t>
  </si>
  <si>
    <t>1619PA7691</t>
  </si>
  <si>
    <t>1619PA7692</t>
  </si>
  <si>
    <t>1619PA7694</t>
  </si>
  <si>
    <t>1619PA7695</t>
  </si>
  <si>
    <t>1619PA7696</t>
  </si>
  <si>
    <t>1619PA7697</t>
  </si>
  <si>
    <t>1619PA7700</t>
  </si>
  <si>
    <t>1619PA7701</t>
  </si>
  <si>
    <t>1619PA7704</t>
  </si>
  <si>
    <t>1619PA7707</t>
  </si>
  <si>
    <t>1619PA7718</t>
  </si>
  <si>
    <t>1619PA7719</t>
  </si>
  <si>
    <t>1619PA7730</t>
  </si>
  <si>
    <t>1619PA7735</t>
  </si>
  <si>
    <t>1619PA7736</t>
  </si>
  <si>
    <t>1619PA7738</t>
  </si>
  <si>
    <t>1619PA7748</t>
  </si>
  <si>
    <t>1619PA7750</t>
  </si>
  <si>
    <t>1619PA7751</t>
  </si>
  <si>
    <t>1619PA7753</t>
  </si>
  <si>
    <t>1619PA7756</t>
  </si>
  <si>
    <t>1619PA7763</t>
  </si>
  <si>
    <t>1619PA7769</t>
  </si>
  <si>
    <t>1619PA7776</t>
  </si>
  <si>
    <t>1619PA7778</t>
  </si>
  <si>
    <t>1619PA7806</t>
  </si>
  <si>
    <t>1619PA7807</t>
  </si>
  <si>
    <t>1619PA7808</t>
  </si>
  <si>
    <t>1619PA7809</t>
  </si>
  <si>
    <t>1619PA7810</t>
  </si>
  <si>
    <t>1619PA7812</t>
  </si>
  <si>
    <t>1619PA7814</t>
  </si>
  <si>
    <t>1619PA7815</t>
  </si>
  <si>
    <t>1619PA7816</t>
  </si>
  <si>
    <t>1619PA7821</t>
  </si>
  <si>
    <t>1619PA7829</t>
  </si>
  <si>
    <t>1619PA7830</t>
  </si>
  <si>
    <t>1619PA7831</t>
  </si>
  <si>
    <t>1619PA7832</t>
  </si>
  <si>
    <t>1619PA7833</t>
  </si>
  <si>
    <t>1619PA7834</t>
  </si>
  <si>
    <t>1619PA7835</t>
  </si>
  <si>
    <t>1619PA7836</t>
  </si>
  <si>
    <t>1619PA7837</t>
  </si>
  <si>
    <t>1619PA7838</t>
  </si>
  <si>
    <t>1619PA7839</t>
  </si>
  <si>
    <t>1619PA7840</t>
  </si>
  <si>
    <t>1619PA7841</t>
  </si>
  <si>
    <t>1619PA7842</t>
  </si>
  <si>
    <t>1619PA7843</t>
  </si>
  <si>
    <t>1619PA7844</t>
  </si>
  <si>
    <t>1619PA7845</t>
  </si>
  <si>
    <t>1619PA7846</t>
  </si>
  <si>
    <t>1619PA7849</t>
  </si>
  <si>
    <t>1619PA7850</t>
  </si>
  <si>
    <t>1619PA7851</t>
  </si>
  <si>
    <t>1619PA7852</t>
  </si>
  <si>
    <t>1619PA7853</t>
  </si>
  <si>
    <t>1619PA7855</t>
  </si>
  <si>
    <t>1619PA7856</t>
  </si>
  <si>
    <t>1619PA7887</t>
  </si>
  <si>
    <t>1619PA7888</t>
  </si>
  <si>
    <t>1619PA7889</t>
  </si>
  <si>
    <t>1619PA7891</t>
  </si>
  <si>
    <t>1619PA7894</t>
  </si>
  <si>
    <t>1619PA7982</t>
  </si>
  <si>
    <t>1619PA7988</t>
  </si>
  <si>
    <t>1619PA7994</t>
  </si>
  <si>
    <t>1619PA7995</t>
  </si>
  <si>
    <t>1619PA7998</t>
  </si>
  <si>
    <t>1619PA7999</t>
  </si>
  <si>
    <t>1619PA8006</t>
  </si>
  <si>
    <t>1619PA8008</t>
  </si>
  <si>
    <t>1619PA8009</t>
  </si>
  <si>
    <t>1619PA8040</t>
  </si>
  <si>
    <t>1619PA8043</t>
  </si>
  <si>
    <t>1619PA8046</t>
  </si>
  <si>
    <t>1619PA8047</t>
  </si>
  <si>
    <t>1619PA8054</t>
  </si>
  <si>
    <t>1619PA8062</t>
  </si>
  <si>
    <t>1619PA8063</t>
  </si>
  <si>
    <t>1619PA8064</t>
  </si>
  <si>
    <t>1619PA8065</t>
  </si>
  <si>
    <t>1619PA8066</t>
  </si>
  <si>
    <t>1619PA8067</t>
  </si>
  <si>
    <t>1619PA8068</t>
  </si>
  <si>
    <t>1619PA8081</t>
  </si>
  <si>
    <t>1619PA8100</t>
  </si>
  <si>
    <t>1619PA8101</t>
  </si>
  <si>
    <t>1619PA8313</t>
  </si>
  <si>
    <t>1619PA8367</t>
  </si>
  <si>
    <t>1619PA8370</t>
  </si>
  <si>
    <t>1619PA8509</t>
  </si>
  <si>
    <t>1619PA8553</t>
  </si>
  <si>
    <t>1619PA8574</t>
  </si>
  <si>
    <t>1619PA8647</t>
  </si>
  <si>
    <t>1619PA8659</t>
  </si>
  <si>
    <t>1619PA8661</t>
  </si>
  <si>
    <t>1619PA8721</t>
  </si>
  <si>
    <t>1619PA9069</t>
  </si>
  <si>
    <t>1619PA9070</t>
  </si>
  <si>
    <t>1619PA9071</t>
  </si>
  <si>
    <t>1619PA9073</t>
  </si>
  <si>
    <t>1619PA9074</t>
  </si>
  <si>
    <t>1619PA9075</t>
  </si>
  <si>
    <t>1619PA9076</t>
  </si>
  <si>
    <t>1619PA9080</t>
  </si>
  <si>
    <t>1619PA9081</t>
  </si>
  <si>
    <t>1619PA9082</t>
  </si>
  <si>
    <t>1619PA9083</t>
  </si>
  <si>
    <t>1619PA9085</t>
  </si>
  <si>
    <t>1619PA9087</t>
  </si>
  <si>
    <t>1619PA9088</t>
  </si>
  <si>
    <t>1619PA9089</t>
  </si>
  <si>
    <t>1619PA9142</t>
  </si>
  <si>
    <t>1619PA9158</t>
  </si>
  <si>
    <t>1619PA9225</t>
  </si>
  <si>
    <t>1619PA9228</t>
  </si>
  <si>
    <t>1619PA9522</t>
  </si>
  <si>
    <t>1619PA9524</t>
  </si>
  <si>
    <t>1619PA9525</t>
  </si>
  <si>
    <t>1619PA9527</t>
  </si>
  <si>
    <t>1619PA9530</t>
  </si>
  <si>
    <t>1619PA9537</t>
  </si>
  <si>
    <t>1619PA9538</t>
  </si>
  <si>
    <t>1619PA9544</t>
  </si>
  <si>
    <t>1619PA9553</t>
  </si>
  <si>
    <t>1619PA9571</t>
  </si>
  <si>
    <t>1619PA9573</t>
  </si>
  <si>
    <t>1619PA9577</t>
  </si>
  <si>
    <t>1619PA9578</t>
  </si>
  <si>
    <t>1619PA9579</t>
  </si>
  <si>
    <t>1619PA9580</t>
  </si>
  <si>
    <t>1619PA9582</t>
  </si>
  <si>
    <t>1619PA9586</t>
  </si>
  <si>
    <t>1619PA9608</t>
  </si>
  <si>
    <t>1619PA9615</t>
  </si>
  <si>
    <t>1619PA9619</t>
  </si>
  <si>
    <t>1619PA9642</t>
  </si>
  <si>
    <t>1619PA9644</t>
  </si>
  <si>
    <t>1619PA9668</t>
  </si>
  <si>
    <t>1619PA9680</t>
  </si>
  <si>
    <t>1619PA9681</t>
  </si>
  <si>
    <t>1619PA9682</t>
  </si>
  <si>
    <t>1619PA9683</t>
  </si>
  <si>
    <t>1619PA9684</t>
  </si>
  <si>
    <t>1619PA9685</t>
  </si>
  <si>
    <t>1619PA9686</t>
  </si>
  <si>
    <t>1619PA9687</t>
  </si>
  <si>
    <t>1619PA9688</t>
  </si>
  <si>
    <t>1619PA9689</t>
  </si>
  <si>
    <t>1619PA9690</t>
  </si>
  <si>
    <t>1619PA9691</t>
  </si>
  <si>
    <t>1619PA9692</t>
  </si>
  <si>
    <t>1619PA9702</t>
  </si>
  <si>
    <t>1619PA9703</t>
  </si>
  <si>
    <t>1619PA9740</t>
  </si>
  <si>
    <t>1619PA9751</t>
  </si>
  <si>
    <t>1619PA9833</t>
  </si>
  <si>
    <t>1619PA9839</t>
  </si>
  <si>
    <t>1619PA9840</t>
  </si>
  <si>
    <t>1619PA9841</t>
  </si>
  <si>
    <t>1619PA9844</t>
  </si>
  <si>
    <t>1619PA9845</t>
  </si>
  <si>
    <t>1619PA9846</t>
  </si>
  <si>
    <t>1619PA9847</t>
  </si>
  <si>
    <t>1619PA9848</t>
  </si>
  <si>
    <t>1619PA9849</t>
  </si>
  <si>
    <t>1619PA9869</t>
  </si>
  <si>
    <t>1619PA9897</t>
  </si>
  <si>
    <t>1619PA9898</t>
  </si>
  <si>
    <t>1619PA9899</t>
  </si>
  <si>
    <t>1619PA9905</t>
  </si>
  <si>
    <t>1619PA9906</t>
  </si>
  <si>
    <t>1619PA9907</t>
  </si>
  <si>
    <t>1619PA9936</t>
  </si>
  <si>
    <t>1619PB0063</t>
  </si>
  <si>
    <t>1619PB0706</t>
  </si>
  <si>
    <t>1619PB0717</t>
  </si>
  <si>
    <t>1619PB1089</t>
  </si>
  <si>
    <t>1619PB2009</t>
  </si>
  <si>
    <t>1619PB2034</t>
  </si>
  <si>
    <t>1619PB2039</t>
  </si>
  <si>
    <t>1619PB2065</t>
  </si>
  <si>
    <t>1619PB2076</t>
  </si>
  <si>
    <t>1619PB2077</t>
  </si>
  <si>
    <t>1619PB2078</t>
  </si>
  <si>
    <t>1619PB2079</t>
  </si>
  <si>
    <t>1619PB2080</t>
  </si>
  <si>
    <t>1619PB2081</t>
  </si>
  <si>
    <t>1619PB2082</t>
  </si>
  <si>
    <t>1619PB2083</t>
  </si>
  <si>
    <t>1619PB2084</t>
  </si>
  <si>
    <t>1619PB2085</t>
  </si>
  <si>
    <t>1619PB2086</t>
  </si>
  <si>
    <t>1619PB2087</t>
  </si>
  <si>
    <t>1619PB2088</t>
  </si>
  <si>
    <t>1619PB2089</t>
  </si>
  <si>
    <t>1619PB2090</t>
  </si>
  <si>
    <t>1619PB2091</t>
  </si>
  <si>
    <t>1619PB2092</t>
  </si>
  <si>
    <t>1619PB2093</t>
  </si>
  <si>
    <t>1619PB2094</t>
  </si>
  <si>
    <t>1619PB2095</t>
  </si>
  <si>
    <t>1619PB2096</t>
  </si>
  <si>
    <t>1619PB2097</t>
  </si>
  <si>
    <t>1619PB2098</t>
  </si>
  <si>
    <t>1619PB2099</t>
  </si>
  <si>
    <t>1619PB2100</t>
  </si>
  <si>
    <t>1619PB2101</t>
  </si>
  <si>
    <t>1619PB2102</t>
  </si>
  <si>
    <t>1619PB2157</t>
  </si>
  <si>
    <t>1619PB2366</t>
  </si>
  <si>
    <t>1619PB2367</t>
  </si>
  <si>
    <t>1619PB2368</t>
  </si>
  <si>
    <t>1619PB2369</t>
  </si>
  <si>
    <t>1619PB2371</t>
  </si>
  <si>
    <t>1619PB2372</t>
  </si>
  <si>
    <t>1619PB2373</t>
  </si>
  <si>
    <t>1619PB2374</t>
  </si>
  <si>
    <t>1619PB2375</t>
  </si>
  <si>
    <t>1619PB2376</t>
  </si>
  <si>
    <t>1619PB2378</t>
  </si>
  <si>
    <t>1619PB2409</t>
  </si>
  <si>
    <t>1619PB2411</t>
  </si>
  <si>
    <t>1619PB2412</t>
  </si>
  <si>
    <t>1619PB2487</t>
  </si>
  <si>
    <t>1619PB2531</t>
  </si>
  <si>
    <t>1619PB2532</t>
  </si>
  <si>
    <t>1619PB2792</t>
  </si>
  <si>
    <t>1619PB2793</t>
  </si>
  <si>
    <t>1619PB2799</t>
  </si>
  <si>
    <t>1619PB2800</t>
  </si>
  <si>
    <t>1619PB2801</t>
  </si>
  <si>
    <t>1619PB2807</t>
  </si>
  <si>
    <t>1619PB2931</t>
  </si>
  <si>
    <t>1619PB3002</t>
  </si>
  <si>
    <t>1619PB3004</t>
  </si>
  <si>
    <t>1619PB3021</t>
  </si>
  <si>
    <t>1619PB3022</t>
  </si>
  <si>
    <t>1619PB3028</t>
  </si>
  <si>
    <t>1619PB3031</t>
  </si>
  <si>
    <t>1619PB3034</t>
  </si>
  <si>
    <t>1619PB3045</t>
  </si>
  <si>
    <t>1619PB3046</t>
  </si>
  <si>
    <t>1619PB3047</t>
  </si>
  <si>
    <t>1619PB3048</t>
  </si>
  <si>
    <t>1619PB3049</t>
  </si>
  <si>
    <t>1619PB3050</t>
  </si>
  <si>
    <t>1619PB3051</t>
  </si>
  <si>
    <t>1619PB3052</t>
  </si>
  <si>
    <t>1619PB3053</t>
  </si>
  <si>
    <t>1619PB3054</t>
  </si>
  <si>
    <t>1619PB3055</t>
  </si>
  <si>
    <t>1619PB3056</t>
  </si>
  <si>
    <t>1619PB3057</t>
  </si>
  <si>
    <t>1619PB3058</t>
  </si>
  <si>
    <t>1619PB3059</t>
  </si>
  <si>
    <t>1619PB3060</t>
  </si>
  <si>
    <t>1619PB3061</t>
  </si>
  <si>
    <t>1619PB3063</t>
  </si>
  <si>
    <t>1619PB3064</t>
  </si>
  <si>
    <t>1619PB3065</t>
  </si>
  <si>
    <t>1619PB3066</t>
  </si>
  <si>
    <t>1619PB3067</t>
  </si>
  <si>
    <t>1619PB3068</t>
  </si>
  <si>
    <t>1619PB3069</t>
  </si>
  <si>
    <t>1619PB3070</t>
  </si>
  <si>
    <t>1619PB3071</t>
  </si>
  <si>
    <t>1619PB3072</t>
  </si>
  <si>
    <t>1619PB3073</t>
  </si>
  <si>
    <t>1619PB3074</t>
  </si>
  <si>
    <t>1619PB3075</t>
  </si>
  <si>
    <t>1619PB3076</t>
  </si>
  <si>
    <t>1619PB3077</t>
  </si>
  <si>
    <t>1619PB3078</t>
  </si>
  <si>
    <t>1619PB3079</t>
  </si>
  <si>
    <t>1619PB3080</t>
  </si>
  <si>
    <t>1619PB3081</t>
  </si>
  <si>
    <t>1619PB3083</t>
  </si>
  <si>
    <t>1619PB3639</t>
  </si>
  <si>
    <t>1619PB3640</t>
  </si>
  <si>
    <t>1619PB3642</t>
  </si>
  <si>
    <t>1619PB3643</t>
  </si>
  <si>
    <t>1619PB3644</t>
  </si>
  <si>
    <t>1619PB3645</t>
  </si>
  <si>
    <t>1619PB3646</t>
  </si>
  <si>
    <t>1619PB3649</t>
  </si>
  <si>
    <t>1619PB3650</t>
  </si>
  <si>
    <t>1619PB3651</t>
  </si>
  <si>
    <t>1619PB3652</t>
  </si>
  <si>
    <t>1619PB3653</t>
  </si>
  <si>
    <t>1619PB3654</t>
  </si>
  <si>
    <t>1619PB3655</t>
  </si>
  <si>
    <t>1619PB3658</t>
  </si>
  <si>
    <t>1619PB3662</t>
  </si>
  <si>
    <t>1619PB3666</t>
  </si>
  <si>
    <t>1619PB3667</t>
  </si>
  <si>
    <t>1619PB3671</t>
  </si>
  <si>
    <t>1619PB3672</t>
  </si>
  <si>
    <t>1619PB3676</t>
  </si>
  <si>
    <t>1619PB3678</t>
  </si>
  <si>
    <t>1619PB3680</t>
  </si>
  <si>
    <t>1619PB3681</t>
  </si>
  <si>
    <t>1619PB3682</t>
  </si>
  <si>
    <t>1619PB3684</t>
  </si>
  <si>
    <t>1619PB3686</t>
  </si>
  <si>
    <t>1619PB3687</t>
  </si>
  <si>
    <t>1619PB3688</t>
  </si>
  <si>
    <t>1619PB3689</t>
  </si>
  <si>
    <t>1619PB3691</t>
  </si>
  <si>
    <t>1619PB3699</t>
  </si>
  <si>
    <t>1619PB3700</t>
  </si>
  <si>
    <t>1619PB3701</t>
  </si>
  <si>
    <t>1619PB3702</t>
  </si>
  <si>
    <t>1619PB3703</t>
  </si>
  <si>
    <t>1619PB3704</t>
  </si>
  <si>
    <t>1619PB3705</t>
  </si>
  <si>
    <t>1619PB3706</t>
  </si>
  <si>
    <t>1619PB3707</t>
  </si>
  <si>
    <t>1619PB3708</t>
  </si>
  <si>
    <t>1619PB3709</t>
  </si>
  <si>
    <t>1619PB3710</t>
  </si>
  <si>
    <t>1619PB3711</t>
  </si>
  <si>
    <t>1619PB3712</t>
  </si>
  <si>
    <t>1619PB3713</t>
  </si>
  <si>
    <t>1619PB3714</t>
  </si>
  <si>
    <t>1619PB3715</t>
  </si>
  <si>
    <t>1619PB3716</t>
  </si>
  <si>
    <t>1619PB3717</t>
  </si>
  <si>
    <t>1619PB3718</t>
  </si>
  <si>
    <t>1619PB3719</t>
  </si>
  <si>
    <t>1619PB3720</t>
  </si>
  <si>
    <t>1619PB3721</t>
  </si>
  <si>
    <t>1619PB3722</t>
  </si>
  <si>
    <t>1619PB3723</t>
  </si>
  <si>
    <t>1619PB3724</t>
  </si>
  <si>
    <t>1619PB3725</t>
  </si>
  <si>
    <t>1619PB3726</t>
  </si>
  <si>
    <t>1619PB3729</t>
  </si>
  <si>
    <t>1619PB3734</t>
  </si>
  <si>
    <t>1619PB3738</t>
  </si>
  <si>
    <t>1619PB3739</t>
  </si>
  <si>
    <t>1619PB3740</t>
  </si>
  <si>
    <t>1619PB3745</t>
  </si>
  <si>
    <t>1619PB3746</t>
  </si>
  <si>
    <t>1619PB3747</t>
  </si>
  <si>
    <t>1619PB3749</t>
  </si>
  <si>
    <t>1619PB3750</t>
  </si>
  <si>
    <t>1619PB3751</t>
  </si>
  <si>
    <t>1619PB3755</t>
  </si>
  <si>
    <t>1619PB3756</t>
  </si>
  <si>
    <t>1619PB3757</t>
  </si>
  <si>
    <t>1619PB3758</t>
  </si>
  <si>
    <t>1619PB3759</t>
  </si>
  <si>
    <t>1619PB3761</t>
  </si>
  <si>
    <t>1619PB3763</t>
  </si>
  <si>
    <t>1619PB3767</t>
  </si>
  <si>
    <t>1619PB3768</t>
  </si>
  <si>
    <t>1619PB3771</t>
  </si>
  <si>
    <t>1619PB3776</t>
  </si>
  <si>
    <t>1619PB3777</t>
  </si>
  <si>
    <t>1619PB3778</t>
  </si>
  <si>
    <t>1619PB3779</t>
  </si>
  <si>
    <t>1619PB3823</t>
  </si>
  <si>
    <t>1619PB3824</t>
  </si>
  <si>
    <t>1619PB3825</t>
  </si>
  <si>
    <t>1619PB3826</t>
  </si>
  <si>
    <t>1619PB3834</t>
  </si>
  <si>
    <t>1619PB3923</t>
  </si>
  <si>
    <t>1619PB3929</t>
  </si>
  <si>
    <t>1619PB4053</t>
  </si>
  <si>
    <t>1619PB4054</t>
  </si>
  <si>
    <t>1619PB4065</t>
  </si>
  <si>
    <t>1619PB4074</t>
  </si>
  <si>
    <t>1619PB4076</t>
  </si>
  <si>
    <t>1619PB4081</t>
  </si>
  <si>
    <t>1619PB4083</t>
  </si>
  <si>
    <t>1619PB4085</t>
  </si>
  <si>
    <t>1619PB4086</t>
  </si>
  <si>
    <t>1619PB4087</t>
  </si>
  <si>
    <t>1619PB4088</t>
  </si>
  <si>
    <t>1619PB4098</t>
  </si>
  <si>
    <t>1619PB4099</t>
  </si>
  <si>
    <t>1619PB4100</t>
  </si>
  <si>
    <t>1619PB4101</t>
  </si>
  <si>
    <t>1619PB4102</t>
  </si>
  <si>
    <t>1619PB4103</t>
  </si>
  <si>
    <t>1619PB4104</t>
  </si>
  <si>
    <t>1619PB4111</t>
  </si>
  <si>
    <t>1619PB4116</t>
  </si>
  <si>
    <t>1619PB4117</t>
  </si>
  <si>
    <t>1619PB4118</t>
  </si>
  <si>
    <t>1619PB4119</t>
  </si>
  <si>
    <t>1619PB4127</t>
  </si>
  <si>
    <t>1619PB4148</t>
  </si>
  <si>
    <t>1619PB4201</t>
  </si>
  <si>
    <t>1619PB4213</t>
  </si>
  <si>
    <t>1619PB4236</t>
  </si>
  <si>
    <t>1619PB4240</t>
  </si>
  <si>
    <t>1619PB4245</t>
  </si>
  <si>
    <t>1619PB4249</t>
  </si>
  <si>
    <t>1619PB4252</t>
  </si>
  <si>
    <t>1619PB4254</t>
  </si>
  <si>
    <t>1619PB4255</t>
  </si>
  <si>
    <t>1619PB4256</t>
  </si>
  <si>
    <t>1619PB4258</t>
  </si>
  <si>
    <t>1619PB4259</t>
  </si>
  <si>
    <t>1619PB4260</t>
  </si>
  <si>
    <t>1619PB4261</t>
  </si>
  <si>
    <t>1619PB4262</t>
  </si>
  <si>
    <t>1619PB4263</t>
  </si>
  <si>
    <t>1619PB4264</t>
  </si>
  <si>
    <t>1619PB4265</t>
  </si>
  <si>
    <t>1619PB4267</t>
  </si>
  <si>
    <t>1619PB4268</t>
  </si>
  <si>
    <t>1619PB4269</t>
  </si>
  <si>
    <t>1619PB4270</t>
  </si>
  <si>
    <t>1619PB4271</t>
  </si>
  <si>
    <t>1619PB4272</t>
  </si>
  <si>
    <t>1619PB4273</t>
  </si>
  <si>
    <t>1619PB4274</t>
  </si>
  <si>
    <t>1619PB4275</t>
  </si>
  <si>
    <t>1619PB4277</t>
  </si>
  <si>
    <t>1619PB4278</t>
  </si>
  <si>
    <t>1619PB4279</t>
  </si>
  <si>
    <t>1619PB4280</t>
  </si>
  <si>
    <t>1619PB4281</t>
  </si>
  <si>
    <t>1619PB4282</t>
  </si>
  <si>
    <t>1619PB4283</t>
  </si>
  <si>
    <t>1619PB4284</t>
  </si>
  <si>
    <t>1619PB4285</t>
  </si>
  <si>
    <t>1619PB4286</t>
  </si>
  <si>
    <t>1619PB4287</t>
  </si>
  <si>
    <t>1619PB4288</t>
  </si>
  <si>
    <t>1619PB4289</t>
  </si>
  <si>
    <t>1619PB4290</t>
  </si>
  <si>
    <t>1619PB4291</t>
  </si>
  <si>
    <t>1619PB4292</t>
  </si>
  <si>
    <t>1619PB4300</t>
  </si>
  <si>
    <t>1619PB4323</t>
  </si>
  <si>
    <t>1619PB4329</t>
  </si>
  <si>
    <t>1619PB4332</t>
  </si>
  <si>
    <t>1619PB4333</t>
  </si>
  <si>
    <t>1619PB4334</t>
  </si>
  <si>
    <t>1619PB4338</t>
  </si>
  <si>
    <t>1619PB4339</t>
  </si>
  <si>
    <t>1619PB4340</t>
  </si>
  <si>
    <t>1619PB4349</t>
  </si>
  <si>
    <t>1619PB4350</t>
  </si>
  <si>
    <t>1619PB4351</t>
  </si>
  <si>
    <t>1619PB4352</t>
  </si>
  <si>
    <t>1619PB4358</t>
  </si>
  <si>
    <t>1619PB4359</t>
  </si>
  <si>
    <t>1619PB4392</t>
  </si>
  <si>
    <t>1619PB4393</t>
  </si>
  <si>
    <t>1619PB4394</t>
  </si>
  <si>
    <t>1619PB4405</t>
  </si>
  <si>
    <t>1619PB4406</t>
  </si>
  <si>
    <t>1619PB4407</t>
  </si>
  <si>
    <t>1619PB4408</t>
  </si>
  <si>
    <t>1619PB4409</t>
  </si>
  <si>
    <t>1619PB4411</t>
  </si>
  <si>
    <t>1619PB4412</t>
  </si>
  <si>
    <t>1619PB4413</t>
  </si>
  <si>
    <t>1619PB4414</t>
  </si>
  <si>
    <t>1619PB4418</t>
  </si>
  <si>
    <t>1619PB4422</t>
  </si>
  <si>
    <t>1619PB4423</t>
  </si>
  <si>
    <t>1619PB4434</t>
  </si>
  <si>
    <t>1619PB4435</t>
  </si>
  <si>
    <t>1619PB4436</t>
  </si>
  <si>
    <t>1619PB4442</t>
  </si>
  <si>
    <t>1619PB4443</t>
  </si>
  <si>
    <t>1619PB4449</t>
  </si>
  <si>
    <t>1619PB4451</t>
  </si>
  <si>
    <t>1619PB4452</t>
  </si>
  <si>
    <t>1619PB4454</t>
  </si>
  <si>
    <t>1619PB4456</t>
  </si>
  <si>
    <t>1619PB4458</t>
  </si>
  <si>
    <t>1619PB4460</t>
  </si>
  <si>
    <t>1619PB4463</t>
  </si>
  <si>
    <t>1619PB4469</t>
  </si>
  <si>
    <t>1619PB4471</t>
  </si>
  <si>
    <t>1619PB4625</t>
  </si>
  <si>
    <t>1619PB4647</t>
  </si>
  <si>
    <t>1619PB4664</t>
  </si>
  <si>
    <t>1619PB4665</t>
  </si>
  <si>
    <t>1619PB4667</t>
  </si>
  <si>
    <t>1619PB4668</t>
  </si>
  <si>
    <t>1619PB4669</t>
  </si>
  <si>
    <t>1619PB4671</t>
  </si>
  <si>
    <t>1619PB4673</t>
  </si>
  <si>
    <t>1619PB4746</t>
  </si>
  <si>
    <t>1619PB4749</t>
  </si>
  <si>
    <t>1619PB4750</t>
  </si>
  <si>
    <t>1619PB4751</t>
  </si>
  <si>
    <t>1619PB4858</t>
  </si>
  <si>
    <t>1619PB4911</t>
  </si>
  <si>
    <t>1619PB4981</t>
  </si>
  <si>
    <t>1619PB5043</t>
  </si>
  <si>
    <t>1619PB5151</t>
  </si>
  <si>
    <t>1619PB5152</t>
  </si>
  <si>
    <t>1619PB5154</t>
  </si>
  <si>
    <t>1619PB5155</t>
  </si>
  <si>
    <t>1619PB5156</t>
  </si>
  <si>
    <t>1619PB5157</t>
  </si>
  <si>
    <t>1619PB5158</t>
  </si>
  <si>
    <t>1619PB5179</t>
  </si>
  <si>
    <t>1619PB5247</t>
  </si>
  <si>
    <t>1619PB5406</t>
  </si>
  <si>
    <t>1619PB5414</t>
  </si>
  <si>
    <t>1619PB5415</t>
  </si>
  <si>
    <t>1619PB5441</t>
  </si>
  <si>
    <t>1619PB5443</t>
  </si>
  <si>
    <t>1619PB5448</t>
  </si>
  <si>
    <t>1619PB5453</t>
  </si>
  <si>
    <t>1619PB5454</t>
  </si>
  <si>
    <t>1619PB5455</t>
  </si>
  <si>
    <t>1619PB5456</t>
  </si>
  <si>
    <t>1619PB5457</t>
  </si>
  <si>
    <t>1619PB5458</t>
  </si>
  <si>
    <t>1619PB5459</t>
  </si>
  <si>
    <t>1619PB5460</t>
  </si>
  <si>
    <t>1619PB5461</t>
  </si>
  <si>
    <t>1619PB5462</t>
  </si>
  <si>
    <t>1619PB5463</t>
  </si>
  <si>
    <t>1619PB5464</t>
  </si>
  <si>
    <t>1619PB5465</t>
  </si>
  <si>
    <t>1619PB5466</t>
  </si>
  <si>
    <t>1619PB5467</t>
  </si>
  <si>
    <t>1619PB5468</t>
  </si>
  <si>
    <t>1619PB5469</t>
  </si>
  <si>
    <t>1619PB5470</t>
  </si>
  <si>
    <t>1619PB5472</t>
  </si>
  <si>
    <t>1619PB5473</t>
  </si>
  <si>
    <t>1619PB5474</t>
  </si>
  <si>
    <t>1619PB5475</t>
  </si>
  <si>
    <t>1619PB5476</t>
  </si>
  <si>
    <t>1619PB5477</t>
  </si>
  <si>
    <t>1619PB5478</t>
  </si>
  <si>
    <t>1619PB5479</t>
  </si>
  <si>
    <t>1619PB5480</t>
  </si>
  <si>
    <t>1619PB5481</t>
  </si>
  <si>
    <t>1619PB5482</t>
  </si>
  <si>
    <t>1619PB5483</t>
  </si>
  <si>
    <t>1619PB5484</t>
  </si>
  <si>
    <t>1619PB5485</t>
  </si>
  <si>
    <t>1619PB5486</t>
  </si>
  <si>
    <t>1619PB5487</t>
  </si>
  <si>
    <t>1619PB5488</t>
  </si>
  <si>
    <t>1619PB5489</t>
  </si>
  <si>
    <t>1619PB5490</t>
  </si>
  <si>
    <t>1619PB5492</t>
  </si>
  <si>
    <t>1619PB5493</t>
  </si>
  <si>
    <t>1619PB5494</t>
  </si>
  <si>
    <t>1619PB5496</t>
  </si>
  <si>
    <t>1619PB5497</t>
  </si>
  <si>
    <t>1619PB5498</t>
  </si>
  <si>
    <t>1619PB5499</t>
  </si>
  <si>
    <t>1619PB5500</t>
  </si>
  <si>
    <t>1619PB5501</t>
  </si>
  <si>
    <t>1619PB5502</t>
  </si>
  <si>
    <t>1619PB5503</t>
  </si>
  <si>
    <t>1619PB5504</t>
  </si>
  <si>
    <t>1619PB5506</t>
  </si>
  <si>
    <t>1619PB5507</t>
  </si>
  <si>
    <t>1619PB5508</t>
  </si>
  <si>
    <t>1619PB5509</t>
  </si>
  <si>
    <t>1619PB5510</t>
  </si>
  <si>
    <t>1619PB5511</t>
  </si>
  <si>
    <t>1619PB5515</t>
  </si>
  <si>
    <t>1619PB5521</t>
  </si>
  <si>
    <t>1619PB5522</t>
  </si>
  <si>
    <t>1619PB5523</t>
  </si>
  <si>
    <t>1619PB5546</t>
  </si>
  <si>
    <t>1619PB5547</t>
  </si>
  <si>
    <t>1619PB5548</t>
  </si>
  <si>
    <t>1619PB5549</t>
  </si>
  <si>
    <t>1619PB5550</t>
  </si>
  <si>
    <t>1619PB5551</t>
  </si>
  <si>
    <t>1619PB5552</t>
  </si>
  <si>
    <t>1619PB5553</t>
  </si>
  <si>
    <t>1619PB5554</t>
  </si>
  <si>
    <t>1619PB5555</t>
  </si>
  <si>
    <t>1619PB5557</t>
  </si>
  <si>
    <t>1619PB5558</t>
  </si>
  <si>
    <t>1619PB5559</t>
  </si>
  <si>
    <t>1619PB5576</t>
  </si>
  <si>
    <t>1619PB5577</t>
  </si>
  <si>
    <t>1619PB5588</t>
  </si>
  <si>
    <t>1619PB5591</t>
  </si>
  <si>
    <t>1619PB5592</t>
  </si>
  <si>
    <t>1619PB5593</t>
  </si>
  <si>
    <t>1619PB5597</t>
  </si>
  <si>
    <t>1619PB5601</t>
  </si>
  <si>
    <t>1619PB5614</t>
  </si>
  <si>
    <t>1619PB5617</t>
  </si>
  <si>
    <t>1619PB6096</t>
  </si>
  <si>
    <t>1619PB6188</t>
  </si>
  <si>
    <t>1619PB6270</t>
  </si>
  <si>
    <t>1619PB6271</t>
  </si>
  <si>
    <t>1619PB6272</t>
  </si>
  <si>
    <t>1619PB6273</t>
  </si>
  <si>
    <t>1619PB6274</t>
  </si>
  <si>
    <t>1619PB6275</t>
  </si>
  <si>
    <t>1619PB6276</t>
  </si>
  <si>
    <t>1619PB6280</t>
  </si>
  <si>
    <t>1619PB6288</t>
  </si>
  <si>
    <t>1619PB6301</t>
  </si>
  <si>
    <t>1619PB6308</t>
  </si>
  <si>
    <t>1619PB6324</t>
  </si>
  <si>
    <t>1619PB6328</t>
  </si>
  <si>
    <t>1619PB6329</t>
  </si>
  <si>
    <t>1619PB6389</t>
  </si>
  <si>
    <t>1619PB6819</t>
  </si>
  <si>
    <t>1619PB6820</t>
  </si>
  <si>
    <t>1619PB6826</t>
  </si>
  <si>
    <t>1619PB6827</t>
  </si>
  <si>
    <t>1619PB6857</t>
  </si>
  <si>
    <t>1619PB6872</t>
  </si>
  <si>
    <t>1619PB6919</t>
  </si>
  <si>
    <t>1619PB6920</t>
  </si>
  <si>
    <t>1619PB6921</t>
  </si>
  <si>
    <t>1619PB6922</t>
  </si>
  <si>
    <t>1619PB6929</t>
  </si>
  <si>
    <t>1619PB6931</t>
  </si>
  <si>
    <t>1619PB6932</t>
  </si>
  <si>
    <t>1619PB6945</t>
  </si>
  <si>
    <t>1619PB6951</t>
  </si>
  <si>
    <t>1619PB6952</t>
  </si>
  <si>
    <t>1619PB6963</t>
  </si>
  <si>
    <t>1619PB6964</t>
  </si>
  <si>
    <t>1619PB6966</t>
  </si>
  <si>
    <t>1619PB6972</t>
  </si>
  <si>
    <t>1619PB6973</t>
  </si>
  <si>
    <t>1619PB6974</t>
  </si>
  <si>
    <t>1619PB6988</t>
  </si>
  <si>
    <t>1619PB7006</t>
  </si>
  <si>
    <t>1619PB7008</t>
  </si>
  <si>
    <t>1619PB7010</t>
  </si>
  <si>
    <t>1619PB7064</t>
  </si>
  <si>
    <t>1619PB7142</t>
  </si>
  <si>
    <t>1619PB7189</t>
  </si>
  <si>
    <t>1619PB7191</t>
  </si>
  <si>
    <t>1619PB7192</t>
  </si>
  <si>
    <t>1619PB7193</t>
  </si>
  <si>
    <t>1619PB7195</t>
  </si>
  <si>
    <t>1619PB7196</t>
  </si>
  <si>
    <t>1619PB7197</t>
  </si>
  <si>
    <t>1619PB7199</t>
  </si>
  <si>
    <t>1619PB7205</t>
  </si>
  <si>
    <t>1619PB7206</t>
  </si>
  <si>
    <t>1619PB7212</t>
  </si>
  <si>
    <t>1619PB7255</t>
  </si>
  <si>
    <t>1619PB7298</t>
  </si>
  <si>
    <t>1619PB7315</t>
  </si>
  <si>
    <t>1619PB7352</t>
  </si>
  <si>
    <t>1619PB7355</t>
  </si>
  <si>
    <t>1619PB7383</t>
  </si>
  <si>
    <t>1619PB7384</t>
  </si>
  <si>
    <t>1619PB7667</t>
  </si>
  <si>
    <t>1619PB7668</t>
  </si>
  <si>
    <t>1619PB8307</t>
  </si>
  <si>
    <t>1619PB8308</t>
  </si>
  <si>
    <t>1619PB8309</t>
  </si>
  <si>
    <t>1619PB8310</t>
  </si>
  <si>
    <t>1619PB8311</t>
  </si>
  <si>
    <t>1619PB8312</t>
  </si>
  <si>
    <t>1619PB8313</t>
  </si>
  <si>
    <t>1619PB8314</t>
  </si>
  <si>
    <t>1619PB8315</t>
  </si>
  <si>
    <t>1619PB8316</t>
  </si>
  <si>
    <t>1619PB8322</t>
  </si>
  <si>
    <t>1619PB8323</t>
  </si>
  <si>
    <t>1619PB8324</t>
  </si>
  <si>
    <t>1619PB8325</t>
  </si>
  <si>
    <t>1619PB8326</t>
  </si>
  <si>
    <t>1619PB8327</t>
  </si>
  <si>
    <t>1619PB8328</t>
  </si>
  <si>
    <t>1619PB8329</t>
  </si>
  <si>
    <t>1619PB8330</t>
  </si>
  <si>
    <t>1619PB8331</t>
  </si>
  <si>
    <t>1619PB8332</t>
  </si>
  <si>
    <t>1619PB8333</t>
  </si>
  <si>
    <t>1619PB8334</t>
  </si>
  <si>
    <t>1619PB8335</t>
  </si>
  <si>
    <t>1619PB8336</t>
  </si>
  <si>
    <t>1619PB8337</t>
  </si>
  <si>
    <t>1619PB8338</t>
  </si>
  <si>
    <t>1619PB8339</t>
  </si>
  <si>
    <t>1619PB8340</t>
  </si>
  <si>
    <t>1619PB8341</t>
  </si>
  <si>
    <t>1619PB8342</t>
  </si>
  <si>
    <t>1619PB8343</t>
  </si>
  <si>
    <t>1619PB8344</t>
  </si>
  <si>
    <t>1619PB8345</t>
  </si>
  <si>
    <t>1619PB8346</t>
  </si>
  <si>
    <t>1619PB8347</t>
  </si>
  <si>
    <t>1619PB8357</t>
  </si>
  <si>
    <t>1619PB8359</t>
  </si>
  <si>
    <t>1619PB8360</t>
  </si>
  <si>
    <t>1619PB8361</t>
  </si>
  <si>
    <t>1619PB8362</t>
  </si>
  <si>
    <t>1619PB8363</t>
  </si>
  <si>
    <t>1619PB8364</t>
  </si>
  <si>
    <t>1619PB8365</t>
  </si>
  <si>
    <t>1619PB8366</t>
  </si>
  <si>
    <t>1619PB8367</t>
  </si>
  <si>
    <t>1619PB8368</t>
  </si>
  <si>
    <t>1619X00090</t>
  </si>
  <si>
    <t>1619X00399</t>
  </si>
  <si>
    <t>1619X00434</t>
  </si>
  <si>
    <t>1619X00933</t>
  </si>
  <si>
    <t>1619X00935</t>
  </si>
  <si>
    <t>1619X00942</t>
  </si>
  <si>
    <t>1619X01409</t>
  </si>
  <si>
    <t>1619X01554</t>
  </si>
  <si>
    <t>1619X01612</t>
  </si>
  <si>
    <t>1619X01613</t>
  </si>
  <si>
    <t>1619X01696</t>
  </si>
  <si>
    <t>1619X01765</t>
  </si>
  <si>
    <t>1619X01791</t>
  </si>
  <si>
    <t>1619X01792</t>
  </si>
  <si>
    <t>1619X01947</t>
  </si>
  <si>
    <t>1619X01948</t>
  </si>
  <si>
    <t>1619X02268</t>
  </si>
  <si>
    <t>1619X02270</t>
  </si>
  <si>
    <t>1619X02377</t>
  </si>
  <si>
    <t>1619X02515</t>
  </si>
  <si>
    <t>1619X02572</t>
  </si>
  <si>
    <t>1619X02735</t>
  </si>
  <si>
    <t>1619X02922</t>
  </si>
  <si>
    <t>1619X03060</t>
  </si>
  <si>
    <t>1619X03062</t>
  </si>
  <si>
    <t>1619X03065</t>
  </si>
  <si>
    <t>1619X03111</t>
  </si>
  <si>
    <t>1619X03184</t>
  </si>
  <si>
    <t>1619X03185</t>
  </si>
  <si>
    <t>1619X03196</t>
  </si>
  <si>
    <t>1619X03396</t>
  </si>
  <si>
    <t>1619X03695</t>
  </si>
  <si>
    <t>1619X04044</t>
  </si>
  <si>
    <t>1619X04200</t>
  </si>
  <si>
    <t>1619X04517</t>
  </si>
  <si>
    <t>1619X04542</t>
  </si>
  <si>
    <t>1619X04546</t>
  </si>
  <si>
    <t>1619X04547</t>
  </si>
  <si>
    <t>1619X04550</t>
  </si>
  <si>
    <t>1619X04574</t>
  </si>
  <si>
    <t>1619X04872</t>
  </si>
  <si>
    <t>1619X04876</t>
  </si>
  <si>
    <t>1619X04877</t>
  </si>
  <si>
    <t>1619X04885</t>
  </si>
  <si>
    <t>1619X04886</t>
  </si>
  <si>
    <t>1619X04887</t>
  </si>
  <si>
    <t>1619X05274</t>
  </si>
  <si>
    <t>1619X05625</t>
  </si>
  <si>
    <t>1619X05789</t>
  </si>
  <si>
    <t>1619X05867</t>
  </si>
  <si>
    <t>1619X06060</t>
  </si>
  <si>
    <t>1619X07088</t>
  </si>
  <si>
    <t>1619X07247</t>
  </si>
  <si>
    <t>1619X07251</t>
  </si>
  <si>
    <t>1619X07252</t>
  </si>
  <si>
    <t>1619X07253</t>
  </si>
  <si>
    <t>1619X07256</t>
  </si>
  <si>
    <t>1619X07507</t>
  </si>
  <si>
    <t>1619X07569</t>
  </si>
  <si>
    <t>1619X08384</t>
  </si>
  <si>
    <t>2610A01267</t>
  </si>
  <si>
    <t>2610A02324</t>
  </si>
  <si>
    <t>2610A02504</t>
  </si>
  <si>
    <t>2610A02507</t>
  </si>
  <si>
    <t>2610A02546</t>
  </si>
  <si>
    <t>2610A02549</t>
  </si>
  <si>
    <t>2610A02550</t>
  </si>
  <si>
    <t>2610A03338</t>
  </si>
  <si>
    <t>2610A03339</t>
  </si>
  <si>
    <t>2610A03364</t>
  </si>
  <si>
    <t>2610A03366</t>
  </si>
  <si>
    <t>2610A03367</t>
  </si>
  <si>
    <t>2610A03368</t>
  </si>
  <si>
    <t>2610A03369</t>
  </si>
  <si>
    <t>2610A03370</t>
  </si>
  <si>
    <t>2610A03377</t>
  </si>
  <si>
    <t>2610A03379</t>
  </si>
  <si>
    <t>2610A03380</t>
  </si>
  <si>
    <t>2610A03381</t>
  </si>
  <si>
    <t>2610A03382</t>
  </si>
  <si>
    <t>2610A03383</t>
  </si>
  <si>
    <t>2610A03384</t>
  </si>
  <si>
    <t>2610A03385</t>
  </si>
  <si>
    <t>2610A03389</t>
  </si>
  <si>
    <t>2610A03392</t>
  </si>
  <si>
    <t>2610A03394</t>
  </si>
  <si>
    <t>2610A03397</t>
  </si>
  <si>
    <t>2610A03398</t>
  </si>
  <si>
    <t>2610A03399</t>
  </si>
  <si>
    <t>2610A03400</t>
  </si>
  <si>
    <t>2610A03401</t>
  </si>
  <si>
    <t>2610A03402</t>
  </si>
  <si>
    <t>2610A03403</t>
  </si>
  <si>
    <t>2610A03404</t>
  </si>
  <si>
    <t>2610A03405</t>
  </si>
  <si>
    <t>2610A05614</t>
  </si>
  <si>
    <t>2610A05622</t>
  </si>
  <si>
    <t>2610A05628</t>
  </si>
  <si>
    <t>2610A05629</t>
  </si>
  <si>
    <t>2610A05630</t>
  </si>
  <si>
    <t>2610A05631</t>
  </si>
  <si>
    <t>2610A05649</t>
  </si>
  <si>
    <t>2610A05652</t>
  </si>
  <si>
    <t>2610A05653</t>
  </si>
  <si>
    <t>2610A05661</t>
  </si>
  <si>
    <t>2610A05662</t>
  </si>
  <si>
    <t>2610A05664</t>
  </si>
  <si>
    <t>2610A05665</t>
  </si>
  <si>
    <t>2610A05666</t>
  </si>
  <si>
    <t>2610A05667</t>
  </si>
  <si>
    <t>2610A05669</t>
  </si>
  <si>
    <t>2610A05671</t>
  </si>
  <si>
    <t>2610A05673</t>
  </si>
  <si>
    <t>2610A05675</t>
  </si>
  <si>
    <t>2610A05677</t>
  </si>
  <si>
    <t>2610A05679</t>
  </si>
  <si>
    <t>2610A05680</t>
  </si>
  <si>
    <t>2610A05681</t>
  </si>
  <si>
    <t>2610A05682</t>
  </si>
  <si>
    <t>2610A05683</t>
  </si>
  <si>
    <t>2610A05684</t>
  </si>
  <si>
    <t>2610A05685</t>
  </si>
  <si>
    <t>2610A05686</t>
  </si>
  <si>
    <t>2610A05689</t>
  </si>
  <si>
    <t>2610A05691</t>
  </si>
  <si>
    <t>2610A05692</t>
  </si>
  <si>
    <t>2610A05693</t>
  </si>
  <si>
    <t>2610A05694</t>
  </si>
  <si>
    <t>2610A05697</t>
  </si>
  <si>
    <t>2610A05702</t>
  </si>
  <si>
    <t>2610A05712</t>
  </si>
  <si>
    <t>2610A05718</t>
  </si>
  <si>
    <t>2610A05723</t>
  </si>
  <si>
    <t>2610A05724</t>
  </si>
  <si>
    <t>2610A05726</t>
  </si>
  <si>
    <t>2610A05731</t>
  </si>
  <si>
    <t>2610A05734</t>
  </si>
  <si>
    <t>2610A05744</t>
  </si>
  <si>
    <t>2610A05748</t>
  </si>
  <si>
    <t>2610A05751</t>
  </si>
  <si>
    <t>2610A05758</t>
  </si>
  <si>
    <t>2610A05772</t>
  </si>
  <si>
    <t>2610A09014</t>
  </si>
  <si>
    <t>2610A09044</t>
  </si>
  <si>
    <t>2610A09286</t>
  </si>
  <si>
    <t>2610A09293</t>
  </si>
  <si>
    <t>2610A09314</t>
  </si>
  <si>
    <t>2610A09316</t>
  </si>
  <si>
    <t>2610A09381</t>
  </si>
  <si>
    <t>2610A09402</t>
  </si>
  <si>
    <t>2610A09492</t>
  </si>
  <si>
    <t>2610A11682</t>
  </si>
  <si>
    <t>2610A11683</t>
  </si>
  <si>
    <t>2610A11684</t>
  </si>
  <si>
    <t>2610A11685</t>
  </si>
  <si>
    <t>2610A11687</t>
  </si>
  <si>
    <t>2610A11904</t>
  </si>
  <si>
    <t>2610A11966</t>
  </si>
  <si>
    <t>2610A12224</t>
  </si>
  <si>
    <t>2610A12237</t>
  </si>
  <si>
    <t>2610A12269</t>
  </si>
  <si>
    <t>2610A12272</t>
  </si>
  <si>
    <t>2610A12275</t>
  </si>
  <si>
    <t>2610A12283</t>
  </si>
  <si>
    <t>2610A12284</t>
  </si>
  <si>
    <t>2610A12298</t>
  </si>
  <si>
    <t>2610A12301</t>
  </si>
  <si>
    <t>2610A12309</t>
  </si>
  <si>
    <t>2610A12310</t>
  </si>
  <si>
    <t>2610A12311</t>
  </si>
  <si>
    <t>2610A12327</t>
  </si>
  <si>
    <t>2610A12340</t>
  </si>
  <si>
    <t>2610A12348</t>
  </si>
  <si>
    <t>2610A12359</t>
  </si>
  <si>
    <t>2610A12362</t>
  </si>
  <si>
    <t>2610A12459</t>
  </si>
  <si>
    <t>2610A12460</t>
  </si>
  <si>
    <t>2610A12461</t>
  </si>
  <si>
    <t>2610A12464</t>
  </si>
  <si>
    <t>2610A12957</t>
  </si>
  <si>
    <t>2610A12991</t>
  </si>
  <si>
    <t>2610A13065</t>
  </si>
  <si>
    <t>2610A13249</t>
  </si>
  <si>
    <t>2610A13397</t>
  </si>
  <si>
    <t>2610A13399</t>
  </si>
  <si>
    <t>2610A13403</t>
  </si>
  <si>
    <t>2610A13404</t>
  </si>
  <si>
    <t>2610A14394</t>
  </si>
  <si>
    <t>2610A14450</t>
  </si>
  <si>
    <t>2610A14492</t>
  </si>
  <si>
    <t>2610A14493</t>
  </si>
  <si>
    <t>2610A14606</t>
  </si>
  <si>
    <t>2610A14607</t>
  </si>
  <si>
    <t>2610A14608</t>
  </si>
  <si>
    <t>2610A14609</t>
  </si>
  <si>
    <t>2610A14624</t>
  </si>
  <si>
    <t>2610A15780</t>
  </si>
  <si>
    <t>2610A15789</t>
  </si>
  <si>
    <t>2610Z00172</t>
  </si>
  <si>
    <t>2610Z00173</t>
  </si>
  <si>
    <t>2610Z00174</t>
  </si>
  <si>
    <t>2610Z00175</t>
  </si>
  <si>
    <t>2610Z00176</t>
  </si>
  <si>
    <t>2610Z00177</t>
  </si>
  <si>
    <t>2610Z00178</t>
  </si>
  <si>
    <t>2610Z00179</t>
  </si>
  <si>
    <t>2610Z00181</t>
  </si>
  <si>
    <t>2610Z00184</t>
  </si>
  <si>
    <t>2610Z00185</t>
  </si>
  <si>
    <t>2610Z00188</t>
  </si>
  <si>
    <t>2610Z00626</t>
  </si>
  <si>
    <t>2610Z00627</t>
  </si>
  <si>
    <t>2610Z00628</t>
  </si>
  <si>
    <t>2610Z00630</t>
  </si>
  <si>
    <t>2610Z00634</t>
  </si>
  <si>
    <t>2610Z00639</t>
  </si>
  <si>
    <t>2610Z00640</t>
  </si>
  <si>
    <t>2610Z01066</t>
  </si>
  <si>
    <t>2610Z02475</t>
  </si>
  <si>
    <t>2610Z03711</t>
  </si>
  <si>
    <t>2610Z03713</t>
  </si>
  <si>
    <t>2610Z03714</t>
  </si>
  <si>
    <t>2610Z03715</t>
  </si>
  <si>
    <t>2610Z03716</t>
  </si>
  <si>
    <t>2610Z03717</t>
  </si>
  <si>
    <t>2610Z03718</t>
  </si>
  <si>
    <t>2610Z03719</t>
  </si>
  <si>
    <t>2610Z03720</t>
  </si>
  <si>
    <t>2610Z03721</t>
  </si>
  <si>
    <t>2610Z03722</t>
  </si>
  <si>
    <t>2610Z03723</t>
  </si>
  <si>
    <t>2610Z03724</t>
  </si>
  <si>
    <t>2610Z03725</t>
  </si>
  <si>
    <t>2610Z04038</t>
  </si>
  <si>
    <t>2610Z04595</t>
  </si>
  <si>
    <t>2610Z04596</t>
  </si>
  <si>
    <t>2610Z05061</t>
  </si>
  <si>
    <t>2610Z07220</t>
  </si>
  <si>
    <t>2610Z09804</t>
  </si>
  <si>
    <t>2610Z09805</t>
  </si>
  <si>
    <t>2610Z09806</t>
  </si>
  <si>
    <t>2610Z09807</t>
  </si>
  <si>
    <t>2610Z09808</t>
  </si>
  <si>
    <t>2610Z09809</t>
  </si>
  <si>
    <t>2610Z09810</t>
  </si>
  <si>
    <t>26150670AA</t>
  </si>
  <si>
    <t>3607031759 </t>
  </si>
  <si>
    <t>3609202A05</t>
  </si>
  <si>
    <t>3609202A08</t>
  </si>
  <si>
    <t>3609202A19</t>
  </si>
  <si>
    <t>3609202A29</t>
  </si>
  <si>
    <t>3609202A32</t>
  </si>
  <si>
    <t>3609202A33</t>
  </si>
  <si>
    <t>3609202A34</t>
  </si>
  <si>
    <t>3609202A36</t>
  </si>
  <si>
    <t>3609202A41</t>
  </si>
  <si>
    <t>3609202A42</t>
  </si>
  <si>
    <t>3609202A43</t>
  </si>
  <si>
    <t>3609202A44</t>
  </si>
  <si>
    <t>3609202A45</t>
  </si>
  <si>
    <t>3609202A51</t>
  </si>
  <si>
    <t>3609202A64</t>
  </si>
  <si>
    <t>3609202A66</t>
  </si>
  <si>
    <t>3609202A89</t>
  </si>
  <si>
    <t>3609202A90</t>
  </si>
  <si>
    <t>3609202A91</t>
  </si>
  <si>
    <t>3609202A92</t>
  </si>
  <si>
    <t>3609202A98</t>
  </si>
  <si>
    <t>3609202A99</t>
  </si>
  <si>
    <t>3609202B01</t>
  </si>
  <si>
    <t>3609202B02</t>
  </si>
  <si>
    <t>3609202B03</t>
  </si>
  <si>
    <t>3609202B07</t>
  </si>
  <si>
    <t>3609202B10</t>
  </si>
  <si>
    <t>60828506S7</t>
  </si>
  <si>
    <t>6082942MV5</t>
  </si>
  <si>
    <t>F000600041</t>
  </si>
  <si>
    <t>F000600044</t>
  </si>
  <si>
    <t>F000600060</t>
  </si>
  <si>
    <t>F000600061</t>
  </si>
  <si>
    <t>F000600076</t>
  </si>
  <si>
    <t>F000600079</t>
  </si>
  <si>
    <t>F000600080</t>
  </si>
  <si>
    <t>F000600101</t>
  </si>
  <si>
    <t>F000600102</t>
  </si>
  <si>
    <t>F000600112</t>
  </si>
  <si>
    <t>F000600113</t>
  </si>
  <si>
    <t>F000600121</t>
  </si>
  <si>
    <t>F000600133</t>
  </si>
  <si>
    <t>F000600146</t>
  </si>
  <si>
    <t>F000600150</t>
  </si>
  <si>
    <t>F000600209</t>
  </si>
  <si>
    <t>F000600215</t>
  </si>
  <si>
    <t>F000600216</t>
  </si>
  <si>
    <t>F000600217</t>
  </si>
  <si>
    <t>F000600218</t>
  </si>
  <si>
    <t>F000600221</t>
  </si>
  <si>
    <t>F000600222</t>
  </si>
  <si>
    <t>F000600223</t>
  </si>
  <si>
    <t>F000600238</t>
  </si>
  <si>
    <t>F000600239</t>
  </si>
  <si>
    <t>F000600241</t>
  </si>
  <si>
    <t>F000600242</t>
  </si>
  <si>
    <t>F000600243</t>
  </si>
  <si>
    <t>F000600251</t>
  </si>
  <si>
    <t>F000600259</t>
  </si>
  <si>
    <t>F000600260</t>
  </si>
  <si>
    <t>F000600262</t>
  </si>
  <si>
    <t>F000600268</t>
  </si>
  <si>
    <t>F000600270</t>
  </si>
  <si>
    <t>F000600273</t>
  </si>
  <si>
    <t>F000600274</t>
  </si>
  <si>
    <t>F000600280</t>
  </si>
  <si>
    <t>F000600290</t>
  </si>
  <si>
    <t>F000600297</t>
  </si>
  <si>
    <t>F000600298</t>
  </si>
  <si>
    <t>F000600302</t>
  </si>
  <si>
    <t>F000600308</t>
  </si>
  <si>
    <t>F000600314</t>
  </si>
  <si>
    <t>F000600315</t>
  </si>
  <si>
    <t>F000600320</t>
  </si>
  <si>
    <t>F000600323</t>
  </si>
  <si>
    <t>F000600326</t>
  </si>
  <si>
    <t>F000600329</t>
  </si>
  <si>
    <t>F000600340</t>
  </si>
  <si>
    <t>F000600343</t>
  </si>
  <si>
    <t>F000600348</t>
  </si>
  <si>
    <t>F000600352</t>
  </si>
  <si>
    <t>F000600353</t>
  </si>
  <si>
    <t>F000600354</t>
  </si>
  <si>
    <t>F000600355</t>
  </si>
  <si>
    <t>F000600369</t>
  </si>
  <si>
    <t>F000600379</t>
  </si>
  <si>
    <t>F000600497</t>
  </si>
  <si>
    <t>F000600528</t>
  </si>
  <si>
    <t>F000600544</t>
  </si>
  <si>
    <t>F000600545</t>
  </si>
  <si>
    <t>F000600546</t>
  </si>
  <si>
    <t>F000600547</t>
  </si>
  <si>
    <t>F000600566</t>
  </si>
  <si>
    <t>F000600568</t>
  </si>
  <si>
    <t>F000600570</t>
  </si>
  <si>
    <t>F000600576</t>
  </si>
  <si>
    <t>F000600579</t>
  </si>
  <si>
    <t>F000600580</t>
  </si>
  <si>
    <t>F000600581</t>
  </si>
  <si>
    <t>F000600585</t>
  </si>
  <si>
    <t>F000600586</t>
  </si>
  <si>
    <t>F000600588</t>
  </si>
  <si>
    <t>F000600591</t>
  </si>
  <si>
    <t>F000600904</t>
  </si>
  <si>
    <t>F000600989</t>
  </si>
  <si>
    <t>F000600995</t>
  </si>
  <si>
    <t>F000600996</t>
  </si>
  <si>
    <t>F000601002</t>
  </si>
  <si>
    <t>F000601005</t>
  </si>
  <si>
    <t>F000601061</t>
  </si>
  <si>
    <t>F000601065</t>
  </si>
  <si>
    <t>F000601067</t>
  </si>
  <si>
    <t>F000601070</t>
  </si>
  <si>
    <t>F000601076</t>
  </si>
  <si>
    <t>F000601084</t>
  </si>
  <si>
    <t>F000601090</t>
  </si>
  <si>
    <t>F000601091</t>
  </si>
  <si>
    <t>F000601094</t>
  </si>
  <si>
    <t>F000601098</t>
  </si>
  <si>
    <t>F000601103</t>
  </si>
  <si>
    <t>F000601107</t>
  </si>
  <si>
    <t>F000601108</t>
  </si>
  <si>
    <t>F000601109</t>
  </si>
  <si>
    <t>F000601111</t>
  </si>
  <si>
    <t>F000601112</t>
  </si>
  <si>
    <t>F000601120</t>
  </si>
  <si>
    <t>F000601122</t>
  </si>
  <si>
    <t>F000601123</t>
  </si>
  <si>
    <t>F000601124</t>
  </si>
  <si>
    <t>F000601129</t>
  </si>
  <si>
    <t>F000601130</t>
  </si>
  <si>
    <t>F000601131</t>
  </si>
  <si>
    <t>F000601136</t>
  </si>
  <si>
    <t>F000601140</t>
  </si>
  <si>
    <t>F000601143</t>
  </si>
  <si>
    <t>F000601144</t>
  </si>
  <si>
    <t>F000601145</t>
  </si>
  <si>
    <t>F000601148</t>
  </si>
  <si>
    <t>F000601149</t>
  </si>
  <si>
    <t>F000601160</t>
  </si>
  <si>
    <t>F000601242</t>
  </si>
  <si>
    <t>F000601243</t>
  </si>
  <si>
    <t>F000601244</t>
  </si>
  <si>
    <t>F000601248</t>
  </si>
  <si>
    <t>F000601249</t>
  </si>
  <si>
    <t>F000601250</t>
  </si>
  <si>
    <t>F000601251</t>
  </si>
  <si>
    <t>F000601263</t>
  </si>
  <si>
    <t>F000601264</t>
  </si>
  <si>
    <t>F000601265</t>
  </si>
  <si>
    <t>F000601269</t>
  </si>
  <si>
    <t>F000601272</t>
  </si>
  <si>
    <t>F000601274</t>
  </si>
  <si>
    <t>F000601276</t>
  </si>
  <si>
    <t>F000601280</t>
  </si>
  <si>
    <t>F000601282</t>
  </si>
  <si>
    <t>F000601283</t>
  </si>
  <si>
    <t>F000601284</t>
  </si>
  <si>
    <t>F000601285</t>
  </si>
  <si>
    <t>F000601286</t>
  </si>
  <si>
    <t>F000601288</t>
  </si>
  <si>
    <t>F000601290</t>
  </si>
  <si>
    <t>F000601293</t>
  </si>
  <si>
    <t>F000601296</t>
  </si>
  <si>
    <t>F000601301</t>
  </si>
  <si>
    <t>F000601302</t>
  </si>
  <si>
    <t>F000601303</t>
  </si>
  <si>
    <t>F000601304</t>
  </si>
  <si>
    <t>F000601306</t>
  </si>
  <si>
    <t>F000601309</t>
  </si>
  <si>
    <t>F000601311</t>
  </si>
  <si>
    <t>F000601312</t>
  </si>
  <si>
    <t>F000601314</t>
  </si>
  <si>
    <t>F000601316</t>
  </si>
  <si>
    <t>F000601319</t>
  </si>
  <si>
    <t>F000601320</t>
  </si>
  <si>
    <t>F000601322</t>
  </si>
  <si>
    <t>F000601324</t>
  </si>
  <si>
    <t>F000601438</t>
  </si>
  <si>
    <t>F000601599</t>
  </si>
  <si>
    <t>F000601600</t>
  </si>
  <si>
    <t>F000601604</t>
  </si>
  <si>
    <t>F000601607</t>
  </si>
  <si>
    <t>F000601610</t>
  </si>
  <si>
    <t>F000601611</t>
  </si>
  <si>
    <t>F000601612</t>
  </si>
  <si>
    <t>F000601615</t>
  </si>
  <si>
    <t>F000601616</t>
  </si>
  <si>
    <t>F000601619</t>
  </si>
  <si>
    <t>F000601624</t>
  </si>
  <si>
    <t>F000601750</t>
  </si>
  <si>
    <t>F000601754</t>
  </si>
  <si>
    <t>F000601755</t>
  </si>
  <si>
    <t>F000601759</t>
  </si>
  <si>
    <t>F000601765</t>
  </si>
  <si>
    <t>F000601773</t>
  </si>
  <si>
    <t>F000601775</t>
  </si>
  <si>
    <t>F000601777</t>
  </si>
  <si>
    <t>F000602001</t>
  </si>
  <si>
    <t>F000602007</t>
  </si>
  <si>
    <t>F000602008</t>
  </si>
  <si>
    <t>F000602009</t>
  </si>
  <si>
    <t>F000602010</t>
  </si>
  <si>
    <t>F000602011</t>
  </si>
  <si>
    <t>F000602012</t>
  </si>
  <si>
    <t>F000602013</t>
  </si>
  <si>
    <t>F000602014</t>
  </si>
  <si>
    <t>F000602016</t>
  </si>
  <si>
    <t>F000602166</t>
  </si>
  <si>
    <t>F000602170</t>
  </si>
  <si>
    <t>F000602173</t>
  </si>
  <si>
    <t>F000602175</t>
  </si>
  <si>
    <t>F000602179</t>
  </si>
  <si>
    <t>F000603002</t>
  </si>
  <si>
    <t>F000603009</t>
  </si>
  <si>
    <t>F000603010</t>
  </si>
  <si>
    <t>F000603018</t>
  </si>
  <si>
    <t>F000603020</t>
  </si>
  <si>
    <t>F000603021</t>
  </si>
  <si>
    <t>F000603024</t>
  </si>
  <si>
    <t>F000603025</t>
  </si>
  <si>
    <t>F000603027</t>
  </si>
  <si>
    <t>F000603029</t>
  </si>
  <si>
    <t>F000603033</t>
  </si>
  <si>
    <t>F000603034</t>
  </si>
  <si>
    <t>F000603035</t>
  </si>
  <si>
    <t>F000603038</t>
  </si>
  <si>
    <t>F000603043</t>
  </si>
  <si>
    <t>F000603044</t>
  </si>
  <si>
    <t>F000603050</t>
  </si>
  <si>
    <t>F000603051</t>
  </si>
  <si>
    <t>F000603054</t>
  </si>
  <si>
    <t>F000603055</t>
  </si>
  <si>
    <t>F000603056</t>
  </si>
  <si>
    <t>F000603057</t>
  </si>
  <si>
    <t>F000603058</t>
  </si>
  <si>
    <t>F000603059</t>
  </si>
  <si>
    <t>F000603060</t>
  </si>
  <si>
    <t>F000603061</t>
  </si>
  <si>
    <t>F000603064</t>
  </si>
  <si>
    <t>F000603065</t>
  </si>
  <si>
    <t>F000603068</t>
  </si>
  <si>
    <t>F000603069</t>
  </si>
  <si>
    <t>F000603070</t>
  </si>
  <si>
    <t>F000603071</t>
  </si>
  <si>
    <t>F000603072</t>
  </si>
  <si>
    <t>F000603073</t>
  </si>
  <si>
    <t>F000603075</t>
  </si>
  <si>
    <t>F000603076</t>
  </si>
  <si>
    <t>F000603077</t>
  </si>
  <si>
    <t>F000603078</t>
  </si>
  <si>
    <t>F000603079</t>
  </si>
  <si>
    <t>F000603080</t>
  </si>
  <si>
    <t>F000603081</t>
  </si>
  <si>
    <t>F000603082</t>
  </si>
  <si>
    <t>F000603083</t>
  </si>
  <si>
    <t>F000603085</t>
  </si>
  <si>
    <t>F000603086</t>
  </si>
  <si>
    <t>F000603087</t>
  </si>
  <si>
    <t>F000603088</t>
  </si>
  <si>
    <t>F000603090</t>
  </si>
  <si>
    <t>F000603092</t>
  </si>
  <si>
    <t>F000603094</t>
  </si>
  <si>
    <t>F000603097</t>
  </si>
  <si>
    <t>F000603098</t>
  </si>
  <si>
    <t>F000603099</t>
  </si>
  <si>
    <t>F000603100</t>
  </si>
  <si>
    <t>F000603101</t>
  </si>
  <si>
    <t>F000603102</t>
  </si>
  <si>
    <t>F000603103</t>
  </si>
  <si>
    <t>F000603105</t>
  </si>
  <si>
    <t>F000603106</t>
  </si>
  <si>
    <t>F000603107</t>
  </si>
  <si>
    <t>F000603108</t>
  </si>
  <si>
    <t>F000603109</t>
  </si>
  <si>
    <t>F000603110</t>
  </si>
  <si>
    <t>F000603111</t>
  </si>
  <si>
    <t>F000603112</t>
  </si>
  <si>
    <t>F000603113</t>
  </si>
  <si>
    <t>F000603114</t>
  </si>
  <si>
    <t>F000603115</t>
  </si>
  <si>
    <t>F000603116</t>
  </si>
  <si>
    <t>F000603117</t>
  </si>
  <si>
    <t>F000603118</t>
  </si>
  <si>
    <t>F000603120</t>
  </si>
  <si>
    <t>F000603121</t>
  </si>
  <si>
    <t>F000603122</t>
  </si>
  <si>
    <t>F000603125</t>
  </si>
  <si>
    <t>F000603126</t>
  </si>
  <si>
    <t>F000603127</t>
  </si>
  <si>
    <t>F000603128</t>
  </si>
  <si>
    <t>F000603129</t>
  </si>
  <si>
    <t>F000603131</t>
  </si>
  <si>
    <t>F000603132</t>
  </si>
  <si>
    <t>F000603135</t>
  </si>
  <si>
    <t>F000603136</t>
  </si>
  <si>
    <t>F000603149</t>
  </si>
  <si>
    <t>F000603150</t>
  </si>
  <si>
    <t>F000603151</t>
  </si>
  <si>
    <t>F000603152</t>
  </si>
  <si>
    <t>F000603161</t>
  </si>
  <si>
    <t>F000603166</t>
  </si>
  <si>
    <t>F000603169</t>
  </si>
  <si>
    <t>F000603171</t>
  </si>
  <si>
    <t>F000604000</t>
  </si>
  <si>
    <t>F000604001</t>
  </si>
  <si>
    <t>F000604003</t>
  </si>
  <si>
    <t>F000604004</t>
  </si>
  <si>
    <t>F000604005</t>
  </si>
  <si>
    <t>F000604006</t>
  </si>
  <si>
    <t>F000604010</t>
  </si>
  <si>
    <t>F000604011</t>
  </si>
  <si>
    <t>F000604012</t>
  </si>
  <si>
    <t>F000604013</t>
  </si>
  <si>
    <t>F000604014</t>
  </si>
  <si>
    <t>F000604016</t>
  </si>
  <si>
    <t>F000604018</t>
  </si>
  <si>
    <t>F000605007</t>
  </si>
  <si>
    <t>F000605016</t>
  </si>
  <si>
    <t>F000605020</t>
  </si>
  <si>
    <t>F000605024</t>
  </si>
  <si>
    <t>F000605035</t>
  </si>
  <si>
    <t>F000605041</t>
  </si>
  <si>
    <t>F000605043</t>
  </si>
  <si>
    <t>F000605048</t>
  </si>
  <si>
    <t>F000605051</t>
  </si>
  <si>
    <t>F000605059</t>
  </si>
  <si>
    <t>F000605060</t>
  </si>
  <si>
    <t>F000605062</t>
  </si>
  <si>
    <t>F000605064</t>
  </si>
  <si>
    <t>F000605067</t>
  </si>
  <si>
    <t>F000605077</t>
  </si>
  <si>
    <t>F000605079</t>
  </si>
  <si>
    <t>F000605082</t>
  </si>
  <si>
    <t>F000605085</t>
  </si>
  <si>
    <t>F000605086</t>
  </si>
  <si>
    <t>F000605089</t>
  </si>
  <si>
    <t>F000605092</t>
  </si>
  <si>
    <t>F000605094</t>
  </si>
  <si>
    <t>F000605098</t>
  </si>
  <si>
    <t>F000605101</t>
  </si>
  <si>
    <t>F000605108</t>
  </si>
  <si>
    <t>F000605110</t>
  </si>
  <si>
    <t>F000605116</t>
  </si>
  <si>
    <t>F000605118</t>
  </si>
  <si>
    <t>F000605122</t>
  </si>
  <si>
    <t>F000605123</t>
  </si>
  <si>
    <t>F000605126</t>
  </si>
  <si>
    <t>F000605128</t>
  </si>
  <si>
    <t>F000605133</t>
  </si>
  <si>
    <t>F000605135</t>
  </si>
  <si>
    <t>F000605136</t>
  </si>
  <si>
    <t>F000605138</t>
  </si>
  <si>
    <t>F000605140</t>
  </si>
  <si>
    <t>F000605143</t>
  </si>
  <si>
    <t>F000605146</t>
  </si>
  <si>
    <t>F000605150</t>
  </si>
  <si>
    <t>F000605152</t>
  </si>
  <si>
    <t>F000605156</t>
  </si>
  <si>
    <t>F000605160</t>
  </si>
  <si>
    <t>F000605162</t>
  </si>
  <si>
    <t>F000605164</t>
  </si>
  <si>
    <t>F000605165</t>
  </si>
  <si>
    <t>F000605166</t>
  </si>
  <si>
    <t>F000605169</t>
  </si>
  <si>
    <t>F000605172</t>
  </si>
  <si>
    <t>F000605177</t>
  </si>
  <si>
    <t>F000605179</t>
  </si>
  <si>
    <t>F000605184</t>
  </si>
  <si>
    <t>F000605186</t>
  </si>
  <si>
    <t>F000605188</t>
  </si>
  <si>
    <t>F000605192</t>
  </si>
  <si>
    <t>F000605193</t>
  </si>
  <si>
    <t>F000605200</t>
  </si>
  <si>
    <t>F000605206</t>
  </si>
  <si>
    <t>F000605211</t>
  </si>
  <si>
    <t>F000605217</t>
  </si>
  <si>
    <t>F000605222</t>
  </si>
  <si>
    <t>F000605232</t>
  </si>
  <si>
    <t>F000605235</t>
  </si>
  <si>
    <t>F000605236</t>
  </si>
  <si>
    <t>F000605245</t>
  </si>
  <si>
    <t>F000605247</t>
  </si>
  <si>
    <t>F000605255</t>
  </si>
  <si>
    <t>F000607006</t>
  </si>
  <si>
    <t>F000607013</t>
  </si>
  <si>
    <t>F000607018</t>
  </si>
  <si>
    <t>F000607022</t>
  </si>
  <si>
    <t>F000607024</t>
  </si>
  <si>
    <t>F000607026</t>
  </si>
  <si>
    <t>F000607028</t>
  </si>
  <si>
    <t>F000607032</t>
  </si>
  <si>
    <t>F000607037</t>
  </si>
  <si>
    <t>F000607040</t>
  </si>
  <si>
    <t>F000607042</t>
  </si>
  <si>
    <t>F000607047</t>
  </si>
  <si>
    <t>F000607049</t>
  </si>
  <si>
    <t>F000607050</t>
  </si>
  <si>
    <t>F000607053</t>
  </si>
  <si>
    <t>F000607055</t>
  </si>
  <si>
    <t>F000607057</t>
  </si>
  <si>
    <t>F000607060</t>
  </si>
  <si>
    <t>F000607063</t>
  </si>
  <si>
    <t>F000607064</t>
  </si>
  <si>
    <t>F000607065</t>
  </si>
  <si>
    <t>F000607070</t>
  </si>
  <si>
    <t>F000607072</t>
  </si>
  <si>
    <t>F000607075</t>
  </si>
  <si>
    <t>F000607078</t>
  </si>
  <si>
    <t>F000607082</t>
  </si>
  <si>
    <t>F000607085</t>
  </si>
  <si>
    <t>F000607088</t>
  </si>
  <si>
    <t>F000607090</t>
  </si>
  <si>
    <t>F000607092</t>
  </si>
  <si>
    <t>F000607097</t>
  </si>
  <si>
    <t>F000607102</t>
  </si>
  <si>
    <t>F000607103</t>
  </si>
  <si>
    <t>F000607106</t>
  </si>
  <si>
    <t>F000607110</t>
  </si>
  <si>
    <t>F000607112</t>
  </si>
  <si>
    <t>F000607113</t>
  </si>
  <si>
    <t>F000607114</t>
  </si>
  <si>
    <t>F000607117</t>
  </si>
  <si>
    <t>F000607118</t>
  </si>
  <si>
    <t>F000607124</t>
  </si>
  <si>
    <t>F000607126</t>
  </si>
  <si>
    <t>F000607130</t>
  </si>
  <si>
    <t>F000607139</t>
  </si>
  <si>
    <t>F000607140</t>
  </si>
  <si>
    <t>F000607148</t>
  </si>
  <si>
    <t>F000607151</t>
  </si>
  <si>
    <t>F000607155</t>
  </si>
  <si>
    <t>F000607163</t>
  </si>
  <si>
    <t>F000607166</t>
  </si>
  <si>
    <t>F000607174</t>
  </si>
  <si>
    <t>F000607178</t>
  </si>
  <si>
    <t>F000607184</t>
  </si>
  <si>
    <t>F000608006</t>
  </si>
  <si>
    <t>F000608014</t>
  </si>
  <si>
    <t>F000608015</t>
  </si>
  <si>
    <t>F000608016</t>
  </si>
  <si>
    <t>F000608019</t>
  </si>
  <si>
    <t>F000608023</t>
  </si>
  <si>
    <t>F000608027</t>
  </si>
  <si>
    <t>F000608029</t>
  </si>
  <si>
    <t>F000608036</t>
  </si>
  <si>
    <t>F000608037</t>
  </si>
  <si>
    <t>F000608051</t>
  </si>
  <si>
    <t>F000608052</t>
  </si>
  <si>
    <t>F000608057</t>
  </si>
  <si>
    <t>F000608058</t>
  </si>
  <si>
    <t>F000608059</t>
  </si>
  <si>
    <t>F000608060</t>
  </si>
  <si>
    <t>F000608061</t>
  </si>
  <si>
    <t>F000608062</t>
  </si>
  <si>
    <t>F000608067</t>
  </si>
  <si>
    <t>F000608071</t>
  </si>
  <si>
    <t>F000608075</t>
  </si>
  <si>
    <t>F000608086</t>
  </si>
  <si>
    <t>F000608088</t>
  </si>
  <si>
    <t>F000608090</t>
  </si>
  <si>
    <t>F000608092</t>
  </si>
  <si>
    <t>F000608094</t>
  </si>
  <si>
    <t>F000608095</t>
  </si>
  <si>
    <t>F000608097</t>
  </si>
  <si>
    <t>F000608099</t>
  </si>
  <si>
    <t>F000608100</t>
  </si>
  <si>
    <t>F000608102</t>
  </si>
  <si>
    <t>F000608103</t>
  </si>
  <si>
    <t>F000608105</t>
  </si>
  <si>
    <t>F000608106</t>
  </si>
  <si>
    <t>F000608109</t>
  </si>
  <si>
    <t>F000608111</t>
  </si>
  <si>
    <t>F000608112</t>
  </si>
  <si>
    <t>F000608117</t>
  </si>
  <si>
    <t>F000608331</t>
  </si>
  <si>
    <t>F000608332</t>
  </si>
  <si>
    <t>F000608333</t>
  </si>
  <si>
    <t>F000608334</t>
  </si>
  <si>
    <t>F000608335</t>
  </si>
  <si>
    <t>F000608336</t>
  </si>
  <si>
    <t>F000608338</t>
  </si>
  <si>
    <t>F000608339</t>
  </si>
  <si>
    <t>F000608341</t>
  </si>
  <si>
    <t>F000608344</t>
  </si>
  <si>
    <t>F000608347</t>
  </si>
  <si>
    <t>F000608353</t>
  </si>
  <si>
    <t>F000608354</t>
  </si>
  <si>
    <t>F000608358</t>
  </si>
  <si>
    <t>F000608361</t>
  </si>
  <si>
    <t>F000608378</t>
  </si>
  <si>
    <t>F000608381</t>
  </si>
  <si>
    <t>F000608386</t>
  </si>
  <si>
    <t>F000608389</t>
  </si>
  <si>
    <t>F000608401</t>
  </si>
  <si>
    <t>F000608402</t>
  </si>
  <si>
    <t>F000608405</t>
  </si>
  <si>
    <t>F000608407</t>
  </si>
  <si>
    <t>F000608413</t>
  </si>
  <si>
    <t>F000608418</t>
  </si>
  <si>
    <t>F000608420</t>
  </si>
  <si>
    <t>F000608422</t>
  </si>
  <si>
    <t>F000608424</t>
  </si>
  <si>
    <t>F000608426</t>
  </si>
  <si>
    <t>F000608428</t>
  </si>
  <si>
    <t>F000609011</t>
  </si>
  <si>
    <t>F000609017</t>
  </si>
  <si>
    <t>F000609023</t>
  </si>
  <si>
    <t>F000609166</t>
  </si>
  <si>
    <t>F000609189</t>
  </si>
  <si>
    <t>F000609239</t>
  </si>
  <si>
    <t>F000609270</t>
  </si>
  <si>
    <t>F000609282</t>
  </si>
  <si>
    <t>F000609285</t>
  </si>
  <si>
    <t>F000609286</t>
  </si>
  <si>
    <t>F000609287</t>
  </si>
  <si>
    <t>F000609334</t>
  </si>
  <si>
    <t>F000609381</t>
  </si>
  <si>
    <t>F000609415</t>
  </si>
  <si>
    <t>F000609426</t>
  </si>
  <si>
    <t>F000609429</t>
  </si>
  <si>
    <t>F000609435</t>
  </si>
  <si>
    <t>F000609443</t>
  </si>
  <si>
    <t>F000609456</t>
  </si>
  <si>
    <t>F000609466</t>
  </si>
  <si>
    <t>F000609476</t>
  </si>
  <si>
    <t>F000610015</t>
  </si>
  <si>
    <t>F000610025</t>
  </si>
  <si>
    <t>F000610026</t>
  </si>
  <si>
    <t>F000610027</t>
  </si>
  <si>
    <t>F000610028</t>
  </si>
  <si>
    <t>F000610031</t>
  </si>
  <si>
    <t>F000610037</t>
  </si>
  <si>
    <t>F000610038</t>
  </si>
  <si>
    <t>F000610041</t>
  </si>
  <si>
    <t>F000610043</t>
  </si>
  <si>
    <t>F000610047</t>
  </si>
  <si>
    <t>F000610048</t>
  </si>
  <si>
    <t>F000610056</t>
  </si>
  <si>
    <t>F000611018</t>
  </si>
  <si>
    <t>F000611030</t>
  </si>
  <si>
    <t>F000611036</t>
  </si>
  <si>
    <t>F000611056</t>
  </si>
  <si>
    <t>F000611057</t>
  </si>
  <si>
    <t>F000611059</t>
  </si>
  <si>
    <t>F000611061</t>
  </si>
  <si>
    <t>F000611064</t>
  </si>
  <si>
    <t>F000611068</t>
  </si>
  <si>
    <t>F000611069</t>
  </si>
  <si>
    <t>F000611073</t>
  </si>
  <si>
    <t>F000611083</t>
  </si>
  <si>
    <t>F000611087</t>
  </si>
  <si>
    <t>F000611091</t>
  </si>
  <si>
    <t>F000611095</t>
  </si>
  <si>
    <t>F000611100</t>
  </si>
  <si>
    <t>F000611101</t>
  </si>
  <si>
    <t>F000612014</t>
  </si>
  <si>
    <t>F000612019</t>
  </si>
  <si>
    <t>F000612020</t>
  </si>
  <si>
    <t>F000612021</t>
  </si>
  <si>
    <t>F000612022</t>
  </si>
  <si>
    <t>F000612037</t>
  </si>
  <si>
    <t>F000612038</t>
  </si>
  <si>
    <t>F000612041</t>
  </si>
  <si>
    <t>F000612043</t>
  </si>
  <si>
    <t>F000612051</t>
  </si>
  <si>
    <t>F000612053</t>
  </si>
  <si>
    <t>F000612054</t>
  </si>
  <si>
    <t>F000612056</t>
  </si>
  <si>
    <t>F000612057</t>
  </si>
  <si>
    <t>F000612059</t>
  </si>
  <si>
    <t>F000612060</t>
  </si>
  <si>
    <t>F000612061</t>
  </si>
  <si>
    <t>F000612062</t>
  </si>
  <si>
    <t>F000612063</t>
  </si>
  <si>
    <t>F000612069</t>
  </si>
  <si>
    <t>F000612072</t>
  </si>
  <si>
    <t>F000612074</t>
  </si>
  <si>
    <t>F000612076</t>
  </si>
  <si>
    <t>F000612080</t>
  </si>
  <si>
    <t>F000612082</t>
  </si>
  <si>
    <t>F000612090</t>
  </si>
  <si>
    <t>F000612092</t>
  </si>
  <si>
    <t>F000612094</t>
  </si>
  <si>
    <t>F000612100</t>
  </si>
  <si>
    <t>F000612102</t>
  </si>
  <si>
    <t>F000613000</t>
  </si>
  <si>
    <t>F000613006</t>
  </si>
  <si>
    <t>F000613010</t>
  </si>
  <si>
    <t>F000613018</t>
  </si>
  <si>
    <t>F000613022</t>
  </si>
  <si>
    <t>F000613023</t>
  </si>
  <si>
    <t>F000613024</t>
  </si>
  <si>
    <t>F000613027</t>
  </si>
  <si>
    <t>F000613029</t>
  </si>
  <si>
    <t>F000613034</t>
  </si>
  <si>
    <t>F000613035</t>
  </si>
  <si>
    <t>F000613036</t>
  </si>
  <si>
    <t>F000613037</t>
  </si>
  <si>
    <t>F000613041</t>
  </si>
  <si>
    <t>F000613042</t>
  </si>
  <si>
    <t>F000613043</t>
  </si>
  <si>
    <t>F000613048</t>
  </si>
  <si>
    <t>F000613050</t>
  </si>
  <si>
    <t>F000613051</t>
  </si>
  <si>
    <t>F000613053</t>
  </si>
  <si>
    <t>F000613055</t>
  </si>
  <si>
    <t>F000613056</t>
  </si>
  <si>
    <t>F000613058</t>
  </si>
  <si>
    <t>F000613059</t>
  </si>
  <si>
    <t>F000613062</t>
  </si>
  <si>
    <t>F000613063</t>
  </si>
  <si>
    <t>F000613064</t>
  </si>
  <si>
    <t>F000613069</t>
  </si>
  <si>
    <t>F000613070</t>
  </si>
  <si>
    <t>F000613071</t>
  </si>
  <si>
    <t>F000613072</t>
  </si>
  <si>
    <t>F000613073</t>
  </si>
  <si>
    <t>F000613074</t>
  </si>
  <si>
    <t>F000613075</t>
  </si>
  <si>
    <t>F000613076</t>
  </si>
  <si>
    <t>F000613077</t>
  </si>
  <si>
    <t>F000613078</t>
  </si>
  <si>
    <t>F000613079</t>
  </si>
  <si>
    <t>F000613080</t>
  </si>
  <si>
    <t>F000613090</t>
  </si>
  <si>
    <t>F000613092</t>
  </si>
  <si>
    <t>F000613097</t>
  </si>
  <si>
    <t>F000613099</t>
  </si>
  <si>
    <t>F000613100</t>
  </si>
  <si>
    <t>F000614002</t>
  </si>
  <si>
    <t>F000614005</t>
  </si>
  <si>
    <t>F000614006</t>
  </si>
  <si>
    <t>F000614007</t>
  </si>
  <si>
    <t>F000614014</t>
  </si>
  <si>
    <t>F000615000</t>
  </si>
  <si>
    <t>F000615003</t>
  </si>
  <si>
    <t>F000615004</t>
  </si>
  <si>
    <t>F000615005</t>
  </si>
  <si>
    <t>F000615006</t>
  </si>
  <si>
    <t>F000615008</t>
  </si>
  <si>
    <t>F000615010</t>
  </si>
  <si>
    <t>F000615011</t>
  </si>
  <si>
    <t>F000615026</t>
  </si>
  <si>
    <t>F000615027</t>
  </si>
  <si>
    <t>F000615028</t>
  </si>
  <si>
    <t>F000615029</t>
  </si>
  <si>
    <t>F000615030</t>
  </si>
  <si>
    <t>F000615032</t>
  </si>
  <si>
    <t>F000615033</t>
  </si>
  <si>
    <t>F000615034</t>
  </si>
  <si>
    <t>F000615036</t>
  </si>
  <si>
    <t>F000615037</t>
  </si>
  <si>
    <t>F000615039</t>
  </si>
  <si>
    <t>F000615040</t>
  </si>
  <si>
    <t>F000615041</t>
  </si>
  <si>
    <t>F000615042</t>
  </si>
  <si>
    <t>F000615043</t>
  </si>
  <si>
    <t>F000615044</t>
  </si>
  <si>
    <t>F000615045</t>
  </si>
  <si>
    <t>F000615046</t>
  </si>
  <si>
    <t>F000615047</t>
  </si>
  <si>
    <t>F000615048</t>
  </si>
  <si>
    <t>F000615050</t>
  </si>
  <si>
    <t>F000615051</t>
  </si>
  <si>
    <t>F000615052</t>
  </si>
  <si>
    <t>F000615053</t>
  </si>
  <si>
    <t>F000615056</t>
  </si>
  <si>
    <t>F000615057</t>
  </si>
  <si>
    <t>F000615058</t>
  </si>
  <si>
    <t>F000615059</t>
  </si>
  <si>
    <t>F000615061</t>
  </si>
  <si>
    <t>F000615062</t>
  </si>
  <si>
    <t>F000615063</t>
  </si>
  <si>
    <t>F000615064</t>
  </si>
  <si>
    <t>F000615065</t>
  </si>
  <si>
    <t>F000615066</t>
  </si>
  <si>
    <t>F000615067</t>
  </si>
  <si>
    <t>F000615068</t>
  </si>
  <si>
    <t>F000615069</t>
  </si>
  <si>
    <t>F000615070</t>
  </si>
  <si>
    <t>F000615071</t>
  </si>
  <si>
    <t>F000615074</t>
  </si>
  <si>
    <t>F000615075</t>
  </si>
  <si>
    <t>F000615076</t>
  </si>
  <si>
    <t>F000615077</t>
  </si>
  <si>
    <t>F000615078</t>
  </si>
  <si>
    <t>F000615079</t>
  </si>
  <si>
    <t>F000615080</t>
  </si>
  <si>
    <t>F000615081</t>
  </si>
  <si>
    <t>F000615082</t>
  </si>
  <si>
    <t>F000615083</t>
  </si>
  <si>
    <t>F000615084</t>
  </si>
  <si>
    <t>F000615085</t>
  </si>
  <si>
    <t>F000615086</t>
  </si>
  <si>
    <t>F000615087</t>
  </si>
  <si>
    <t>F000615088</t>
  </si>
  <si>
    <t>F000615089</t>
  </si>
  <si>
    <t>F000615090</t>
  </si>
  <si>
    <t>F000615091</t>
  </si>
  <si>
    <t>F000615092</t>
  </si>
  <si>
    <t>F000615095</t>
  </si>
  <si>
    <t>F000615096</t>
  </si>
  <si>
    <t>F000615102</t>
  </si>
  <si>
    <t>F000615103</t>
  </si>
  <si>
    <t>F000615110</t>
  </si>
  <si>
    <t>F000615128</t>
  </si>
  <si>
    <t>F000615129</t>
  </si>
  <si>
    <t>F000615172</t>
  </si>
  <si>
    <t>F000615173</t>
  </si>
  <si>
    <t>F000615175</t>
  </si>
  <si>
    <t>F000616006</t>
  </si>
  <si>
    <t>F000616012</t>
  </si>
  <si>
    <t>F000616022</t>
  </si>
  <si>
    <t>F000616024</t>
  </si>
  <si>
    <t>F000616025</t>
  </si>
  <si>
    <t>F000616026</t>
  </si>
  <si>
    <t>F000616027</t>
  </si>
  <si>
    <t>F000616029</t>
  </si>
  <si>
    <t>F000616030</t>
  </si>
  <si>
    <t>F000616031</t>
  </si>
  <si>
    <t>F000616032</t>
  </si>
  <si>
    <t>F000616033</t>
  </si>
  <si>
    <t>F000616035</t>
  </si>
  <si>
    <t>F000616036</t>
  </si>
  <si>
    <t>F000616038</t>
  </si>
  <si>
    <t>F000616039</t>
  </si>
  <si>
    <t>F000616040</t>
  </si>
  <si>
    <t>F000616041</t>
  </si>
  <si>
    <t>F000616042</t>
  </si>
  <si>
    <t>F000616043</t>
  </si>
  <si>
    <t>F000616044</t>
  </si>
  <si>
    <t>F000616045</t>
  </si>
  <si>
    <t>F000616049</t>
  </si>
  <si>
    <t>F000616052</t>
  </si>
  <si>
    <t>F000616054</t>
  </si>
  <si>
    <t>F000616055</t>
  </si>
  <si>
    <t>F000616057</t>
  </si>
  <si>
    <t>F000616062</t>
  </si>
  <si>
    <t>F000616063</t>
  </si>
  <si>
    <t>F000616065</t>
  </si>
  <si>
    <t>F000616066</t>
  </si>
  <si>
    <t>F000616067</t>
  </si>
  <si>
    <t>F000616068</t>
  </si>
  <si>
    <t>F000616076</t>
  </si>
  <si>
    <t>F000616080</t>
  </si>
  <si>
    <t>F000616081</t>
  </si>
  <si>
    <t>F000616082</t>
  </si>
  <si>
    <t>F000616083</t>
  </si>
  <si>
    <t>F000616084</t>
  </si>
  <si>
    <t>F000616086</t>
  </si>
  <si>
    <t>F000616087</t>
  </si>
  <si>
    <t>F000616092</t>
  </si>
  <si>
    <t>F000616096</t>
  </si>
  <si>
    <t>F000616101</t>
  </si>
  <si>
    <t>F000616103</t>
  </si>
  <si>
    <t>F000616104</t>
  </si>
  <si>
    <t>F000616105</t>
  </si>
  <si>
    <t>F000616106</t>
  </si>
  <si>
    <t>F000616107</t>
  </si>
  <si>
    <t>F000616108</t>
  </si>
  <si>
    <t>F000616109</t>
  </si>
  <si>
    <t>F000616110</t>
  </si>
  <si>
    <t>F000616111</t>
  </si>
  <si>
    <t>F000616113</t>
  </si>
  <si>
    <t>F000616114</t>
  </si>
  <si>
    <t>F000616115</t>
  </si>
  <si>
    <t>F000616116</t>
  </si>
  <si>
    <t>F000616117</t>
  </si>
  <si>
    <t>F000616120</t>
  </si>
  <si>
    <t>F000616122</t>
  </si>
  <si>
    <t>F000616130</t>
  </si>
  <si>
    <t>F000616131</t>
  </si>
  <si>
    <t>F000616136</t>
  </si>
  <si>
    <t>F000616137</t>
  </si>
  <si>
    <t>F000616138</t>
  </si>
  <si>
    <t>F000616139</t>
  </si>
  <si>
    <t>F000616142</t>
  </si>
  <si>
    <t>F000616144</t>
  </si>
  <si>
    <t>F000616145</t>
  </si>
  <si>
    <t>F000616149</t>
  </si>
  <si>
    <t>F000616150</t>
  </si>
  <si>
    <t>F000616151</t>
  </si>
  <si>
    <t>F000616152</t>
  </si>
  <si>
    <t>F000616153</t>
  </si>
  <si>
    <t>F000616154</t>
  </si>
  <si>
    <t>F000616162</t>
  </si>
  <si>
    <t>F000616164</t>
  </si>
  <si>
    <t>F000616165</t>
  </si>
  <si>
    <t>F000616166</t>
  </si>
  <si>
    <t>F000616169</t>
  </si>
  <si>
    <t>F000616170</t>
  </si>
  <si>
    <t>F000616172</t>
  </si>
  <si>
    <t>F000616173</t>
  </si>
  <si>
    <t>F000616174</t>
  </si>
  <si>
    <t>F000616175</t>
  </si>
  <si>
    <t>F000616176</t>
  </si>
  <si>
    <t>F000616177</t>
  </si>
  <si>
    <t>F000616178</t>
  </si>
  <si>
    <t>F000616179</t>
  </si>
  <si>
    <t>F000616181</t>
  </si>
  <si>
    <t>F000616182</t>
  </si>
  <si>
    <t>F000616183</t>
  </si>
  <si>
    <t>F000616186</t>
  </si>
  <si>
    <t>F000616210</t>
  </si>
  <si>
    <t>F000616211</t>
  </si>
  <si>
    <t>F000616212</t>
  </si>
  <si>
    <t>F000616213</t>
  </si>
  <si>
    <t>F000616214</t>
  </si>
  <si>
    <t>F000616215</t>
  </si>
  <si>
    <t>F000616217</t>
  </si>
  <si>
    <t>F000616218</t>
  </si>
  <si>
    <t>F000616219</t>
  </si>
  <si>
    <t>F000616221</t>
  </si>
  <si>
    <t>F000616222</t>
  </si>
  <si>
    <t>F000616223</t>
  </si>
  <si>
    <t>F000616229</t>
  </si>
  <si>
    <t>F000616233</t>
  </si>
  <si>
    <t>F000616235</t>
  </si>
  <si>
    <t>F000616236</t>
  </si>
  <si>
    <t>F000616237</t>
  </si>
  <si>
    <t>F000616275</t>
  </si>
  <si>
    <t>F000616276</t>
  </si>
  <si>
    <t>F000616278</t>
  </si>
  <si>
    <t>F000616279</t>
  </si>
  <si>
    <t>F000616287</t>
  </si>
  <si>
    <t>F000616293</t>
  </si>
  <si>
    <t>F000616310</t>
  </si>
  <si>
    <t>F000616311</t>
  </si>
  <si>
    <t>F000616312</t>
  </si>
  <si>
    <t>F000616313</t>
  </si>
  <si>
    <t>F000616314</t>
  </si>
  <si>
    <t>F000616316</t>
  </si>
  <si>
    <t>F000616318</t>
  </si>
  <si>
    <t>F000616319</t>
  </si>
  <si>
    <t>F000616324</t>
  </si>
  <si>
    <t>F000616328</t>
  </si>
  <si>
    <t>F000616330</t>
  </si>
  <si>
    <t>F000616331</t>
  </si>
  <si>
    <t>F000616332</t>
  </si>
  <si>
    <t>F000616333</t>
  </si>
  <si>
    <t>F000616334</t>
  </si>
  <si>
    <t>F000616335</t>
  </si>
  <si>
    <t>F000616336</t>
  </si>
  <si>
    <t>F000616337</t>
  </si>
  <si>
    <t>F000616338</t>
  </si>
  <si>
    <t>F000616339</t>
  </si>
  <si>
    <t>F000616340</t>
  </si>
  <si>
    <t>F000616341</t>
  </si>
  <si>
    <t>F000616343</t>
  </si>
  <si>
    <t>F000616344</t>
  </si>
  <si>
    <t>F000616345</t>
  </si>
  <si>
    <t>F000616346</t>
  </si>
  <si>
    <t>F000616347</t>
  </si>
  <si>
    <t>F000616348</t>
  </si>
  <si>
    <t>F000616349</t>
  </si>
  <si>
    <t>F000616350</t>
  </si>
  <si>
    <t>F000616351</t>
  </si>
  <si>
    <t>F000616352</t>
  </si>
  <si>
    <t>F000616353</t>
  </si>
  <si>
    <t>F000616356</t>
  </si>
  <si>
    <t>F000616358</t>
  </si>
  <si>
    <t>F000616359</t>
  </si>
  <si>
    <t>F000616366</t>
  </si>
  <si>
    <t>F000616371</t>
  </si>
  <si>
    <t>F000616374</t>
  </si>
  <si>
    <t>F000616381</t>
  </si>
  <si>
    <t>F000616412</t>
  </si>
  <si>
    <t>F000616416</t>
  </si>
  <si>
    <t>F000616417</t>
  </si>
  <si>
    <t>F000616418</t>
  </si>
  <si>
    <t>F000616419</t>
  </si>
  <si>
    <t>F000616433</t>
  </si>
  <si>
    <t>F000616434</t>
  </si>
  <si>
    <t>F000616486</t>
  </si>
  <si>
    <t>F000616487</t>
  </si>
  <si>
    <t>F000617011</t>
  </si>
  <si>
    <t>F000617014</t>
  </si>
  <si>
    <t>F000617017</t>
  </si>
  <si>
    <t>F000617019</t>
  </si>
  <si>
    <t>F000617020</t>
  </si>
  <si>
    <t>F000617029</t>
  </si>
  <si>
    <t>F000617032</t>
  </si>
  <si>
    <t>F000617033</t>
  </si>
  <si>
    <t>F000617035</t>
  </si>
  <si>
    <t>F000617036</t>
  </si>
  <si>
    <t>F000617037</t>
  </si>
  <si>
    <t>F000617038</t>
  </si>
  <si>
    <t>F000617039</t>
  </si>
  <si>
    <t>F000617040</t>
  </si>
  <si>
    <t>F000617041</t>
  </si>
  <si>
    <t>F000617044</t>
  </si>
  <si>
    <t>F000617045</t>
  </si>
  <si>
    <t>F000617046</t>
  </si>
  <si>
    <t>F000617048</t>
  </si>
  <si>
    <t>F000617049</t>
  </si>
  <si>
    <t>F000617050</t>
  </si>
  <si>
    <t>F000617053</t>
  </si>
  <si>
    <t>F000617056</t>
  </si>
  <si>
    <t>F000617060</t>
  </si>
  <si>
    <t>F000617061</t>
  </si>
  <si>
    <t>F000617064</t>
  </si>
  <si>
    <t>F000617066</t>
  </si>
  <si>
    <t>F000617067</t>
  </si>
  <si>
    <t>F000617068</t>
  </si>
  <si>
    <t>F000617074</t>
  </si>
  <si>
    <t>F000617075</t>
  </si>
  <si>
    <t>F000617076</t>
  </si>
  <si>
    <t>F000618002</t>
  </si>
  <si>
    <t>F000618003</t>
  </si>
  <si>
    <t>F000619002</t>
  </si>
  <si>
    <t>F000619013</t>
  </si>
  <si>
    <t>F000619014</t>
  </si>
  <si>
    <t>F000619018</t>
  </si>
  <si>
    <t>F000619022</t>
  </si>
  <si>
    <t>F000619026</t>
  </si>
  <si>
    <t>F000619030</t>
  </si>
  <si>
    <t>F000619032</t>
  </si>
  <si>
    <t>F000619034</t>
  </si>
  <si>
    <t>F000619048</t>
  </si>
  <si>
    <t>F000619050</t>
  </si>
  <si>
    <t>F000619052</t>
  </si>
  <si>
    <t>F000619061</t>
  </si>
  <si>
    <t>F000619064</t>
  </si>
  <si>
    <t>F000619065</t>
  </si>
  <si>
    <t>F000619066</t>
  </si>
  <si>
    <t>F000619067</t>
  </si>
  <si>
    <t>F000619068</t>
  </si>
  <si>
    <t>F000619069</t>
  </si>
  <si>
    <t>F000619076</t>
  </si>
  <si>
    <t>F000619083</t>
  </si>
  <si>
    <t>F000619093</t>
  </si>
  <si>
    <t>F000619094</t>
  </si>
  <si>
    <t>F000619096</t>
  </si>
  <si>
    <t>F000620001</t>
  </si>
  <si>
    <t>F000620002</t>
  </si>
  <si>
    <t>F000620003</t>
  </si>
  <si>
    <t>F000620006</t>
  </si>
  <si>
    <t>F000620007</t>
  </si>
  <si>
    <t>F000620008</t>
  </si>
  <si>
    <t>F000620010</t>
  </si>
  <si>
    <t>F000620012</t>
  </si>
  <si>
    <t>F000620013</t>
  </si>
  <si>
    <t>F000620014</t>
  </si>
  <si>
    <t>F000620015</t>
  </si>
  <si>
    <t>F000620017</t>
  </si>
  <si>
    <t>F000620018</t>
  </si>
  <si>
    <t>F000620019</t>
  </si>
  <si>
    <t>F000620020</t>
  </si>
  <si>
    <t>F000620021</t>
  </si>
  <si>
    <t>F000620022</t>
  </si>
  <si>
    <t>F000620023</t>
  </si>
  <si>
    <t>F000620024</t>
  </si>
  <si>
    <t>F000620026</t>
  </si>
  <si>
    <t>F000620027</t>
  </si>
  <si>
    <t>F00062100V</t>
  </si>
  <si>
    <t>F00062101U</t>
  </si>
  <si>
    <t>F00062101Z</t>
  </si>
  <si>
    <t>F00062102G</t>
  </si>
  <si>
    <t>F000621984</t>
  </si>
  <si>
    <t>F000621992</t>
  </si>
  <si>
    <t>F000623004</t>
  </si>
  <si>
    <t>F000623005</t>
  </si>
  <si>
    <t>F000623007</t>
  </si>
  <si>
    <t>F000623009</t>
  </si>
  <si>
    <t>F000623015</t>
  </si>
  <si>
    <t>F000623019</t>
  </si>
  <si>
    <t>F000623020</t>
  </si>
  <si>
    <t>F000623028</t>
  </si>
  <si>
    <t>F000623030</t>
  </si>
  <si>
    <t>F000623031</t>
  </si>
  <si>
    <t>F000623032</t>
  </si>
  <si>
    <t>F000623033</t>
  </si>
  <si>
    <t>F000623035</t>
  </si>
  <si>
    <t>F000623037</t>
  </si>
  <si>
    <t>F000623039</t>
  </si>
  <si>
    <t>F000623041</t>
  </si>
  <si>
    <t>F000623042</t>
  </si>
  <si>
    <t>F000623045</t>
  </si>
  <si>
    <t>F000623049</t>
  </si>
  <si>
    <t>F000623051</t>
  </si>
  <si>
    <t>F000623054</t>
  </si>
  <si>
    <t>F000623061</t>
  </si>
  <si>
    <t>F000623062</t>
  </si>
  <si>
    <t>F000623064</t>
  </si>
  <si>
    <t>F000623067</t>
  </si>
  <si>
    <t>F000623068</t>
  </si>
  <si>
    <t>F000623069</t>
  </si>
  <si>
    <t>F000623074</t>
  </si>
  <si>
    <t>F000623075</t>
  </si>
  <si>
    <t>F000623076</t>
  </si>
  <si>
    <t>F000623077</t>
  </si>
  <si>
    <t>F000624008</t>
  </si>
  <si>
    <t>F000624014</t>
  </si>
  <si>
    <t>F000624015</t>
  </si>
  <si>
    <t>F000624018</t>
  </si>
  <si>
    <t>F000624025</t>
  </si>
  <si>
    <t>F000624026</t>
  </si>
  <si>
    <t>F000624044</t>
  </si>
  <si>
    <t>F000624048</t>
  </si>
  <si>
    <t>F000624050</t>
  </si>
  <si>
    <t>F000624051</t>
  </si>
  <si>
    <t>F000624052</t>
  </si>
  <si>
    <t>F000624053</t>
  </si>
  <si>
    <t>F000624058</t>
  </si>
  <si>
    <t>F000624059</t>
  </si>
  <si>
    <t>F000624066</t>
  </si>
  <si>
    <t>F000624067</t>
  </si>
  <si>
    <t>F000631071</t>
  </si>
  <si>
    <t>F000631072</t>
  </si>
  <si>
    <t>F000631078</t>
  </si>
  <si>
    <t>F000632031</t>
  </si>
  <si>
    <t>F000632057</t>
  </si>
  <si>
    <t>F000632059</t>
  </si>
  <si>
    <t>F000632293</t>
  </si>
  <si>
    <t>F000632296</t>
  </si>
  <si>
    <t>F000632297</t>
  </si>
  <si>
    <t>F000633006</t>
  </si>
  <si>
    <t>F000633012</t>
  </si>
  <si>
    <t>F000633016</t>
  </si>
  <si>
    <t>F000633029</t>
  </si>
  <si>
    <t>F000633030</t>
  </si>
  <si>
    <t>F000633038</t>
  </si>
  <si>
    <t>F000633039</t>
  </si>
  <si>
    <t>F000633040</t>
  </si>
  <si>
    <t>F000633041</t>
  </si>
  <si>
    <t>F000633044</t>
  </si>
  <si>
    <t>F000633055</t>
  </si>
  <si>
    <t>F000633057</t>
  </si>
  <si>
    <t>F000634050</t>
  </si>
  <si>
    <t>F000634145</t>
  </si>
  <si>
    <t>F000634146</t>
  </si>
  <si>
    <t>F000635045</t>
  </si>
  <si>
    <t>F000635074</t>
  </si>
  <si>
    <t>F000635092</t>
  </si>
  <si>
    <t>F000635095</t>
  </si>
  <si>
    <t>F000635117</t>
  </si>
  <si>
    <t>F000635118</t>
  </si>
  <si>
    <t>F000635152</t>
  </si>
  <si>
    <t>F000635161</t>
  </si>
  <si>
    <t>F000635165</t>
  </si>
  <si>
    <t>F000635180</t>
  </si>
  <si>
    <t>F000635186</t>
  </si>
  <si>
    <t>F000635207</t>
  </si>
  <si>
    <t>F000635217</t>
  </si>
  <si>
    <t>F000635232</t>
  </si>
  <si>
    <t>F000635236</t>
  </si>
  <si>
    <t>F000635239</t>
  </si>
  <si>
    <t>F000635240</t>
  </si>
  <si>
    <t>F000635242</t>
  </si>
  <si>
    <t>F000635245</t>
  </si>
  <si>
    <t>F000635246</t>
  </si>
  <si>
    <t>F000635252</t>
  </si>
  <si>
    <t>F000635263</t>
  </si>
  <si>
    <t>F000635264</t>
  </si>
  <si>
    <t>F000635276</t>
  </si>
  <si>
    <t>F000635317</t>
  </si>
  <si>
    <t>F000635394</t>
  </si>
  <si>
    <t>F000635416</t>
  </si>
  <si>
    <t>F000635453</t>
  </si>
  <si>
    <t>F000635459</t>
  </si>
  <si>
    <t>F000635461</t>
  </si>
  <si>
    <t>F000635463</t>
  </si>
  <si>
    <t>F000635465</t>
  </si>
  <si>
    <t>F000635702</t>
  </si>
  <si>
    <t>F000635712</t>
  </si>
  <si>
    <t>F000635713</t>
  </si>
  <si>
    <t>F000640007</t>
  </si>
  <si>
    <t>F000640008</t>
  </si>
  <si>
    <t>F002G31025</t>
  </si>
  <si>
    <t>F002G31065</t>
  </si>
  <si>
    <t>F002G31245</t>
  </si>
  <si>
    <t>F012200000</t>
  </si>
  <si>
    <t>F0122100BA</t>
  </si>
  <si>
    <t>F0122100IN</t>
  </si>
  <si>
    <t>F012224856</t>
  </si>
  <si>
    <t>F0122248CA</t>
  </si>
  <si>
    <t>F0122248IN</t>
  </si>
  <si>
    <t>F012225500</t>
  </si>
  <si>
    <t>F0122255CR</t>
  </si>
  <si>
    <t>F0122330BA</t>
  </si>
  <si>
    <t>F0122330CA</t>
  </si>
  <si>
    <t>F0122330CR</t>
  </si>
  <si>
    <t>F0122330CT</t>
  </si>
  <si>
    <t>F0122330IN</t>
  </si>
  <si>
    <t>F0122330MO</t>
  </si>
  <si>
    <t>F0122335CR</t>
  </si>
  <si>
    <t>F0122335IN</t>
  </si>
  <si>
    <t>F0122335MO</t>
  </si>
  <si>
    <t>F012235500</t>
  </si>
  <si>
    <t>F0122355BA</t>
  </si>
  <si>
    <t>F0122355CR</t>
  </si>
  <si>
    <t>F0122355CT</t>
  </si>
  <si>
    <t>F0122355IN</t>
  </si>
  <si>
    <t>F012245500</t>
  </si>
  <si>
    <t>F0122455BA</t>
  </si>
  <si>
    <t>F0122455CR</t>
  </si>
  <si>
    <t>F0122455IN</t>
  </si>
  <si>
    <t>F0128003CA</t>
  </si>
  <si>
    <t>F0128003MO</t>
  </si>
  <si>
    <t>F016102096</t>
  </si>
  <si>
    <t>F016102289</t>
  </si>
  <si>
    <t>F016102328</t>
  </si>
  <si>
    <t>F016102356</t>
  </si>
  <si>
    <t>F016102357</t>
  </si>
  <si>
    <t>F016102358</t>
  </si>
  <si>
    <t>F016102365</t>
  </si>
  <si>
    <t>F016102390</t>
  </si>
  <si>
    <t>F016102403</t>
  </si>
  <si>
    <t>F016102407</t>
  </si>
  <si>
    <t>F016102409</t>
  </si>
  <si>
    <t>F016102414</t>
  </si>
  <si>
    <t>F016102417</t>
  </si>
  <si>
    <t>F016102418</t>
  </si>
  <si>
    <t>F016102419</t>
  </si>
  <si>
    <t>F016102420</t>
  </si>
  <si>
    <t>F016102421</t>
  </si>
  <si>
    <t>F016102422</t>
  </si>
  <si>
    <t>F016102423</t>
  </si>
  <si>
    <t>F016102424</t>
  </si>
  <si>
    <t>F016102425</t>
  </si>
  <si>
    <t>F016102427</t>
  </si>
  <si>
    <t>F016102428</t>
  </si>
  <si>
    <t>F016102429</t>
  </si>
  <si>
    <t>F016102430</t>
  </si>
  <si>
    <t>F016102431</t>
  </si>
  <si>
    <t>F016102432</t>
  </si>
  <si>
    <t>F016102433</t>
  </si>
  <si>
    <t>F016102435</t>
  </si>
  <si>
    <t>F016102436</t>
  </si>
  <si>
    <t>F016102437</t>
  </si>
  <si>
    <t>F016102439</t>
  </si>
  <si>
    <t>F016102454</t>
  </si>
  <si>
    <t>F016102455</t>
  </si>
  <si>
    <t>F016102456</t>
  </si>
  <si>
    <t>F016102471</t>
  </si>
  <si>
    <t>F016102474</t>
  </si>
  <si>
    <t>F016102477</t>
  </si>
  <si>
    <t>F016102483</t>
  </si>
  <si>
    <t>F016102490</t>
  </si>
  <si>
    <t>F016102496</t>
  </si>
  <si>
    <t>F016102511</t>
  </si>
  <si>
    <t>F016102514</t>
  </si>
  <si>
    <t>F016102519</t>
  </si>
  <si>
    <t>F016102530</t>
  </si>
  <si>
    <t>F016102642</t>
  </si>
  <si>
    <t>F016102658</t>
  </si>
  <si>
    <t>F016102666</t>
  </si>
  <si>
    <t>F016102667</t>
  </si>
  <si>
    <t>F016102703</t>
  </si>
  <si>
    <t>F016102751</t>
  </si>
  <si>
    <t>F016102772</t>
  </si>
  <si>
    <t>F016102782</t>
  </si>
  <si>
    <t>F016102795</t>
  </si>
  <si>
    <t>F016103136</t>
  </si>
  <si>
    <t>F016800012</t>
  </si>
  <si>
    <t>F016L37433</t>
  </si>
  <si>
    <t>F016L59335</t>
  </si>
  <si>
    <t>F016L61536</t>
  </si>
  <si>
    <t>F016L61773</t>
  </si>
  <si>
    <t>F016L62216</t>
  </si>
  <si>
    <t>F016L62217</t>
  </si>
  <si>
    <t>F016L62270</t>
  </si>
  <si>
    <t>F016L62280</t>
  </si>
  <si>
    <t>F016L62282</t>
  </si>
  <si>
    <t>F016L62292</t>
  </si>
  <si>
    <t>F016L62299</t>
  </si>
  <si>
    <t>F016L62300</t>
  </si>
  <si>
    <t>F016L62352</t>
  </si>
  <si>
    <t>F016L62356</t>
  </si>
  <si>
    <t>F016L62466</t>
  </si>
  <si>
    <t>F016L62486</t>
  </si>
  <si>
    <t>F016L62699</t>
  </si>
  <si>
    <t>F016L62806</t>
  </si>
  <si>
    <t>F016L65676</t>
  </si>
  <si>
    <t>F016L80968</t>
  </si>
  <si>
    <t>F016T49902</t>
  </si>
  <si>
    <t xml:space="preserve">1604010BK7 </t>
  </si>
  <si>
    <t>GRASA DE MULTIUSO LAVOC x 125 GRS GRL250</t>
  </si>
  <si>
    <t>GRASA DE MULTIUSO LAVOC x 500 GRS GRL500</t>
  </si>
  <si>
    <t>GRASA DE MULTIUSO LAVOC x 1 KG GRA001</t>
  </si>
  <si>
    <t>ATORNILLADOR BOSCH GTB 185 LI C/2 BATERIAS 06019K70H0</t>
  </si>
  <si>
    <t>MARTILLO GALPONERO BIASSONI CABO LARGO BIA1541 114202</t>
  </si>
  <si>
    <t>MECHA GUSANO P/MADERA BIASSONI 3/8" 112151 BIA738</t>
  </si>
  <si>
    <t>MECHA GUSANO P/MADERA BIASSONI 1/2" BIA712</t>
  </si>
  <si>
    <t>MECHA GUSANO P/MADERA BIASSONI 5/8" BIA758</t>
  </si>
  <si>
    <t>BOTA PARA LLUVIA CAÑA LARGA PROFORCE DAM1343</t>
  </si>
  <si>
    <t>BOTA PARA LLUVIA CAÑA LARGA C/PUNTERA PROFORCE DAM42</t>
  </si>
  <si>
    <t>CABO PARA LIMA CAB014</t>
  </si>
  <si>
    <t>CABO PARA MARTILLO GALPONERO LARGO 48 CM 3030L CAB181</t>
  </si>
  <si>
    <t>CABO PARA MARTILLO GALPONERO CORTO 3030 CAB28</t>
  </si>
  <si>
    <t>CABO PARA MAZA 2 KG x 35/40 CM 3059 CAB040</t>
  </si>
  <si>
    <t>CABO PARA MAZA 2 KG x 60 CM  CAB060</t>
  </si>
  <si>
    <t>CABO PARA MAZA 5 KG x 90 CM MARRONERO 3044 CAB07</t>
  </si>
  <si>
    <t>CABO PARA PALA 70 CM EMP.PLASTICA 3012 CAB19</t>
  </si>
  <si>
    <t>CABO PARA PALA 70 CM EMP.METALICA 3010 CAB9</t>
  </si>
  <si>
    <t>CABO PARA PICO 90 CM 3017 CAB910</t>
  </si>
  <si>
    <t>CINTA EMBALAR x 40/50 MTS INT01</t>
  </si>
  <si>
    <t>CLAVO PUNTA PARIS 2 1/2" POR CAJA 16 KILOS SIP6212</t>
  </si>
  <si>
    <t>CLAVO PUNTA PARIS 2" POR CAJA 16 KILOS SIP62</t>
  </si>
  <si>
    <t>CLAVO PUNTA PARIS 3" POR CAJA 16 KILOS SIP63</t>
  </si>
  <si>
    <t>CUCHARA FERCAS FORBES SOLDADA 8M FER38</t>
  </si>
  <si>
    <t>CUCHARA FERCAS FORJADA 7M FER271</t>
  </si>
  <si>
    <t>DESTORNILLADOR PLANO ELEC. CELESTAL 4 X 150 R CEL3225</t>
  </si>
  <si>
    <t>ESCOBILLON SIMPLE BIANCA o REGINA (GONDOLA) CAL217 o CAL216</t>
  </si>
  <si>
    <t>ESCOBILLON DE BARRENDERO ANDEN 80 CM PLASTICO CAL232</t>
  </si>
  <si>
    <t>HACHA VIZCAINA LyL700</t>
  </si>
  <si>
    <t>LAPIZ CARPINTERO COMET LARGO COM9172</t>
  </si>
  <si>
    <t>LLANA DENTADA 4x4 PINAS PIN44</t>
  </si>
  <si>
    <t>LLANA DENTADA 6x6 PINAS PIN66</t>
  </si>
  <si>
    <t>LLANA DENTADA 9x9 PINAS PIN99</t>
  </si>
  <si>
    <t>LLANA DENTADA 12x12 PINAS PIN1212</t>
  </si>
  <si>
    <t>LLANA P/YESERO FLEXIBLE 12X25 CM PINAS PIN1225</t>
  </si>
  <si>
    <t>LLANA P/YESERO FLEXIBLE 10X30 CM PINAS PIN1030</t>
  </si>
  <si>
    <t>LLANA P/YESERO FLEXIBLE 10X25 CM PINAS PIN1025</t>
  </si>
  <si>
    <t>LLANA P/YESERO FLEXIBLE 12X30 CM PINAS PIN1230</t>
  </si>
  <si>
    <t>LLANA P/YESERO FLEXIBLE 12X25 CM SANTA JUANA SAJ1225</t>
  </si>
  <si>
    <t>LLANA P/YESERO FLEXIBLE 12X30 CM SANTA JUANA SAJ1230</t>
  </si>
  <si>
    <t>LLANA P/YESERO FLEXIBLE 12X35 CM PINAS PIN1235</t>
  </si>
  <si>
    <t>LLANA DENTADA 12x12 SANTA JUANA SAJ1212</t>
  </si>
  <si>
    <t>LLANA PLASTICA DOBLE 12x25 SANTA JUANA SAJ252</t>
  </si>
  <si>
    <t>LLANA PLASTICA DOBLE 12x30 SANTA JUANA SAJ302</t>
  </si>
  <si>
    <t>MARTILLO GALPONERO LyL28</t>
  </si>
  <si>
    <t>MARTILLO GALPONERO SANTA JUANA SAJ108</t>
  </si>
  <si>
    <t>MAZA 5000 GRS LyL5000</t>
  </si>
  <si>
    <t>MAZA 8000 GRS LyL8000</t>
  </si>
  <si>
    <t>MAZA 10000 GRS LyL0010</t>
  </si>
  <si>
    <t>METRO MADERA DOBLE SOLA H 2/10 ABEDUL SOL2</t>
  </si>
  <si>
    <t>METRO MADERA DOBLE SOLA HF 2/10 HAYA SOL02</t>
  </si>
  <si>
    <t>METRO MADERA DOBLE RACORT RAC2</t>
  </si>
  <si>
    <t>METRO MADERA SIMPLE RACORT RAC1</t>
  </si>
  <si>
    <t>PLOMADA TOTH 300 GRS TOT300</t>
  </si>
  <si>
    <t>PLOMADA TOTH 500 GRS TOT500</t>
  </si>
  <si>
    <t>PLOMADA TOTH 700 GRS TOT700</t>
  </si>
  <si>
    <t>POLIETILENO 2,00 X 100 MTS x 100 MICRONES QAL2100</t>
  </si>
  <si>
    <t>POLIETILENO 2,00 X 50 MTS x 200 MICRONES QAL2200</t>
  </si>
  <si>
    <t>POLIETILENO 3,00 X 100 MTS X 100 MICRONES QAL3100</t>
  </si>
  <si>
    <t>POLIETILENO 4,00 X 100 MTS x 100 MICRONES QAL4100</t>
  </si>
  <si>
    <t>POLIETILENO 4,00 X 50 MTS x 200 MICRONES QAL4200</t>
  </si>
  <si>
    <t>REGLA DE ALUMINIO 3 MTS 3"X1" QAL3075</t>
  </si>
  <si>
    <t>ROLDANA P/ALBAÑIL TOTH 18 TOT18</t>
  </si>
  <si>
    <t>SOLDADORA TECNOPAR MONOBIF. SMB 350 (350 A) TEC351</t>
  </si>
  <si>
    <t>SOLDADORA TECNOPAR SMP 250 (250 A) TEC250</t>
  </si>
  <si>
    <t>TELA MEDIA SOMBRA 2.10 X 50 MTS NEGRO LIVIANA (AZUL) NAV2102</t>
  </si>
  <si>
    <t>TELA MEDIA SOMBRA 4.20 X 50 MTS NEGRO LIVIANA (AZUL) NAV422</t>
  </si>
  <si>
    <t>TELA MEDIA SOMBRA 2.10 X 50 MTS NEGRO PESADA (ROJO) NAV2101</t>
  </si>
  <si>
    <t>TELA MEDIA SOMBRA 4.20 X 50 MTS VERDE LIVIANA NAV423</t>
  </si>
  <si>
    <t>ZARANDA ALBAÑIL C/TEJIDO MOSQUITERO BAJA 10035 CAB2040</t>
  </si>
  <si>
    <t>ATORNILLADOR BOSCH GSR 7-14 E 06014470H0</t>
  </si>
  <si>
    <t>JUEGO PALETAS COMBINADAS FRAT. MT 36 (90cm) FM36C / 993772</t>
  </si>
  <si>
    <t>PISTOLA DE CALOR MAKITA MKTHG5012K 1500 WATTS</t>
  </si>
  <si>
    <t>12 19 21</t>
  </si>
  <si>
    <t>MOTOR MOTORMECH 2 HP MONOF. IP22</t>
  </si>
  <si>
    <t>CEPILLO ACERO P/AMOLADORA 100 RIZADO BTA 480532</t>
  </si>
  <si>
    <t>ESLINGA 4 TN x 4 MTS ESLINGAR GRIS WXE221000402</t>
  </si>
  <si>
    <t>ESLINGA 3 TN x 2 MTS ESLINGAR AMARILLA WXE220750202</t>
  </si>
  <si>
    <t>ESLINGA 3 TN x 4 MTS ESLINGAR AMARILLA WXE220750402</t>
  </si>
  <si>
    <t>ESLINGA 3 TN x 6 MTS ESLINGAR AMARILLA WXE220750602</t>
  </si>
  <si>
    <t>ESLINGA 2 TN x 4 MTS ESLINGAR VERDE WXE220600402</t>
  </si>
  <si>
    <t>CASCO DE SEGURIDAD DIAMOND BLANCO DIAM5UPBCFL</t>
  </si>
  <si>
    <t>CASCO DE SEGURIDAD GORRA COLTAAIGR</t>
  </si>
  <si>
    <t>CASCO ESLINGAR TOPAZBC</t>
  </si>
  <si>
    <t>12 14 29</t>
  </si>
  <si>
    <t>CONO VIAL 75 CM REFLECTIVO C/BASE ROJO ERAM COD 97131</t>
  </si>
  <si>
    <t>HIDROLAVADORA BTA 180 BAR 2100 W 841048</t>
  </si>
  <si>
    <t>PINCELETA GRIS N° 40 HEFER TUC2304</t>
  </si>
  <si>
    <t>RODILLO PARA PINTAR LANA 22 CM TUC30025</t>
  </si>
  <si>
    <t>RODILLO PARA PINTAR LANA 17 CM ANT0021</t>
  </si>
  <si>
    <t>KIT HORMIGONERA 120 LTS DM</t>
  </si>
  <si>
    <t>PUNTAL EXT. HASTA 3,00 MTS VACCA IMPORTADO</t>
  </si>
  <si>
    <t>PUNTAL EXT. HASTA 3,50 MTS VACCA NACIONAL</t>
  </si>
  <si>
    <t>PUNTAL EXT. HASTA 3,80 MTS VACCA NACIONAL</t>
  </si>
  <si>
    <t>PUNTAL EXT. HASTA 4,10 MTS VACCA NACIONAL</t>
  </si>
  <si>
    <t>PUNTAL EXT. HASTA 5,05 MTS VACCA NACIONAL</t>
  </si>
  <si>
    <t>ANTEOJO AMARILLOS BARAV BRAV2JA</t>
  </si>
  <si>
    <t>SOPAPA DOBLE MAX 50 KG HSU025001</t>
  </si>
  <si>
    <t>ANTEOJO STEELPRO MIRAGE / DEMON 201045930 / 5929/ 201020136 / 201020135</t>
  </si>
  <si>
    <t>INTERRUPTOR MAKITA 651183-5</t>
  </si>
  <si>
    <t>ROTOR MARTILLO MAKITA HM4001</t>
  </si>
  <si>
    <t>ROTOR AMOLADORA MAKITA 7020/9020 517793</t>
  </si>
  <si>
    <t>AMOLADORA BOSCH GWS 180 LI - SIN BATERIAS</t>
  </si>
  <si>
    <t>161000 VENTURO 250 AMP</t>
  </si>
  <si>
    <t>APILADOR HIDRAULICO 1,5 TN KLD1185</t>
  </si>
  <si>
    <t>SERRUCHO CROSSMASTER HARD CUT 20" 9971828</t>
  </si>
  <si>
    <t>SERRUCHO CROSSMASTER HARD CUT 24" 9971830</t>
  </si>
  <si>
    <t>TERMOFUSORA 1500 W DOWEN PAGGIO 9993525</t>
  </si>
  <si>
    <t>CALIBRE DIGITAL 0-150 331020</t>
  </si>
  <si>
    <t>ATORNILLADOR DOWEN PAGGIO MAGNUM 1/4" 9993417</t>
  </si>
  <si>
    <t>HORMIGONERA VOLTEO 400 LTS CON CABINA C/MOTOR MR</t>
  </si>
  <si>
    <t>AMOLADORA INECO 7" 2000 WATTS AG2000018-4</t>
  </si>
  <si>
    <t>AMOLADORA INECO 9" 2200 WATTS AG2200018-4</t>
  </si>
  <si>
    <t>CANDADO 38 MM REYMU / GLOSS RM1038</t>
  </si>
  <si>
    <t>CANDADO 50 MM ZELTA ZECA0250</t>
  </si>
  <si>
    <t>CANDADO 63 ZELTA ZECA0263</t>
  </si>
  <si>
    <t>ANTEOJO DE SEGURIDAD TRANSP. LIBUS ARGON / NITRO</t>
  </si>
  <si>
    <t>MECHA COPA DIAMANTADA KWB 6 MM 49500306</t>
  </si>
  <si>
    <t>MECHA COPA DIAMANTADA KWB 8 MM 49500308</t>
  </si>
  <si>
    <t>MECHA COPA DIAMANTADA KWB 10 MM 49500310</t>
  </si>
  <si>
    <t>TESTER DIGITAL MULTIMETRO INECO DM200</t>
  </si>
  <si>
    <t>CUERPO PORTICO 1.30 (3 mm) Nº 5 A134</t>
  </si>
  <si>
    <t>CUERPO DE ANDAMIO 1.30 (2 mm) AZUL Nº 3 A132</t>
  </si>
  <si>
    <t>CUERPO DE ANDAMIO 0.94 Nº 9 A138</t>
  </si>
  <si>
    <t>CUERPO DE ANDAMIO 1.30 (3 mm) Nº 1 PESADO A130</t>
  </si>
  <si>
    <t>ESCALERA INTERNA PARA ANDAMIOS 2,50 mts E139</t>
  </si>
  <si>
    <t>REGLA DE REPLANTEO PO R120</t>
  </si>
  <si>
    <t>RIENDAS 2.50 MTS CORTA / LARGA PESADA R142</t>
  </si>
  <si>
    <t>RIENDAS 3,00 MTS CORTA / LARGA PESADA R140</t>
  </si>
  <si>
    <t>RIENDAS TORRE CORTA / LARGA PESADA T142</t>
  </si>
  <si>
    <t>RODAPIE DE 1,30 MTS T114</t>
  </si>
  <si>
    <t>RODAPIE DE 2,50 MTS T121</t>
  </si>
  <si>
    <t>TABLON DE CHAPA 2.50 MTS T110</t>
  </si>
  <si>
    <t>TABLON DE CHAPA 3.00 MTS T111</t>
  </si>
  <si>
    <t>TORNILLON 50 CM T148</t>
  </si>
  <si>
    <t>TORNILLON 50 CM CON U T149</t>
  </si>
  <si>
    <t>TRAMO DE TORRE CON GUIA PO T125</t>
  </si>
  <si>
    <t>ZORRA PLATAFORMA 1000x600 Z093</t>
  </si>
  <si>
    <t>ZORRA PLATAFORMA 1200x600 Z094</t>
  </si>
  <si>
    <t>CUCHARA FERCAS FORBES SOLDADA 7M FER37 FER75016</t>
  </si>
  <si>
    <t>CUÑA RANURADA POR 150 U CERAMICRUZ NIV0002</t>
  </si>
  <si>
    <t>ESMALTE EN AEROSOL x 240 CC KUWAIT HEFER KWT2107</t>
  </si>
  <si>
    <t>ESMALTE EN AEROSOL x 440 CC KUWAIT HEFER KWT4107</t>
  </si>
  <si>
    <t>POLEA "A" DIAMETRO 50 P/HORM.130 ALUMINIO HEFER (020162)</t>
  </si>
  <si>
    <t>FICHA HEMBRA TRIFASICA IP44 C/PASACABLE 16A 62945 - 62943</t>
  </si>
  <si>
    <t>FICHA MACHO TRIFASICA IP44 C/PASACABLE 16A (28161) 62930</t>
  </si>
  <si>
    <t>FICHA MACHO TRIFASICA IP44 C/PASACABLE 32A 59677 - 62931</t>
  </si>
  <si>
    <t>REVOCADORA KONAN PARA COMPRESOR KRF/01</t>
  </si>
  <si>
    <t>ALAMBRE DE FARDO POR 1 KG SIP16</t>
  </si>
  <si>
    <t>ARNES A CREMALLERA PARA CASCO SAYLENS SAY37</t>
  </si>
  <si>
    <t>CABO PARA ESCOBILLON COMUN CAB15 - CAL2560</t>
  </si>
  <si>
    <t>FRATACHO DE PINO 12 X 25 CM CAB25</t>
  </si>
  <si>
    <t>FRATACHO DE PINO 12 X 30 CM CAB30</t>
  </si>
  <si>
    <t>GANCHO DE ACERO C/TRABA GIRATORIO 1,5 TN IZA3215</t>
  </si>
  <si>
    <t>GANCHO DE ACERO C/TRABA GIRATORIO 2 TN IZA3222</t>
  </si>
  <si>
    <t>MOTOR MOTORMECH 3/4 HP MONOF. APE334</t>
  </si>
  <si>
    <t>MOTOR MOTORMECH 2 HP TRIF. 1500 RPM APE42</t>
  </si>
  <si>
    <t>MOTOR MOTORMECH 2 HP TRIF. 3000 RPM APE62</t>
  </si>
  <si>
    <t>29/8 PASO 6400</t>
  </si>
  <si>
    <t>ENGRANAJE PARA MARTILLO 10 KG BOSCH ORIGINAL</t>
  </si>
  <si>
    <t xml:space="preserve">FRATACHO DE PLAST. 20 CM 8026 / FRA120 </t>
  </si>
  <si>
    <t>FRATACHO DE PLAST. 30 CM 8028 / FRA130</t>
  </si>
  <si>
    <t>CUCHARA FERCAS FORJADA 8M FER281 FER05018</t>
  </si>
  <si>
    <t>LLANA P/YESERO FLEXIBLE 12X25 CM LA HACENDOSA LAH51225</t>
  </si>
  <si>
    <t>LLANA P/YESERO FLEXIBLE 12X30 CM LA HACENDOSA LAH51230</t>
  </si>
  <si>
    <t>PALA PUNTA CABO HIERRO LARGO ESTAMPADA FG HEFER (010350)</t>
  </si>
  <si>
    <t>DREMEL 3000 KIT C/30 ACC Y MALETIN F0133000PU</t>
  </si>
  <si>
    <t>PVP
SIN IVA</t>
  </si>
  <si>
    <t>JUEGO PALETAS TERMINACION FRAT. MT 46 FM46T / 993780</t>
  </si>
  <si>
    <t>GRASA DE LITIO ACEITODO x 1 KG ACT9009</t>
  </si>
  <si>
    <t>BOMBA SUMERGIBLE BTA</t>
  </si>
  <si>
    <t>TALADRO BOSCH GSB 13 RE 650 W SIN MALETIN 06012B80H0</t>
  </si>
  <si>
    <t>TALADRO BOSCH GSB 16 RE 750 W SIN MALETIN 06012B90H0</t>
  </si>
  <si>
    <t>TALADRO BOSCH GSB 550 RE STD 550 W 06011B60H0</t>
  </si>
  <si>
    <t>BOTIN DE SEG. PVC PATRICIO</t>
  </si>
  <si>
    <t>TELA MEDIA SOMBRA 2.10 X 50 MTS VERDE LIVIANA NAV2103</t>
  </si>
  <si>
    <t>CABO PARA ESCOBILLON BARRENDERO CAL249 (vanesa 3054)</t>
  </si>
  <si>
    <t>recomar</t>
  </si>
  <si>
    <t>JUEGO LLAVES COMBINADAS PRETUL 11 PCS 21990</t>
  </si>
  <si>
    <t>SIERRA CIRCULAR CAT DX56 1800 w</t>
  </si>
  <si>
    <t>SIERRA CIRCULAR CAT DX59 1400 w</t>
  </si>
  <si>
    <t>REFLECTOR LED 30 W CANDELA / MAYORLED ML</t>
  </si>
  <si>
    <t>REFLECTOR LED 50 W 7000K candela / MAYORLED ML</t>
  </si>
  <si>
    <t>GUANTES NITRILO AZUL ELAST. DUTY 300950736603 ALSEC MAS BARATO</t>
  </si>
  <si>
    <t>DELANTAL DESCARNE STANDAR GUA11 ALSEC MAS BARATO</t>
  </si>
  <si>
    <t>PISON KLD C/MOTOR HONDA GX160 5,5 HP KLDPISONPRO</t>
  </si>
  <si>
    <t>PISON KLD C/MOTOR LONCIN 4 HP KLDPISONEC</t>
  </si>
  <si>
    <t>RODEL RUBI 22 MM EXTREME P/SLIM CUTER RU01901</t>
  </si>
  <si>
    <t>BUSCAPOLO DIGITAL SICA 378215</t>
  </si>
  <si>
    <t>LAMPARA LED OSRAM CLASSIC 12 W 4058075776531</t>
  </si>
  <si>
    <t>LAMPARA LED OSRAM CLASSIC 9 W 4058075776517</t>
  </si>
  <si>
    <t>LUBRICANTE WD40 FLEXITAPA 220 GR WFLEX</t>
  </si>
  <si>
    <t>12 36</t>
  </si>
  <si>
    <t>36 104</t>
  </si>
  <si>
    <t>GANCHO DE ACERO C/TRABA FIJO 1,5 TN HEAVY LOAD HL0059</t>
  </si>
  <si>
    <t>PINZA PORTAELECTRODOS 500 AMP WE0022</t>
  </si>
  <si>
    <t>CEPILLO ACERO CON CABO 4X19 N° 44 PAR44</t>
  </si>
  <si>
    <t>COMPRESOR SHIMURA 2,5 HP 50 LTS SH-FL50</t>
  </si>
  <si>
    <t>CINTA METRICA TRUPER 30 MTS ALTO IMPACTO (12639)</t>
  </si>
  <si>
    <t>MACHETE TRUPER ESTANDAR 16" 15864</t>
  </si>
  <si>
    <t>IMAN EXTENSIBLE FLEXIBLE TRUPER 15326</t>
  </si>
  <si>
    <t>CUTTER TRUPER 3 POSICIONES 22400</t>
  </si>
  <si>
    <t>CHOCLA TRUPER CON FERRITE AZUL (18574)</t>
  </si>
  <si>
    <t>CREMA LIMPIAMANOS 500 GRS LCREM-9</t>
  </si>
  <si>
    <t>AMOLADORA INECO 4 1/2" 750 WATTS CON BOLSO</t>
  </si>
  <si>
    <t>NIVEL LASER SOLA CROSSLINE VERDE C/SOPORTE SOCRLASER</t>
  </si>
  <si>
    <t>CUTTER INECO 16618</t>
  </si>
  <si>
    <t>ATORNILLADOR INECO CDLI200215-4 20 V 2 BAT C/PERCUSION</t>
  </si>
  <si>
    <t>LAPIZ CARPINTERO BAHCO PENCILCARP / CROSSMASTER ES MAS BARATO</t>
  </si>
  <si>
    <t>PISTOLA APLICADORA SILICONA CROSSMASTER PROF 9936810</t>
  </si>
  <si>
    <t>PISTOLA APLICADORA SILICONA CROSSMASTER CANOA 9936804</t>
  </si>
  <si>
    <t>MARTILLO GALPONERO CROSSMASTER 9969158</t>
  </si>
  <si>
    <t>VH MAS BARATO TODAS</t>
  </si>
  <si>
    <t>TORNILLO NIVELADOR POR 2000 UNID A GRANEL</t>
  </si>
  <si>
    <t>LLAVE AJUSTABLE GRIP WELL 8" 097980</t>
  </si>
  <si>
    <t>CANDADO 60 ZELTA PERNO PASANTE ZECA0660</t>
  </si>
  <si>
    <t>REVOCADORA EPIKA</t>
  </si>
  <si>
    <t>STEPANEK REVOCADORA</t>
  </si>
  <si>
    <t>PALA ANCHA MOISES ESTAMPADA CABO HIERRO 9010</t>
  </si>
  <si>
    <t>METRO MADERA SIMPLE STABILA 116301</t>
  </si>
  <si>
    <t>METRO MADERA DOBLE STABILA 116302</t>
  </si>
  <si>
    <t>PINCELETA WEMBLEY N40 WE7426</t>
  </si>
  <si>
    <t>AMOLADORA BOSCH 5" GWS 18-125 PL</t>
  </si>
  <si>
    <t>CARBON XSE 149 AB MARTILLO BOSCH GSH 27VC 30 KG</t>
  </si>
  <si>
    <t xml:space="preserve">CARBON XSE 271 ROTOP BOSCH TODOS / XSE 260 - </t>
  </si>
  <si>
    <t>MAZA 1250 GRS MAZZUCA MAZ1250 LYL</t>
  </si>
  <si>
    <t>JUEGO PALETAS STANDARD/COMBINADA. MT 24 (60cm) FM24 / 993760</t>
  </si>
  <si>
    <t>GENERADOR BTA GM7500AER MOTOR 15 HP 521172</t>
  </si>
  <si>
    <t>ENGRASADOR 500 GRS ZC 14859 / TRUPER 14859</t>
  </si>
  <si>
    <t>ABRAZADERA PLASTICA 250 X 3,6 900006</t>
  </si>
  <si>
    <t>ABRAZADERA PLASTICA 250 X 4,8 900011</t>
  </si>
  <si>
    <t>JUEGO DE HERRAMIENTAS INECO 7 PCS HKTH10807</t>
  </si>
  <si>
    <t>SOPORTE SOLA PARA NIVEL LASER UH</t>
  </si>
  <si>
    <t>SEPARADOR 8/20 x 1500 (6 / 8 / 10 / 12) reiner ($ 35 C/U)</t>
  </si>
  <si>
    <t>12000 POR METRO</t>
  </si>
  <si>
    <t>DESCUENTOS REALES 37+5+5+6+10 POR PAGO CONTADO</t>
  </si>
  <si>
    <t>DESCUENTOS REALES MASTERPACK 37+22+10 POR PAGO CONTADO</t>
  </si>
  <si>
    <t xml:space="preserve">CARBON XSE 127 </t>
  </si>
  <si>
    <t>CONO DISTANCIADOR (2000 UNID) TOPE 2 reiner ($ 25 C/U)</t>
  </si>
  <si>
    <t xml:space="preserve"> LISTA DE PRECIOS - 1 de FEBRERO 2024</t>
  </si>
  <si>
    <t>VALOR CON IVA</t>
  </si>
  <si>
    <t>LOS VALORES NO INCLUYEN EL 10% POR PAGO CONTADO  RENTABILIDAD 45 %</t>
  </si>
  <si>
    <t>DETECTOR DE MATERIALES BOSCH GMS 120</t>
  </si>
  <si>
    <t>Vigencia 01/02/2024</t>
  </si>
  <si>
    <t>Codigo I</t>
  </si>
  <si>
    <t>1600119011-000</t>
  </si>
  <si>
    <t>1600190020-000</t>
  </si>
  <si>
    <t>1600190021-000</t>
  </si>
  <si>
    <t>1600200029-000</t>
  </si>
  <si>
    <t>1600206025-000</t>
  </si>
  <si>
    <t>1600206036-000</t>
  </si>
  <si>
    <t>1600210080-000</t>
  </si>
  <si>
    <t>1600290036-000</t>
  </si>
  <si>
    <t>1600591025-000</t>
  </si>
  <si>
    <t>1600703031-000</t>
  </si>
  <si>
    <t>160090005F-000</t>
  </si>
  <si>
    <t>160090005P-000</t>
  </si>
  <si>
    <t>160090005R-000</t>
  </si>
  <si>
    <t>1600905023-000</t>
  </si>
  <si>
    <t>1600A003EB-000</t>
  </si>
  <si>
    <t>1600A005AJ-000</t>
  </si>
  <si>
    <t>1600A008BV-000</t>
  </si>
  <si>
    <t>1600A009VN-000</t>
  </si>
  <si>
    <t>1600A00DT4-000</t>
  </si>
  <si>
    <t>1600A00PB7-000</t>
  </si>
  <si>
    <t>1600A00Z9R-000</t>
  </si>
  <si>
    <t>1600A012Y7-000</t>
  </si>
  <si>
    <t>1600A014HK-000</t>
  </si>
  <si>
    <t>1600A014L2-000</t>
  </si>
  <si>
    <t>1600A014L3-000</t>
  </si>
  <si>
    <t>1600A014T8-000</t>
  </si>
  <si>
    <t>1600A0153H-000</t>
  </si>
  <si>
    <t>1600A01CU1-000</t>
  </si>
  <si>
    <t>1600A01LX7-000</t>
  </si>
  <si>
    <t>1600A020RA-000</t>
  </si>
  <si>
    <t>1602026091-000</t>
  </si>
  <si>
    <t>1603300016-000</t>
  </si>
  <si>
    <t>1603345043-000</t>
  </si>
  <si>
    <t>1603435078-000</t>
  </si>
  <si>
    <t>1604010626-000</t>
  </si>
  <si>
    <t>1604010A20-000</t>
  </si>
  <si>
    <t>1604010A90-000</t>
  </si>
  <si>
    <t>1604010B3J-000</t>
  </si>
  <si>
    <t>1604010B3Y-000</t>
  </si>
  <si>
    <t>1604010B4R-000</t>
  </si>
  <si>
    <t>1604010B50-000</t>
  </si>
  <si>
    <t>1604010B5E-000</t>
  </si>
  <si>
    <t>1604010B9G-000</t>
  </si>
  <si>
    <t>1604010B9J-000</t>
  </si>
  <si>
    <t>1604220328-000</t>
  </si>
  <si>
    <t>1604220472-000</t>
  </si>
  <si>
    <t>1604220542-000</t>
  </si>
  <si>
    <t>1604220545-000</t>
  </si>
  <si>
    <t>1604220548-000</t>
  </si>
  <si>
    <t>160422057C-000</t>
  </si>
  <si>
    <t>160432115S-000</t>
  </si>
  <si>
    <t>160432115T-000</t>
  </si>
  <si>
    <t>160432115U-000</t>
  </si>
  <si>
    <t>160432115Z-000</t>
  </si>
  <si>
    <t>1604321160-000</t>
  </si>
  <si>
    <t>160432117D-000</t>
  </si>
  <si>
    <t>1604336047-000</t>
  </si>
  <si>
    <t>1604336048-000</t>
  </si>
  <si>
    <t>1604336056-000</t>
  </si>
  <si>
    <t>1604336057-000</t>
  </si>
  <si>
    <t>160433605C-000</t>
  </si>
  <si>
    <t>1604652015-000</t>
  </si>
  <si>
    <t>1604652019-000</t>
  </si>
  <si>
    <t>16051082H7-000</t>
  </si>
  <si>
    <t>1605805137-000</t>
  </si>
  <si>
    <t>16058065C0-000</t>
  </si>
  <si>
    <t>16058065C4-000</t>
  </si>
  <si>
    <t>16058065NX-000</t>
  </si>
  <si>
    <t>16058080AL-000</t>
  </si>
  <si>
    <t>16063332C8-000</t>
  </si>
  <si>
    <t>1606333605-000</t>
  </si>
  <si>
    <t>1606333606-000</t>
  </si>
  <si>
    <t>1606333616-000</t>
  </si>
  <si>
    <t>1607000347-000</t>
  </si>
  <si>
    <t>1607000742-000</t>
  </si>
  <si>
    <t>1607000A85-000</t>
  </si>
  <si>
    <t>1607000C14-000</t>
  </si>
  <si>
    <t>1607000C4L-000</t>
  </si>
  <si>
    <t>1607000C5F-000</t>
  </si>
  <si>
    <t>1607000C5G-000</t>
  </si>
  <si>
    <t>1607000C5K-000</t>
  </si>
  <si>
    <t>1607000CZ1-000</t>
  </si>
  <si>
    <t>1607000D17-000</t>
  </si>
  <si>
    <t>1607000D3N-000</t>
  </si>
  <si>
    <t>1607000D4Y-000</t>
  </si>
  <si>
    <t>1607000D62-000</t>
  </si>
  <si>
    <t>1607000D64-000</t>
  </si>
  <si>
    <t>1607000D6A-000</t>
  </si>
  <si>
    <t>1607000D6C-000</t>
  </si>
  <si>
    <t>1607000E3M-000</t>
  </si>
  <si>
    <t>1607000V37-000</t>
  </si>
  <si>
    <t>1607000V51-000</t>
  </si>
  <si>
    <t>1607000V53-000</t>
  </si>
  <si>
    <t>1607014117-000</t>
  </si>
  <si>
    <t>1607014145-000</t>
  </si>
  <si>
    <t>1607014176-000</t>
  </si>
  <si>
    <t>160701418F-000</t>
  </si>
  <si>
    <t>160701418R-000</t>
  </si>
  <si>
    <t>160702266N-000</t>
  </si>
  <si>
    <t>1607200086-000</t>
  </si>
  <si>
    <t>1607200270-000</t>
  </si>
  <si>
    <t>160720031H-000</t>
  </si>
  <si>
    <t>160720031V-000</t>
  </si>
  <si>
    <t>160720032T-000</t>
  </si>
  <si>
    <t>160720032Y-000</t>
  </si>
  <si>
    <t>160722005V-000</t>
  </si>
  <si>
    <t>1607233444-000</t>
  </si>
  <si>
    <t>1607233552-000</t>
  </si>
  <si>
    <t>16072335CV-000</t>
  </si>
  <si>
    <t>1608571080-000</t>
  </si>
  <si>
    <t>1610210033-000</t>
  </si>
  <si>
    <t>1610210070-000</t>
  </si>
  <si>
    <t>1610210079-000</t>
  </si>
  <si>
    <t>1610210095-000</t>
  </si>
  <si>
    <t>1610210104-000</t>
  </si>
  <si>
    <t>1610210121-000</t>
  </si>
  <si>
    <t>1610210122-000</t>
  </si>
  <si>
    <t>1610210128-000</t>
  </si>
  <si>
    <t>1610210153-000</t>
  </si>
  <si>
    <t>1610210187-000</t>
  </si>
  <si>
    <t>1610210203-000</t>
  </si>
  <si>
    <t>1610210204-000</t>
  </si>
  <si>
    <t>1610210210-000</t>
  </si>
  <si>
    <t>1610210213-000</t>
  </si>
  <si>
    <t>1610290028-000</t>
  </si>
  <si>
    <t>1610290029-000</t>
  </si>
  <si>
    <t>1610290065-000</t>
  </si>
  <si>
    <t>1610290076-000</t>
  </si>
  <si>
    <t>1610390051-000</t>
  </si>
  <si>
    <t>1610499055-000</t>
  </si>
  <si>
    <t>1610502016-000</t>
  </si>
  <si>
    <t>1610508025-000</t>
  </si>
  <si>
    <t>1610508047-000</t>
  </si>
  <si>
    <t>1610703053-000</t>
  </si>
  <si>
    <t>1610905016-000</t>
  </si>
  <si>
    <t>1610910089-000</t>
  </si>
  <si>
    <t>1610910091-000</t>
  </si>
  <si>
    <t>1610913021-000</t>
  </si>
  <si>
    <t>1611016003-000</t>
  </si>
  <si>
    <t>1611098008-000</t>
  </si>
  <si>
    <t>1611329024-000</t>
  </si>
  <si>
    <t>1612026037-000</t>
  </si>
  <si>
    <t>1612026048-000</t>
  </si>
  <si>
    <t>1612300036-000</t>
  </si>
  <si>
    <t>1613100019-000</t>
  </si>
  <si>
    <t>1613103004-000</t>
  </si>
  <si>
    <t>1613124098-000</t>
  </si>
  <si>
    <t>1613414022-000</t>
  </si>
  <si>
    <t>1613414024-000</t>
  </si>
  <si>
    <t>1613490029-000</t>
  </si>
  <si>
    <t>1614010252-000</t>
  </si>
  <si>
    <t>1614010270-000</t>
  </si>
  <si>
    <t>1614010276-000</t>
  </si>
  <si>
    <t>1614010709-000</t>
  </si>
  <si>
    <t>1614011072-000</t>
  </si>
  <si>
    <t>1614011098-000</t>
  </si>
  <si>
    <t>1614011139-000</t>
  </si>
  <si>
    <t>1614321079-000</t>
  </si>
  <si>
    <t>1614336061-000</t>
  </si>
  <si>
    <t>1614601012-000</t>
  </si>
  <si>
    <t>1614601041-000</t>
  </si>
  <si>
    <t>1614614006-000</t>
  </si>
  <si>
    <t>1614614009-000</t>
  </si>
  <si>
    <t>1615430001-000</t>
  </si>
  <si>
    <t>1615430005-000</t>
  </si>
  <si>
    <t>1615430010-000</t>
  </si>
  <si>
    <t>1615430014-000</t>
  </si>
  <si>
    <t>1615808083-000</t>
  </si>
  <si>
    <t>1615819028-000</t>
  </si>
  <si>
    <t>1616328042-000</t>
  </si>
  <si>
    <t>1617000163-000</t>
  </si>
  <si>
    <t>1617000190-000</t>
  </si>
  <si>
    <t>1617000327-000</t>
  </si>
  <si>
    <t>1617000518-000</t>
  </si>
  <si>
    <t>1617000525-000</t>
  </si>
  <si>
    <t>1617000579-000</t>
  </si>
  <si>
    <t>1617000582-000</t>
  </si>
  <si>
    <t>1617000598-000</t>
  </si>
  <si>
    <t>16170006CB-000</t>
  </si>
  <si>
    <t>16170006D3-000</t>
  </si>
  <si>
    <t>16170006EJ-000</t>
  </si>
  <si>
    <t>1617014126-000</t>
  </si>
  <si>
    <t>1617014135-000</t>
  </si>
  <si>
    <t>1617014138-000</t>
  </si>
  <si>
    <t>1617014144-000</t>
  </si>
  <si>
    <t>1617014145-000</t>
  </si>
  <si>
    <t>1617200048-000</t>
  </si>
  <si>
    <t>1617200124-000</t>
  </si>
  <si>
    <t>1617200136-000</t>
  </si>
  <si>
    <t>1618700062-000</t>
  </si>
  <si>
    <t>1619P00456-000</t>
  </si>
  <si>
    <t>1619P01685-000</t>
  </si>
  <si>
    <t>1619P01844-000</t>
  </si>
  <si>
    <t>1619P02762-000</t>
  </si>
  <si>
    <t>1619P02839-000</t>
  </si>
  <si>
    <t>1619P02870-000</t>
  </si>
  <si>
    <t>1619P07451-000</t>
  </si>
  <si>
    <t>1619P07749-000</t>
  </si>
  <si>
    <t>1619P09415-000</t>
  </si>
  <si>
    <t>1619P10952-000</t>
  </si>
  <si>
    <t>1619P10967-000</t>
  </si>
  <si>
    <t>1619P11240-000</t>
  </si>
  <si>
    <t>1619P11715-000</t>
  </si>
  <si>
    <t>1619P13103-000</t>
  </si>
  <si>
    <t>1619P13946-000</t>
  </si>
  <si>
    <t>1619P15184-000</t>
  </si>
  <si>
    <t>1619P20622-000</t>
  </si>
  <si>
    <t>1619PA1358-000</t>
  </si>
  <si>
    <t>1903230010-000</t>
  </si>
  <si>
    <t>2600100695-000</t>
  </si>
  <si>
    <t>2600120052-000</t>
  </si>
  <si>
    <t>2600301089-000</t>
  </si>
  <si>
    <t>2600500002-000</t>
  </si>
  <si>
    <t>2600703013-000</t>
  </si>
  <si>
    <t>2600707059-000</t>
  </si>
  <si>
    <t>2600905017-000</t>
  </si>
  <si>
    <t>2600905095-000</t>
  </si>
  <si>
    <t>2600910001-000</t>
  </si>
  <si>
    <t>2600910006-000</t>
  </si>
  <si>
    <t>2601015047-000</t>
  </si>
  <si>
    <t>2601098037-000</t>
  </si>
  <si>
    <t>2602033006-000</t>
  </si>
  <si>
    <t>2603490018-000</t>
  </si>
  <si>
    <t>2604321943-000</t>
  </si>
  <si>
    <t>2604736010-000</t>
  </si>
  <si>
    <t>2605703014-000</t>
  </si>
  <si>
    <t>2607014013-000</t>
  </si>
  <si>
    <t>2607200231-000</t>
  </si>
  <si>
    <t>2607200586-000</t>
  </si>
  <si>
    <t>2607200623-000</t>
  </si>
  <si>
    <t>2607202330-000</t>
  </si>
  <si>
    <t>2607225941-000</t>
  </si>
  <si>
    <t>2607226205-000</t>
  </si>
  <si>
    <t>2607226299-000</t>
  </si>
  <si>
    <t>2608601106-000</t>
  </si>
  <si>
    <t>2609000116-000</t>
  </si>
  <si>
    <t>2609003138-000</t>
  </si>
  <si>
    <t>2609110149-000</t>
  </si>
  <si>
    <t>2609110150-000</t>
  </si>
  <si>
    <t>2609110491-000</t>
  </si>
  <si>
    <t>2609111225-000</t>
  </si>
  <si>
    <t>2609120199-000</t>
  </si>
  <si>
    <t>2609199295-000</t>
  </si>
  <si>
    <t>2609199428-000</t>
  </si>
  <si>
    <t>2610003445-000</t>
  </si>
  <si>
    <t>2610005646-000</t>
  </si>
  <si>
    <t>2610009839-000</t>
  </si>
  <si>
    <t>2610009848-000</t>
  </si>
  <si>
    <t>2610021214-000</t>
  </si>
  <si>
    <t>2610391290-000</t>
  </si>
  <si>
    <t>2610394629-000</t>
  </si>
  <si>
    <t>2610395437-000</t>
  </si>
  <si>
    <t>2610395443-000</t>
  </si>
  <si>
    <t>2610395787-000</t>
  </si>
  <si>
    <t>2610395790-000</t>
  </si>
  <si>
    <t>2610395801-000</t>
  </si>
  <si>
    <t>2610398582-000</t>
  </si>
  <si>
    <t>2610398584-000</t>
  </si>
  <si>
    <t>2610399703-000</t>
  </si>
  <si>
    <t>2610912847-000</t>
  </si>
  <si>
    <t>2610924701-000</t>
  </si>
  <si>
    <t>2610924724-000</t>
  </si>
  <si>
    <t>2610941201-000</t>
  </si>
  <si>
    <t>2610956917-000</t>
  </si>
  <si>
    <t>2610Z00180-000</t>
  </si>
  <si>
    <t>2615298790-000</t>
  </si>
  <si>
    <t>2615298792-000</t>
  </si>
  <si>
    <t>2914550034-000</t>
  </si>
  <si>
    <t>2916160010-000</t>
  </si>
  <si>
    <t>2916540017-000</t>
  </si>
  <si>
    <t>3606337242-000</t>
  </si>
  <si>
    <t>3606445047-000</t>
  </si>
  <si>
    <t>9618086698-000</t>
  </si>
  <si>
    <t>9618086703-000</t>
  </si>
  <si>
    <t>9618086834-000</t>
  </si>
  <si>
    <t>F000601307-000</t>
  </si>
  <si>
    <t>F000603011-000</t>
  </si>
  <si>
    <t>F000603096-000</t>
  </si>
  <si>
    <t>F000603119-000</t>
  </si>
  <si>
    <t>F000603133-000</t>
  </si>
  <si>
    <t>F000604017-000</t>
  </si>
  <si>
    <t>F000605032-000</t>
  </si>
  <si>
    <t>F000605052-000</t>
  </si>
  <si>
    <t>F000605103-000</t>
  </si>
  <si>
    <t>F000605131-000</t>
  </si>
  <si>
    <t>F000605225-000</t>
  </si>
  <si>
    <t>F000605227-000</t>
  </si>
  <si>
    <t>F000605229-000</t>
  </si>
  <si>
    <t>F000605240-000</t>
  </si>
  <si>
    <t>F000605241-000</t>
  </si>
  <si>
    <t>F000605256-000</t>
  </si>
  <si>
    <t>F000607169-000</t>
  </si>
  <si>
    <t>F000607173-000</t>
  </si>
  <si>
    <t>F000607175-000</t>
  </si>
  <si>
    <t>F000608012-000</t>
  </si>
  <si>
    <t>F000608035-000</t>
  </si>
  <si>
    <t>F000608081-000</t>
  </si>
  <si>
    <t>F000608364-000</t>
  </si>
  <si>
    <t>F000609174-000</t>
  </si>
  <si>
    <t>F000609175-000</t>
  </si>
  <si>
    <t>F000611019-000</t>
  </si>
  <si>
    <t>F000611021-000</t>
  </si>
  <si>
    <t>F000611029-000</t>
  </si>
  <si>
    <t>F000611048-000</t>
  </si>
  <si>
    <t>F000611060-000</t>
  </si>
  <si>
    <t>F000611075-000</t>
  </si>
  <si>
    <t>F000611078-000</t>
  </si>
  <si>
    <t>F000611080-000</t>
  </si>
  <si>
    <t>F000611088-000</t>
  </si>
  <si>
    <t>F000611090-000</t>
  </si>
  <si>
    <t>F000611108-000</t>
  </si>
  <si>
    <t>F000612015-000</t>
  </si>
  <si>
    <t>F000613046-000</t>
  </si>
  <si>
    <t>F000613060-000</t>
  </si>
  <si>
    <t>F000613103-000</t>
  </si>
  <si>
    <t>F000616060-000</t>
  </si>
  <si>
    <t>F000616119-000</t>
  </si>
  <si>
    <t>F000616134-000</t>
  </si>
  <si>
    <t>F000617034-000</t>
  </si>
  <si>
    <t>F000617073-000</t>
  </si>
  <si>
    <t>F000623029-000</t>
  </si>
  <si>
    <t>F000632019-000</t>
  </si>
  <si>
    <t>1600136013-000</t>
  </si>
  <si>
    <t>1600136014-000</t>
  </si>
  <si>
    <t>1600190022-000</t>
  </si>
  <si>
    <t>1600206020-000</t>
  </si>
  <si>
    <t>160059105C-000</t>
  </si>
  <si>
    <t>160059105U-000</t>
  </si>
  <si>
    <t>1600703042-000</t>
  </si>
  <si>
    <t>1600900052-000</t>
  </si>
  <si>
    <t>1600A0019T-000</t>
  </si>
  <si>
    <t>1600A00376-000</t>
  </si>
  <si>
    <t>1600A003EE-000</t>
  </si>
  <si>
    <t>1600A003M8-000</t>
  </si>
  <si>
    <t>1600A003M9-000</t>
  </si>
  <si>
    <t>1600A0070C-000</t>
  </si>
  <si>
    <t>1600A00721-000</t>
  </si>
  <si>
    <t>1600A008D6-000</t>
  </si>
  <si>
    <t>1600A008DL-000</t>
  </si>
  <si>
    <t>1600A008RF-000</t>
  </si>
  <si>
    <t>1600A008RP-000</t>
  </si>
  <si>
    <t>1600A008RV-000</t>
  </si>
  <si>
    <t>1600A009VC-000</t>
  </si>
  <si>
    <t>1600A009XG-000</t>
  </si>
  <si>
    <t>1600A00B6H-000</t>
  </si>
  <si>
    <t>1600A00C10-000</t>
  </si>
  <si>
    <t>1600A00C11-000</t>
  </si>
  <si>
    <t>1600A00C16-000</t>
  </si>
  <si>
    <t>1600A00D30-000</t>
  </si>
  <si>
    <t>1600A00DT2-000</t>
  </si>
  <si>
    <t>1600A00N61-000</t>
  </si>
  <si>
    <t>1600A00P8Z-000</t>
  </si>
  <si>
    <t>1600A00P90-000</t>
  </si>
  <si>
    <t>1600A00PB8-000</t>
  </si>
  <si>
    <t>1600A00XK9-000</t>
  </si>
  <si>
    <t>1600A011KB-000</t>
  </si>
  <si>
    <t>1600A0123H-000</t>
  </si>
  <si>
    <t>1600A0123L-000</t>
  </si>
  <si>
    <t>1600A0137P-000</t>
  </si>
  <si>
    <t>1600A014FF-000</t>
  </si>
  <si>
    <t>1600A014FH-000</t>
  </si>
  <si>
    <t>1600A014L4-000</t>
  </si>
  <si>
    <t>1600A014S6-000</t>
  </si>
  <si>
    <t>1600A014TX-000</t>
  </si>
  <si>
    <t>1600A01MK9-000</t>
  </si>
  <si>
    <t>1600A01N6C-000</t>
  </si>
  <si>
    <t>1600A01R95-000</t>
  </si>
  <si>
    <t>1600A0204N-000</t>
  </si>
  <si>
    <t>1601302013-000</t>
  </si>
  <si>
    <t>1602026057-000</t>
  </si>
  <si>
    <t>1602026088-000</t>
  </si>
  <si>
    <t>1602319026-000</t>
  </si>
  <si>
    <t>160312304V-000</t>
  </si>
  <si>
    <t>160312304Z-000</t>
  </si>
  <si>
    <t>1603231032-000</t>
  </si>
  <si>
    <t>1603300019-000</t>
  </si>
  <si>
    <t>1603414007-000</t>
  </si>
  <si>
    <t>160343001L-000</t>
  </si>
  <si>
    <t>1603521027-000</t>
  </si>
  <si>
    <t>1604010A22-000</t>
  </si>
  <si>
    <t>1604010A52-000</t>
  </si>
  <si>
    <t>1604010B98-000</t>
  </si>
  <si>
    <t>1604010B9X-000</t>
  </si>
  <si>
    <t>1604011252-000</t>
  </si>
  <si>
    <t>1604220458-000</t>
  </si>
  <si>
    <t>1604220475-000</t>
  </si>
  <si>
    <t>1604220522-000</t>
  </si>
  <si>
    <t>1604220572-000</t>
  </si>
  <si>
    <t>1604321169-000</t>
  </si>
  <si>
    <t>1604336055-000</t>
  </si>
  <si>
    <t>1604601027-000</t>
  </si>
  <si>
    <t>160460102U-000</t>
  </si>
  <si>
    <t>1604611031-000</t>
  </si>
  <si>
    <t>1605108255-000</t>
  </si>
  <si>
    <t>1605108285-000</t>
  </si>
  <si>
    <t>1605108288-000</t>
  </si>
  <si>
    <t>16051082CT-000</t>
  </si>
  <si>
    <t>1605132117-000</t>
  </si>
  <si>
    <t>1605132119-000</t>
  </si>
  <si>
    <t>1605500274-000</t>
  </si>
  <si>
    <t>16055002C6-000</t>
  </si>
  <si>
    <t>1605510150-000</t>
  </si>
  <si>
    <t>1605805138-000</t>
  </si>
  <si>
    <t>16058065G9-000</t>
  </si>
  <si>
    <t>160580808Z-000</t>
  </si>
  <si>
    <t>1606333624-000</t>
  </si>
  <si>
    <t>1607000162-000</t>
  </si>
  <si>
    <t>1607000298-000</t>
  </si>
  <si>
    <t>1607000354-000</t>
  </si>
  <si>
    <t>1607000378-000</t>
  </si>
  <si>
    <t>1607000480-000</t>
  </si>
  <si>
    <t>1607000967-000</t>
  </si>
  <si>
    <t>1607000C4M-000</t>
  </si>
  <si>
    <t>1607000D16-000</t>
  </si>
  <si>
    <t>1607000D3P-000</t>
  </si>
  <si>
    <t>1607000D50-000</t>
  </si>
  <si>
    <t>1607000D9C-000</t>
  </si>
  <si>
    <t>1607000V33-000</t>
  </si>
  <si>
    <t>1607000V35-000</t>
  </si>
  <si>
    <t>1607000V36-000</t>
  </si>
  <si>
    <t>1607000V40-000</t>
  </si>
  <si>
    <t>1607000V41-000</t>
  </si>
  <si>
    <t>1607000V54-000</t>
  </si>
  <si>
    <t>1607001007-000</t>
  </si>
  <si>
    <t>1607014139-000</t>
  </si>
  <si>
    <t>160701418P-000</t>
  </si>
  <si>
    <t>1607022609-000</t>
  </si>
  <si>
    <t>1607200244-000</t>
  </si>
  <si>
    <t>1607200332-000</t>
  </si>
  <si>
    <t>1607200363-000</t>
  </si>
  <si>
    <t>1607233234-000</t>
  </si>
  <si>
    <t>1607233443-000</t>
  </si>
  <si>
    <t>1607233452-000</t>
  </si>
  <si>
    <t>1607233475-000</t>
  </si>
  <si>
    <t>1607233560-000</t>
  </si>
  <si>
    <t>16072335DK-000</t>
  </si>
  <si>
    <t>16072335FX-000</t>
  </si>
  <si>
    <t>1607A350BZ-000</t>
  </si>
  <si>
    <t>1607A350DY-000</t>
  </si>
  <si>
    <t>1608005004-000</t>
  </si>
  <si>
    <t>1609203L02-000</t>
  </si>
  <si>
    <t>1610205010-000</t>
  </si>
  <si>
    <t>1610210091-000</t>
  </si>
  <si>
    <t>1610210105-000</t>
  </si>
  <si>
    <t>1610210144-000</t>
  </si>
  <si>
    <t>1610210176-000</t>
  </si>
  <si>
    <t>1610210178-000</t>
  </si>
  <si>
    <t>1610210179-000</t>
  </si>
  <si>
    <t>1610210186-000</t>
  </si>
  <si>
    <t>1610210195-000</t>
  </si>
  <si>
    <t>1610210218-000</t>
  </si>
  <si>
    <t>1610241001-000</t>
  </si>
  <si>
    <t>1610283016-000</t>
  </si>
  <si>
    <t>1610290069-000</t>
  </si>
  <si>
    <t>1610390017-000</t>
  </si>
  <si>
    <t>1610499023-000</t>
  </si>
  <si>
    <t>1610508038-000</t>
  </si>
  <si>
    <t>1610551008-000</t>
  </si>
  <si>
    <t>1610590014-000</t>
  </si>
  <si>
    <t>1610591016-000</t>
  </si>
  <si>
    <t>1610591051-000</t>
  </si>
  <si>
    <t>1610905047-000</t>
  </si>
  <si>
    <t>1610910092-000</t>
  </si>
  <si>
    <t>1610913016-000</t>
  </si>
  <si>
    <t>1612001033-000</t>
  </si>
  <si>
    <t>1612300025-000</t>
  </si>
  <si>
    <t>1613101006-000</t>
  </si>
  <si>
    <t>1613124040-000</t>
  </si>
  <si>
    <t>1613124052-000</t>
  </si>
  <si>
    <t>1613124088-000</t>
  </si>
  <si>
    <t>1613200020-000</t>
  </si>
  <si>
    <t>1614010711-000</t>
  </si>
  <si>
    <t>1614011091-000</t>
  </si>
  <si>
    <t>1614011120-000</t>
  </si>
  <si>
    <t>1614220123-000</t>
  </si>
  <si>
    <t>1614220219-000</t>
  </si>
  <si>
    <t>1614220227-000</t>
  </si>
  <si>
    <t>1614465011-000</t>
  </si>
  <si>
    <t>1614601024-000</t>
  </si>
  <si>
    <t>1614601026-000</t>
  </si>
  <si>
    <t>1614601027-000</t>
  </si>
  <si>
    <t>1614601053-000</t>
  </si>
  <si>
    <t>1615430007-000</t>
  </si>
  <si>
    <t>1615430016-000</t>
  </si>
  <si>
    <t>1615430020-000</t>
  </si>
  <si>
    <t>1615437511-000</t>
  </si>
  <si>
    <t>1615500214-000</t>
  </si>
  <si>
    <t>1615510000-000</t>
  </si>
  <si>
    <t>1615820092-000</t>
  </si>
  <si>
    <t>1615820097-000</t>
  </si>
  <si>
    <t>1616110033-000</t>
  </si>
  <si>
    <t>1616312004-000</t>
  </si>
  <si>
    <t>1616328055-000</t>
  </si>
  <si>
    <t>1616334000-000</t>
  </si>
  <si>
    <t>1616490058-000</t>
  </si>
  <si>
    <t>1616490061-000</t>
  </si>
  <si>
    <t>1616610083-000</t>
  </si>
  <si>
    <t>1616610102-000</t>
  </si>
  <si>
    <t>1617000189-000</t>
  </si>
  <si>
    <t>1617000422-000</t>
  </si>
  <si>
    <t>1617000425-000</t>
  </si>
  <si>
    <t>1617000426-000</t>
  </si>
  <si>
    <t>1617000431-000</t>
  </si>
  <si>
    <t>1617000482-000</t>
  </si>
  <si>
    <t>1617000496-000</t>
  </si>
  <si>
    <t>1617000556-000</t>
  </si>
  <si>
    <t>1617000558-000</t>
  </si>
  <si>
    <t>1617000692-000</t>
  </si>
  <si>
    <t>1617000695-000</t>
  </si>
  <si>
    <t>16170006A5-000</t>
  </si>
  <si>
    <t>16170006B0-000</t>
  </si>
  <si>
    <t>16170006B9-000</t>
  </si>
  <si>
    <t>16170006BC-000</t>
  </si>
  <si>
    <t>16170006CT-000</t>
  </si>
  <si>
    <t>16170006DX-000</t>
  </si>
  <si>
    <t>16170006ET-000</t>
  </si>
  <si>
    <t>1617000708-000</t>
  </si>
  <si>
    <t>1617000727-000</t>
  </si>
  <si>
    <t>1617000732-000</t>
  </si>
  <si>
    <t>1617000750-000</t>
  </si>
  <si>
    <t>1617000751-000</t>
  </si>
  <si>
    <t>1617000836-000</t>
  </si>
  <si>
    <t>1617014122-000</t>
  </si>
  <si>
    <t>1617014134-000</t>
  </si>
  <si>
    <t>1617014137-000</t>
  </si>
  <si>
    <t>1617014143-000</t>
  </si>
  <si>
    <t>1617014146-000</t>
  </si>
  <si>
    <t>1617200077-000</t>
  </si>
  <si>
    <t>1617200101-000</t>
  </si>
  <si>
    <t>1617200127-000</t>
  </si>
  <si>
    <t>1617200532-000</t>
  </si>
  <si>
    <t>1617200542-000</t>
  </si>
  <si>
    <t>1617328026-000</t>
  </si>
  <si>
    <t>1618700064-000</t>
  </si>
  <si>
    <t>1619P01115-000</t>
  </si>
  <si>
    <t>1619P01642-000</t>
  </si>
  <si>
    <t>1619P01696-000</t>
  </si>
  <si>
    <t>1619P01777-000</t>
  </si>
  <si>
    <t>1619P02811-000</t>
  </si>
  <si>
    <t>1619P02818-000</t>
  </si>
  <si>
    <t>1619P02819-000</t>
  </si>
  <si>
    <t>1619P03776-000</t>
  </si>
  <si>
    <t>1619P04474-000</t>
  </si>
  <si>
    <t>1619P04839-000</t>
  </si>
  <si>
    <t>1619P06095-000</t>
  </si>
  <si>
    <t>1619P06204-000</t>
  </si>
  <si>
    <t>1619P06232-000</t>
  </si>
  <si>
    <t>1619P06238-000</t>
  </si>
  <si>
    <t>1619P06345-000</t>
  </si>
  <si>
    <t>1619P06346-000</t>
  </si>
  <si>
    <t>1619P06419-000</t>
  </si>
  <si>
    <t>1619P07239-000</t>
  </si>
  <si>
    <t>1619P07452-000</t>
  </si>
  <si>
    <t>1619P07571-000</t>
  </si>
  <si>
    <t>1619P07620-000</t>
  </si>
  <si>
    <t>1619P07713-000</t>
  </si>
  <si>
    <t>1619P07761-000</t>
  </si>
  <si>
    <t>1619P08234-000</t>
  </si>
  <si>
    <t>1619P08333-000</t>
  </si>
  <si>
    <t>1619P08334-000</t>
  </si>
  <si>
    <t>1619P08594-000</t>
  </si>
  <si>
    <t>1619P09115-000</t>
  </si>
  <si>
    <t>1619P09207-000</t>
  </si>
  <si>
    <t>1619P09252-000</t>
  </si>
  <si>
    <t>1619P09794-000</t>
  </si>
  <si>
    <t>1619P09815-000</t>
  </si>
  <si>
    <t>1619P09976-000</t>
  </si>
  <si>
    <t>1619P10063-000</t>
  </si>
  <si>
    <t>1619P10662-000</t>
  </si>
  <si>
    <t>1619P10838-000</t>
  </si>
  <si>
    <t>1619P10953-000</t>
  </si>
  <si>
    <t>1619P10958-000</t>
  </si>
  <si>
    <t>1619P10968-000</t>
  </si>
  <si>
    <t>1619P12188-000</t>
  </si>
  <si>
    <t>1619P12765-000</t>
  </si>
  <si>
    <t>1619P14887-000</t>
  </si>
  <si>
    <t>1619P15165-000</t>
  </si>
  <si>
    <t>1619P15178-000</t>
  </si>
  <si>
    <t>1619P15321-000</t>
  </si>
  <si>
    <t>1619P15323-000</t>
  </si>
  <si>
    <t>1619PA0212-000</t>
  </si>
  <si>
    <t>1619PA0221-000</t>
  </si>
  <si>
    <t>1619PA0253-000</t>
  </si>
  <si>
    <t>1619PA0258-000</t>
  </si>
  <si>
    <t>1619PA0273-000</t>
  </si>
  <si>
    <t>1619PA0471-000</t>
  </si>
  <si>
    <t>1619PA0474-000</t>
  </si>
  <si>
    <t>1619PA0475-000</t>
  </si>
  <si>
    <t>1619PA1749-000</t>
  </si>
  <si>
    <t>1619PA3549-000</t>
  </si>
  <si>
    <t>1619PA3573-000</t>
  </si>
  <si>
    <t>1619PA7326-000</t>
  </si>
  <si>
    <t>1619PA7827-000</t>
  </si>
  <si>
    <t>1619PA7848-000</t>
  </si>
  <si>
    <t>1619PB3062-000</t>
  </si>
  <si>
    <t>1619PB4056-000</t>
  </si>
  <si>
    <t>1619PB4266-000</t>
  </si>
  <si>
    <t>1619PB4295-000</t>
  </si>
  <si>
    <t>1619PB5491-000</t>
  </si>
  <si>
    <t>1619X03061-000</t>
  </si>
  <si>
    <t>1619X07509-000</t>
  </si>
  <si>
    <t>1900210166-000</t>
  </si>
  <si>
    <t>1900905020-000</t>
  </si>
  <si>
    <t>1900905021-000</t>
  </si>
  <si>
    <t>1900905203-000</t>
  </si>
  <si>
    <t>2600100041-000</t>
  </si>
  <si>
    <t>2600101047-000</t>
  </si>
  <si>
    <t>2600190090-000</t>
  </si>
  <si>
    <t>2600301066-000</t>
  </si>
  <si>
    <t>2600400008-000</t>
  </si>
  <si>
    <t>2600590006-000</t>
  </si>
  <si>
    <t>2600703012-000</t>
  </si>
  <si>
    <t>2601901012-000</t>
  </si>
  <si>
    <t>2602025067-000</t>
  </si>
  <si>
    <t>2602300032-000</t>
  </si>
  <si>
    <t>2603312006-000</t>
  </si>
  <si>
    <t>2603320001-000</t>
  </si>
  <si>
    <t>2603400000-000</t>
  </si>
  <si>
    <t>2604010692-000</t>
  </si>
  <si>
    <t>2604010935-000</t>
  </si>
  <si>
    <t>2604011434-000</t>
  </si>
  <si>
    <t>2604220456-000</t>
  </si>
  <si>
    <t>2604736009-000</t>
  </si>
  <si>
    <t>2604736013-000</t>
  </si>
  <si>
    <t>2605190900-000</t>
  </si>
  <si>
    <t>2605411170-000</t>
  </si>
  <si>
    <t>2605801038-000</t>
  </si>
  <si>
    <t>2605807124-000</t>
  </si>
  <si>
    <t>2606200223-000</t>
  </si>
  <si>
    <t>2606317098-000</t>
  </si>
  <si>
    <t>2606333900-000</t>
  </si>
  <si>
    <t>2607022860-000</t>
  </si>
  <si>
    <t>2607200202-000</t>
  </si>
  <si>
    <t>2607200357-000</t>
  </si>
  <si>
    <t>2607200638-000</t>
  </si>
  <si>
    <t>2607202520-000</t>
  </si>
  <si>
    <t>2607225589-000</t>
  </si>
  <si>
    <t>2607225715-000</t>
  </si>
  <si>
    <t>2608045023-000</t>
  </si>
  <si>
    <t>2609100374-000</t>
  </si>
  <si>
    <t>2609100543-000</t>
  </si>
  <si>
    <t>2609100862-000</t>
  </si>
  <si>
    <t>2609101302-000</t>
  </si>
  <si>
    <t>2609110405-000</t>
  </si>
  <si>
    <t>2609110635-000</t>
  </si>
  <si>
    <t>2609110922-000</t>
  </si>
  <si>
    <t>2609110978-000</t>
  </si>
  <si>
    <t>2609111796-000</t>
  </si>
  <si>
    <t>2609112106-000</t>
  </si>
  <si>
    <t>2609112190-000</t>
  </si>
  <si>
    <t>2609120064-000</t>
  </si>
  <si>
    <t>2609120149-000</t>
  </si>
  <si>
    <t>2609120395-000</t>
  </si>
  <si>
    <t>2609125169-000</t>
  </si>
  <si>
    <t>2609170217-000</t>
  </si>
  <si>
    <t>2609199049-000</t>
  </si>
  <si>
    <t>2609199085-000</t>
  </si>
  <si>
    <t>2609199176-000</t>
  </si>
  <si>
    <t>2609199253-000</t>
  </si>
  <si>
    <t>2609199273-000</t>
  </si>
  <si>
    <t>2609199359-000</t>
  </si>
  <si>
    <t>2609199724-000</t>
  </si>
  <si>
    <t>2609199841-000</t>
  </si>
  <si>
    <t>2609199926-000</t>
  </si>
  <si>
    <t>2609199956-000</t>
  </si>
  <si>
    <t>2610008122-000</t>
  </si>
  <si>
    <t>2610009826-000</t>
  </si>
  <si>
    <t>2610015042-000</t>
  </si>
  <si>
    <t>2610033427-000</t>
  </si>
  <si>
    <t>2610394104-000</t>
  </si>
  <si>
    <t>2610394611-000</t>
  </si>
  <si>
    <t>2610394616-000</t>
  </si>
  <si>
    <t>2610394622-000</t>
  </si>
  <si>
    <t>2610395785-000</t>
  </si>
  <si>
    <t>2610396243-000</t>
  </si>
  <si>
    <t>2610398588-000</t>
  </si>
  <si>
    <t>2610398592-000</t>
  </si>
  <si>
    <t>2610399711-000</t>
  </si>
  <si>
    <t>2610907940-000</t>
  </si>
  <si>
    <t>2610921129-000</t>
  </si>
  <si>
    <t>2610925372-000</t>
  </si>
  <si>
    <t>2610925774-000</t>
  </si>
  <si>
    <t>2610956895-000</t>
  </si>
  <si>
    <t>2610956896-000</t>
  </si>
  <si>
    <t>2610956901-000</t>
  </si>
  <si>
    <t>2610993157-000</t>
  </si>
  <si>
    <t>2610996948-000</t>
  </si>
  <si>
    <t>2610Z03710-000</t>
  </si>
  <si>
    <t>2615294109-000</t>
  </si>
  <si>
    <t>2910281201-000</t>
  </si>
  <si>
    <t>3600703011-000</t>
  </si>
  <si>
    <t>3605108224-000</t>
  </si>
  <si>
    <t>3607030476-000</t>
  </si>
  <si>
    <t>3607030477-000</t>
  </si>
  <si>
    <t>3607031668-000</t>
  </si>
  <si>
    <t>9618082293-000</t>
  </si>
  <si>
    <t>9618086806-000</t>
  </si>
  <si>
    <t>9618086870-000</t>
  </si>
  <si>
    <t>9618086921-000</t>
  </si>
  <si>
    <t>9618087097-000</t>
  </si>
  <si>
    <t>9618087196-000</t>
  </si>
  <si>
    <t>9618088985-000</t>
  </si>
  <si>
    <t>9618089012-000</t>
  </si>
  <si>
    <t>9618089013-000</t>
  </si>
  <si>
    <t>9618089263-000</t>
  </si>
  <si>
    <t>9618089597-000</t>
  </si>
  <si>
    <t>F000600231-000</t>
  </si>
  <si>
    <t>F000600349-000</t>
  </si>
  <si>
    <t>F000600350-000</t>
  </si>
  <si>
    <t>F000600372-000</t>
  </si>
  <si>
    <t>F000600567-000</t>
  </si>
  <si>
    <t>F000601259-000</t>
  </si>
  <si>
    <t>F000601752-000</t>
  </si>
  <si>
    <t>F000602168-000</t>
  </si>
  <si>
    <t>F000602169-000</t>
  </si>
  <si>
    <t>F000602177-000</t>
  </si>
  <si>
    <t>F000603014-000</t>
  </si>
  <si>
    <t>F000603015-000</t>
  </si>
  <si>
    <t>F000603017-000</t>
  </si>
  <si>
    <t>F000603019-000</t>
  </si>
  <si>
    <t>F000603172-000</t>
  </si>
  <si>
    <t>F000605010-000</t>
  </si>
  <si>
    <t>F000605039-000</t>
  </si>
  <si>
    <t>F000605096-000</t>
  </si>
  <si>
    <t>F000605099-000</t>
  </si>
  <si>
    <t>F000605112-000</t>
  </si>
  <si>
    <t>F000605154-000</t>
  </si>
  <si>
    <t>F000605190-000</t>
  </si>
  <si>
    <t>F000605221-000</t>
  </si>
  <si>
    <t>F000607020-000</t>
  </si>
  <si>
    <t>F000607067-000</t>
  </si>
  <si>
    <t>F000607083-000</t>
  </si>
  <si>
    <t>F000607093-000</t>
  </si>
  <si>
    <t>F000607095-000</t>
  </si>
  <si>
    <t>F000607108-000</t>
  </si>
  <si>
    <t>F000607136-000</t>
  </si>
  <si>
    <t>F000607161-000</t>
  </si>
  <si>
    <t>F000607182-000</t>
  </si>
  <si>
    <t>F000608066-000</t>
  </si>
  <si>
    <t>F000608122-000</t>
  </si>
  <si>
    <t>F000608124-000</t>
  </si>
  <si>
    <t>F000608323-000</t>
  </si>
  <si>
    <t>F000608328-000</t>
  </si>
  <si>
    <t>F000608349-000</t>
  </si>
  <si>
    <t>F000608382-000</t>
  </si>
  <si>
    <t>F000608398-000</t>
  </si>
  <si>
    <t>F000608399-000</t>
  </si>
  <si>
    <t>F000608415-000</t>
  </si>
  <si>
    <t>F000608423-000</t>
  </si>
  <si>
    <t>F000608425-000</t>
  </si>
  <si>
    <t>F000611007-000</t>
  </si>
  <si>
    <t>F000611028-000</t>
  </si>
  <si>
    <t>F000611051-000</t>
  </si>
  <si>
    <t>F000611063-000</t>
  </si>
  <si>
    <t>F000611067-000</t>
  </si>
  <si>
    <t>F000611072-000</t>
  </si>
  <si>
    <t>F000611089-000</t>
  </si>
  <si>
    <t>F000611096-000</t>
  </si>
  <si>
    <t>F000611114-000</t>
  </si>
  <si>
    <t>F000612031-000</t>
  </si>
  <si>
    <t>F000612058-000</t>
  </si>
  <si>
    <t>F000612067-000</t>
  </si>
  <si>
    <t>F000612093-000</t>
  </si>
  <si>
    <t>F000613057-000</t>
  </si>
  <si>
    <t>F000614013-000</t>
  </si>
  <si>
    <t>F000615014-000</t>
  </si>
  <si>
    <t>F000615049-000</t>
  </si>
  <si>
    <t>F000615054-000</t>
  </si>
  <si>
    <t>F000616028-000</t>
  </si>
  <si>
    <t>F000616053-000</t>
  </si>
  <si>
    <t>F000616056-000</t>
  </si>
  <si>
    <t>F000616112-000</t>
  </si>
  <si>
    <t>F000616118-000</t>
  </si>
  <si>
    <t>F000617024-000</t>
  </si>
  <si>
    <t>F000617026-000</t>
  </si>
  <si>
    <t>F000617047-000</t>
  </si>
  <si>
    <t>F000618005-000</t>
  </si>
  <si>
    <t>F00062100U-000</t>
  </si>
  <si>
    <t>F000624047-000</t>
  </si>
  <si>
    <t>F000635221-000</t>
  </si>
  <si>
    <t>F000635272-000</t>
  </si>
  <si>
    <t>0000356675-000</t>
  </si>
  <si>
    <t>0000Y00013-000</t>
  </si>
  <si>
    <t>0000Y00020-000</t>
  </si>
  <si>
    <t>0000Y00023-000</t>
  </si>
  <si>
    <t>0000Y00049-000</t>
  </si>
  <si>
    <t>0000Y00050-000</t>
  </si>
  <si>
    <t>0000Y00058-000</t>
  </si>
  <si>
    <t>0000Y00066-000</t>
  </si>
  <si>
    <t>0000Y00067-000</t>
  </si>
  <si>
    <t>0000Y00104-000</t>
  </si>
  <si>
    <t>0000Y00109-000</t>
  </si>
  <si>
    <t>0000Y00111-000</t>
  </si>
  <si>
    <t>0000Y00141-000</t>
  </si>
  <si>
    <t>0000Y00142-000</t>
  </si>
  <si>
    <t>0000Y00143-000</t>
  </si>
  <si>
    <t>0000Y00193-000</t>
  </si>
  <si>
    <t>0000Y00194-000</t>
  </si>
  <si>
    <t>0000Y00195-000</t>
  </si>
  <si>
    <t>000346554K-000</t>
  </si>
  <si>
    <t>0602490004-000</t>
  </si>
  <si>
    <t>0602490007-000</t>
  </si>
  <si>
    <t>0602490022-000</t>
  </si>
  <si>
    <t>0618800045-000</t>
  </si>
  <si>
    <t>0618800047-000</t>
  </si>
  <si>
    <t>061880004W-000</t>
  </si>
  <si>
    <t>0KDEW80044-000</t>
  </si>
  <si>
    <t>1230101630-000</t>
  </si>
  <si>
    <t>1280905004-000</t>
  </si>
  <si>
    <t>1390150019-000</t>
  </si>
  <si>
    <t>1480210239-000</t>
  </si>
  <si>
    <t>1600005001-000</t>
  </si>
  <si>
    <t>1600025009-000</t>
  </si>
  <si>
    <t>1600026000-000</t>
  </si>
  <si>
    <t>1600026004-000</t>
  </si>
  <si>
    <t>1600100033-000</t>
  </si>
  <si>
    <t>1600100036-000</t>
  </si>
  <si>
    <t>1600100037-000</t>
  </si>
  <si>
    <t>1600100038-000</t>
  </si>
  <si>
    <t>1600100601-000</t>
  </si>
  <si>
    <t>1600100617-000</t>
  </si>
  <si>
    <t>1600100631-000</t>
  </si>
  <si>
    <t>1600100632-000</t>
  </si>
  <si>
    <t>1600100P12-000</t>
  </si>
  <si>
    <t>1600101023-000</t>
  </si>
  <si>
    <t>1600101603-000</t>
  </si>
  <si>
    <t>1600101618-000</t>
  </si>
  <si>
    <t>1600101647-000</t>
  </si>
  <si>
    <t>1600101653-000</t>
  </si>
  <si>
    <t>1600102011-000</t>
  </si>
  <si>
    <t>1600102012-000</t>
  </si>
  <si>
    <t>1600102018-000</t>
  </si>
  <si>
    <t>1600102601-000</t>
  </si>
  <si>
    <t>1600102626-000</t>
  </si>
  <si>
    <t>1600102627-000</t>
  </si>
  <si>
    <t>1600102632-000</t>
  </si>
  <si>
    <t>1600102633-000</t>
  </si>
  <si>
    <t>1600102634-000</t>
  </si>
  <si>
    <t>1600102677-000</t>
  </si>
  <si>
    <t>1600108018-000</t>
  </si>
  <si>
    <t>1600108048-000</t>
  </si>
  <si>
    <t>1600108055-000</t>
  </si>
  <si>
    <t>1600108059-000</t>
  </si>
  <si>
    <t>160010805C-000</t>
  </si>
  <si>
    <t>160010805D-000</t>
  </si>
  <si>
    <t>1600113003-000</t>
  </si>
  <si>
    <t>1600114035-000</t>
  </si>
  <si>
    <t>1600116001-000</t>
  </si>
  <si>
    <t>1600119004-000</t>
  </si>
  <si>
    <t>1600119008-000</t>
  </si>
  <si>
    <t>1600119010-000</t>
  </si>
  <si>
    <t>1600120070-000</t>
  </si>
  <si>
    <t>1600136005-000</t>
  </si>
  <si>
    <t>1600136010-000</t>
  </si>
  <si>
    <t>1600136011-000</t>
  </si>
  <si>
    <t>1600136012-000</t>
  </si>
  <si>
    <t>1600136015-000</t>
  </si>
  <si>
    <t>1600136016-000</t>
  </si>
  <si>
    <t>1600136017-000</t>
  </si>
  <si>
    <t>1600136020-000</t>
  </si>
  <si>
    <t>1600140009-000</t>
  </si>
  <si>
    <t>1600146001-000</t>
  </si>
  <si>
    <t>1600150006-000</t>
  </si>
  <si>
    <t>1600150007-000</t>
  </si>
  <si>
    <t>1600150008-000</t>
  </si>
  <si>
    <t>1600150009-000</t>
  </si>
  <si>
    <t>1600150010-000</t>
  </si>
  <si>
    <t>1600150011-000</t>
  </si>
  <si>
    <t>160015001B-000</t>
  </si>
  <si>
    <t>160015001F-000</t>
  </si>
  <si>
    <t>160015001V-000</t>
  </si>
  <si>
    <t>1600150026-000</t>
  </si>
  <si>
    <t>160015002K-000</t>
  </si>
  <si>
    <t>160015002R-000</t>
  </si>
  <si>
    <t>160015002X-000</t>
  </si>
  <si>
    <t>160015002Y-000</t>
  </si>
  <si>
    <t>160015003M-000</t>
  </si>
  <si>
    <t>1600190004-000</t>
  </si>
  <si>
    <t>1600190005-000</t>
  </si>
  <si>
    <t>1600190016-000</t>
  </si>
  <si>
    <t>1600190037-000</t>
  </si>
  <si>
    <t>1600190038-000</t>
  </si>
  <si>
    <t>1600190039-000</t>
  </si>
  <si>
    <t>1600190040-000</t>
  </si>
  <si>
    <t>1600190048-000</t>
  </si>
  <si>
    <t>1600200031-000</t>
  </si>
  <si>
    <t>1600202016-000</t>
  </si>
  <si>
    <t>1600202034-000</t>
  </si>
  <si>
    <t>1600202036-000</t>
  </si>
  <si>
    <t>1600205008-000</t>
  </si>
  <si>
    <t>1600205023-000</t>
  </si>
  <si>
    <t>1600205027-000</t>
  </si>
  <si>
    <t>1600205032-000</t>
  </si>
  <si>
    <t>1600205034-000</t>
  </si>
  <si>
    <t>1600205037-000</t>
  </si>
  <si>
    <t>1600206014-000</t>
  </si>
  <si>
    <t>1600206018-000</t>
  </si>
  <si>
    <t>1600206019-000</t>
  </si>
  <si>
    <t>1600206021-000</t>
  </si>
  <si>
    <t>1600206024-000</t>
  </si>
  <si>
    <t>1600206026-000</t>
  </si>
  <si>
    <t>1600206028-000</t>
  </si>
  <si>
    <t>1600206030-000</t>
  </si>
  <si>
    <t>1600206035-000</t>
  </si>
  <si>
    <t>1600206037-000</t>
  </si>
  <si>
    <t>1600206038-000</t>
  </si>
  <si>
    <t>1600209002-000</t>
  </si>
  <si>
    <t>1600209003-000</t>
  </si>
  <si>
    <t>1600209004-000</t>
  </si>
  <si>
    <t>1600209006-000</t>
  </si>
  <si>
    <t>1600209009-000</t>
  </si>
  <si>
    <t>1600209012-000</t>
  </si>
  <si>
    <t>1600209015-000</t>
  </si>
  <si>
    <t>1600210004-000</t>
  </si>
  <si>
    <t>1600210005-000</t>
  </si>
  <si>
    <t>1600210014-000</t>
  </si>
  <si>
    <t>1600210033-000</t>
  </si>
  <si>
    <t>1600210034-000</t>
  </si>
  <si>
    <t>1600210035-000</t>
  </si>
  <si>
    <t>1600210037-000</t>
  </si>
  <si>
    <t>1600210038-000</t>
  </si>
  <si>
    <t>1600210039-000</t>
  </si>
  <si>
    <t>1600210041-000</t>
  </si>
  <si>
    <t>1600210044-000</t>
  </si>
  <si>
    <t>1600210045-000</t>
  </si>
  <si>
    <t>1600210047-000</t>
  </si>
  <si>
    <t>1600210049-000</t>
  </si>
  <si>
    <t>1600210050-000</t>
  </si>
  <si>
    <t>1600210055-000</t>
  </si>
  <si>
    <t>160021005S-000</t>
  </si>
  <si>
    <t>160021005U-000</t>
  </si>
  <si>
    <t>160021005V-000</t>
  </si>
  <si>
    <t>1600210060-000</t>
  </si>
  <si>
    <t>160021007H-000</t>
  </si>
  <si>
    <t>160021007U-000</t>
  </si>
  <si>
    <t>1600210094-000</t>
  </si>
  <si>
    <t>1600210096-000</t>
  </si>
  <si>
    <t>160021009M-000</t>
  </si>
  <si>
    <t>1600210246-000</t>
  </si>
  <si>
    <t>1600210253-000</t>
  </si>
  <si>
    <t>1600220029-000</t>
  </si>
  <si>
    <t>160022002A-000</t>
  </si>
  <si>
    <t>1600221003-000</t>
  </si>
  <si>
    <t>1600224025-000</t>
  </si>
  <si>
    <t>1600283003-000</t>
  </si>
  <si>
    <t>1600283004-000</t>
  </si>
  <si>
    <t>1600290007-000</t>
  </si>
  <si>
    <t>1600290008-000</t>
  </si>
  <si>
    <t>1600290012-000</t>
  </si>
  <si>
    <t>1600290013-000</t>
  </si>
  <si>
    <t>1600290016-000</t>
  </si>
  <si>
    <t>1600290018-000</t>
  </si>
  <si>
    <t>1600290019-000</t>
  </si>
  <si>
    <t>1600290020-000</t>
  </si>
  <si>
    <t>1600290050-000</t>
  </si>
  <si>
    <t>1600290051-000</t>
  </si>
  <si>
    <t>1600290057-000</t>
  </si>
  <si>
    <t>1600290060-000</t>
  </si>
  <si>
    <t>1600290064-000</t>
  </si>
  <si>
    <t>1600300028-000</t>
  </si>
  <si>
    <t>1600300090-000</t>
  </si>
  <si>
    <t>1600300096-000</t>
  </si>
  <si>
    <t>160030010K-000</t>
  </si>
  <si>
    <t>160030010X-000</t>
  </si>
  <si>
    <t>1600300112-000</t>
  </si>
  <si>
    <t>160030011H-000</t>
  </si>
  <si>
    <t>160030011X-000</t>
  </si>
  <si>
    <t>1600301011-000</t>
  </si>
  <si>
    <t>1600301900-000</t>
  </si>
  <si>
    <t>1600306000-000</t>
  </si>
  <si>
    <t>1600306001-000</t>
  </si>
  <si>
    <t>1600309004-000</t>
  </si>
  <si>
    <t>1600320011-000</t>
  </si>
  <si>
    <t>1600320026-000</t>
  </si>
  <si>
    <t>1600320028-000</t>
  </si>
  <si>
    <t>1600322034-000</t>
  </si>
  <si>
    <t>1600328030-000</t>
  </si>
  <si>
    <t>1600362018-000</t>
  </si>
  <si>
    <t>1600390011-000</t>
  </si>
  <si>
    <t>1600390012-000</t>
  </si>
  <si>
    <t>1600390018-000</t>
  </si>
  <si>
    <t>1600390019-000</t>
  </si>
  <si>
    <t>1600422011-000</t>
  </si>
  <si>
    <t>1600460038-000</t>
  </si>
  <si>
    <t>1600460039-000</t>
  </si>
  <si>
    <t>1600500022-000</t>
  </si>
  <si>
    <t>1600501019-000</t>
  </si>
  <si>
    <t>1600501024-000</t>
  </si>
  <si>
    <t>1600501025-000</t>
  </si>
  <si>
    <t>1600501065-000</t>
  </si>
  <si>
    <t>1600501066-000</t>
  </si>
  <si>
    <t>1600502004-000</t>
  </si>
  <si>
    <t>1600502006-000</t>
  </si>
  <si>
    <t>1600502007-000</t>
  </si>
  <si>
    <t>1600502011-000</t>
  </si>
  <si>
    <t>1600502012-000</t>
  </si>
  <si>
    <t>1600502013-000</t>
  </si>
  <si>
    <t>1600502014-000</t>
  </si>
  <si>
    <t>1600502015-000</t>
  </si>
  <si>
    <t>1600502019-000</t>
  </si>
  <si>
    <t>1600502020-000</t>
  </si>
  <si>
    <t>1600502023-000</t>
  </si>
  <si>
    <t>1600502024-000</t>
  </si>
  <si>
    <t>1600506009-000</t>
  </si>
  <si>
    <t>1600506010-000</t>
  </si>
  <si>
    <t>1600508005-000</t>
  </si>
  <si>
    <t>1600508011-000</t>
  </si>
  <si>
    <t>1600508016-000</t>
  </si>
  <si>
    <t>1600508017-000</t>
  </si>
  <si>
    <t>1600508018-000</t>
  </si>
  <si>
    <t>1600508031-000</t>
  </si>
  <si>
    <t>1600590012-000</t>
  </si>
  <si>
    <t>1600590014-000</t>
  </si>
  <si>
    <t>1600590015-000</t>
  </si>
  <si>
    <t>1600590016-000</t>
  </si>
  <si>
    <t>1600590018-000</t>
  </si>
  <si>
    <t>1600591006-000</t>
  </si>
  <si>
    <t>1600591008-000</t>
  </si>
  <si>
    <t>1600591010-000</t>
  </si>
  <si>
    <t>1600591011-000</t>
  </si>
  <si>
    <t>1600591013-000</t>
  </si>
  <si>
    <t>1600591014-000</t>
  </si>
  <si>
    <t>1600591016-000</t>
  </si>
  <si>
    <t>1600591023-000</t>
  </si>
  <si>
    <t>1600591024-000</t>
  </si>
  <si>
    <t>1600591028-000</t>
  </si>
  <si>
    <t>1600591029-000</t>
  </si>
  <si>
    <t>1600591031-000</t>
  </si>
  <si>
    <t>1600591035-000</t>
  </si>
  <si>
    <t>1600591036-000</t>
  </si>
  <si>
    <t>1600591037-000</t>
  </si>
  <si>
    <t>1600591041-000</t>
  </si>
  <si>
    <t>1600591042-000</t>
  </si>
  <si>
    <t>1600591044-000</t>
  </si>
  <si>
    <t>1600591045-000</t>
  </si>
  <si>
    <t>1600591046-000</t>
  </si>
  <si>
    <t>1600591047-000</t>
  </si>
  <si>
    <t>1600591048-000</t>
  </si>
  <si>
    <t>1600591050-000</t>
  </si>
  <si>
    <t>1600591051-000</t>
  </si>
  <si>
    <t>1600591054-000</t>
  </si>
  <si>
    <t>1600591056-000</t>
  </si>
  <si>
    <t>160059105G-000</t>
  </si>
  <si>
    <t>160059105N-000</t>
  </si>
  <si>
    <t>160059105S-000</t>
  </si>
  <si>
    <t>160059105T-000</t>
  </si>
  <si>
    <t>160059105Z-000</t>
  </si>
  <si>
    <t>1600591065-000</t>
  </si>
  <si>
    <t>1600591066-000</t>
  </si>
  <si>
    <t>1600591068-000</t>
  </si>
  <si>
    <t>160059106M-000</t>
  </si>
  <si>
    <t>160059106N-000</t>
  </si>
  <si>
    <t>160059106W-000</t>
  </si>
  <si>
    <t>1600591075-000</t>
  </si>
  <si>
    <t>160059107-000</t>
  </si>
  <si>
    <t>1600703009-000</t>
  </si>
  <si>
    <t>1600703010-000</t>
  </si>
  <si>
    <t>1600703016-000</t>
  </si>
  <si>
    <t>1600703023-000</t>
  </si>
  <si>
    <t>1600703027-000</t>
  </si>
  <si>
    <t>1600703030-000</t>
  </si>
  <si>
    <t>1600703032-000</t>
  </si>
  <si>
    <t>1600703033-000</t>
  </si>
  <si>
    <t>1600703034-000</t>
  </si>
  <si>
    <t>1600703035-000</t>
  </si>
  <si>
    <t>1600703036-000</t>
  </si>
  <si>
    <t>1600703037-000</t>
  </si>
  <si>
    <t>1600703039-000</t>
  </si>
  <si>
    <t>1600703040-000</t>
  </si>
  <si>
    <t>1600703041-000</t>
  </si>
  <si>
    <t>1600703043-000</t>
  </si>
  <si>
    <t>1600703048-000</t>
  </si>
  <si>
    <t>160070304-000</t>
  </si>
  <si>
    <t>160070304F-000</t>
  </si>
  <si>
    <t>160070304H-000</t>
  </si>
  <si>
    <t>160070304K-000</t>
  </si>
  <si>
    <t>160070304N-000</t>
  </si>
  <si>
    <t>160070304R-000</t>
  </si>
  <si>
    <t>160070305B-000</t>
  </si>
  <si>
    <t>1600712030-000</t>
  </si>
  <si>
    <t>160071203J-000</t>
  </si>
  <si>
    <t>1600795008-000</t>
  </si>
  <si>
    <t>1600900001-000</t>
  </si>
  <si>
    <t>1600900020-000</t>
  </si>
  <si>
    <t>1600900024-000</t>
  </si>
  <si>
    <t>1600900027-000</t>
  </si>
  <si>
    <t>1600900029-000</t>
  </si>
  <si>
    <t>1600900032-000</t>
  </si>
  <si>
    <t>1600900041-000</t>
  </si>
  <si>
    <t>1600900045-000</t>
  </si>
  <si>
    <t>1600900046-000</t>
  </si>
  <si>
    <t>160090004H-000</t>
  </si>
  <si>
    <t>1600900053-000</t>
  </si>
  <si>
    <t>1600900054-000</t>
  </si>
  <si>
    <t>1600900055-000</t>
  </si>
  <si>
    <t>160090005X-000</t>
  </si>
  <si>
    <t>160090005Y-000</t>
  </si>
  <si>
    <t>160090005Z-000</t>
  </si>
  <si>
    <t>160090006B-000</t>
  </si>
  <si>
    <t>160090006C-000</t>
  </si>
  <si>
    <t>160090006D-000</t>
  </si>
  <si>
    <t>160090006-000</t>
  </si>
  <si>
    <t>160090006F-000</t>
  </si>
  <si>
    <t>160090006Y-000</t>
  </si>
  <si>
    <t>1600900079-000</t>
  </si>
  <si>
    <t>160090007R-000</t>
  </si>
  <si>
    <t>160090007S-000</t>
  </si>
  <si>
    <t>160090007T-000</t>
  </si>
  <si>
    <t>1600900088-000</t>
  </si>
  <si>
    <t>160090008N-000</t>
  </si>
  <si>
    <t>160090009G-000</t>
  </si>
  <si>
    <t>1600905009-000</t>
  </si>
  <si>
    <t>1600905011-000</t>
  </si>
  <si>
    <t>1600905016-000</t>
  </si>
  <si>
    <t>1600905017-000</t>
  </si>
  <si>
    <t>1600905026-000</t>
  </si>
  <si>
    <t>1600905028-000</t>
  </si>
  <si>
    <t>1600905032-000</t>
  </si>
  <si>
    <t>1600905034-000</t>
  </si>
  <si>
    <t>1600905035-000</t>
  </si>
  <si>
    <t>1600910001-000</t>
  </si>
  <si>
    <t>1600910002-000</t>
  </si>
  <si>
    <t>1600910010-000</t>
  </si>
  <si>
    <t>1600910011-000</t>
  </si>
  <si>
    <t>1600910012-000</t>
  </si>
  <si>
    <t>1600910013-000</t>
  </si>
  <si>
    <t>1600910014-000</t>
  </si>
  <si>
    <t>1600910018-000</t>
  </si>
  <si>
    <t>1600920000-000</t>
  </si>
  <si>
    <t>1600A00039-000</t>
  </si>
  <si>
    <t>1600A00071-000</t>
  </si>
  <si>
    <t>1600A00092-000</t>
  </si>
  <si>
    <t>1600A00093-000</t>
  </si>
  <si>
    <t>1600A00094-000</t>
  </si>
  <si>
    <t>1600A00095-000</t>
  </si>
  <si>
    <t>1600A00096-000</t>
  </si>
  <si>
    <t>1600A000A1-000</t>
  </si>
  <si>
    <t>1600A000A2-000</t>
  </si>
  <si>
    <t>1600A000A3-000</t>
  </si>
  <si>
    <t>1600A000A5-000</t>
  </si>
  <si>
    <t>1600A000A6-000</t>
  </si>
  <si>
    <t>1600A000A8-000</t>
  </si>
  <si>
    <t>1600A000AA-000</t>
  </si>
  <si>
    <t>1600A000AB-000</t>
  </si>
  <si>
    <t>1600A000K3-000</t>
  </si>
  <si>
    <t>1600A000LE-000</t>
  </si>
  <si>
    <t>1600A000R5-000</t>
  </si>
  <si>
    <t>1600A000R7-000</t>
  </si>
  <si>
    <t>1600A000XS-000</t>
  </si>
  <si>
    <t>1600A000XT-000</t>
  </si>
  <si>
    <t>1600A000XU-000</t>
  </si>
  <si>
    <t>1600A000XV-000</t>
  </si>
  <si>
    <t>1600A0013J-000</t>
  </si>
  <si>
    <t>1600A0013V-000</t>
  </si>
  <si>
    <t>1600A0013W-000</t>
  </si>
  <si>
    <t>1600A0013X-000</t>
  </si>
  <si>
    <t>1600A0014G-000</t>
  </si>
  <si>
    <t>1600A0015D-000</t>
  </si>
  <si>
    <t>1600A0015E-000</t>
  </si>
  <si>
    <t>1600A0015F-000</t>
  </si>
  <si>
    <t>1600A0015H-000</t>
  </si>
  <si>
    <t>1600A0015N-000</t>
  </si>
  <si>
    <t>1600A0015P-000</t>
  </si>
  <si>
    <t>1600A00168-000</t>
  </si>
  <si>
    <t>1600A00175-000</t>
  </si>
  <si>
    <t>1600A00188-000</t>
  </si>
  <si>
    <t>1600A001BG-000</t>
  </si>
  <si>
    <t>1600A001CL-000</t>
  </si>
  <si>
    <t>1600A001CP-000</t>
  </si>
  <si>
    <t>1600A001CR-000</t>
  </si>
  <si>
    <t>1600A001CS-000</t>
  </si>
  <si>
    <t>1600A001CT-000</t>
  </si>
  <si>
    <t>1600A001E5-000</t>
  </si>
  <si>
    <t>1600A001ED-000</t>
  </si>
  <si>
    <t>1600A001MJ-000</t>
  </si>
  <si>
    <t>1600A001MK-000</t>
  </si>
  <si>
    <t>1600A001PY-000</t>
  </si>
  <si>
    <t>1600A001XA-000</t>
  </si>
  <si>
    <t>1600A001XC-000</t>
  </si>
  <si>
    <t>1600A001XD-000</t>
  </si>
  <si>
    <t>1600A001XE-000</t>
  </si>
  <si>
    <t>1600A001XF-000</t>
  </si>
  <si>
    <t>1600A001Y6-000</t>
  </si>
  <si>
    <t>1600A00206-000</t>
  </si>
  <si>
    <t>1600A00207-000</t>
  </si>
  <si>
    <t>1600A0020M-000</t>
  </si>
  <si>
    <t>1600A0020N-000</t>
  </si>
  <si>
    <t>1600A0020X-000</t>
  </si>
  <si>
    <t>1600A00218-000</t>
  </si>
  <si>
    <t>1600A0022W-000</t>
  </si>
  <si>
    <t>1600A002NE-000</t>
  </si>
  <si>
    <t>1600A002PC-000</t>
  </si>
  <si>
    <t>1600A002PM-000</t>
  </si>
  <si>
    <t>1600A002PP-000</t>
  </si>
  <si>
    <t>1600A002PR-000</t>
  </si>
  <si>
    <t>1600A002PS-000</t>
  </si>
  <si>
    <t>1600A002YB-000</t>
  </si>
  <si>
    <t>1600A002YF-000</t>
  </si>
  <si>
    <t>1600A002YG-000</t>
  </si>
  <si>
    <t>1600A00305-000</t>
  </si>
  <si>
    <t>1600A00307-000</t>
  </si>
  <si>
    <t>1600A00308-000</t>
  </si>
  <si>
    <t>1600A0030F-000</t>
  </si>
  <si>
    <t>1600A0030G-000</t>
  </si>
  <si>
    <t>1600A0030J-000</t>
  </si>
  <si>
    <t>1600A0030L-000</t>
  </si>
  <si>
    <t>1600A0030R-000</t>
  </si>
  <si>
    <t>1600A0030W-000</t>
  </si>
  <si>
    <t>1600A0032J-000</t>
  </si>
  <si>
    <t>1600A0033N-000</t>
  </si>
  <si>
    <t>1600A0037C-000</t>
  </si>
  <si>
    <t>1600A0037G-000</t>
  </si>
  <si>
    <t>1600A0039T-000</t>
  </si>
  <si>
    <t>1600A003A1-000</t>
  </si>
  <si>
    <t>1600A003A2-000</t>
  </si>
  <si>
    <t>1600A003A5-000</t>
  </si>
  <si>
    <t>1600A003DA-000</t>
  </si>
  <si>
    <t>1600A003DY-000</t>
  </si>
  <si>
    <t>1600A003DZ-000</t>
  </si>
  <si>
    <t>1600A003E0-000</t>
  </si>
  <si>
    <t>1600A003E1-000</t>
  </si>
  <si>
    <t>1600A003E2-000</t>
  </si>
  <si>
    <t>1600A003E4-000</t>
  </si>
  <si>
    <t>1600A003E5-000</t>
  </si>
  <si>
    <t>1600A003E6-000</t>
  </si>
  <si>
    <t>1600A003E7-000</t>
  </si>
  <si>
    <t>1600A003E8-000</t>
  </si>
  <si>
    <t>1600A003E9-000</t>
  </si>
  <si>
    <t>1600A003EA-000</t>
  </si>
  <si>
    <t>1600A003EC-000</t>
  </si>
  <si>
    <t>1600A003ED-000</t>
  </si>
  <si>
    <t>1600A003EF-000</t>
  </si>
  <si>
    <t>1600A003EL-000</t>
  </si>
  <si>
    <t>1600A003EN-000</t>
  </si>
  <si>
    <t>1600A003EP-000</t>
  </si>
  <si>
    <t>1600A003ER-000</t>
  </si>
  <si>
    <t>1600A003ES-000</t>
  </si>
  <si>
    <t>1600A003FU-000</t>
  </si>
  <si>
    <t>1600A003FV-000</t>
  </si>
  <si>
    <t>1600A003G4-000</t>
  </si>
  <si>
    <t>1600A003MA-000</t>
  </si>
  <si>
    <t>1600A003ND-000</t>
  </si>
  <si>
    <t>1600A003SK-000</t>
  </si>
  <si>
    <t>1600A003SL-000</t>
  </si>
  <si>
    <t>1600A003SN-000</t>
  </si>
  <si>
    <t>1600A003SP-000</t>
  </si>
  <si>
    <t>1600A003ST-000</t>
  </si>
  <si>
    <t>1600A003TD-000</t>
  </si>
  <si>
    <t>1600A003TE-000</t>
  </si>
  <si>
    <t>1600A003TF-000</t>
  </si>
  <si>
    <t>1600A003TG-000</t>
  </si>
  <si>
    <t>1600A003TK-000</t>
  </si>
  <si>
    <t>1600A003TL-000</t>
  </si>
  <si>
    <t>1600A003TP-000</t>
  </si>
  <si>
    <t>1600A003TS-000</t>
  </si>
  <si>
    <t>1600A003TT-000</t>
  </si>
  <si>
    <t>1600A003V5-000</t>
  </si>
  <si>
    <t>1600A003YK-000</t>
  </si>
  <si>
    <t>1600A003YL-000</t>
  </si>
  <si>
    <t>1600A0048F-000</t>
  </si>
  <si>
    <t>1600A0048G-000</t>
  </si>
  <si>
    <t>1600A0048H-000</t>
  </si>
  <si>
    <t>1600A0048K-000</t>
  </si>
  <si>
    <t>1600A004BM-000</t>
  </si>
  <si>
    <t>1600A004D8-000</t>
  </si>
  <si>
    <t>1600A004D9-000</t>
  </si>
  <si>
    <t>1600A004DH-000</t>
  </si>
  <si>
    <t>1600A004DT-000</t>
  </si>
  <si>
    <t>1600A004E6-000</t>
  </si>
  <si>
    <t>1600A004HA-000</t>
  </si>
  <si>
    <t>1600A004HD-000</t>
  </si>
  <si>
    <t>1600A004HE-000</t>
  </si>
  <si>
    <t>1600A004HH-000</t>
  </si>
  <si>
    <t>1600A004HJ-000</t>
  </si>
  <si>
    <t>1600A004HM-000</t>
  </si>
  <si>
    <t>1600A004TF-000</t>
  </si>
  <si>
    <t>1600A005A4-000</t>
  </si>
  <si>
    <t>1600A005AB-000</t>
  </si>
  <si>
    <t>1600A005AC-000</t>
  </si>
  <si>
    <t>1600A005AD-000</t>
  </si>
  <si>
    <t>1600A005AF-000</t>
  </si>
  <si>
    <t>1600A005AL-000</t>
  </si>
  <si>
    <t>1600A005AM-000</t>
  </si>
  <si>
    <t>1600A005AN-000</t>
  </si>
  <si>
    <t>1600A005AP-000</t>
  </si>
  <si>
    <t>1600A005AR-000</t>
  </si>
  <si>
    <t>1600A005AS-000</t>
  </si>
  <si>
    <t>1600A005AT-000</t>
  </si>
  <si>
    <t>1600A005B7-000</t>
  </si>
  <si>
    <t>1600A005BD-000</t>
  </si>
  <si>
    <t>1600A005BH-000</t>
  </si>
  <si>
    <t>1600A005BT-000</t>
  </si>
  <si>
    <t>1600A005BV-000</t>
  </si>
  <si>
    <t>1600A005HN-000</t>
  </si>
  <si>
    <t>1600A005HP-000</t>
  </si>
  <si>
    <t>1600A005HR-000</t>
  </si>
  <si>
    <t>1600A005HS-000</t>
  </si>
  <si>
    <t>1600A006ZT-000</t>
  </si>
  <si>
    <t>1600A006ZW-000</t>
  </si>
  <si>
    <t>1600A006ZX-000</t>
  </si>
  <si>
    <t>1600A006ZY-000</t>
  </si>
  <si>
    <t>1600A006ZZ-000</t>
  </si>
  <si>
    <t>1600A00722-000</t>
  </si>
  <si>
    <t>1600A00724-000</t>
  </si>
  <si>
    <t>1600A00726-000</t>
  </si>
  <si>
    <t>1600A0072C-000</t>
  </si>
  <si>
    <t>1600A0072E-000</t>
  </si>
  <si>
    <t>1600A00733-000</t>
  </si>
  <si>
    <t>1600A0073C-000</t>
  </si>
  <si>
    <t>1600A00748-000</t>
  </si>
  <si>
    <t>1600A00752-000</t>
  </si>
  <si>
    <t>1600A0078U-000</t>
  </si>
  <si>
    <t>1600A00798-000</t>
  </si>
  <si>
    <t>1600A007JH-000</t>
  </si>
  <si>
    <t>1600A007JW-000</t>
  </si>
  <si>
    <t>1600A007RE-000</t>
  </si>
  <si>
    <t>1600A007RX-000</t>
  </si>
  <si>
    <t>1600A007RY-000</t>
  </si>
  <si>
    <t>1600A007RZ-000</t>
  </si>
  <si>
    <t>1600A007TL-000</t>
  </si>
  <si>
    <t>1600A0086Z-000</t>
  </si>
  <si>
    <t>1600A0089A-000</t>
  </si>
  <si>
    <t>1600A0089F-000</t>
  </si>
  <si>
    <t>1600A008A0-000</t>
  </si>
  <si>
    <t>1600A008AG-000</t>
  </si>
  <si>
    <t>1600A008BL-000</t>
  </si>
  <si>
    <t>1600A008BT-000</t>
  </si>
  <si>
    <t>1600A008C6-000</t>
  </si>
  <si>
    <t>1600A008CS-000</t>
  </si>
  <si>
    <t>1600A008CT-000</t>
  </si>
  <si>
    <t>1600A008D3-000</t>
  </si>
  <si>
    <t>1600A008D5-000</t>
  </si>
  <si>
    <t>1600A008D9-000</t>
  </si>
  <si>
    <t>1600A008DC-000</t>
  </si>
  <si>
    <t>1600A008DE-000</t>
  </si>
  <si>
    <t>1600A008DF-000</t>
  </si>
  <si>
    <t>1600A008DG-000</t>
  </si>
  <si>
    <t>1600A008DJ-000</t>
  </si>
  <si>
    <t>1600A008DK-000</t>
  </si>
  <si>
    <t>1600A008DN-000</t>
  </si>
  <si>
    <t>1600A008DX-000</t>
  </si>
  <si>
    <t>1600A008F6-000</t>
  </si>
  <si>
    <t>1600A008RB-000</t>
  </si>
  <si>
    <t>1600A008RC-000</t>
  </si>
  <si>
    <t>1600A008RG-000</t>
  </si>
  <si>
    <t>1600A008RH-000</t>
  </si>
  <si>
    <t>1600A008RJ-000</t>
  </si>
  <si>
    <t>1600A008RK-000</t>
  </si>
  <si>
    <t>1600A008RL-000</t>
  </si>
  <si>
    <t>1600A008RM-000</t>
  </si>
  <si>
    <t>1600A008RR-000</t>
  </si>
  <si>
    <t>1600A008RT-000</t>
  </si>
  <si>
    <t>1600A008RW-000</t>
  </si>
  <si>
    <t>1600A008RX-000</t>
  </si>
  <si>
    <t>1600A008S7-000</t>
  </si>
  <si>
    <t>1600A008S8-000</t>
  </si>
  <si>
    <t>1600A008SA-000</t>
  </si>
  <si>
    <t>1600A008SC-000</t>
  </si>
  <si>
    <t>1600A0092A-000</t>
  </si>
  <si>
    <t>1600A0093R-000</t>
  </si>
  <si>
    <t>1600A0093S-000</t>
  </si>
  <si>
    <t>1600A0093T-000</t>
  </si>
  <si>
    <t>1600A009AN-000</t>
  </si>
  <si>
    <t>1600A009VG-000</t>
  </si>
  <si>
    <t>1600A00AR1-000</t>
  </si>
  <si>
    <t>1600A00AR5-000</t>
  </si>
  <si>
    <t>1600A00B6M-000</t>
  </si>
  <si>
    <t>1600A00B6N-000</t>
  </si>
  <si>
    <t>1600A00B71-000</t>
  </si>
  <si>
    <t>1600A00B92-000</t>
  </si>
  <si>
    <t>1600A00C17-000</t>
  </si>
  <si>
    <t>1600A00C2J-000</t>
  </si>
  <si>
    <t>1600A00C3T-000</t>
  </si>
  <si>
    <t>1600A00D2R-000</t>
  </si>
  <si>
    <t>1600A00D2Z-000</t>
  </si>
  <si>
    <t>1600A00D66-000</t>
  </si>
  <si>
    <t>1600A00D6J-000</t>
  </si>
  <si>
    <t>1600A00D78-000</t>
  </si>
  <si>
    <t>1600A00DC1-000</t>
  </si>
  <si>
    <t>1600A00DH4-000</t>
  </si>
  <si>
    <t>1600A00DT5-000</t>
  </si>
  <si>
    <t>1600A00E0F-000</t>
  </si>
  <si>
    <t>1600A00EY1-000</t>
  </si>
  <si>
    <t>1600A00F3K-000</t>
  </si>
  <si>
    <t>1600A00F4S-000</t>
  </si>
  <si>
    <t>1600A00F4T-000</t>
  </si>
  <si>
    <t>1600A00F4U-000</t>
  </si>
  <si>
    <t>1600A00F4V-000</t>
  </si>
  <si>
    <t>1600A00F4W-000</t>
  </si>
  <si>
    <t>1600A00F8P-000</t>
  </si>
  <si>
    <t>1600A00F9H-000</t>
  </si>
  <si>
    <t>1600A00FC4-000</t>
  </si>
  <si>
    <t>1600A00FG7-000</t>
  </si>
  <si>
    <t>1600A00FL3-000</t>
  </si>
  <si>
    <t>1600A00H3A-000</t>
  </si>
  <si>
    <t>1600A00H64-000</t>
  </si>
  <si>
    <t>1600A00H7C-000</t>
  </si>
  <si>
    <t>1600A00H7D-000</t>
  </si>
  <si>
    <t>1600A00H7E-000</t>
  </si>
  <si>
    <t>1600A00H7F-000</t>
  </si>
  <si>
    <t>1600A00H85-000</t>
  </si>
  <si>
    <t>1600A00H89-000</t>
  </si>
  <si>
    <t>1600A00H8B-000</t>
  </si>
  <si>
    <t>1600A00H8D-000</t>
  </si>
  <si>
    <t>1600A00H8G-000</t>
  </si>
  <si>
    <t>1600A00H8H-000</t>
  </si>
  <si>
    <t>1600A00H8J-000</t>
  </si>
  <si>
    <t>1600A00H8K-000</t>
  </si>
  <si>
    <t>1600A00H8N-000</t>
  </si>
  <si>
    <t>1600A00H8P-000</t>
  </si>
  <si>
    <t>1600A00H8R-000</t>
  </si>
  <si>
    <t>1600A00H8X-000</t>
  </si>
  <si>
    <t>1600A00H8Y-000</t>
  </si>
  <si>
    <t>1600A00H8Z-000</t>
  </si>
  <si>
    <t>1600A00H90-000</t>
  </si>
  <si>
    <t>1600A00H92-000</t>
  </si>
  <si>
    <t>1600A00H93-000</t>
  </si>
  <si>
    <t>1600A00H9S-000</t>
  </si>
  <si>
    <t>1600A00HG2-000</t>
  </si>
  <si>
    <t>1600A00HN7-000</t>
  </si>
  <si>
    <t>1600A00HZ4-000</t>
  </si>
  <si>
    <t>1600A00HZ5-000</t>
  </si>
  <si>
    <t>1600A00J16-000</t>
  </si>
  <si>
    <t>1600A00J1B-000</t>
  </si>
  <si>
    <t>1600A00J37-000</t>
  </si>
  <si>
    <t>1600A00J5S-000</t>
  </si>
  <si>
    <t>1600A00J93-000</t>
  </si>
  <si>
    <t>1600A00J95-000</t>
  </si>
  <si>
    <t>1600A00JB1-000</t>
  </si>
  <si>
    <t>1600A00JE7-000</t>
  </si>
  <si>
    <t>1600A00JN1-000</t>
  </si>
  <si>
    <t>1600A00JN2-000</t>
  </si>
  <si>
    <t>1600A00L3B-000</t>
  </si>
  <si>
    <t>1600A00L5X-000</t>
  </si>
  <si>
    <t>1600A00M4P-000</t>
  </si>
  <si>
    <t>1600A00M52-000</t>
  </si>
  <si>
    <t>1600A00M53-000</t>
  </si>
  <si>
    <t>1600A00M5K-000</t>
  </si>
  <si>
    <t>1600A00M5U-000</t>
  </si>
  <si>
    <t>1600A00M85-000</t>
  </si>
  <si>
    <t>1600A00M8F-000</t>
  </si>
  <si>
    <t>1600A00M8J-000</t>
  </si>
  <si>
    <t>1600A00MM2-000</t>
  </si>
  <si>
    <t>1600A00MP2-000</t>
  </si>
  <si>
    <t>1600A00MS2-000</t>
  </si>
  <si>
    <t>1600A00MX9-000</t>
  </si>
  <si>
    <t>1600A00N2Y-000</t>
  </si>
  <si>
    <t>1600A00N5Z-000</t>
  </si>
  <si>
    <t>1600A00N7Y-000</t>
  </si>
  <si>
    <t>1600A00N82-000</t>
  </si>
  <si>
    <t>1600A00N99-000</t>
  </si>
  <si>
    <t>1600A00N9B-000</t>
  </si>
  <si>
    <t>1600A00N9C-000</t>
  </si>
  <si>
    <t>1600A00N9D-000</t>
  </si>
  <si>
    <t>1600A00N9E-000</t>
  </si>
  <si>
    <t>1600A00N9J-000</t>
  </si>
  <si>
    <t>1600A00N9L-000</t>
  </si>
  <si>
    <t>1600A00NF1-000</t>
  </si>
  <si>
    <t>1600A00NK3-000</t>
  </si>
  <si>
    <t>1600A00NK6-000</t>
  </si>
  <si>
    <t>1600A00NL0-000</t>
  </si>
  <si>
    <t>1600A00NL4-000</t>
  </si>
  <si>
    <t>1600A00NL8-000</t>
  </si>
  <si>
    <t>1600A00NL9-000</t>
  </si>
  <si>
    <t>1600A00NM0-000</t>
  </si>
  <si>
    <t>1600A00NM4-000</t>
  </si>
  <si>
    <t>1600A00NM5-000</t>
  </si>
  <si>
    <t>1600A00NM8-000</t>
  </si>
  <si>
    <t>1600A00NN2-000</t>
  </si>
  <si>
    <t>1600A00NP3-000</t>
  </si>
  <si>
    <t>1600A00NP9-000</t>
  </si>
  <si>
    <t>1600A00NR9-000</t>
  </si>
  <si>
    <t>1600A00P14-000</t>
  </si>
  <si>
    <t>1600A00P17-000</t>
  </si>
  <si>
    <t>1600A00P18-000</t>
  </si>
  <si>
    <t>1600A00P1B-000</t>
  </si>
  <si>
    <t>1600A00P1T-000</t>
  </si>
  <si>
    <t>1600A00P2N-000</t>
  </si>
  <si>
    <t>1600A00P4H-000</t>
  </si>
  <si>
    <t>1600A00P4K-000</t>
  </si>
  <si>
    <t>1600A00P4M-000</t>
  </si>
  <si>
    <t>1600A00PB4-000</t>
  </si>
  <si>
    <t>1600A00PC0-000</t>
  </si>
  <si>
    <t>1600A00PE3-000</t>
  </si>
  <si>
    <t>1600A00R0L-000</t>
  </si>
  <si>
    <t>1600A00R0S-000</t>
  </si>
  <si>
    <t>1600A00R0U-000</t>
  </si>
  <si>
    <t>1600A00R6U-000</t>
  </si>
  <si>
    <t>1600A00R9F-000</t>
  </si>
  <si>
    <t>1600A00R9L-000</t>
  </si>
  <si>
    <t>1600A00RD6-000</t>
  </si>
  <si>
    <t>1600A00RK2-000</t>
  </si>
  <si>
    <t>1600A00RK8-000</t>
  </si>
  <si>
    <t>1600A00RK9-000</t>
  </si>
  <si>
    <t>1600A00RM1-000</t>
  </si>
  <si>
    <t>1600A00RM4-000</t>
  </si>
  <si>
    <t>1600A00RM8-000</t>
  </si>
  <si>
    <t>1600A00RR2-000</t>
  </si>
  <si>
    <t>1600A00RU8-000</t>
  </si>
  <si>
    <t>1600A00RV6-000</t>
  </si>
  <si>
    <t>1600A00RV7-000</t>
  </si>
  <si>
    <t>1600A00S4G-000</t>
  </si>
  <si>
    <t>1600A00S4H-000</t>
  </si>
  <si>
    <t>1600A00X5A-000</t>
  </si>
  <si>
    <t>1600A00XB1-000</t>
  </si>
  <si>
    <t>1600A00XC4-000</t>
  </si>
  <si>
    <t>1600A00XC7-000</t>
  </si>
  <si>
    <t>1600A00XC9-000</t>
  </si>
  <si>
    <t>1600A00XD7-000</t>
  </si>
  <si>
    <t>1600A00XF7-000</t>
  </si>
  <si>
    <t>1600A00XK8-000</t>
  </si>
  <si>
    <t>1600A00XL5-000</t>
  </si>
  <si>
    <t>1600A00XL6-000</t>
  </si>
  <si>
    <t>1600A00XL9-000</t>
  </si>
  <si>
    <t>1600A00XM0-000</t>
  </si>
  <si>
    <t>1600A00XR3-000</t>
  </si>
  <si>
    <t>1600A00XS4-000</t>
  </si>
  <si>
    <t>1600A00XU3-000</t>
  </si>
  <si>
    <t>1600A00XU5-000</t>
  </si>
  <si>
    <t>1600A00XU6-000</t>
  </si>
  <si>
    <t>1600A00XU7-000</t>
  </si>
  <si>
    <t>1600A00XY2-000</t>
  </si>
  <si>
    <t>1600A00XZ2-000</t>
  </si>
  <si>
    <t>1600A00XZ6-000</t>
  </si>
  <si>
    <t>1600A00XZ9-000</t>
  </si>
  <si>
    <t>1600A00Y2H-000</t>
  </si>
  <si>
    <t>1600A00Y9B-000</t>
  </si>
  <si>
    <t>1600A00Z28-000</t>
  </si>
  <si>
    <t>1600A00Z5N-000</t>
  </si>
  <si>
    <t>1600A00Z9L-000</t>
  </si>
  <si>
    <t>1600A00Z9U-000</t>
  </si>
  <si>
    <t>1600A00ZS0-000</t>
  </si>
  <si>
    <t>1600A00ZS9-000</t>
  </si>
  <si>
    <t>1600A00ZZ3-000</t>
  </si>
  <si>
    <t>1600A0100K-000</t>
  </si>
  <si>
    <t>1600A0100L-000</t>
  </si>
  <si>
    <t>1600A0103S-000</t>
  </si>
  <si>
    <t>1600A011DL-000</t>
  </si>
  <si>
    <t>1600A011E6-000</t>
  </si>
  <si>
    <t>1600A011EM-000</t>
  </si>
  <si>
    <t>1600A011ER-000</t>
  </si>
  <si>
    <t>1600A011ES-000</t>
  </si>
  <si>
    <t>1600A011G2-000</t>
  </si>
  <si>
    <t>1600A011GY-000</t>
  </si>
  <si>
    <t>1600A011GZ-000</t>
  </si>
  <si>
    <t>1600A011H7-000</t>
  </si>
  <si>
    <t>1600A011H8-000</t>
  </si>
  <si>
    <t>1600A011H9-000</t>
  </si>
  <si>
    <t>1600A011HB-000</t>
  </si>
  <si>
    <t>1600A011HD-000</t>
  </si>
  <si>
    <t>1600A011KY-000</t>
  </si>
  <si>
    <t>1600A011L4-000</t>
  </si>
  <si>
    <t>1600A011PJ-000</t>
  </si>
  <si>
    <t>1600A011PK-000</t>
  </si>
  <si>
    <t>1600A011RL-000</t>
  </si>
  <si>
    <t>1600A011RM-000</t>
  </si>
  <si>
    <t>1600A011RN-000</t>
  </si>
  <si>
    <t>1600A011RP-000</t>
  </si>
  <si>
    <t>1600A011RR-000</t>
  </si>
  <si>
    <t>1600A011RS-000</t>
  </si>
  <si>
    <t>1600A011RT-000</t>
  </si>
  <si>
    <t>1600A011RU-000</t>
  </si>
  <si>
    <t>1600A011RW-000</t>
  </si>
  <si>
    <t>1600A011RX-000</t>
  </si>
  <si>
    <t>1600A011RY-000</t>
  </si>
  <si>
    <t>1600A011RZ-000</t>
  </si>
  <si>
    <t>1600A011S7-000</t>
  </si>
  <si>
    <t>1600A011S8-000</t>
  </si>
  <si>
    <t>1600A011S9-000</t>
  </si>
  <si>
    <t>1600A0123G-000</t>
  </si>
  <si>
    <t>1600A01243-000</t>
  </si>
  <si>
    <t>1600A01268-000</t>
  </si>
  <si>
    <t>1600A0126S-000</t>
  </si>
  <si>
    <t>1600A01286-000</t>
  </si>
  <si>
    <t>1600A012AZ-000</t>
  </si>
  <si>
    <t>1600A012BS-000</t>
  </si>
  <si>
    <t>1600A012CF-000</t>
  </si>
  <si>
    <t>1600A012F8-000</t>
  </si>
  <si>
    <t>1600A012FA-000</t>
  </si>
  <si>
    <t>1600A012FH-000</t>
  </si>
  <si>
    <t>1600A012FK-000</t>
  </si>
  <si>
    <t>1600A012G8-000</t>
  </si>
  <si>
    <t>1600A012H4-000</t>
  </si>
  <si>
    <t>1600A012LA-000</t>
  </si>
  <si>
    <t>1600A012MM-000</t>
  </si>
  <si>
    <t>1600A012MN-000</t>
  </si>
  <si>
    <t>1600A012MP-000</t>
  </si>
  <si>
    <t>1600A012MU-000</t>
  </si>
  <si>
    <t>1600A012MV-000</t>
  </si>
  <si>
    <t>1600A012RS-000</t>
  </si>
  <si>
    <t>1600A012VS-000</t>
  </si>
  <si>
    <t>1600A012VU-000</t>
  </si>
  <si>
    <t>1600A012X9-000</t>
  </si>
  <si>
    <t>1600A012YT-000</t>
  </si>
  <si>
    <t>1600A012ZA-000</t>
  </si>
  <si>
    <t>1600A012ZD-000</t>
  </si>
  <si>
    <t>1600A012ZH-000</t>
  </si>
  <si>
    <t>1600A01300-000</t>
  </si>
  <si>
    <t>1600A01305-000</t>
  </si>
  <si>
    <t>1600A0131C-000</t>
  </si>
  <si>
    <t>1600A0135N-000</t>
  </si>
  <si>
    <t>1600A0137V-000</t>
  </si>
  <si>
    <t>1600A01384-000</t>
  </si>
  <si>
    <t>1600A013A0-000</t>
  </si>
  <si>
    <t>1600A013BF-000</t>
  </si>
  <si>
    <t>1600A013DD-000</t>
  </si>
  <si>
    <t>1600A013TC-000</t>
  </si>
  <si>
    <t>1600A013UA-000</t>
  </si>
  <si>
    <t>1600A013WF-000</t>
  </si>
  <si>
    <t>1600A0140K-000</t>
  </si>
  <si>
    <t>1600A01437-000</t>
  </si>
  <si>
    <t>1600A0145D-000</t>
  </si>
  <si>
    <t>1600A0149S-000</t>
  </si>
  <si>
    <t>1600A014A0-000</t>
  </si>
  <si>
    <t>1600A014A7-000</t>
  </si>
  <si>
    <t>1600A014BT-000</t>
  </si>
  <si>
    <t>1600A014CC-000</t>
  </si>
  <si>
    <t>1600A014CE-000</t>
  </si>
  <si>
    <t>1600A014E1-000</t>
  </si>
  <si>
    <t>1600A014FB-000</t>
  </si>
  <si>
    <t>1600A014FE-000</t>
  </si>
  <si>
    <t>1600A014FK-000</t>
  </si>
  <si>
    <t>1600A014FN-000</t>
  </si>
  <si>
    <t>1600A014FT-000</t>
  </si>
  <si>
    <t>1600A014HJ-000</t>
  </si>
  <si>
    <t>1600A014KM-000</t>
  </si>
  <si>
    <t>1600A014KN-000</t>
  </si>
  <si>
    <t>1600A014KV-000</t>
  </si>
  <si>
    <t>1600A014L1-000</t>
  </si>
  <si>
    <t>1600A014R6-000</t>
  </si>
  <si>
    <t>1600A014S8-000</t>
  </si>
  <si>
    <t>1600A014S9-000</t>
  </si>
  <si>
    <t>1600A014T0-000</t>
  </si>
  <si>
    <t>1600A014TU-000</t>
  </si>
  <si>
    <t>1600A014TW-000</t>
  </si>
  <si>
    <t>1600A014U0-000</t>
  </si>
  <si>
    <t>1600A014U1-000</t>
  </si>
  <si>
    <t>1600A014U2-000</t>
  </si>
  <si>
    <t>1600A014U3-000</t>
  </si>
  <si>
    <t>1600A014UP-000</t>
  </si>
  <si>
    <t>1600A014UR-000</t>
  </si>
  <si>
    <t>1600A014US-000</t>
  </si>
  <si>
    <t>1600A014UT-000</t>
  </si>
  <si>
    <t>1600A014VC-000</t>
  </si>
  <si>
    <t>1600A014VJ-000</t>
  </si>
  <si>
    <t>1600A014VK-000</t>
  </si>
  <si>
    <t>1600A014VL-000</t>
  </si>
  <si>
    <t>1600A0150K-000</t>
  </si>
  <si>
    <t>1600A0152P-000</t>
  </si>
  <si>
    <t>1600A0155U-000</t>
  </si>
  <si>
    <t>1600A0155W-000</t>
  </si>
  <si>
    <t>1600A0155X-000</t>
  </si>
  <si>
    <t>1600A0155Y-000</t>
  </si>
  <si>
    <t>1600A01564-000</t>
  </si>
  <si>
    <t>1600A015AA-000</t>
  </si>
  <si>
    <t>1600A015E8-000</t>
  </si>
  <si>
    <t>1600A015G7-000</t>
  </si>
  <si>
    <t>1600A015MM-000</t>
  </si>
  <si>
    <t>1600A015PA-000</t>
  </si>
  <si>
    <t>1600A015RL-000</t>
  </si>
  <si>
    <t>1600A015RV-000</t>
  </si>
  <si>
    <t>1600A015UH-000</t>
  </si>
  <si>
    <t>1600A015UW-000</t>
  </si>
  <si>
    <t>1600A015X0-000</t>
  </si>
  <si>
    <t>1600A01606-000</t>
  </si>
  <si>
    <t>1600A0160S-000</t>
  </si>
  <si>
    <t>1600A0160T-000</t>
  </si>
  <si>
    <t>1600A0161F-000</t>
  </si>
  <si>
    <t>1600A0162B-000</t>
  </si>
  <si>
    <t>1600A016CY-000</t>
  </si>
  <si>
    <t>1600A016CZ-000</t>
  </si>
  <si>
    <t>1600A016D0-000</t>
  </si>
  <si>
    <t>1600A016D1-000</t>
  </si>
  <si>
    <t>1600A016DA-000</t>
  </si>
  <si>
    <t>1600A016DN-000</t>
  </si>
  <si>
    <t>1600A016EN-000</t>
  </si>
  <si>
    <t>1600A016EP-000</t>
  </si>
  <si>
    <t>1600A016JC-000</t>
  </si>
  <si>
    <t>1600A016ML-000</t>
  </si>
  <si>
    <t>1600A016MW-000</t>
  </si>
  <si>
    <t>1600A016PP-000</t>
  </si>
  <si>
    <t>1600A016PW-000</t>
  </si>
  <si>
    <t>1600A016PX-000</t>
  </si>
  <si>
    <t>1600A016SU-000</t>
  </si>
  <si>
    <t>1600A016U4-000</t>
  </si>
  <si>
    <t>1600A016YW-000</t>
  </si>
  <si>
    <t>1600A016ZT-000</t>
  </si>
  <si>
    <t>1600A0174J-000</t>
  </si>
  <si>
    <t>1600A0178V-000</t>
  </si>
  <si>
    <t>1600A017EM-000</t>
  </si>
  <si>
    <t>1600A017HF-000</t>
  </si>
  <si>
    <t>1600A017HH-000</t>
  </si>
  <si>
    <t>1600A017J3-000</t>
  </si>
  <si>
    <t>1600A018TN-000</t>
  </si>
  <si>
    <t>1600A018U8-000</t>
  </si>
  <si>
    <t>1600A018W7-000</t>
  </si>
  <si>
    <t>1600A018W8-000</t>
  </si>
  <si>
    <t>1600A018Z2-000</t>
  </si>
  <si>
    <t>1600A0192G-000</t>
  </si>
  <si>
    <t>1600A01953-000</t>
  </si>
  <si>
    <t>1600A0195K-000</t>
  </si>
  <si>
    <t>1600A019AD-000</t>
  </si>
  <si>
    <t>1600A019B3-000</t>
  </si>
  <si>
    <t>1600A019DG-000</t>
  </si>
  <si>
    <t>1600A019F0-000</t>
  </si>
  <si>
    <t>1600A019H0-000</t>
  </si>
  <si>
    <t>1600A019L6-000</t>
  </si>
  <si>
    <t>1600A019L7-000</t>
  </si>
  <si>
    <t>1600A019L8-000</t>
  </si>
  <si>
    <t>1600A019TP-000</t>
  </si>
  <si>
    <t>1600A019TY-000</t>
  </si>
  <si>
    <t>1600A019WL-000</t>
  </si>
  <si>
    <t>1600A019XJ-000</t>
  </si>
  <si>
    <t>1600A019Z0-000</t>
  </si>
  <si>
    <t>1600A019Z4-000</t>
  </si>
  <si>
    <t>1600A01A4D-000</t>
  </si>
  <si>
    <t>1600A01A54-000</t>
  </si>
  <si>
    <t>1600A01A6N-000</t>
  </si>
  <si>
    <t>1600A01A6S-000</t>
  </si>
  <si>
    <t>1600A01A78-000</t>
  </si>
  <si>
    <t>1600A01AH5-000</t>
  </si>
  <si>
    <t>1600A01AH6-000</t>
  </si>
  <si>
    <t>1600A01AV6-000</t>
  </si>
  <si>
    <t>1600A01B11-000</t>
  </si>
  <si>
    <t>1600A01B36-000</t>
  </si>
  <si>
    <t>1600A01B3C-000</t>
  </si>
  <si>
    <t>1600A01B3E-000</t>
  </si>
  <si>
    <t>1600A01B3F-000</t>
  </si>
  <si>
    <t>1600A01B3G-000</t>
  </si>
  <si>
    <t>1600A01B64-000</t>
  </si>
  <si>
    <t>1600A01B74-000</t>
  </si>
  <si>
    <t>1600A01B75-000</t>
  </si>
  <si>
    <t>1600A01B9G-000</t>
  </si>
  <si>
    <t>1600A01B9J-000</t>
  </si>
  <si>
    <t>1600A01BG3-000</t>
  </si>
  <si>
    <t>1600A01BG6-000</t>
  </si>
  <si>
    <t>1600A01BH0-000</t>
  </si>
  <si>
    <t>1600A01C3T-000</t>
  </si>
  <si>
    <t>1600A01C7L-000</t>
  </si>
  <si>
    <t>1600A01C8C-000</t>
  </si>
  <si>
    <t>1600A01C8L-000</t>
  </si>
  <si>
    <t>1600A01C8X-000</t>
  </si>
  <si>
    <t>1600A01C95-000</t>
  </si>
  <si>
    <t>1600A01C9M-000</t>
  </si>
  <si>
    <t>1600A01D0V-000</t>
  </si>
  <si>
    <t>1600A01D0W-000</t>
  </si>
  <si>
    <t>1600A01D6X-000</t>
  </si>
  <si>
    <t>1600A01D7B-000</t>
  </si>
  <si>
    <t>1600A01D7C-000</t>
  </si>
  <si>
    <t>1600A01D7D-000</t>
  </si>
  <si>
    <t>1600A01D8L-000</t>
  </si>
  <si>
    <t>1600A01D8N-000</t>
  </si>
  <si>
    <t>1600A01D8P-000</t>
  </si>
  <si>
    <t>1600A01D8R-000</t>
  </si>
  <si>
    <t>1600A01D8S-000</t>
  </si>
  <si>
    <t>1600A01D8T-000</t>
  </si>
  <si>
    <t>1600A01D8U-000</t>
  </si>
  <si>
    <t>1600A01D8V-000</t>
  </si>
  <si>
    <t>1600A01D8W-000</t>
  </si>
  <si>
    <t>1600A01D8X-000</t>
  </si>
  <si>
    <t>1600A01D8Y-000</t>
  </si>
  <si>
    <t>1600A01D8Z-000</t>
  </si>
  <si>
    <t>1600A01D90-000</t>
  </si>
  <si>
    <t>1600A01D91-000</t>
  </si>
  <si>
    <t>1600A01DD4-000</t>
  </si>
  <si>
    <t>1600A01E0A-000</t>
  </si>
  <si>
    <t>1600A01E10-000</t>
  </si>
  <si>
    <t>1600A01E7S-000</t>
  </si>
  <si>
    <t>1600A01E7T-000</t>
  </si>
  <si>
    <t>1600A01E7U-000</t>
  </si>
  <si>
    <t>1600A01E9C-000</t>
  </si>
  <si>
    <t>1600A01EC4-000</t>
  </si>
  <si>
    <t>1600A01H00-000</t>
  </si>
  <si>
    <t>1600A01L55-000</t>
  </si>
  <si>
    <t>1600A01L56-000</t>
  </si>
  <si>
    <t>1600A01L7D-000</t>
  </si>
  <si>
    <t>1600A01LJ8-000</t>
  </si>
  <si>
    <t>1600A01LJ9-000</t>
  </si>
  <si>
    <t>1600A01M4B-000</t>
  </si>
  <si>
    <t>1600A01M59-000</t>
  </si>
  <si>
    <t>1600A01M8Z-000</t>
  </si>
  <si>
    <t>1600A01MH9-000</t>
  </si>
  <si>
    <t>1600A01MN8-000</t>
  </si>
  <si>
    <t>1600A01N0J-000</t>
  </si>
  <si>
    <t>1600A01N0N-000</t>
  </si>
  <si>
    <t>1600A01N0V-000</t>
  </si>
  <si>
    <t>1600A01N64-000</t>
  </si>
  <si>
    <t>1600A01N8R-000</t>
  </si>
  <si>
    <t>1600A01N8S-000</t>
  </si>
  <si>
    <t>1600A01N9M-000</t>
  </si>
  <si>
    <t>1600A01NA9-000</t>
  </si>
  <si>
    <t>1600A01NC3-000</t>
  </si>
  <si>
    <t>1600A01NE4-000</t>
  </si>
  <si>
    <t>1600A01P3K-000</t>
  </si>
  <si>
    <t>1600A01P8Z-000</t>
  </si>
  <si>
    <t>1600A01PG3-000</t>
  </si>
  <si>
    <t>1600A01PN1-000</t>
  </si>
  <si>
    <t>1600A01R18-000</t>
  </si>
  <si>
    <t>1600A01R1M-000</t>
  </si>
  <si>
    <t>1600A01R7G-000</t>
  </si>
  <si>
    <t>1600A01R96-000</t>
  </si>
  <si>
    <t>1600A01RH6-000</t>
  </si>
  <si>
    <t>1600A01RH7-000</t>
  </si>
  <si>
    <t>1600A01RJ3-000</t>
  </si>
  <si>
    <t>1600A01RJ5-000</t>
  </si>
  <si>
    <t>1600A01RX5-000</t>
  </si>
  <si>
    <t>1600A01S0T-000</t>
  </si>
  <si>
    <t>1600A01S1M-000</t>
  </si>
  <si>
    <t>1600A01S8V-000</t>
  </si>
  <si>
    <t>1600A01SH6-000</t>
  </si>
  <si>
    <t>1600A01T3V-000</t>
  </si>
  <si>
    <t>1600A01T49-000</t>
  </si>
  <si>
    <t>1600A01T4A-000</t>
  </si>
  <si>
    <t>1600A01T4C-000</t>
  </si>
  <si>
    <t>1600A01T91-000</t>
  </si>
  <si>
    <t>1600A01TA7-000</t>
  </si>
  <si>
    <t>1600A01TD0-000</t>
  </si>
  <si>
    <t>1600A01TJ5-000</t>
  </si>
  <si>
    <t>1600A01TN9-000</t>
  </si>
  <si>
    <t>1600A01U33-000</t>
  </si>
  <si>
    <t>1600A01U34-000</t>
  </si>
  <si>
    <t>1600A01UT1-000</t>
  </si>
  <si>
    <t>1600A01V56-000</t>
  </si>
  <si>
    <t>1600A01V6E-000</t>
  </si>
  <si>
    <t>1600A01V6F-000</t>
  </si>
  <si>
    <t>1600A01V6K-000</t>
  </si>
  <si>
    <t>1600A01V6L-000</t>
  </si>
  <si>
    <t>1600A01VF0-000</t>
  </si>
  <si>
    <t>1600A01VF1-000</t>
  </si>
  <si>
    <t>1600A01VP3-000</t>
  </si>
  <si>
    <t>1600A01YB7-000</t>
  </si>
  <si>
    <t>1600A01YE8-000</t>
  </si>
  <si>
    <t>1600A01YV1-000</t>
  </si>
  <si>
    <t>1600A01ZK6-000</t>
  </si>
  <si>
    <t>1600A01ZK8-000</t>
  </si>
  <si>
    <t>1600A01ZM8-000</t>
  </si>
  <si>
    <t>1600A01ZN0-000</t>
  </si>
  <si>
    <t>1600A01ZT9-000</t>
  </si>
  <si>
    <t>1600A020T1-000</t>
  </si>
  <si>
    <t>1600A020WP-000</t>
  </si>
  <si>
    <t>1600A020XW-000</t>
  </si>
  <si>
    <t>1600A0210V-000</t>
  </si>
  <si>
    <t>1600A0213M-000</t>
  </si>
  <si>
    <t>1600A0213N-000</t>
  </si>
  <si>
    <t>1600A0221L-000</t>
  </si>
  <si>
    <t>1600A022BK-000</t>
  </si>
  <si>
    <t>1600A022BL-000</t>
  </si>
  <si>
    <t>1600A022BM-000</t>
  </si>
  <si>
    <t>1600A022BN-000</t>
  </si>
  <si>
    <t>1600A022BP-000</t>
  </si>
  <si>
    <t>1600A022BR-000</t>
  </si>
  <si>
    <t>1600A022BS-000</t>
  </si>
  <si>
    <t>1600A022BT-000</t>
  </si>
  <si>
    <t>1600A022BW-000</t>
  </si>
  <si>
    <t>1600A022BY-000</t>
  </si>
  <si>
    <t>1600A022C0-000</t>
  </si>
  <si>
    <t>1600A022C3-000</t>
  </si>
  <si>
    <t>1600A022C4-000</t>
  </si>
  <si>
    <t>1600A022C7-000</t>
  </si>
  <si>
    <t>1600A022C9-000</t>
  </si>
  <si>
    <t>1600A022CC-000</t>
  </si>
  <si>
    <t>1600A022CD-000</t>
  </si>
  <si>
    <t>1600A022CF-000</t>
  </si>
  <si>
    <t>1600A022CG-000</t>
  </si>
  <si>
    <t>1600A022CH-000</t>
  </si>
  <si>
    <t>1600A022CJ-000</t>
  </si>
  <si>
    <t>1600A022CK-000</t>
  </si>
  <si>
    <t>1600A022CL-000</t>
  </si>
  <si>
    <t>1600A022CM-000</t>
  </si>
  <si>
    <t>1600A022CN-000</t>
  </si>
  <si>
    <t>1600A022CP-000</t>
  </si>
  <si>
    <t>1600A022CX-000</t>
  </si>
  <si>
    <t>1600A022CY-000</t>
  </si>
  <si>
    <t>1600A022CZ-000</t>
  </si>
  <si>
    <t>1600A022D0-000</t>
  </si>
  <si>
    <t>1600A022D1-000</t>
  </si>
  <si>
    <t>1600A022D6-000</t>
  </si>
  <si>
    <t>1600A022D7-000</t>
  </si>
  <si>
    <t>1600A022D8-000</t>
  </si>
  <si>
    <t>1600A022DA-000</t>
  </si>
  <si>
    <t>1600A022DD-000</t>
  </si>
  <si>
    <t>1600A022DE-000</t>
  </si>
  <si>
    <t>1600A022DF-000</t>
  </si>
  <si>
    <t>1600A022DG-000</t>
  </si>
  <si>
    <t>1600A022DH-000</t>
  </si>
  <si>
    <t>1600A022DJ-000</t>
  </si>
  <si>
    <t>1600A022DK-000</t>
  </si>
  <si>
    <t>1600A022DL-000</t>
  </si>
  <si>
    <t>1600A022DM-000</t>
  </si>
  <si>
    <t>1600A022DN-000</t>
  </si>
  <si>
    <t>1600A022DP-000</t>
  </si>
  <si>
    <t>1600A022DS-000</t>
  </si>
  <si>
    <t>1600A022DT-000</t>
  </si>
  <si>
    <t>1600A022DU-000</t>
  </si>
  <si>
    <t>1600A022DV-000</t>
  </si>
  <si>
    <t>1600A022DY-000</t>
  </si>
  <si>
    <t>1600A022DZ-000</t>
  </si>
  <si>
    <t>1600A022E0-000</t>
  </si>
  <si>
    <t>1600A022E1-000</t>
  </si>
  <si>
    <t>1600A022E2-000</t>
  </si>
  <si>
    <t>1600A022E3-000</t>
  </si>
  <si>
    <t>1600A022E4-000</t>
  </si>
  <si>
    <t>1600A022E5-000</t>
  </si>
  <si>
    <t>1600A022E8-000</t>
  </si>
  <si>
    <t>1600A022E9-000</t>
  </si>
  <si>
    <t>1600A022EA-000</t>
  </si>
  <si>
    <t>1600A022EB-000</t>
  </si>
  <si>
    <t>1600A022EC-000</t>
  </si>
  <si>
    <t>1600A022ED-000</t>
  </si>
  <si>
    <t>1600A022EG-000</t>
  </si>
  <si>
    <t>1600A022EL-000</t>
  </si>
  <si>
    <t>1600A022EP-000</t>
  </si>
  <si>
    <t>1600A022ER-000</t>
  </si>
  <si>
    <t>1600A022ES-000</t>
  </si>
  <si>
    <t>1600A022ET-000</t>
  </si>
  <si>
    <t>1600A022EU-000</t>
  </si>
  <si>
    <t>1600A022EX-000</t>
  </si>
  <si>
    <t>1600A022EY-000</t>
  </si>
  <si>
    <t>1600A022EZ-000</t>
  </si>
  <si>
    <t>1600A022F1-000</t>
  </si>
  <si>
    <t>1600A022F2-000</t>
  </si>
  <si>
    <t>1600A022F4-000</t>
  </si>
  <si>
    <t>1600A022F5-000</t>
  </si>
  <si>
    <t>1600A022F6-000</t>
  </si>
  <si>
    <t>1600A022F7-000</t>
  </si>
  <si>
    <t>1600A022F8-000</t>
  </si>
  <si>
    <t>1600A022F9-000</t>
  </si>
  <si>
    <t>1600A022FA-000</t>
  </si>
  <si>
    <t>1600A022FB-000</t>
  </si>
  <si>
    <t>1600A022FD-000</t>
  </si>
  <si>
    <t>1600A022FE-000</t>
  </si>
  <si>
    <t>1600A022FF-000</t>
  </si>
  <si>
    <t>1600A022FG-000</t>
  </si>
  <si>
    <t>1600A022FK-000</t>
  </si>
  <si>
    <t>1600A022FM-000</t>
  </si>
  <si>
    <t>1600A022FN-000</t>
  </si>
  <si>
    <t>1600A022FP-000</t>
  </si>
  <si>
    <t>1600A022FR-000</t>
  </si>
  <si>
    <t>1600A022FS-000</t>
  </si>
  <si>
    <t>1600A022FT-000</t>
  </si>
  <si>
    <t>1600A022FU-000</t>
  </si>
  <si>
    <t>1600A022FV-000</t>
  </si>
  <si>
    <t>1600A022FW-000</t>
  </si>
  <si>
    <t>1600A022FX-000</t>
  </si>
  <si>
    <t>1600A022FY-000</t>
  </si>
  <si>
    <t>1600A022FZ-000</t>
  </si>
  <si>
    <t>1600A022G5-000</t>
  </si>
  <si>
    <t>1600A0230T-000</t>
  </si>
  <si>
    <t>1600A02354-000</t>
  </si>
  <si>
    <t>1600A023G7-000</t>
  </si>
  <si>
    <t>1600A023J3-000</t>
  </si>
  <si>
    <t>1600A023VS-000</t>
  </si>
  <si>
    <t>1600A023VT-000</t>
  </si>
  <si>
    <t>1600A023VV-000</t>
  </si>
  <si>
    <t>1600A024AU-000</t>
  </si>
  <si>
    <t>1600A024AZ-000</t>
  </si>
  <si>
    <t>1600A024N1-000</t>
  </si>
  <si>
    <t>1600A024SC-000</t>
  </si>
  <si>
    <t>1600A024SG-000</t>
  </si>
  <si>
    <t>1600A024X4-000</t>
  </si>
  <si>
    <t>1600A024X5-000</t>
  </si>
  <si>
    <t>1600A024YV-000</t>
  </si>
  <si>
    <t>1600A024YW-000</t>
  </si>
  <si>
    <t>1600A0250N-000</t>
  </si>
  <si>
    <t>1600A025F2-000</t>
  </si>
  <si>
    <t>1600A025FA-000</t>
  </si>
  <si>
    <t>1600A025FB-000</t>
  </si>
  <si>
    <t>1600A025V9-000</t>
  </si>
  <si>
    <t>1600A0261R-000</t>
  </si>
  <si>
    <t>1600A026DC-000</t>
  </si>
  <si>
    <t>1600A026DE-000</t>
  </si>
  <si>
    <t>1600A026PN-000</t>
  </si>
  <si>
    <t>1600A026PP-000</t>
  </si>
  <si>
    <t>1600A026YU-000</t>
  </si>
  <si>
    <t>1600A027H7-000</t>
  </si>
  <si>
    <t>1600A027VK-000</t>
  </si>
  <si>
    <t>1600A027W8-000</t>
  </si>
  <si>
    <t>1600A028H1-000</t>
  </si>
  <si>
    <t>1600A029B2-000</t>
  </si>
  <si>
    <t>1600A029GR-000</t>
  </si>
  <si>
    <t>1601000001-000</t>
  </si>
  <si>
    <t>1601000013-000</t>
  </si>
  <si>
    <t>1601000016-000</t>
  </si>
  <si>
    <t>1601006006-000</t>
  </si>
  <si>
    <t>1601006011-000</t>
  </si>
  <si>
    <t>1601006014-000</t>
  </si>
  <si>
    <t>1601008005-000</t>
  </si>
  <si>
    <t>1601010007-000</t>
  </si>
  <si>
    <t>1601010009-000</t>
  </si>
  <si>
    <t>1601010010-000</t>
  </si>
  <si>
    <t>1601010058-000</t>
  </si>
  <si>
    <t>1601014000-000</t>
  </si>
  <si>
    <t>1601014005-000</t>
  </si>
  <si>
    <t>1601015011-000</t>
  </si>
  <si>
    <t>1601015013-000</t>
  </si>
  <si>
    <t>1601015016-000</t>
  </si>
  <si>
    <t>1601015035-000</t>
  </si>
  <si>
    <t>1601016013-000</t>
  </si>
  <si>
    <t>1601021005-000</t>
  </si>
  <si>
    <t>1601025001-000</t>
  </si>
  <si>
    <t>1601030022-000</t>
  </si>
  <si>
    <t>1601030024-000</t>
  </si>
  <si>
    <t>1601030025-000</t>
  </si>
  <si>
    <t>1601034025-000</t>
  </si>
  <si>
    <t>1601034035-000</t>
  </si>
  <si>
    <t>1601035008-000</t>
  </si>
  <si>
    <t>1601037006-000</t>
  </si>
  <si>
    <t>1601037007-000</t>
  </si>
  <si>
    <t>1601038026-000</t>
  </si>
  <si>
    <t>1601038029-000</t>
  </si>
  <si>
    <t>1601071000-000</t>
  </si>
  <si>
    <t>1601098005-000</t>
  </si>
  <si>
    <t>1601098006-000</t>
  </si>
  <si>
    <t>1601098008-000</t>
  </si>
  <si>
    <t>1601099011-000</t>
  </si>
  <si>
    <t>1601106999-000</t>
  </si>
  <si>
    <t>1601118035-000</t>
  </si>
  <si>
    <t>1601118969-000</t>
  </si>
  <si>
    <t>1601118A55-000</t>
  </si>
  <si>
    <t>1601118A64-000</t>
  </si>
  <si>
    <t>1601118A77-000</t>
  </si>
  <si>
    <t>1601118S69-000</t>
  </si>
  <si>
    <t>1601118T27-000</t>
  </si>
  <si>
    <t>160111A3H0-000</t>
  </si>
  <si>
    <t>160111A3H3-000</t>
  </si>
  <si>
    <t>160111A3H5-000</t>
  </si>
  <si>
    <t>160111A3H9-000</t>
  </si>
  <si>
    <t>160111A3RV-000</t>
  </si>
  <si>
    <t>160111A4AX-000</t>
  </si>
  <si>
    <t>160111A4XG-000</t>
  </si>
  <si>
    <t>160111A51D-000</t>
  </si>
  <si>
    <t>160111A54D-000</t>
  </si>
  <si>
    <t>160111A55Y-000</t>
  </si>
  <si>
    <t>160111A5BE-000</t>
  </si>
  <si>
    <t>160111A5CK-000</t>
  </si>
  <si>
    <t>160111A5CU-000</t>
  </si>
  <si>
    <t>160111A5D1-000</t>
  </si>
  <si>
    <t>160111A5MZ-000</t>
  </si>
  <si>
    <t>160111A632-000</t>
  </si>
  <si>
    <t>160111A6JB-000</t>
  </si>
  <si>
    <t>160111A6JR-000</t>
  </si>
  <si>
    <t>160111A6LF-000</t>
  </si>
  <si>
    <t>160111A6LK-000</t>
  </si>
  <si>
    <t>160111A6YS-000</t>
  </si>
  <si>
    <t>160111A6Z1-000</t>
  </si>
  <si>
    <t>160111A70H-000</t>
  </si>
  <si>
    <t>160111A72H-000</t>
  </si>
  <si>
    <t>160111A75E-000</t>
  </si>
  <si>
    <t>160111A76H-000</t>
  </si>
  <si>
    <t>160111A7Y7-000</t>
  </si>
  <si>
    <t>160111A81V-000</t>
  </si>
  <si>
    <t>160111C0P1-000</t>
  </si>
  <si>
    <t>160111C0RD-000</t>
  </si>
  <si>
    <t>160111C0RN-000</t>
  </si>
  <si>
    <t>160111C0RP-000</t>
  </si>
  <si>
    <t>160111C0RX-000</t>
  </si>
  <si>
    <t>160111C0WU-000</t>
  </si>
  <si>
    <t>160111C0WW-000</t>
  </si>
  <si>
    <t>160111C0YP-000</t>
  </si>
  <si>
    <t>160111C12V-000</t>
  </si>
  <si>
    <t>160111C1KU-000</t>
  </si>
  <si>
    <t>160111C21G-000</t>
  </si>
  <si>
    <t>160111C21T-000</t>
  </si>
  <si>
    <t>160111C21W-000</t>
  </si>
  <si>
    <t>160111C227-000</t>
  </si>
  <si>
    <t>160111C25M-000</t>
  </si>
  <si>
    <t>160111C25N-000</t>
  </si>
  <si>
    <t>160111C297-000</t>
  </si>
  <si>
    <t>160111C299-000</t>
  </si>
  <si>
    <t>160111C2DV-000</t>
  </si>
  <si>
    <t>160111C2EM-000</t>
  </si>
  <si>
    <t>160111C2MU-000</t>
  </si>
  <si>
    <t>160111C2N0-000</t>
  </si>
  <si>
    <t>160111C2N1-000</t>
  </si>
  <si>
    <t>160111C2PR-000</t>
  </si>
  <si>
    <t>160111C2RY-000</t>
  </si>
  <si>
    <t>160111C2SE-000</t>
  </si>
  <si>
    <t>160111C2TN-000</t>
  </si>
  <si>
    <t>160111C2TS-000</t>
  </si>
  <si>
    <t>160111C2TW-000</t>
  </si>
  <si>
    <t>160111C2UV-000</t>
  </si>
  <si>
    <t>160111C2WB-000</t>
  </si>
  <si>
    <t>160111C322-000</t>
  </si>
  <si>
    <t>160111C324-000</t>
  </si>
  <si>
    <t>160111C327-000</t>
  </si>
  <si>
    <t>160111C32F-000</t>
  </si>
  <si>
    <t>160111C36W-000</t>
  </si>
  <si>
    <t>160111C375-000</t>
  </si>
  <si>
    <t>160111C376-000</t>
  </si>
  <si>
    <t>160111C37H-000</t>
  </si>
  <si>
    <t>160111C3BV-000</t>
  </si>
  <si>
    <t>160111C3ND-000</t>
  </si>
  <si>
    <t>160111C3TM-000</t>
  </si>
  <si>
    <t>160111C3U5-000</t>
  </si>
  <si>
    <t>160111C3WM-000</t>
  </si>
  <si>
    <t>160111C41S-000</t>
  </si>
  <si>
    <t>1601200006-000</t>
  </si>
  <si>
    <t>160120000C-000</t>
  </si>
  <si>
    <t>1601234002-000</t>
  </si>
  <si>
    <t>1601253007-000</t>
  </si>
  <si>
    <t>1601290007-000</t>
  </si>
  <si>
    <t>1601290008-000</t>
  </si>
  <si>
    <t>1601290013-000</t>
  </si>
  <si>
    <t>1601300004-000</t>
  </si>
  <si>
    <t>1601302017-000</t>
  </si>
  <si>
    <t>1601302018-000</t>
  </si>
  <si>
    <t>1601302019-000</t>
  </si>
  <si>
    <t>1601303003-000</t>
  </si>
  <si>
    <t>1601323007-000</t>
  </si>
  <si>
    <t>1601323023-000</t>
  </si>
  <si>
    <t>1601323025-000</t>
  </si>
  <si>
    <t>1601323029-000</t>
  </si>
  <si>
    <t>1601328005-000</t>
  </si>
  <si>
    <t>1601329009-000</t>
  </si>
  <si>
    <t>1601329038-000</t>
  </si>
  <si>
    <t>1601329040-000</t>
  </si>
  <si>
    <t>1601330010-000</t>
  </si>
  <si>
    <t>1601331032-000</t>
  </si>
  <si>
    <t>1601331039-000</t>
  </si>
  <si>
    <t>1601332010-000</t>
  </si>
  <si>
    <t>1601332018-000</t>
  </si>
  <si>
    <t>1601334008-000</t>
  </si>
  <si>
    <t>1601334009-000</t>
  </si>
  <si>
    <t>1601334010-000</t>
  </si>
  <si>
    <t>1601334011-000</t>
  </si>
  <si>
    <t>1601990001-000</t>
  </si>
  <si>
    <t>1601990002-000</t>
  </si>
  <si>
    <t>1601990004-000</t>
  </si>
  <si>
    <t>1601990012-000</t>
  </si>
  <si>
    <t>1602002006-000</t>
  </si>
  <si>
    <t>1602002007-000</t>
  </si>
  <si>
    <t>1602002008-000</t>
  </si>
  <si>
    <t>1602002014-000</t>
  </si>
  <si>
    <t>1602025022-000</t>
  </si>
  <si>
    <t>1602025026-000</t>
  </si>
  <si>
    <t>1602025030-000</t>
  </si>
  <si>
    <t>1602025031-000</t>
  </si>
  <si>
    <t>1602025051-000</t>
  </si>
  <si>
    <t>1602025052-000</t>
  </si>
  <si>
    <t>1602025071-000</t>
  </si>
  <si>
    <t>160202507H-000</t>
  </si>
  <si>
    <t>160202507R-000</t>
  </si>
  <si>
    <t>160202507U-000</t>
  </si>
  <si>
    <t>160202507W-000</t>
  </si>
  <si>
    <t>160202507X-000</t>
  </si>
  <si>
    <t>160202507Y-000</t>
  </si>
  <si>
    <t>1602025080-000</t>
  </si>
  <si>
    <t>1602025081-000</t>
  </si>
  <si>
    <t>1602025082-000</t>
  </si>
  <si>
    <t>160202508D-000</t>
  </si>
  <si>
    <t>160202508J-000</t>
  </si>
  <si>
    <t>160202508K-000</t>
  </si>
  <si>
    <t>160202508T-000</t>
  </si>
  <si>
    <t>160202508X-000</t>
  </si>
  <si>
    <t>160202508Y-000</t>
  </si>
  <si>
    <t>1602025090-000</t>
  </si>
  <si>
    <t>1602025096-000</t>
  </si>
  <si>
    <t>1602025097-000</t>
  </si>
  <si>
    <t>1602025098-000</t>
  </si>
  <si>
    <t>160202509C-000</t>
  </si>
  <si>
    <t>160202509T-000</t>
  </si>
  <si>
    <t>160202509X-000</t>
  </si>
  <si>
    <t>160202509Z-000</t>
  </si>
  <si>
    <t>16020250A0-000</t>
  </si>
  <si>
    <t>1602026026-000</t>
  </si>
  <si>
    <t>1602026030-000</t>
  </si>
  <si>
    <t>1602026038-000</t>
  </si>
  <si>
    <t>1602026041-000</t>
  </si>
  <si>
    <t>1602026044-000</t>
  </si>
  <si>
    <t>1602026054-000</t>
  </si>
  <si>
    <t>1602026055-000</t>
  </si>
  <si>
    <t>1602026064-000</t>
  </si>
  <si>
    <t>1602026068-000</t>
  </si>
  <si>
    <t>1602026076-000</t>
  </si>
  <si>
    <t>1602026078-000</t>
  </si>
  <si>
    <t>1602026095-000</t>
  </si>
  <si>
    <t>160202610B-000</t>
  </si>
  <si>
    <t>1602051001-000</t>
  </si>
  <si>
    <t>1602098006-000</t>
  </si>
  <si>
    <t>1602099001-000</t>
  </si>
  <si>
    <t>1602120006-000</t>
  </si>
  <si>
    <t>1602210012-000</t>
  </si>
  <si>
    <t>1602210015-000</t>
  </si>
  <si>
    <t>1602317006-000</t>
  </si>
  <si>
    <t>1602317012-000</t>
  </si>
  <si>
    <t>1602319002-000</t>
  </si>
  <si>
    <t>1602319007-000</t>
  </si>
  <si>
    <t>1602319009-000</t>
  </si>
  <si>
    <t>1602319010-000</t>
  </si>
  <si>
    <t>1602319011-000</t>
  </si>
  <si>
    <t>1602319013-000</t>
  </si>
  <si>
    <t>1602319017-000</t>
  </si>
  <si>
    <t>1602319018-000</t>
  </si>
  <si>
    <t>1602319019-000</t>
  </si>
  <si>
    <t>1602319020-000</t>
  </si>
  <si>
    <t>1602319022-000</t>
  </si>
  <si>
    <t>1602319023-000</t>
  </si>
  <si>
    <t>1602319024-000</t>
  </si>
  <si>
    <t>1602319025-000</t>
  </si>
  <si>
    <t>1602381001-000</t>
  </si>
  <si>
    <t>1602386002-000</t>
  </si>
  <si>
    <t>1602388006-000</t>
  </si>
  <si>
    <t>1602388007-000</t>
  </si>
  <si>
    <t>1602388016-000</t>
  </si>
  <si>
    <t>1602388026-000</t>
  </si>
  <si>
    <t>1602388027-000</t>
  </si>
  <si>
    <t>1602388029-000</t>
  </si>
  <si>
    <t>1602388035-000</t>
  </si>
  <si>
    <t>1603023003-000</t>
  </si>
  <si>
    <t>1603100013-000</t>
  </si>
  <si>
    <t>1603100036-000</t>
  </si>
  <si>
    <t>1603101018-000</t>
  </si>
  <si>
    <t>1603106001-000</t>
  </si>
  <si>
    <t>1603123011-000</t>
  </si>
  <si>
    <t>1603123030-000</t>
  </si>
  <si>
    <t>1603123032-000</t>
  </si>
  <si>
    <t>1603123045-000</t>
  </si>
  <si>
    <t>160312304B-000</t>
  </si>
  <si>
    <t>160312304R-000</t>
  </si>
  <si>
    <t>1603123055-000</t>
  </si>
  <si>
    <t>1603123056-000</t>
  </si>
  <si>
    <t>160312305U-000</t>
  </si>
  <si>
    <t>160312305W-000</t>
  </si>
  <si>
    <t>160312305Z-000</t>
  </si>
  <si>
    <t>1603123062-000</t>
  </si>
  <si>
    <t>1603123067-000</t>
  </si>
  <si>
    <t>160312307V-000</t>
  </si>
  <si>
    <t>1603124035-000</t>
  </si>
  <si>
    <t>1603124060-000</t>
  </si>
  <si>
    <t>1603124085-000</t>
  </si>
  <si>
    <t>1603124103-000</t>
  </si>
  <si>
    <t>1603124105-000</t>
  </si>
  <si>
    <t>1603124114-000</t>
  </si>
  <si>
    <t>1603129014-000</t>
  </si>
  <si>
    <t>1603201023-000</t>
  </si>
  <si>
    <t>1603231008-000</t>
  </si>
  <si>
    <t>1603231014-000</t>
  </si>
  <si>
    <t>1603231020-000</t>
  </si>
  <si>
    <t>1603231023-000</t>
  </si>
  <si>
    <t>1603300009-000</t>
  </si>
  <si>
    <t>1603300017-000</t>
  </si>
  <si>
    <t>1603300018-000</t>
  </si>
  <si>
    <t>1603339005-000</t>
  </si>
  <si>
    <t>1603339006-000</t>
  </si>
  <si>
    <t>1603340027-000</t>
  </si>
  <si>
    <t>1603344024-000</t>
  </si>
  <si>
    <t>1603344029-000</t>
  </si>
  <si>
    <t>1603344050-000</t>
  </si>
  <si>
    <t>1603344051-000</t>
  </si>
  <si>
    <t>1603345042-000</t>
  </si>
  <si>
    <t>1603349010-000</t>
  </si>
  <si>
    <t>1603349014-000</t>
  </si>
  <si>
    <t>1603349017-000</t>
  </si>
  <si>
    <t>1603402002-000</t>
  </si>
  <si>
    <t>1603402004-000</t>
  </si>
  <si>
    <t>1603410014-000</t>
  </si>
  <si>
    <t>1603412005-000</t>
  </si>
  <si>
    <t>1603413005-000</t>
  </si>
  <si>
    <t>1603414025-000</t>
  </si>
  <si>
    <t>1603414026-000</t>
  </si>
  <si>
    <t>1603415004-000</t>
  </si>
  <si>
    <t>1603415005-000</t>
  </si>
  <si>
    <t>1603421003-000</t>
  </si>
  <si>
    <t>1603429000-000</t>
  </si>
  <si>
    <t>1603429001-000</t>
  </si>
  <si>
    <t>160343000A-000</t>
  </si>
  <si>
    <t>160343000H-000</t>
  </si>
  <si>
    <t>160343000J-000</t>
  </si>
  <si>
    <t>160343000K-000</t>
  </si>
  <si>
    <t>160343000V-000</t>
  </si>
  <si>
    <t>160343001B-000</t>
  </si>
  <si>
    <t>160343001C-000</t>
  </si>
  <si>
    <t>160343001D-000</t>
  </si>
  <si>
    <t>160343001-000</t>
  </si>
  <si>
    <t>160343001F-000</t>
  </si>
  <si>
    <t>160343001G-000</t>
  </si>
  <si>
    <t>160343001H-000</t>
  </si>
  <si>
    <t>160343001J-000</t>
  </si>
  <si>
    <t>160343001K-000</t>
  </si>
  <si>
    <t>160343001M-000</t>
  </si>
  <si>
    <t>160343001N-000</t>
  </si>
  <si>
    <t>160343002C-000</t>
  </si>
  <si>
    <t>160343002D-000</t>
  </si>
  <si>
    <t>160343002L-000</t>
  </si>
  <si>
    <t>160343003T-000</t>
  </si>
  <si>
    <t>160343003V-000</t>
  </si>
  <si>
    <t>160343003W-000</t>
  </si>
  <si>
    <t>1603430046-000</t>
  </si>
  <si>
    <t>160343005U-000</t>
  </si>
  <si>
    <t>160343005Y-000</t>
  </si>
  <si>
    <t>160343008V-000</t>
  </si>
  <si>
    <t>160343008W-000</t>
  </si>
  <si>
    <t>160343008Y-000</t>
  </si>
  <si>
    <t>160343008Z-000</t>
  </si>
  <si>
    <t>1603430090-000</t>
  </si>
  <si>
    <t>1603430091-000</t>
  </si>
  <si>
    <t>1603430092-000</t>
  </si>
  <si>
    <t>1603430093-000</t>
  </si>
  <si>
    <t>1603430094-000</t>
  </si>
  <si>
    <t>1603430095-000</t>
  </si>
  <si>
    <t>1603430096-000</t>
  </si>
  <si>
    <t>1603430097-000</t>
  </si>
  <si>
    <t>1603430098-000</t>
  </si>
  <si>
    <t>1603430099-000</t>
  </si>
  <si>
    <t>160343009A-000</t>
  </si>
  <si>
    <t>160343009B-000</t>
  </si>
  <si>
    <t>160343009C-000</t>
  </si>
  <si>
    <t>160343009D-000</t>
  </si>
  <si>
    <t>160343009-000</t>
  </si>
  <si>
    <t>160343009F-000</t>
  </si>
  <si>
    <t>160343009G-000</t>
  </si>
  <si>
    <t>160343009H-000</t>
  </si>
  <si>
    <t>160343009L-000</t>
  </si>
  <si>
    <t>160343009M-000</t>
  </si>
  <si>
    <t>160343009N-000</t>
  </si>
  <si>
    <t>160343009P-000</t>
  </si>
  <si>
    <t>160343009R-000</t>
  </si>
  <si>
    <t>16034300A7-000</t>
  </si>
  <si>
    <t>1603434003-000</t>
  </si>
  <si>
    <t>1603435006-000</t>
  </si>
  <si>
    <t>1603435008-000</t>
  </si>
  <si>
    <t>1603435015-000</t>
  </si>
  <si>
    <t>1603435023-000</t>
  </si>
  <si>
    <t>1603435024-000</t>
  </si>
  <si>
    <t>1603435026-000</t>
  </si>
  <si>
    <t>1603435036-000</t>
  </si>
  <si>
    <t>1603435042-000</t>
  </si>
  <si>
    <t>1603435051-000</t>
  </si>
  <si>
    <t>1603435060-000</t>
  </si>
  <si>
    <t>1603435068-000</t>
  </si>
  <si>
    <t>1603435071-000</t>
  </si>
  <si>
    <t>1603435075-000</t>
  </si>
  <si>
    <t>1603435076-000</t>
  </si>
  <si>
    <t>160343507A-000</t>
  </si>
  <si>
    <t>160343507C-000</t>
  </si>
  <si>
    <t>160343507D-000</t>
  </si>
  <si>
    <t>160343507P-000</t>
  </si>
  <si>
    <t>160343507U-000</t>
  </si>
  <si>
    <t>160343507X-000</t>
  </si>
  <si>
    <t>160343507Y-000</t>
  </si>
  <si>
    <t>160343507Z-000</t>
  </si>
  <si>
    <t>1603435082-000</t>
  </si>
  <si>
    <t>1603435086-000</t>
  </si>
  <si>
    <t>160343508V-000</t>
  </si>
  <si>
    <t>160343508X-000</t>
  </si>
  <si>
    <t>1603435091-000</t>
  </si>
  <si>
    <t>1603435092-000</t>
  </si>
  <si>
    <t>1603435098-000</t>
  </si>
  <si>
    <t>1603480003-000</t>
  </si>
  <si>
    <t>1603480018-000</t>
  </si>
  <si>
    <t>1603490000-000</t>
  </si>
  <si>
    <t>1603490005-000</t>
  </si>
  <si>
    <t>1603490A07-000</t>
  </si>
  <si>
    <t>1603490A08-000</t>
  </si>
  <si>
    <t>1603490A0C-000</t>
  </si>
  <si>
    <t>1603501018-000</t>
  </si>
  <si>
    <t>1603502000-000</t>
  </si>
  <si>
    <t>1603523032-000</t>
  </si>
  <si>
    <t>1603523090-000</t>
  </si>
  <si>
    <t>1603523100-000</t>
  </si>
  <si>
    <t>1603523107-000</t>
  </si>
  <si>
    <t>1603523110-000</t>
  </si>
  <si>
    <t>1603523111-000</t>
  </si>
  <si>
    <t>1603523113-000</t>
  </si>
  <si>
    <t>1603523122-000</t>
  </si>
  <si>
    <t>1603523123-000</t>
  </si>
  <si>
    <t>1603524010-000</t>
  </si>
  <si>
    <t>1604010152-000</t>
  </si>
  <si>
    <t>1604010175-000</t>
  </si>
  <si>
    <t>1604010183-000</t>
  </si>
  <si>
    <t>1604010187-000</t>
  </si>
  <si>
    <t>1604010214-000</t>
  </si>
  <si>
    <t>1604010228-000</t>
  </si>
  <si>
    <t>1604010235-000</t>
  </si>
  <si>
    <t>1604010236-000</t>
  </si>
  <si>
    <t>1604010240-000</t>
  </si>
  <si>
    <t>1604010248-000</t>
  </si>
  <si>
    <t>1604010252-000</t>
  </si>
  <si>
    <t>1604010332-000</t>
  </si>
  <si>
    <t>1604010425-000</t>
  </si>
  <si>
    <t>1604010434-000</t>
  </si>
  <si>
    <t>1604010445-000</t>
  </si>
  <si>
    <t>1604010640-000</t>
  </si>
  <si>
    <t>1604010650-000</t>
  </si>
  <si>
    <t>1604010654-000</t>
  </si>
  <si>
    <t>1604010660-000</t>
  </si>
  <si>
    <t>1604010A21-000</t>
  </si>
  <si>
    <t>1604010A23-000</t>
  </si>
  <si>
    <t>1604010A29-000</t>
  </si>
  <si>
    <t>1604010A44-000</t>
  </si>
  <si>
    <t>1604010A58-000</t>
  </si>
  <si>
    <t>1604010B06-000</t>
  </si>
  <si>
    <t>1604010B1E-000</t>
  </si>
  <si>
    <t>1604010B38-000</t>
  </si>
  <si>
    <t>1604010B3V-000</t>
  </si>
  <si>
    <t>1604010B41-000</t>
  </si>
  <si>
    <t>1604010B60-000</t>
  </si>
  <si>
    <t>1604010B6A-000</t>
  </si>
  <si>
    <t>1604010B6R-000</t>
  </si>
  <si>
    <t>1604010B74-000</t>
  </si>
  <si>
    <t>1604010B7E-000</t>
  </si>
  <si>
    <t>1604010B7H-000</t>
  </si>
  <si>
    <t>1604010B7L-000</t>
  </si>
  <si>
    <t>1604010B8S-000</t>
  </si>
  <si>
    <t>1604010B9F-000</t>
  </si>
  <si>
    <t>1604010B9H-000</t>
  </si>
  <si>
    <t>1604010B9L-000</t>
  </si>
  <si>
    <t>1604010B9N-000</t>
  </si>
  <si>
    <t>1604010B9U-000</t>
  </si>
  <si>
    <t>1604010BC1-000</t>
  </si>
  <si>
    <t>1604010BC2-000</t>
  </si>
  <si>
    <t>1604010BD2-000</t>
  </si>
  <si>
    <t>1604010BD4-000</t>
  </si>
  <si>
    <t>1604010BE6-000</t>
  </si>
  <si>
    <t>1604010BG3-000</t>
  </si>
  <si>
    <t>1604010BN9-000</t>
  </si>
  <si>
    <t>1604010BP1-000</t>
  </si>
  <si>
    <t>1604010BS1-000</t>
  </si>
  <si>
    <t>1604010BS4-000</t>
  </si>
  <si>
    <t>1604011116-000</t>
  </si>
  <si>
    <t>1604011121-000</t>
  </si>
  <si>
    <t>1604011141-000</t>
  </si>
  <si>
    <t>1604011148-000</t>
  </si>
  <si>
    <t>1604011149-000</t>
  </si>
  <si>
    <t>1604011156-000</t>
  </si>
  <si>
    <t>1604011182-000</t>
  </si>
  <si>
    <t>1604011223-000</t>
  </si>
  <si>
    <t>1604011257-000</t>
  </si>
  <si>
    <t>1604011297-000</t>
  </si>
  <si>
    <t>1604011298-000</t>
  </si>
  <si>
    <t>1604011932-000</t>
  </si>
  <si>
    <t>1604012000-000</t>
  </si>
  <si>
    <t>1604012039-000</t>
  </si>
  <si>
    <t>1604012044-000</t>
  </si>
  <si>
    <t>1604080036-000</t>
  </si>
  <si>
    <t>1604080038-000</t>
  </si>
  <si>
    <t>1604080079-000</t>
  </si>
  <si>
    <t>1604220039-000</t>
  </si>
  <si>
    <t>1604220109-000</t>
  </si>
  <si>
    <t>1604220140-000</t>
  </si>
  <si>
    <t>1604220149-000</t>
  </si>
  <si>
    <t>1604220159-000</t>
  </si>
  <si>
    <t>1604220171-000</t>
  </si>
  <si>
    <t>1604220175-000</t>
  </si>
  <si>
    <t>1604220194-000</t>
  </si>
  <si>
    <t>1604220215-000</t>
  </si>
  <si>
    <t>1604220220-000</t>
  </si>
  <si>
    <t>1604220228-000</t>
  </si>
  <si>
    <t>160422023P-000</t>
  </si>
  <si>
    <t>1604220245-000</t>
  </si>
  <si>
    <t>1604220254-000</t>
  </si>
  <si>
    <t>1604220258-000</t>
  </si>
  <si>
    <t>1604220262-000</t>
  </si>
  <si>
    <t>1604220266-000</t>
  </si>
  <si>
    <t>1604220272-000</t>
  </si>
  <si>
    <t>1604220282-000</t>
  </si>
  <si>
    <t>1604220283-000</t>
  </si>
  <si>
    <t>1604220284-000</t>
  </si>
  <si>
    <t>1604220301-000</t>
  </si>
  <si>
    <t>1604220332-000</t>
  </si>
  <si>
    <t>1604220334-000</t>
  </si>
  <si>
    <t>1604220343-000</t>
  </si>
  <si>
    <t>1604220354-000</t>
  </si>
  <si>
    <t>1604220358-000</t>
  </si>
  <si>
    <t>1604220375-000</t>
  </si>
  <si>
    <t>1604220380-000</t>
  </si>
  <si>
    <t>1604220381-000</t>
  </si>
  <si>
    <t>1604220382-000</t>
  </si>
  <si>
    <t>1604220401-000</t>
  </si>
  <si>
    <t>1604220408-000</t>
  </si>
  <si>
    <t>1604220411-000</t>
  </si>
  <si>
    <t>1604220417-000</t>
  </si>
  <si>
    <t>1604220422-000</t>
  </si>
  <si>
    <t>1604220429-000</t>
  </si>
  <si>
    <t>1604220433-000</t>
  </si>
  <si>
    <t>1604220439-000</t>
  </si>
  <si>
    <t>1604220459-000</t>
  </si>
  <si>
    <t>1604220470-000</t>
  </si>
  <si>
    <t>1604220478-000</t>
  </si>
  <si>
    <t>1604220501-000</t>
  </si>
  <si>
    <t>160422052C-000</t>
  </si>
  <si>
    <t>160422052F-000</t>
  </si>
  <si>
    <t>160422052M-000</t>
  </si>
  <si>
    <t>160422052R-000</t>
  </si>
  <si>
    <t>160422052X-000</t>
  </si>
  <si>
    <t>160422052Y-000</t>
  </si>
  <si>
    <t>160422052Z-000</t>
  </si>
  <si>
    <t>1604220532-000</t>
  </si>
  <si>
    <t>160422053J-000</t>
  </si>
  <si>
    <t>160422053U-000</t>
  </si>
  <si>
    <t>160422053Y-000</t>
  </si>
  <si>
    <t>160422054A-000</t>
  </si>
  <si>
    <t>160422054D-000</t>
  </si>
  <si>
    <t>160422054G-000</t>
  </si>
  <si>
    <t>160422054J-000</t>
  </si>
  <si>
    <t>160422054U-000</t>
  </si>
  <si>
    <t>1604220552-000</t>
  </si>
  <si>
    <t>1604220558-000</t>
  </si>
  <si>
    <t>160422056P-000</t>
  </si>
  <si>
    <t>1604220570-000</t>
  </si>
  <si>
    <t>1604220575-000</t>
  </si>
  <si>
    <t>1604220577-000</t>
  </si>
  <si>
    <t>160422057G-000</t>
  </si>
  <si>
    <t>160422057K-000</t>
  </si>
  <si>
    <t>1604220580-000</t>
  </si>
  <si>
    <t>1604220582-000</t>
  </si>
  <si>
    <t>160422058H-000</t>
  </si>
  <si>
    <t>160422058V-000</t>
  </si>
  <si>
    <t>160422059K-000</t>
  </si>
  <si>
    <t>160422059M-000</t>
  </si>
  <si>
    <t>16042205A4-000</t>
  </si>
  <si>
    <t>1604229100-000</t>
  </si>
  <si>
    <t>1604229192-000</t>
  </si>
  <si>
    <t>1604321129-000</t>
  </si>
  <si>
    <t>160432115J-000</t>
  </si>
  <si>
    <t>160432116M-000</t>
  </si>
  <si>
    <t>160432116Z-000</t>
  </si>
  <si>
    <t>1604321175-000</t>
  </si>
  <si>
    <t>1604321179-000</t>
  </si>
  <si>
    <t>160432117B-000</t>
  </si>
  <si>
    <t>1604321186-000</t>
  </si>
  <si>
    <t>1604321900-000</t>
  </si>
  <si>
    <t>1604336008-000</t>
  </si>
  <si>
    <t>1604336016-000</t>
  </si>
  <si>
    <t>1604336017-000</t>
  </si>
  <si>
    <t>1604336018-000</t>
  </si>
  <si>
    <t>1604336021-000</t>
  </si>
  <si>
    <t>1604336031-000</t>
  </si>
  <si>
    <t>1604336035-000</t>
  </si>
  <si>
    <t>1604336036-000</t>
  </si>
  <si>
    <t>1604336052-000</t>
  </si>
  <si>
    <t>1604336053-000</t>
  </si>
  <si>
    <t>1604336058-000</t>
  </si>
  <si>
    <t>1604336059-000</t>
  </si>
  <si>
    <t>160433605A-000</t>
  </si>
  <si>
    <t>160433605B-000</t>
  </si>
  <si>
    <t>160436004S-000</t>
  </si>
  <si>
    <t>160440000B-000</t>
  </si>
  <si>
    <t>160440000C-000</t>
  </si>
  <si>
    <t>160440001A-000</t>
  </si>
  <si>
    <t>160440001N-000</t>
  </si>
  <si>
    <t>160440001P-000</t>
  </si>
  <si>
    <t>1604413007-000</t>
  </si>
  <si>
    <t>1604413008-000</t>
  </si>
  <si>
    <t>1604431005-000</t>
  </si>
  <si>
    <t>1604431006-000</t>
  </si>
  <si>
    <t>1604448005-000</t>
  </si>
  <si>
    <t>1604448006-000</t>
  </si>
  <si>
    <t>1604448013-000</t>
  </si>
  <si>
    <t>1604448023-000</t>
  </si>
  <si>
    <t>1604448025-000</t>
  </si>
  <si>
    <t>1604449002-000</t>
  </si>
  <si>
    <t>1604460126-000</t>
  </si>
  <si>
    <t>1604460163-000</t>
  </si>
  <si>
    <t>1604460230-000</t>
  </si>
  <si>
    <t>1604460231-000</t>
  </si>
  <si>
    <t>1604460234-000</t>
  </si>
  <si>
    <t>1604460235-000</t>
  </si>
  <si>
    <t>1604460240-000</t>
  </si>
  <si>
    <t>1604460247-000</t>
  </si>
  <si>
    <t>1604460301-000</t>
  </si>
  <si>
    <t>1604460394-000</t>
  </si>
  <si>
    <t>1604460707-000</t>
  </si>
  <si>
    <t>160446071X-000</t>
  </si>
  <si>
    <t>1604460734-000</t>
  </si>
  <si>
    <t>160446073W-000</t>
  </si>
  <si>
    <t>160446074F-000</t>
  </si>
  <si>
    <t>160446074H-000</t>
  </si>
  <si>
    <t>1604460762-000</t>
  </si>
  <si>
    <t>1604460765-000</t>
  </si>
  <si>
    <t>1604460767-000</t>
  </si>
  <si>
    <t>160446076C-000</t>
  </si>
  <si>
    <t>160446076D-000</t>
  </si>
  <si>
    <t>1604465101-000</t>
  </si>
  <si>
    <t>1604465103-000</t>
  </si>
  <si>
    <t>1604477005-000</t>
  </si>
  <si>
    <t>1604477020-000</t>
  </si>
  <si>
    <t>1604478015-000</t>
  </si>
  <si>
    <t>1604503015-000</t>
  </si>
  <si>
    <t>1604503017-000</t>
  </si>
  <si>
    <t>1604601028-000</t>
  </si>
  <si>
    <t>160460102S-000</t>
  </si>
  <si>
    <t>1604601031-000</t>
  </si>
  <si>
    <t>1604601032-000</t>
  </si>
  <si>
    <t>1604601037-000</t>
  </si>
  <si>
    <t>160460103K-000</t>
  </si>
  <si>
    <t>160460103M-000</t>
  </si>
  <si>
    <t>1604601040-000</t>
  </si>
  <si>
    <t>1604611004-000</t>
  </si>
  <si>
    <t>1604611019-000</t>
  </si>
  <si>
    <t>1604611022-000</t>
  </si>
  <si>
    <t>1604611024-000</t>
  </si>
  <si>
    <t>1604611026-000</t>
  </si>
  <si>
    <t>1604611037-000</t>
  </si>
  <si>
    <t>1604611039-000</t>
  </si>
  <si>
    <t>1604611041-000</t>
  </si>
  <si>
    <t>1604611042-000</t>
  </si>
  <si>
    <t>160461200N-000</t>
  </si>
  <si>
    <t>160461200R-000</t>
  </si>
  <si>
    <t>160461200X-000</t>
  </si>
  <si>
    <t>160461201-000</t>
  </si>
  <si>
    <t>160461201P-000</t>
  </si>
  <si>
    <t>160461201U-000</t>
  </si>
  <si>
    <t>160461201X-000</t>
  </si>
  <si>
    <t>1604612028-000</t>
  </si>
  <si>
    <t>160461202N-000</t>
  </si>
  <si>
    <t>160461203M-000</t>
  </si>
  <si>
    <t>1604613006-000</t>
  </si>
  <si>
    <t>1604616022-000</t>
  </si>
  <si>
    <t>1604617008-000</t>
  </si>
  <si>
    <t>1604617009-000</t>
  </si>
  <si>
    <t>1604617015-000</t>
  </si>
  <si>
    <t>1604617016-000</t>
  </si>
  <si>
    <t>1604617017-000</t>
  </si>
  <si>
    <t>1604619017-000</t>
  </si>
  <si>
    <t>1604619018-000</t>
  </si>
  <si>
    <t>1604643003-000</t>
  </si>
  <si>
    <t>1604643005-000</t>
  </si>
  <si>
    <t>1604650010-000</t>
  </si>
  <si>
    <t>1604650016-000</t>
  </si>
  <si>
    <t>1604651004-000</t>
  </si>
  <si>
    <t>1604651007-000</t>
  </si>
  <si>
    <t>160465101C-000</t>
  </si>
  <si>
    <t>160465101F-000</t>
  </si>
  <si>
    <t>1604652002-000</t>
  </si>
  <si>
    <t>1604652004-000</t>
  </si>
  <si>
    <t>1604652006-000</t>
  </si>
  <si>
    <t>1604652009-000</t>
  </si>
  <si>
    <t>1604652013-000</t>
  </si>
  <si>
    <t>1604652016-000</t>
  </si>
  <si>
    <t>1604652018-000</t>
  </si>
  <si>
    <t>1604652020-000</t>
  </si>
  <si>
    <t>1604652021-000</t>
  </si>
  <si>
    <t>1604652024-000</t>
  </si>
  <si>
    <t>1604652027-000</t>
  </si>
  <si>
    <t>1604652029-000</t>
  </si>
  <si>
    <t>160465202A-000</t>
  </si>
  <si>
    <t>160465202D-000</t>
  </si>
  <si>
    <t>160465202F-000</t>
  </si>
  <si>
    <t>160465202M-000</t>
  </si>
  <si>
    <t>1604730001-000</t>
  </si>
  <si>
    <t>1604730004-000</t>
  </si>
  <si>
    <t>1604736004-000</t>
  </si>
  <si>
    <t>1604736005-000</t>
  </si>
  <si>
    <t>1605104067-000</t>
  </si>
  <si>
    <t>1605108127-000</t>
  </si>
  <si>
    <t>1605108137-000</t>
  </si>
  <si>
    <t>1605108144-000</t>
  </si>
  <si>
    <t>1605108145-000</t>
  </si>
  <si>
    <t>1605108151-000</t>
  </si>
  <si>
    <t>1605108162-000</t>
  </si>
  <si>
    <t>1605108174-000</t>
  </si>
  <si>
    <t>1605108180-000</t>
  </si>
  <si>
    <t>1605108190-000</t>
  </si>
  <si>
    <t>1605108208-000</t>
  </si>
  <si>
    <t>1605108222-000</t>
  </si>
  <si>
    <t>1605108231-000</t>
  </si>
  <si>
    <t>1605108233-000</t>
  </si>
  <si>
    <t>1605108236-000</t>
  </si>
  <si>
    <t>1605108239-000</t>
  </si>
  <si>
    <t>1605108241-000</t>
  </si>
  <si>
    <t>1605108248-000</t>
  </si>
  <si>
    <t>1605108249-000</t>
  </si>
  <si>
    <t>1605108264-000</t>
  </si>
  <si>
    <t>1605108269-000</t>
  </si>
  <si>
    <t>1605108270-000</t>
  </si>
  <si>
    <t>1605108282-000</t>
  </si>
  <si>
    <t>1605108283-000</t>
  </si>
  <si>
    <t>1605108287-000</t>
  </si>
  <si>
    <t>1605108292-000</t>
  </si>
  <si>
    <t>160510829B-000</t>
  </si>
  <si>
    <t>16051082AD-000</t>
  </si>
  <si>
    <t>16051082AF-000</t>
  </si>
  <si>
    <t>16051082AW-000</t>
  </si>
  <si>
    <t>16051082B2-000</t>
  </si>
  <si>
    <t>16051082B8-000</t>
  </si>
  <si>
    <t>16051082BB-000</t>
  </si>
  <si>
    <t>16051082BG-000</t>
  </si>
  <si>
    <t>16051082BZ-000</t>
  </si>
  <si>
    <t>16051082C0-000</t>
  </si>
  <si>
    <t>16051082CC-000</t>
  </si>
  <si>
    <t>16051082CH-000</t>
  </si>
  <si>
    <t>16051082CU-000</t>
  </si>
  <si>
    <t>16051082CZ-000</t>
  </si>
  <si>
    <t>16051082D1-000</t>
  </si>
  <si>
    <t>16051082D5-000</t>
  </si>
  <si>
    <t>16051082DB-000</t>
  </si>
  <si>
    <t>16051082E5-000</t>
  </si>
  <si>
    <t>16051082EL-000</t>
  </si>
  <si>
    <t>16051082F0-000</t>
  </si>
  <si>
    <t>16051082FG-000</t>
  </si>
  <si>
    <t>16051082FT-000</t>
  </si>
  <si>
    <t>16051082FV-000</t>
  </si>
  <si>
    <t>16051082G8-000</t>
  </si>
  <si>
    <t>16051082HP-000</t>
  </si>
  <si>
    <t>16051082HZ-000</t>
  </si>
  <si>
    <t>16051082JL-000</t>
  </si>
  <si>
    <t>16051082JX-000</t>
  </si>
  <si>
    <t>16051082K9-000</t>
  </si>
  <si>
    <t>16051082LZ-000</t>
  </si>
  <si>
    <t>16051082M0-000</t>
  </si>
  <si>
    <t>16051082M1-000</t>
  </si>
  <si>
    <t>16051082NX-000</t>
  </si>
  <si>
    <t>16051082NY-000</t>
  </si>
  <si>
    <t>16051082NZ-000</t>
  </si>
  <si>
    <t>16051082P0-000</t>
  </si>
  <si>
    <t>16051082RT-000</t>
  </si>
  <si>
    <t>16051082RU-000</t>
  </si>
  <si>
    <t>16051082S0-000</t>
  </si>
  <si>
    <t>16051082S1-000</t>
  </si>
  <si>
    <t>16051082TR-000</t>
  </si>
  <si>
    <t>1605132009-000</t>
  </si>
  <si>
    <t>1605132010-000</t>
  </si>
  <si>
    <t>1605132067-000</t>
  </si>
  <si>
    <t>1605132079-000</t>
  </si>
  <si>
    <t>1605132104-000</t>
  </si>
  <si>
    <t>1605132109-000</t>
  </si>
  <si>
    <t>1605132122-000</t>
  </si>
  <si>
    <t>1605132130-000</t>
  </si>
  <si>
    <t>1605132140-000</t>
  </si>
  <si>
    <t>1605132144-000</t>
  </si>
  <si>
    <t>1605132145-000</t>
  </si>
  <si>
    <t>1605132146-000</t>
  </si>
  <si>
    <t>1605132147-000</t>
  </si>
  <si>
    <t>1605132154-000</t>
  </si>
  <si>
    <t>1605132155-000</t>
  </si>
  <si>
    <t>1605132159-000</t>
  </si>
  <si>
    <t>1605132163-000</t>
  </si>
  <si>
    <t>160513216N-000</t>
  </si>
  <si>
    <t>160513217B-000</t>
  </si>
  <si>
    <t>160513217U-000</t>
  </si>
  <si>
    <t>160513217V-000</t>
  </si>
  <si>
    <t>160513217Z-000</t>
  </si>
  <si>
    <t>1605132181-000</t>
  </si>
  <si>
    <t>1605132182-000</t>
  </si>
  <si>
    <t>160513218U-000</t>
  </si>
  <si>
    <t>160513218X-000</t>
  </si>
  <si>
    <t>160513218Y-000</t>
  </si>
  <si>
    <t>160513219G-000</t>
  </si>
  <si>
    <t>160513219J-000</t>
  </si>
  <si>
    <t>160513219K-000</t>
  </si>
  <si>
    <t>1605133015-000</t>
  </si>
  <si>
    <t>1605133029-000</t>
  </si>
  <si>
    <t>1605133036-000</t>
  </si>
  <si>
    <t>1605133045-000</t>
  </si>
  <si>
    <t>1605133046-000</t>
  </si>
  <si>
    <t>1605133047-000</t>
  </si>
  <si>
    <t>1605190026-000</t>
  </si>
  <si>
    <t>1605190038-000</t>
  </si>
  <si>
    <t>1605190048-000</t>
  </si>
  <si>
    <t>1605190068-000</t>
  </si>
  <si>
    <t>1605190091-000</t>
  </si>
  <si>
    <t>1605190190-000</t>
  </si>
  <si>
    <t>1605190195-000</t>
  </si>
  <si>
    <t>1605190228-000</t>
  </si>
  <si>
    <t>1605190265-000</t>
  </si>
  <si>
    <t>1605405004-000</t>
  </si>
  <si>
    <t>160541101G-000</t>
  </si>
  <si>
    <t>160541101H-000</t>
  </si>
  <si>
    <t>1605411034-000</t>
  </si>
  <si>
    <t>1605430003-000</t>
  </si>
  <si>
    <t>1605437003-000</t>
  </si>
  <si>
    <t>16054381G2-000</t>
  </si>
  <si>
    <t>1605500089-000</t>
  </si>
  <si>
    <t>1605500109-000</t>
  </si>
  <si>
    <t>1605500112-000</t>
  </si>
  <si>
    <t>1605500120-000</t>
  </si>
  <si>
    <t>1605500122-000</t>
  </si>
  <si>
    <t>1605500124-000</t>
  </si>
  <si>
    <t>1605500139-000</t>
  </si>
  <si>
    <t>1605500150-000</t>
  </si>
  <si>
    <t>1605500174-000</t>
  </si>
  <si>
    <t>1605500194-000</t>
  </si>
  <si>
    <t>1605500206-000</t>
  </si>
  <si>
    <t>1605500226-000</t>
  </si>
  <si>
    <t>1605500227-000</t>
  </si>
  <si>
    <t>1605500228-000</t>
  </si>
  <si>
    <t>1605500233-000</t>
  </si>
  <si>
    <t>1605500236-000</t>
  </si>
  <si>
    <t>1605500237-000</t>
  </si>
  <si>
    <t>1605500251-000</t>
  </si>
  <si>
    <t>1605500258-000</t>
  </si>
  <si>
    <t>1605500260-000</t>
  </si>
  <si>
    <t>1605500263-000</t>
  </si>
  <si>
    <t>1605500264-000</t>
  </si>
  <si>
    <t>1605500265-000</t>
  </si>
  <si>
    <t>1605500266-000</t>
  </si>
  <si>
    <t>1605500275-000</t>
  </si>
  <si>
    <t>1605500276-000</t>
  </si>
  <si>
    <t>1605500277-000</t>
  </si>
  <si>
    <t>1605500278-000</t>
  </si>
  <si>
    <t>1605500279-000</t>
  </si>
  <si>
    <t>160550028R-000</t>
  </si>
  <si>
    <t>16055002A4-000</t>
  </si>
  <si>
    <t>16055002A5-000</t>
  </si>
  <si>
    <t>16055002A8-000</t>
  </si>
  <si>
    <t>16055002AC-000</t>
  </si>
  <si>
    <t>16055002AU-000</t>
  </si>
  <si>
    <t>16055002BV-000</t>
  </si>
  <si>
    <t>16055002C5-000</t>
  </si>
  <si>
    <t>16055002CF-000</t>
  </si>
  <si>
    <t>16055002CJ-000</t>
  </si>
  <si>
    <t>16055002DV-000</t>
  </si>
  <si>
    <t>16055002EP-000</t>
  </si>
  <si>
    <t>16055002F9-000</t>
  </si>
  <si>
    <t>16055002FA-000</t>
  </si>
  <si>
    <t>16055002GJ-000</t>
  </si>
  <si>
    <t>16055002GW-000</t>
  </si>
  <si>
    <t>16055002HL-000</t>
  </si>
  <si>
    <t>16055002HM-000</t>
  </si>
  <si>
    <t>16055002HN-000</t>
  </si>
  <si>
    <t>16055002J9-000</t>
  </si>
  <si>
    <t>16055002JA-000</t>
  </si>
  <si>
    <t>160550044M-000</t>
  </si>
  <si>
    <t>1605510122-000</t>
  </si>
  <si>
    <t>1605510125-000</t>
  </si>
  <si>
    <t>1605510127-000</t>
  </si>
  <si>
    <t>1605510139-000</t>
  </si>
  <si>
    <t>1605510140-000</t>
  </si>
  <si>
    <t>1605510141-000</t>
  </si>
  <si>
    <t>1605510142-000</t>
  </si>
  <si>
    <t>1605510173-000</t>
  </si>
  <si>
    <t>1605510227-000</t>
  </si>
  <si>
    <t>1605510249-000</t>
  </si>
  <si>
    <t>1605510315-000</t>
  </si>
  <si>
    <t>1605510329-000</t>
  </si>
  <si>
    <t>1605510333-000</t>
  </si>
  <si>
    <t>1605510355-000</t>
  </si>
  <si>
    <t>1605510356-000</t>
  </si>
  <si>
    <t>1605510378-000</t>
  </si>
  <si>
    <t>1605510397-000</t>
  </si>
  <si>
    <t>1605510398-000</t>
  </si>
  <si>
    <t>1605510406-000</t>
  </si>
  <si>
    <t>1605510407-000</t>
  </si>
  <si>
    <t>1605703061-000</t>
  </si>
  <si>
    <t>1605703069-000</t>
  </si>
  <si>
    <t>1605703071-000</t>
  </si>
  <si>
    <t>1605703075-000</t>
  </si>
  <si>
    <t>1605703107-000</t>
  </si>
  <si>
    <t>1605703108-000</t>
  </si>
  <si>
    <t>1605703140-000</t>
  </si>
  <si>
    <t>1605801018-000</t>
  </si>
  <si>
    <t>1605805022-000</t>
  </si>
  <si>
    <t>1605805043-000</t>
  </si>
  <si>
    <t>1605805054-000</t>
  </si>
  <si>
    <t>1605805061-000</t>
  </si>
  <si>
    <t>1605805063-000</t>
  </si>
  <si>
    <t>1605805065-000</t>
  </si>
  <si>
    <t>1605805070-000</t>
  </si>
  <si>
    <t>1605805079-000</t>
  </si>
  <si>
    <t>1605805090-000</t>
  </si>
  <si>
    <t>1605805099-000</t>
  </si>
  <si>
    <t>1605805100-000</t>
  </si>
  <si>
    <t>1605805105-000</t>
  </si>
  <si>
    <t>1605805126-000</t>
  </si>
  <si>
    <t>1605805158-000</t>
  </si>
  <si>
    <t>1605805159-000</t>
  </si>
  <si>
    <t>160580515D-000</t>
  </si>
  <si>
    <t>160580515F-000</t>
  </si>
  <si>
    <t>1605805592-000</t>
  </si>
  <si>
    <t>1605806202-000</t>
  </si>
  <si>
    <t>1605806368-000</t>
  </si>
  <si>
    <t>1605806382-000</t>
  </si>
  <si>
    <t>1605806396-000</t>
  </si>
  <si>
    <t>1605806401-000</t>
  </si>
  <si>
    <t>1605806402-000</t>
  </si>
  <si>
    <t>1605806409-000</t>
  </si>
  <si>
    <t>1605806429-000</t>
  </si>
  <si>
    <t>1605806437-000</t>
  </si>
  <si>
    <t>1605806450-000</t>
  </si>
  <si>
    <t>1605806451-000</t>
  </si>
  <si>
    <t>1605806465-000</t>
  </si>
  <si>
    <t>1605806466-000</t>
  </si>
  <si>
    <t>1605806473-000</t>
  </si>
  <si>
    <t>1605806509-000</t>
  </si>
  <si>
    <t>1605806510-000</t>
  </si>
  <si>
    <t>1605806515-000</t>
  </si>
  <si>
    <t>1605806518-000</t>
  </si>
  <si>
    <t>1605806525-000</t>
  </si>
  <si>
    <t>1605806533-000</t>
  </si>
  <si>
    <t>160580657C-000</t>
  </si>
  <si>
    <t>160580657F-000</t>
  </si>
  <si>
    <t>160580657S-000</t>
  </si>
  <si>
    <t>160580658F-000</t>
  </si>
  <si>
    <t>160580658T-000</t>
  </si>
  <si>
    <t>160580659B-000</t>
  </si>
  <si>
    <t>16058065B1-000</t>
  </si>
  <si>
    <t>16058065ET-000</t>
  </si>
  <si>
    <t>16058065KW-000</t>
  </si>
  <si>
    <t>16058065LV-000</t>
  </si>
  <si>
    <t>16058065LW-000</t>
  </si>
  <si>
    <t>16058065M0-000</t>
  </si>
  <si>
    <t>16058065M2-000</t>
  </si>
  <si>
    <t>16058065RA-000</t>
  </si>
  <si>
    <t>16058065RB-000</t>
  </si>
  <si>
    <t>16058065S3-000</t>
  </si>
  <si>
    <t>16058065S4-000</t>
  </si>
  <si>
    <t>16058065SB-000</t>
  </si>
  <si>
    <t>16058065SC-000</t>
  </si>
  <si>
    <t>16058065TR-000</t>
  </si>
  <si>
    <t>16058065W7-000</t>
  </si>
  <si>
    <t>16058065XA-000</t>
  </si>
  <si>
    <t>16058065Y1-000</t>
  </si>
  <si>
    <t>16058065Y4-000</t>
  </si>
  <si>
    <t>1605806606-000</t>
  </si>
  <si>
    <t>160580660K-000</t>
  </si>
  <si>
    <t>160580661K-000</t>
  </si>
  <si>
    <t>160580662M-000</t>
  </si>
  <si>
    <t>160580662W-000</t>
  </si>
  <si>
    <t>160580664R-000</t>
  </si>
  <si>
    <t>160580664U-000</t>
  </si>
  <si>
    <t>160580664W-000</t>
  </si>
  <si>
    <t>1605807011-000</t>
  </si>
  <si>
    <t>1605807012-000</t>
  </si>
  <si>
    <t>1605807013-000</t>
  </si>
  <si>
    <t>1605808054-000</t>
  </si>
  <si>
    <t>1605808059-000</t>
  </si>
  <si>
    <t>160580808U-000</t>
  </si>
  <si>
    <t>16058080A8-000</t>
  </si>
  <si>
    <t>16058080EW-000</t>
  </si>
  <si>
    <t>160582023G-000</t>
  </si>
  <si>
    <t>1605A00047-000</t>
  </si>
  <si>
    <t>1605A00048-000</t>
  </si>
  <si>
    <t>1605A000CT-000</t>
  </si>
  <si>
    <t>1605A000D0-000</t>
  </si>
  <si>
    <t>1605A000DX-000</t>
  </si>
  <si>
    <t>1605A000DY-000</t>
  </si>
  <si>
    <t>1606100039-000</t>
  </si>
  <si>
    <t>1606135017-000</t>
  </si>
  <si>
    <t>160630000V-000</t>
  </si>
  <si>
    <t>160630000W-000</t>
  </si>
  <si>
    <t>160630000X-000</t>
  </si>
  <si>
    <t>1606300013-000</t>
  </si>
  <si>
    <t>1606309036-000</t>
  </si>
  <si>
    <t>1606309065-000</t>
  </si>
  <si>
    <t>1606309066-000</t>
  </si>
  <si>
    <t>1606317074-000</t>
  </si>
  <si>
    <t>1606317080-000</t>
  </si>
  <si>
    <t>1606317081-000</t>
  </si>
  <si>
    <t>1606317082-000</t>
  </si>
  <si>
    <t>1606317084-000</t>
  </si>
  <si>
    <t>1606320028-000</t>
  </si>
  <si>
    <t>1606320040-000</t>
  </si>
  <si>
    <t>1606320075-000</t>
  </si>
  <si>
    <t>1606320076-000</t>
  </si>
  <si>
    <t>1606320077-000</t>
  </si>
  <si>
    <t>1606320080-000</t>
  </si>
  <si>
    <t>1606325025-000</t>
  </si>
  <si>
    <t>1606325027-000</t>
  </si>
  <si>
    <t>1606333053-000</t>
  </si>
  <si>
    <t>1606333066-000</t>
  </si>
  <si>
    <t>1606333087-000</t>
  </si>
  <si>
    <t>1606333119-000</t>
  </si>
  <si>
    <t>1606333144-000</t>
  </si>
  <si>
    <t>1606333145-000</t>
  </si>
  <si>
    <t>1606333147-000</t>
  </si>
  <si>
    <t>1606333148-000</t>
  </si>
  <si>
    <t>1606333150-000</t>
  </si>
  <si>
    <t>1606333168-000</t>
  </si>
  <si>
    <t>1606333198-000</t>
  </si>
  <si>
    <t>1606333199-000</t>
  </si>
  <si>
    <t>1606333200-000</t>
  </si>
  <si>
    <t>1606333201-000</t>
  </si>
  <si>
    <t>1606333202-000</t>
  </si>
  <si>
    <t>1606333204-000</t>
  </si>
  <si>
    <t>1606333207-000</t>
  </si>
  <si>
    <t>1606333208-000</t>
  </si>
  <si>
    <t>1606333209-000</t>
  </si>
  <si>
    <t>1606333210-000</t>
  </si>
  <si>
    <t>1606333216-000</t>
  </si>
  <si>
    <t>1606333217-000</t>
  </si>
  <si>
    <t>1606333218-000</t>
  </si>
  <si>
    <t>1606333234-000</t>
  </si>
  <si>
    <t>1606333235-000</t>
  </si>
  <si>
    <t>1606333237-000</t>
  </si>
  <si>
    <t>1606333239-000</t>
  </si>
  <si>
    <t>1606333245-000</t>
  </si>
  <si>
    <t>1606333246-000</t>
  </si>
  <si>
    <t>1606333247-000</t>
  </si>
  <si>
    <t>1606333248-000</t>
  </si>
  <si>
    <t>1606333253-000</t>
  </si>
  <si>
    <t>1606333259-000</t>
  </si>
  <si>
    <t>1606333260-000</t>
  </si>
  <si>
    <t>1606333261-000</t>
  </si>
  <si>
    <t>1606333262-000</t>
  </si>
  <si>
    <t>1606333265-000</t>
  </si>
  <si>
    <t>1606333269-000</t>
  </si>
  <si>
    <t>1606333274-000</t>
  </si>
  <si>
    <t>16063332BW-000</t>
  </si>
  <si>
    <t>16063332FF-000</t>
  </si>
  <si>
    <t>1606333601-000</t>
  </si>
  <si>
    <t>1606333610-000</t>
  </si>
  <si>
    <t>1606333611-000</t>
  </si>
  <si>
    <t>1606333617-000</t>
  </si>
  <si>
    <t>1606333618-000</t>
  </si>
  <si>
    <t>1606333626-000</t>
  </si>
  <si>
    <t>1606333627-000</t>
  </si>
  <si>
    <t>1606333628-000</t>
  </si>
  <si>
    <t>1606333633-000</t>
  </si>
  <si>
    <t>1606333634-000</t>
  </si>
  <si>
    <t>1606442000-000</t>
  </si>
  <si>
    <t>1606610058-000</t>
  </si>
  <si>
    <t>1606610069-000</t>
  </si>
  <si>
    <t>1606610116-000</t>
  </si>
  <si>
    <t>1606610117-000</t>
  </si>
  <si>
    <t>1606610118-000</t>
  </si>
  <si>
    <t>1606610120-000</t>
  </si>
  <si>
    <t>1606610121-000</t>
  </si>
  <si>
    <t>1606610122-000</t>
  </si>
  <si>
    <t>1606610124-000</t>
  </si>
  <si>
    <t>1606610127-000</t>
  </si>
  <si>
    <t>1606610129-000</t>
  </si>
  <si>
    <t>1606610132-000</t>
  </si>
  <si>
    <t>1606610138-000</t>
  </si>
  <si>
    <t>1606610141-000</t>
  </si>
  <si>
    <t>1606610142-000</t>
  </si>
  <si>
    <t>1606610150-000</t>
  </si>
  <si>
    <t>1606610151-000</t>
  </si>
  <si>
    <t>1606610156-000</t>
  </si>
  <si>
    <t>160661015K-000</t>
  </si>
  <si>
    <t>1606610900-000</t>
  </si>
  <si>
    <t>1606625025-000</t>
  </si>
  <si>
    <t>1606625026-000</t>
  </si>
  <si>
    <t>1607000027-000</t>
  </si>
  <si>
    <t>1607000032-000</t>
  </si>
  <si>
    <t>1607000036-000</t>
  </si>
  <si>
    <t>1607000038-000</t>
  </si>
  <si>
    <t>1607000039-000</t>
  </si>
  <si>
    <t>1607000044-000</t>
  </si>
  <si>
    <t>1607000189-000</t>
  </si>
  <si>
    <t>1607000206-000</t>
  </si>
  <si>
    <t>1607000218-000</t>
  </si>
  <si>
    <t>1607000227-000</t>
  </si>
  <si>
    <t>1607000228-000</t>
  </si>
  <si>
    <t>1607000231-000</t>
  </si>
  <si>
    <t>1607000253-000</t>
  </si>
  <si>
    <t>1607000285-000</t>
  </si>
  <si>
    <t>1607000295-000</t>
  </si>
  <si>
    <t>1607000316-000</t>
  </si>
  <si>
    <t>1607000326-000</t>
  </si>
  <si>
    <t>1607000342-000</t>
  </si>
  <si>
    <t>1607000357-000</t>
  </si>
  <si>
    <t>1607000358-000</t>
  </si>
  <si>
    <t>1607000360-000</t>
  </si>
  <si>
    <t>1607000363-000</t>
  </si>
  <si>
    <t>1607000368-000</t>
  </si>
  <si>
    <t>1607000374-000</t>
  </si>
  <si>
    <t>1607000381-000</t>
  </si>
  <si>
    <t>1607000382-000</t>
  </si>
  <si>
    <t>1607000385-000</t>
  </si>
  <si>
    <t>1607000386-000</t>
  </si>
  <si>
    <t>1607000395-000</t>
  </si>
  <si>
    <t>1607000397-000</t>
  </si>
  <si>
    <t>1607000429-000</t>
  </si>
  <si>
    <t>1607000430-000</t>
  </si>
  <si>
    <t>1607000431-000</t>
  </si>
  <si>
    <t>1607000432-000</t>
  </si>
  <si>
    <t>1607000434-000</t>
  </si>
  <si>
    <t>1607000448-000</t>
  </si>
  <si>
    <t>1607000449-000</t>
  </si>
  <si>
    <t>1607000481-000</t>
  </si>
  <si>
    <t>1607000482-000</t>
  </si>
  <si>
    <t>1607000494-000</t>
  </si>
  <si>
    <t>1607000504-000</t>
  </si>
  <si>
    <t>1607000744-000</t>
  </si>
  <si>
    <t>1607000751-000</t>
  </si>
  <si>
    <t>1607000821-000</t>
  </si>
  <si>
    <t>1607000849-000</t>
  </si>
  <si>
    <t>1607000850-000</t>
  </si>
  <si>
    <t>1607000883-000</t>
  </si>
  <si>
    <t>1607000884-000</t>
  </si>
  <si>
    <t>1607000885-000</t>
  </si>
  <si>
    <t>1607000886-000</t>
  </si>
  <si>
    <t>1607000887-000</t>
  </si>
  <si>
    <t>1607000896-000</t>
  </si>
  <si>
    <t>1607000902-000</t>
  </si>
  <si>
    <t>1607000907-000</t>
  </si>
  <si>
    <t>1607000920-000</t>
  </si>
  <si>
    <t>1607000921-000</t>
  </si>
  <si>
    <t>1607000922-000</t>
  </si>
  <si>
    <t>1607000933-000</t>
  </si>
  <si>
    <t>1607000936-000</t>
  </si>
  <si>
    <t>1607000938-000</t>
  </si>
  <si>
    <t>1607000943-000</t>
  </si>
  <si>
    <t>1607000949-000</t>
  </si>
  <si>
    <t>1607000950-000</t>
  </si>
  <si>
    <t>1607000954-000</t>
  </si>
  <si>
    <t>1607000968-000</t>
  </si>
  <si>
    <t>1607000970-000</t>
  </si>
  <si>
    <t>1607000985-000</t>
  </si>
  <si>
    <t>1607000986-000</t>
  </si>
  <si>
    <t>1607000A06-000</t>
  </si>
  <si>
    <t>1607000A26-000</t>
  </si>
  <si>
    <t>1607000A27-000</t>
  </si>
  <si>
    <t>1607000A30-000</t>
  </si>
  <si>
    <t>1607000A32-000</t>
  </si>
  <si>
    <t>1607000A36-000</t>
  </si>
  <si>
    <t>1607000A38-000</t>
  </si>
  <si>
    <t>1607000A40-000</t>
  </si>
  <si>
    <t>1607000A41-000</t>
  </si>
  <si>
    <t>1607000A42-000</t>
  </si>
  <si>
    <t>1607000A43-000</t>
  </si>
  <si>
    <t>1607000A44-000</t>
  </si>
  <si>
    <t>1607000A47-000</t>
  </si>
  <si>
    <t>1607000A71-000</t>
  </si>
  <si>
    <t>1607000A87-000</t>
  </si>
  <si>
    <t>1607000A88-000</t>
  </si>
  <si>
    <t>1607000C00-000</t>
  </si>
  <si>
    <t>1607000C03-000</t>
  </si>
  <si>
    <t>1607000C04-000</t>
  </si>
  <si>
    <t>1607000C05-000</t>
  </si>
  <si>
    <t>1607000C07-000</t>
  </si>
  <si>
    <t>1607000C13-000</t>
  </si>
  <si>
    <t>1607000C17-000</t>
  </si>
  <si>
    <t>1607000C21-000</t>
  </si>
  <si>
    <t>1607000C22-000</t>
  </si>
  <si>
    <t>1607000C24-000</t>
  </si>
  <si>
    <t>1607000C26-000</t>
  </si>
  <si>
    <t>1607000C3E-000</t>
  </si>
  <si>
    <t>1607000C3M-000</t>
  </si>
  <si>
    <t>1607000C3N-000</t>
  </si>
  <si>
    <t>1607000C3P-000</t>
  </si>
  <si>
    <t>1607000C3R-000</t>
  </si>
  <si>
    <t>1607000C3S-000</t>
  </si>
  <si>
    <t>1607000C3V-000</t>
  </si>
  <si>
    <t>1607000C3Y-000</t>
  </si>
  <si>
    <t>1607000C3Z-000</t>
  </si>
  <si>
    <t>1607000C40-000</t>
  </si>
  <si>
    <t>1607000C41-000</t>
  </si>
  <si>
    <t>1607000C42-000</t>
  </si>
  <si>
    <t>1607000C43-000</t>
  </si>
  <si>
    <t>1607000C44-000</t>
  </si>
  <si>
    <t>1607000C45-000</t>
  </si>
  <si>
    <t>1607000C46-000</t>
  </si>
  <si>
    <t>1607000C47-000</t>
  </si>
  <si>
    <t>1607000C48-000</t>
  </si>
  <si>
    <t>1607000C49-000</t>
  </si>
  <si>
    <t>1607000C4A-000</t>
  </si>
  <si>
    <t>1607000C4B-000</t>
  </si>
  <si>
    <t>1607000C4C-000</t>
  </si>
  <si>
    <t>1607000C4D-000</t>
  </si>
  <si>
    <t>1607000C4E-000</t>
  </si>
  <si>
    <t>1607000C4F-000</t>
  </si>
  <si>
    <t>1607000C4G-000</t>
  </si>
  <si>
    <t>1607000C4J-000</t>
  </si>
  <si>
    <t>1607000C4K-000</t>
  </si>
  <si>
    <t>1607000C5H-000</t>
  </si>
  <si>
    <t>1607000C5N-000</t>
  </si>
  <si>
    <t>1607000C68-000</t>
  </si>
  <si>
    <t>1607000C69-000</t>
  </si>
  <si>
    <t>1607000C6B-000</t>
  </si>
  <si>
    <t>1607000C6C-000</t>
  </si>
  <si>
    <t>1607000C8U-000</t>
  </si>
  <si>
    <t>1607000C8W-000</t>
  </si>
  <si>
    <t>1607000C8X-000</t>
  </si>
  <si>
    <t>1607000C8Y-000</t>
  </si>
  <si>
    <t>1607000C8Z-000</t>
  </si>
  <si>
    <t>1607000C9S-000</t>
  </si>
  <si>
    <t>1607000C9T-000</t>
  </si>
  <si>
    <t>1607000C9U-000</t>
  </si>
  <si>
    <t>1607000C9Z-000</t>
  </si>
  <si>
    <t>1607000CA0-000</t>
  </si>
  <si>
    <t>1607000CA3-000</t>
  </si>
  <si>
    <t>1607000CA4-000</t>
  </si>
  <si>
    <t>1607000CA5-000</t>
  </si>
  <si>
    <t>1607000CA6-000</t>
  </si>
  <si>
    <t>1607000CA8-000</t>
  </si>
  <si>
    <t>1607000CA9-000</t>
  </si>
  <si>
    <t>1607000CC0-000</t>
  </si>
  <si>
    <t>1607000CC8-000</t>
  </si>
  <si>
    <t>1607000CD1-000</t>
  </si>
  <si>
    <t>1607000CD6-000</t>
  </si>
  <si>
    <t>1607000CD7-000</t>
  </si>
  <si>
    <t>1607000CD9-000</t>
  </si>
  <si>
    <t>1607000CE0-000</t>
  </si>
  <si>
    <t>1607000CE1-000</t>
  </si>
  <si>
    <t>1607000CF0-000</t>
  </si>
  <si>
    <t>1607000CF2-000</t>
  </si>
  <si>
    <t>1607000CF9-000</t>
  </si>
  <si>
    <t>1607000CG7-000</t>
  </si>
  <si>
    <t>1607000CG9-000</t>
  </si>
  <si>
    <t>1607000CH4-000</t>
  </si>
  <si>
    <t>1607000CH6-000</t>
  </si>
  <si>
    <t>1607000CH8-000</t>
  </si>
  <si>
    <t>1607000CJ0-000</t>
  </si>
  <si>
    <t>1607000CJ1-000</t>
  </si>
  <si>
    <t>1607000CM2-000</t>
  </si>
  <si>
    <t>1607000CM3-000</t>
  </si>
  <si>
    <t>1607000CM4-000</t>
  </si>
  <si>
    <t>1607000CM5-000</t>
  </si>
  <si>
    <t>1607000CN6-000</t>
  </si>
  <si>
    <t>1607000CN7-000</t>
  </si>
  <si>
    <t>1607000CP1-000</t>
  </si>
  <si>
    <t>1607000CP2-000</t>
  </si>
  <si>
    <t>1607000CR4-000</t>
  </si>
  <si>
    <t>1607000CU5-000</t>
  </si>
  <si>
    <t>1607000CV1-000</t>
  </si>
  <si>
    <t>1607000CW1-000</t>
  </si>
  <si>
    <t>1607000CW9-000</t>
  </si>
  <si>
    <t>1607000CX0-000</t>
  </si>
  <si>
    <t>1607000CX2-000</t>
  </si>
  <si>
    <t>1607000CX3-000</t>
  </si>
  <si>
    <t>1607000CY2-000</t>
  </si>
  <si>
    <t>1607000CY3-000</t>
  </si>
  <si>
    <t>1607000CY7-000</t>
  </si>
  <si>
    <t>1607000D09-000</t>
  </si>
  <si>
    <t>1607000D0A-000</t>
  </si>
  <si>
    <t>1607000D0C-000</t>
  </si>
  <si>
    <t>1607000D0D-000</t>
  </si>
  <si>
    <t>1607000D0H-000</t>
  </si>
  <si>
    <t>1607000D0S-000</t>
  </si>
  <si>
    <t>1607000D10-000</t>
  </si>
  <si>
    <t>1607000D1F-000</t>
  </si>
  <si>
    <t>1607000D1V-000</t>
  </si>
  <si>
    <t>1607000D2J-000</t>
  </si>
  <si>
    <t>1607000D3M-000</t>
  </si>
  <si>
    <t>1607000D4F-000</t>
  </si>
  <si>
    <t>1607000D4H-000</t>
  </si>
  <si>
    <t>1607000D5C-000</t>
  </si>
  <si>
    <t>1607000D5D-000</t>
  </si>
  <si>
    <t>1607000D5G-000</t>
  </si>
  <si>
    <t>1607000D5J-000</t>
  </si>
  <si>
    <t>1607000D5V-000</t>
  </si>
  <si>
    <t>1607000D5W-000</t>
  </si>
  <si>
    <t>1607000D5X-000</t>
  </si>
  <si>
    <t>1607000D5Z-000</t>
  </si>
  <si>
    <t>1607000D6D-000</t>
  </si>
  <si>
    <t>1607000D77-000</t>
  </si>
  <si>
    <t>1607000D78-000</t>
  </si>
  <si>
    <t>1607000D7K-000</t>
  </si>
  <si>
    <t>1607000D7Y-000</t>
  </si>
  <si>
    <t>1607000D81-000</t>
  </si>
  <si>
    <t>1607000D83-000</t>
  </si>
  <si>
    <t>1607000D90-000</t>
  </si>
  <si>
    <t>1607000D91-000</t>
  </si>
  <si>
    <t>1607000D92-000</t>
  </si>
  <si>
    <t>1607000D97-000</t>
  </si>
  <si>
    <t>1607000D99-000</t>
  </si>
  <si>
    <t>1607000D9Z-000</t>
  </si>
  <si>
    <t>1607000DA2-000</t>
  </si>
  <si>
    <t>1607000DF1-000</t>
  </si>
  <si>
    <t>1607000DF2-000</t>
  </si>
  <si>
    <t>1607000DF3-000</t>
  </si>
  <si>
    <t>1607000DF4-000</t>
  </si>
  <si>
    <t>1607000DF5-000</t>
  </si>
  <si>
    <t>1607000DF6-000</t>
  </si>
  <si>
    <t>1607000DK5-000</t>
  </si>
  <si>
    <t>1607000DL2-000</t>
  </si>
  <si>
    <t>1607000DL3-000</t>
  </si>
  <si>
    <t>1607000DL4-000</t>
  </si>
  <si>
    <t>1607000DL5-000</t>
  </si>
  <si>
    <t>1607000DL7-000</t>
  </si>
  <si>
    <t>1607000DL8-000</t>
  </si>
  <si>
    <t>1607000DL9-000</t>
  </si>
  <si>
    <t>1607000DM8-000</t>
  </si>
  <si>
    <t>1607000DN0-000</t>
  </si>
  <si>
    <t>1607000DN1-000</t>
  </si>
  <si>
    <t>1607000DN4-000</t>
  </si>
  <si>
    <t>1607000DN5-000</t>
  </si>
  <si>
    <t>1607000DN6-000</t>
  </si>
  <si>
    <t>1607000E07-000</t>
  </si>
  <si>
    <t>1607000E0N-000</t>
  </si>
  <si>
    <t>1607000E18-000</t>
  </si>
  <si>
    <t>1607000E1D-000</t>
  </si>
  <si>
    <t>1607000E1R-000</t>
  </si>
  <si>
    <t>1607000E46-000</t>
  </si>
  <si>
    <t>1607000E4F-000</t>
  </si>
  <si>
    <t>1607000E58-000</t>
  </si>
  <si>
    <t>1607000E59-000</t>
  </si>
  <si>
    <t>1607000E5A-000</t>
  </si>
  <si>
    <t>1607000E5B-000</t>
  </si>
  <si>
    <t>1607000E5C-000</t>
  </si>
  <si>
    <t>1607000E5D-000</t>
  </si>
  <si>
    <t>1607000E5E-000</t>
  </si>
  <si>
    <t>1607000E60-000</t>
  </si>
  <si>
    <t>1607000E61-000</t>
  </si>
  <si>
    <t>1607000E62-000</t>
  </si>
  <si>
    <t>1607000E69-000</t>
  </si>
  <si>
    <t>1607000E6A-000</t>
  </si>
  <si>
    <t>1607000E6G-000</t>
  </si>
  <si>
    <t>1607000E6H-000</t>
  </si>
  <si>
    <t>1607000E6J-000</t>
  </si>
  <si>
    <t>1607000E6K-000</t>
  </si>
  <si>
    <t>1607000E6U-000</t>
  </si>
  <si>
    <t>1607000E79-000</t>
  </si>
  <si>
    <t>1607000E7U-000</t>
  </si>
  <si>
    <t>1607000EC3-000</t>
  </si>
  <si>
    <t>1607000EH2-000</t>
  </si>
  <si>
    <t>1607000V14-000</t>
  </si>
  <si>
    <t>1607000V38-000</t>
  </si>
  <si>
    <t>1607000V39-000</t>
  </si>
  <si>
    <t>1607000V42-000</t>
  </si>
  <si>
    <t>1607000V43-000</t>
  </si>
  <si>
    <t>1607000V44-000</t>
  </si>
  <si>
    <t>1607000V49-000</t>
  </si>
  <si>
    <t>1607000V55-000</t>
  </si>
  <si>
    <t>1607014100-000</t>
  </si>
  <si>
    <t>1607014116-000</t>
  </si>
  <si>
    <t>1607014124-000</t>
  </si>
  <si>
    <t>1607014126-000</t>
  </si>
  <si>
    <t>1607014128-000</t>
  </si>
  <si>
    <t>1607014129-000</t>
  </si>
  <si>
    <t>1607014130-000</t>
  </si>
  <si>
    <t>1607014138-000</t>
  </si>
  <si>
    <t>1607014148-000</t>
  </si>
  <si>
    <t>1607014151-000</t>
  </si>
  <si>
    <t>1607014154-000</t>
  </si>
  <si>
    <t>1607014170-000</t>
  </si>
  <si>
    <t>1607014171-000</t>
  </si>
  <si>
    <t>1607014172-000</t>
  </si>
  <si>
    <t>160701417H-000</t>
  </si>
  <si>
    <t>160701417J-000</t>
  </si>
  <si>
    <t>160701417U-000</t>
  </si>
  <si>
    <t>1607014188-000</t>
  </si>
  <si>
    <t>1607014189-000</t>
  </si>
  <si>
    <t>160701418A-000</t>
  </si>
  <si>
    <t>160701418D-000</t>
  </si>
  <si>
    <t>160701418G-000</t>
  </si>
  <si>
    <t>160701418H-000</t>
  </si>
  <si>
    <t>160701418J-000</t>
  </si>
  <si>
    <t>160701418K-000</t>
  </si>
  <si>
    <t>160701418L-000</t>
  </si>
  <si>
    <t>160701418M-000</t>
  </si>
  <si>
    <t>160701418S-000</t>
  </si>
  <si>
    <t>160701418T-000</t>
  </si>
  <si>
    <t>160701418U-000</t>
  </si>
  <si>
    <t>160701418V-000</t>
  </si>
  <si>
    <t>160701418W-000</t>
  </si>
  <si>
    <t>160701418X-000</t>
  </si>
  <si>
    <t>160701418Y-000</t>
  </si>
  <si>
    <t>160701418Z-000</t>
  </si>
  <si>
    <t>1607016028-000</t>
  </si>
  <si>
    <t>1607022568-000</t>
  </si>
  <si>
    <t>1607022604-000</t>
  </si>
  <si>
    <t>1607022608-000</t>
  </si>
  <si>
    <t>160702264L-000</t>
  </si>
  <si>
    <t>1607022661-000</t>
  </si>
  <si>
    <t>160702266M-000</t>
  </si>
  <si>
    <t>160702266W-000</t>
  </si>
  <si>
    <t>160702266Y-000</t>
  </si>
  <si>
    <t>160702267D-000</t>
  </si>
  <si>
    <t>160702267K-000</t>
  </si>
  <si>
    <t>160702267M-000</t>
  </si>
  <si>
    <t>160702269Z-000</t>
  </si>
  <si>
    <t>1607031144-000</t>
  </si>
  <si>
    <t>160703129W-000</t>
  </si>
  <si>
    <t>16070312AE-000</t>
  </si>
  <si>
    <t>16070312DL-000</t>
  </si>
  <si>
    <t>16070312DM-000</t>
  </si>
  <si>
    <t>16070312DN-000</t>
  </si>
  <si>
    <t>16070312DP-000</t>
  </si>
  <si>
    <t>16070312DR-000</t>
  </si>
  <si>
    <t>16070312DU-000</t>
  </si>
  <si>
    <t>16070312DW-000</t>
  </si>
  <si>
    <t>16070312DY-000</t>
  </si>
  <si>
    <t>16070312DZ-000</t>
  </si>
  <si>
    <t>16070312E0-000</t>
  </si>
  <si>
    <t>16070312E7-000</t>
  </si>
  <si>
    <t>1607200006-000</t>
  </si>
  <si>
    <t>1607200017-000</t>
  </si>
  <si>
    <t>1607200020-000</t>
  </si>
  <si>
    <t>1607200025-000</t>
  </si>
  <si>
    <t>1607200032-000</t>
  </si>
  <si>
    <t>1607200048-000</t>
  </si>
  <si>
    <t>1607200060-000</t>
  </si>
  <si>
    <t>1607200064-000</t>
  </si>
  <si>
    <t>1607200075-000</t>
  </si>
  <si>
    <t>1607200078-000</t>
  </si>
  <si>
    <t>1607200103-000</t>
  </si>
  <si>
    <t>1607200107-000</t>
  </si>
  <si>
    <t>1607200113-000</t>
  </si>
  <si>
    <t>1607200115-000</t>
  </si>
  <si>
    <t>1607200137-000</t>
  </si>
  <si>
    <t>1607200146-000</t>
  </si>
  <si>
    <t>1607200150-000</t>
  </si>
  <si>
    <t>1607200156-000</t>
  </si>
  <si>
    <t>1607200158-000</t>
  </si>
  <si>
    <t>1607200179-000</t>
  </si>
  <si>
    <t>1607200183-000</t>
  </si>
  <si>
    <t>1607200187-000</t>
  </si>
  <si>
    <t>1607200190-000</t>
  </si>
  <si>
    <t>1607200193-000</t>
  </si>
  <si>
    <t>1607200195-000</t>
  </si>
  <si>
    <t>1607200199-000</t>
  </si>
  <si>
    <t>1607200200-000</t>
  </si>
  <si>
    <t>1607200256-000</t>
  </si>
  <si>
    <t>1607200257-000</t>
  </si>
  <si>
    <t>1607200266-000</t>
  </si>
  <si>
    <t>160720030F-000</t>
  </si>
  <si>
    <t>160720031D-000</t>
  </si>
  <si>
    <t>160720031-000</t>
  </si>
  <si>
    <t>160720031S-000</t>
  </si>
  <si>
    <t>160720031X-000</t>
  </si>
  <si>
    <t>160720031Y-000</t>
  </si>
  <si>
    <t>160720032U-000</t>
  </si>
  <si>
    <t>1607200334-000</t>
  </si>
  <si>
    <t>160720033H-000</t>
  </si>
  <si>
    <t>160720033L-000</t>
  </si>
  <si>
    <t>1607200342-000</t>
  </si>
  <si>
    <t>1607200344-000</t>
  </si>
  <si>
    <t>160720034-000</t>
  </si>
  <si>
    <t>1607200358-000</t>
  </si>
  <si>
    <t>160720035A-000</t>
  </si>
  <si>
    <t>160720035M-000</t>
  </si>
  <si>
    <t>160720035P-000</t>
  </si>
  <si>
    <t>160720035W-000</t>
  </si>
  <si>
    <t>160720036A-000</t>
  </si>
  <si>
    <t>1607200370-000</t>
  </si>
  <si>
    <t>1607200372-000</t>
  </si>
  <si>
    <t>160720037L-000</t>
  </si>
  <si>
    <t>1607200507-000</t>
  </si>
  <si>
    <t>1607200515-000</t>
  </si>
  <si>
    <t>160722007S-000</t>
  </si>
  <si>
    <t>1607233008-000</t>
  </si>
  <si>
    <t>1607233040-000</t>
  </si>
  <si>
    <t>1607233095-000</t>
  </si>
  <si>
    <t>1607233110-000</t>
  </si>
  <si>
    <t>1607233113-000</t>
  </si>
  <si>
    <t>1607233146-000</t>
  </si>
  <si>
    <t>1607233148-000</t>
  </si>
  <si>
    <t>1607233153-000</t>
  </si>
  <si>
    <t>1607233154-000</t>
  </si>
  <si>
    <t>1607233156-000</t>
  </si>
  <si>
    <t>1607233177-000</t>
  </si>
  <si>
    <t>1607233196-000</t>
  </si>
  <si>
    <t>1607233209-000</t>
  </si>
  <si>
    <t>1607233215-000</t>
  </si>
  <si>
    <t>1607233220-000</t>
  </si>
  <si>
    <t>1607233256-000</t>
  </si>
  <si>
    <t>1607233278-000</t>
  </si>
  <si>
    <t>1607233289-000</t>
  </si>
  <si>
    <t>1607233292-000</t>
  </si>
  <si>
    <t>1607233298-000</t>
  </si>
  <si>
    <t>1607233299-000</t>
  </si>
  <si>
    <t>1607233300-000</t>
  </si>
  <si>
    <t>1607233301-000</t>
  </si>
  <si>
    <t>1607233302-000</t>
  </si>
  <si>
    <t>1607233311-000</t>
  </si>
  <si>
    <t>1607233320-000</t>
  </si>
  <si>
    <t>1607233331-000</t>
  </si>
  <si>
    <t>1607233334-000</t>
  </si>
  <si>
    <t>1607233336-000</t>
  </si>
  <si>
    <t>1607233338-000</t>
  </si>
  <si>
    <t>1607233340-000</t>
  </si>
  <si>
    <t>1607233344-000</t>
  </si>
  <si>
    <t>1607233345-000</t>
  </si>
  <si>
    <t>1607233348-000</t>
  </si>
  <si>
    <t>1607233352-000</t>
  </si>
  <si>
    <t>1607233376-000</t>
  </si>
  <si>
    <t>1607233377-000</t>
  </si>
  <si>
    <t>1607233378-000</t>
  </si>
  <si>
    <t>1607233410-000</t>
  </si>
  <si>
    <t>1607233414-000</t>
  </si>
  <si>
    <t>1607233422-000</t>
  </si>
  <si>
    <t>1607233423-000</t>
  </si>
  <si>
    <t>1607233437-000</t>
  </si>
  <si>
    <t>1607233439-000</t>
  </si>
  <si>
    <t>1607233446-000</t>
  </si>
  <si>
    <t>1607233459-000</t>
  </si>
  <si>
    <t>1607233461-000</t>
  </si>
  <si>
    <t>1607233472-000</t>
  </si>
  <si>
    <t>1607233479-000</t>
  </si>
  <si>
    <t>1607233485-000</t>
  </si>
  <si>
    <t>1607233488-000</t>
  </si>
  <si>
    <t>1607233493-000</t>
  </si>
  <si>
    <t>1607233508-000</t>
  </si>
  <si>
    <t>1607233514-000</t>
  </si>
  <si>
    <t>1607233515-000</t>
  </si>
  <si>
    <t>1607233516-000</t>
  </si>
  <si>
    <t>1607233518-000</t>
  </si>
  <si>
    <t>1607233520-000</t>
  </si>
  <si>
    <t>1607233524-000</t>
  </si>
  <si>
    <t>1607233528-000</t>
  </si>
  <si>
    <t>1607233542-000</t>
  </si>
  <si>
    <t>1607233563-000</t>
  </si>
  <si>
    <t>1607233581-000</t>
  </si>
  <si>
    <t>160723358M-000</t>
  </si>
  <si>
    <t>160723359J-000</t>
  </si>
  <si>
    <t>160723359P-000</t>
  </si>
  <si>
    <t>16072335A2-000</t>
  </si>
  <si>
    <t>16072335A5-000</t>
  </si>
  <si>
    <t>16072335A7-000</t>
  </si>
  <si>
    <t>16072335A9-000</t>
  </si>
  <si>
    <t>16072335AB-000</t>
  </si>
  <si>
    <t>16072335AS-000</t>
  </si>
  <si>
    <t>16072335BK-000</t>
  </si>
  <si>
    <t>16072335BL-000</t>
  </si>
  <si>
    <t>16072335D3-000</t>
  </si>
  <si>
    <t>16072335DD-000</t>
  </si>
  <si>
    <t>16072335DH-000</t>
  </si>
  <si>
    <t>16072335DW-000</t>
  </si>
  <si>
    <t>16072335EA-000</t>
  </si>
  <si>
    <t>16072335EH-000</t>
  </si>
  <si>
    <t>16072335EP-000</t>
  </si>
  <si>
    <t>16072335EZ-000</t>
  </si>
  <si>
    <t>16072335F7-000</t>
  </si>
  <si>
    <t>16072335FM-000</t>
  </si>
  <si>
    <t>16072335FP-000</t>
  </si>
  <si>
    <t>16072335FR-000</t>
  </si>
  <si>
    <t>16072335FZ-000</t>
  </si>
  <si>
    <t>16072335G5-000</t>
  </si>
  <si>
    <t>16072335G6-000</t>
  </si>
  <si>
    <t>16072335G8-000</t>
  </si>
  <si>
    <t>16072335GB-000</t>
  </si>
  <si>
    <t>16072335GD-000</t>
  </si>
  <si>
    <t>16072335GP-000</t>
  </si>
  <si>
    <t>16072335JG-000</t>
  </si>
  <si>
    <t>16072335LG-000</t>
  </si>
  <si>
    <t>16072335LH-000</t>
  </si>
  <si>
    <t>16072335LS-000</t>
  </si>
  <si>
    <t>16072335LX-000</t>
  </si>
  <si>
    <t>16072335M7-000</t>
  </si>
  <si>
    <t>16072335MR-000</t>
  </si>
  <si>
    <t>16072335N0-000</t>
  </si>
  <si>
    <t>16072335NR-000</t>
  </si>
  <si>
    <t>16072335R2-000</t>
  </si>
  <si>
    <t>1607328035-000</t>
  </si>
  <si>
    <t>1607328039-000</t>
  </si>
  <si>
    <t>1607328042-000</t>
  </si>
  <si>
    <t>1607328043-000</t>
  </si>
  <si>
    <t>1607328059-000</t>
  </si>
  <si>
    <t>1607431000-000</t>
  </si>
  <si>
    <t>1607502627-000</t>
  </si>
  <si>
    <t>1607502694-000</t>
  </si>
  <si>
    <t>1607502832-000</t>
  </si>
  <si>
    <t>1607503182-000</t>
  </si>
  <si>
    <t>1607503333-000</t>
  </si>
  <si>
    <t>1607503369-000</t>
  </si>
  <si>
    <t>1607503438-000</t>
  </si>
  <si>
    <t>1607503565-000</t>
  </si>
  <si>
    <t>1607503566-000</t>
  </si>
  <si>
    <t>1607503567-000</t>
  </si>
  <si>
    <t>1607950052-000</t>
  </si>
  <si>
    <t>1607950060-000</t>
  </si>
  <si>
    <t>1607950061-000</t>
  </si>
  <si>
    <t>1607A35040-000</t>
  </si>
  <si>
    <t>1607A35063-000</t>
  </si>
  <si>
    <t>1607A3506A-000</t>
  </si>
  <si>
    <t>1607A35071-000</t>
  </si>
  <si>
    <t>1607A350AT-000</t>
  </si>
  <si>
    <t>1607A350B2-000</t>
  </si>
  <si>
    <t>1607A350B9-000</t>
  </si>
  <si>
    <t>1607A350BG-000</t>
  </si>
  <si>
    <t>1607A350C5-000</t>
  </si>
  <si>
    <t>1607A350C8-000</t>
  </si>
  <si>
    <t>1607A350DX-000</t>
  </si>
  <si>
    <t>1607A350F7-000</t>
  </si>
  <si>
    <t>1607A350H7-000</t>
  </si>
  <si>
    <t>1607A350MA-000</t>
  </si>
  <si>
    <t>1608000064-000</t>
  </si>
  <si>
    <t>1608000091-000</t>
  </si>
  <si>
    <t>1608005003-000</t>
  </si>
  <si>
    <t>1608040113-000</t>
  </si>
  <si>
    <t>1608040114-000</t>
  </si>
  <si>
    <t>160804011B-000</t>
  </si>
  <si>
    <t>1608570025-000</t>
  </si>
  <si>
    <t>1608570058-000</t>
  </si>
  <si>
    <t>1608571069-000</t>
  </si>
  <si>
    <t>1608571079-000</t>
  </si>
  <si>
    <t>1608571088-000</t>
  </si>
  <si>
    <t>1608571089-000</t>
  </si>
  <si>
    <t>1608573003-000</t>
  </si>
  <si>
    <t>1609120498-000</t>
  </si>
  <si>
    <t>1609200016-000</t>
  </si>
  <si>
    <t>1609200031-000</t>
  </si>
  <si>
    <t>1609200039-000</t>
  </si>
  <si>
    <t>1609200043-000</t>
  </si>
  <si>
    <t>1609200044-000</t>
  </si>
  <si>
    <t>1609200052-000</t>
  </si>
  <si>
    <t>1609200070-000</t>
  </si>
  <si>
    <t>1609200147-000</t>
  </si>
  <si>
    <t>1609200574-000</t>
  </si>
  <si>
    <t>1609200578-000</t>
  </si>
  <si>
    <t>1609200581-000</t>
  </si>
  <si>
    <t>1609200582-000</t>
  </si>
  <si>
    <t>1609200583-000</t>
  </si>
  <si>
    <t>1609200584-000</t>
  </si>
  <si>
    <t>1609200591-000</t>
  </si>
  <si>
    <t>1609200593-000</t>
  </si>
  <si>
    <t>1609200597-000</t>
  </si>
  <si>
    <t>1609200598-000</t>
  </si>
  <si>
    <t>1609200600-000</t>
  </si>
  <si>
    <t>1609200601-000</t>
  </si>
  <si>
    <t>1609200602-000</t>
  </si>
  <si>
    <t>1609200604-000</t>
  </si>
  <si>
    <t>1609200605-000</t>
  </si>
  <si>
    <t>1609200700-000</t>
  </si>
  <si>
    <t>1609200704-000</t>
  </si>
  <si>
    <t>1609200705-000</t>
  </si>
  <si>
    <t>1609200706-000</t>
  </si>
  <si>
    <t>1609200748-000</t>
  </si>
  <si>
    <t>1609200772-000</t>
  </si>
  <si>
    <t>1609200833-000</t>
  </si>
  <si>
    <t>1609200847-000</t>
  </si>
  <si>
    <t>1609200889-000</t>
  </si>
  <si>
    <t>1609200891-000</t>
  </si>
  <si>
    <t>1609200893-000</t>
  </si>
  <si>
    <t>1609200894-000</t>
  </si>
  <si>
    <t>1609200906-000</t>
  </si>
  <si>
    <t>1609200910-000</t>
  </si>
  <si>
    <t>1609200914-000</t>
  </si>
  <si>
    <t>1609200917-000</t>
  </si>
  <si>
    <t>1609200920-000</t>
  </si>
  <si>
    <t>1609200948-000</t>
  </si>
  <si>
    <t>1609200952-000</t>
  </si>
  <si>
    <t>1609201215-000</t>
  </si>
  <si>
    <t>1609201481-000</t>
  </si>
  <si>
    <t>1609201483-000</t>
  </si>
  <si>
    <t>1609201484-000</t>
  </si>
  <si>
    <t>1609201490-000</t>
  </si>
  <si>
    <t>1609201491-000</t>
  </si>
  <si>
    <t>1609201500-000</t>
  </si>
  <si>
    <t>1609201501-000</t>
  </si>
  <si>
    <t>1609201503-000</t>
  </si>
  <si>
    <t>1609201505-000</t>
  </si>
  <si>
    <t>1609201571-000</t>
  </si>
  <si>
    <t>1609201572-000</t>
  </si>
  <si>
    <t>1609201654-000</t>
  </si>
  <si>
    <t>1609201658-000</t>
  </si>
  <si>
    <t>1609201660-000</t>
  </si>
  <si>
    <t>1609201662-000</t>
  </si>
  <si>
    <t>1609201663-000</t>
  </si>
  <si>
    <t>1609201666-000</t>
  </si>
  <si>
    <t>1609201668-000</t>
  </si>
  <si>
    <t>1609201669-000</t>
  </si>
  <si>
    <t>1609201676-000</t>
  </si>
  <si>
    <t>1609201677-000</t>
  </si>
  <si>
    <t>1609201684-000</t>
  </si>
  <si>
    <t>1609201685-000</t>
  </si>
  <si>
    <t>1609201721-000</t>
  </si>
  <si>
    <t>1609201722-000</t>
  </si>
  <si>
    <t>1609201724-000</t>
  </si>
  <si>
    <t>1609201728-000</t>
  </si>
  <si>
    <t>1609201729-000</t>
  </si>
  <si>
    <t>1609201770-000</t>
  </si>
  <si>
    <t>1609201893-000</t>
  </si>
  <si>
    <t>1609201894-000</t>
  </si>
  <si>
    <t>1609201898-000</t>
  </si>
  <si>
    <t>1609202009-000</t>
  </si>
  <si>
    <t>1609202193-000</t>
  </si>
  <si>
    <t>1609202313-000</t>
  </si>
  <si>
    <t>1609202315-000</t>
  </si>
  <si>
    <t>1609202316-000</t>
  </si>
  <si>
    <t>1609202317-000</t>
  </si>
  <si>
    <t>1609202319-000</t>
  </si>
  <si>
    <t>1609202322-000</t>
  </si>
  <si>
    <t>1609202323-000</t>
  </si>
  <si>
    <t>1609202324-000</t>
  </si>
  <si>
    <t>1609202408-000</t>
  </si>
  <si>
    <t>1609202525-000</t>
  </si>
  <si>
    <t>1609202526-000</t>
  </si>
  <si>
    <t>1609202527-000</t>
  </si>
  <si>
    <t>1609202532-000</t>
  </si>
  <si>
    <t>1609202551-000</t>
  </si>
  <si>
    <t>1609202552-000</t>
  </si>
  <si>
    <t>1609202604-000</t>
  </si>
  <si>
    <t>1609202606-000</t>
  </si>
  <si>
    <t>1609202607-000</t>
  </si>
  <si>
    <t>1609202611-000</t>
  </si>
  <si>
    <t>1609202612-000</t>
  </si>
  <si>
    <t>1609202613-000</t>
  </si>
  <si>
    <t>1609202615-000</t>
  </si>
  <si>
    <t>1609202617-000</t>
  </si>
  <si>
    <t>1609202618-000</t>
  </si>
  <si>
    <t>1609202686-000</t>
  </si>
  <si>
    <t>1609202687-000</t>
  </si>
  <si>
    <t>1609202688-000</t>
  </si>
  <si>
    <t>1609202704-000</t>
  </si>
  <si>
    <t>1609202708-000</t>
  </si>
  <si>
    <t>1609202710-000</t>
  </si>
  <si>
    <t>1609202713-000</t>
  </si>
  <si>
    <t>1609202716-000</t>
  </si>
  <si>
    <t>1609202717-000</t>
  </si>
  <si>
    <t>1609202727-000</t>
  </si>
  <si>
    <t>1609202734-000</t>
  </si>
  <si>
    <t>1609202735-000</t>
  </si>
  <si>
    <t>1609202747-000</t>
  </si>
  <si>
    <t>1609202749-000</t>
  </si>
  <si>
    <t>1609202764-000</t>
  </si>
  <si>
    <t>1609202768-000</t>
  </si>
  <si>
    <t>1609202799-000</t>
  </si>
  <si>
    <t>1609203102-000</t>
  </si>
  <si>
    <t>1609203181-000</t>
  </si>
  <si>
    <t>1609203182-000</t>
  </si>
  <si>
    <t>1609203326-000</t>
  </si>
  <si>
    <t>1609203330-000</t>
  </si>
  <si>
    <t>1609203339-000</t>
  </si>
  <si>
    <t>1609203340-000</t>
  </si>
  <si>
    <t>1609203343-000</t>
  </si>
  <si>
    <t>1609203354-000</t>
  </si>
  <si>
    <t>1609203362-000</t>
  </si>
  <si>
    <t>1609203363-000</t>
  </si>
  <si>
    <t>1609203364-000</t>
  </si>
  <si>
    <t>1609203366-000</t>
  </si>
  <si>
    <t>1609203367-000</t>
  </si>
  <si>
    <t>1609203368-000</t>
  </si>
  <si>
    <t>1609203372-000</t>
  </si>
  <si>
    <t>1609203375-000</t>
  </si>
  <si>
    <t>1609203376-000</t>
  </si>
  <si>
    <t>1609203417-000</t>
  </si>
  <si>
    <t>1609203423-000</t>
  </si>
  <si>
    <t>1609203474-000</t>
  </si>
  <si>
    <t>1609203478-000</t>
  </si>
  <si>
    <t>1609203487-000</t>
  </si>
  <si>
    <t>1609203539-000</t>
  </si>
  <si>
    <t>1609203542-000</t>
  </si>
  <si>
    <t>1609203543-000</t>
  </si>
  <si>
    <t>1609203545-000</t>
  </si>
  <si>
    <t>1609203546-000</t>
  </si>
  <si>
    <t>1609203547-000</t>
  </si>
  <si>
    <t>1609203548-000</t>
  </si>
  <si>
    <t>1609203549-000</t>
  </si>
  <si>
    <t>1609203550-000</t>
  </si>
  <si>
    <t>1609203551-000</t>
  </si>
  <si>
    <t>1609203552-000</t>
  </si>
  <si>
    <t>1609203553-000</t>
  </si>
  <si>
    <t>1609203554-000</t>
  </si>
  <si>
    <t>1609203556-000</t>
  </si>
  <si>
    <t>1609203558-000</t>
  </si>
  <si>
    <t>1609203559-000</t>
  </si>
  <si>
    <t>1609203561-000</t>
  </si>
  <si>
    <t>1609203562-000</t>
  </si>
  <si>
    <t>1609203563-000</t>
  </si>
  <si>
    <t>1609203566-000</t>
  </si>
  <si>
    <t>1609203567-000</t>
  </si>
  <si>
    <t>1609203569-000</t>
  </si>
  <si>
    <t>1609203574-000</t>
  </si>
  <si>
    <t>1609203601-000</t>
  </si>
  <si>
    <t>1609203611-000</t>
  </si>
  <si>
    <t>1609203664-000</t>
  </si>
  <si>
    <t>1609203691-000</t>
  </si>
  <si>
    <t>1609203704-000</t>
  </si>
  <si>
    <t>1609203706-000</t>
  </si>
  <si>
    <t>1609203991-000</t>
  </si>
  <si>
    <t>1609203992-000</t>
  </si>
  <si>
    <t>1609203A40-000</t>
  </si>
  <si>
    <t>1609203A55-000</t>
  </si>
  <si>
    <t>1609203B13-000</t>
  </si>
  <si>
    <t>1609203B14-000</t>
  </si>
  <si>
    <t>1609203C10-000</t>
  </si>
  <si>
    <t>1609203C27-000</t>
  </si>
  <si>
    <t>1609203C28-000</t>
  </si>
  <si>
    <t>1609203C29-000</t>
  </si>
  <si>
    <t>1609203C30-000</t>
  </si>
  <si>
    <t>1609203C32-000</t>
  </si>
  <si>
    <t>1609203C33-000</t>
  </si>
  <si>
    <t>1609203C34-000</t>
  </si>
  <si>
    <t>1609203C39-000</t>
  </si>
  <si>
    <t>1609203C40-000</t>
  </si>
  <si>
    <t>1609203C42-000</t>
  </si>
  <si>
    <t>1609203C43-000</t>
  </si>
  <si>
    <t>1609203C46-000</t>
  </si>
  <si>
    <t>1609203C48-000</t>
  </si>
  <si>
    <t>1609203C49-000</t>
  </si>
  <si>
    <t>1609203C50-000</t>
  </si>
  <si>
    <t>1609203C51-000</t>
  </si>
  <si>
    <t>1609203C52-000</t>
  </si>
  <si>
    <t>1609203C53-000</t>
  </si>
  <si>
    <t>1609203C54-000</t>
  </si>
  <si>
    <t>1609203C58-000</t>
  </si>
  <si>
    <t>1609203C59-000</t>
  </si>
  <si>
    <t>1609203C60-000</t>
  </si>
  <si>
    <t>1609203C61-000</t>
  </si>
  <si>
    <t>1609203C62-000</t>
  </si>
  <si>
    <t>1609203C63-000</t>
  </si>
  <si>
    <t>1609203C65-000</t>
  </si>
  <si>
    <t>1609203C66-000</t>
  </si>
  <si>
    <t>1609203C69-000</t>
  </si>
  <si>
    <t>1609203C70-000</t>
  </si>
  <si>
    <t>1609203C71-000</t>
  </si>
  <si>
    <t>1609203C72-000</t>
  </si>
  <si>
    <t>1609203C73-000</t>
  </si>
  <si>
    <t>1609203C74-000</t>
  </si>
  <si>
    <t>1609203C75-000</t>
  </si>
  <si>
    <t>1609203C76-000</t>
  </si>
  <si>
    <t>1609203C77-000</t>
  </si>
  <si>
    <t>1609203C78-000</t>
  </si>
  <si>
    <t>1609203C80-000</t>
  </si>
  <si>
    <t>1609203C81-000</t>
  </si>
  <si>
    <t>1609203C86-000</t>
  </si>
  <si>
    <t>1609203C90-000</t>
  </si>
  <si>
    <t>1609203C91-000</t>
  </si>
  <si>
    <t>1609203C93-000</t>
  </si>
  <si>
    <t>1609203C94-000</t>
  </si>
  <si>
    <t>1609203C95-000</t>
  </si>
  <si>
    <t>1609203C96-000</t>
  </si>
  <si>
    <t>1609203C97-000</t>
  </si>
  <si>
    <t>1609203C98-000</t>
  </si>
  <si>
    <t>1609203C99-000</t>
  </si>
  <si>
    <t>1609203D06-000</t>
  </si>
  <si>
    <t>1609203D07-000</t>
  </si>
  <si>
    <t>1609203D08-000</t>
  </si>
  <si>
    <t>1609203D09-000</t>
  </si>
  <si>
    <t>1609203D13-000</t>
  </si>
  <si>
    <t>1609203D14-000</t>
  </si>
  <si>
    <t>1609203D16-000</t>
  </si>
  <si>
    <t>1609203E24-000</t>
  </si>
  <si>
    <t>1609203G68-000</t>
  </si>
  <si>
    <t>1609203G71-000</t>
  </si>
  <si>
    <t>1609203G72-000</t>
  </si>
  <si>
    <t>1609203G73-000</t>
  </si>
  <si>
    <t>1609203G74-000</t>
  </si>
  <si>
    <t>1609203G75-000</t>
  </si>
  <si>
    <t>1609203G76-000</t>
  </si>
  <si>
    <t>1609203G79-000</t>
  </si>
  <si>
    <t>1609203G80-000</t>
  </si>
  <si>
    <t>1609203G81-000</t>
  </si>
  <si>
    <t>1609203G83-000</t>
  </si>
  <si>
    <t>1609203G84-000</t>
  </si>
  <si>
    <t>1609203G86-000</t>
  </si>
  <si>
    <t>1609203G91-000</t>
  </si>
  <si>
    <t>1609203G92-000</t>
  </si>
  <si>
    <t>1609203G93-000</t>
  </si>
  <si>
    <t>1609203G94-000</t>
  </si>
  <si>
    <t>1609203G95-000</t>
  </si>
  <si>
    <t>1609203G98-000</t>
  </si>
  <si>
    <t>1609203G99-000</t>
  </si>
  <si>
    <t>1609203H18-000</t>
  </si>
  <si>
    <t>1609203H33-000</t>
  </si>
  <si>
    <t>1609203H34-000</t>
  </si>
  <si>
    <t>1609203H39-000</t>
  </si>
  <si>
    <t>1609203H52-000</t>
  </si>
  <si>
    <t>1609203H53-000</t>
  </si>
  <si>
    <t>1609203H55-000</t>
  </si>
  <si>
    <t>1609203H61-000</t>
  </si>
  <si>
    <t>1609203H62-000</t>
  </si>
  <si>
    <t>1609203H65-000</t>
  </si>
  <si>
    <t>1609203H66-000</t>
  </si>
  <si>
    <t>1609203H67-000</t>
  </si>
  <si>
    <t>1609203H79-000</t>
  </si>
  <si>
    <t>1609203H81-000</t>
  </si>
  <si>
    <t>1609203H90-000</t>
  </si>
  <si>
    <t>1609203H94-000</t>
  </si>
  <si>
    <t>1609203H96-000</t>
  </si>
  <si>
    <t>1609203H98-000</t>
  </si>
  <si>
    <t>1609203H99-000</t>
  </si>
  <si>
    <t>1609203J00-000</t>
  </si>
  <si>
    <t>1609203J01-000</t>
  </si>
  <si>
    <t>1609203J02-000</t>
  </si>
  <si>
    <t>1609203J05-000</t>
  </si>
  <si>
    <t>1609203J06-000</t>
  </si>
  <si>
    <t>1609203J08-000</t>
  </si>
  <si>
    <t>1609203J09-000</t>
  </si>
  <si>
    <t>1609203J10-000</t>
  </si>
  <si>
    <t>1609203J11-000</t>
  </si>
  <si>
    <t>1609203J12-000</t>
  </si>
  <si>
    <t>1609203J13-000</t>
  </si>
  <si>
    <t>1609203J14-000</t>
  </si>
  <si>
    <t>1609203J15-000</t>
  </si>
  <si>
    <t>1609203J17-000</t>
  </si>
  <si>
    <t>1609203J18-000</t>
  </si>
  <si>
    <t>1609203J19-000</t>
  </si>
  <si>
    <t>1609203J20-000</t>
  </si>
  <si>
    <t>1609203J21-000</t>
  </si>
  <si>
    <t>1609203J22-000</t>
  </si>
  <si>
    <t>1609203J23-000</t>
  </si>
  <si>
    <t>1609203J24-000</t>
  </si>
  <si>
    <t>1609203J25-000</t>
  </si>
  <si>
    <t>1609203J26-000</t>
  </si>
  <si>
    <t>1609203J29-000</t>
  </si>
  <si>
    <t>1609203J56-000</t>
  </si>
  <si>
    <t>1609203J59-000</t>
  </si>
  <si>
    <t>1609203J60-000</t>
  </si>
  <si>
    <t>1609203J61-000</t>
  </si>
  <si>
    <t>1609203J63-000</t>
  </si>
  <si>
    <t>1609203J66-000</t>
  </si>
  <si>
    <t>1609203J68-000</t>
  </si>
  <si>
    <t>1609203J69-000</t>
  </si>
  <si>
    <t>1609203J70-000</t>
  </si>
  <si>
    <t>1609203J71-000</t>
  </si>
  <si>
    <t>1609203J72-000</t>
  </si>
  <si>
    <t>1609203J74-000</t>
  </si>
  <si>
    <t>1609203J88-000</t>
  </si>
  <si>
    <t>1609203K41-000</t>
  </si>
  <si>
    <t>1609203K86-000</t>
  </si>
  <si>
    <t>1609203K88-000</t>
  </si>
  <si>
    <t>1609203K89-000</t>
  </si>
  <si>
    <t>1609203K90-000</t>
  </si>
  <si>
    <t>1609203K91-000</t>
  </si>
  <si>
    <t>1609203K93-000</t>
  </si>
  <si>
    <t>1609203K94-000</t>
  </si>
  <si>
    <t>1609203K95-000</t>
  </si>
  <si>
    <t>1609203K96-000</t>
  </si>
  <si>
    <t>1609203K97-000</t>
  </si>
  <si>
    <t>1609203K99-000</t>
  </si>
  <si>
    <t>1609203L00-000</t>
  </si>
  <si>
    <t>1609203L03-000</t>
  </si>
  <si>
    <t>1609203L04-000</t>
  </si>
  <si>
    <t>1609203L05-000</t>
  </si>
  <si>
    <t>1609203L06-000</t>
  </si>
  <si>
    <t>1609203L07-000</t>
  </si>
  <si>
    <t>1609203L08-000</t>
  </si>
  <si>
    <t>1609203L09-000</t>
  </si>
  <si>
    <t>1609203L10-000</t>
  </si>
  <si>
    <t>1609203L11-000</t>
  </si>
  <si>
    <t>1609203L12-000</t>
  </si>
  <si>
    <t>1609203L13-000</t>
  </si>
  <si>
    <t>1609203L14-000</t>
  </si>
  <si>
    <t>1609203L15-000</t>
  </si>
  <si>
    <t>1609203L16-000</t>
  </si>
  <si>
    <t>1609203L18-000</t>
  </si>
  <si>
    <t>1609203L19-000</t>
  </si>
  <si>
    <t>1609203L30-000</t>
  </si>
  <si>
    <t>1609203L32-000</t>
  </si>
  <si>
    <t>1609203L33-000</t>
  </si>
  <si>
    <t>1609203L34-000</t>
  </si>
  <si>
    <t>1609203L36-000</t>
  </si>
  <si>
    <t>1609203L37-000</t>
  </si>
  <si>
    <t>1609203L38-000</t>
  </si>
  <si>
    <t>1609203L39-000</t>
  </si>
  <si>
    <t>1609203L40-000</t>
  </si>
  <si>
    <t>1609203L41-000</t>
  </si>
  <si>
    <t>1609203L42-000</t>
  </si>
  <si>
    <t>1609203L43-000</t>
  </si>
  <si>
    <t>1609203L51-000</t>
  </si>
  <si>
    <t>1609203L64-000</t>
  </si>
  <si>
    <t>1609203L96-000</t>
  </si>
  <si>
    <t>1609203M06-000</t>
  </si>
  <si>
    <t>1609203M07-000</t>
  </si>
  <si>
    <t>1609203M81-000</t>
  </si>
  <si>
    <t>1609203M84-000</t>
  </si>
  <si>
    <t>1609203S98-000</t>
  </si>
  <si>
    <t>1609203S99-000</t>
  </si>
  <si>
    <t>1609203U04-000</t>
  </si>
  <si>
    <t>1609203U05-000</t>
  </si>
  <si>
    <t>1609203W42-000</t>
  </si>
  <si>
    <t>1609203X16-000</t>
  </si>
  <si>
    <t>1609203X36-000</t>
  </si>
  <si>
    <t>1609203X48-000</t>
  </si>
  <si>
    <t>1609203X73-000</t>
  </si>
  <si>
    <t>1609203X78-000</t>
  </si>
  <si>
    <t>1609203Z37-000</t>
  </si>
  <si>
    <t>1609203Z57-000</t>
  </si>
  <si>
    <t>1609209006-000</t>
  </si>
  <si>
    <t>1609213000-000</t>
  </si>
  <si>
    <t>1609233000-000</t>
  </si>
  <si>
    <t>1609244A01-000</t>
  </si>
  <si>
    <t>1609244A07-000</t>
  </si>
  <si>
    <t>1609244A14-000</t>
  </si>
  <si>
    <t>1609244A15-000</t>
  </si>
  <si>
    <t>1609244A16-000</t>
  </si>
  <si>
    <t>1609244A17-000</t>
  </si>
  <si>
    <t>1609244A29-000</t>
  </si>
  <si>
    <t>1609244A30-000</t>
  </si>
  <si>
    <t>1609244A32-000</t>
  </si>
  <si>
    <t>1609244A41-000</t>
  </si>
  <si>
    <t>1609244A42-000</t>
  </si>
  <si>
    <t>1609244A43-000</t>
  </si>
  <si>
    <t>1609244A46-000</t>
  </si>
  <si>
    <t>1609244A47-000</t>
  </si>
  <si>
    <t>1609244A53-000</t>
  </si>
  <si>
    <t>1609244A54-000</t>
  </si>
  <si>
    <t>1609244A55-000</t>
  </si>
  <si>
    <t>1609244A56-000</t>
  </si>
  <si>
    <t>1609244A57-000</t>
  </si>
  <si>
    <t>1609244A58-000</t>
  </si>
  <si>
    <t>1609244A59-000</t>
  </si>
  <si>
    <t>1609244A60-000</t>
  </si>
  <si>
    <t>1609244A62-000</t>
  </si>
  <si>
    <t>1609244A63-000</t>
  </si>
  <si>
    <t>1609244A64-000</t>
  </si>
  <si>
    <t>1609244A67-000</t>
  </si>
  <si>
    <t>1609244A68-000</t>
  </si>
  <si>
    <t>1609244A71-000</t>
  </si>
  <si>
    <t>1609244A72-000</t>
  </si>
  <si>
    <t>1609244A75-000</t>
  </si>
  <si>
    <t>1609244A76-000</t>
  </si>
  <si>
    <t>1609244A77-000</t>
  </si>
  <si>
    <t>1609244A78-000</t>
  </si>
  <si>
    <t>1609244A79-000</t>
  </si>
  <si>
    <t>1609244A80-000</t>
  </si>
  <si>
    <t>1609244A86-000</t>
  </si>
  <si>
    <t>1609244A87-000</t>
  </si>
  <si>
    <t>1609244A88-000</t>
  </si>
  <si>
    <t>1609244A91-000</t>
  </si>
  <si>
    <t>1609244A92-000</t>
  </si>
  <si>
    <t>1609244A97-000</t>
  </si>
  <si>
    <t>1609244A98-000</t>
  </si>
  <si>
    <t>1609244B01-000</t>
  </si>
  <si>
    <t>1609244B02-000</t>
  </si>
  <si>
    <t>1609244B03-000</t>
  </si>
  <si>
    <t>1609244B42-000</t>
  </si>
  <si>
    <t>1609244B43-000</t>
  </si>
  <si>
    <t>1609244B58-000</t>
  </si>
  <si>
    <t>1609244B60-000</t>
  </si>
  <si>
    <t>1609244B61-000</t>
  </si>
  <si>
    <t>1609244B62-000</t>
  </si>
  <si>
    <t>1609244B63-000</t>
  </si>
  <si>
    <t>1609244B67-000</t>
  </si>
  <si>
    <t>1609244C02-000</t>
  </si>
  <si>
    <t>1609244C03-000</t>
  </si>
  <si>
    <t>1609244C04-000</t>
  </si>
  <si>
    <t>1609244C05-000</t>
  </si>
  <si>
    <t>1609244C06-000</t>
  </si>
  <si>
    <t>1609244C42-000</t>
  </si>
  <si>
    <t>1609244C44-000</t>
  </si>
  <si>
    <t>1609244C45-000</t>
  </si>
  <si>
    <t>1609271281-000</t>
  </si>
  <si>
    <t>1609271BS3-000</t>
  </si>
  <si>
    <t>1609280157-000</t>
  </si>
  <si>
    <t>1609280416-000</t>
  </si>
  <si>
    <t>1609280425-000</t>
  </si>
  <si>
    <t>1609280474-000</t>
  </si>
  <si>
    <t>1609280477-000</t>
  </si>
  <si>
    <t>1609280478-000</t>
  </si>
  <si>
    <t>1609280820-000</t>
  </si>
  <si>
    <t>1609300094-000</t>
  </si>
  <si>
    <t>1609300694-000</t>
  </si>
  <si>
    <t>1609301049-000</t>
  </si>
  <si>
    <t>1609301054-000</t>
  </si>
  <si>
    <t>1609301055-000</t>
  </si>
  <si>
    <t>1609301087-000</t>
  </si>
  <si>
    <t>1609301104-000</t>
  </si>
  <si>
    <t>1609301105-000</t>
  </si>
  <si>
    <t>1609301106-000</t>
  </si>
  <si>
    <t>1609301109-000</t>
  </si>
  <si>
    <t>1609301120-000</t>
  </si>
  <si>
    <t>1609301133-000</t>
  </si>
  <si>
    <t>1609301135-000</t>
  </si>
  <si>
    <t>1609301141-000</t>
  </si>
  <si>
    <t>1609301142-000</t>
  </si>
  <si>
    <t>1609301213-000</t>
  </si>
  <si>
    <t>1609301323-000</t>
  </si>
  <si>
    <t>1609301390-000</t>
  </si>
  <si>
    <t>1609301393-000</t>
  </si>
  <si>
    <t>1609301402-000</t>
  </si>
  <si>
    <t>1609301408-000</t>
  </si>
  <si>
    <t>1609301415-000</t>
  </si>
  <si>
    <t>1609301508-000</t>
  </si>
  <si>
    <t>1609301509-000</t>
  </si>
  <si>
    <t>1609301510-000</t>
  </si>
  <si>
    <t>1609301511-000</t>
  </si>
  <si>
    <t>1609301512-000</t>
  </si>
  <si>
    <t>1609301513-000</t>
  </si>
  <si>
    <t>1609301514-000</t>
  </si>
  <si>
    <t>1609301515-000</t>
  </si>
  <si>
    <t>1609301517-000</t>
  </si>
  <si>
    <t>1609301519-000</t>
  </si>
  <si>
    <t>1609301520-000</t>
  </si>
  <si>
    <t>1609301522-000</t>
  </si>
  <si>
    <t>1609301523-000</t>
  </si>
  <si>
    <t>1609301524-000</t>
  </si>
  <si>
    <t>1609301525-000</t>
  </si>
  <si>
    <t>1609301526-000</t>
  </si>
  <si>
    <t>1609301527-000</t>
  </si>
  <si>
    <t>1609301528-000</t>
  </si>
  <si>
    <t>1609302051-000</t>
  </si>
  <si>
    <t>1609302052-000</t>
  </si>
  <si>
    <t>1609302061-000</t>
  </si>
  <si>
    <t>1609302072-000</t>
  </si>
  <si>
    <t>1609302077-000</t>
  </si>
  <si>
    <t>1609302082-000</t>
  </si>
  <si>
    <t>1609302083-000</t>
  </si>
  <si>
    <t>1609302085-000</t>
  </si>
  <si>
    <t>1609302086-000</t>
  </si>
  <si>
    <t>1609302089-000</t>
  </si>
  <si>
    <t>1609340001-000</t>
  </si>
  <si>
    <t>1609340003-000</t>
  </si>
  <si>
    <t>1609340004-000</t>
  </si>
  <si>
    <t>1609340005-000</t>
  </si>
  <si>
    <t>1609340007-000</t>
  </si>
  <si>
    <t>1609350001-000</t>
  </si>
  <si>
    <t>1609350003-000</t>
  </si>
  <si>
    <t>1609350004-000</t>
  </si>
  <si>
    <t>1609350006-000</t>
  </si>
  <si>
    <t>1609350007-000</t>
  </si>
  <si>
    <t>1609350009-000</t>
  </si>
  <si>
    <t>1609350015-000</t>
  </si>
  <si>
    <t>1609350016-000</t>
  </si>
  <si>
    <t>1609350017-000</t>
  </si>
  <si>
    <t>1609350018-000</t>
  </si>
  <si>
    <t>1609350019-000</t>
  </si>
  <si>
    <t>1609350020-000</t>
  </si>
  <si>
    <t>1609350021-000</t>
  </si>
  <si>
    <t>1609350023-000</t>
  </si>
  <si>
    <t>1609350025-000</t>
  </si>
  <si>
    <t>1609350027-000</t>
  </si>
  <si>
    <t>1609350028-000</t>
  </si>
  <si>
    <t>1609350029-000</t>
  </si>
  <si>
    <t>1609350032-000</t>
  </si>
  <si>
    <t>1609350033-000</t>
  </si>
  <si>
    <t>1609350034-000</t>
  </si>
  <si>
    <t>1609350035-000</t>
  </si>
  <si>
    <t>1609350036-000</t>
  </si>
  <si>
    <t>1609350037-000</t>
  </si>
  <si>
    <t>1609350038-000</t>
  </si>
  <si>
    <t>1609350039-000</t>
  </si>
  <si>
    <t>1609350041-000</t>
  </si>
  <si>
    <t>1609350044-000</t>
  </si>
  <si>
    <t>1609350045-000</t>
  </si>
  <si>
    <t>1609350047-000</t>
  </si>
  <si>
    <t>1609350050-000</t>
  </si>
  <si>
    <t>1609350055-000</t>
  </si>
  <si>
    <t>1609350062-000</t>
  </si>
  <si>
    <t>1609350063-000</t>
  </si>
  <si>
    <t>1609350066-000</t>
  </si>
  <si>
    <t>1609350067-000</t>
  </si>
  <si>
    <t>1609350074-000</t>
  </si>
  <si>
    <t>1609350080-000</t>
  </si>
  <si>
    <t>1609350089-000</t>
  </si>
  <si>
    <t>1609350092-000</t>
  </si>
  <si>
    <t>1609350093-000</t>
  </si>
  <si>
    <t>1609350098-000</t>
  </si>
  <si>
    <t>1609350124-000</t>
  </si>
  <si>
    <t>1609350146-000</t>
  </si>
  <si>
    <t>1609350176-000</t>
  </si>
  <si>
    <t>1609350179-000</t>
  </si>
  <si>
    <t>1609350192-000</t>
  </si>
  <si>
    <t>1609350194-000</t>
  </si>
  <si>
    <t>1609350195-000</t>
  </si>
  <si>
    <t>1609350196-000</t>
  </si>
  <si>
    <t>1609350197-000</t>
  </si>
  <si>
    <t>1609350199-000</t>
  </si>
  <si>
    <t>1609350202-000</t>
  </si>
  <si>
    <t>1609350291-000</t>
  </si>
  <si>
    <t>1609350306-000</t>
  </si>
  <si>
    <t>1609350307-000</t>
  </si>
  <si>
    <t>1609350308-000</t>
  </si>
  <si>
    <t>1609350309-000</t>
  </si>
  <si>
    <t>1609350481-000</t>
  </si>
  <si>
    <t>1609350482-000</t>
  </si>
  <si>
    <t>1609350483-000</t>
  </si>
  <si>
    <t>1609350484-000</t>
  </si>
  <si>
    <t>1609350485-000</t>
  </si>
  <si>
    <t>1609350486-000</t>
  </si>
  <si>
    <t>1609350487-000</t>
  </si>
  <si>
    <t>1609350491-000</t>
  </si>
  <si>
    <t>1609350504-000</t>
  </si>
  <si>
    <t>1609351079-000</t>
  </si>
  <si>
    <t>1609390209-000</t>
  </si>
  <si>
    <t>1609390298-000</t>
  </si>
  <si>
    <t>1609390303-000</t>
  </si>
  <si>
    <t>1609390493-000</t>
  </si>
  <si>
    <t>1609390494-000</t>
  </si>
  <si>
    <t>1609390495-000</t>
  </si>
  <si>
    <t>1609390578-000</t>
  </si>
  <si>
    <t>1609390580-000</t>
  </si>
  <si>
    <t>1609902000-000</t>
  </si>
  <si>
    <t>1609902002-000</t>
  </si>
  <si>
    <t>1609902003-000</t>
  </si>
  <si>
    <t>1609902004-000</t>
  </si>
  <si>
    <t>1609902005-000</t>
  </si>
  <si>
    <t>1609902006-000</t>
  </si>
  <si>
    <t>1609902022-000</t>
  </si>
  <si>
    <t>1609902023-000</t>
  </si>
  <si>
    <t>1609902024-000</t>
  </si>
  <si>
    <t>1609902025-000</t>
  </si>
  <si>
    <t>1609902026-000</t>
  </si>
  <si>
    <t>1609902027-000</t>
  </si>
  <si>
    <t>1609902028-000</t>
  </si>
  <si>
    <t>1609902029-000</t>
  </si>
  <si>
    <t>1609902030-000</t>
  </si>
  <si>
    <t>1609902031-000</t>
  </si>
  <si>
    <t>1609902032-000</t>
  </si>
  <si>
    <t>1609902033-000</t>
  </si>
  <si>
    <t>1609902039-000</t>
  </si>
  <si>
    <t>1609902040-000</t>
  </si>
  <si>
    <t>1609902041-000</t>
  </si>
  <si>
    <t>1609902042-000</t>
  </si>
  <si>
    <t>1609902043-000</t>
  </si>
  <si>
    <t>1609902044-000</t>
  </si>
  <si>
    <t>1609902045-000</t>
  </si>
  <si>
    <t>1609902046-000</t>
  </si>
  <si>
    <t>1609902047-000</t>
  </si>
  <si>
    <t>1609902048-000</t>
  </si>
  <si>
    <t>1609902050-000</t>
  </si>
  <si>
    <t>1609902051-000</t>
  </si>
  <si>
    <t>1609902052-000</t>
  </si>
  <si>
    <t>1609902053-000</t>
  </si>
  <si>
    <t>1609902054-000</t>
  </si>
  <si>
    <t>1609902055-000</t>
  </si>
  <si>
    <t>1609902056-000</t>
  </si>
  <si>
    <t>1609902057-000</t>
  </si>
  <si>
    <t>1609902058-000</t>
  </si>
  <si>
    <t>1609902059-000</t>
  </si>
  <si>
    <t>1609902060-000</t>
  </si>
  <si>
    <t>1609902061-000</t>
  </si>
  <si>
    <t>1609902062-000</t>
  </si>
  <si>
    <t>1609902063-000</t>
  </si>
  <si>
    <t>1609902064-000</t>
  </si>
  <si>
    <t>1609902065-000</t>
  </si>
  <si>
    <t>1609902066-000</t>
  </si>
  <si>
    <t>1609902067-000</t>
  </si>
  <si>
    <t>1609902068-000</t>
  </si>
  <si>
    <t>1609902069-000</t>
  </si>
  <si>
    <t>1609902070-000</t>
  </si>
  <si>
    <t>1609902071-000</t>
  </si>
  <si>
    <t>1609902073-000</t>
  </si>
  <si>
    <t>1609902074-000</t>
  </si>
  <si>
    <t>1609902075-000</t>
  </si>
  <si>
    <t>1609902076-000</t>
  </si>
  <si>
    <t>1609902077-000</t>
  </si>
  <si>
    <t>1609902078-000</t>
  </si>
  <si>
    <t>1609902079-000</t>
  </si>
  <si>
    <t>1609902080-000</t>
  </si>
  <si>
    <t>1609902082-000</t>
  </si>
  <si>
    <t>1609902099-000</t>
  </si>
  <si>
    <t>1609902100-000</t>
  </si>
  <si>
    <t>1609902102-000</t>
  </si>
  <si>
    <t>1609902103-000</t>
  </si>
  <si>
    <t>1609902108-000</t>
  </si>
  <si>
    <t>1609902111-000</t>
  </si>
  <si>
    <t>1609902112-000</t>
  </si>
  <si>
    <t>1609902114-000</t>
  </si>
  <si>
    <t>1609902177-000</t>
  </si>
  <si>
    <t>1609902178-000</t>
  </si>
  <si>
    <t>1609902199-000</t>
  </si>
  <si>
    <t>1609902323-000</t>
  </si>
  <si>
    <t>1609902368-000</t>
  </si>
  <si>
    <t>1609902369-000</t>
  </si>
  <si>
    <t>1609902377-000</t>
  </si>
  <si>
    <t>1609902392-000</t>
  </si>
  <si>
    <t>1609902393-000</t>
  </si>
  <si>
    <t>1609902447-000</t>
  </si>
  <si>
    <t>1609902474-000</t>
  </si>
  <si>
    <t>1609902475-000</t>
  </si>
  <si>
    <t>1609902476-000</t>
  </si>
  <si>
    <t>1609902477-000</t>
  </si>
  <si>
    <t>1609902478-000</t>
  </si>
  <si>
    <t>1609902531-000</t>
  </si>
  <si>
    <t>1609902550-000</t>
  </si>
  <si>
    <t>1609902551-000</t>
  </si>
  <si>
    <t>1609902582-000</t>
  </si>
  <si>
    <t>1609902584-000</t>
  </si>
  <si>
    <t>1609902585-000</t>
  </si>
  <si>
    <t>1609902586-000</t>
  </si>
  <si>
    <t>1609902588-000</t>
  </si>
  <si>
    <t>1609902594-000</t>
  </si>
  <si>
    <t>1609902596-000</t>
  </si>
  <si>
    <t>1609902600-000</t>
  </si>
  <si>
    <t>1609902604-000</t>
  </si>
  <si>
    <t>1609902605-000</t>
  </si>
  <si>
    <t>1609902606-000</t>
  </si>
  <si>
    <t>1609902607-000</t>
  </si>
  <si>
    <t>1609902608-000</t>
  </si>
  <si>
    <t>1609902609-000</t>
  </si>
  <si>
    <t>1609902610-000</t>
  </si>
  <si>
    <t>1609902612-000</t>
  </si>
  <si>
    <t>1609902613-000</t>
  </si>
  <si>
    <t>1609902619-000</t>
  </si>
  <si>
    <t>1609902622-000</t>
  </si>
  <si>
    <t>1609902624-000</t>
  </si>
  <si>
    <t>1609902639-000</t>
  </si>
  <si>
    <t>1609902655-000</t>
  </si>
  <si>
    <t>1609902666-000</t>
  </si>
  <si>
    <t>1609902668-000</t>
  </si>
  <si>
    <t>1609902669-000</t>
  </si>
  <si>
    <t>1609902670-000</t>
  </si>
  <si>
    <t>1609902672-000</t>
  </si>
  <si>
    <t>1609902684-000</t>
  </si>
  <si>
    <t>1609902685-000</t>
  </si>
  <si>
    <t>1609902686-000</t>
  </si>
  <si>
    <t>1609902688-000</t>
  </si>
  <si>
    <t>1609902689-000</t>
  </si>
  <si>
    <t>1609902690-000</t>
  </si>
  <si>
    <t>1609902696-000</t>
  </si>
  <si>
    <t>1609902697-000</t>
  </si>
  <si>
    <t>1609902699-000</t>
  </si>
  <si>
    <t>1609902703-000</t>
  </si>
  <si>
    <t>16099221KP-000</t>
  </si>
  <si>
    <t>1609929D56-000</t>
  </si>
  <si>
    <t>1609929D58-000</t>
  </si>
  <si>
    <t>1609929D62-000</t>
  </si>
  <si>
    <t>1609929D64-000</t>
  </si>
  <si>
    <t>1609929DB2-000</t>
  </si>
  <si>
    <t>1609929DB4-000</t>
  </si>
  <si>
    <t>1609929DB8-000</t>
  </si>
  <si>
    <t>1609929DC1-000</t>
  </si>
  <si>
    <t>1609B00046-000</t>
  </si>
  <si>
    <t>1609B00055-000</t>
  </si>
  <si>
    <t>1609B00057-000</t>
  </si>
  <si>
    <t>1609B00068-000</t>
  </si>
  <si>
    <t>1609B00105-000</t>
  </si>
  <si>
    <t>1609B00119-000</t>
  </si>
  <si>
    <t>1609B00123-000</t>
  </si>
  <si>
    <t>1609B00129-000</t>
  </si>
  <si>
    <t>1609B00135-000</t>
  </si>
  <si>
    <t>1609B00137-000</t>
  </si>
  <si>
    <t>1609B00201-000</t>
  </si>
  <si>
    <t>1609B00203-000</t>
  </si>
  <si>
    <t>1609B00204-000</t>
  </si>
  <si>
    <t>1609B00205-000</t>
  </si>
  <si>
    <t>1609B00206-000</t>
  </si>
  <si>
    <t>1609B00207-000</t>
  </si>
  <si>
    <t>1609B00210-000</t>
  </si>
  <si>
    <t>1609B00211-000</t>
  </si>
  <si>
    <t>1609B00212-000</t>
  </si>
  <si>
    <t>1609B00213-000</t>
  </si>
  <si>
    <t>1609B00222-000</t>
  </si>
  <si>
    <t>1609B00223-000</t>
  </si>
  <si>
    <t>1609B00225-000</t>
  </si>
  <si>
    <t>1609B00226-000</t>
  </si>
  <si>
    <t>1609B00227-000</t>
  </si>
  <si>
    <t>1609B00228-000</t>
  </si>
  <si>
    <t>1609B00229-000</t>
  </si>
  <si>
    <t>1609B00230-000</t>
  </si>
  <si>
    <t>1609B00231-000</t>
  </si>
  <si>
    <t>1609B00232-000</t>
  </si>
  <si>
    <t>1609B00233-000</t>
  </si>
  <si>
    <t>1609B00234-000</t>
  </si>
  <si>
    <t>1609B00235-000</t>
  </si>
  <si>
    <t>1609B00236-000</t>
  </si>
  <si>
    <t>1609B00237-000</t>
  </si>
  <si>
    <t>1609B00238-000</t>
  </si>
  <si>
    <t>1609B00244-000</t>
  </si>
  <si>
    <t>1609B00245-000</t>
  </si>
  <si>
    <t>1609B00246-000</t>
  </si>
  <si>
    <t>1609B00247-000</t>
  </si>
  <si>
    <t>1609B00248-000</t>
  </si>
  <si>
    <t>1609B00249-000</t>
  </si>
  <si>
    <t>1609B00250-000</t>
  </si>
  <si>
    <t>1609B00251-000</t>
  </si>
  <si>
    <t>1609B00252-000</t>
  </si>
  <si>
    <t>1609B00253-000</t>
  </si>
  <si>
    <t>1609B00254-000</t>
  </si>
  <si>
    <t>1609B00255-000</t>
  </si>
  <si>
    <t>1609B00256-000</t>
  </si>
  <si>
    <t>1609B00263-000</t>
  </si>
  <si>
    <t>1609B00273-000</t>
  </si>
  <si>
    <t>1609B00275-000</t>
  </si>
  <si>
    <t>1609B00276-000</t>
  </si>
  <si>
    <t>1609B00277-000</t>
  </si>
  <si>
    <t>1609B00278-000</t>
  </si>
  <si>
    <t>1609B00279-000</t>
  </si>
  <si>
    <t>1609B00280-000</t>
  </si>
  <si>
    <t>1609B00281-000</t>
  </si>
  <si>
    <t>1609B00282-000</t>
  </si>
  <si>
    <t>1609B00283-000</t>
  </si>
  <si>
    <t>1609B00284-000</t>
  </si>
  <si>
    <t>1609B00285-000</t>
  </si>
  <si>
    <t>1609B00286-000</t>
  </si>
  <si>
    <t>1609B00287-000</t>
  </si>
  <si>
    <t>1609B00288-000</t>
  </si>
  <si>
    <t>1609B00289-000</t>
  </si>
  <si>
    <t>1609B00291-000</t>
  </si>
  <si>
    <t>1609B00292-000</t>
  </si>
  <si>
    <t>1609B00293-000</t>
  </si>
  <si>
    <t>1609B00294-000</t>
  </si>
  <si>
    <t>1609B00295-000</t>
  </si>
  <si>
    <t>1609B00296-000</t>
  </si>
  <si>
    <t>1609B00297-000</t>
  </si>
  <si>
    <t>1609B00298-000</t>
  </si>
  <si>
    <t>1609B00299-000</t>
  </si>
  <si>
    <t>1609B00301-000</t>
  </si>
  <si>
    <t>1609B00302-000</t>
  </si>
  <si>
    <t>1609B00303-000</t>
  </si>
  <si>
    <t>1609B00304-000</t>
  </si>
  <si>
    <t>1609B00305-000</t>
  </si>
  <si>
    <t>1609B00306-000</t>
  </si>
  <si>
    <t>1609B00308-000</t>
  </si>
  <si>
    <t>1609B00309-000</t>
  </si>
  <si>
    <t>1609B00310-000</t>
  </si>
  <si>
    <t>1609B00311-000</t>
  </si>
  <si>
    <t>1609B00312-000</t>
  </si>
  <si>
    <t>1609B00325-000</t>
  </si>
  <si>
    <t>1609B00331-000</t>
  </si>
  <si>
    <t>1609B00335-000</t>
  </si>
  <si>
    <t>1609B00337-000</t>
  </si>
  <si>
    <t>1609B00338-000</t>
  </si>
  <si>
    <t>1609B00339-000</t>
  </si>
  <si>
    <t>1609B00342-000</t>
  </si>
  <si>
    <t>1609B00343-000</t>
  </si>
  <si>
    <t>1609B00344-000</t>
  </si>
  <si>
    <t>1609B00345-000</t>
  </si>
  <si>
    <t>1609B00346-000</t>
  </si>
  <si>
    <t>1609B00347-000</t>
  </si>
  <si>
    <t>1609B00348-000</t>
  </si>
  <si>
    <t>1609B00349-000</t>
  </si>
  <si>
    <t>1609B00350-000</t>
  </si>
  <si>
    <t>1609B00351-000</t>
  </si>
  <si>
    <t>1609B00352-000</t>
  </si>
  <si>
    <t>1609B00353-000</t>
  </si>
  <si>
    <t>1609B00354-000</t>
  </si>
  <si>
    <t>1609B00355-000</t>
  </si>
  <si>
    <t>1609B00356-000</t>
  </si>
  <si>
    <t>1609B00357-000</t>
  </si>
  <si>
    <t>1609B00358-000</t>
  </si>
  <si>
    <t>1609B00359-000</t>
  </si>
  <si>
    <t>1609B00361-000</t>
  </si>
  <si>
    <t>1609B00362-000</t>
  </si>
  <si>
    <t>1609B00364-000</t>
  </si>
  <si>
    <t>1609B00367-000</t>
  </si>
  <si>
    <t>1609B00368-000</t>
  </si>
  <si>
    <t>1609B00369-000</t>
  </si>
  <si>
    <t>1609B00370-000</t>
  </si>
  <si>
    <t>1609B00371-000</t>
  </si>
  <si>
    <t>1609B00382-000</t>
  </si>
  <si>
    <t>1609B00384-000</t>
  </si>
  <si>
    <t>1609B00385-000</t>
  </si>
  <si>
    <t>1609B00386-000</t>
  </si>
  <si>
    <t>1609B00387-000</t>
  </si>
  <si>
    <t>1609B00388-000</t>
  </si>
  <si>
    <t>1609B00389-000</t>
  </si>
  <si>
    <t>1609B00390-000</t>
  </si>
  <si>
    <t>1609B00391-000</t>
  </si>
  <si>
    <t>1609B00392-000</t>
  </si>
  <si>
    <t>1609B00404-000</t>
  </si>
  <si>
    <t>1609B00405-000</t>
  </si>
  <si>
    <t>1609B00414-000</t>
  </si>
  <si>
    <t>1609B00415-000</t>
  </si>
  <si>
    <t>1609B00417-000</t>
  </si>
  <si>
    <t>1609B00418-000</t>
  </si>
  <si>
    <t>1609B00419-000</t>
  </si>
  <si>
    <t>1609B00446-000</t>
  </si>
  <si>
    <t>1609B00448-000</t>
  </si>
  <si>
    <t>1609B00449-000</t>
  </si>
  <si>
    <t>1609B00451-000</t>
  </si>
  <si>
    <t>1609B00453-000</t>
  </si>
  <si>
    <t>1609B00454-000</t>
  </si>
  <si>
    <t>1609B00455-000</t>
  </si>
  <si>
    <t>1609B00457-000</t>
  </si>
  <si>
    <t>1609B00458-000</t>
  </si>
  <si>
    <t>1609B00460-000</t>
  </si>
  <si>
    <t>1609B00471-000</t>
  </si>
  <si>
    <t>1609B00476-000</t>
  </si>
  <si>
    <t>1609B00478-000</t>
  </si>
  <si>
    <t>1609B00479-000</t>
  </si>
  <si>
    <t>1609B00480-000</t>
  </si>
  <si>
    <t>1609B00482-000</t>
  </si>
  <si>
    <t>1609B00483-000</t>
  </si>
  <si>
    <t>1609B00501-000</t>
  </si>
  <si>
    <t>1609B00502-000</t>
  </si>
  <si>
    <t>1609B00504-000</t>
  </si>
  <si>
    <t>1609B00505-000</t>
  </si>
  <si>
    <t>1609B00506-000</t>
  </si>
  <si>
    <t>1609B00523-000</t>
  </si>
  <si>
    <t>1609B00532-000</t>
  </si>
  <si>
    <t>1609B00533-000</t>
  </si>
  <si>
    <t>1609B00542-000</t>
  </si>
  <si>
    <t>1609B00543-000</t>
  </si>
  <si>
    <t>1609B00549-000</t>
  </si>
  <si>
    <t>1609B00582-000</t>
  </si>
  <si>
    <t>1609B00583-000</t>
  </si>
  <si>
    <t>1609B00592-000</t>
  </si>
  <si>
    <t>1609B00593-000</t>
  </si>
  <si>
    <t>1609B00594-000</t>
  </si>
  <si>
    <t>1609B00596-000</t>
  </si>
  <si>
    <t>1609B00597-000</t>
  </si>
  <si>
    <t>1609B00599-000</t>
  </si>
  <si>
    <t>1609B00600-000</t>
  </si>
  <si>
    <t>1609B00601-000</t>
  </si>
  <si>
    <t>1609B00602-000</t>
  </si>
  <si>
    <t>1609B00603-000</t>
  </si>
  <si>
    <t>1609B00604-000</t>
  </si>
  <si>
    <t>1609B00605-000</t>
  </si>
  <si>
    <t>1609B00608-000</t>
  </si>
  <si>
    <t>1609B00609-000</t>
  </si>
  <si>
    <t>1609B00610-000</t>
  </si>
  <si>
    <t>1609B00612-000</t>
  </si>
  <si>
    <t>1609B00614-000</t>
  </si>
  <si>
    <t>1609B00615-000</t>
  </si>
  <si>
    <t>1609B00616-000</t>
  </si>
  <si>
    <t>1609B00617-000</t>
  </si>
  <si>
    <t>1609B00618-000</t>
  </si>
  <si>
    <t>1609B00620-000</t>
  </si>
  <si>
    <t>1609B00621-000</t>
  </si>
  <si>
    <t>1609B00622-000</t>
  </si>
  <si>
    <t>1609B00623-000</t>
  </si>
  <si>
    <t>1609B00624-000</t>
  </si>
  <si>
    <t>1609B00625-000</t>
  </si>
  <si>
    <t>1609B00627-000</t>
  </si>
  <si>
    <t>1609B00628-000</t>
  </si>
  <si>
    <t>1609B00630-000</t>
  </si>
  <si>
    <t>1609B00631-000</t>
  </si>
  <si>
    <t>1609B00632-000</t>
  </si>
  <si>
    <t>1609B00633-000</t>
  </si>
  <si>
    <t>1609B00634-000</t>
  </si>
  <si>
    <t>1609B00636-000</t>
  </si>
  <si>
    <t>1609B00637-000</t>
  </si>
  <si>
    <t>1609B00638-000</t>
  </si>
  <si>
    <t>1609B00641-000</t>
  </si>
  <si>
    <t>1609B00642-000</t>
  </si>
  <si>
    <t>1609B00643-000</t>
  </si>
  <si>
    <t>1609B00644-000</t>
  </si>
  <si>
    <t>1609B00645-000</t>
  </si>
  <si>
    <t>1609B00647-000</t>
  </si>
  <si>
    <t>1609B00649-000</t>
  </si>
  <si>
    <t>1609B00650-000</t>
  </si>
  <si>
    <t>1609B00652-000</t>
  </si>
  <si>
    <t>1609B00653-000</t>
  </si>
  <si>
    <t>1609B00654-000</t>
  </si>
  <si>
    <t>1609B00655-000</t>
  </si>
  <si>
    <t>1609B00656-000</t>
  </si>
  <si>
    <t>1609B00658-000</t>
  </si>
  <si>
    <t>1609B00660-000</t>
  </si>
  <si>
    <t>1609B00661-000</t>
  </si>
  <si>
    <t>1609B00662-000</t>
  </si>
  <si>
    <t>1609B00664-000</t>
  </si>
  <si>
    <t>1609B00665-000</t>
  </si>
  <si>
    <t>1609B00667-000</t>
  </si>
  <si>
    <t>1609B00669-000</t>
  </si>
  <si>
    <t>1609B00670-000</t>
  </si>
  <si>
    <t>1609B00672-000</t>
  </si>
  <si>
    <t>1609B00673-000</t>
  </si>
  <si>
    <t>1609B00674-000</t>
  </si>
  <si>
    <t>1609B00675-000</t>
  </si>
  <si>
    <t>1609B00676-000</t>
  </si>
  <si>
    <t>1609B00678-000</t>
  </si>
  <si>
    <t>1609B00680-000</t>
  </si>
  <si>
    <t>1609B00681-000</t>
  </si>
  <si>
    <t>1609B00682-000</t>
  </si>
  <si>
    <t>1609B00687-000</t>
  </si>
  <si>
    <t>1609B00688-000</t>
  </si>
  <si>
    <t>1609B00689-000</t>
  </si>
  <si>
    <t>1609B00690-000</t>
  </si>
  <si>
    <t>1609B00691-000</t>
  </si>
  <si>
    <t>1609B00700-000</t>
  </si>
  <si>
    <t>1609B00705-000</t>
  </si>
  <si>
    <t>1609B00706-000</t>
  </si>
  <si>
    <t>1609B00709-000</t>
  </si>
  <si>
    <t>1609B00711-000</t>
  </si>
  <si>
    <t>1609B00713-000</t>
  </si>
  <si>
    <t>1609B00714-000</t>
  </si>
  <si>
    <t>1609B00715-000</t>
  </si>
  <si>
    <t>1609B00716-000</t>
  </si>
  <si>
    <t>1609B00717-000</t>
  </si>
  <si>
    <t>1609B00719-000</t>
  </si>
  <si>
    <t>1609B00721-000</t>
  </si>
  <si>
    <t>1609B00722-000</t>
  </si>
  <si>
    <t>1609B00723-000</t>
  </si>
  <si>
    <t>1609B00725-000</t>
  </si>
  <si>
    <t>1609B00726-000</t>
  </si>
  <si>
    <t>1609B00727-000</t>
  </si>
  <si>
    <t>1609B00728-000</t>
  </si>
  <si>
    <t>1609B00730-000</t>
  </si>
  <si>
    <t>1609B00732-000</t>
  </si>
  <si>
    <t>1609B00734-000</t>
  </si>
  <si>
    <t>1609B00735-000</t>
  </si>
  <si>
    <t>1609B00736-000</t>
  </si>
  <si>
    <t>1609B00742-000</t>
  </si>
  <si>
    <t>1609B00744-000</t>
  </si>
  <si>
    <t>1609B00748-000</t>
  </si>
  <si>
    <t>1609B00749-000</t>
  </si>
  <si>
    <t>1609B00750-000</t>
  </si>
  <si>
    <t>1609B00751-000</t>
  </si>
  <si>
    <t>1609B00753-000</t>
  </si>
  <si>
    <t>1609B00754-000</t>
  </si>
  <si>
    <t>1609B00757-000</t>
  </si>
  <si>
    <t>1609B00758-000</t>
  </si>
  <si>
    <t>1609B00760-000</t>
  </si>
  <si>
    <t>1609B00761-000</t>
  </si>
  <si>
    <t>1609B00762-000</t>
  </si>
  <si>
    <t>1609B00763-000</t>
  </si>
  <si>
    <t>1609B00764-000</t>
  </si>
  <si>
    <t>1609B00765-000</t>
  </si>
  <si>
    <t>1609B00766-000</t>
  </si>
  <si>
    <t>1609B00767-000</t>
  </si>
  <si>
    <t>1609B00769-000</t>
  </si>
  <si>
    <t>1609B00771-000</t>
  </si>
  <si>
    <t>1609B00772-000</t>
  </si>
  <si>
    <t>1609B00773-000</t>
  </si>
  <si>
    <t>1609B00774-000</t>
  </si>
  <si>
    <t>1609B00775-000</t>
  </si>
  <si>
    <t>1609B00777-000</t>
  </si>
  <si>
    <t>1609B00779-000</t>
  </si>
  <si>
    <t>1609B00780-000</t>
  </si>
  <si>
    <t>1609B00781-000</t>
  </si>
  <si>
    <t>1609B00784-000</t>
  </si>
  <si>
    <t>1609B00785-000</t>
  </si>
  <si>
    <t>1609B00786-000</t>
  </si>
  <si>
    <t>1609B00787-000</t>
  </si>
  <si>
    <t>1609B00788-000</t>
  </si>
  <si>
    <t>1609B00798-000</t>
  </si>
  <si>
    <t>1609B00799-000</t>
  </si>
  <si>
    <t>1609B00800-000</t>
  </si>
  <si>
    <t>1609B00802-000</t>
  </si>
  <si>
    <t>1609B00803-000</t>
  </si>
  <si>
    <t>1609B00804-000</t>
  </si>
  <si>
    <t>1609B00806-000</t>
  </si>
  <si>
    <t>1609B00807-000</t>
  </si>
  <si>
    <t>1609B00810-000</t>
  </si>
  <si>
    <t>1609B00811-000</t>
  </si>
  <si>
    <t>1609B00812-000</t>
  </si>
  <si>
    <t>1609B00813-000</t>
  </si>
  <si>
    <t>1609B00815-000</t>
  </si>
  <si>
    <t>1609B00816-000</t>
  </si>
  <si>
    <t>1609B00820-000</t>
  </si>
  <si>
    <t>1609B00822-000</t>
  </si>
  <si>
    <t>1609B00823-000</t>
  </si>
  <si>
    <t>1609B00824-000</t>
  </si>
  <si>
    <t>1609B00828-000</t>
  </si>
  <si>
    <t>1609B00829-000</t>
  </si>
  <si>
    <t>1609B00834-000</t>
  </si>
  <si>
    <t>1609B00835-000</t>
  </si>
  <si>
    <t>1609B00838-000</t>
  </si>
  <si>
    <t>1609B00872-000</t>
  </si>
  <si>
    <t>1609B00882-000</t>
  </si>
  <si>
    <t>1609B00917-000</t>
  </si>
  <si>
    <t>1609B00918-000</t>
  </si>
  <si>
    <t>1609B00919-000</t>
  </si>
  <si>
    <t>1609B00920-000</t>
  </si>
  <si>
    <t>1609B00921-000</t>
  </si>
  <si>
    <t>1609B00930-000</t>
  </si>
  <si>
    <t>1609B00960-000</t>
  </si>
  <si>
    <t>1609B00969-000</t>
  </si>
  <si>
    <t>1609B00981-000</t>
  </si>
  <si>
    <t>1609B00982-000</t>
  </si>
  <si>
    <t>1609B00983-000</t>
  </si>
  <si>
    <t>1609B00984-000</t>
  </si>
  <si>
    <t>1609B00985-000</t>
  </si>
  <si>
    <t>1609B00986-000</t>
  </si>
  <si>
    <t>1609B00987-000</t>
  </si>
  <si>
    <t>1609B00988-000</t>
  </si>
  <si>
    <t>1609B00989-000</t>
  </si>
  <si>
    <t>1609B00990-000</t>
  </si>
  <si>
    <t>1609B00991-000</t>
  </si>
  <si>
    <t>1609B00992-000</t>
  </si>
  <si>
    <t>1609B01041-000</t>
  </si>
  <si>
    <t>1609B01046-000</t>
  </si>
  <si>
    <t>1609B01050-000</t>
  </si>
  <si>
    <t>1609B01186-000</t>
  </si>
  <si>
    <t>1609B01196-000</t>
  </si>
  <si>
    <t>1609B01243-000</t>
  </si>
  <si>
    <t>1609B01253-000</t>
  </si>
  <si>
    <t>1609B01281-000</t>
  </si>
  <si>
    <t>1609B01282-000</t>
  </si>
  <si>
    <t>1609B01287-000</t>
  </si>
  <si>
    <t>1609B01322-000</t>
  </si>
  <si>
    <t>1609B01356-000</t>
  </si>
  <si>
    <t>1609B01397-000</t>
  </si>
  <si>
    <t>1609B01427-000</t>
  </si>
  <si>
    <t>1609B01428-000</t>
  </si>
  <si>
    <t>1609B01431-000</t>
  </si>
  <si>
    <t>1609B01435-000</t>
  </si>
  <si>
    <t>1609B01436-000</t>
  </si>
  <si>
    <t>1609B01442-000</t>
  </si>
  <si>
    <t>1609B01452-000</t>
  </si>
  <si>
    <t>1609B01453-000</t>
  </si>
  <si>
    <t>1609B01454-000</t>
  </si>
  <si>
    <t>1609B01457-000</t>
  </si>
  <si>
    <t>1609B01458-000</t>
  </si>
  <si>
    <t>1609B01459-000</t>
  </si>
  <si>
    <t>1609B01460-000</t>
  </si>
  <si>
    <t>1609B01461-000</t>
  </si>
  <si>
    <t>1609B01462-000</t>
  </si>
  <si>
    <t>1609B01463-000</t>
  </si>
  <si>
    <t>1609B01464-000</t>
  </si>
  <si>
    <t>1609B01465-000</t>
  </si>
  <si>
    <t>1609B01466-000</t>
  </si>
  <si>
    <t>1609B01469-000</t>
  </si>
  <si>
    <t>1609B01470-000</t>
  </si>
  <si>
    <t>1609B01472-000</t>
  </si>
  <si>
    <t>1609B01473-000</t>
  </si>
  <si>
    <t>1609B01474-000</t>
  </si>
  <si>
    <t>1609B01475-000</t>
  </si>
  <si>
    <t>1609B01476-000</t>
  </si>
  <si>
    <t>1609B01477-000</t>
  </si>
  <si>
    <t>1609B01479-000</t>
  </si>
  <si>
    <t>1609B01482-000</t>
  </si>
  <si>
    <t>1609B01483-000</t>
  </si>
  <si>
    <t>1609B01499-000</t>
  </si>
  <si>
    <t>1609B01501-000</t>
  </si>
  <si>
    <t>1609B01504-000</t>
  </si>
  <si>
    <t>1609B01507-000</t>
  </si>
  <si>
    <t>1609B01508-000</t>
  </si>
  <si>
    <t>1609B01509-000</t>
  </si>
  <si>
    <t>1609B01513-000</t>
  </si>
  <si>
    <t>1609B01514-000</t>
  </si>
  <si>
    <t>1609B01515-000</t>
  </si>
  <si>
    <t>1609B01522-000</t>
  </si>
  <si>
    <t>1609B01525-000</t>
  </si>
  <si>
    <t>1609B01530-000</t>
  </si>
  <si>
    <t>1609B01531-000</t>
  </si>
  <si>
    <t>1609B01538-000</t>
  </si>
  <si>
    <t>1609B01539-000</t>
  </si>
  <si>
    <t>1609B01560-000</t>
  </si>
  <si>
    <t>1609B01561-000</t>
  </si>
  <si>
    <t>1609B01570-000</t>
  </si>
  <si>
    <t>1609B01574-000</t>
  </si>
  <si>
    <t>1609B01575-000</t>
  </si>
  <si>
    <t>1609B01576-000</t>
  </si>
  <si>
    <t>1609B01580-000</t>
  </si>
  <si>
    <t>1609B01584-000</t>
  </si>
  <si>
    <t>1609B01586-000</t>
  </si>
  <si>
    <t>1609B01587-000</t>
  </si>
  <si>
    <t>1609B01592-000</t>
  </si>
  <si>
    <t>1609B01593-000</t>
  </si>
  <si>
    <t>1609B01594-000</t>
  </si>
  <si>
    <t>1609B01595-000</t>
  </si>
  <si>
    <t>1609B01596-000</t>
  </si>
  <si>
    <t>1609B01597-000</t>
  </si>
  <si>
    <t>1609B01598-000</t>
  </si>
  <si>
    <t>1609B01599-000</t>
  </si>
  <si>
    <t>1609B01600-000</t>
  </si>
  <si>
    <t>1609B01601-000</t>
  </si>
  <si>
    <t>1609B01602-000</t>
  </si>
  <si>
    <t>1609B01603-000</t>
  </si>
  <si>
    <t>1609B01604-000</t>
  </si>
  <si>
    <t>1609B01605-000</t>
  </si>
  <si>
    <t>1609B01606-000</t>
  </si>
  <si>
    <t>1609B01607-000</t>
  </si>
  <si>
    <t>1609B01611-000</t>
  </si>
  <si>
    <t>1609B01612-000</t>
  </si>
  <si>
    <t>1609B01613-000</t>
  </si>
  <si>
    <t>1609B01621-000</t>
  </si>
  <si>
    <t>1609B01631-000</t>
  </si>
  <si>
    <t>1609B01632-000</t>
  </si>
  <si>
    <t>1609B01651-000</t>
  </si>
  <si>
    <t>1609B01652-000</t>
  </si>
  <si>
    <t>1609B01654-000</t>
  </si>
  <si>
    <t>1609B01655-000</t>
  </si>
  <si>
    <t>1609B01656-000</t>
  </si>
  <si>
    <t>1609B01660-000</t>
  </si>
  <si>
    <t>1609B01665-000</t>
  </si>
  <si>
    <t>1609B01668-000</t>
  </si>
  <si>
    <t>1609B01670-000</t>
  </si>
  <si>
    <t>1609B01672-000</t>
  </si>
  <si>
    <t>1609B01674-000</t>
  </si>
  <si>
    <t>1609B01680-000</t>
  </si>
  <si>
    <t>1609B01689-000</t>
  </si>
  <si>
    <t>1609B01690-000</t>
  </si>
  <si>
    <t>1609B01692-000</t>
  </si>
  <si>
    <t>1609B01693-000</t>
  </si>
  <si>
    <t>1609B01696-000</t>
  </si>
  <si>
    <t>1609B01701-000</t>
  </si>
  <si>
    <t>1609B01708-000</t>
  </si>
  <si>
    <t>1609B01710-000</t>
  </si>
  <si>
    <t>1609B01713-000</t>
  </si>
  <si>
    <t>1609B01715-000</t>
  </si>
  <si>
    <t>1609B01716-000</t>
  </si>
  <si>
    <t>1609B01717-000</t>
  </si>
  <si>
    <t>1609B01719-000</t>
  </si>
  <si>
    <t>1609B01720-000</t>
  </si>
  <si>
    <t>1609B01721-000</t>
  </si>
  <si>
    <t>1609B01722-000</t>
  </si>
  <si>
    <t>1609B01723-000</t>
  </si>
  <si>
    <t>1609B01727-000</t>
  </si>
  <si>
    <t>1609B01785-000</t>
  </si>
  <si>
    <t>1609B01992-000</t>
  </si>
  <si>
    <t>1609B02101-000</t>
  </si>
  <si>
    <t>1609B02102-000</t>
  </si>
  <si>
    <t>1609B02103-000</t>
  </si>
  <si>
    <t>1609B02104-000</t>
  </si>
  <si>
    <t>1609B02105-000</t>
  </si>
  <si>
    <t>1609B02119-000</t>
  </si>
  <si>
    <t>1609B02120-000</t>
  </si>
  <si>
    <t>1609B02122-000</t>
  </si>
  <si>
    <t>1609B02145-000</t>
  </si>
  <si>
    <t>1609B02146-000</t>
  </si>
  <si>
    <t>1609B02152-000</t>
  </si>
  <si>
    <t>1609B02153-000</t>
  </si>
  <si>
    <t>1609B02157-000</t>
  </si>
  <si>
    <t>1609B02159-000</t>
  </si>
  <si>
    <t>1609B02160-000</t>
  </si>
  <si>
    <t>1609B02174-000</t>
  </si>
  <si>
    <t>1609B02178-000</t>
  </si>
  <si>
    <t>1609B02181-000</t>
  </si>
  <si>
    <t>1609B02183-000</t>
  </si>
  <si>
    <t>1609B02184-000</t>
  </si>
  <si>
    <t>1609B02189-000</t>
  </si>
  <si>
    <t>1609B02190-000</t>
  </si>
  <si>
    <t>1609B02191-000</t>
  </si>
  <si>
    <t>1609B02192-000</t>
  </si>
  <si>
    <t>1609B02302-000</t>
  </si>
  <si>
    <t>1609B02303-000</t>
  </si>
  <si>
    <t>1609B02304-000</t>
  </si>
  <si>
    <t>1609B02305-000</t>
  </si>
  <si>
    <t>1609B02307-000</t>
  </si>
  <si>
    <t>1609B02309-000</t>
  </si>
  <si>
    <t>1609B02310-000</t>
  </si>
  <si>
    <t>1609B02314-000</t>
  </si>
  <si>
    <t>1609B02316-000</t>
  </si>
  <si>
    <t>1609B02351-000</t>
  </si>
  <si>
    <t>1609B02352-000</t>
  </si>
  <si>
    <t>1609B02355-000</t>
  </si>
  <si>
    <t>1609B02356-000</t>
  </si>
  <si>
    <t>1609B02357-000</t>
  </si>
  <si>
    <t>1609B02358-000</t>
  </si>
  <si>
    <t>1609B02359-000</t>
  </si>
  <si>
    <t>1609B02362-000</t>
  </si>
  <si>
    <t>1609B02363-000</t>
  </si>
  <si>
    <t>1609B02365-000</t>
  </si>
  <si>
    <t>1609B02367-000</t>
  </si>
  <si>
    <t>1609B02368-000</t>
  </si>
  <si>
    <t>1609B02371-000</t>
  </si>
  <si>
    <t>1609B02375-000</t>
  </si>
  <si>
    <t>1609B02377-000</t>
  </si>
  <si>
    <t>1609B02380-000</t>
  </si>
  <si>
    <t>1609B02381-000</t>
  </si>
  <si>
    <t>1609B02383-000</t>
  </si>
  <si>
    <t>1609B02384-000</t>
  </si>
  <si>
    <t>1609B02391-000</t>
  </si>
  <si>
    <t>1609B02392-000</t>
  </si>
  <si>
    <t>1609B02395-000</t>
  </si>
  <si>
    <t>1609B02396-000</t>
  </si>
  <si>
    <t>1609B02397-000</t>
  </si>
  <si>
    <t>1609B02399-000</t>
  </si>
  <si>
    <t>1609B02405-000</t>
  </si>
  <si>
    <t>1609B02406-000</t>
  </si>
  <si>
    <t>1609B02408-000</t>
  </si>
  <si>
    <t>1609B02411-000</t>
  </si>
  <si>
    <t>1609B02412-000</t>
  </si>
  <si>
    <t>1609B02415-000</t>
  </si>
  <si>
    <t>1609B02416-000</t>
  </si>
  <si>
    <t>1609B02423-000</t>
  </si>
  <si>
    <t>1609B02425-000</t>
  </si>
  <si>
    <t>1609B02426-000</t>
  </si>
  <si>
    <t>1609B02427-000</t>
  </si>
  <si>
    <t>1609B02428-000</t>
  </si>
  <si>
    <t>1609B02429-000</t>
  </si>
  <si>
    <t>1609B02430-000</t>
  </si>
  <si>
    <t>1609B02431-000</t>
  </si>
  <si>
    <t>1609B02432-000</t>
  </si>
  <si>
    <t>1609B02433-000</t>
  </si>
  <si>
    <t>1609B02434-000</t>
  </si>
  <si>
    <t>1609B02437-000</t>
  </si>
  <si>
    <t>1609B02438-000</t>
  </si>
  <si>
    <t>1609B02439-000</t>
  </si>
  <si>
    <t>1609B02440-000</t>
  </si>
  <si>
    <t>1609B02465-000</t>
  </si>
  <si>
    <t>1609B02467-000</t>
  </si>
  <si>
    <t>1609B02468-000</t>
  </si>
  <si>
    <t>1609B02478-000</t>
  </si>
  <si>
    <t>1609B02482-000</t>
  </si>
  <si>
    <t>1609B02484-000</t>
  </si>
  <si>
    <t>1609B02490-000</t>
  </si>
  <si>
    <t>1609B02497-000</t>
  </si>
  <si>
    <t>1609B02499-000</t>
  </si>
  <si>
    <t>1609B02552-000</t>
  </si>
  <si>
    <t>1609B02562-000</t>
  </si>
  <si>
    <t>1609B02572-000</t>
  </si>
  <si>
    <t>1609B02574-000</t>
  </si>
  <si>
    <t>1609B02581-000</t>
  </si>
  <si>
    <t>1609B02583-000</t>
  </si>
  <si>
    <t>1609B02585-000</t>
  </si>
  <si>
    <t>1609B02590-000</t>
  </si>
  <si>
    <t>1609B02591-000</t>
  </si>
  <si>
    <t>1609B02592-000</t>
  </si>
  <si>
    <t>1609B02593-000</t>
  </si>
  <si>
    <t>1609B02594-000</t>
  </si>
  <si>
    <t>1609B02595-000</t>
  </si>
  <si>
    <t>1609B02597-000</t>
  </si>
  <si>
    <t>1609B02598-000</t>
  </si>
  <si>
    <t>1609B02751-000</t>
  </si>
  <si>
    <t>1609B02941-000</t>
  </si>
  <si>
    <t>1609B02953-000</t>
  </si>
  <si>
    <t>1609B02958-000</t>
  </si>
  <si>
    <t>1609B02964-000</t>
  </si>
  <si>
    <t>1609B02965-000</t>
  </si>
  <si>
    <t>1609B02966-000</t>
  </si>
  <si>
    <t>1609B02967-000</t>
  </si>
  <si>
    <t>1609B02968-000</t>
  </si>
  <si>
    <t>1609B02970-000</t>
  </si>
  <si>
    <t>1609B02973-000</t>
  </si>
  <si>
    <t>1609B02974-000</t>
  </si>
  <si>
    <t>1609B02986-000</t>
  </si>
  <si>
    <t>1609B02987-000</t>
  </si>
  <si>
    <t>1609B02988-000</t>
  </si>
  <si>
    <t>1609B02991-000</t>
  </si>
  <si>
    <t>1609B02995-000</t>
  </si>
  <si>
    <t>1609B02997-000</t>
  </si>
  <si>
    <t>1609B02998-000</t>
  </si>
  <si>
    <t>1609B02999-000</t>
  </si>
  <si>
    <t>1609B03179-000</t>
  </si>
  <si>
    <t>1609B03361-000</t>
  </si>
  <si>
    <t>1609B03500-000</t>
  </si>
  <si>
    <t>1609B03501-000</t>
  </si>
  <si>
    <t>1609B03502-000</t>
  </si>
  <si>
    <t>1609B03503-000</t>
  </si>
  <si>
    <t>1609B03505-000</t>
  </si>
  <si>
    <t>1609B03506-000</t>
  </si>
  <si>
    <t>1609B03513-000</t>
  </si>
  <si>
    <t>1609B03516-000</t>
  </si>
  <si>
    <t>1609B03517-000</t>
  </si>
  <si>
    <t>1609B03518-000</t>
  </si>
  <si>
    <t>1609B03519-000</t>
  </si>
  <si>
    <t>1609B03520-000</t>
  </si>
  <si>
    <t>1609B03522-000</t>
  </si>
  <si>
    <t>1609B03523-000</t>
  </si>
  <si>
    <t>1609B03524-000</t>
  </si>
  <si>
    <t>1609B03525-000</t>
  </si>
  <si>
    <t>1609B03526-000</t>
  </si>
  <si>
    <t>1609B03528-000</t>
  </si>
  <si>
    <t>1609B03529-000</t>
  </si>
  <si>
    <t>1609B03530-000</t>
  </si>
  <si>
    <t>1609B03532-000</t>
  </si>
  <si>
    <t>1609B03533-000</t>
  </si>
  <si>
    <t>1609B03535-000</t>
  </si>
  <si>
    <t>1609B03544-000</t>
  </si>
  <si>
    <t>1609B03566-000</t>
  </si>
  <si>
    <t>1609B03576-000</t>
  </si>
  <si>
    <t>1609B03590-000</t>
  </si>
  <si>
    <t>1609B03591-000</t>
  </si>
  <si>
    <t>1609B03592-000</t>
  </si>
  <si>
    <t>1609B03594-000</t>
  </si>
  <si>
    <t>1609B03598-000</t>
  </si>
  <si>
    <t>1609B03600-000</t>
  </si>
  <si>
    <t>1609B03601-000</t>
  </si>
  <si>
    <t>1609B03602-000</t>
  </si>
  <si>
    <t>1609B03604-000</t>
  </si>
  <si>
    <t>1609B03605-000</t>
  </si>
  <si>
    <t>1609B03607-000</t>
  </si>
  <si>
    <t>1609B03608-000</t>
  </si>
  <si>
    <t>1609B03610-000</t>
  </si>
  <si>
    <t>1609B03612-000</t>
  </si>
  <si>
    <t>1609B03614-000</t>
  </si>
  <si>
    <t>1609B03615-000</t>
  </si>
  <si>
    <t>1609B03616-000</t>
  </si>
  <si>
    <t>1609B03617-000</t>
  </si>
  <si>
    <t>1609B03618-000</t>
  </si>
  <si>
    <t>1609B03619-000</t>
  </si>
  <si>
    <t>1609B03622-000</t>
  </si>
  <si>
    <t>1609B03623-000</t>
  </si>
  <si>
    <t>1609B03624-000</t>
  </si>
  <si>
    <t>1609B03625-000</t>
  </si>
  <si>
    <t>1609B03626-000</t>
  </si>
  <si>
    <t>1609B03627-000</t>
  </si>
  <si>
    <t>1609B03628-000</t>
  </si>
  <si>
    <t>1609B03629-000</t>
  </si>
  <si>
    <t>1609B03630-000</t>
  </si>
  <si>
    <t>1609B03631-000</t>
  </si>
  <si>
    <t>1609B03637-000</t>
  </si>
  <si>
    <t>1609B03638-000</t>
  </si>
  <si>
    <t>1609B03639-000</t>
  </si>
  <si>
    <t>1609B03640-000</t>
  </si>
  <si>
    <t>1609B03641-000</t>
  </si>
  <si>
    <t>1609B03642-000</t>
  </si>
  <si>
    <t>1609B03644-000</t>
  </si>
  <si>
    <t>1609B03645-000</t>
  </si>
  <si>
    <t>1609B03667-000</t>
  </si>
  <si>
    <t>1609B03674-000</t>
  </si>
  <si>
    <t>1609B03675-000</t>
  </si>
  <si>
    <t>1609B03686-000</t>
  </si>
  <si>
    <t>1609B03691-000</t>
  </si>
  <si>
    <t>1609B03776-000</t>
  </si>
  <si>
    <t>1609B03777-000</t>
  </si>
  <si>
    <t>1609B03829-000</t>
  </si>
  <si>
    <t>1609B03863-000</t>
  </si>
  <si>
    <t>1609B03874-000</t>
  </si>
  <si>
    <t>1609B03886-000</t>
  </si>
  <si>
    <t>1609B03891-000</t>
  </si>
  <si>
    <t>1609B03913-000</t>
  </si>
  <si>
    <t>1609B03915-000</t>
  </si>
  <si>
    <t>1609B03916-000</t>
  </si>
  <si>
    <t>1609B03923-000</t>
  </si>
  <si>
    <t>1609B03929-000</t>
  </si>
  <si>
    <t>1609B03937-000</t>
  </si>
  <si>
    <t>1609B03944-000</t>
  </si>
  <si>
    <t>1609B03947-000</t>
  </si>
  <si>
    <t>1609B03948-000</t>
  </si>
  <si>
    <t>1609B03959-000</t>
  </si>
  <si>
    <t>1609B03960-000</t>
  </si>
  <si>
    <t>1609B03961-000</t>
  </si>
  <si>
    <t>1609B03963-000</t>
  </si>
  <si>
    <t>1609B03964-000</t>
  </si>
  <si>
    <t>1609B03965-000</t>
  </si>
  <si>
    <t>1609B03966-000</t>
  </si>
  <si>
    <t>1609B03967-000</t>
  </si>
  <si>
    <t>1609B03968-000</t>
  </si>
  <si>
    <t>1609B03969-000</t>
  </si>
  <si>
    <t>1609B03970-000</t>
  </si>
  <si>
    <t>1609B03971-000</t>
  </si>
  <si>
    <t>1609B03972-000</t>
  </si>
  <si>
    <t>1609B03973-000</t>
  </si>
  <si>
    <t>1609B03974-000</t>
  </si>
  <si>
    <t>1609B03975-000</t>
  </si>
  <si>
    <t>1609B03976-000</t>
  </si>
  <si>
    <t>1609B03978-000</t>
  </si>
  <si>
    <t>1609B03979-000</t>
  </si>
  <si>
    <t>1609B03981-000</t>
  </si>
  <si>
    <t>1609B03983-000</t>
  </si>
  <si>
    <t>1609B03984-000</t>
  </si>
  <si>
    <t>1609B03985-000</t>
  </si>
  <si>
    <t>1609B03986-000</t>
  </si>
  <si>
    <t>1609B03988-000</t>
  </si>
  <si>
    <t>1609B03990-000</t>
  </si>
  <si>
    <t>1609B03993-000</t>
  </si>
  <si>
    <t>1609B03994-000</t>
  </si>
  <si>
    <t>1609B03995-000</t>
  </si>
  <si>
    <t>1609B04082-000</t>
  </si>
  <si>
    <t>1609B04117-000</t>
  </si>
  <si>
    <t>1609B04225-000</t>
  </si>
  <si>
    <t>1609B04227-000</t>
  </si>
  <si>
    <t>1609B04278-000</t>
  </si>
  <si>
    <t>1609B04380-000</t>
  </si>
  <si>
    <t>1609B04411-000</t>
  </si>
  <si>
    <t>1609B04462-000</t>
  </si>
  <si>
    <t>1609B04463-000</t>
  </si>
  <si>
    <t>1609B04470-000</t>
  </si>
  <si>
    <t>1609B04471-000</t>
  </si>
  <si>
    <t>1609B04477-000</t>
  </si>
  <si>
    <t>1609B04479-000</t>
  </si>
  <si>
    <t>1609B04480-000</t>
  </si>
  <si>
    <t>1609B04481-000</t>
  </si>
  <si>
    <t>1609B04485-000</t>
  </si>
  <si>
    <t>1609B04486-000</t>
  </si>
  <si>
    <t>1609B04487-000</t>
  </si>
  <si>
    <t>1609B04488-000</t>
  </si>
  <si>
    <t>1609B04491-000</t>
  </si>
  <si>
    <t>1609B04492-000</t>
  </si>
  <si>
    <t>1609B04493-000</t>
  </si>
  <si>
    <t>1609B04494-000</t>
  </si>
  <si>
    <t>1609B04517-000</t>
  </si>
  <si>
    <t>1609B04519-000</t>
  </si>
  <si>
    <t>1609B04520-000</t>
  </si>
  <si>
    <t>1609B04522-000</t>
  </si>
  <si>
    <t>1609B04523-000</t>
  </si>
  <si>
    <t>1609B04524-000</t>
  </si>
  <si>
    <t>1609B04525-000</t>
  </si>
  <si>
    <t>1609B04528-000</t>
  </si>
  <si>
    <t>1609B04529-000</t>
  </si>
  <si>
    <t>1609B04530-000</t>
  </si>
  <si>
    <t>1609B04531-000</t>
  </si>
  <si>
    <t>1609B04533-000</t>
  </si>
  <si>
    <t>1609B04541-000</t>
  </si>
  <si>
    <t>1609B04551-000</t>
  </si>
  <si>
    <t>1609B04560-000</t>
  </si>
  <si>
    <t>1609B04562-000</t>
  </si>
  <si>
    <t>1609B04590-000</t>
  </si>
  <si>
    <t>1609B04626-000</t>
  </si>
  <si>
    <t>1609B04725-000</t>
  </si>
  <si>
    <t>1609B04809-000</t>
  </si>
  <si>
    <t>1609B04810-000</t>
  </si>
  <si>
    <t>1609B04811-000</t>
  </si>
  <si>
    <t>1609B04838-000</t>
  </si>
  <si>
    <t>1609B04865-000</t>
  </si>
  <si>
    <t>1609B04872-000</t>
  </si>
  <si>
    <t>1609B04876-000</t>
  </si>
  <si>
    <t>1609B04936-000</t>
  </si>
  <si>
    <t>1609B04954-000</t>
  </si>
  <si>
    <t>1609B04955-000</t>
  </si>
  <si>
    <t>1609B04959-000</t>
  </si>
  <si>
    <t>1609B05010-000</t>
  </si>
  <si>
    <t>1609B05017-000</t>
  </si>
  <si>
    <t>1609B05025-000</t>
  </si>
  <si>
    <t>1609B05115-000</t>
  </si>
  <si>
    <t>1609B05166-000</t>
  </si>
  <si>
    <t>1609B05179-000</t>
  </si>
  <si>
    <t>1609B05286-000</t>
  </si>
  <si>
    <t>1609B05390-000</t>
  </si>
  <si>
    <t>1609B05392-000</t>
  </si>
  <si>
    <t>1609B05657-000</t>
  </si>
  <si>
    <t>1609B05713-000</t>
  </si>
  <si>
    <t>1609B05715-000</t>
  </si>
  <si>
    <t>1609B05720-000</t>
  </si>
  <si>
    <t>1609B06200-000</t>
  </si>
  <si>
    <t>1609B06203-000</t>
  </si>
  <si>
    <t>1609B06214-000</t>
  </si>
  <si>
    <t>1609B06217-000</t>
  </si>
  <si>
    <t>1609B06223-000</t>
  </si>
  <si>
    <t>1609B06236-000</t>
  </si>
  <si>
    <t>1609B06246-000</t>
  </si>
  <si>
    <t>1609B06265-000</t>
  </si>
  <si>
    <t>1609B06284-000</t>
  </si>
  <si>
    <t>1609B06287-000</t>
  </si>
  <si>
    <t>1609B06333-000</t>
  </si>
  <si>
    <t>1609B06340-000</t>
  </si>
  <si>
    <t>1609B06341-000</t>
  </si>
  <si>
    <t>1609B06352-000</t>
  </si>
  <si>
    <t>1609B06362-000</t>
  </si>
  <si>
    <t>1609B06363-000</t>
  </si>
  <si>
    <t>1609B06368-000</t>
  </si>
  <si>
    <t>1609B06378-000</t>
  </si>
  <si>
    <t>1609B06380-000</t>
  </si>
  <si>
    <t>1609B06382-000</t>
  </si>
  <si>
    <t>1609B06383-000</t>
  </si>
  <si>
    <t>1609B06384-000</t>
  </si>
  <si>
    <t>1609B06385-000</t>
  </si>
  <si>
    <t>1609B06400-000</t>
  </si>
  <si>
    <t>1609B06405-000</t>
  </si>
  <si>
    <t>1609B06406-000</t>
  </si>
  <si>
    <t>1609B06410-000</t>
  </si>
  <si>
    <t>1609B06413-000</t>
  </si>
  <si>
    <t>1609B06415-000</t>
  </si>
  <si>
    <t>1609B06421-000</t>
  </si>
  <si>
    <t>1609B06423-000</t>
  </si>
  <si>
    <t>1609B06424-000</t>
  </si>
  <si>
    <t>1609B06426-000</t>
  </si>
  <si>
    <t>1609B06427-000</t>
  </si>
  <si>
    <t>1609B06429-000</t>
  </si>
  <si>
    <t>1609B06431-000</t>
  </si>
  <si>
    <t>1609B06433-000</t>
  </si>
  <si>
    <t>1609B06434-000</t>
  </si>
  <si>
    <t>1609B06435-000</t>
  </si>
  <si>
    <t>1609B06440-000</t>
  </si>
  <si>
    <t>1609B06441-000</t>
  </si>
  <si>
    <t>1609B06443-000</t>
  </si>
  <si>
    <t>1609B06444-000</t>
  </si>
  <si>
    <t>1609B06445-000</t>
  </si>
  <si>
    <t>1609B06446-000</t>
  </si>
  <si>
    <t>1609B06447-000</t>
  </si>
  <si>
    <t>1609B06448-000</t>
  </si>
  <si>
    <t>1609B06449-000</t>
  </si>
  <si>
    <t>1609B06455-000</t>
  </si>
  <si>
    <t>1609B06456-000</t>
  </si>
  <si>
    <t>1609B06457-000</t>
  </si>
  <si>
    <t>1609B06458-000</t>
  </si>
  <si>
    <t>1609B06459-000</t>
  </si>
  <si>
    <t>1609B06460-000</t>
  </si>
  <si>
    <t>1609B06462-000</t>
  </si>
  <si>
    <t>1609B06464-000</t>
  </si>
  <si>
    <t>1609B06468-000</t>
  </si>
  <si>
    <t>1609B06469-000</t>
  </si>
  <si>
    <t>1609B06471-000</t>
  </si>
  <si>
    <t>1609B06474-000</t>
  </si>
  <si>
    <t>1609B06478-000</t>
  </si>
  <si>
    <t>1609B06479-000</t>
  </si>
  <si>
    <t>1609B06480-000</t>
  </si>
  <si>
    <t>1609B06482-000</t>
  </si>
  <si>
    <t>1609B06483-000</t>
  </si>
  <si>
    <t>1609B06486-000</t>
  </si>
  <si>
    <t>1609B06487-000</t>
  </si>
  <si>
    <t>1609B06545-000</t>
  </si>
  <si>
    <t>1609B06547-000</t>
  </si>
  <si>
    <t>1609B06557-000</t>
  </si>
  <si>
    <t>1609B06560-000</t>
  </si>
  <si>
    <t>1609B06561-000</t>
  </si>
  <si>
    <t>1609B06589-000</t>
  </si>
  <si>
    <t>1609B06601-000</t>
  </si>
  <si>
    <t>1609B06685-000</t>
  </si>
  <si>
    <t>1609B06686-000</t>
  </si>
  <si>
    <t>1609B06687-000</t>
  </si>
  <si>
    <t>1609B06688-000</t>
  </si>
  <si>
    <t>1609B06689-000</t>
  </si>
  <si>
    <t>1609B06690-000</t>
  </si>
  <si>
    <t>1609B06691-000</t>
  </si>
  <si>
    <t>1609B06694-000</t>
  </si>
  <si>
    <t>1609B06697-000</t>
  </si>
  <si>
    <t>1609B06698-000</t>
  </si>
  <si>
    <t>1609B06699-000</t>
  </si>
  <si>
    <t>1609B06702-000</t>
  </si>
  <si>
    <t>1609B06704-000</t>
  </si>
  <si>
    <t>1609B06705-000</t>
  </si>
  <si>
    <t>1609B06706-000</t>
  </si>
  <si>
    <t>1609B06707-000</t>
  </si>
  <si>
    <t>1609B06708-000</t>
  </si>
  <si>
    <t>1609B06711-000</t>
  </si>
  <si>
    <t>1609B06715-000</t>
  </si>
  <si>
    <t>1609B06718-000</t>
  </si>
  <si>
    <t>1609B06720-000</t>
  </si>
  <si>
    <t>1609B06734-000</t>
  </si>
  <si>
    <t>1609B06743-000</t>
  </si>
  <si>
    <t>1609B06744-000</t>
  </si>
  <si>
    <t>1609B06747-000</t>
  </si>
  <si>
    <t>1609B06753-000</t>
  </si>
  <si>
    <t>1609B06754-000</t>
  </si>
  <si>
    <t>1609B06755-000</t>
  </si>
  <si>
    <t>1609B06756-000</t>
  </si>
  <si>
    <t>1609B06758-000</t>
  </si>
  <si>
    <t>1609B06759-000</t>
  </si>
  <si>
    <t>1609B06772-000</t>
  </si>
  <si>
    <t>1609B06781-000</t>
  </si>
  <si>
    <t>1609B06785-000</t>
  </si>
  <si>
    <t>1609B06801-000</t>
  </si>
  <si>
    <t>1609B06802-000</t>
  </si>
  <si>
    <t>1609B06807-000</t>
  </si>
  <si>
    <t>1609B06808-000</t>
  </si>
  <si>
    <t>1609B06809-000</t>
  </si>
  <si>
    <t>1609B06921-000</t>
  </si>
  <si>
    <t>1609BN0232-000</t>
  </si>
  <si>
    <t>1609BN0312-000</t>
  </si>
  <si>
    <t>1609BN0407-000</t>
  </si>
  <si>
    <t>1609BN0414-000</t>
  </si>
  <si>
    <t>1609BP7039-000</t>
  </si>
  <si>
    <t>1609BP7042-000</t>
  </si>
  <si>
    <t>1609BP7045-000</t>
  </si>
  <si>
    <t>1609BP7059-000</t>
  </si>
  <si>
    <t>1609BP7098-000</t>
  </si>
  <si>
    <t>1609BP7124-000</t>
  </si>
  <si>
    <t>1609BP7137-000</t>
  </si>
  <si>
    <t>1609BP7138-000</t>
  </si>
  <si>
    <t>1609BT4033-000</t>
  </si>
  <si>
    <t>1610005002-000</t>
  </si>
  <si>
    <t>1610009007-000</t>
  </si>
  <si>
    <t>1610009008-000</t>
  </si>
  <si>
    <t>1610021004-000</t>
  </si>
  <si>
    <t>1610021005-000</t>
  </si>
  <si>
    <t>1610021006-000</t>
  </si>
  <si>
    <t>1610026002-000</t>
  </si>
  <si>
    <t>1610026003-000</t>
  </si>
  <si>
    <t>1610026004-000</t>
  </si>
  <si>
    <t>1610031005-000</t>
  </si>
  <si>
    <t>1610099004-000</t>
  </si>
  <si>
    <t>1610099005-000</t>
  </si>
  <si>
    <t>1610099006-000</t>
  </si>
  <si>
    <t>1610099008-000</t>
  </si>
  <si>
    <t>1610099009-000</t>
  </si>
  <si>
    <t>1610099013-000</t>
  </si>
  <si>
    <t>1610099018-000</t>
  </si>
  <si>
    <t>1610099019-000</t>
  </si>
  <si>
    <t>1610100003-000</t>
  </si>
  <si>
    <t>1610100007-000</t>
  </si>
  <si>
    <t>1610100008-000</t>
  </si>
  <si>
    <t>1610100016-000</t>
  </si>
  <si>
    <t>1610100021-000</t>
  </si>
  <si>
    <t>1610100023-000</t>
  </si>
  <si>
    <t>1610100602-000</t>
  </si>
  <si>
    <t>1610100604-000</t>
  </si>
  <si>
    <t>1610100605-000</t>
  </si>
  <si>
    <t>1610100608-000</t>
  </si>
  <si>
    <t>1610100612-000</t>
  </si>
  <si>
    <t>1610101008-000</t>
  </si>
  <si>
    <t>1610101011-000</t>
  </si>
  <si>
    <t>1610101014-000</t>
  </si>
  <si>
    <t>1610101015-000</t>
  </si>
  <si>
    <t>1610101018-000</t>
  </si>
  <si>
    <t>1610101020-000</t>
  </si>
  <si>
    <t>1610101023-000</t>
  </si>
  <si>
    <t>1610101024-000</t>
  </si>
  <si>
    <t>1610101603-000</t>
  </si>
  <si>
    <t>1610101607-000</t>
  </si>
  <si>
    <t>1610101608-000</t>
  </si>
  <si>
    <t>1610101609-000</t>
  </si>
  <si>
    <t>1610101616-000</t>
  </si>
  <si>
    <t>1610101617-000</t>
  </si>
  <si>
    <t>1610101618-000</t>
  </si>
  <si>
    <t>1610101621-000</t>
  </si>
  <si>
    <t>1610101622-000</t>
  </si>
  <si>
    <t>1610101626-000</t>
  </si>
  <si>
    <t>1610101627-000</t>
  </si>
  <si>
    <t>1610101629-000</t>
  </si>
  <si>
    <t>1610102010-000</t>
  </si>
  <si>
    <t>1610102013-000</t>
  </si>
  <si>
    <t>1610102017-000</t>
  </si>
  <si>
    <t>1610102022-000</t>
  </si>
  <si>
    <t>1610102025-000</t>
  </si>
  <si>
    <t>1610102026-000</t>
  </si>
  <si>
    <t>1610102029-000</t>
  </si>
  <si>
    <t>1610102030-000</t>
  </si>
  <si>
    <t>1610102032-000</t>
  </si>
  <si>
    <t>1610102036-000</t>
  </si>
  <si>
    <t>1610102037-000</t>
  </si>
  <si>
    <t>1610102045-000</t>
  </si>
  <si>
    <t>1610102046-000</t>
  </si>
  <si>
    <t>1610102047-000</t>
  </si>
  <si>
    <t>1610102048-000</t>
  </si>
  <si>
    <t>1610102049-000</t>
  </si>
  <si>
    <t>1610102051-000</t>
  </si>
  <si>
    <t>1610102052-000</t>
  </si>
  <si>
    <t>1610102053-000</t>
  </si>
  <si>
    <t>1610102054-000</t>
  </si>
  <si>
    <t>1610102056-000</t>
  </si>
  <si>
    <t>1610102057-000</t>
  </si>
  <si>
    <t>1610102058-000</t>
  </si>
  <si>
    <t>1610102059-000</t>
  </si>
  <si>
    <t>1610102072-000</t>
  </si>
  <si>
    <t>1610102073-000</t>
  </si>
  <si>
    <t>1610102079-000</t>
  </si>
  <si>
    <t>1610102080-000</t>
  </si>
  <si>
    <t>1610102081-000</t>
  </si>
  <si>
    <t>1610102082-000</t>
  </si>
  <si>
    <t>1610102084-000</t>
  </si>
  <si>
    <t>1610102086-000</t>
  </si>
  <si>
    <t>1610102087-000</t>
  </si>
  <si>
    <t>1610102089-000</t>
  </si>
  <si>
    <t>1610102090-000</t>
  </si>
  <si>
    <t>1610102092-000</t>
  </si>
  <si>
    <t>1610102094-000</t>
  </si>
  <si>
    <t>1610102095-000</t>
  </si>
  <si>
    <t>1610102096-000</t>
  </si>
  <si>
    <t>1610102614-000</t>
  </si>
  <si>
    <t>1610102615-000</t>
  </si>
  <si>
    <t>1610102616-000</t>
  </si>
  <si>
    <t>1610102617-000</t>
  </si>
  <si>
    <t>1610102618-000</t>
  </si>
  <si>
    <t>1610102622-000</t>
  </si>
  <si>
    <t>1610102623-000</t>
  </si>
  <si>
    <t>1610102627-000</t>
  </si>
  <si>
    <t>1610102630-000</t>
  </si>
  <si>
    <t>1610102634-000</t>
  </si>
  <si>
    <t>1610102635-000</t>
  </si>
  <si>
    <t>1610102637-000</t>
  </si>
  <si>
    <t>1610102638-000</t>
  </si>
  <si>
    <t>1610103019-000</t>
  </si>
  <si>
    <t>1610103021-000</t>
  </si>
  <si>
    <t>1610103025-000</t>
  </si>
  <si>
    <t>1610103026-000</t>
  </si>
  <si>
    <t>1610103027-000</t>
  </si>
  <si>
    <t>1610108012-000</t>
  </si>
  <si>
    <t>1610108013-000</t>
  </si>
  <si>
    <t>1610108014-000</t>
  </si>
  <si>
    <t>1610108020-000</t>
  </si>
  <si>
    <t>1610108021-000</t>
  </si>
  <si>
    <t>1610109017-000</t>
  </si>
  <si>
    <t>1610109019-000</t>
  </si>
  <si>
    <t>1610113005-000</t>
  </si>
  <si>
    <t>1610113012-000</t>
  </si>
  <si>
    <t>1610114015-000</t>
  </si>
  <si>
    <t>1610114020-000</t>
  </si>
  <si>
    <t>1610115001-000</t>
  </si>
  <si>
    <t>1610116003-000</t>
  </si>
  <si>
    <t>1610116004-000</t>
  </si>
  <si>
    <t>1610116007-000</t>
  </si>
  <si>
    <t>1610119004-000</t>
  </si>
  <si>
    <t>1610119007-000</t>
  </si>
  <si>
    <t>1610119008-000</t>
  </si>
  <si>
    <t>1610119009-000</t>
  </si>
  <si>
    <t>1610119010-000</t>
  </si>
  <si>
    <t>1610119011-000</t>
  </si>
  <si>
    <t>1610119012-000</t>
  </si>
  <si>
    <t>1610134005-000</t>
  </si>
  <si>
    <t>1610134006-000</t>
  </si>
  <si>
    <t>1610134007-000</t>
  </si>
  <si>
    <t>1610147008-000</t>
  </si>
  <si>
    <t>1610151007-000</t>
  </si>
  <si>
    <t>1610190010-000</t>
  </si>
  <si>
    <t>1610190011-000</t>
  </si>
  <si>
    <t>1610190016-000</t>
  </si>
  <si>
    <t>1610190018-000</t>
  </si>
  <si>
    <t>1610190019-000</t>
  </si>
  <si>
    <t>1610190020-000</t>
  </si>
  <si>
    <t>1610190021-000</t>
  </si>
  <si>
    <t>1610190022-000</t>
  </si>
  <si>
    <t>1610190023-000</t>
  </si>
  <si>
    <t>1610190024-000</t>
  </si>
  <si>
    <t>1610190026-000</t>
  </si>
  <si>
    <t>1610190027-000</t>
  </si>
  <si>
    <t>1610190028-000</t>
  </si>
  <si>
    <t>1610190029-000</t>
  </si>
  <si>
    <t>1610190030-000</t>
  </si>
  <si>
    <t>1610190033-000</t>
  </si>
  <si>
    <t>1610190038-000</t>
  </si>
  <si>
    <t>1610190040-000</t>
  </si>
  <si>
    <t>1610190045-000</t>
  </si>
  <si>
    <t>1610190046-000</t>
  </si>
  <si>
    <t>1610190048-000</t>
  </si>
  <si>
    <t>1610190049-000</t>
  </si>
  <si>
    <t>1610190053-000</t>
  </si>
  <si>
    <t>1610190054-000</t>
  </si>
  <si>
    <t>1610190055-000</t>
  </si>
  <si>
    <t>1610190058-000</t>
  </si>
  <si>
    <t>1610190060-000</t>
  </si>
  <si>
    <t>1610190065-000</t>
  </si>
  <si>
    <t>1610190066-000</t>
  </si>
  <si>
    <t>1610190067-000</t>
  </si>
  <si>
    <t>1610190069-000</t>
  </si>
  <si>
    <t>1610190071-000</t>
  </si>
  <si>
    <t>1610190073-000</t>
  </si>
  <si>
    <t>1610190078-000</t>
  </si>
  <si>
    <t>1610190079-000</t>
  </si>
  <si>
    <t>1610190080-000</t>
  </si>
  <si>
    <t>1610200014-000</t>
  </si>
  <si>
    <t>1610200018-000</t>
  </si>
  <si>
    <t>1610200020-000</t>
  </si>
  <si>
    <t>1610200025-000</t>
  </si>
  <si>
    <t>1610200027-000</t>
  </si>
  <si>
    <t>1610200028-000</t>
  </si>
  <si>
    <t>1610200029-000</t>
  </si>
  <si>
    <t>1610200032-000</t>
  </si>
  <si>
    <t>1610202012-000</t>
  </si>
  <si>
    <t>1610202014-000</t>
  </si>
  <si>
    <t>1610202015-000</t>
  </si>
  <si>
    <t>1610202016-000</t>
  </si>
  <si>
    <t>1610202018-000</t>
  </si>
  <si>
    <t>1610202020-000</t>
  </si>
  <si>
    <t>1610202021-000</t>
  </si>
  <si>
    <t>1610202024-000</t>
  </si>
  <si>
    <t>1610202026-000</t>
  </si>
  <si>
    <t>1610202031-000</t>
  </si>
  <si>
    <t>1610205002-000</t>
  </si>
  <si>
    <t>1610205006-000</t>
  </si>
  <si>
    <t>1610205008-000</t>
  </si>
  <si>
    <t>1610205012-000</t>
  </si>
  <si>
    <t>1610205014-000</t>
  </si>
  <si>
    <t>1610205016-000</t>
  </si>
  <si>
    <t>1610206016-000</t>
  </si>
  <si>
    <t>1610206017-000</t>
  </si>
  <si>
    <t>1610206021-000</t>
  </si>
  <si>
    <t>1610206023-000</t>
  </si>
  <si>
    <t>1610206027-000</t>
  </si>
  <si>
    <t>1610206028-000</t>
  </si>
  <si>
    <t>1610209006-000</t>
  </si>
  <si>
    <t>1610209007-000</t>
  </si>
  <si>
    <t>1610209008-000</t>
  </si>
  <si>
    <t>1610209009-000</t>
  </si>
  <si>
    <t>1610209011-000</t>
  </si>
  <si>
    <t>1610209015-000</t>
  </si>
  <si>
    <t>1610209016-000</t>
  </si>
  <si>
    <t>1610209017-000</t>
  </si>
  <si>
    <t>1610210008-000</t>
  </si>
  <si>
    <t>1610210013-000</t>
  </si>
  <si>
    <t>1610210014-000</t>
  </si>
  <si>
    <t>1610210026-000</t>
  </si>
  <si>
    <t>1610210034-000</t>
  </si>
  <si>
    <t>1610210035-000</t>
  </si>
  <si>
    <t>1610210036-000</t>
  </si>
  <si>
    <t>1610210041-000</t>
  </si>
  <si>
    <t>1610210042-000</t>
  </si>
  <si>
    <t>1610210043-000</t>
  </si>
  <si>
    <t>1610210045-000</t>
  </si>
  <si>
    <t>1610210046-000</t>
  </si>
  <si>
    <t>1610210057-000</t>
  </si>
  <si>
    <t>1610210058-000</t>
  </si>
  <si>
    <t>1610210067-000</t>
  </si>
  <si>
    <t>1610210068-000</t>
  </si>
  <si>
    <t>1610210069-000</t>
  </si>
  <si>
    <t>1610210073-000</t>
  </si>
  <si>
    <t>1610210075-000</t>
  </si>
  <si>
    <t>1610210081-000</t>
  </si>
  <si>
    <t>1610210082-000</t>
  </si>
  <si>
    <t>1610210084-000</t>
  </si>
  <si>
    <t>1610210086-000</t>
  </si>
  <si>
    <t>1610210087-000</t>
  </si>
  <si>
    <t>1610210089-000</t>
  </si>
  <si>
    <t>1610210090-000</t>
  </si>
  <si>
    <t>1610210092-000</t>
  </si>
  <si>
    <t>1610210093-000</t>
  </si>
  <si>
    <t>1610210094-000</t>
  </si>
  <si>
    <t>1610210096-000</t>
  </si>
  <si>
    <t>1610210098-000</t>
  </si>
  <si>
    <t>1610210099-000</t>
  </si>
  <si>
    <t>1610210100-000</t>
  </si>
  <si>
    <t>1610210101-000</t>
  </si>
  <si>
    <t>1610210103-000</t>
  </si>
  <si>
    <t>1610210106-000</t>
  </si>
  <si>
    <t>1610210109-000</t>
  </si>
  <si>
    <t>1610210116-000</t>
  </si>
  <si>
    <t>1610210118-000</t>
  </si>
  <si>
    <t>1610210119-000</t>
  </si>
  <si>
    <t>1610210123-000</t>
  </si>
  <si>
    <t>1610210125-000</t>
  </si>
  <si>
    <t>1610210127-000</t>
  </si>
  <si>
    <t>1610210129-000</t>
  </si>
  <si>
    <t>1610210130-000</t>
  </si>
  <si>
    <t>1610210132-000</t>
  </si>
  <si>
    <t>1610210133-000</t>
  </si>
  <si>
    <t>1610210134-000</t>
  </si>
  <si>
    <t>1610210138-000</t>
  </si>
  <si>
    <t>1610210139-000</t>
  </si>
  <si>
    <t>1610210140-000</t>
  </si>
  <si>
    <t>1610210141-000</t>
  </si>
  <si>
    <t>1610210142-000</t>
  </si>
  <si>
    <t>1610210145-000</t>
  </si>
  <si>
    <t>1610210146-000</t>
  </si>
  <si>
    <t>1610210147-000</t>
  </si>
  <si>
    <t>1610210148-000</t>
  </si>
  <si>
    <t>1610210149-000</t>
  </si>
  <si>
    <t>1610210155-000</t>
  </si>
  <si>
    <t>1610210156-000</t>
  </si>
  <si>
    <t>1610210157-000</t>
  </si>
  <si>
    <t>1610210159-000</t>
  </si>
  <si>
    <t>1610210160-000</t>
  </si>
  <si>
    <t>1610210161-000</t>
  </si>
  <si>
    <t>1610210163-000</t>
  </si>
  <si>
    <t>1610210172-000</t>
  </si>
  <si>
    <t>1610210173-000</t>
  </si>
  <si>
    <t>1610210174-000</t>
  </si>
  <si>
    <t>1610210177-000</t>
  </si>
  <si>
    <t>1610210184-000</t>
  </si>
  <si>
    <t>1610210185-000</t>
  </si>
  <si>
    <t>1610210191-000</t>
  </si>
  <si>
    <t>1610210192-000</t>
  </si>
  <si>
    <t>1610210193-000</t>
  </si>
  <si>
    <t>1610210194-000</t>
  </si>
  <si>
    <t>1610210196-000</t>
  </si>
  <si>
    <t>1610210198-000</t>
  </si>
  <si>
    <t>1610210199-000</t>
  </si>
  <si>
    <t>1610210202-000</t>
  </si>
  <si>
    <t>1610210205-000</t>
  </si>
  <si>
    <t>1610210206-000</t>
  </si>
  <si>
    <t>1610210207-000</t>
  </si>
  <si>
    <t>1610210208-000</t>
  </si>
  <si>
    <t>1610210209-000</t>
  </si>
  <si>
    <t>1610210211-000</t>
  </si>
  <si>
    <t>1610210212-000</t>
  </si>
  <si>
    <t>1610210214-000</t>
  </si>
  <si>
    <t>1610210215-000</t>
  </si>
  <si>
    <t>1610210216-000</t>
  </si>
  <si>
    <t>1610210219-000</t>
  </si>
  <si>
    <t>1610210222-000</t>
  </si>
  <si>
    <t>1610210224-000</t>
  </si>
  <si>
    <t>1610210226-000</t>
  </si>
  <si>
    <t>1610210227-000</t>
  </si>
  <si>
    <t>1610210228-000</t>
  </si>
  <si>
    <t>1610210229-000</t>
  </si>
  <si>
    <t>1610210233-000</t>
  </si>
  <si>
    <t>1610210236-000</t>
  </si>
  <si>
    <t>1610210237-000</t>
  </si>
  <si>
    <t>1610210238-000</t>
  </si>
  <si>
    <t>1610210239-000</t>
  </si>
  <si>
    <t>1610210240-000</t>
  </si>
  <si>
    <t>1610210241-000</t>
  </si>
  <si>
    <t>1610210242-000</t>
  </si>
  <si>
    <t>1610210244-000</t>
  </si>
  <si>
    <t>1610210245-000</t>
  </si>
  <si>
    <t>1610210246-000</t>
  </si>
  <si>
    <t>1610211019-000</t>
  </si>
  <si>
    <t>1610220009-000</t>
  </si>
  <si>
    <t>1610221001-000</t>
  </si>
  <si>
    <t>1610222008-000</t>
  </si>
  <si>
    <t>1610222010-000</t>
  </si>
  <si>
    <t>1610224001-000</t>
  </si>
  <si>
    <t>1610224005-000</t>
  </si>
  <si>
    <t>1610224006-000</t>
  </si>
  <si>
    <t>1610224009-000</t>
  </si>
  <si>
    <t>1610224010-000</t>
  </si>
  <si>
    <t>1610224011-000</t>
  </si>
  <si>
    <t>1610224012-000</t>
  </si>
  <si>
    <t>1610224013-000</t>
  </si>
  <si>
    <t>1610224015-000</t>
  </si>
  <si>
    <t>1610231000-000</t>
  </si>
  <si>
    <t>1610231001-000</t>
  </si>
  <si>
    <t>1610231004-000</t>
  </si>
  <si>
    <t>1610241000-000</t>
  </si>
  <si>
    <t>1610250007-000</t>
  </si>
  <si>
    <t>1610250010-000</t>
  </si>
  <si>
    <t>1610251001-000</t>
  </si>
  <si>
    <t>1610251006-000</t>
  </si>
  <si>
    <t>1610280006-000</t>
  </si>
  <si>
    <t>1610283004-000</t>
  </si>
  <si>
    <t>1610283012-000</t>
  </si>
  <si>
    <t>1610283013-000</t>
  </si>
  <si>
    <t>1610283014-000</t>
  </si>
  <si>
    <t>1610283017-000</t>
  </si>
  <si>
    <t>1610283019-000</t>
  </si>
  <si>
    <t>1610283020-000</t>
  </si>
  <si>
    <t>1610283023-000</t>
  </si>
  <si>
    <t>1610283024-000</t>
  </si>
  <si>
    <t>1610283025-000</t>
  </si>
  <si>
    <t>1610283026-000</t>
  </si>
  <si>
    <t>1610283027-000</t>
  </si>
  <si>
    <t>1610283028-000</t>
  </si>
  <si>
    <t>1610283030-000</t>
  </si>
  <si>
    <t>1610283031-000</t>
  </si>
  <si>
    <t>1610283032-000</t>
  </si>
  <si>
    <t>1610283033-000</t>
  </si>
  <si>
    <t>1610283035-000</t>
  </si>
  <si>
    <t>1610283036-000</t>
  </si>
  <si>
    <t>1610283039-000</t>
  </si>
  <si>
    <t>1610283041-000</t>
  </si>
  <si>
    <t>1610283042-000</t>
  </si>
  <si>
    <t>1610283043-000</t>
  </si>
  <si>
    <t>1610283045-000</t>
  </si>
  <si>
    <t>1610283047-000</t>
  </si>
  <si>
    <t>1610283052-000</t>
  </si>
  <si>
    <t>1610284000-000</t>
  </si>
  <si>
    <t>1610284001-000</t>
  </si>
  <si>
    <t>1610284002-000</t>
  </si>
  <si>
    <t>1610284007-000</t>
  </si>
  <si>
    <t>1610284012-000</t>
  </si>
  <si>
    <t>1610284013-000</t>
  </si>
  <si>
    <t>1610290003-000</t>
  </si>
  <si>
    <t>1610290008-000</t>
  </si>
  <si>
    <t>1610290009-000</t>
  </si>
  <si>
    <t>1610290012-000</t>
  </si>
  <si>
    <t>1610290015-000</t>
  </si>
  <si>
    <t>1610290016-000</t>
  </si>
  <si>
    <t>1610290024-000</t>
  </si>
  <si>
    <t>1610290025-000</t>
  </si>
  <si>
    <t>1610290026-000</t>
  </si>
  <si>
    <t>1610290027-000</t>
  </si>
  <si>
    <t>1610290030-000</t>
  </si>
  <si>
    <t>1610290031-000</t>
  </si>
  <si>
    <t>1610290032-000</t>
  </si>
  <si>
    <t>1610290034-000</t>
  </si>
  <si>
    <t>1610290035-000</t>
  </si>
  <si>
    <t>1610290036-000</t>
  </si>
  <si>
    <t>1610290037-000</t>
  </si>
  <si>
    <t>1610290043-000</t>
  </si>
  <si>
    <t>1610290046-000</t>
  </si>
  <si>
    <t>1610290049-000</t>
  </si>
  <si>
    <t>1610290050-000</t>
  </si>
  <si>
    <t>1610290051-000</t>
  </si>
  <si>
    <t>1610290052-000</t>
  </si>
  <si>
    <t>1610290057-000</t>
  </si>
  <si>
    <t>1610290059-000</t>
  </si>
  <si>
    <t>1610290061-000</t>
  </si>
  <si>
    <t>1610290062-000</t>
  </si>
  <si>
    <t>1610290064-000</t>
  </si>
  <si>
    <t>1610290066-000</t>
  </si>
  <si>
    <t>1610290068-000</t>
  </si>
  <si>
    <t>1610290071-000</t>
  </si>
  <si>
    <t>1610290078-000</t>
  </si>
  <si>
    <t>1610290079-000</t>
  </si>
  <si>
    <t>1610290081-000</t>
  </si>
  <si>
    <t>1610290084-000</t>
  </si>
  <si>
    <t>1610290085-000</t>
  </si>
  <si>
    <t>1610290089-000</t>
  </si>
  <si>
    <t>1610290090-000</t>
  </si>
  <si>
    <t>1610290092-000</t>
  </si>
  <si>
    <t>1610290093-000</t>
  </si>
  <si>
    <t>1610290094-000</t>
  </si>
  <si>
    <t>1610290095-000</t>
  </si>
  <si>
    <t>1610290096-000</t>
  </si>
  <si>
    <t>1610290098-000</t>
  </si>
  <si>
    <t>1610290099-000</t>
  </si>
  <si>
    <t>1610290101-000</t>
  </si>
  <si>
    <t>1610290102-000</t>
  </si>
  <si>
    <t>1610290103-000</t>
  </si>
  <si>
    <t>1610290104-000</t>
  </si>
  <si>
    <t>1610290105-000</t>
  </si>
  <si>
    <t>1610290106-000</t>
  </si>
  <si>
    <t>1610290108-000</t>
  </si>
  <si>
    <t>1610290109-000</t>
  </si>
  <si>
    <t>1610290110-000</t>
  </si>
  <si>
    <t>1610290111-000</t>
  </si>
  <si>
    <t>1610290112-000</t>
  </si>
  <si>
    <t>1610290113-000</t>
  </si>
  <si>
    <t>1610290115-000</t>
  </si>
  <si>
    <t>1610290116-000</t>
  </si>
  <si>
    <t>1610290118-000</t>
  </si>
  <si>
    <t>1610290119-000</t>
  </si>
  <si>
    <t>1610290122-000</t>
  </si>
  <si>
    <t>1610290123-000</t>
  </si>
  <si>
    <t>1610290124-000</t>
  </si>
  <si>
    <t>1610290125-000</t>
  </si>
  <si>
    <t>1610290128-000</t>
  </si>
  <si>
    <t>1610290129-000</t>
  </si>
  <si>
    <t>161029012A-000</t>
  </si>
  <si>
    <t>1610290226-000</t>
  </si>
  <si>
    <t>1610300033-000</t>
  </si>
  <si>
    <t>1610300034-000</t>
  </si>
  <si>
    <t>1610300043-000</t>
  </si>
  <si>
    <t>1610300046-000</t>
  </si>
  <si>
    <t>1610300058-000</t>
  </si>
  <si>
    <t>1610300060-000</t>
  </si>
  <si>
    <t>1610300063-000</t>
  </si>
  <si>
    <t>1610300064-000</t>
  </si>
  <si>
    <t>1610300067-000</t>
  </si>
  <si>
    <t>1610300076-000</t>
  </si>
  <si>
    <t>1610300079-000</t>
  </si>
  <si>
    <t>1610300080-000</t>
  </si>
  <si>
    <t>1610300082-000</t>
  </si>
  <si>
    <t>1610300086-000</t>
  </si>
  <si>
    <t>1610301000-000</t>
  </si>
  <si>
    <t>1610301004-000</t>
  </si>
  <si>
    <t>1610301007-000</t>
  </si>
  <si>
    <t>1610311016-000</t>
  </si>
  <si>
    <t>1610311017-000</t>
  </si>
  <si>
    <t>1610311018-000</t>
  </si>
  <si>
    <t>1610311019-000</t>
  </si>
  <si>
    <t>1610312003-000</t>
  </si>
  <si>
    <t>1610312004-000</t>
  </si>
  <si>
    <t>1610314003-000</t>
  </si>
  <si>
    <t>1610314004-000</t>
  </si>
  <si>
    <t>1610314005-000</t>
  </si>
  <si>
    <t>1610314006-000</t>
  </si>
  <si>
    <t>1610320015-000</t>
  </si>
  <si>
    <t>1610322007-000</t>
  </si>
  <si>
    <t>1610322009-000</t>
  </si>
  <si>
    <t>1610322014-000</t>
  </si>
  <si>
    <t>1610322017-000</t>
  </si>
  <si>
    <t>1610322018-000</t>
  </si>
  <si>
    <t>1610322019-000</t>
  </si>
  <si>
    <t>1610328010-000</t>
  </si>
  <si>
    <t>1610328011-000</t>
  </si>
  <si>
    <t>1610328013-000</t>
  </si>
  <si>
    <t>1610328016-000</t>
  </si>
  <si>
    <t>1610328018-000</t>
  </si>
  <si>
    <t>1610390007-000</t>
  </si>
  <si>
    <t>1610390011-000</t>
  </si>
  <si>
    <t>1610390014-000</t>
  </si>
  <si>
    <t>1610390015-000</t>
  </si>
  <si>
    <t>1610390016-000</t>
  </si>
  <si>
    <t>1610390022-000</t>
  </si>
  <si>
    <t>1610390025-000</t>
  </si>
  <si>
    <t>1610390026-000</t>
  </si>
  <si>
    <t>1610390027-000</t>
  </si>
  <si>
    <t>1610390028-000</t>
  </si>
  <si>
    <t>1610390029-000</t>
  </si>
  <si>
    <t>1610390030-000</t>
  </si>
  <si>
    <t>1610390032-000</t>
  </si>
  <si>
    <t>1610390038-000</t>
  </si>
  <si>
    <t>1610390043-000</t>
  </si>
  <si>
    <t>1610390053-000</t>
  </si>
  <si>
    <t>1610390056-000</t>
  </si>
  <si>
    <t>1610390066-000</t>
  </si>
  <si>
    <t>1610390068-000</t>
  </si>
  <si>
    <t>1610390069-000</t>
  </si>
  <si>
    <t>1610400022-000</t>
  </si>
  <si>
    <t>1610400029-000</t>
  </si>
  <si>
    <t>1610400030-000</t>
  </si>
  <si>
    <t>1610400039-000</t>
  </si>
  <si>
    <t>1610415003-000</t>
  </si>
  <si>
    <t>1610415004-000</t>
  </si>
  <si>
    <t>1610415005-000</t>
  </si>
  <si>
    <t>1610420004-000</t>
  </si>
  <si>
    <t>1610420005-000</t>
  </si>
  <si>
    <t>1610420006-000</t>
  </si>
  <si>
    <t>1610422012-000</t>
  </si>
  <si>
    <t>1610422017-000</t>
  </si>
  <si>
    <t>1610422021-000</t>
  </si>
  <si>
    <t>1610499008-000</t>
  </si>
  <si>
    <t>1610499010-000</t>
  </si>
  <si>
    <t>1610499012-000</t>
  </si>
  <si>
    <t>1610499015-000</t>
  </si>
  <si>
    <t>1610499016-000</t>
  </si>
  <si>
    <t>1610499022-000</t>
  </si>
  <si>
    <t>1610499025-000</t>
  </si>
  <si>
    <t>1610499027-000</t>
  </si>
  <si>
    <t>1610499032-000</t>
  </si>
  <si>
    <t>1610499042-000</t>
  </si>
  <si>
    <t>1610499054-000</t>
  </si>
  <si>
    <t>1610499059-000</t>
  </si>
  <si>
    <t>1610499064-000</t>
  </si>
  <si>
    <t>1610499067-000</t>
  </si>
  <si>
    <t>1610499069-000</t>
  </si>
  <si>
    <t>1610499070-000</t>
  </si>
  <si>
    <t>1610499073-000</t>
  </si>
  <si>
    <t>1610499076-000</t>
  </si>
  <si>
    <t>1610499078-000</t>
  </si>
  <si>
    <t>1610499080-000</t>
  </si>
  <si>
    <t>1610500004-000</t>
  </si>
  <si>
    <t>1610500013-000</t>
  </si>
  <si>
    <t>1610500016-000</t>
  </si>
  <si>
    <t>1610500021-000</t>
  </si>
  <si>
    <t>1610500023-000</t>
  </si>
  <si>
    <t>1610500024-000</t>
  </si>
  <si>
    <t>1610500025-000</t>
  </si>
  <si>
    <t>1610500026-000</t>
  </si>
  <si>
    <t>1610501031-000</t>
  </si>
  <si>
    <t>1610501036-000</t>
  </si>
  <si>
    <t>1610502011-000</t>
  </si>
  <si>
    <t>1610502012-000</t>
  </si>
  <si>
    <t>1610506013-000</t>
  </si>
  <si>
    <t>1610506015-000</t>
  </si>
  <si>
    <t>1610506019-000</t>
  </si>
  <si>
    <t>1610508006-000</t>
  </si>
  <si>
    <t>1610508008-000</t>
  </si>
  <si>
    <t>1610508017-000</t>
  </si>
  <si>
    <t>1610508021-000</t>
  </si>
  <si>
    <t>1610508023-000</t>
  </si>
  <si>
    <t>1610508027-000</t>
  </si>
  <si>
    <t>1610508029-000</t>
  </si>
  <si>
    <t>1610508030-000</t>
  </si>
  <si>
    <t>1610508034-000</t>
  </si>
  <si>
    <t>1610508035-000</t>
  </si>
  <si>
    <t>1610508039-000</t>
  </si>
  <si>
    <t>1610508050-000</t>
  </si>
  <si>
    <t>1610508051-000</t>
  </si>
  <si>
    <t>1610508052-000</t>
  </si>
  <si>
    <t>1610508054-000</t>
  </si>
  <si>
    <t>1610508057-000</t>
  </si>
  <si>
    <t>1610508058-000</t>
  </si>
  <si>
    <t>1610516007-000</t>
  </si>
  <si>
    <t>1610516010-000</t>
  </si>
  <si>
    <t>1610516013-000</t>
  </si>
  <si>
    <t>1610516015-000</t>
  </si>
  <si>
    <t>1610516016-000</t>
  </si>
  <si>
    <t>1610516017-000</t>
  </si>
  <si>
    <t>1610520001-000</t>
  </si>
  <si>
    <t>1610520003-000</t>
  </si>
  <si>
    <t>1610520005-000</t>
  </si>
  <si>
    <t>1610520006-000</t>
  </si>
  <si>
    <t>1610520007-000</t>
  </si>
  <si>
    <t>1610521011-000</t>
  </si>
  <si>
    <t>1610522005-000</t>
  </si>
  <si>
    <t>1610522008-000</t>
  </si>
  <si>
    <t>1610522009-000</t>
  </si>
  <si>
    <t>1610522012-000</t>
  </si>
  <si>
    <t>1610522013-000</t>
  </si>
  <si>
    <t>1610522015-000</t>
  </si>
  <si>
    <t>1610590002-000</t>
  </si>
  <si>
    <t>1610590004-000</t>
  </si>
  <si>
    <t>1610590006-000</t>
  </si>
  <si>
    <t>1610590016-000</t>
  </si>
  <si>
    <t>1610590018-000</t>
  </si>
  <si>
    <t>1610590019-000</t>
  </si>
  <si>
    <t>1610590020-000</t>
  </si>
  <si>
    <t>1610591001-000</t>
  </si>
  <si>
    <t>1610591008-000</t>
  </si>
  <si>
    <t>1610591009-000</t>
  </si>
  <si>
    <t>1610591011-000</t>
  </si>
  <si>
    <t>1610591012-000</t>
  </si>
  <si>
    <t>1610591013-000</t>
  </si>
  <si>
    <t>1610591014-000</t>
  </si>
  <si>
    <t>1610591015-000</t>
  </si>
  <si>
    <t>1610591017-000</t>
  </si>
  <si>
    <t>1610591021-000</t>
  </si>
  <si>
    <t>1610591022-000</t>
  </si>
  <si>
    <t>1610591023-000</t>
  </si>
  <si>
    <t>1610591027-000</t>
  </si>
  <si>
    <t>1610591028-000</t>
  </si>
  <si>
    <t>1610591030-000</t>
  </si>
  <si>
    <t>1610591039-000</t>
  </si>
  <si>
    <t>1610591042-000</t>
  </si>
  <si>
    <t>1610591043-000</t>
  </si>
  <si>
    <t>1610591045-000</t>
  </si>
  <si>
    <t>1610591046-000</t>
  </si>
  <si>
    <t>1610591047-000</t>
  </si>
  <si>
    <t>1610591048-000</t>
  </si>
  <si>
    <t>1610591052-000</t>
  </si>
  <si>
    <t>1610591053-000</t>
  </si>
  <si>
    <t>1610591054-000</t>
  </si>
  <si>
    <t>1610703011-000</t>
  </si>
  <si>
    <t>1610703019-000</t>
  </si>
  <si>
    <t>1610703054-000</t>
  </si>
  <si>
    <t>1610703055-000</t>
  </si>
  <si>
    <t>1610703056-000</t>
  </si>
  <si>
    <t>1610703057-000</t>
  </si>
  <si>
    <t>1610707000-000</t>
  </si>
  <si>
    <t>1610900013-000</t>
  </si>
  <si>
    <t>1610900015-000</t>
  </si>
  <si>
    <t>1610900023-000</t>
  </si>
  <si>
    <t>1610900025-000</t>
  </si>
  <si>
    <t>1610900026-000</t>
  </si>
  <si>
    <t>1610900027-000</t>
  </si>
  <si>
    <t>1610900030-000</t>
  </si>
  <si>
    <t>1610900033-000</t>
  </si>
  <si>
    <t>1610900034-000</t>
  </si>
  <si>
    <t>1610905001-000</t>
  </si>
  <si>
    <t>1610905005-000</t>
  </si>
  <si>
    <t>1610905006-000</t>
  </si>
  <si>
    <t>1610905007-000</t>
  </si>
  <si>
    <t>1610905011-000</t>
  </si>
  <si>
    <t>1610905014-000</t>
  </si>
  <si>
    <t>1610905015-000</t>
  </si>
  <si>
    <t>1610905024-000</t>
  </si>
  <si>
    <t>1610905025-000</t>
  </si>
  <si>
    <t>1610905026-000</t>
  </si>
  <si>
    <t>1610905028-000</t>
  </si>
  <si>
    <t>1610905031-000</t>
  </si>
  <si>
    <t>1610905032-000</t>
  </si>
  <si>
    <t>1610905033-000</t>
  </si>
  <si>
    <t>1610905034-000</t>
  </si>
  <si>
    <t>1610905035-000</t>
  </si>
  <si>
    <t>1610905036-000</t>
  </si>
  <si>
    <t>1610905039-000</t>
  </si>
  <si>
    <t>1610905041-000</t>
  </si>
  <si>
    <t>1610905044-000</t>
  </si>
  <si>
    <t>1610905048-000</t>
  </si>
  <si>
    <t>1610910007-000</t>
  </si>
  <si>
    <t>1610910012-000</t>
  </si>
  <si>
    <t>1610910035-000</t>
  </si>
  <si>
    <t>1610910049-000</t>
  </si>
  <si>
    <t>1610910051-000</t>
  </si>
  <si>
    <t>1610910052-000</t>
  </si>
  <si>
    <t>1610910056-000</t>
  </si>
  <si>
    <t>1610910057-000</t>
  </si>
  <si>
    <t>1610910058-000</t>
  </si>
  <si>
    <t>1610910063-000</t>
  </si>
  <si>
    <t>1610910064-000</t>
  </si>
  <si>
    <t>1610910067-000</t>
  </si>
  <si>
    <t>1610910068-000</t>
  </si>
  <si>
    <t>1610910069-000</t>
  </si>
  <si>
    <t>1610910070-000</t>
  </si>
  <si>
    <t>1610910071-000</t>
  </si>
  <si>
    <t>1610910072-000</t>
  </si>
  <si>
    <t>1610910073-000</t>
  </si>
  <si>
    <t>1610910074-000</t>
  </si>
  <si>
    <t>1610910077-000</t>
  </si>
  <si>
    <t>1610910080-000</t>
  </si>
  <si>
    <t>1610910081-000</t>
  </si>
  <si>
    <t>1610910085-000</t>
  </si>
  <si>
    <t>1610910087-000</t>
  </si>
  <si>
    <t>1610910088-000</t>
  </si>
  <si>
    <t>1610910094-000</t>
  </si>
  <si>
    <t>1610910096-000</t>
  </si>
  <si>
    <t>1610910097-000</t>
  </si>
  <si>
    <t>1610910098-000</t>
  </si>
  <si>
    <t>1610913000-000</t>
  </si>
  <si>
    <t>1610913001-000</t>
  </si>
  <si>
    <t>1610913002-000</t>
  </si>
  <si>
    <t>1610913004-000</t>
  </si>
  <si>
    <t>1610913005-000</t>
  </si>
  <si>
    <t>1610913008-000</t>
  </si>
  <si>
    <t>1610913009-000</t>
  </si>
  <si>
    <t>1610913010-000</t>
  </si>
  <si>
    <t>1610913011-000</t>
  </si>
  <si>
    <t>1610913013-000</t>
  </si>
  <si>
    <t>1610913015-000</t>
  </si>
  <si>
    <t>1610913020-000</t>
  </si>
  <si>
    <t>1610913023-000</t>
  </si>
  <si>
    <t>1610913029-000</t>
  </si>
  <si>
    <t>1610920001-000</t>
  </si>
  <si>
    <t>1610920002-000</t>
  </si>
  <si>
    <t>1610920003-000</t>
  </si>
  <si>
    <t>1610920004-000</t>
  </si>
  <si>
    <t>1610920005-000</t>
  </si>
  <si>
    <t>1610920006-000</t>
  </si>
  <si>
    <t>1610920007-000</t>
  </si>
  <si>
    <t>1610920008-000</t>
  </si>
  <si>
    <t>1610920009-000</t>
  </si>
  <si>
    <t>1610920012-000</t>
  </si>
  <si>
    <t>1611006008-000</t>
  </si>
  <si>
    <t>1611010006-000</t>
  </si>
  <si>
    <t>1611014002-000</t>
  </si>
  <si>
    <t>1611015006-000</t>
  </si>
  <si>
    <t>1611015007-000</t>
  </si>
  <si>
    <t>1611015012-000</t>
  </si>
  <si>
    <t>1611015015-000</t>
  </si>
  <si>
    <t>1611015017-000</t>
  </si>
  <si>
    <t>1611015018-000</t>
  </si>
  <si>
    <t>1611015020-000</t>
  </si>
  <si>
    <t>1611015021-000</t>
  </si>
  <si>
    <t>1611015030-000</t>
  </si>
  <si>
    <t>1611015031-000</t>
  </si>
  <si>
    <t>1611015033-000</t>
  </si>
  <si>
    <t>1611015034-000</t>
  </si>
  <si>
    <t>1611015035-000</t>
  </si>
  <si>
    <t>1611015036-000</t>
  </si>
  <si>
    <t>1611015040-000</t>
  </si>
  <si>
    <t>1611015041-000</t>
  </si>
  <si>
    <t>1611015042-000</t>
  </si>
  <si>
    <t>1611015043-000</t>
  </si>
  <si>
    <t>1611015045-000</t>
  </si>
  <si>
    <t>1611015047-000</t>
  </si>
  <si>
    <t>1611015050-000</t>
  </si>
  <si>
    <t>1611015053-000</t>
  </si>
  <si>
    <t>1611015055-000</t>
  </si>
  <si>
    <t>1611015058-000</t>
  </si>
  <si>
    <t>1611015059-000</t>
  </si>
  <si>
    <t>1611015061-000</t>
  </si>
  <si>
    <t>1611015062-000</t>
  </si>
  <si>
    <t>1611015063-000</t>
  </si>
  <si>
    <t>1611015064-000</t>
  </si>
  <si>
    <t>1611015065-000</t>
  </si>
  <si>
    <t>1611031005-000</t>
  </si>
  <si>
    <t>1611035005-000</t>
  </si>
  <si>
    <t>1611035007-000</t>
  </si>
  <si>
    <t>1611038018-000</t>
  </si>
  <si>
    <t>1611091002-000</t>
  </si>
  <si>
    <t>1611091003-000</t>
  </si>
  <si>
    <t>1611091006-000</t>
  </si>
  <si>
    <t>1611098004-000</t>
  </si>
  <si>
    <t>1611098005-000</t>
  </si>
  <si>
    <t>1611099003-000</t>
  </si>
  <si>
    <t>1611099004-000</t>
  </si>
  <si>
    <t>1611104999-000</t>
  </si>
  <si>
    <t>1611110855-000</t>
  </si>
  <si>
    <t>1611110D43-000</t>
  </si>
  <si>
    <t>1611110W39-000</t>
  </si>
  <si>
    <t>1611110X17-000</t>
  </si>
  <si>
    <t>1611302011-000</t>
  </si>
  <si>
    <t>1611302015-000</t>
  </si>
  <si>
    <t>1611316006-000</t>
  </si>
  <si>
    <t>1611316010-000</t>
  </si>
  <si>
    <t>1611316018-000</t>
  </si>
  <si>
    <t>1611316019-000</t>
  </si>
  <si>
    <t>1611316021-000</t>
  </si>
  <si>
    <t>1611316022-000</t>
  </si>
  <si>
    <t>1611316024-000</t>
  </si>
  <si>
    <t>1611316029-000</t>
  </si>
  <si>
    <t>1611316038-000</t>
  </si>
  <si>
    <t>1611322004-000</t>
  </si>
  <si>
    <t>1611323002-000</t>
  </si>
  <si>
    <t>1611323003-000</t>
  </si>
  <si>
    <t>1611329009-000</t>
  </si>
  <si>
    <t>1611329011-000</t>
  </si>
  <si>
    <t>1611329016-000</t>
  </si>
  <si>
    <t>1611329019-000</t>
  </si>
  <si>
    <t>1611329020-000</t>
  </si>
  <si>
    <t>1611329030-000</t>
  </si>
  <si>
    <t>1611390005-000</t>
  </si>
  <si>
    <t>1611911000-000</t>
  </si>
  <si>
    <t>1611921001-000</t>
  </si>
  <si>
    <t>1612001027-000</t>
  </si>
  <si>
    <t>1612001029-000</t>
  </si>
  <si>
    <t>1612001030-000</t>
  </si>
  <si>
    <t>1612001031-000</t>
  </si>
  <si>
    <t>1612001032-000</t>
  </si>
  <si>
    <t>1612001034-000</t>
  </si>
  <si>
    <t>1612001040-000</t>
  </si>
  <si>
    <t>1612001041-000</t>
  </si>
  <si>
    <t>1612001042-000</t>
  </si>
  <si>
    <t>1612025004-000</t>
  </si>
  <si>
    <t>1612025019-000</t>
  </si>
  <si>
    <t>1612025031-000</t>
  </si>
  <si>
    <t>1612025043-000</t>
  </si>
  <si>
    <t>1612025050-000</t>
  </si>
  <si>
    <t>1612025055-000</t>
  </si>
  <si>
    <t>1612025057-000</t>
  </si>
  <si>
    <t>1612025058-000</t>
  </si>
  <si>
    <t>1612025060-000</t>
  </si>
  <si>
    <t>1612025061-000</t>
  </si>
  <si>
    <t>1612025070-000</t>
  </si>
  <si>
    <t>1612025079-000</t>
  </si>
  <si>
    <t>1612025086-000</t>
  </si>
  <si>
    <t>1612026011-000</t>
  </si>
  <si>
    <t>1612026015-000</t>
  </si>
  <si>
    <t>1612026023-000</t>
  </si>
  <si>
    <t>1612026029-000</t>
  </si>
  <si>
    <t>1612026033-000</t>
  </si>
  <si>
    <t>1612026035-000</t>
  </si>
  <si>
    <t>1612026043-000</t>
  </si>
  <si>
    <t>1612026049-000</t>
  </si>
  <si>
    <t>1612026050-000</t>
  </si>
  <si>
    <t>1612026056-000</t>
  </si>
  <si>
    <t>1612026057-000</t>
  </si>
  <si>
    <t>1612026063-000</t>
  </si>
  <si>
    <t>1612026078-000</t>
  </si>
  <si>
    <t>1612026083-000</t>
  </si>
  <si>
    <t>1612026084-000</t>
  </si>
  <si>
    <t>1612026090-000</t>
  </si>
  <si>
    <t>1612026097-000</t>
  </si>
  <si>
    <t>1612026100-000</t>
  </si>
  <si>
    <t>1612026114-000</t>
  </si>
  <si>
    <t>1612026126-000</t>
  </si>
  <si>
    <t>1612026151-000</t>
  </si>
  <si>
    <t>1612026153-000</t>
  </si>
  <si>
    <t>1612099000-000</t>
  </si>
  <si>
    <t>1612099001-000</t>
  </si>
  <si>
    <t>1612099002-000</t>
  </si>
  <si>
    <t>1612099005-000</t>
  </si>
  <si>
    <t>1612210118-000</t>
  </si>
  <si>
    <t>1612300027-000</t>
  </si>
  <si>
    <t>1612300034-000</t>
  </si>
  <si>
    <t>1612301002-000</t>
  </si>
  <si>
    <t>1612310009-000</t>
  </si>
  <si>
    <t>1612380010-000</t>
  </si>
  <si>
    <t>1612386004-000</t>
  </si>
  <si>
    <t>1612386006-000</t>
  </si>
  <si>
    <t>1612386007-000</t>
  </si>
  <si>
    <t>1612388019-000</t>
  </si>
  <si>
    <t>1612388021-000</t>
  </si>
  <si>
    <t>1613001008-000</t>
  </si>
  <si>
    <t>1613001009-000</t>
  </si>
  <si>
    <t>1613023005-000</t>
  </si>
  <si>
    <t>1613023007-000</t>
  </si>
  <si>
    <t>1613060005-000</t>
  </si>
  <si>
    <t>1613060009-000</t>
  </si>
  <si>
    <t>1613060010-000</t>
  </si>
  <si>
    <t>1613060012-000</t>
  </si>
  <si>
    <t>1613060021-000</t>
  </si>
  <si>
    <t>1613060038-000</t>
  </si>
  <si>
    <t>1613060049-000</t>
  </si>
  <si>
    <t>1613060050-000</t>
  </si>
  <si>
    <t>1613060910-000</t>
  </si>
  <si>
    <t>1613100005-000</t>
  </si>
  <si>
    <t>1613100011-000</t>
  </si>
  <si>
    <t>1613100013-000</t>
  </si>
  <si>
    <t>1613100015-000</t>
  </si>
  <si>
    <t>1613100020-000</t>
  </si>
  <si>
    <t>1613100021-000</t>
  </si>
  <si>
    <t>1613100030-000</t>
  </si>
  <si>
    <t>1613100032-000</t>
  </si>
  <si>
    <t>1613100033-000</t>
  </si>
  <si>
    <t>1613100034-000</t>
  </si>
  <si>
    <t>1613100040-000</t>
  </si>
  <si>
    <t>1613101005-000</t>
  </si>
  <si>
    <t>1613101011-000</t>
  </si>
  <si>
    <t>1613101012-000</t>
  </si>
  <si>
    <t>1613101014-000</t>
  </si>
  <si>
    <t>1613103006-000</t>
  </si>
  <si>
    <t>1613103012-000</t>
  </si>
  <si>
    <t>1613105010-000</t>
  </si>
  <si>
    <t>1613105012-000</t>
  </si>
  <si>
    <t>1613105020-000</t>
  </si>
  <si>
    <t>1613120015-000</t>
  </si>
  <si>
    <t>1613120017-000</t>
  </si>
  <si>
    <t>1613120018-000</t>
  </si>
  <si>
    <t>1613120022-000</t>
  </si>
  <si>
    <t>1613120023-000</t>
  </si>
  <si>
    <t>1613120024-000</t>
  </si>
  <si>
    <t>1613120025-000</t>
  </si>
  <si>
    <t>1613123003-000</t>
  </si>
  <si>
    <t>1613123004-000</t>
  </si>
  <si>
    <t>1613123013-000</t>
  </si>
  <si>
    <t>1613123014-000</t>
  </si>
  <si>
    <t>1613124019-000</t>
  </si>
  <si>
    <t>1613124026-000</t>
  </si>
  <si>
    <t>1613124027-000</t>
  </si>
  <si>
    <t>1613124029-000</t>
  </si>
  <si>
    <t>1613124036-000</t>
  </si>
  <si>
    <t>1613124037-000</t>
  </si>
  <si>
    <t>1613124038-000</t>
  </si>
  <si>
    <t>1613124043-000</t>
  </si>
  <si>
    <t>1613124046-000</t>
  </si>
  <si>
    <t>1613124053-000</t>
  </si>
  <si>
    <t>1613124077-000</t>
  </si>
  <si>
    <t>1613124078-000</t>
  </si>
  <si>
    <t>1613124080-000</t>
  </si>
  <si>
    <t>1613124081-000</t>
  </si>
  <si>
    <t>1613124082-000</t>
  </si>
  <si>
    <t>1613124084-000</t>
  </si>
  <si>
    <t>1613124099-000</t>
  </si>
  <si>
    <t>1613160008-000</t>
  </si>
  <si>
    <t>1613160022-000</t>
  </si>
  <si>
    <t>1613180002-000</t>
  </si>
  <si>
    <t>1613200007-000</t>
  </si>
  <si>
    <t>1613200019-000</t>
  </si>
  <si>
    <t>1613200022-000</t>
  </si>
  <si>
    <t>1613219001-000</t>
  </si>
  <si>
    <t>1613230003-000</t>
  </si>
  <si>
    <t>1613231006-000</t>
  </si>
  <si>
    <t>1613231007-000</t>
  </si>
  <si>
    <t>1613231010-000</t>
  </si>
  <si>
    <t>1613231014-000</t>
  </si>
  <si>
    <t>1613231016-000</t>
  </si>
  <si>
    <t>1613231017-000</t>
  </si>
  <si>
    <t>1613231029-000</t>
  </si>
  <si>
    <t>1613231030-000</t>
  </si>
  <si>
    <t>1613231031-000</t>
  </si>
  <si>
    <t>1613300006-000</t>
  </si>
  <si>
    <t>1613300007-000</t>
  </si>
  <si>
    <t>1613300008-000</t>
  </si>
  <si>
    <t>1613300009-000</t>
  </si>
  <si>
    <t>1613313000-000</t>
  </si>
  <si>
    <t>1613344002-000</t>
  </si>
  <si>
    <t>1613344005-000</t>
  </si>
  <si>
    <t>1613349017-000</t>
  </si>
  <si>
    <t>1613349020-000</t>
  </si>
  <si>
    <t>1613349021-000</t>
  </si>
  <si>
    <t>1613412001-000</t>
  </si>
  <si>
    <t>1613414006-000</t>
  </si>
  <si>
    <t>1613414009-000</t>
  </si>
  <si>
    <t>1613414014-000</t>
  </si>
  <si>
    <t>1613414021-000</t>
  </si>
  <si>
    <t>1613414023-000</t>
  </si>
  <si>
    <t>1613414026-000</t>
  </si>
  <si>
    <t>1613421000-000</t>
  </si>
  <si>
    <t>1613433001-000</t>
  </si>
  <si>
    <t>1613435007-000</t>
  </si>
  <si>
    <t>1613435008-000</t>
  </si>
  <si>
    <t>1613435009-000</t>
  </si>
  <si>
    <t>1613435010-000</t>
  </si>
  <si>
    <t>1613435011-000</t>
  </si>
  <si>
    <t>1613435012-000</t>
  </si>
  <si>
    <t>1613435013-000</t>
  </si>
  <si>
    <t>1613435014-000</t>
  </si>
  <si>
    <t>1613435015-000</t>
  </si>
  <si>
    <t>1613435016-000</t>
  </si>
  <si>
    <t>1613435019-000</t>
  </si>
  <si>
    <t>1613435020-000</t>
  </si>
  <si>
    <t>1613435022-000</t>
  </si>
  <si>
    <t>1613435023-000</t>
  </si>
  <si>
    <t>1613435028-000</t>
  </si>
  <si>
    <t>1613435029-000</t>
  </si>
  <si>
    <t>1613435034-000</t>
  </si>
  <si>
    <t>1613435036-000</t>
  </si>
  <si>
    <t>1613435037-000</t>
  </si>
  <si>
    <t>1613435038-000</t>
  </si>
  <si>
    <t>1613435039-000</t>
  </si>
  <si>
    <t>1613435040-000</t>
  </si>
  <si>
    <t>1613435041-000</t>
  </si>
  <si>
    <t>1613435042-000</t>
  </si>
  <si>
    <t>1613435043-000</t>
  </si>
  <si>
    <t>1613454001-000</t>
  </si>
  <si>
    <t>1613454002-000</t>
  </si>
  <si>
    <t>1613461001-000</t>
  </si>
  <si>
    <t>1613465001-000</t>
  </si>
  <si>
    <t>1613465003-000</t>
  </si>
  <si>
    <t>1613490001-000</t>
  </si>
  <si>
    <t>1613490002-000</t>
  </si>
  <si>
    <t>1613490005-000</t>
  </si>
  <si>
    <t>1613490007-000</t>
  </si>
  <si>
    <t>1613490008-000</t>
  </si>
  <si>
    <t>1613490009-000</t>
  </si>
  <si>
    <t>1613490010-000</t>
  </si>
  <si>
    <t>1613490011-000</t>
  </si>
  <si>
    <t>1613490013-000</t>
  </si>
  <si>
    <t>1613490014-000</t>
  </si>
  <si>
    <t>1613490015-000</t>
  </si>
  <si>
    <t>1613490017-000</t>
  </si>
  <si>
    <t>1613490019-000</t>
  </si>
  <si>
    <t>1613490021-000</t>
  </si>
  <si>
    <t>1613490022-000</t>
  </si>
  <si>
    <t>1613490023-000</t>
  </si>
  <si>
    <t>1613490024-000</t>
  </si>
  <si>
    <t>1613490025-000</t>
  </si>
  <si>
    <t>1613490026-000</t>
  </si>
  <si>
    <t>1613490027-000</t>
  </si>
  <si>
    <t>1613490028-000</t>
  </si>
  <si>
    <t>1613521002-000</t>
  </si>
  <si>
    <t>1613523011-000</t>
  </si>
  <si>
    <t>1614010013-000</t>
  </si>
  <si>
    <t>1614010035-000</t>
  </si>
  <si>
    <t>1614010039-000</t>
  </si>
  <si>
    <t>1614010051-000</t>
  </si>
  <si>
    <t>1614010052-000</t>
  </si>
  <si>
    <t>1614010085-000</t>
  </si>
  <si>
    <t>1614010106-000</t>
  </si>
  <si>
    <t>1614010128-000</t>
  </si>
  <si>
    <t>1614010144-000</t>
  </si>
  <si>
    <t>1614010169-000</t>
  </si>
  <si>
    <t>1614010180-000</t>
  </si>
  <si>
    <t>1614010186-000</t>
  </si>
  <si>
    <t>1614010207-000</t>
  </si>
  <si>
    <t>1614010213-000</t>
  </si>
  <si>
    <t>1614010227-000</t>
  </si>
  <si>
    <t>1614010267-000</t>
  </si>
  <si>
    <t>1614010705-000</t>
  </si>
  <si>
    <t>1614010732-000</t>
  </si>
  <si>
    <t>1614010B1C-000</t>
  </si>
  <si>
    <t>1614011019-000</t>
  </si>
  <si>
    <t>1614011054-000</t>
  </si>
  <si>
    <t>1614011061-000</t>
  </si>
  <si>
    <t>1614011117-000</t>
  </si>
  <si>
    <t>1614220054-000</t>
  </si>
  <si>
    <t>1614220059-000</t>
  </si>
  <si>
    <t>1614220097-000</t>
  </si>
  <si>
    <t>1614220101-000</t>
  </si>
  <si>
    <t>1614220102-000</t>
  </si>
  <si>
    <t>1614220117-000</t>
  </si>
  <si>
    <t>1614220118-000</t>
  </si>
  <si>
    <t>1614220121-000</t>
  </si>
  <si>
    <t>1614220124-000</t>
  </si>
  <si>
    <t>1614220156-000</t>
  </si>
  <si>
    <t>1614220172-000</t>
  </si>
  <si>
    <t>1614220182-000</t>
  </si>
  <si>
    <t>1614220187-000</t>
  </si>
  <si>
    <t>1614220190-000</t>
  </si>
  <si>
    <t>1614220196-000</t>
  </si>
  <si>
    <t>1614220207-000</t>
  </si>
  <si>
    <t>1614220212-000</t>
  </si>
  <si>
    <t>1614220221-000</t>
  </si>
  <si>
    <t>1614229127-000</t>
  </si>
  <si>
    <t>1614336000-000</t>
  </si>
  <si>
    <t>1614336001-000</t>
  </si>
  <si>
    <t>1614336002-000</t>
  </si>
  <si>
    <t>1614336005-000</t>
  </si>
  <si>
    <t>1614336009-000</t>
  </si>
  <si>
    <t>1614336016-000</t>
  </si>
  <si>
    <t>1614336017-000</t>
  </si>
  <si>
    <t>1614336019-000</t>
  </si>
  <si>
    <t>1614336022-000</t>
  </si>
  <si>
    <t>1614336026-000</t>
  </si>
  <si>
    <t>1614336036-000</t>
  </si>
  <si>
    <t>1614336045-000</t>
  </si>
  <si>
    <t>1614336046-000</t>
  </si>
  <si>
    <t>1614336051-000</t>
  </si>
  <si>
    <t>1614336064-000</t>
  </si>
  <si>
    <t>1614336072-000</t>
  </si>
  <si>
    <t>1614336075-000</t>
  </si>
  <si>
    <t>1614336078-000</t>
  </si>
  <si>
    <t>1614336085-000</t>
  </si>
  <si>
    <t>1614336086-000</t>
  </si>
  <si>
    <t>1614336089-000</t>
  </si>
  <si>
    <t>1614336090-000</t>
  </si>
  <si>
    <t>1614336093-000</t>
  </si>
  <si>
    <t>1614337000-000</t>
  </si>
  <si>
    <t>1614412055-000</t>
  </si>
  <si>
    <t>1614412056-000</t>
  </si>
  <si>
    <t>1614413009-000</t>
  </si>
  <si>
    <t>1614413010-000</t>
  </si>
  <si>
    <t>1614431023-000</t>
  </si>
  <si>
    <t>1614431028-000</t>
  </si>
  <si>
    <t>1614437017-000</t>
  </si>
  <si>
    <t>1614437018-000</t>
  </si>
  <si>
    <t>1614448014-000</t>
  </si>
  <si>
    <t>1614448017-000</t>
  </si>
  <si>
    <t>1614448035-000</t>
  </si>
  <si>
    <t>1614448037-000</t>
  </si>
  <si>
    <t>1614448038-000</t>
  </si>
  <si>
    <t>1614449012-000</t>
  </si>
  <si>
    <t>1614449014-000</t>
  </si>
  <si>
    <t>1614449015-000</t>
  </si>
  <si>
    <t>1614460000-000</t>
  </si>
  <si>
    <t>1614460086-000</t>
  </si>
  <si>
    <t>1614460087-000</t>
  </si>
  <si>
    <t>1614460094-000</t>
  </si>
  <si>
    <t>1614465003-000</t>
  </si>
  <si>
    <t>1614465012-000</t>
  </si>
  <si>
    <t>1614482048-000</t>
  </si>
  <si>
    <t>1614482049-000</t>
  </si>
  <si>
    <t>1614482050-000</t>
  </si>
  <si>
    <t>1614482062-000</t>
  </si>
  <si>
    <t>1614484010-000</t>
  </si>
  <si>
    <t>1614484011-000</t>
  </si>
  <si>
    <t>1614484012-000</t>
  </si>
  <si>
    <t>1614485025-000</t>
  </si>
  <si>
    <t>1614485026-000</t>
  </si>
  <si>
    <t>1614485034-000</t>
  </si>
  <si>
    <t>1614485035-000</t>
  </si>
  <si>
    <t>1614490015-000</t>
  </si>
  <si>
    <t>1614490016-000</t>
  </si>
  <si>
    <t>1614503007-000</t>
  </si>
  <si>
    <t>1614503011-000</t>
  </si>
  <si>
    <t>1614542000-000</t>
  </si>
  <si>
    <t>1614601009-000</t>
  </si>
  <si>
    <t>1614601011-000</t>
  </si>
  <si>
    <t>1614601016-000</t>
  </si>
  <si>
    <t>1614601017-000</t>
  </si>
  <si>
    <t>1614601018-000</t>
  </si>
  <si>
    <t>1614601020-000</t>
  </si>
  <si>
    <t>1614601021-000</t>
  </si>
  <si>
    <t>1614601022-000</t>
  </si>
  <si>
    <t>1614601028-000</t>
  </si>
  <si>
    <t>1614601029-000</t>
  </si>
  <si>
    <t>1614601030-000</t>
  </si>
  <si>
    <t>1614601032-000</t>
  </si>
  <si>
    <t>1614601033-000</t>
  </si>
  <si>
    <t>1614601034-000</t>
  </si>
  <si>
    <t>1614601036-000</t>
  </si>
  <si>
    <t>1614601037-000</t>
  </si>
  <si>
    <t>1614601039-000</t>
  </si>
  <si>
    <t>1614601046-000</t>
  </si>
  <si>
    <t>1614601047-000</t>
  </si>
  <si>
    <t>1614601052-000</t>
  </si>
  <si>
    <t>1614601054-000</t>
  </si>
  <si>
    <t>1614601055-000</t>
  </si>
  <si>
    <t>1614601056-000</t>
  </si>
  <si>
    <t>1614601057-000</t>
  </si>
  <si>
    <t>1614601060-000</t>
  </si>
  <si>
    <t>1614601061-000</t>
  </si>
  <si>
    <t>1614601062-000</t>
  </si>
  <si>
    <t>1614601065-000</t>
  </si>
  <si>
    <t>1614601067-000</t>
  </si>
  <si>
    <t>1614601070-000</t>
  </si>
  <si>
    <t>1614601071-000</t>
  </si>
  <si>
    <t>1614601072-000</t>
  </si>
  <si>
    <t>1614601073-000</t>
  </si>
  <si>
    <t>1614601074-000</t>
  </si>
  <si>
    <t>1614601077-000</t>
  </si>
  <si>
    <t>1614601080-000</t>
  </si>
  <si>
    <t>1614610005-000</t>
  </si>
  <si>
    <t>1614610008-000</t>
  </si>
  <si>
    <t>1614610010-000</t>
  </si>
  <si>
    <t>1614610015-000</t>
  </si>
  <si>
    <t>1614611006-000</t>
  </si>
  <si>
    <t>1614611007-000</t>
  </si>
  <si>
    <t>1614611009-000</t>
  </si>
  <si>
    <t>1614611012-000</t>
  </si>
  <si>
    <t>1614611016-000</t>
  </si>
  <si>
    <t>1614611019-000</t>
  </si>
  <si>
    <t>1614611020-000</t>
  </si>
  <si>
    <t>1614611021-000</t>
  </si>
  <si>
    <t>1614611022-000</t>
  </si>
  <si>
    <t>1614611023-000</t>
  </si>
  <si>
    <t>1614611024-000</t>
  </si>
  <si>
    <t>1614611025-000</t>
  </si>
  <si>
    <t>1614611026-000</t>
  </si>
  <si>
    <t>1614611028-000</t>
  </si>
  <si>
    <t>1614614001-000</t>
  </si>
  <si>
    <t>1614614007-000</t>
  </si>
  <si>
    <t>1614615002-000</t>
  </si>
  <si>
    <t>1614615003-000</t>
  </si>
  <si>
    <t>1614615004-000</t>
  </si>
  <si>
    <t>1614615008-000</t>
  </si>
  <si>
    <t>1614616003-000</t>
  </si>
  <si>
    <t>1614616008-000</t>
  </si>
  <si>
    <t>1614616009-000</t>
  </si>
  <si>
    <t>1614617003-000</t>
  </si>
  <si>
    <t>1614617004-000</t>
  </si>
  <si>
    <t>1614619004-000</t>
  </si>
  <si>
    <t>1614619005-000</t>
  </si>
  <si>
    <t>1614619009-000</t>
  </si>
  <si>
    <t>1614621000-000</t>
  </si>
  <si>
    <t>1614621001-000</t>
  </si>
  <si>
    <t>1614621002-000</t>
  </si>
  <si>
    <t>1614621003-000</t>
  </si>
  <si>
    <t>1614621004-000</t>
  </si>
  <si>
    <t>1614621005-000</t>
  </si>
  <si>
    <t>1614621007-000</t>
  </si>
  <si>
    <t>1614621008-000</t>
  </si>
  <si>
    <t>1614621009-000</t>
  </si>
  <si>
    <t>1614621010-000</t>
  </si>
  <si>
    <t>1614621012-000</t>
  </si>
  <si>
    <t>1614621013-000</t>
  </si>
  <si>
    <t>1614621014-000</t>
  </si>
  <si>
    <t>1614621015-000</t>
  </si>
  <si>
    <t>1614621016-000</t>
  </si>
  <si>
    <t>1614621017-000</t>
  </si>
  <si>
    <t>1614621018-000</t>
  </si>
  <si>
    <t>1614621020-000</t>
  </si>
  <si>
    <t>1614630002-000</t>
  </si>
  <si>
    <t>1614630003-000</t>
  </si>
  <si>
    <t>1614633001-000</t>
  </si>
  <si>
    <t>1614634005-000</t>
  </si>
  <si>
    <t>1614634006-000</t>
  </si>
  <si>
    <t>1614634007-000</t>
  </si>
  <si>
    <t>1614634008-000</t>
  </si>
  <si>
    <t>1614640000-000</t>
  </si>
  <si>
    <t>1614643001-000</t>
  </si>
  <si>
    <t>1614643003-000</t>
  </si>
  <si>
    <t>1614643016-000</t>
  </si>
  <si>
    <t>1614643023-000</t>
  </si>
  <si>
    <t>1614643025-000</t>
  </si>
  <si>
    <t>1614643027-000</t>
  </si>
  <si>
    <t>1614651014-000</t>
  </si>
  <si>
    <t>1614652000-000</t>
  </si>
  <si>
    <t>1614652001-000</t>
  </si>
  <si>
    <t>1614652002-000</t>
  </si>
  <si>
    <t>1614652003-000</t>
  </si>
  <si>
    <t>1614652004-000</t>
  </si>
  <si>
    <t>1614652006-000</t>
  </si>
  <si>
    <t>1614652007-000</t>
  </si>
  <si>
    <t>1614680002-000</t>
  </si>
  <si>
    <t>1614690001-000</t>
  </si>
  <si>
    <t>1614690002-000</t>
  </si>
  <si>
    <t>1614690005-000</t>
  </si>
  <si>
    <t>1614690008-000</t>
  </si>
  <si>
    <t>1614690009-000</t>
  </si>
  <si>
    <t>1614690010-000</t>
  </si>
  <si>
    <t>1615100007-000</t>
  </si>
  <si>
    <t>1615100008-000</t>
  </si>
  <si>
    <t>1615100009-000</t>
  </si>
  <si>
    <t>1615102137-000</t>
  </si>
  <si>
    <t>1615102142-000</t>
  </si>
  <si>
    <t>1615102155-000</t>
  </si>
  <si>
    <t>1615102161-000</t>
  </si>
  <si>
    <t>1615102162-000</t>
  </si>
  <si>
    <t>1615102164-000</t>
  </si>
  <si>
    <t>1615104001-000</t>
  </si>
  <si>
    <t>1615104002-000</t>
  </si>
  <si>
    <t>1615104011-000</t>
  </si>
  <si>
    <t>1615104016-000</t>
  </si>
  <si>
    <t>1615104017-000</t>
  </si>
  <si>
    <t>1615104018-000</t>
  </si>
  <si>
    <t>1615104030-000</t>
  </si>
  <si>
    <t>1615104049-000</t>
  </si>
  <si>
    <t>1615104063-000</t>
  </si>
  <si>
    <t>1615104066-000</t>
  </si>
  <si>
    <t>1615106021-000</t>
  </si>
  <si>
    <t>1615106031-000</t>
  </si>
  <si>
    <t>1615106053-000</t>
  </si>
  <si>
    <t>1615108006-000</t>
  </si>
  <si>
    <t>1615108045-000</t>
  </si>
  <si>
    <t>1615108046-000</t>
  </si>
  <si>
    <t>1615108059-000</t>
  </si>
  <si>
    <t>1615108078-000</t>
  </si>
  <si>
    <t>1615108081-000</t>
  </si>
  <si>
    <t>1615108091-000</t>
  </si>
  <si>
    <t>1615108103-000</t>
  </si>
  <si>
    <t>1615108104-000</t>
  </si>
  <si>
    <t>1615108112-000</t>
  </si>
  <si>
    <t>1615108131-000</t>
  </si>
  <si>
    <t>1615108150-000</t>
  </si>
  <si>
    <t>1615108154-000</t>
  </si>
  <si>
    <t>1615108157-000</t>
  </si>
  <si>
    <t>1615108165-000</t>
  </si>
  <si>
    <t>1615108172-000</t>
  </si>
  <si>
    <t>1615132010-000</t>
  </si>
  <si>
    <t>1615132011-000</t>
  </si>
  <si>
    <t>1615132019-000</t>
  </si>
  <si>
    <t>1615132031-000</t>
  </si>
  <si>
    <t>1615132032-000</t>
  </si>
  <si>
    <t>1615132034-000</t>
  </si>
  <si>
    <t>1615132041-000</t>
  </si>
  <si>
    <t>1615132043-000</t>
  </si>
  <si>
    <t>1615132045-000</t>
  </si>
  <si>
    <t>1615132051-000</t>
  </si>
  <si>
    <t>1615132054-000</t>
  </si>
  <si>
    <t>1615132055-000</t>
  </si>
  <si>
    <t>1615132065-000</t>
  </si>
  <si>
    <t>1615132074-000</t>
  </si>
  <si>
    <t>1615132075-000</t>
  </si>
  <si>
    <t>1615132077-000</t>
  </si>
  <si>
    <t>1615132082-000</t>
  </si>
  <si>
    <t>1615132083-000</t>
  </si>
  <si>
    <t>1615132087-000</t>
  </si>
  <si>
    <t>1615132088-000</t>
  </si>
  <si>
    <t>1615132089-000</t>
  </si>
  <si>
    <t>1615132102-000</t>
  </si>
  <si>
    <t>1615132109-000</t>
  </si>
  <si>
    <t>1615132116-000</t>
  </si>
  <si>
    <t>1615132118-000</t>
  </si>
  <si>
    <t>1615132124-000</t>
  </si>
  <si>
    <t>1615132125-000</t>
  </si>
  <si>
    <t>1615132129-000</t>
  </si>
  <si>
    <t>1615132131-000</t>
  </si>
  <si>
    <t>1615132132-000</t>
  </si>
  <si>
    <t>161513213B-000</t>
  </si>
  <si>
    <t>1615133021-000</t>
  </si>
  <si>
    <t>1615133027-000</t>
  </si>
  <si>
    <t>1615133030-000</t>
  </si>
  <si>
    <t>1615133031-000</t>
  </si>
  <si>
    <t>1615133033-000</t>
  </si>
  <si>
    <t>1615133038-000</t>
  </si>
  <si>
    <t>1615133039-000</t>
  </si>
  <si>
    <t>1615190023-000</t>
  </si>
  <si>
    <t>1615190026-000</t>
  </si>
  <si>
    <t>1615190027-000</t>
  </si>
  <si>
    <t>1615190028-000</t>
  </si>
  <si>
    <t>1615190052-000</t>
  </si>
  <si>
    <t>1615190056-000</t>
  </si>
  <si>
    <t>1615190057-000</t>
  </si>
  <si>
    <t>1615190073-000</t>
  </si>
  <si>
    <t>1615190074-000</t>
  </si>
  <si>
    <t>1615190079-000</t>
  </si>
  <si>
    <t>1615190080-000</t>
  </si>
  <si>
    <t>1615190086-000</t>
  </si>
  <si>
    <t>1615190087-000</t>
  </si>
  <si>
    <t>1615190093-000</t>
  </si>
  <si>
    <t>1615190094-000</t>
  </si>
  <si>
    <t>1615190096-000</t>
  </si>
  <si>
    <t>1615190101-000</t>
  </si>
  <si>
    <t>1615190105-000</t>
  </si>
  <si>
    <t>1615190108-000</t>
  </si>
  <si>
    <t>1615190142-000</t>
  </si>
  <si>
    <t>1615190158-000</t>
  </si>
  <si>
    <t>1615190159-000</t>
  </si>
  <si>
    <t>1615190168-000</t>
  </si>
  <si>
    <t>1615190173-000</t>
  </si>
  <si>
    <t>1615190177-000</t>
  </si>
  <si>
    <t>1615190178-000</t>
  </si>
  <si>
    <t>1615190181-000</t>
  </si>
  <si>
    <t>1615190182-000</t>
  </si>
  <si>
    <t>1615190186-000</t>
  </si>
  <si>
    <t>1615190187-000</t>
  </si>
  <si>
    <t>1615430002-000</t>
  </si>
  <si>
    <t>1615430015-000</t>
  </si>
  <si>
    <t>1615430019-000</t>
  </si>
  <si>
    <t>1615437503-000</t>
  </si>
  <si>
    <t>1615437509-000</t>
  </si>
  <si>
    <t>1615437512-000</t>
  </si>
  <si>
    <t>1615438409-000</t>
  </si>
  <si>
    <t>1615438426-000</t>
  </si>
  <si>
    <t>1615438431-000</t>
  </si>
  <si>
    <t>1615438461-000</t>
  </si>
  <si>
    <t>1615500094-000</t>
  </si>
  <si>
    <t>1615500122-000</t>
  </si>
  <si>
    <t>1615500123-000</t>
  </si>
  <si>
    <t>1615500168-000</t>
  </si>
  <si>
    <t>1615500194-000</t>
  </si>
  <si>
    <t>1615500205-000</t>
  </si>
  <si>
    <t>1615500210-000</t>
  </si>
  <si>
    <t>1615500211-000</t>
  </si>
  <si>
    <t>1615500212-000</t>
  </si>
  <si>
    <t>1615500213-000</t>
  </si>
  <si>
    <t>1615500269-000</t>
  </si>
  <si>
    <t>1615500270-000</t>
  </si>
  <si>
    <t>1615500276-000</t>
  </si>
  <si>
    <t>1615500282-000</t>
  </si>
  <si>
    <t>1615500286-000</t>
  </si>
  <si>
    <t>1615500289-000</t>
  </si>
  <si>
    <t>1615500291-000</t>
  </si>
  <si>
    <t>1615500294-000</t>
  </si>
  <si>
    <t>1615500296-000</t>
  </si>
  <si>
    <t>1615500298-000</t>
  </si>
  <si>
    <t>1615500305-000</t>
  </si>
  <si>
    <t>1615500310-000</t>
  </si>
  <si>
    <t>1615500313-000</t>
  </si>
  <si>
    <t>1615500315-000</t>
  </si>
  <si>
    <t>1615500319-000</t>
  </si>
  <si>
    <t>1615500321-000</t>
  </si>
  <si>
    <t>1615500322-000</t>
  </si>
  <si>
    <t>1615500323-000</t>
  </si>
  <si>
    <t>1615500324-000</t>
  </si>
  <si>
    <t>1615500325-000</t>
  </si>
  <si>
    <t>1615500330-000</t>
  </si>
  <si>
    <t>1615500334-000</t>
  </si>
  <si>
    <t>1615500343-000</t>
  </si>
  <si>
    <t>1615500360-000</t>
  </si>
  <si>
    <t>1615500372-000</t>
  </si>
  <si>
    <t>1615500376-000</t>
  </si>
  <si>
    <t>1615500377-000</t>
  </si>
  <si>
    <t>1615500380-000</t>
  </si>
  <si>
    <t>1615500383-000</t>
  </si>
  <si>
    <t>1615500384-000</t>
  </si>
  <si>
    <t>1615500387-000</t>
  </si>
  <si>
    <t>1615500390-000</t>
  </si>
  <si>
    <t>1615500393-000</t>
  </si>
  <si>
    <t>1615500404-000</t>
  </si>
  <si>
    <t>1615500410-000</t>
  </si>
  <si>
    <t>1615500411-000</t>
  </si>
  <si>
    <t>1615500414-000</t>
  </si>
  <si>
    <t>1615500416-000</t>
  </si>
  <si>
    <t>1615500417-000</t>
  </si>
  <si>
    <t>1615500418-000</t>
  </si>
  <si>
    <t>1615500424-000</t>
  </si>
  <si>
    <t>1615500425-000</t>
  </si>
  <si>
    <t>1615500426-000</t>
  </si>
  <si>
    <t>1615500427-000</t>
  </si>
  <si>
    <t>1615500428-000</t>
  </si>
  <si>
    <t>1615500429-000</t>
  </si>
  <si>
    <t>1615500431-000</t>
  </si>
  <si>
    <t>1615500435-000</t>
  </si>
  <si>
    <t>1615500438-000</t>
  </si>
  <si>
    <t>1615500444-000</t>
  </si>
  <si>
    <t>1615500447-000</t>
  </si>
  <si>
    <t>1615510003-000</t>
  </si>
  <si>
    <t>1615510004-000</t>
  </si>
  <si>
    <t>1615700017-000</t>
  </si>
  <si>
    <t>1615700021-000</t>
  </si>
  <si>
    <t>1615700026-000</t>
  </si>
  <si>
    <t>1615700027-000</t>
  </si>
  <si>
    <t>1615700031-000</t>
  </si>
  <si>
    <t>1615700033-000</t>
  </si>
  <si>
    <t>1615700034-000</t>
  </si>
  <si>
    <t>1615700035-000</t>
  </si>
  <si>
    <t>1615700037-000</t>
  </si>
  <si>
    <t>1615700041-000</t>
  </si>
  <si>
    <t>1615700042-000</t>
  </si>
  <si>
    <t>1615700044-000</t>
  </si>
  <si>
    <t>1615700057-000</t>
  </si>
  <si>
    <t>1615700058-000</t>
  </si>
  <si>
    <t>1615700059-000</t>
  </si>
  <si>
    <t>1615700061-000</t>
  </si>
  <si>
    <t>1615700073-000</t>
  </si>
  <si>
    <t>1615719016-000</t>
  </si>
  <si>
    <t>1615801027-000</t>
  </si>
  <si>
    <t>1615805054-000</t>
  </si>
  <si>
    <t>1615805060-000</t>
  </si>
  <si>
    <t>1615805062-000</t>
  </si>
  <si>
    <t>1615805064-000</t>
  </si>
  <si>
    <t>1615805067-000</t>
  </si>
  <si>
    <t>1615805068-000</t>
  </si>
  <si>
    <t>1615805069-000</t>
  </si>
  <si>
    <t>1615805073-000</t>
  </si>
  <si>
    <t>1615805074-000</t>
  </si>
  <si>
    <t>1615805079-000</t>
  </si>
  <si>
    <t>1615805080-000</t>
  </si>
  <si>
    <t>1615806017-000</t>
  </si>
  <si>
    <t>1615806024-000</t>
  </si>
  <si>
    <t>1615806026-000</t>
  </si>
  <si>
    <t>1615806029-000</t>
  </si>
  <si>
    <t>1615806047-000</t>
  </si>
  <si>
    <t>1615806077-000</t>
  </si>
  <si>
    <t>1615806086-000</t>
  </si>
  <si>
    <t>1615806089-000</t>
  </si>
  <si>
    <t>1615806090-000</t>
  </si>
  <si>
    <t>1615806093-000</t>
  </si>
  <si>
    <t>1615806108-000</t>
  </si>
  <si>
    <t>1615806113-000</t>
  </si>
  <si>
    <t>1615806121-000</t>
  </si>
  <si>
    <t>1615806134-000</t>
  </si>
  <si>
    <t>1615806156-000</t>
  </si>
  <si>
    <t>1615806162-000</t>
  </si>
  <si>
    <t>1615806185-000</t>
  </si>
  <si>
    <t>1615806187-000</t>
  </si>
  <si>
    <t>1615806188-000</t>
  </si>
  <si>
    <t>1615806214-000</t>
  </si>
  <si>
    <t>1615806220-000</t>
  </si>
  <si>
    <t>1615806229-000</t>
  </si>
  <si>
    <t>1615806230-000</t>
  </si>
  <si>
    <t>1615806233-000</t>
  </si>
  <si>
    <t>1615806236-000</t>
  </si>
  <si>
    <t>1615806243-000</t>
  </si>
  <si>
    <t>1615806249-000</t>
  </si>
  <si>
    <t>1615808039-000</t>
  </si>
  <si>
    <t>1615808046-000</t>
  </si>
  <si>
    <t>1615808059-000</t>
  </si>
  <si>
    <t>1615808068-000</t>
  </si>
  <si>
    <t>1615808072-000</t>
  </si>
  <si>
    <t>1615808078-000</t>
  </si>
  <si>
    <t>1615808082-000</t>
  </si>
  <si>
    <t>1615808102-000</t>
  </si>
  <si>
    <t>1615808106-000</t>
  </si>
  <si>
    <t>1615819002-000</t>
  </si>
  <si>
    <t>1615819005-000</t>
  </si>
  <si>
    <t>1615819011-000</t>
  </si>
  <si>
    <t>1615819012-000</t>
  </si>
  <si>
    <t>1615819013-000</t>
  </si>
  <si>
    <t>1615819016-000</t>
  </si>
  <si>
    <t>1615819017-000</t>
  </si>
  <si>
    <t>1615819018-000</t>
  </si>
  <si>
    <t>1615819022-000</t>
  </si>
  <si>
    <t>1615820090-000</t>
  </si>
  <si>
    <t>1615820091-000</t>
  </si>
  <si>
    <t>1615820103-000</t>
  </si>
  <si>
    <t>1615820104-000</t>
  </si>
  <si>
    <t>1616110013-000</t>
  </si>
  <si>
    <t>1616110025-000</t>
  </si>
  <si>
    <t>1616110027-000</t>
  </si>
  <si>
    <t>1616110029-000</t>
  </si>
  <si>
    <t>1616110032-000</t>
  </si>
  <si>
    <t>1616110037-000</t>
  </si>
  <si>
    <t>1616110041-000</t>
  </si>
  <si>
    <t>1616110044-000</t>
  </si>
  <si>
    <t>1616232000-000</t>
  </si>
  <si>
    <t>1616232006-000</t>
  </si>
  <si>
    <t>1616303001-000</t>
  </si>
  <si>
    <t>1616312000-000</t>
  </si>
  <si>
    <t>1616312002-000</t>
  </si>
  <si>
    <t>1616312003-000</t>
  </si>
  <si>
    <t>1616312005-000</t>
  </si>
  <si>
    <t>1616312010-000</t>
  </si>
  <si>
    <t>1616316602-000</t>
  </si>
  <si>
    <t>1616317015-000</t>
  </si>
  <si>
    <t>1616317023-000</t>
  </si>
  <si>
    <t>1616317024-000</t>
  </si>
  <si>
    <t>1616317027-000</t>
  </si>
  <si>
    <t>1616317034-000</t>
  </si>
  <si>
    <t>1616317037-000</t>
  </si>
  <si>
    <t>1616317041-000</t>
  </si>
  <si>
    <t>1616317045-000</t>
  </si>
  <si>
    <t>1616317051-000</t>
  </si>
  <si>
    <t>1616317056-000</t>
  </si>
  <si>
    <t>1616317057-000</t>
  </si>
  <si>
    <t>1616317061-000</t>
  </si>
  <si>
    <t>1616317062-000</t>
  </si>
  <si>
    <t>1616317064-000</t>
  </si>
  <si>
    <t>1616317067-000</t>
  </si>
  <si>
    <t>1616317069-000</t>
  </si>
  <si>
    <t>1616317070-000</t>
  </si>
  <si>
    <t>1616317072-000</t>
  </si>
  <si>
    <t>1616317076-000</t>
  </si>
  <si>
    <t>1616317077-000</t>
  </si>
  <si>
    <t>1616317080-000</t>
  </si>
  <si>
    <t>1616317083-000</t>
  </si>
  <si>
    <t>1616317084-000</t>
  </si>
  <si>
    <t>1616317085-000</t>
  </si>
  <si>
    <t>1616317086-000</t>
  </si>
  <si>
    <t>1616317090-000</t>
  </si>
  <si>
    <t>1616317093-000</t>
  </si>
  <si>
    <t>1616317600-000</t>
  </si>
  <si>
    <t>1616317602-000</t>
  </si>
  <si>
    <t>1616317608-000</t>
  </si>
  <si>
    <t>1616317613-000</t>
  </si>
  <si>
    <t>1616317620-000</t>
  </si>
  <si>
    <t>1616317622-000</t>
  </si>
  <si>
    <t>1616318009-000</t>
  </si>
  <si>
    <t>1616320002-000</t>
  </si>
  <si>
    <t>1616320004-000</t>
  </si>
  <si>
    <t>1616320007-000</t>
  </si>
  <si>
    <t>1616325002-000</t>
  </si>
  <si>
    <t>1616328025-000</t>
  </si>
  <si>
    <t>1616328036-000</t>
  </si>
  <si>
    <t>1616328041-000</t>
  </si>
  <si>
    <t>1616328044-000</t>
  </si>
  <si>
    <t>1616328049-000</t>
  </si>
  <si>
    <t>1616328053-000</t>
  </si>
  <si>
    <t>1616333001-000</t>
  </si>
  <si>
    <t>1616333003-000</t>
  </si>
  <si>
    <t>1616333005-000</t>
  </si>
  <si>
    <t>1616333010-000</t>
  </si>
  <si>
    <t>1616333011-000</t>
  </si>
  <si>
    <t>1616333023-000</t>
  </si>
  <si>
    <t>1616333025-000</t>
  </si>
  <si>
    <t>1616333029-000</t>
  </si>
  <si>
    <t>1616333031-000</t>
  </si>
  <si>
    <t>1616333032-000</t>
  </si>
  <si>
    <t>1616333035-000</t>
  </si>
  <si>
    <t>1616333038-000</t>
  </si>
  <si>
    <t>1616333039-000</t>
  </si>
  <si>
    <t>1616333041-000</t>
  </si>
  <si>
    <t>1616333044-000</t>
  </si>
  <si>
    <t>1616333046-000</t>
  </si>
  <si>
    <t>1616333048-000</t>
  </si>
  <si>
    <t>1616333049-000</t>
  </si>
  <si>
    <t>1616333052-000</t>
  </si>
  <si>
    <t>1616333053-000</t>
  </si>
  <si>
    <t>161633329D-000</t>
  </si>
  <si>
    <t>1616334010-000</t>
  </si>
  <si>
    <t>1616334011-000</t>
  </si>
  <si>
    <t>1616334012-000</t>
  </si>
  <si>
    <t>1616337003-000</t>
  </si>
  <si>
    <t>1616337004-000</t>
  </si>
  <si>
    <t>1616409012-000</t>
  </si>
  <si>
    <t>1616409019-000</t>
  </si>
  <si>
    <t>1616409020-000</t>
  </si>
  <si>
    <t>1616409023-000</t>
  </si>
  <si>
    <t>1616409024-000</t>
  </si>
  <si>
    <t>1616455006-000</t>
  </si>
  <si>
    <t>1616455007-000</t>
  </si>
  <si>
    <t>1616490005-000</t>
  </si>
  <si>
    <t>1616490007-000</t>
  </si>
  <si>
    <t>1616490008-000</t>
  </si>
  <si>
    <t>1616490009-000</t>
  </si>
  <si>
    <t>1616490011-000</t>
  </si>
  <si>
    <t>1616490060-000</t>
  </si>
  <si>
    <t>1616490068-000</t>
  </si>
  <si>
    <t>1616490071-000</t>
  </si>
  <si>
    <t>1616610047-000</t>
  </si>
  <si>
    <t>1616610052-000</t>
  </si>
  <si>
    <t>1616610053-000</t>
  </si>
  <si>
    <t>1616610056-000</t>
  </si>
  <si>
    <t>1616610067-000</t>
  </si>
  <si>
    <t>1616610069-000</t>
  </si>
  <si>
    <t>1616610071-000</t>
  </si>
  <si>
    <t>1616610072-000</t>
  </si>
  <si>
    <t>1616610078-000</t>
  </si>
  <si>
    <t>1616610080-000</t>
  </si>
  <si>
    <t>1616610081-000</t>
  </si>
  <si>
    <t>1616610085-000</t>
  </si>
  <si>
    <t>1616610088-000</t>
  </si>
  <si>
    <t>1616610089-000</t>
  </si>
  <si>
    <t>1616610090-000</t>
  </si>
  <si>
    <t>1616610092-000</t>
  </si>
  <si>
    <t>1616610093-000</t>
  </si>
  <si>
    <t>1616610094-000</t>
  </si>
  <si>
    <t>1616610095-000</t>
  </si>
  <si>
    <t>1616610100-000</t>
  </si>
  <si>
    <t>1616610104-000</t>
  </si>
  <si>
    <t>1616610106-000</t>
  </si>
  <si>
    <t>1616610109-000</t>
  </si>
  <si>
    <t>1616610113-000</t>
  </si>
  <si>
    <t>1616610114-000</t>
  </si>
  <si>
    <t>1616B00224-000</t>
  </si>
  <si>
    <t>1616B10268-000</t>
  </si>
  <si>
    <t>1616B10269-000</t>
  </si>
  <si>
    <t>1617000014-000</t>
  </si>
  <si>
    <t>1617000036-000</t>
  </si>
  <si>
    <t>1617000037-000</t>
  </si>
  <si>
    <t>1617000038-000</t>
  </si>
  <si>
    <t>1617000050-000</t>
  </si>
  <si>
    <t>1617000057-000</t>
  </si>
  <si>
    <t>1617000059-000</t>
  </si>
  <si>
    <t>1617000060-000</t>
  </si>
  <si>
    <t>1617000079-000</t>
  </si>
  <si>
    <t>1617000085-000</t>
  </si>
  <si>
    <t>1617000130-000</t>
  </si>
  <si>
    <t>1617000134-000</t>
  </si>
  <si>
    <t>1617000136-000</t>
  </si>
  <si>
    <t>1617000154-000</t>
  </si>
  <si>
    <t>1617000169-000</t>
  </si>
  <si>
    <t>1617000171-000</t>
  </si>
  <si>
    <t>1617000172-000</t>
  </si>
  <si>
    <t>1617000177-000</t>
  </si>
  <si>
    <t>1617000180-000</t>
  </si>
  <si>
    <t>1617000186-000</t>
  </si>
  <si>
    <t>1617000188-000</t>
  </si>
  <si>
    <t>1617000196-000</t>
  </si>
  <si>
    <t>1617000198-000</t>
  </si>
  <si>
    <t>1617000215-000</t>
  </si>
  <si>
    <t>1617000224-000</t>
  </si>
  <si>
    <t>1617000225-000</t>
  </si>
  <si>
    <t>1617000240-000</t>
  </si>
  <si>
    <t>1617000241-000</t>
  </si>
  <si>
    <t>1617000248-000</t>
  </si>
  <si>
    <t>1617000270-000</t>
  </si>
  <si>
    <t>1617000271-000</t>
  </si>
  <si>
    <t>1617000273-000</t>
  </si>
  <si>
    <t>1617000291-000</t>
  </si>
  <si>
    <t>1617000293-000</t>
  </si>
  <si>
    <t>1617000294-000</t>
  </si>
  <si>
    <t>1617000297-000</t>
  </si>
  <si>
    <t>1617000298-000</t>
  </si>
  <si>
    <t>1617000303-000</t>
  </si>
  <si>
    <t>1617000313-000</t>
  </si>
  <si>
    <t>1617000314-000</t>
  </si>
  <si>
    <t>1617000315-000</t>
  </si>
  <si>
    <t>1617000316-000</t>
  </si>
  <si>
    <t>1617000319-000</t>
  </si>
  <si>
    <t>1617000320-000</t>
  </si>
  <si>
    <t>1617000321-000</t>
  </si>
  <si>
    <t>1617000322-000</t>
  </si>
  <si>
    <t>1617000324-000</t>
  </si>
  <si>
    <t>1617000325-000</t>
  </si>
  <si>
    <t>1617000326-000</t>
  </si>
  <si>
    <t>1617000332-000</t>
  </si>
  <si>
    <t>1617000337-000</t>
  </si>
  <si>
    <t>1617000338-000</t>
  </si>
  <si>
    <t>1617000343-000</t>
  </si>
  <si>
    <t>1617000345-000</t>
  </si>
  <si>
    <t>1617000348-000</t>
  </si>
  <si>
    <t>1617000349-000</t>
  </si>
  <si>
    <t>1617000357-000</t>
  </si>
  <si>
    <t>1617000361-000</t>
  </si>
  <si>
    <t>1617000362-000</t>
  </si>
  <si>
    <t>1617000375-000</t>
  </si>
  <si>
    <t>1617000376-000</t>
  </si>
  <si>
    <t>1617000379-000</t>
  </si>
  <si>
    <t>1617000380-000</t>
  </si>
  <si>
    <t>1617000382-000</t>
  </si>
  <si>
    <t>1617000383-000</t>
  </si>
  <si>
    <t>1617000385-000</t>
  </si>
  <si>
    <t>1617000392-000</t>
  </si>
  <si>
    <t>1617000403-000</t>
  </si>
  <si>
    <t>1617000406-000</t>
  </si>
  <si>
    <t>1617000407-000</t>
  </si>
  <si>
    <t>1617000408-000</t>
  </si>
  <si>
    <t>1617000409-000</t>
  </si>
  <si>
    <t>1617000412-000</t>
  </si>
  <si>
    <t>1617000417-000</t>
  </si>
  <si>
    <t>1617000418-000</t>
  </si>
  <si>
    <t>1617000428-000</t>
  </si>
  <si>
    <t>1617000429-000</t>
  </si>
  <si>
    <t>1617000430-000</t>
  </si>
  <si>
    <t>1617000432-000</t>
  </si>
  <si>
    <t>1617000433-000</t>
  </si>
  <si>
    <t>1617000442-000</t>
  </si>
  <si>
    <t>1617000452-000</t>
  </si>
  <si>
    <t>1617000459-000</t>
  </si>
  <si>
    <t>1617000460-000</t>
  </si>
  <si>
    <t>1617000463-000</t>
  </si>
  <si>
    <t>1617000464-000</t>
  </si>
  <si>
    <t>1617000465-000</t>
  </si>
  <si>
    <t>1617000473-000</t>
  </si>
  <si>
    <t>1617000474-000</t>
  </si>
  <si>
    <t>1617000475-000</t>
  </si>
  <si>
    <t>1617000477-000</t>
  </si>
  <si>
    <t>1617000478-000</t>
  </si>
  <si>
    <t>1617000480-000</t>
  </si>
  <si>
    <t>1617000481-000</t>
  </si>
  <si>
    <t>1617000483-000</t>
  </si>
  <si>
    <t>1617000488-000</t>
  </si>
  <si>
    <t>1617000489-000</t>
  </si>
  <si>
    <t>1617000490-000</t>
  </si>
  <si>
    <t>1617000491-000</t>
  </si>
  <si>
    <t>1617000492-000</t>
  </si>
  <si>
    <t>1617000493-000</t>
  </si>
  <si>
    <t>1617000494-000</t>
  </si>
  <si>
    <t>1617000495-000</t>
  </si>
  <si>
    <t>1617000497-000</t>
  </si>
  <si>
    <t>1617000499-000</t>
  </si>
  <si>
    <t>1617000500-000</t>
  </si>
  <si>
    <t>1617000511-000</t>
  </si>
  <si>
    <t>1617000516-000</t>
  </si>
  <si>
    <t>1617000517-000</t>
  </si>
  <si>
    <t>1617000523-000</t>
  </si>
  <si>
    <t>1617000524-000</t>
  </si>
  <si>
    <t>1617000526-000</t>
  </si>
  <si>
    <t>1617000527-000</t>
  </si>
  <si>
    <t>1617000528-000</t>
  </si>
  <si>
    <t>1617000529-000</t>
  </si>
  <si>
    <t>1617000530-000</t>
  </si>
  <si>
    <t>1617000531-000</t>
  </si>
  <si>
    <t>1617000557-000</t>
  </si>
  <si>
    <t>1617000560-000</t>
  </si>
  <si>
    <t>1617000562-000</t>
  </si>
  <si>
    <t>1617000564-000</t>
  </si>
  <si>
    <t>1617000580-000</t>
  </si>
  <si>
    <t>1617000581-000</t>
  </si>
  <si>
    <t>1617000665-000</t>
  </si>
  <si>
    <t>1617000667-000</t>
  </si>
  <si>
    <t>1617000668-000</t>
  </si>
  <si>
    <t>1617000669-000</t>
  </si>
  <si>
    <t>1617000685-000</t>
  </si>
  <si>
    <t>1617000689-000</t>
  </si>
  <si>
    <t>1617000691-000</t>
  </si>
  <si>
    <t>1617000693-000</t>
  </si>
  <si>
    <t>1617000694-000</t>
  </si>
  <si>
    <t>1617000697-000</t>
  </si>
  <si>
    <t>1617000698-000</t>
  </si>
  <si>
    <t>1617000699-000</t>
  </si>
  <si>
    <t>16170006AE-000</t>
  </si>
  <si>
    <t>16170006AT-000</t>
  </si>
  <si>
    <t>16170006B1-000</t>
  </si>
  <si>
    <t>16170006B2-000</t>
  </si>
  <si>
    <t>16170006B3-000</t>
  </si>
  <si>
    <t>16170006B4-000</t>
  </si>
  <si>
    <t>16170006B7-000</t>
  </si>
  <si>
    <t>16170006B8-000</t>
  </si>
  <si>
    <t>16170006BB-000</t>
  </si>
  <si>
    <t>16170006BF-000</t>
  </si>
  <si>
    <t>16170006BG-000</t>
  </si>
  <si>
    <t>16170006BH-000</t>
  </si>
  <si>
    <t>16170006BJ-000</t>
  </si>
  <si>
    <t>16170006BS-000</t>
  </si>
  <si>
    <t>16170006BT-000</t>
  </si>
  <si>
    <t>16170006BW-000</t>
  </si>
  <si>
    <t>16170006C9-000</t>
  </si>
  <si>
    <t>16170006CA-000</t>
  </si>
  <si>
    <t>16170006DJ-000</t>
  </si>
  <si>
    <t>16170006DM-000</t>
  </si>
  <si>
    <t>16170006DV-000</t>
  </si>
  <si>
    <t>16170006DY-000</t>
  </si>
  <si>
    <t>16170006EE-000</t>
  </si>
  <si>
    <t>16170006EP-000</t>
  </si>
  <si>
    <t>16170006EW-000</t>
  </si>
  <si>
    <t>1617000701-000</t>
  </si>
  <si>
    <t>1617000702-000</t>
  </si>
  <si>
    <t>1617000706-000</t>
  </si>
  <si>
    <t>1617000707-000</t>
  </si>
  <si>
    <t>1617000709-000</t>
  </si>
  <si>
    <t>1617000710-000</t>
  </si>
  <si>
    <t>1617000711-000</t>
  </si>
  <si>
    <t>1617000715-000</t>
  </si>
  <si>
    <t>1617000716-000</t>
  </si>
  <si>
    <t>1617000717-000</t>
  </si>
  <si>
    <t>1617000718-000</t>
  </si>
  <si>
    <t>1617000719-000</t>
  </si>
  <si>
    <t>1617000720-000</t>
  </si>
  <si>
    <t>1617000726-000</t>
  </si>
  <si>
    <t>1617000728-000</t>
  </si>
  <si>
    <t>1617000729-000</t>
  </si>
  <si>
    <t>1617000730-000</t>
  </si>
  <si>
    <t>1617000731-000</t>
  </si>
  <si>
    <t>1617000733-000</t>
  </si>
  <si>
    <t>1617000740-000</t>
  </si>
  <si>
    <t>1617000744-000</t>
  </si>
  <si>
    <t>1617000745-000</t>
  </si>
  <si>
    <t>1617000746-000</t>
  </si>
  <si>
    <t>1617000747-000</t>
  </si>
  <si>
    <t>1617000748-000</t>
  </si>
  <si>
    <t>1617000749-000</t>
  </si>
  <si>
    <t>1617000752-000</t>
  </si>
  <si>
    <t>1617000753-000</t>
  </si>
  <si>
    <t>1617000754-000</t>
  </si>
  <si>
    <t>1617000755-000</t>
  </si>
  <si>
    <t>1617000756-000</t>
  </si>
  <si>
    <t>1617000757-000</t>
  </si>
  <si>
    <t>1617000758-000</t>
  </si>
  <si>
    <t>1617000804-000</t>
  </si>
  <si>
    <t>1617000807-000</t>
  </si>
  <si>
    <t>1617000811-000</t>
  </si>
  <si>
    <t>1617000812-000</t>
  </si>
  <si>
    <t>1617000817-000</t>
  </si>
  <si>
    <t>1617000818-000</t>
  </si>
  <si>
    <t>1617000824-000</t>
  </si>
  <si>
    <t>1617000825-000</t>
  </si>
  <si>
    <t>1617000826-000</t>
  </si>
  <si>
    <t>1617000828-000</t>
  </si>
  <si>
    <t>1617000829-000</t>
  </si>
  <si>
    <t>1617000830-000</t>
  </si>
  <si>
    <t>1617000834-000</t>
  </si>
  <si>
    <t>1617000835-000</t>
  </si>
  <si>
    <t>1617000837-000</t>
  </si>
  <si>
    <t>1617000839-000</t>
  </si>
  <si>
    <t>1617000840-000</t>
  </si>
  <si>
    <t>1617000841-000</t>
  </si>
  <si>
    <t>1617000842-000</t>
  </si>
  <si>
    <t>1617000843-000</t>
  </si>
  <si>
    <t>1617000844-000</t>
  </si>
  <si>
    <t>1617000845-000</t>
  </si>
  <si>
    <t>1617000849-000</t>
  </si>
  <si>
    <t>1617000851-000</t>
  </si>
  <si>
    <t>1617000852-000</t>
  </si>
  <si>
    <t>1617000853-000</t>
  </si>
  <si>
    <t>1617000858-000</t>
  </si>
  <si>
    <t>1617000861-000</t>
  </si>
  <si>
    <t>1617000872-000</t>
  </si>
  <si>
    <t>1617000873-000</t>
  </si>
  <si>
    <t>1617000874-000</t>
  </si>
  <si>
    <t>1617000875-000</t>
  </si>
  <si>
    <t>1617000876-000</t>
  </si>
  <si>
    <t>1617000883-000</t>
  </si>
  <si>
    <t>1617000884-000</t>
  </si>
  <si>
    <t>1617000889-000</t>
  </si>
  <si>
    <t>1617000890-000</t>
  </si>
  <si>
    <t>1617000892-000</t>
  </si>
  <si>
    <t>1617000895-000</t>
  </si>
  <si>
    <t>1617000897-000</t>
  </si>
  <si>
    <t>1617000898-000</t>
  </si>
  <si>
    <t>1617000899-000</t>
  </si>
  <si>
    <t>1617000915-000</t>
  </si>
  <si>
    <t>1617000917-000</t>
  </si>
  <si>
    <t>1617000918-000</t>
  </si>
  <si>
    <t>1617000930-000</t>
  </si>
  <si>
    <t>1617000931-000</t>
  </si>
  <si>
    <t>1617000932-000</t>
  </si>
  <si>
    <t>1617000934-000</t>
  </si>
  <si>
    <t>1617000936-000</t>
  </si>
  <si>
    <t>1617000938-000</t>
  </si>
  <si>
    <t>1617000945-000</t>
  </si>
  <si>
    <t>1617000948-000</t>
  </si>
  <si>
    <t>1617000949-000</t>
  </si>
  <si>
    <t>1617000957-000</t>
  </si>
  <si>
    <t>1617000958-000</t>
  </si>
  <si>
    <t>1617000960-000</t>
  </si>
  <si>
    <t>1617000962-000</t>
  </si>
  <si>
    <t>1617000967-000</t>
  </si>
  <si>
    <t>1617000969-000</t>
  </si>
  <si>
    <t>1617000970-000</t>
  </si>
  <si>
    <t>1617000971-000</t>
  </si>
  <si>
    <t>1617000972-000</t>
  </si>
  <si>
    <t>1617000975-000</t>
  </si>
  <si>
    <t>1617000976-000</t>
  </si>
  <si>
    <t>1617000977-000</t>
  </si>
  <si>
    <t>1617000978-000</t>
  </si>
  <si>
    <t>1617000980-000</t>
  </si>
  <si>
    <t>1617000981-000</t>
  </si>
  <si>
    <t>1617000982-000</t>
  </si>
  <si>
    <t>1617000984-000</t>
  </si>
  <si>
    <t>1617000991-000</t>
  </si>
  <si>
    <t>1617000992-000</t>
  </si>
  <si>
    <t>1617000993-000</t>
  </si>
  <si>
    <t>1617000994-000</t>
  </si>
  <si>
    <t>1617000996-000</t>
  </si>
  <si>
    <t>1617000999-000</t>
  </si>
  <si>
    <t>1617000A00-000</t>
  </si>
  <si>
    <t>1617000A01-000</t>
  </si>
  <si>
    <t>1617000A02-000</t>
  </si>
  <si>
    <t>1617000A03-000</t>
  </si>
  <si>
    <t>1617000A04-000</t>
  </si>
  <si>
    <t>1617000A05-000</t>
  </si>
  <si>
    <t>1617000A07-000</t>
  </si>
  <si>
    <t>1617000A10-000</t>
  </si>
  <si>
    <t>1617000A26-000</t>
  </si>
  <si>
    <t>1617000A29-000</t>
  </si>
  <si>
    <t>1617000A30-000</t>
  </si>
  <si>
    <t>1617000A31-000</t>
  </si>
  <si>
    <t>1617000A32-000</t>
  </si>
  <si>
    <t>1617000A33-000</t>
  </si>
  <si>
    <t>1617000A34-000</t>
  </si>
  <si>
    <t>1617000A35-000</t>
  </si>
  <si>
    <t>1617000A36-000</t>
  </si>
  <si>
    <t>1617000A37-000</t>
  </si>
  <si>
    <t>1617000A38-000</t>
  </si>
  <si>
    <t>1617000A4J-000</t>
  </si>
  <si>
    <t>1617000A4L-000</t>
  </si>
  <si>
    <t>1617000A4R-000</t>
  </si>
  <si>
    <t>1617000A4W-000</t>
  </si>
  <si>
    <t>1617000A4Z-000</t>
  </si>
  <si>
    <t>1617000A50-000</t>
  </si>
  <si>
    <t>1617000A55-000</t>
  </si>
  <si>
    <t>1617000A5K-000</t>
  </si>
  <si>
    <t>1617000V41-000</t>
  </si>
  <si>
    <t>1617000V42-000</t>
  </si>
  <si>
    <t>1617000V43-000</t>
  </si>
  <si>
    <t>1617000V55-000</t>
  </si>
  <si>
    <t>1617000V75-000</t>
  </si>
  <si>
    <t>1617000V76-000</t>
  </si>
  <si>
    <t>1617014106-000</t>
  </si>
  <si>
    <t>1617014108-000</t>
  </si>
  <si>
    <t>1617014110-000</t>
  </si>
  <si>
    <t>1617014111-000</t>
  </si>
  <si>
    <t>1617014114-000</t>
  </si>
  <si>
    <t>1617014117-000</t>
  </si>
  <si>
    <t>1617014119-000</t>
  </si>
  <si>
    <t>1617014124-000</t>
  </si>
  <si>
    <t>1617014127-000</t>
  </si>
  <si>
    <t>1617014131-000</t>
  </si>
  <si>
    <t>1617014142-000</t>
  </si>
  <si>
    <t>1617016009-000</t>
  </si>
  <si>
    <t>1617031004-000</t>
  </si>
  <si>
    <t>1617031009-000</t>
  </si>
  <si>
    <t>1617031014-000</t>
  </si>
  <si>
    <t>1617200015-000</t>
  </si>
  <si>
    <t>1617200017-000</t>
  </si>
  <si>
    <t>1617200021-000</t>
  </si>
  <si>
    <t>1617200040-000</t>
  </si>
  <si>
    <t>1617200041-000</t>
  </si>
  <si>
    <t>1617200042-000</t>
  </si>
  <si>
    <t>1617200047-000</t>
  </si>
  <si>
    <t>1617200052-000</t>
  </si>
  <si>
    <t>1617200056-000</t>
  </si>
  <si>
    <t>1617200067-000</t>
  </si>
  <si>
    <t>1617200070-000</t>
  </si>
  <si>
    <t>1617200081-000</t>
  </si>
  <si>
    <t>1617200083-000</t>
  </si>
  <si>
    <t>1617200088-000</t>
  </si>
  <si>
    <t>1617200089-000</t>
  </si>
  <si>
    <t>1617200095-000</t>
  </si>
  <si>
    <t>1617200102-000</t>
  </si>
  <si>
    <t>1617200108-000</t>
  </si>
  <si>
    <t>1617200110-000</t>
  </si>
  <si>
    <t>1617200112-000</t>
  </si>
  <si>
    <t>1617200113-000</t>
  </si>
  <si>
    <t>1617200120-000</t>
  </si>
  <si>
    <t>1617200130-000</t>
  </si>
  <si>
    <t>1617200500-000</t>
  </si>
  <si>
    <t>1617200515-000</t>
  </si>
  <si>
    <t>1617220073-000</t>
  </si>
  <si>
    <t>1617233016-000</t>
  </si>
  <si>
    <t>1617233018-000</t>
  </si>
  <si>
    <t>1617233026-000</t>
  </si>
  <si>
    <t>1617233028-000</t>
  </si>
  <si>
    <t>1617233032-000</t>
  </si>
  <si>
    <t>1617233037-000</t>
  </si>
  <si>
    <t>1617233042-000</t>
  </si>
  <si>
    <t>1617233047-000</t>
  </si>
  <si>
    <t>1617233049-000</t>
  </si>
  <si>
    <t>1617233052-000</t>
  </si>
  <si>
    <t>1617328002-000</t>
  </si>
  <si>
    <t>1617328029-000</t>
  </si>
  <si>
    <t>1617328032-000</t>
  </si>
  <si>
    <t>1617S00T1Z-000</t>
  </si>
  <si>
    <t>1617S00T4M-000</t>
  </si>
  <si>
    <t>1618000028-000</t>
  </si>
  <si>
    <t>1618040053-000</t>
  </si>
  <si>
    <t>1618040059-000</t>
  </si>
  <si>
    <t>1618040071-000</t>
  </si>
  <si>
    <t>1618040073-000</t>
  </si>
  <si>
    <t>1618040074-000</t>
  </si>
  <si>
    <t>1618040084-000</t>
  </si>
  <si>
    <t>1618040087-000</t>
  </si>
  <si>
    <t>1618040094-000</t>
  </si>
  <si>
    <t>1618040095-000</t>
  </si>
  <si>
    <t>1618040097-000</t>
  </si>
  <si>
    <t>1618045018-000</t>
  </si>
  <si>
    <t>1618045022-000</t>
  </si>
  <si>
    <t>1618045024-000</t>
  </si>
  <si>
    <t>1618045026-000</t>
  </si>
  <si>
    <t>1618597023-000</t>
  </si>
  <si>
    <t>1618597029-000</t>
  </si>
  <si>
    <t>1618597031-000</t>
  </si>
  <si>
    <t>1618597032-000</t>
  </si>
  <si>
    <t>1618597033-000</t>
  </si>
  <si>
    <t>1618597060-000</t>
  </si>
  <si>
    <t>1618597067-000</t>
  </si>
  <si>
    <t>1618597068-000</t>
  </si>
  <si>
    <t>1618597069-000</t>
  </si>
  <si>
    <t>1618597071-000</t>
  </si>
  <si>
    <t>1618597072-000</t>
  </si>
  <si>
    <t>1618597102-000</t>
  </si>
  <si>
    <t>1618597105-000</t>
  </si>
  <si>
    <t>1618597118-000</t>
  </si>
  <si>
    <t>1618597119-000</t>
  </si>
  <si>
    <t>1618597129-000</t>
  </si>
  <si>
    <t>1618598175-000</t>
  </si>
  <si>
    <t>1618598191-000</t>
  </si>
  <si>
    <t>1618598220-000</t>
  </si>
  <si>
    <t>1618598221-000</t>
  </si>
  <si>
    <t>1618598241-000</t>
  </si>
  <si>
    <t>1618598248-000</t>
  </si>
  <si>
    <t>1618598249-000</t>
  </si>
  <si>
    <t>1618700033-000</t>
  </si>
  <si>
    <t>1618700041-000</t>
  </si>
  <si>
    <t>1618700043-000</t>
  </si>
  <si>
    <t>1618700047-000</t>
  </si>
  <si>
    <t>1618700052-000</t>
  </si>
  <si>
    <t>1618700057-000</t>
  </si>
  <si>
    <t>1618700060-000</t>
  </si>
  <si>
    <t>1618700063-000</t>
  </si>
  <si>
    <t>1618700066-000</t>
  </si>
  <si>
    <t>1618700073-000</t>
  </si>
  <si>
    <t>1618700075-000</t>
  </si>
  <si>
    <t>1618700083-000</t>
  </si>
  <si>
    <t>1618700085-000</t>
  </si>
  <si>
    <t>1618700093-000</t>
  </si>
  <si>
    <t>1618710030-000</t>
  </si>
  <si>
    <t>1618710038-000</t>
  </si>
  <si>
    <t>1618710039-000</t>
  </si>
  <si>
    <t>1618710044-000</t>
  </si>
  <si>
    <t>1618710051-000</t>
  </si>
  <si>
    <t>1618710052-000</t>
  </si>
  <si>
    <t>1618710053-000</t>
  </si>
  <si>
    <t>1618710055-000</t>
  </si>
  <si>
    <t>1618710057-000</t>
  </si>
  <si>
    <t>1618710058-000</t>
  </si>
  <si>
    <t>1618710060-000</t>
  </si>
  <si>
    <t>1618710062-000</t>
  </si>
  <si>
    <t>1618710066-000</t>
  </si>
  <si>
    <t>1618710068-000</t>
  </si>
  <si>
    <t>1618710070-000</t>
  </si>
  <si>
    <t>1618710071-000</t>
  </si>
  <si>
    <t>1618710073-000</t>
  </si>
  <si>
    <t>1618710074-000</t>
  </si>
  <si>
    <t>1618710077-000</t>
  </si>
  <si>
    <t>1618710080-000</t>
  </si>
  <si>
    <t>1618710083-000</t>
  </si>
  <si>
    <t>1618710085-000</t>
  </si>
  <si>
    <t>1618710089-000</t>
  </si>
  <si>
    <t>1618710091-000</t>
  </si>
  <si>
    <t>1618710094-000</t>
  </si>
  <si>
    <t>1618900001-000</t>
  </si>
  <si>
    <t>1618900002-000</t>
  </si>
  <si>
    <t>1618900003-000</t>
  </si>
  <si>
    <t>1618900004-000</t>
  </si>
  <si>
    <t>1618B00804-000</t>
  </si>
  <si>
    <t>1618B00903-000</t>
  </si>
  <si>
    <t>1618C0012T-000</t>
  </si>
  <si>
    <t>1618C00325-000</t>
  </si>
  <si>
    <t>1618C00326-000</t>
  </si>
  <si>
    <t>1618C00462-000</t>
  </si>
  <si>
    <t>1618C00463-000</t>
  </si>
  <si>
    <t>1618C00464-000</t>
  </si>
  <si>
    <t>1618C00465-000</t>
  </si>
  <si>
    <t>1618C00487-000</t>
  </si>
  <si>
    <t>1618C00489-000</t>
  </si>
  <si>
    <t>1618C00491-000</t>
  </si>
  <si>
    <t>1618C00492-000</t>
  </si>
  <si>
    <t>1618C0060U-000</t>
  </si>
  <si>
    <t>1618C0061B-000</t>
  </si>
  <si>
    <t>1618C0061N-000</t>
  </si>
  <si>
    <t>1618C0066E-000</t>
  </si>
  <si>
    <t>1618C0075A-000</t>
  </si>
  <si>
    <t>1618C0081G-000</t>
  </si>
  <si>
    <t>1618C0088U-000</t>
  </si>
  <si>
    <t>1618C0109R-000</t>
  </si>
  <si>
    <t>1618C0110Z-000</t>
  </si>
  <si>
    <t>1618C0111A-000</t>
  </si>
  <si>
    <t>1618C0111B-000</t>
  </si>
  <si>
    <t>1618C0111C-000</t>
  </si>
  <si>
    <t>1618C0114L-000</t>
  </si>
  <si>
    <t>1618C0114U-000</t>
  </si>
  <si>
    <t>1618C0119V-000</t>
  </si>
  <si>
    <t>1618C0120G-000</t>
  </si>
  <si>
    <t>1618C0121B-000</t>
  </si>
  <si>
    <t>1618C0121C-000</t>
  </si>
  <si>
    <t>1618C0125E-000</t>
  </si>
  <si>
    <t>1618C0126V-000</t>
  </si>
  <si>
    <t>1618C0126X-000</t>
  </si>
  <si>
    <t>1618C0139J-000</t>
  </si>
  <si>
    <t>1618C01473-000</t>
  </si>
  <si>
    <t>1618C01495-000</t>
  </si>
  <si>
    <t>1618C01699-000</t>
  </si>
  <si>
    <t>1618C01707-000</t>
  </si>
  <si>
    <t>1618C01752-000</t>
  </si>
  <si>
    <t>1618C01773-000</t>
  </si>
  <si>
    <t>1618C01774-000</t>
  </si>
  <si>
    <t>1619990149-000</t>
  </si>
  <si>
    <t>1619990151-000</t>
  </si>
  <si>
    <t>1619990177-000</t>
  </si>
  <si>
    <t>1619990179-000</t>
  </si>
  <si>
    <t>1619P00029-000</t>
  </si>
  <si>
    <t>1619P00105-000</t>
  </si>
  <si>
    <t>1619P00108-000</t>
  </si>
  <si>
    <t>1619P00109-000</t>
  </si>
  <si>
    <t>1619P00141-000</t>
  </si>
  <si>
    <t>1619P00219-000</t>
  </si>
  <si>
    <t>1619P00220-000</t>
  </si>
  <si>
    <t>1619P00228-000</t>
  </si>
  <si>
    <t>1619P00290-000</t>
  </si>
  <si>
    <t>1619P00428-000</t>
  </si>
  <si>
    <t>1619P00444-000</t>
  </si>
  <si>
    <t>1619P00445-000</t>
  </si>
  <si>
    <t>1619P00446-000</t>
  </si>
  <si>
    <t>1619P00455-000</t>
  </si>
  <si>
    <t>1619P00828-000</t>
  </si>
  <si>
    <t>1619P00829-000</t>
  </si>
  <si>
    <t>1619P00987-000</t>
  </si>
  <si>
    <t>1619P00999-000</t>
  </si>
  <si>
    <t>1619P01066-000</t>
  </si>
  <si>
    <t>1619P01104-000</t>
  </si>
  <si>
    <t>1619P01127-000</t>
  </si>
  <si>
    <t>1619P01130-000</t>
  </si>
  <si>
    <t>1619P01131-000</t>
  </si>
  <si>
    <t>1619P01137-000</t>
  </si>
  <si>
    <t>1619P01139-000</t>
  </si>
  <si>
    <t>1619P01140-000</t>
  </si>
  <si>
    <t>1619P01141-000</t>
  </si>
  <si>
    <t>1619P01142-000</t>
  </si>
  <si>
    <t>1619P01143-000</t>
  </si>
  <si>
    <t>1619P01151-000</t>
  </si>
  <si>
    <t>1619P01152-000</t>
  </si>
  <si>
    <t>1619P01153-000</t>
  </si>
  <si>
    <t>1619P01154-000</t>
  </si>
  <si>
    <t>1619P01155-000</t>
  </si>
  <si>
    <t>1619P01156-000</t>
  </si>
  <si>
    <t>1619P01158-000</t>
  </si>
  <si>
    <t>1619P01161-000</t>
  </si>
  <si>
    <t>1619P01173-000</t>
  </si>
  <si>
    <t>1619P01182-000</t>
  </si>
  <si>
    <t>1619P01194-000</t>
  </si>
  <si>
    <t>1619P01195-000</t>
  </si>
  <si>
    <t>1619P01197-000</t>
  </si>
  <si>
    <t>1619P01198-000</t>
  </si>
  <si>
    <t>1619P01199-000</t>
  </si>
  <si>
    <t>1619P01203-000</t>
  </si>
  <si>
    <t>1619P01204-000</t>
  </si>
  <si>
    <t>1619P01205-000</t>
  </si>
  <si>
    <t>1619P01206-000</t>
  </si>
  <si>
    <t>1619P01207-000</t>
  </si>
  <si>
    <t>1619P01209-000</t>
  </si>
  <si>
    <t>1619P01212-000</t>
  </si>
  <si>
    <t>1619P01213-000</t>
  </si>
  <si>
    <t>1619P01214-000</t>
  </si>
  <si>
    <t>1619P01218-000</t>
  </si>
  <si>
    <t>1619P01220-000</t>
  </si>
  <si>
    <t>1619P01230-000</t>
  </si>
  <si>
    <t>1619P01231-000</t>
  </si>
  <si>
    <t>1619P01232-000</t>
  </si>
  <si>
    <t>1619P01238-000</t>
  </si>
  <si>
    <t>1619P01239-000</t>
  </si>
  <si>
    <t>1619P01240-000</t>
  </si>
  <si>
    <t>1619P01242-000</t>
  </si>
  <si>
    <t>1619P01243-000</t>
  </si>
  <si>
    <t>1619P01244-000</t>
  </si>
  <si>
    <t>1619P01245-000</t>
  </si>
  <si>
    <t>1619P01246-000</t>
  </si>
  <si>
    <t>1619P01254-000</t>
  </si>
  <si>
    <t>1619P01255-000</t>
  </si>
  <si>
    <t>1619P01256-000</t>
  </si>
  <si>
    <t>1619P01257-000</t>
  </si>
  <si>
    <t>1619P01258-000</t>
  </si>
  <si>
    <t>1619P01259-000</t>
  </si>
  <si>
    <t>1619P01260-000</t>
  </si>
  <si>
    <t>1619P01261-000</t>
  </si>
  <si>
    <t>1619P01262-000</t>
  </si>
  <si>
    <t>1619P01264-000</t>
  </si>
  <si>
    <t>1619P01265-000</t>
  </si>
  <si>
    <t>1619P01266-000</t>
  </si>
  <si>
    <t>1619P01268-000</t>
  </si>
  <si>
    <t>1619P01310-000</t>
  </si>
  <si>
    <t>1619P01316-000</t>
  </si>
  <si>
    <t>1619P01317-000</t>
  </si>
  <si>
    <t>1619P01325-000</t>
  </si>
  <si>
    <t>1619P01327-000</t>
  </si>
  <si>
    <t>1619P01375-000</t>
  </si>
  <si>
    <t>1619P01380-000</t>
  </si>
  <si>
    <t>1619P01385-000</t>
  </si>
  <si>
    <t>1619P01387-000</t>
  </si>
  <si>
    <t>1619P01389-000</t>
  </si>
  <si>
    <t>1619P01392-000</t>
  </si>
  <si>
    <t>1619P01393-000</t>
  </si>
  <si>
    <t>1619P01395-000</t>
  </si>
  <si>
    <t>1619P01396-000</t>
  </si>
  <si>
    <t>1619P01397-000</t>
  </si>
  <si>
    <t>1619P01446-000</t>
  </si>
  <si>
    <t>1619P01447-000</t>
  </si>
  <si>
    <t>1619P01449-000</t>
  </si>
  <si>
    <t>1619P01508-000</t>
  </si>
  <si>
    <t>1619P01511-000</t>
  </si>
  <si>
    <t>1619P01524-000</t>
  </si>
  <si>
    <t>1619P01532-000</t>
  </si>
  <si>
    <t>1619P01535-000</t>
  </si>
  <si>
    <t>1619P01539-000</t>
  </si>
  <si>
    <t>1619P01571-000</t>
  </si>
  <si>
    <t>1619P01598-000</t>
  </si>
  <si>
    <t>1619P01618-000</t>
  </si>
  <si>
    <t>1619P01620-000</t>
  </si>
  <si>
    <t>1619P01623-000</t>
  </si>
  <si>
    <t>1619P01624-000</t>
  </si>
  <si>
    <t>1619P01626-000</t>
  </si>
  <si>
    <t>1619P01627-000</t>
  </si>
  <si>
    <t>1619P01628-000</t>
  </si>
  <si>
    <t>1619P01629-000</t>
  </si>
  <si>
    <t>1619P01630-000</t>
  </si>
  <si>
    <t>1619P01631-000</t>
  </si>
  <si>
    <t>1619P01632-000</t>
  </si>
  <si>
    <t>1619P01633-000</t>
  </si>
  <si>
    <t>1619P01634-000</t>
  </si>
  <si>
    <t>1619P01635-000</t>
  </si>
  <si>
    <t>1619P01636-000</t>
  </si>
  <si>
    <t>1619P01637-000</t>
  </si>
  <si>
    <t>1619P01639-000</t>
  </si>
  <si>
    <t>1619P01643-000</t>
  </si>
  <si>
    <t>1619P01644-000</t>
  </si>
  <si>
    <t>1619P01665-000</t>
  </si>
  <si>
    <t>1619P01666-000</t>
  </si>
  <si>
    <t>1619P01668-000</t>
  </si>
  <si>
    <t>1619P01669-000</t>
  </si>
  <si>
    <t>1619P01673-000</t>
  </si>
  <si>
    <t>1619P01674-000</t>
  </si>
  <si>
    <t>1619P01676-000</t>
  </si>
  <si>
    <t>1619P01677-000</t>
  </si>
  <si>
    <t>1619P01678-000</t>
  </si>
  <si>
    <t>1619P01679-000</t>
  </si>
  <si>
    <t>1619P01680-000</t>
  </si>
  <si>
    <t>1619P01717-000</t>
  </si>
  <si>
    <t>1619P01767-000</t>
  </si>
  <si>
    <t>1619P01769-000</t>
  </si>
  <si>
    <t>1619P01771-000</t>
  </si>
  <si>
    <t>1619P01772-000</t>
  </si>
  <si>
    <t>1619P01773-000</t>
  </si>
  <si>
    <t>1619P01775-000</t>
  </si>
  <si>
    <t>1619P01776-000</t>
  </si>
  <si>
    <t>1619P01783-000</t>
  </si>
  <si>
    <t>1619P01787-000</t>
  </si>
  <si>
    <t>1619P01811-000</t>
  </si>
  <si>
    <t>1619P01902-000</t>
  </si>
  <si>
    <t>1619P01925-000</t>
  </si>
  <si>
    <t>1619P01931-000</t>
  </si>
  <si>
    <t>1619P01932-000</t>
  </si>
  <si>
    <t>1619P01957-000</t>
  </si>
  <si>
    <t>1619P01960-000</t>
  </si>
  <si>
    <t>1619P01962-000</t>
  </si>
  <si>
    <t>1619P02043-000</t>
  </si>
  <si>
    <t>1619P02138-000</t>
  </si>
  <si>
    <t>1619P02182-000</t>
  </si>
  <si>
    <t>1619P02325-000</t>
  </si>
  <si>
    <t>1619P02328-000</t>
  </si>
  <si>
    <t>1619P02333-000</t>
  </si>
  <si>
    <t>1619P02421-000</t>
  </si>
  <si>
    <t>1619P02422-000</t>
  </si>
  <si>
    <t>1619P02580-000</t>
  </si>
  <si>
    <t>1619P02581-000</t>
  </si>
  <si>
    <t>1619P02708-000</t>
  </si>
  <si>
    <t>1619P02775-000</t>
  </si>
  <si>
    <t>1619P02776-000</t>
  </si>
  <si>
    <t>1619P02783-000</t>
  </si>
  <si>
    <t>1619P02796-000</t>
  </si>
  <si>
    <t>1619P02799-000</t>
  </si>
  <si>
    <t>1619P02800-000</t>
  </si>
  <si>
    <t>1619P02801-000</t>
  </si>
  <si>
    <t>1619P02809-000</t>
  </si>
  <si>
    <t>1619P02812-000</t>
  </si>
  <si>
    <t>1619P02820-000</t>
  </si>
  <si>
    <t>1619P02821-000</t>
  </si>
  <si>
    <t>1619P02822-000</t>
  </si>
  <si>
    <t>1619P02823-000</t>
  </si>
  <si>
    <t>1619P02824-000</t>
  </si>
  <si>
    <t>1619P02825-000</t>
  </si>
  <si>
    <t>1619P02826-000</t>
  </si>
  <si>
    <t>1619P02827-000</t>
  </si>
  <si>
    <t>1619P02828-000</t>
  </si>
  <si>
    <t>1619P02833-000</t>
  </si>
  <si>
    <t>1619P02834-000</t>
  </si>
  <si>
    <t>1619P02835-000</t>
  </si>
  <si>
    <t>1619P02838-000</t>
  </si>
  <si>
    <t>1619P02843-000</t>
  </si>
  <si>
    <t>1619P02845-000</t>
  </si>
  <si>
    <t>1619P02848-000</t>
  </si>
  <si>
    <t>1619P02849-000</t>
  </si>
  <si>
    <t>1619P02866-000</t>
  </si>
  <si>
    <t>1619P02872-000</t>
  </si>
  <si>
    <t>1619P02873-000</t>
  </si>
  <si>
    <t>1619P03278-000</t>
  </si>
  <si>
    <t>1619P03323-000</t>
  </si>
  <si>
    <t>1619P03324-000</t>
  </si>
  <si>
    <t>1619P03340-000</t>
  </si>
  <si>
    <t>1619P03453-000</t>
  </si>
  <si>
    <t>1619P03470-000</t>
  </si>
  <si>
    <t>1619P03473-000</t>
  </si>
  <si>
    <t>1619P03474-000</t>
  </si>
  <si>
    <t>1619P03482-000</t>
  </si>
  <si>
    <t>1619P03669-000</t>
  </si>
  <si>
    <t>1619P03725-000</t>
  </si>
  <si>
    <t>1619P03727-000</t>
  </si>
  <si>
    <t>1619P03732-000</t>
  </si>
  <si>
    <t>1619P03733-000</t>
  </si>
  <si>
    <t>1619P03734-000</t>
  </si>
  <si>
    <t>1619P03735-000</t>
  </si>
  <si>
    <t>1619P03740-000</t>
  </si>
  <si>
    <t>1619P03741-000</t>
  </si>
  <si>
    <t>1619P03744-000</t>
  </si>
  <si>
    <t>1619P03748-000</t>
  </si>
  <si>
    <t>1619P03749-000</t>
  </si>
  <si>
    <t>1619P03750-000</t>
  </si>
  <si>
    <t>1619P03751-000</t>
  </si>
  <si>
    <t>1619P03752-000</t>
  </si>
  <si>
    <t>1619P03753-000</t>
  </si>
  <si>
    <t>1619P03755-000</t>
  </si>
  <si>
    <t>1619P03756-000</t>
  </si>
  <si>
    <t>1619P03757-000</t>
  </si>
  <si>
    <t>1619P03758-000</t>
  </si>
  <si>
    <t>1619P03760-000</t>
  </si>
  <si>
    <t>1619P03761-000</t>
  </si>
  <si>
    <t>1619P03762-000</t>
  </si>
  <si>
    <t>1619P03763-000</t>
  </si>
  <si>
    <t>1619P03764-000</t>
  </si>
  <si>
    <t>1619P03765-000</t>
  </si>
  <si>
    <t>1619P03766-000</t>
  </si>
  <si>
    <t>1619P03771-000</t>
  </si>
  <si>
    <t>1619P03778-000</t>
  </si>
  <si>
    <t>1619P03782-000</t>
  </si>
  <si>
    <t>1619P03783-000</t>
  </si>
  <si>
    <t>1619P03786-000</t>
  </si>
  <si>
    <t>1619P03801-000</t>
  </si>
  <si>
    <t>1619P03802-000</t>
  </si>
  <si>
    <t>1619P03807-000</t>
  </si>
  <si>
    <t>1619P03808-000</t>
  </si>
  <si>
    <t>1619P03809-000</t>
  </si>
  <si>
    <t>1619P03810-000</t>
  </si>
  <si>
    <t>1619P03811-000</t>
  </si>
  <si>
    <t>1619P03812-000</t>
  </si>
  <si>
    <t>1619P03814-000</t>
  </si>
  <si>
    <t>1619P03815-000</t>
  </si>
  <si>
    <t>1619P03816-000</t>
  </si>
  <si>
    <t>1619P03818-000</t>
  </si>
  <si>
    <t>1619P03819-000</t>
  </si>
  <si>
    <t>1619P03821-000</t>
  </si>
  <si>
    <t>1619P03822-000</t>
  </si>
  <si>
    <t>1619P03823-000</t>
  </si>
  <si>
    <t>1619P03824-000</t>
  </si>
  <si>
    <t>1619P03825-000</t>
  </si>
  <si>
    <t>1619P03826-000</t>
  </si>
  <si>
    <t>1619P03827-000</t>
  </si>
  <si>
    <t>1619P03828-000</t>
  </si>
  <si>
    <t>1619P03829-000</t>
  </si>
  <si>
    <t>1619P03830-000</t>
  </si>
  <si>
    <t>1619P03831-000</t>
  </si>
  <si>
    <t>1619P03832-000</t>
  </si>
  <si>
    <t>1619P03833-000</t>
  </si>
  <si>
    <t>1619P03834-000</t>
  </si>
  <si>
    <t>1619P03835-000</t>
  </si>
  <si>
    <t>1619P03837-000</t>
  </si>
  <si>
    <t>1619P03838-000</t>
  </si>
  <si>
    <t>1619P03839-000</t>
  </si>
  <si>
    <t>1619P03840-000</t>
  </si>
  <si>
    <t>1619P03841-000</t>
  </si>
  <si>
    <t>1619P03844-000</t>
  </si>
  <si>
    <t>1619P03848-000</t>
  </si>
  <si>
    <t>1619P03850-000</t>
  </si>
  <si>
    <t>1619P03853-000</t>
  </si>
  <si>
    <t>1619P03855-000</t>
  </si>
  <si>
    <t>1619P03860-000</t>
  </si>
  <si>
    <t>1619P03863-000</t>
  </si>
  <si>
    <t>1619P03864-000</t>
  </si>
  <si>
    <t>1619P03866-000</t>
  </si>
  <si>
    <t>1619P03871-000</t>
  </si>
  <si>
    <t>1619P03873-000</t>
  </si>
  <si>
    <t>1619P03903-000</t>
  </si>
  <si>
    <t>1619P03904-000</t>
  </si>
  <si>
    <t>1619P03905-000</t>
  </si>
  <si>
    <t>1619P03907-000</t>
  </si>
  <si>
    <t>1619P03909-000</t>
  </si>
  <si>
    <t>1619P03911-000</t>
  </si>
  <si>
    <t>1619P03914-000</t>
  </si>
  <si>
    <t>1619P03927-000</t>
  </si>
  <si>
    <t>1619P04420-000</t>
  </si>
  <si>
    <t>1619P04421-000</t>
  </si>
  <si>
    <t>1619P04424-000</t>
  </si>
  <si>
    <t>1619P04451-000</t>
  </si>
  <si>
    <t>1619P04505-000</t>
  </si>
  <si>
    <t>1619P04514-000</t>
  </si>
  <si>
    <t>1619P04540-000</t>
  </si>
  <si>
    <t>1619P04820-000</t>
  </si>
  <si>
    <t>1619P04821-000</t>
  </si>
  <si>
    <t>1619P04823-000</t>
  </si>
  <si>
    <t>1619P04824-000</t>
  </si>
  <si>
    <t>1619P04826-000</t>
  </si>
  <si>
    <t>1619P04827-000</t>
  </si>
  <si>
    <t>1619P04828-000</t>
  </si>
  <si>
    <t>1619P04831-000</t>
  </si>
  <si>
    <t>1619P04833-000</t>
  </si>
  <si>
    <t>1619P04834-000</t>
  </si>
  <si>
    <t>1619P04835-000</t>
  </si>
  <si>
    <t>1619P04837-000</t>
  </si>
  <si>
    <t>1619P04840-000</t>
  </si>
  <si>
    <t>1619P05084-000</t>
  </si>
  <si>
    <t>1619P05210-000</t>
  </si>
  <si>
    <t>1619P05243-000</t>
  </si>
  <si>
    <t>1619P05282-000</t>
  </si>
  <si>
    <t>1619P05305-000</t>
  </si>
  <si>
    <t>1619P05379-000</t>
  </si>
  <si>
    <t>1619P05382-000</t>
  </si>
  <si>
    <t>1619P05408-000</t>
  </si>
  <si>
    <t>1619P05422-000</t>
  </si>
  <si>
    <t>1619P05669-000</t>
  </si>
  <si>
    <t>1619P05670-000</t>
  </si>
  <si>
    <t>1619P05967-000</t>
  </si>
  <si>
    <t>1619P06024-000</t>
  </si>
  <si>
    <t>1619P06026-000</t>
  </si>
  <si>
    <t>1619P06027-000</t>
  </si>
  <si>
    <t>1619P06028-000</t>
  </si>
  <si>
    <t>1619P06029-000</t>
  </si>
  <si>
    <t>1619P06030-000</t>
  </si>
  <si>
    <t>1619P06031-000</t>
  </si>
  <si>
    <t>1619P06032-000</t>
  </si>
  <si>
    <t>1619P06033-000</t>
  </si>
  <si>
    <t>1619P06034-000</t>
  </si>
  <si>
    <t>1619P06035-000</t>
  </si>
  <si>
    <t>1619P06036-000</t>
  </si>
  <si>
    <t>1619P06037-000</t>
  </si>
  <si>
    <t>1619P06038-000</t>
  </si>
  <si>
    <t>1619P06039-000</t>
  </si>
  <si>
    <t>1619P06040-000</t>
  </si>
  <si>
    <t>1619P06041-000</t>
  </si>
  <si>
    <t>1619P06071-000</t>
  </si>
  <si>
    <t>1619P06072-000</t>
  </si>
  <si>
    <t>1619P06089-000</t>
  </si>
  <si>
    <t>1619P06121-000</t>
  </si>
  <si>
    <t>1619P06199-000</t>
  </si>
  <si>
    <t>1619P06207-000</t>
  </si>
  <si>
    <t>1619P06211-000</t>
  </si>
  <si>
    <t>1619P06212-000</t>
  </si>
  <si>
    <t>1619P06213-000</t>
  </si>
  <si>
    <t>1619P06218-000</t>
  </si>
  <si>
    <t>1619P06219-000</t>
  </si>
  <si>
    <t>1619P06221-000</t>
  </si>
  <si>
    <t>1619P06222-000</t>
  </si>
  <si>
    <t>1619P06225-000</t>
  </si>
  <si>
    <t>1619P06226-000</t>
  </si>
  <si>
    <t>1619P06227-000</t>
  </si>
  <si>
    <t>1619P06231-000</t>
  </si>
  <si>
    <t>1619P06234-000</t>
  </si>
  <si>
    <t>1619P06235-000</t>
  </si>
  <si>
    <t>1619P06236-000</t>
  </si>
  <si>
    <t>1619P06237-000</t>
  </si>
  <si>
    <t>1619P06244-000</t>
  </si>
  <si>
    <t>1619P06245-000</t>
  </si>
  <si>
    <t>1619P06246-000</t>
  </si>
  <si>
    <t>1619P06252-000</t>
  </si>
  <si>
    <t>1619P06265-000</t>
  </si>
  <si>
    <t>1619P06286-000</t>
  </si>
  <si>
    <t>1619P06313-000</t>
  </si>
  <si>
    <t>1619P06314-000</t>
  </si>
  <si>
    <t>1619P06316-000</t>
  </si>
  <si>
    <t>1619P06317-000</t>
  </si>
  <si>
    <t>1619P06327-000</t>
  </si>
  <si>
    <t>1619P06334-000</t>
  </si>
  <si>
    <t>1619P06341-000</t>
  </si>
  <si>
    <t>1619P06342-000</t>
  </si>
  <si>
    <t>1619P06343-000</t>
  </si>
  <si>
    <t>1619P06372-000</t>
  </si>
  <si>
    <t>1619P06374-000</t>
  </si>
  <si>
    <t>1619P06391-000</t>
  </si>
  <si>
    <t>1619P06392-000</t>
  </si>
  <si>
    <t>1619P06451-000</t>
  </si>
  <si>
    <t>1619P06471-000</t>
  </si>
  <si>
    <t>1619P06522-000</t>
  </si>
  <si>
    <t>1619P06597-000</t>
  </si>
  <si>
    <t>1619P06968-000</t>
  </si>
  <si>
    <t>1619P07060-000</t>
  </si>
  <si>
    <t>1619P07126-000</t>
  </si>
  <si>
    <t>1619P07127-000</t>
  </si>
  <si>
    <t>1619P07128-000</t>
  </si>
  <si>
    <t>1619P07129-000</t>
  </si>
  <si>
    <t>1619P07133-000</t>
  </si>
  <si>
    <t>1619P07135-000</t>
  </si>
  <si>
    <t>1619P07137-000</t>
  </si>
  <si>
    <t>1619P07138-000</t>
  </si>
  <si>
    <t>1619P07139-000</t>
  </si>
  <si>
    <t>1619P07142-000</t>
  </si>
  <si>
    <t>1619P07143-000</t>
  </si>
  <si>
    <t>1619P07147-000</t>
  </si>
  <si>
    <t>1619P07151-000</t>
  </si>
  <si>
    <t>1619P07152-000</t>
  </si>
  <si>
    <t>1619P07156-000</t>
  </si>
  <si>
    <t>1619P07158-000</t>
  </si>
  <si>
    <t>1619P07159-000</t>
  </si>
  <si>
    <t>1619P07162-000</t>
  </si>
  <si>
    <t>1619P07163-000</t>
  </si>
  <si>
    <t>1619P07166-000</t>
  </si>
  <si>
    <t>1619P07167-000</t>
  </si>
  <si>
    <t>1619P07186-000</t>
  </si>
  <si>
    <t>1619P07188-000</t>
  </si>
  <si>
    <t>1619P07190-000</t>
  </si>
  <si>
    <t>1619P07191-000</t>
  </si>
  <si>
    <t>1619P07192-000</t>
  </si>
  <si>
    <t>1619P07193-000</t>
  </si>
  <si>
    <t>1619P07194-000</t>
  </si>
  <si>
    <t>1619P07196-000</t>
  </si>
  <si>
    <t>1619P07199-000</t>
  </si>
  <si>
    <t>1619P07200-000</t>
  </si>
  <si>
    <t>1619P07202-000</t>
  </si>
  <si>
    <t>1619P07205-000</t>
  </si>
  <si>
    <t>1619P07250-000</t>
  </si>
  <si>
    <t>1619P07276-000</t>
  </si>
  <si>
    <t>1619P07277-000</t>
  </si>
  <si>
    <t>1619P07286-000</t>
  </si>
  <si>
    <t>1619P07304-000</t>
  </si>
  <si>
    <t>1619P07318-000</t>
  </si>
  <si>
    <t>1619P07414-000</t>
  </si>
  <si>
    <t>1619P07418-000</t>
  </si>
  <si>
    <t>1619P07426-000</t>
  </si>
  <si>
    <t>1619P07440-000</t>
  </si>
  <si>
    <t>1619P07470-000</t>
  </si>
  <si>
    <t>1619P07541-000</t>
  </si>
  <si>
    <t>1619P07542-000</t>
  </si>
  <si>
    <t>1619P07543-000</t>
  </si>
  <si>
    <t>1619P07544-000</t>
  </si>
  <si>
    <t>1619P07545-000</t>
  </si>
  <si>
    <t>1619P07546-000</t>
  </si>
  <si>
    <t>1619P07563-000</t>
  </si>
  <si>
    <t>1619P07576-000</t>
  </si>
  <si>
    <t>1619P07596-000</t>
  </si>
  <si>
    <t>1619P07611-000</t>
  </si>
  <si>
    <t>1619P07612-000</t>
  </si>
  <si>
    <t>1619P07628-000</t>
  </si>
  <si>
    <t>1619P07647-000</t>
  </si>
  <si>
    <t>1619P07650-000</t>
  </si>
  <si>
    <t>1619P07657-000</t>
  </si>
  <si>
    <t>1619P07658-000</t>
  </si>
  <si>
    <t>1619P07688-000</t>
  </si>
  <si>
    <t>1619P07689-000</t>
  </si>
  <si>
    <t>1619P07702-000</t>
  </si>
  <si>
    <t>1619P07704-000</t>
  </si>
  <si>
    <t>1619P07708-000</t>
  </si>
  <si>
    <t>1619P07709-000</t>
  </si>
  <si>
    <t>1619P07710-000</t>
  </si>
  <si>
    <t>1619P07711-000</t>
  </si>
  <si>
    <t>1619P07715-000</t>
  </si>
  <si>
    <t>1619P07722-000</t>
  </si>
  <si>
    <t>1619P07723-000</t>
  </si>
  <si>
    <t>1619P07724-000</t>
  </si>
  <si>
    <t>1619P07734-000</t>
  </si>
  <si>
    <t>1619P07738-000</t>
  </si>
  <si>
    <t>1619P07739-000</t>
  </si>
  <si>
    <t>1619P07740-000</t>
  </si>
  <si>
    <t>1619P07742-000</t>
  </si>
  <si>
    <t>1619P07743-000</t>
  </si>
  <si>
    <t>1619P07746-000</t>
  </si>
  <si>
    <t>1619P07748-000</t>
  </si>
  <si>
    <t>1619P07751-000</t>
  </si>
  <si>
    <t>1619P07754-000</t>
  </si>
  <si>
    <t>1619P07755-000</t>
  </si>
  <si>
    <t>1619P07756-000</t>
  </si>
  <si>
    <t>1619P07762-000</t>
  </si>
  <si>
    <t>1619P07768-000</t>
  </si>
  <si>
    <t>1619P07770-000</t>
  </si>
  <si>
    <t>1619P07772-000</t>
  </si>
  <si>
    <t>1619P07773-000</t>
  </si>
  <si>
    <t>1619P07774-000</t>
  </si>
  <si>
    <t>1619P07775-000</t>
  </si>
  <si>
    <t>1619P07776-000</t>
  </si>
  <si>
    <t>1619P07778-000</t>
  </si>
  <si>
    <t>1619P07780-000</t>
  </si>
  <si>
    <t>1619P07781-000</t>
  </si>
  <si>
    <t>1619P07786-000</t>
  </si>
  <si>
    <t>1619P07788-000</t>
  </si>
  <si>
    <t>1619P07789-000</t>
  </si>
  <si>
    <t>1619P07792-000</t>
  </si>
  <si>
    <t>1619P07795-000</t>
  </si>
  <si>
    <t>1619P07796-000</t>
  </si>
  <si>
    <t>1619P07797-000</t>
  </si>
  <si>
    <t>1619P07798-000</t>
  </si>
  <si>
    <t>1619P07799-000</t>
  </si>
  <si>
    <t>1619P07801-000</t>
  </si>
  <si>
    <t>1619P07806-000</t>
  </si>
  <si>
    <t>1619P07811-000</t>
  </si>
  <si>
    <t>1619P07815-000</t>
  </si>
  <si>
    <t>1619P07816-000</t>
  </si>
  <si>
    <t>1619P07821-000</t>
  </si>
  <si>
    <t>1619P07822-000</t>
  </si>
  <si>
    <t>1619P07829-000</t>
  </si>
  <si>
    <t>1619P07839-000</t>
  </si>
  <si>
    <t>1619P07906-000</t>
  </si>
  <si>
    <t>1619P07907-000</t>
  </si>
  <si>
    <t>1619P07911-000</t>
  </si>
  <si>
    <t>1619P07912-000</t>
  </si>
  <si>
    <t>1619P07915-000</t>
  </si>
  <si>
    <t>1619P07918-000</t>
  </si>
  <si>
    <t>1619P07919-000</t>
  </si>
  <si>
    <t>1619P07958-000</t>
  </si>
  <si>
    <t>1619P08212-000</t>
  </si>
  <si>
    <t>1619P08237-000</t>
  </si>
  <si>
    <t>1619P08314-000</t>
  </si>
  <si>
    <t>1619P08320-000</t>
  </si>
  <si>
    <t>1619P08323-000</t>
  </si>
  <si>
    <t>1619P08340-000</t>
  </si>
  <si>
    <t>1619P08583-000</t>
  </si>
  <si>
    <t>1619P08600-000</t>
  </si>
  <si>
    <t>1619P08603-000</t>
  </si>
  <si>
    <t>1619P08606-000</t>
  </si>
  <si>
    <t>1619P08609-000</t>
  </si>
  <si>
    <t>1619P08610-000</t>
  </si>
  <si>
    <t>1619P08611-000</t>
  </si>
  <si>
    <t>1619P08612-000</t>
  </si>
  <si>
    <t>1619P08613-000</t>
  </si>
  <si>
    <t>1619P08614-000</t>
  </si>
  <si>
    <t>1619P08616-000</t>
  </si>
  <si>
    <t>1619P08617-000</t>
  </si>
  <si>
    <t>1619P08618-000</t>
  </si>
  <si>
    <t>1619P08621-000</t>
  </si>
  <si>
    <t>1619P08622-000</t>
  </si>
  <si>
    <t>1619P08625-000</t>
  </si>
  <si>
    <t>1619P08626-000</t>
  </si>
  <si>
    <t>1619P08627-000</t>
  </si>
  <si>
    <t>1619P08645-000</t>
  </si>
  <si>
    <t>1619P08646-000</t>
  </si>
  <si>
    <t>1619P08651-000</t>
  </si>
  <si>
    <t>1619P08652-000</t>
  </si>
  <si>
    <t>1619P08754-000</t>
  </si>
  <si>
    <t>1619P08767-000</t>
  </si>
  <si>
    <t>1619P08778-000</t>
  </si>
  <si>
    <t>1619P08780-000</t>
  </si>
  <si>
    <t>1619P08783-000</t>
  </si>
  <si>
    <t>1619P08785-000</t>
  </si>
  <si>
    <t>1619P08787-000</t>
  </si>
  <si>
    <t>1619P08792-000</t>
  </si>
  <si>
    <t>1619P08797-000</t>
  </si>
  <si>
    <t>1619P08820-000</t>
  </si>
  <si>
    <t>1619P08825-000</t>
  </si>
  <si>
    <t>1619P08829-000</t>
  </si>
  <si>
    <t>1619P08888-000</t>
  </si>
  <si>
    <t>1619P08889-000</t>
  </si>
  <si>
    <t>1619P08890-000</t>
  </si>
  <si>
    <t>1619P08903-000</t>
  </si>
  <si>
    <t>1619P08926-000</t>
  </si>
  <si>
    <t>1619P08927-000</t>
  </si>
  <si>
    <t>1619P08928-000</t>
  </si>
  <si>
    <t>1619P08936-000</t>
  </si>
  <si>
    <t>1619P08938-000</t>
  </si>
  <si>
    <t>1619P09014-000</t>
  </si>
  <si>
    <t>1619P09017-000</t>
  </si>
  <si>
    <t>1619P09078-000</t>
  </si>
  <si>
    <t>1619P09079-000</t>
  </si>
  <si>
    <t>1619P09080-000</t>
  </si>
  <si>
    <t>1619P09081-000</t>
  </si>
  <si>
    <t>1619P09082-000</t>
  </si>
  <si>
    <t>1619P09136-000</t>
  </si>
  <si>
    <t>1619P09137-000</t>
  </si>
  <si>
    <t>1619P09138-000</t>
  </si>
  <si>
    <t>1619P09139-000</t>
  </si>
  <si>
    <t>1619P09140-000</t>
  </si>
  <si>
    <t>1619P09154-000</t>
  </si>
  <si>
    <t>1619P09157-000</t>
  </si>
  <si>
    <t>1619P09186-000</t>
  </si>
  <si>
    <t>1619P09208-000</t>
  </si>
  <si>
    <t>1619P09218-000</t>
  </si>
  <si>
    <t>1619P09219-000</t>
  </si>
  <si>
    <t>1619P09232-000</t>
  </si>
  <si>
    <t>1619P09244-000</t>
  </si>
  <si>
    <t>1619P09249-000</t>
  </si>
  <si>
    <t>1619P09253-000</t>
  </si>
  <si>
    <t>1619P09255-000</t>
  </si>
  <si>
    <t>1619P09256-000</t>
  </si>
  <si>
    <t>1619P09261-000</t>
  </si>
  <si>
    <t>1619P09262-000</t>
  </si>
  <si>
    <t>1619P09263-000</t>
  </si>
  <si>
    <t>1619P09265-000</t>
  </si>
  <si>
    <t>1619P09267-000</t>
  </si>
  <si>
    <t>1619P09269-000</t>
  </si>
  <si>
    <t>1619P09290-000</t>
  </si>
  <si>
    <t>1619P09390-000</t>
  </si>
  <si>
    <t>1619P09434-000</t>
  </si>
  <si>
    <t>1619P09483-000</t>
  </si>
  <si>
    <t>1619P09533-000</t>
  </si>
  <si>
    <t>1619P09589-000</t>
  </si>
  <si>
    <t>1619P09616-000</t>
  </si>
  <si>
    <t>1619P09617-000</t>
  </si>
  <si>
    <t>1619P09645-000</t>
  </si>
  <si>
    <t>1619P09722-000</t>
  </si>
  <si>
    <t>1619P09772-000</t>
  </si>
  <si>
    <t>1619P09795-000</t>
  </si>
  <si>
    <t>1619P09797-000</t>
  </si>
  <si>
    <t>1619P09798-000</t>
  </si>
  <si>
    <t>1619P09801-000</t>
  </si>
  <si>
    <t>1619P09803-000</t>
  </si>
  <si>
    <t>1619P09816-000</t>
  </si>
  <si>
    <t>1619P09862-000</t>
  </si>
  <si>
    <t>1619P09863-000</t>
  </si>
  <si>
    <t>1619P09874-000</t>
  </si>
  <si>
    <t>1619P09886-000</t>
  </si>
  <si>
    <t>1619P09888-000</t>
  </si>
  <si>
    <t>1619P09922-000</t>
  </si>
  <si>
    <t>1619P09928-000</t>
  </si>
  <si>
    <t>1619P09955-000</t>
  </si>
  <si>
    <t>1619P09972-000</t>
  </si>
  <si>
    <t>1619P10037-000</t>
  </si>
  <si>
    <t>1619P10061-000</t>
  </si>
  <si>
    <t>1619P10062-000</t>
  </si>
  <si>
    <t>1619P10064-000</t>
  </si>
  <si>
    <t>1619P10066-000</t>
  </si>
  <si>
    <t>1619P10067-000</t>
  </si>
  <si>
    <t>1619P10070-000</t>
  </si>
  <si>
    <t>1619P10072-000</t>
  </si>
  <si>
    <t>1619P10086-000</t>
  </si>
  <si>
    <t>1619P10106-000</t>
  </si>
  <si>
    <t>1619P10133-000</t>
  </si>
  <si>
    <t>1619P10158-000</t>
  </si>
  <si>
    <t>1619P10160-000</t>
  </si>
  <si>
    <t>1619P10162-000</t>
  </si>
  <si>
    <t>1619P10163-000</t>
  </si>
  <si>
    <t>1619P10164-000</t>
  </si>
  <si>
    <t>1619P10165-000</t>
  </si>
  <si>
    <t>1619P10167-000</t>
  </si>
  <si>
    <t>1619P10168-000</t>
  </si>
  <si>
    <t>1619P10171-000</t>
  </si>
  <si>
    <t>1619P10172-000</t>
  </si>
  <si>
    <t>1619P10176-000</t>
  </si>
  <si>
    <t>1619P10177-000</t>
  </si>
  <si>
    <t>1619P10179-000</t>
  </si>
  <si>
    <t>1619P10181-000</t>
  </si>
  <si>
    <t>1619P10182-000</t>
  </si>
  <si>
    <t>1619P10206-000</t>
  </si>
  <si>
    <t>1619P10219-000</t>
  </si>
  <si>
    <t>1619P10220-000</t>
  </si>
  <si>
    <t>1619P10224-000</t>
  </si>
  <si>
    <t>1619P10235-000</t>
  </si>
  <si>
    <t>1619P10286-000</t>
  </si>
  <si>
    <t>1619P10301-000</t>
  </si>
  <si>
    <t>1619P10303-000</t>
  </si>
  <si>
    <t>1619P10349-000</t>
  </si>
  <si>
    <t>1619P10350-000</t>
  </si>
  <si>
    <t>1619P10377-000</t>
  </si>
  <si>
    <t>1619P10381-000</t>
  </si>
  <si>
    <t>1619P10396-000</t>
  </si>
  <si>
    <t>1619P10481-000</t>
  </si>
  <si>
    <t>1619P10522-000</t>
  </si>
  <si>
    <t>1619P10533-000</t>
  </si>
  <si>
    <t>1619P10559-000</t>
  </si>
  <si>
    <t>1619P10565-000</t>
  </si>
  <si>
    <t>1619P10569-000</t>
  </si>
  <si>
    <t>1619P10570-000</t>
  </si>
  <si>
    <t>1619P10572-000</t>
  </si>
  <si>
    <t>1619P10573-000</t>
  </si>
  <si>
    <t>1619P10574-000</t>
  </si>
  <si>
    <t>1619P10576-000</t>
  </si>
  <si>
    <t>1619P10578-000</t>
  </si>
  <si>
    <t>1619P10580-000</t>
  </si>
  <si>
    <t>1619P10581-000</t>
  </si>
  <si>
    <t>1619P10582-000</t>
  </si>
  <si>
    <t>1619P10583-000</t>
  </si>
  <si>
    <t>1619P10585-000</t>
  </si>
  <si>
    <t>1619P10586-000</t>
  </si>
  <si>
    <t>1619P10587-000</t>
  </si>
  <si>
    <t>1619P10588-000</t>
  </si>
  <si>
    <t>1619P10589-000</t>
  </si>
  <si>
    <t>1619P10608-000</t>
  </si>
  <si>
    <t>1619P10653-000</t>
  </si>
  <si>
    <t>1619P10665-000</t>
  </si>
  <si>
    <t>1619P10667-000</t>
  </si>
  <si>
    <t>1619P10681-000</t>
  </si>
  <si>
    <t>1619P10683-000</t>
  </si>
  <si>
    <t>1619P10684-000</t>
  </si>
  <si>
    <t>1619P10709-000</t>
  </si>
  <si>
    <t>1619P10718-000</t>
  </si>
  <si>
    <t>1619P10720-000</t>
  </si>
  <si>
    <t>1619P10721-000</t>
  </si>
  <si>
    <t>1619P10722-000</t>
  </si>
  <si>
    <t>1619P10724-000</t>
  </si>
  <si>
    <t>1619P10725-000</t>
  </si>
  <si>
    <t>1619P10726-000</t>
  </si>
  <si>
    <t>1619P10727-000</t>
  </si>
  <si>
    <t>1619P10728-000</t>
  </si>
  <si>
    <t>1619P10729-000</t>
  </si>
  <si>
    <t>1619P10730-000</t>
  </si>
  <si>
    <t>1619P10731-000</t>
  </si>
  <si>
    <t>1619P10732-000</t>
  </si>
  <si>
    <t>1619P10733-000</t>
  </si>
  <si>
    <t>1619P10734-000</t>
  </si>
  <si>
    <t>1619P10735-000</t>
  </si>
  <si>
    <t>1619P10736-000</t>
  </si>
  <si>
    <t>1619P10737-000</t>
  </si>
  <si>
    <t>1619P10738-000</t>
  </si>
  <si>
    <t>1619P10739-000</t>
  </si>
  <si>
    <t>1619P10741-000</t>
  </si>
  <si>
    <t>1619P10742-000</t>
  </si>
  <si>
    <t>1619P10745-000</t>
  </si>
  <si>
    <t>1619P10749-000</t>
  </si>
  <si>
    <t>1619P10752-000</t>
  </si>
  <si>
    <t>1619P10765-000</t>
  </si>
  <si>
    <t>1619P10766-000</t>
  </si>
  <si>
    <t>1619P10767-000</t>
  </si>
  <si>
    <t>1619P10768-000</t>
  </si>
  <si>
    <t>1619P10769-000</t>
  </si>
  <si>
    <t>1619P10770-000</t>
  </si>
  <si>
    <t>1619P10828-000</t>
  </si>
  <si>
    <t>1619P10834-000</t>
  </si>
  <si>
    <t>1619P10835-000</t>
  </si>
  <si>
    <t>1619P10847-000</t>
  </si>
  <si>
    <t>1619P10959-000</t>
  </si>
  <si>
    <t>1619P10961-000</t>
  </si>
  <si>
    <t>1619P10963-000</t>
  </si>
  <si>
    <t>1619P10969-000</t>
  </si>
  <si>
    <t>1619P10970-000</t>
  </si>
  <si>
    <t>1619P10971-000</t>
  </si>
  <si>
    <t>1619P10979-000</t>
  </si>
  <si>
    <t>1619P11076-000</t>
  </si>
  <si>
    <t>1619P11096-000</t>
  </si>
  <si>
    <t>1619P11098-000</t>
  </si>
  <si>
    <t>1619P11118-000</t>
  </si>
  <si>
    <t>1619P11122-000</t>
  </si>
  <si>
    <t>1619P11147-000</t>
  </si>
  <si>
    <t>1619P11187-000</t>
  </si>
  <si>
    <t>1619P11190-000</t>
  </si>
  <si>
    <t>1619P11191-000</t>
  </si>
  <si>
    <t>1619P11262-000</t>
  </si>
  <si>
    <t>1619P11327-000</t>
  </si>
  <si>
    <t>1619P11329-000</t>
  </si>
  <si>
    <t>1619P11358-000</t>
  </si>
  <si>
    <t>1619P11416-000</t>
  </si>
  <si>
    <t>1619P11420-000</t>
  </si>
  <si>
    <t>1619P11427-000</t>
  </si>
  <si>
    <t>1619P11431-000</t>
  </si>
  <si>
    <t>1619P11432-000</t>
  </si>
  <si>
    <t>1619P11483-000</t>
  </si>
  <si>
    <t>1619P11484-000</t>
  </si>
  <si>
    <t>1619P11485-000</t>
  </si>
  <si>
    <t>1619P11487-000</t>
  </si>
  <si>
    <t>1619P11536-000</t>
  </si>
  <si>
    <t>1619P11537-000</t>
  </si>
  <si>
    <t>1619P11562-000</t>
  </si>
  <si>
    <t>1619P11626-000</t>
  </si>
  <si>
    <t>1619P11754-000</t>
  </si>
  <si>
    <t>1619P11770-000</t>
  </si>
  <si>
    <t>1619P11795-000</t>
  </si>
  <si>
    <t>1619P11863-000</t>
  </si>
  <si>
    <t>1619P11877-000</t>
  </si>
  <si>
    <t>1619P11879-000</t>
  </si>
  <si>
    <t>1619P11883-000</t>
  </si>
  <si>
    <t>1619P11884-000</t>
  </si>
  <si>
    <t>1619P11885-000</t>
  </si>
  <si>
    <t>1619P11886-000</t>
  </si>
  <si>
    <t>1619P11898-000</t>
  </si>
  <si>
    <t>1619P11900-000</t>
  </si>
  <si>
    <t>1619P11904-000</t>
  </si>
  <si>
    <t>1619P11906-000</t>
  </si>
  <si>
    <t>1619P11912-000</t>
  </si>
  <si>
    <t>1619P11913-000</t>
  </si>
  <si>
    <t>1619P11916-000</t>
  </si>
  <si>
    <t>1619P11917-000</t>
  </si>
  <si>
    <t>1619P11929-000</t>
  </si>
  <si>
    <t>1619P11989-000</t>
  </si>
  <si>
    <t>1619P12045-000</t>
  </si>
  <si>
    <t>1619P12117-000</t>
  </si>
  <si>
    <t>1619P12186-000</t>
  </si>
  <si>
    <t>1619P12250-000</t>
  </si>
  <si>
    <t>1619P12316-000</t>
  </si>
  <si>
    <t>1619P12336-000</t>
  </si>
  <si>
    <t>1619P12589-000</t>
  </si>
  <si>
    <t>1619P12767-000</t>
  </si>
  <si>
    <t>1619P13104-000</t>
  </si>
  <si>
    <t>1619P13299-000</t>
  </si>
  <si>
    <t>1619P13426-000</t>
  </si>
  <si>
    <t>1619P13440-000</t>
  </si>
  <si>
    <t>1619P13476-000</t>
  </si>
  <si>
    <t>1619P13518-000</t>
  </si>
  <si>
    <t>1619P13557-000</t>
  </si>
  <si>
    <t>1619P13558-000</t>
  </si>
  <si>
    <t>1619P13608-000</t>
  </si>
  <si>
    <t>1619P13609-000</t>
  </si>
  <si>
    <t>1619P13742-000</t>
  </si>
  <si>
    <t>1619P13744-000</t>
  </si>
  <si>
    <t>1619P13747-000</t>
  </si>
  <si>
    <t>1619P13749-000</t>
  </si>
  <si>
    <t>1619P13750-000</t>
  </si>
  <si>
    <t>1619P13760-000</t>
  </si>
  <si>
    <t>1619P13761-000</t>
  </si>
  <si>
    <t>1619P13814-000</t>
  </si>
  <si>
    <t>1619P13836-000</t>
  </si>
  <si>
    <t>1619P13857-000</t>
  </si>
  <si>
    <t>1619P13893-000</t>
  </si>
  <si>
    <t>1619P13896-000</t>
  </si>
  <si>
    <t>1619P13907-000</t>
  </si>
  <si>
    <t>1619P13910-000</t>
  </si>
  <si>
    <t>1619P13911-000</t>
  </si>
  <si>
    <t>1619P13916-000</t>
  </si>
  <si>
    <t>1619P13963-000</t>
  </si>
  <si>
    <t>1619P13964-000</t>
  </si>
  <si>
    <t>1619P13967-000</t>
  </si>
  <si>
    <t>1619P14032-000</t>
  </si>
  <si>
    <t>1619P14036-000</t>
  </si>
  <si>
    <t>1619P14042-000</t>
  </si>
  <si>
    <t>1619P14043-000</t>
  </si>
  <si>
    <t>1619P14045-000</t>
  </si>
  <si>
    <t>1619P14049-000</t>
  </si>
  <si>
    <t>1619P14050-000</t>
  </si>
  <si>
    <t>1619P14051-000</t>
  </si>
  <si>
    <t>1619P14052-000</t>
  </si>
  <si>
    <t>1619P14053-000</t>
  </si>
  <si>
    <t>1619P14054-000</t>
  </si>
  <si>
    <t>1619P14055-000</t>
  </si>
  <si>
    <t>1619P14056-000</t>
  </si>
  <si>
    <t>1619P14058-000</t>
  </si>
  <si>
    <t>1619P14063-000</t>
  </si>
  <si>
    <t>1619P14111-000</t>
  </si>
  <si>
    <t>1619P14139-000</t>
  </si>
  <si>
    <t>1619P14196-000</t>
  </si>
  <si>
    <t>1619P14201-000</t>
  </si>
  <si>
    <t>1619P14202-000</t>
  </si>
  <si>
    <t>1619P14206-000</t>
  </si>
  <si>
    <t>1619P14207-000</t>
  </si>
  <si>
    <t>1619P14209-000</t>
  </si>
  <si>
    <t>1619P14210-000</t>
  </si>
  <si>
    <t>1619P14211-000</t>
  </si>
  <si>
    <t>1619P14241-000</t>
  </si>
  <si>
    <t>1619P14277-000</t>
  </si>
  <si>
    <t>1619P14287-000</t>
  </si>
  <si>
    <t>1619P14288-000</t>
  </si>
  <si>
    <t>1619P14306-000</t>
  </si>
  <si>
    <t>1619P14308-000</t>
  </si>
  <si>
    <t>1619P14309-000</t>
  </si>
  <si>
    <t>1619P14336-000</t>
  </si>
  <si>
    <t>1619P14345-000</t>
  </si>
  <si>
    <t>1619P14346-000</t>
  </si>
  <si>
    <t>1619P14369-000</t>
  </si>
  <si>
    <t>1619P14405-000</t>
  </si>
  <si>
    <t>1619P14424-000</t>
  </si>
  <si>
    <t>1619P14440-000</t>
  </si>
  <si>
    <t>1619P14446-000</t>
  </si>
  <si>
    <t>1619P14461-000</t>
  </si>
  <si>
    <t>1619P14462-000</t>
  </si>
  <si>
    <t>1619P14463-000</t>
  </si>
  <si>
    <t>1619P14464-000</t>
  </si>
  <si>
    <t>1619P14465-000</t>
  </si>
  <si>
    <t>1619P14474-000</t>
  </si>
  <si>
    <t>1619P14477-000</t>
  </si>
  <si>
    <t>1619P14481-000</t>
  </si>
  <si>
    <t>1619P14506-000</t>
  </si>
  <si>
    <t>1619P14539-000</t>
  </si>
  <si>
    <t>1619P14544-000</t>
  </si>
  <si>
    <t>1619P14546-000</t>
  </si>
  <si>
    <t>1619P14559-000</t>
  </si>
  <si>
    <t>1619P14586-000</t>
  </si>
  <si>
    <t>1619P14598-000</t>
  </si>
  <si>
    <t>1619P14614-000</t>
  </si>
  <si>
    <t>1619P14615-000</t>
  </si>
  <si>
    <t>1619P14636-000</t>
  </si>
  <si>
    <t>1619P14642-000</t>
  </si>
  <si>
    <t>1619P14649-000</t>
  </si>
  <si>
    <t>1619P14656-000</t>
  </si>
  <si>
    <t>1619P14667-000</t>
  </si>
  <si>
    <t>1619P14673-000</t>
  </si>
  <si>
    <t>1619P14677-000</t>
  </si>
  <si>
    <t>1619P14682-000</t>
  </si>
  <si>
    <t>1619P14685-000</t>
  </si>
  <si>
    <t>1619P14691-000</t>
  </si>
  <si>
    <t>1619P14753-000</t>
  </si>
  <si>
    <t>1619P14777-000</t>
  </si>
  <si>
    <t>1619P14798-000</t>
  </si>
  <si>
    <t>1619P14813-000</t>
  </si>
  <si>
    <t>1619P14886-000</t>
  </si>
  <si>
    <t>1619P14923-000</t>
  </si>
  <si>
    <t>1619P14924-000</t>
  </si>
  <si>
    <t>1619P14929-000</t>
  </si>
  <si>
    <t>1619P14930-000</t>
  </si>
  <si>
    <t>1619P14935-000</t>
  </si>
  <si>
    <t>1619P15015-000</t>
  </si>
  <si>
    <t>1619P15020-000</t>
  </si>
  <si>
    <t>1619P15022-000</t>
  </si>
  <si>
    <t>1619P15030-000</t>
  </si>
  <si>
    <t>1619P15044-000</t>
  </si>
  <si>
    <t>1619P15050-000</t>
  </si>
  <si>
    <t>1619P15054-000</t>
  </si>
  <si>
    <t>1619P15073-000</t>
  </si>
  <si>
    <t>1619P15103-000</t>
  </si>
  <si>
    <t>1619P15106-000</t>
  </si>
  <si>
    <t>1619P15112-000</t>
  </si>
  <si>
    <t>1619P15154-000</t>
  </si>
  <si>
    <t>1619P15166-000</t>
  </si>
  <si>
    <t>1619P15177-000</t>
  </si>
  <si>
    <t>1619P15179-000</t>
  </si>
  <si>
    <t>1619P15186-000</t>
  </si>
  <si>
    <t>1619P15209-000</t>
  </si>
  <si>
    <t>1619P15313-000</t>
  </si>
  <si>
    <t>1619P15315-000</t>
  </si>
  <si>
    <t>1619P15317-000</t>
  </si>
  <si>
    <t>1619P15334-000</t>
  </si>
  <si>
    <t>1619P15337-000</t>
  </si>
  <si>
    <t>1619P15338-000</t>
  </si>
  <si>
    <t>1619P15347-000</t>
  </si>
  <si>
    <t>1619P15392-000</t>
  </si>
  <si>
    <t>1619P15396-000</t>
  </si>
  <si>
    <t>1619P15397-000</t>
  </si>
  <si>
    <t>1619P15409-000</t>
  </si>
  <si>
    <t>1619P15476-000</t>
  </si>
  <si>
    <t>1619P15493-000</t>
  </si>
  <si>
    <t>1619P15567-000</t>
  </si>
  <si>
    <t>1619P15577-000</t>
  </si>
  <si>
    <t>1619P15622-000</t>
  </si>
  <si>
    <t>1619P15668-000</t>
  </si>
  <si>
    <t>1619P15676-000</t>
  </si>
  <si>
    <t>1619P15677-000</t>
  </si>
  <si>
    <t>1619P15717-000</t>
  </si>
  <si>
    <t>1619P15722-000</t>
  </si>
  <si>
    <t>1619P15723-000</t>
  </si>
  <si>
    <t>1619P15724-000</t>
  </si>
  <si>
    <t>1619P15727-000</t>
  </si>
  <si>
    <t>1619P15729-000</t>
  </si>
  <si>
    <t>1619P15730-000</t>
  </si>
  <si>
    <t>1619P15731-000</t>
  </si>
  <si>
    <t>1619P15733-000</t>
  </si>
  <si>
    <t>1619P15734-000</t>
  </si>
  <si>
    <t>1619P15751-000</t>
  </si>
  <si>
    <t>1619P15775-000</t>
  </si>
  <si>
    <t>1619P15781-000</t>
  </si>
  <si>
    <t>1619P15794-000</t>
  </si>
  <si>
    <t>1619P15795-000</t>
  </si>
  <si>
    <t>1619P15806-000</t>
  </si>
  <si>
    <t>1619P15817-000</t>
  </si>
  <si>
    <t>1619P15818-000</t>
  </si>
  <si>
    <t>1619P15819-000</t>
  </si>
  <si>
    <t>1619P15872-000</t>
  </si>
  <si>
    <t>1619P15875-000</t>
  </si>
  <si>
    <t>1619P15876-000</t>
  </si>
  <si>
    <t>1619P15952-000</t>
  </si>
  <si>
    <t>1619P15956-000</t>
  </si>
  <si>
    <t>1619P15963-000</t>
  </si>
  <si>
    <t>1619P15969-000</t>
  </si>
  <si>
    <t>1619P15970-000</t>
  </si>
  <si>
    <t>1619P15990-000</t>
  </si>
  <si>
    <t>1619P16021-000</t>
  </si>
  <si>
    <t>1619P16023-000</t>
  </si>
  <si>
    <t>1619P16024-000</t>
  </si>
  <si>
    <t>1619P16027-000</t>
  </si>
  <si>
    <t>1619P16030-000</t>
  </si>
  <si>
    <t>1619P16044-000</t>
  </si>
  <si>
    <t>1619P16098-000</t>
  </si>
  <si>
    <t>1619P16099-000</t>
  </si>
  <si>
    <t>1619P16104-000</t>
  </si>
  <si>
    <t>1619P16106-000</t>
  </si>
  <si>
    <t>1619P16111-000</t>
  </si>
  <si>
    <t>1619P16119-000</t>
  </si>
  <si>
    <t>1619P16218-000</t>
  </si>
  <si>
    <t>1619P16219-000</t>
  </si>
  <si>
    <t>1619P16223-000</t>
  </si>
  <si>
    <t>1619P16234-000</t>
  </si>
  <si>
    <t>1619P16236-000</t>
  </si>
  <si>
    <t>1619P16237-000</t>
  </si>
  <si>
    <t>1619P16240-000</t>
  </si>
  <si>
    <t>1619P16241-000</t>
  </si>
  <si>
    <t>1619P16242-000</t>
  </si>
  <si>
    <t>1619P16259-000</t>
  </si>
  <si>
    <t>1619P16260-000</t>
  </si>
  <si>
    <t>1619P16274-000</t>
  </si>
  <si>
    <t>1619P16276-000</t>
  </si>
  <si>
    <t>1619P16278-000</t>
  </si>
  <si>
    <t>1619P16280-000</t>
  </si>
  <si>
    <t>1619P16282-000</t>
  </si>
  <si>
    <t>1619P16284-000</t>
  </si>
  <si>
    <t>1619P16289-000</t>
  </si>
  <si>
    <t>1619P16293-000</t>
  </si>
  <si>
    <t>1619P16294-000</t>
  </si>
  <si>
    <t>1619P16327-000</t>
  </si>
  <si>
    <t>1619P16372-000</t>
  </si>
  <si>
    <t>1619P16440-000</t>
  </si>
  <si>
    <t>1619P16471-000</t>
  </si>
  <si>
    <t>1619P16473-000</t>
  </si>
  <si>
    <t>1619P16506-000</t>
  </si>
  <si>
    <t>1619P16507-000</t>
  </si>
  <si>
    <t>1619P16535-000</t>
  </si>
  <si>
    <t>1619P16617-000</t>
  </si>
  <si>
    <t>1619P16618-000</t>
  </si>
  <si>
    <t>1619P16710-000</t>
  </si>
  <si>
    <t>1619P16712-000</t>
  </si>
  <si>
    <t>1619P16713-000</t>
  </si>
  <si>
    <t>1619P16839-000</t>
  </si>
  <si>
    <t>1619P16878-000</t>
  </si>
  <si>
    <t>1619P16879-000</t>
  </si>
  <si>
    <t>1619P16880-000</t>
  </si>
  <si>
    <t>1619P16881-000</t>
  </si>
  <si>
    <t>1619P16883-000</t>
  </si>
  <si>
    <t>1619P16884-000</t>
  </si>
  <si>
    <t>1619P16885-000</t>
  </si>
  <si>
    <t>1619P16903-000</t>
  </si>
  <si>
    <t>1619P16905-000</t>
  </si>
  <si>
    <t>1619P16906-000</t>
  </si>
  <si>
    <t>1619P16907-000</t>
  </si>
  <si>
    <t>1619P16908-000</t>
  </si>
  <si>
    <t>1619P16909-000</t>
  </si>
  <si>
    <t>1619P16910-000</t>
  </si>
  <si>
    <t>1619P16912-000</t>
  </si>
  <si>
    <t>1619P16913-000</t>
  </si>
  <si>
    <t>1619P16931-000</t>
  </si>
  <si>
    <t>1619P16997-000</t>
  </si>
  <si>
    <t>1619P16999-000</t>
  </si>
  <si>
    <t>1619P17003-000</t>
  </si>
  <si>
    <t>1619P17074-000</t>
  </si>
  <si>
    <t>1619P17115-000</t>
  </si>
  <si>
    <t>1619P17155-000</t>
  </si>
  <si>
    <t>1619P17173-000</t>
  </si>
  <si>
    <t>1619P17175-000</t>
  </si>
  <si>
    <t>1619P17207-000</t>
  </si>
  <si>
    <t>1619P17216-000</t>
  </si>
  <si>
    <t>1619P17217-000</t>
  </si>
  <si>
    <t>1619P17219-000</t>
  </si>
  <si>
    <t>1619P17222-000</t>
  </si>
  <si>
    <t>1619P17223-000</t>
  </si>
  <si>
    <t>1619P17224-000</t>
  </si>
  <si>
    <t>1619P17225-000</t>
  </si>
  <si>
    <t>1619P17227-000</t>
  </si>
  <si>
    <t>1619P17245-000</t>
  </si>
  <si>
    <t>1619P17248-000</t>
  </si>
  <si>
    <t>1619P17336-000</t>
  </si>
  <si>
    <t>1619P17472-000</t>
  </si>
  <si>
    <t>1619P17476-000</t>
  </si>
  <si>
    <t>1619P17479-000</t>
  </si>
  <si>
    <t>1619P17480-000</t>
  </si>
  <si>
    <t>1619P17511-000</t>
  </si>
  <si>
    <t>1619P20535-000</t>
  </si>
  <si>
    <t>1619P20537-000</t>
  </si>
  <si>
    <t>1619P20540-000</t>
  </si>
  <si>
    <t>1619P20541-000</t>
  </si>
  <si>
    <t>1619P20547-000</t>
  </si>
  <si>
    <t>1619P20548-000</t>
  </si>
  <si>
    <t>1619P20563-000</t>
  </si>
  <si>
    <t>1619P20702-000</t>
  </si>
  <si>
    <t>1619P31072-000</t>
  </si>
  <si>
    <t>1619P32497-000</t>
  </si>
  <si>
    <t>1619P50021-000</t>
  </si>
  <si>
    <t>1619PA0209-000</t>
  </si>
  <si>
    <t>1619PA0213-000</t>
  </si>
  <si>
    <t>1619PA0217-000</t>
  </si>
  <si>
    <t>1619PA0222-000</t>
  </si>
  <si>
    <t>1619PA0226-000</t>
  </si>
  <si>
    <t>1619PA0229-000</t>
  </si>
  <si>
    <t>1619PA0234-000</t>
  </si>
  <si>
    <t>1619PA0235-000</t>
  </si>
  <si>
    <t>1619PA0240-000</t>
  </si>
  <si>
    <t>1619PA0243-000</t>
  </si>
  <si>
    <t>1619PA0251-000</t>
  </si>
  <si>
    <t>1619PA0256-000</t>
  </si>
  <si>
    <t>1619PA0261-000</t>
  </si>
  <si>
    <t>1619PA0263-000</t>
  </si>
  <si>
    <t>1619PA0266-000</t>
  </si>
  <si>
    <t>1619PA0271-000</t>
  </si>
  <si>
    <t>1619PA0272-000</t>
  </si>
  <si>
    <t>1619PA0279-000</t>
  </si>
  <si>
    <t>1619PA0282-000</t>
  </si>
  <si>
    <t>1619PA0290-000</t>
  </si>
  <si>
    <t>1619PA0291-000</t>
  </si>
  <si>
    <t>1619PA0292-000</t>
  </si>
  <si>
    <t>1619PA0294-000</t>
  </si>
  <si>
    <t>1619PA0295-000</t>
  </si>
  <si>
    <t>1619PA0296-000</t>
  </si>
  <si>
    <t>1619PA0300-000</t>
  </si>
  <si>
    <t>1619PA0304-000</t>
  </si>
  <si>
    <t>1619PA0307-000</t>
  </si>
  <si>
    <t>1619PA0311-000</t>
  </si>
  <si>
    <t>1619PA0312-000</t>
  </si>
  <si>
    <t>1619PA0313-000</t>
  </si>
  <si>
    <t>1619PA0316-000</t>
  </si>
  <si>
    <t>1619PA0321-000</t>
  </si>
  <si>
    <t>1619PA0322-000</t>
  </si>
  <si>
    <t>1619PA0323-000</t>
  </si>
  <si>
    <t>1619PA0324-000</t>
  </si>
  <si>
    <t>1619PA0325-000</t>
  </si>
  <si>
    <t>1619PA0326-000</t>
  </si>
  <si>
    <t>1619PA0328-000</t>
  </si>
  <si>
    <t>1619PA0329-000</t>
  </si>
  <si>
    <t>1619PA0331-000</t>
  </si>
  <si>
    <t>1619PA0334-000</t>
  </si>
  <si>
    <t>1619PA0335-000</t>
  </si>
  <si>
    <t>1619PA0336-000</t>
  </si>
  <si>
    <t>1619PA0337-000</t>
  </si>
  <si>
    <t>1619PA0677-000</t>
  </si>
  <si>
    <t>1619PA0678-000</t>
  </si>
  <si>
    <t>1619PA0679-000</t>
  </si>
  <si>
    <t>1619PA0684-000</t>
  </si>
  <si>
    <t>1619PA0685-000</t>
  </si>
  <si>
    <t>1619PA0690-000</t>
  </si>
  <si>
    <t>1619PA0697-000</t>
  </si>
  <si>
    <t>1619PA0701-000</t>
  </si>
  <si>
    <t>1619PA0702-000</t>
  </si>
  <si>
    <t>1619PA0703-000</t>
  </si>
  <si>
    <t>1619PA0901-000</t>
  </si>
  <si>
    <t>1619PA0902-000</t>
  </si>
  <si>
    <t>1619PA0903-000</t>
  </si>
  <si>
    <t>1619PA0906-000</t>
  </si>
  <si>
    <t>1619PA0913-000</t>
  </si>
  <si>
    <t>1619PA1343-000</t>
  </si>
  <si>
    <t>1619PA1344-000</t>
  </si>
  <si>
    <t>1619PA1345-000</t>
  </si>
  <si>
    <t>1619PA1346-000</t>
  </si>
  <si>
    <t>1619PA1347-000</t>
  </si>
  <si>
    <t>1619PA1349-000</t>
  </si>
  <si>
    <t>1619PA1350-000</t>
  </si>
  <si>
    <t>1619PA1351-000</t>
  </si>
  <si>
    <t>1619PA1359-000</t>
  </si>
  <si>
    <t>1619PA1360-000</t>
  </si>
  <si>
    <t>1619PA1365-000</t>
  </si>
  <si>
    <t>1619PA1366-000</t>
  </si>
  <si>
    <t>1619PA1368-000</t>
  </si>
  <si>
    <t>1619PA1372-000</t>
  </si>
  <si>
    <t>1619PA1378-000</t>
  </si>
  <si>
    <t>1619PA1379-000</t>
  </si>
  <si>
    <t>1619PA1381-000</t>
  </si>
  <si>
    <t>1619PA1382-000</t>
  </si>
  <si>
    <t>1619PA1383-000</t>
  </si>
  <si>
    <t>1619PA1384-000</t>
  </si>
  <si>
    <t>1619PA1388-000</t>
  </si>
  <si>
    <t>1619PA1390-000</t>
  </si>
  <si>
    <t>1619PA1391-000</t>
  </si>
  <si>
    <t>1619PA1407-000</t>
  </si>
  <si>
    <t>1619PA1489-000</t>
  </si>
  <si>
    <t>1619PA1496-000</t>
  </si>
  <si>
    <t>1619PA1497-000</t>
  </si>
  <si>
    <t>1619PA1502-000</t>
  </si>
  <si>
    <t>1619PA1503-000</t>
  </si>
  <si>
    <t>1619PA1504-000</t>
  </si>
  <si>
    <t>1619PA1505-000</t>
  </si>
  <si>
    <t>1619PA1508-000</t>
  </si>
  <si>
    <t>1619PA1509-000</t>
  </si>
  <si>
    <t>1619PA1510-000</t>
  </si>
  <si>
    <t>1619PA1511-000</t>
  </si>
  <si>
    <t>1619PA1512-000</t>
  </si>
  <si>
    <t>1619PA1513-000</t>
  </si>
  <si>
    <t>1619PA1514-000</t>
  </si>
  <si>
    <t>1619PA1515-000</t>
  </si>
  <si>
    <t>1619PA1517-000</t>
  </si>
  <si>
    <t>1619PA1527-000</t>
  </si>
  <si>
    <t>1619PA1528-000</t>
  </si>
  <si>
    <t>1619PA1530-000</t>
  </si>
  <si>
    <t>1619PA1531-000</t>
  </si>
  <si>
    <t>1619PA1532-000</t>
  </si>
  <si>
    <t>1619PA1533-000</t>
  </si>
  <si>
    <t>1619PA1534-000</t>
  </si>
  <si>
    <t>1619PA1535-000</t>
  </si>
  <si>
    <t>1619PA1536-000</t>
  </si>
  <si>
    <t>1619PA1538-000</t>
  </si>
  <si>
    <t>1619PA1539-000</t>
  </si>
  <si>
    <t>1619PA1540-000</t>
  </si>
  <si>
    <t>1619PA1541-000</t>
  </si>
  <si>
    <t>1619PA1544-000</t>
  </si>
  <si>
    <t>1619PA1545-000</t>
  </si>
  <si>
    <t>1619PA1546-000</t>
  </si>
  <si>
    <t>1619PA1547-000</t>
  </si>
  <si>
    <t>1619PA1548-000</t>
  </si>
  <si>
    <t>1619PA1549-000</t>
  </si>
  <si>
    <t>1619PA1550-000</t>
  </si>
  <si>
    <t>1619PA1551-000</t>
  </si>
  <si>
    <t>1619PA1552-000</t>
  </si>
  <si>
    <t>1619PA1553-000</t>
  </si>
  <si>
    <t>1619PA1554-000</t>
  </si>
  <si>
    <t>1619PA1555-000</t>
  </si>
  <si>
    <t>1619PA1556-000</t>
  </si>
  <si>
    <t>1619PA1557-000</t>
  </si>
  <si>
    <t>1619PA1558-000</t>
  </si>
  <si>
    <t>1619PA1559-000</t>
  </si>
  <si>
    <t>1619PA1560-000</t>
  </si>
  <si>
    <t>1619PA1562-000</t>
  </si>
  <si>
    <t>1619PA1563-000</t>
  </si>
  <si>
    <t>1619PA1565-000</t>
  </si>
  <si>
    <t>1619PA1566-000</t>
  </si>
  <si>
    <t>1619PA1569-000</t>
  </si>
  <si>
    <t>1619PA1572-000</t>
  </si>
  <si>
    <t>1619PA1573-000</t>
  </si>
  <si>
    <t>1619PA1574-000</t>
  </si>
  <si>
    <t>1619PA1575-000</t>
  </si>
  <si>
    <t>1619PA1577-000</t>
  </si>
  <si>
    <t>1619PA1578-000</t>
  </si>
  <si>
    <t>1619PA1732-000</t>
  </si>
  <si>
    <t>1619PA1739-000</t>
  </si>
  <si>
    <t>1619PA1743-000</t>
  </si>
  <si>
    <t>1619PA1744-000</t>
  </si>
  <si>
    <t>1619PA1746-000</t>
  </si>
  <si>
    <t>1619PA1751-000</t>
  </si>
  <si>
    <t>1619PA1752-000</t>
  </si>
  <si>
    <t>1619PA1753-000</t>
  </si>
  <si>
    <t>1619PA1755-000</t>
  </si>
  <si>
    <t>1619PA1756-000</t>
  </si>
  <si>
    <t>1619PA1758-000</t>
  </si>
  <si>
    <t>1619PA1759-000</t>
  </si>
  <si>
    <t>1619PA1760-000</t>
  </si>
  <si>
    <t>1619PA1761-000</t>
  </si>
  <si>
    <t>1619PA1762-000</t>
  </si>
  <si>
    <t>1619PA1764-000</t>
  </si>
  <si>
    <t>1619PA1765-000</t>
  </si>
  <si>
    <t>1619PA1770-000</t>
  </si>
  <si>
    <t>1619PA1781-000</t>
  </si>
  <si>
    <t>1619PA1782-000</t>
  </si>
  <si>
    <t>1619PA1783-000</t>
  </si>
  <si>
    <t>1619PA1831-000</t>
  </si>
  <si>
    <t>1619PA1834-000</t>
  </si>
  <si>
    <t>1619PA1836-000</t>
  </si>
  <si>
    <t>1619PA1837-000</t>
  </si>
  <si>
    <t>1619PA1840-000</t>
  </si>
  <si>
    <t>1619PA1841-000</t>
  </si>
  <si>
    <t>1619PA1844-000</t>
  </si>
  <si>
    <t>1619PA1858-000</t>
  </si>
  <si>
    <t>1619PA1903-000</t>
  </si>
  <si>
    <t>1619PA1905-000</t>
  </si>
  <si>
    <t>1619PA1907-000</t>
  </si>
  <si>
    <t>1619PA1909-000</t>
  </si>
  <si>
    <t>1619PA1910-000</t>
  </si>
  <si>
    <t>1619PA1911-000</t>
  </si>
  <si>
    <t>1619PA1914-000</t>
  </si>
  <si>
    <t>1619PA1916-000</t>
  </si>
  <si>
    <t>1619PA1917-000</t>
  </si>
  <si>
    <t>1619PA1918-000</t>
  </si>
  <si>
    <t>1619PA1919-000</t>
  </si>
  <si>
    <t>1619PA1920-000</t>
  </si>
  <si>
    <t>1619PA1921-000</t>
  </si>
  <si>
    <t>1619PA1942-000</t>
  </si>
  <si>
    <t>1619PA1943-000</t>
  </si>
  <si>
    <t>1619PA1944-000</t>
  </si>
  <si>
    <t>1619PA1945-000</t>
  </si>
  <si>
    <t>1619PA1947-000</t>
  </si>
  <si>
    <t>1619PA2329-000</t>
  </si>
  <si>
    <t>1619PA2330-000</t>
  </si>
  <si>
    <t>1619PA2331-000</t>
  </si>
  <si>
    <t>1619PA2332-000</t>
  </si>
  <si>
    <t>1619PA2333-000</t>
  </si>
  <si>
    <t>1619PA2334-000</t>
  </si>
  <si>
    <t>1619PA2335-000</t>
  </si>
  <si>
    <t>1619PA2336-000</t>
  </si>
  <si>
    <t>1619PA2337-000</t>
  </si>
  <si>
    <t>1619PA2338-000</t>
  </si>
  <si>
    <t>1619PA2339-000</t>
  </si>
  <si>
    <t>1619PA2340-000</t>
  </si>
  <si>
    <t>1619PA2802-000</t>
  </si>
  <si>
    <t>1619PA3145-000</t>
  </si>
  <si>
    <t>1619PA3304-000</t>
  </si>
  <si>
    <t>1619PA3305-000</t>
  </si>
  <si>
    <t>1619PA3545-000</t>
  </si>
  <si>
    <t>1619PA3546-000</t>
  </si>
  <si>
    <t>1619PA3548-000</t>
  </si>
  <si>
    <t>1619PA3558-000</t>
  </si>
  <si>
    <t>1619PA3559-000</t>
  </si>
  <si>
    <t>1619PA3560-000</t>
  </si>
  <si>
    <t>1619PA3562-000</t>
  </si>
  <si>
    <t>1619PA3568-000</t>
  </si>
  <si>
    <t>1619PA3569-000</t>
  </si>
  <si>
    <t>1619PA3570-000</t>
  </si>
  <si>
    <t>1619PA3571-000</t>
  </si>
  <si>
    <t>1619PA3572-000</t>
  </si>
  <si>
    <t>1619PA3585-000</t>
  </si>
  <si>
    <t>1619PA3587-000</t>
  </si>
  <si>
    <t>1619PA4091-000</t>
  </si>
  <si>
    <t>1619PA4168-000</t>
  </si>
  <si>
    <t>1619PA5003-000</t>
  </si>
  <si>
    <t>1619PA5043-000</t>
  </si>
  <si>
    <t>1619PA5044-000</t>
  </si>
  <si>
    <t>1619PA5054-000</t>
  </si>
  <si>
    <t>1619PA5181-000</t>
  </si>
  <si>
    <t>1619PA5182-000</t>
  </si>
  <si>
    <t>1619PA5184-000</t>
  </si>
  <si>
    <t>1619PA5185-000</t>
  </si>
  <si>
    <t>1619PA5187-000</t>
  </si>
  <si>
    <t>1619PA5188-000</t>
  </si>
  <si>
    <t>1619PA5189-000</t>
  </si>
  <si>
    <t>1619PA5190-000</t>
  </si>
  <si>
    <t>1619PA5191-000</t>
  </si>
  <si>
    <t>1619PA5192-000</t>
  </si>
  <si>
    <t>1619PA5193-000</t>
  </si>
  <si>
    <t>1619PA5194-000</t>
  </si>
  <si>
    <t>1619PA5196-000</t>
  </si>
  <si>
    <t>1619PA5197-000</t>
  </si>
  <si>
    <t>1619PA5198-000</t>
  </si>
  <si>
    <t>1619PA5199-000</t>
  </si>
  <si>
    <t>1619PA5200-000</t>
  </si>
  <si>
    <t>1619PA5201-000</t>
  </si>
  <si>
    <t>1619PA5202-000</t>
  </si>
  <si>
    <t>1619PA5203-000</t>
  </si>
  <si>
    <t>1619PA5204-000</t>
  </si>
  <si>
    <t>1619PA5205-000</t>
  </si>
  <si>
    <t>1619PA5234-000</t>
  </si>
  <si>
    <t>1619PA5235-000</t>
  </si>
  <si>
    <t>1619PA6835-000</t>
  </si>
  <si>
    <t>1619PA6901-000</t>
  </si>
  <si>
    <t>1619PA6908-000</t>
  </si>
  <si>
    <t>1619PA6915-000</t>
  </si>
  <si>
    <t>1619PA6916-000</t>
  </si>
  <si>
    <t>1619PA6920-000</t>
  </si>
  <si>
    <t>1619PA6921-000</t>
  </si>
  <si>
    <t>1619PA6922-000</t>
  </si>
  <si>
    <t>1619PA6923-000</t>
  </si>
  <si>
    <t>1619PA6924-000</t>
  </si>
  <si>
    <t>1619PA6925-000</t>
  </si>
  <si>
    <t>1619PA6926-000</t>
  </si>
  <si>
    <t>1619PA6927-000</t>
  </si>
  <si>
    <t>1619PA6928-000</t>
  </si>
  <si>
    <t>1619PA6929-000</t>
  </si>
  <si>
    <t>1619PA6930-000</t>
  </si>
  <si>
    <t>1619PA6931-000</t>
  </si>
  <si>
    <t>1619PA6932-000</t>
  </si>
  <si>
    <t>1619PA6933-000</t>
  </si>
  <si>
    <t>1619PA6934-000</t>
  </si>
  <si>
    <t>1619PA6935-000</t>
  </si>
  <si>
    <t>1619PA6936-000</t>
  </si>
  <si>
    <t>1619PA6937-000</t>
  </si>
  <si>
    <t>1619PA6938-000</t>
  </si>
  <si>
    <t>1619PA6939-000</t>
  </si>
  <si>
    <t>1619PA6940-000</t>
  </si>
  <si>
    <t>1619PA6941-000</t>
  </si>
  <si>
    <t>1619PA6942-000</t>
  </si>
  <si>
    <t>1619PA6943-000</t>
  </si>
  <si>
    <t>1619PA6944-000</t>
  </si>
  <si>
    <t>1619PA6945-000</t>
  </si>
  <si>
    <t>1619PA6946-000</t>
  </si>
  <si>
    <t>1619PA6948-000</t>
  </si>
  <si>
    <t>1619PA6949-000</t>
  </si>
  <si>
    <t>1619PA6950-000</t>
  </si>
  <si>
    <t>1619PA6951-000</t>
  </si>
  <si>
    <t>1619PA6952-000</t>
  </si>
  <si>
    <t>1619PA6953-000</t>
  </si>
  <si>
    <t>1619PA6954-000</t>
  </si>
  <si>
    <t>1619PA6955-000</t>
  </si>
  <si>
    <t>1619PA6956-000</t>
  </si>
  <si>
    <t>1619PA6957-000</t>
  </si>
  <si>
    <t>1619PA6958-000</t>
  </si>
  <si>
    <t>1619PA6959-000</t>
  </si>
  <si>
    <t>1619PA6960-000</t>
  </si>
  <si>
    <t>1619PA6961-000</t>
  </si>
  <si>
    <t>1619PA6962-000</t>
  </si>
  <si>
    <t>1619PA6963-000</t>
  </si>
  <si>
    <t>1619PA6964-000</t>
  </si>
  <si>
    <t>1619PA6965-000</t>
  </si>
  <si>
    <t>1619PA6966-000</t>
  </si>
  <si>
    <t>1619PA6967-000</t>
  </si>
  <si>
    <t>1619PA6968-000</t>
  </si>
  <si>
    <t>1619PA6969-000</t>
  </si>
  <si>
    <t>1619PA6970-000</t>
  </si>
  <si>
    <t>1619PA6971-000</t>
  </si>
  <si>
    <t>1619PA6972-000</t>
  </si>
  <si>
    <t>1619PA6973-000</t>
  </si>
  <si>
    <t>1619PA6974-000</t>
  </si>
  <si>
    <t>1619PA6975-000</t>
  </si>
  <si>
    <t>1619PA6976-000</t>
  </si>
  <si>
    <t>1619PA6980-000</t>
  </si>
  <si>
    <t>1619PA6981-000</t>
  </si>
  <si>
    <t>1619PA6982-000</t>
  </si>
  <si>
    <t>1619PA6983-000</t>
  </si>
  <si>
    <t>1619PA6984-000</t>
  </si>
  <si>
    <t>1619PA6985-000</t>
  </si>
  <si>
    <t>1619PA6986-000</t>
  </si>
  <si>
    <t>1619PA6987-000</t>
  </si>
  <si>
    <t>1619PA6988-000</t>
  </si>
  <si>
    <t>1619PA6989-000</t>
  </si>
  <si>
    <t>1619PA6990-000</t>
  </si>
  <si>
    <t>1619PA6991-000</t>
  </si>
  <si>
    <t>1619PA6992-000</t>
  </si>
  <si>
    <t>1619PA6993-000</t>
  </si>
  <si>
    <t>1619PA6994-000</t>
  </si>
  <si>
    <t>1619PA6995-000</t>
  </si>
  <si>
    <t>1619PA6996-000</t>
  </si>
  <si>
    <t>1619PA6998-000</t>
  </si>
  <si>
    <t>1619PA6999-000</t>
  </si>
  <si>
    <t>1619PA7000-000</t>
  </si>
  <si>
    <t>1619PA7001-000</t>
  </si>
  <si>
    <t>1619PA7002-000</t>
  </si>
  <si>
    <t>1619PA7003-000</t>
  </si>
  <si>
    <t>1619PA7004-000</t>
  </si>
  <si>
    <t>1619PA7005-000</t>
  </si>
  <si>
    <t>1619PA7006-000</t>
  </si>
  <si>
    <t>1619PA7007-000</t>
  </si>
  <si>
    <t>1619PA7008-000</t>
  </si>
  <si>
    <t>1619PA7009-000</t>
  </si>
  <si>
    <t>1619PA7010-000</t>
  </si>
  <si>
    <t>1619PA7011-000</t>
  </si>
  <si>
    <t>1619PA7012-000</t>
  </si>
  <si>
    <t>1619PA7013-000</t>
  </si>
  <si>
    <t>1619PA7014-000</t>
  </si>
  <si>
    <t>1619PA7015-000</t>
  </si>
  <si>
    <t>1619PA7016-000</t>
  </si>
  <si>
    <t>1619PA7017-000</t>
  </si>
  <si>
    <t>1619PA7018-000</t>
  </si>
  <si>
    <t>1619PA7019-000</t>
  </si>
  <si>
    <t>1619PA7020-000</t>
  </si>
  <si>
    <t>1619PA7021-000</t>
  </si>
  <si>
    <t>1619PA7022-000</t>
  </si>
  <si>
    <t>1619PA7023-000</t>
  </si>
  <si>
    <t>1619PA7024-000</t>
  </si>
  <si>
    <t>1619PA7026-000</t>
  </si>
  <si>
    <t>1619PA7027-000</t>
  </si>
  <si>
    <t>1619PA7028-000</t>
  </si>
  <si>
    <t>1619PA7029-000</t>
  </si>
  <si>
    <t>1619PA7032-000</t>
  </si>
  <si>
    <t>1619PA7033-000</t>
  </si>
  <si>
    <t>1619PA7034-000</t>
  </si>
  <si>
    <t>1619PA7036-000</t>
  </si>
  <si>
    <t>1619PA7037-000</t>
  </si>
  <si>
    <t>1619PA7046-000</t>
  </si>
  <si>
    <t>1619PA7051-000</t>
  </si>
  <si>
    <t>1619PA7055-000</t>
  </si>
  <si>
    <t>1619PA7056-000</t>
  </si>
  <si>
    <t>1619PA7057-000</t>
  </si>
  <si>
    <t>1619PA7058-000</t>
  </si>
  <si>
    <t>1619PA7071-000</t>
  </si>
  <si>
    <t>1619PA7077-000</t>
  </si>
  <si>
    <t>1619PA7081-000</t>
  </si>
  <si>
    <t>1619PA7095-000</t>
  </si>
  <si>
    <t>1619PA7266-000</t>
  </si>
  <si>
    <t>1619PA7267-000</t>
  </si>
  <si>
    <t>1619PA7269-000</t>
  </si>
  <si>
    <t>1619PA7270-000</t>
  </si>
  <si>
    <t>1619PA7271-000</t>
  </si>
  <si>
    <t>1619PA7280-000</t>
  </si>
  <si>
    <t>1619PA7285-000</t>
  </si>
  <si>
    <t>1619PA7288-000</t>
  </si>
  <si>
    <t>1619PA7290-000</t>
  </si>
  <si>
    <t>1619PA7301-000</t>
  </si>
  <si>
    <t>1619PA7303-000</t>
  </si>
  <si>
    <t>1619PA7304-000</t>
  </si>
  <si>
    <t>1619PA7305-000</t>
  </si>
  <si>
    <t>1619PA7306-000</t>
  </si>
  <si>
    <t>1619PA7307-000</t>
  </si>
  <si>
    <t>1619PA7310-000</t>
  </si>
  <si>
    <t>1619PA7311-000</t>
  </si>
  <si>
    <t>1619PA7312-000</t>
  </si>
  <si>
    <t>1619PA7313-000</t>
  </si>
  <si>
    <t>1619PA7314-000</t>
  </si>
  <si>
    <t>1619PA7315-000</t>
  </si>
  <si>
    <t>1619PA7316-000</t>
  </si>
  <si>
    <t>1619PA7318-000</t>
  </si>
  <si>
    <t>1619PA7319-000</t>
  </si>
  <si>
    <t>1619PA7320-000</t>
  </si>
  <si>
    <t>1619PA7322-000</t>
  </si>
  <si>
    <t>1619PA7324-000</t>
  </si>
  <si>
    <t>1619PA7325-000</t>
  </si>
  <si>
    <t>1619PA7327-000</t>
  </si>
  <si>
    <t>1619PA7328-000</t>
  </si>
  <si>
    <t>1619PA7329-000</t>
  </si>
  <si>
    <t>1619PA7331-000</t>
  </si>
  <si>
    <t>1619PA7345-000</t>
  </si>
  <si>
    <t>1619PA7349-000</t>
  </si>
  <si>
    <t>1619PA7400-000</t>
  </si>
  <si>
    <t>1619PA7410-000</t>
  </si>
  <si>
    <t>1619PA7501-000</t>
  </si>
  <si>
    <t>1619PA7502-000</t>
  </si>
  <si>
    <t>1619PA7655-000</t>
  </si>
  <si>
    <t>1619PA7656-000</t>
  </si>
  <si>
    <t>1619PA7657-000</t>
  </si>
  <si>
    <t>1619PA7659-000</t>
  </si>
  <si>
    <t>1619PA7662-000</t>
  </si>
  <si>
    <t>1619PA7663-000</t>
  </si>
  <si>
    <t>1619PA7665-000</t>
  </si>
  <si>
    <t>1619PA7666-000</t>
  </si>
  <si>
    <t>1619PA7667-000</t>
  </si>
  <si>
    <t>1619PA7669-000</t>
  </si>
  <si>
    <t>1619PA7670-000</t>
  </si>
  <si>
    <t>1619PA7671-000</t>
  </si>
  <si>
    <t>1619PA7672-000</t>
  </si>
  <si>
    <t>1619PA7673-000</t>
  </si>
  <si>
    <t>1619PA7674-000</t>
  </si>
  <si>
    <t>1619PA7678-000</t>
  </si>
  <si>
    <t>1619PA7680-000</t>
  </si>
  <si>
    <t>1619PA7682-000</t>
  </si>
  <si>
    <t>1619PA7683-000</t>
  </si>
  <si>
    <t>1619PA7686-000</t>
  </si>
  <si>
    <t>1619PA7687-000</t>
  </si>
  <si>
    <t>1619PA7688-000</t>
  </si>
  <si>
    <t>1619PA7689-000</t>
  </si>
  <si>
    <t>1619PA7690-000</t>
  </si>
  <si>
    <t>1619PA7691-000</t>
  </si>
  <si>
    <t>1619PA7692-000</t>
  </si>
  <si>
    <t>1619PA7694-000</t>
  </si>
  <si>
    <t>1619PA7695-000</t>
  </si>
  <si>
    <t>1619PA7696-000</t>
  </si>
  <si>
    <t>1619PA7697-000</t>
  </si>
  <si>
    <t>1619PA7700-000</t>
  </si>
  <si>
    <t>1619PA7701-000</t>
  </si>
  <si>
    <t>1619PA7704-000</t>
  </si>
  <si>
    <t>1619PA7707-000</t>
  </si>
  <si>
    <t>1619PA7718-000</t>
  </si>
  <si>
    <t>1619PA7719-000</t>
  </si>
  <si>
    <t>1619PA7730-000</t>
  </si>
  <si>
    <t>1619PA7735-000</t>
  </si>
  <si>
    <t>1619PA7736-000</t>
  </si>
  <si>
    <t>1619PA7738-000</t>
  </si>
  <si>
    <t>1619PA7748-000</t>
  </si>
  <si>
    <t>1619PA7750-000</t>
  </si>
  <si>
    <t>1619PA7751-000</t>
  </si>
  <si>
    <t>1619PA7753-000</t>
  </si>
  <si>
    <t>1619PA7756-000</t>
  </si>
  <si>
    <t>1619PA7763-000</t>
  </si>
  <si>
    <t>1619PA7769-000</t>
  </si>
  <si>
    <t>1619PA7776-000</t>
  </si>
  <si>
    <t>1619PA7778-000</t>
  </si>
  <si>
    <t>1619PA7806-000</t>
  </si>
  <si>
    <t>1619PA7807-000</t>
  </si>
  <si>
    <t>1619PA7808-000</t>
  </si>
  <si>
    <t>1619PA7809-000</t>
  </si>
  <si>
    <t>1619PA7810-000</t>
  </si>
  <si>
    <t>1619PA7812-000</t>
  </si>
  <si>
    <t>1619PA7814-000</t>
  </si>
  <si>
    <t>1619PA7815-000</t>
  </si>
  <si>
    <t>1619PA7816-000</t>
  </si>
  <si>
    <t>1619PA7821-000</t>
  </si>
  <si>
    <t>1619PA7829-000</t>
  </si>
  <si>
    <t>1619PA7830-000</t>
  </si>
  <si>
    <t>1619PA7831-000</t>
  </si>
  <si>
    <t>1619PA7832-000</t>
  </si>
  <si>
    <t>1619PA7833-000</t>
  </si>
  <si>
    <t>1619PA7834-000</t>
  </si>
  <si>
    <t>1619PA7835-000</t>
  </si>
  <si>
    <t>1619PA7836-000</t>
  </si>
  <si>
    <t>1619PA7837-000</t>
  </si>
  <si>
    <t>1619PA7838-000</t>
  </si>
  <si>
    <t>1619PA7839-000</t>
  </si>
  <si>
    <t>1619PA7840-000</t>
  </si>
  <si>
    <t>1619PA7841-000</t>
  </si>
  <si>
    <t>1619PA7842-000</t>
  </si>
  <si>
    <t>1619PA7843-000</t>
  </si>
  <si>
    <t>1619PA7844-000</t>
  </si>
  <si>
    <t>1619PA7845-000</t>
  </si>
  <si>
    <t>1619PA7846-000</t>
  </si>
  <si>
    <t>1619PA7849-000</t>
  </si>
  <si>
    <t>1619PA7850-000</t>
  </si>
  <si>
    <t>1619PA7851-000</t>
  </si>
  <si>
    <t>1619PA7852-000</t>
  </si>
  <si>
    <t>1619PA7853-000</t>
  </si>
  <si>
    <t>1619PA7855-000</t>
  </si>
  <si>
    <t>1619PA7856-000</t>
  </si>
  <si>
    <t>1619PA7887-000</t>
  </si>
  <si>
    <t>1619PA7888-000</t>
  </si>
  <si>
    <t>1619PA7889-000</t>
  </si>
  <si>
    <t>1619PA7891-000</t>
  </si>
  <si>
    <t>1619PA7894-000</t>
  </si>
  <si>
    <t>1619PA7982-000</t>
  </si>
  <si>
    <t>1619PA7988-000</t>
  </si>
  <si>
    <t>1619PA7994-000</t>
  </si>
  <si>
    <t>1619PA7995-000</t>
  </si>
  <si>
    <t>1619PA7998-000</t>
  </si>
  <si>
    <t>1619PA7999-000</t>
  </si>
  <si>
    <t>1619PA8006-000</t>
  </si>
  <si>
    <t>1619PA8008-000</t>
  </si>
  <si>
    <t>1619PA8009-000</t>
  </si>
  <si>
    <t>1619PA8040-000</t>
  </si>
  <si>
    <t>1619PA8043-000</t>
  </si>
  <si>
    <t>1619PA8046-000</t>
  </si>
  <si>
    <t>1619PA8047-000</t>
  </si>
  <si>
    <t>1619PA8054-000</t>
  </si>
  <si>
    <t>1619PA8062-000</t>
  </si>
  <si>
    <t>1619PA8063-000</t>
  </si>
  <si>
    <t>1619PA8064-000</t>
  </si>
  <si>
    <t>1619PA8065-000</t>
  </si>
  <si>
    <t>1619PA8066-000</t>
  </si>
  <si>
    <t>1619PA8067-000</t>
  </si>
  <si>
    <t>1619PA8068-000</t>
  </si>
  <si>
    <t>1619PA8081-000</t>
  </si>
  <si>
    <t>1619PA8100-000</t>
  </si>
  <si>
    <t>1619PA8101-000</t>
  </si>
  <si>
    <t>1619PA8313-000</t>
  </si>
  <si>
    <t>1619PA8367-000</t>
  </si>
  <si>
    <t>1619PA8370-000</t>
  </si>
  <si>
    <t>1619PA8509-000</t>
  </si>
  <si>
    <t>1619PA8553-000</t>
  </si>
  <si>
    <t>1619PA8574-000</t>
  </si>
  <si>
    <t>1619PA8647-000</t>
  </si>
  <si>
    <t>1619PA8659-000</t>
  </si>
  <si>
    <t>1619PA8661-000</t>
  </si>
  <si>
    <t>1619PA8721-000</t>
  </si>
  <si>
    <t>1619PA9069-000</t>
  </si>
  <si>
    <t>1619PA9070-000</t>
  </si>
  <si>
    <t>1619PA9071-000</t>
  </si>
  <si>
    <t>1619PA9073-000</t>
  </si>
  <si>
    <t>1619PA9074-000</t>
  </si>
  <si>
    <t>1619PA9075-000</t>
  </si>
  <si>
    <t>1619PA9076-000</t>
  </si>
  <si>
    <t>1619PA9080-000</t>
  </si>
  <si>
    <t>1619PA9081-000</t>
  </si>
  <si>
    <t>1619PA9082-000</t>
  </si>
  <si>
    <t>1619PA9083-000</t>
  </si>
  <si>
    <t>1619PA9085-000</t>
  </si>
  <si>
    <t>1619PA9087-000</t>
  </si>
  <si>
    <t>1619PA9088-000</t>
  </si>
  <si>
    <t>1619PA9089-000</t>
  </si>
  <si>
    <t>1619PA9142-000</t>
  </si>
  <si>
    <t>1619PA9158-000</t>
  </si>
  <si>
    <t>1619PA9225-000</t>
  </si>
  <si>
    <t>1619PA9228-000</t>
  </si>
  <si>
    <t>1619PA9522-000</t>
  </si>
  <si>
    <t>1619PA9524-000</t>
  </si>
  <si>
    <t>1619PA9525-000</t>
  </si>
  <si>
    <t>1619PA9527-000</t>
  </si>
  <si>
    <t>1619PA9530-000</t>
  </si>
  <si>
    <t>1619PA9537-000</t>
  </si>
  <si>
    <t>1619PA9538-000</t>
  </si>
  <si>
    <t>1619PA9544-000</t>
  </si>
  <si>
    <t>1619PA9553-000</t>
  </si>
  <si>
    <t>1619PA9571-000</t>
  </si>
  <si>
    <t>1619PA9573-000</t>
  </si>
  <si>
    <t>1619PA9577-000</t>
  </si>
  <si>
    <t>1619PA9578-000</t>
  </si>
  <si>
    <t>1619PA9579-000</t>
  </si>
  <si>
    <t>1619PA9580-000</t>
  </si>
  <si>
    <t>1619PA9582-000</t>
  </si>
  <si>
    <t>1619PA9586-000</t>
  </si>
  <si>
    <t>1619PA9608-000</t>
  </si>
  <si>
    <t>1619PA9615-000</t>
  </si>
  <si>
    <t>1619PA9619-000</t>
  </si>
  <si>
    <t>1619PA9642-000</t>
  </si>
  <si>
    <t>1619PA9644-000</t>
  </si>
  <si>
    <t>1619PA9668-000</t>
  </si>
  <si>
    <t>1619PA9680-000</t>
  </si>
  <si>
    <t>1619PA9681-000</t>
  </si>
  <si>
    <t>1619PA9682-000</t>
  </si>
  <si>
    <t>1619PA9683-000</t>
  </si>
  <si>
    <t>1619PA9684-000</t>
  </si>
  <si>
    <t>1619PA9685-000</t>
  </si>
  <si>
    <t>1619PA9686-000</t>
  </si>
  <si>
    <t>1619PA9687-000</t>
  </si>
  <si>
    <t>1619PA9688-000</t>
  </si>
  <si>
    <t>1619PA9689-000</t>
  </si>
  <si>
    <t>1619PA9690-000</t>
  </si>
  <si>
    <t>1619PA9691-000</t>
  </si>
  <si>
    <t>1619PA9692-000</t>
  </si>
  <si>
    <t>1619PA9702-000</t>
  </si>
  <si>
    <t>1619PA9703-000</t>
  </si>
  <si>
    <t>1619PA9740-000</t>
  </si>
  <si>
    <t>1619PA9751-000</t>
  </si>
  <si>
    <t>1619PA9833-000</t>
  </si>
  <si>
    <t>1619PA9839-000</t>
  </si>
  <si>
    <t>1619PA9840-000</t>
  </si>
  <si>
    <t>1619PA9841-000</t>
  </si>
  <si>
    <t>1619PA9844-000</t>
  </si>
  <si>
    <t>1619PA9845-000</t>
  </si>
  <si>
    <t>1619PA9846-000</t>
  </si>
  <si>
    <t>1619PA9847-000</t>
  </si>
  <si>
    <t>1619PA9848-000</t>
  </si>
  <si>
    <t>1619PA9849-000</t>
  </si>
  <si>
    <t>1619PA9869-000</t>
  </si>
  <si>
    <t>1619PA9897-000</t>
  </si>
  <si>
    <t>1619PA9898-000</t>
  </si>
  <si>
    <t>1619PA9899-000</t>
  </si>
  <si>
    <t>1619PA9905-000</t>
  </si>
  <si>
    <t>1619PA9906-000</t>
  </si>
  <si>
    <t>1619PA9907-000</t>
  </si>
  <si>
    <t>1619PA9936-000</t>
  </si>
  <si>
    <t>1619PB0063-000</t>
  </si>
  <si>
    <t>1619PB0706-000</t>
  </si>
  <si>
    <t>1619PB0717-000</t>
  </si>
  <si>
    <t>1619PB1089-000</t>
  </si>
  <si>
    <t>1619PB2009-000</t>
  </si>
  <si>
    <t>1619PB2034-000</t>
  </si>
  <si>
    <t>1619PB2039-000</t>
  </si>
  <si>
    <t>1619PB2065-000</t>
  </si>
  <si>
    <t>1619PB2076-000</t>
  </si>
  <si>
    <t>1619PB2077-000</t>
  </si>
  <si>
    <t>1619PB2078-000</t>
  </si>
  <si>
    <t>1619PB2079-000</t>
  </si>
  <si>
    <t>1619PB2080-000</t>
  </si>
  <si>
    <t>1619PB2081-000</t>
  </si>
  <si>
    <t>1619PB2082-000</t>
  </si>
  <si>
    <t>1619PB2083-000</t>
  </si>
  <si>
    <t>1619PB2084-000</t>
  </si>
  <si>
    <t>1619PB2085-000</t>
  </si>
  <si>
    <t>1619PB2086-000</t>
  </si>
  <si>
    <t>1619PB2087-000</t>
  </si>
  <si>
    <t>1619PB2088-000</t>
  </si>
  <si>
    <t>1619PB2089-000</t>
  </si>
  <si>
    <t>1619PB2090-000</t>
  </si>
  <si>
    <t>1619PB2091-000</t>
  </si>
  <si>
    <t>1619PB2092-000</t>
  </si>
  <si>
    <t>1619PB2093-000</t>
  </si>
  <si>
    <t>1619PB2094-000</t>
  </si>
  <si>
    <t>1619PB2095-000</t>
  </si>
  <si>
    <t>1619PB2096-000</t>
  </si>
  <si>
    <t>1619PB2097-000</t>
  </si>
  <si>
    <t>1619PB2098-000</t>
  </si>
  <si>
    <t>1619PB2099-000</t>
  </si>
  <si>
    <t>1619PB2100-000</t>
  </si>
  <si>
    <t>1619PB2101-000</t>
  </si>
  <si>
    <t>1619PB2102-000</t>
  </si>
  <si>
    <t>1619PB2157-000</t>
  </si>
  <si>
    <t>1619PB2366-000</t>
  </si>
  <si>
    <t>1619PB2367-000</t>
  </si>
  <si>
    <t>1619PB2368-000</t>
  </si>
  <si>
    <t>1619PB2369-000</t>
  </si>
  <si>
    <t>1619PB2371-000</t>
  </si>
  <si>
    <t>1619PB2372-000</t>
  </si>
  <si>
    <t>1619PB2373-000</t>
  </si>
  <si>
    <t>1619PB2374-000</t>
  </si>
  <si>
    <t>1619PB2375-000</t>
  </si>
  <si>
    <t>1619PB2376-000</t>
  </si>
  <si>
    <t>1619PB2378-000</t>
  </si>
  <si>
    <t>1619PB2409-000</t>
  </si>
  <si>
    <t>1619PB2411-000</t>
  </si>
  <si>
    <t>1619PB2412-000</t>
  </si>
  <si>
    <t>1619PB2487-000</t>
  </si>
  <si>
    <t>1619PB2531-000</t>
  </si>
  <si>
    <t>1619PB2532-000</t>
  </si>
  <si>
    <t>1619PB2792-000</t>
  </si>
  <si>
    <t>1619PB2793-000</t>
  </si>
  <si>
    <t>1619PB2799-000</t>
  </si>
  <si>
    <t>1619PB2800-000</t>
  </si>
  <si>
    <t>1619PB2801-000</t>
  </si>
  <si>
    <t>1619PB2807-000</t>
  </si>
  <si>
    <t>1619PB2931-000</t>
  </si>
  <si>
    <t>1619PB3002-000</t>
  </si>
  <si>
    <t>1619PB3004-000</t>
  </si>
  <si>
    <t>1619PB3021-000</t>
  </si>
  <si>
    <t>1619PB3022-000</t>
  </si>
  <si>
    <t>1619PB3028-000</t>
  </si>
  <si>
    <t>1619PB3031-000</t>
  </si>
  <si>
    <t>1619PB3034-000</t>
  </si>
  <si>
    <t>1619PB3045-000</t>
  </si>
  <si>
    <t>1619PB3046-000</t>
  </si>
  <si>
    <t>1619PB3047-000</t>
  </si>
  <si>
    <t>1619PB3048-000</t>
  </si>
  <si>
    <t>1619PB3049-000</t>
  </si>
  <si>
    <t>1619PB3050-000</t>
  </si>
  <si>
    <t>1619PB3051-000</t>
  </si>
  <si>
    <t>1619PB3052-000</t>
  </si>
  <si>
    <t>1619PB3053-000</t>
  </si>
  <si>
    <t>1619PB3054-000</t>
  </si>
  <si>
    <t>1619PB3055-000</t>
  </si>
  <si>
    <t>1619PB3056-000</t>
  </si>
  <si>
    <t>1619PB3057-000</t>
  </si>
  <si>
    <t>1619PB3058-000</t>
  </si>
  <si>
    <t>1619PB3059-000</t>
  </si>
  <si>
    <t>1619PB3060-000</t>
  </si>
  <si>
    <t>1619PB3061-000</t>
  </si>
  <si>
    <t>1619PB3063-000</t>
  </si>
  <si>
    <t>1619PB3064-000</t>
  </si>
  <si>
    <t>1619PB3065-000</t>
  </si>
  <si>
    <t>1619PB3066-000</t>
  </si>
  <si>
    <t>1619PB3067-000</t>
  </si>
  <si>
    <t>1619PB3068-000</t>
  </si>
  <si>
    <t>1619PB3069-000</t>
  </si>
  <si>
    <t>1619PB3070-000</t>
  </si>
  <si>
    <t>1619PB3071-000</t>
  </si>
  <si>
    <t>1619PB3072-000</t>
  </si>
  <si>
    <t>1619PB3073-000</t>
  </si>
  <si>
    <t>1619PB3074-000</t>
  </si>
  <si>
    <t>1619PB3075-000</t>
  </si>
  <si>
    <t>1619PB3076-000</t>
  </si>
  <si>
    <t>1619PB3077-000</t>
  </si>
  <si>
    <t>1619PB3078-000</t>
  </si>
  <si>
    <t>1619PB3079-000</t>
  </si>
  <si>
    <t>1619PB3080-000</t>
  </si>
  <si>
    <t>1619PB3081-000</t>
  </si>
  <si>
    <t>1619PB3083-000</t>
  </si>
  <si>
    <t>1619PB3639-000</t>
  </si>
  <si>
    <t>1619PB3640-000</t>
  </si>
  <si>
    <t>1619PB3642-000</t>
  </si>
  <si>
    <t>1619PB3643-000</t>
  </si>
  <si>
    <t>1619PB3644-000</t>
  </si>
  <si>
    <t>1619PB3645-000</t>
  </si>
  <si>
    <t>1619PB3646-000</t>
  </si>
  <si>
    <t>1619PB3649-000</t>
  </si>
  <si>
    <t>1619PB3650-000</t>
  </si>
  <si>
    <t>1619PB3651-000</t>
  </si>
  <si>
    <t>1619PB3652-000</t>
  </si>
  <si>
    <t>1619PB3653-000</t>
  </si>
  <si>
    <t>1619PB3654-000</t>
  </si>
  <si>
    <t>1619PB3655-000</t>
  </si>
  <si>
    <t>1619PB3658-000</t>
  </si>
  <si>
    <t>1619PB3662-000</t>
  </si>
  <si>
    <t>1619PB3666-000</t>
  </si>
  <si>
    <t>1619PB3667-000</t>
  </si>
  <si>
    <t>1619PB3671-000</t>
  </si>
  <si>
    <t>1619PB3672-000</t>
  </si>
  <si>
    <t>1619PB3676-000</t>
  </si>
  <si>
    <t>1619PB3678-000</t>
  </si>
  <si>
    <t>1619PB3680-000</t>
  </si>
  <si>
    <t>1619PB3681-000</t>
  </si>
  <si>
    <t>1619PB3682-000</t>
  </si>
  <si>
    <t>1619PB3684-000</t>
  </si>
  <si>
    <t>1619PB3686-000</t>
  </si>
  <si>
    <t>1619PB3687-000</t>
  </si>
  <si>
    <t>1619PB3688-000</t>
  </si>
  <si>
    <t>1619PB3689-000</t>
  </si>
  <si>
    <t>1619PB3691-000</t>
  </si>
  <si>
    <t>1619PB3699-000</t>
  </si>
  <si>
    <t>1619PB3700-000</t>
  </si>
  <si>
    <t>1619PB3701-000</t>
  </si>
  <si>
    <t>1619PB3702-000</t>
  </si>
  <si>
    <t>1619PB3703-000</t>
  </si>
  <si>
    <t>1619PB3704-000</t>
  </si>
  <si>
    <t>1619PB3705-000</t>
  </si>
  <si>
    <t>1619PB3706-000</t>
  </si>
  <si>
    <t>1619PB3707-000</t>
  </si>
  <si>
    <t>1619PB3708-000</t>
  </si>
  <si>
    <t>1619PB3709-000</t>
  </si>
  <si>
    <t>1619PB3710-000</t>
  </si>
  <si>
    <t>1619PB3711-000</t>
  </si>
  <si>
    <t>1619PB3712-000</t>
  </si>
  <si>
    <t>1619PB3713-000</t>
  </si>
  <si>
    <t>1619PB3714-000</t>
  </si>
  <si>
    <t>1619PB3715-000</t>
  </si>
  <si>
    <t>1619PB3716-000</t>
  </si>
  <si>
    <t>1619PB3717-000</t>
  </si>
  <si>
    <t>1619PB3718-000</t>
  </si>
  <si>
    <t>1619PB3719-000</t>
  </si>
  <si>
    <t>1619PB3720-000</t>
  </si>
  <si>
    <t>1619PB3721-000</t>
  </si>
  <si>
    <t>1619PB3722-000</t>
  </si>
  <si>
    <t>1619PB3723-000</t>
  </si>
  <si>
    <t>1619PB3724-000</t>
  </si>
  <si>
    <t>1619PB3725-000</t>
  </si>
  <si>
    <t>1619PB3726-000</t>
  </si>
  <si>
    <t>1619PB3729-000</t>
  </si>
  <si>
    <t>1619PB3734-000</t>
  </si>
  <si>
    <t>1619PB3738-000</t>
  </si>
  <si>
    <t>1619PB3739-000</t>
  </si>
  <si>
    <t>1619PB3740-000</t>
  </si>
  <si>
    <t>1619PB3745-000</t>
  </si>
  <si>
    <t>1619PB3746-000</t>
  </si>
  <si>
    <t>1619PB3747-000</t>
  </si>
  <si>
    <t>1619PB3749-000</t>
  </si>
  <si>
    <t>1619PB3750-000</t>
  </si>
  <si>
    <t>1619PB3751-000</t>
  </si>
  <si>
    <t>1619PB3755-000</t>
  </si>
  <si>
    <t>1619PB3756-000</t>
  </si>
  <si>
    <t>1619PB3757-000</t>
  </si>
  <si>
    <t>1619PB3758-000</t>
  </si>
  <si>
    <t>1619PB3759-000</t>
  </si>
  <si>
    <t>1619PB3761-000</t>
  </si>
  <si>
    <t>1619PB3763-000</t>
  </si>
  <si>
    <t>1619PB3767-000</t>
  </si>
  <si>
    <t>1619PB3768-000</t>
  </si>
  <si>
    <t>1619PB3771-000</t>
  </si>
  <si>
    <t>1619PB3776-000</t>
  </si>
  <si>
    <t>1619PB3777-000</t>
  </si>
  <si>
    <t>1619PB3778-000</t>
  </si>
  <si>
    <t>1619PB3779-000</t>
  </si>
  <si>
    <t>1619PB3823-000</t>
  </si>
  <si>
    <t>1619PB3824-000</t>
  </si>
  <si>
    <t>1619PB3825-000</t>
  </si>
  <si>
    <t>1619PB3826-000</t>
  </si>
  <si>
    <t>1619PB3834-000</t>
  </si>
  <si>
    <t>1619PB3923-000</t>
  </si>
  <si>
    <t>1619PB3929-000</t>
  </si>
  <si>
    <t>1619PB4053-000</t>
  </si>
  <si>
    <t>1619PB4054-000</t>
  </si>
  <si>
    <t>1619PB4065-000</t>
  </si>
  <si>
    <t>1619PB4074-000</t>
  </si>
  <si>
    <t>1619PB4076-000</t>
  </si>
  <si>
    <t>1619PB4081-000</t>
  </si>
  <si>
    <t>1619PB4083-000</t>
  </si>
  <si>
    <t>1619PB4085-000</t>
  </si>
  <si>
    <t>1619PB4086-000</t>
  </si>
  <si>
    <t>1619PB4087-000</t>
  </si>
  <si>
    <t>1619PB4088-000</t>
  </si>
  <si>
    <t>1619PB4098-000</t>
  </si>
  <si>
    <t>1619PB4099-000</t>
  </si>
  <si>
    <t>1619PB4100-000</t>
  </si>
  <si>
    <t>1619PB4101-000</t>
  </si>
  <si>
    <t>1619PB4102-000</t>
  </si>
  <si>
    <t>1619PB4103-000</t>
  </si>
  <si>
    <t>1619PB4104-000</t>
  </si>
  <si>
    <t>1619PB4111-000</t>
  </si>
  <si>
    <t>1619PB4116-000</t>
  </si>
  <si>
    <t>1619PB4117-000</t>
  </si>
  <si>
    <t>1619PB4118-000</t>
  </si>
  <si>
    <t>1619PB4119-000</t>
  </si>
  <si>
    <t>1619PB4127-000</t>
  </si>
  <si>
    <t>1619PB4148-000</t>
  </si>
  <si>
    <t>1619PB4201-000</t>
  </si>
  <si>
    <t>1619PB4213-000</t>
  </si>
  <si>
    <t>1619PB4236-000</t>
  </si>
  <si>
    <t>1619PB4240-000</t>
  </si>
  <si>
    <t>1619PB4245-000</t>
  </si>
  <si>
    <t>1619PB4249-000</t>
  </si>
  <si>
    <t>1619PB4252-000</t>
  </si>
  <si>
    <t>1619PB4254-000</t>
  </si>
  <si>
    <t>1619PB4255-000</t>
  </si>
  <si>
    <t>1619PB4256-000</t>
  </si>
  <si>
    <t>1619PB4258-000</t>
  </si>
  <si>
    <t>1619PB4259-000</t>
  </si>
  <si>
    <t>1619PB4260-000</t>
  </si>
  <si>
    <t>1619PB4261-000</t>
  </si>
  <si>
    <t>1619PB4262-000</t>
  </si>
  <si>
    <t>1619PB4263-000</t>
  </si>
  <si>
    <t>1619PB4264-000</t>
  </si>
  <si>
    <t>1619PB4265-000</t>
  </si>
  <si>
    <t>1619PB4267-000</t>
  </si>
  <si>
    <t>1619PB4268-000</t>
  </si>
  <si>
    <t>1619PB4269-000</t>
  </si>
  <si>
    <t>1619PB4270-000</t>
  </si>
  <si>
    <t>1619PB4271-000</t>
  </si>
  <si>
    <t>1619PB4272-000</t>
  </si>
  <si>
    <t>1619PB4273-000</t>
  </si>
  <si>
    <t>1619PB4274-000</t>
  </si>
  <si>
    <t>1619PB4275-000</t>
  </si>
  <si>
    <t>1619PB4277-000</t>
  </si>
  <si>
    <t>1619PB4278-000</t>
  </si>
  <si>
    <t>1619PB4279-000</t>
  </si>
  <si>
    <t>1619PB4280-000</t>
  </si>
  <si>
    <t>1619PB4281-000</t>
  </si>
  <si>
    <t>1619PB4282-000</t>
  </si>
  <si>
    <t>1619PB4283-000</t>
  </si>
  <si>
    <t>1619PB4284-000</t>
  </si>
  <si>
    <t>1619PB4285-000</t>
  </si>
  <si>
    <t>1619PB4286-000</t>
  </si>
  <si>
    <t>1619PB4287-000</t>
  </si>
  <si>
    <t>1619PB4288-000</t>
  </si>
  <si>
    <t>1619PB4289-000</t>
  </si>
  <si>
    <t>1619PB4290-000</t>
  </si>
  <si>
    <t>1619PB4291-000</t>
  </si>
  <si>
    <t>1619PB4292-000</t>
  </si>
  <si>
    <t>1619PB4300-000</t>
  </si>
  <si>
    <t>1619PB4323-000</t>
  </si>
  <si>
    <t>1619PB4329-000</t>
  </si>
  <si>
    <t>1619PB4332-000</t>
  </si>
  <si>
    <t>1619PB4333-000</t>
  </si>
  <si>
    <t>1619PB4334-000</t>
  </si>
  <si>
    <t>1619PB4338-000</t>
  </si>
  <si>
    <t>1619PB4339-000</t>
  </si>
  <si>
    <t>1619PB4340-000</t>
  </si>
  <si>
    <t>1619PB4349-000</t>
  </si>
  <si>
    <t>1619PB4350-000</t>
  </si>
  <si>
    <t>1619PB4351-000</t>
  </si>
  <si>
    <t>1619PB4352-000</t>
  </si>
  <si>
    <t>1619PB4358-000</t>
  </si>
  <si>
    <t>1619PB4359-000</t>
  </si>
  <si>
    <t>1619PB4392-000</t>
  </si>
  <si>
    <t>1619PB4393-000</t>
  </si>
  <si>
    <t>1619PB4394-000</t>
  </si>
  <si>
    <t>1619PB4405-000</t>
  </si>
  <si>
    <t>1619PB4406-000</t>
  </si>
  <si>
    <t>1619PB4407-000</t>
  </si>
  <si>
    <t>1619PB4408-000</t>
  </si>
  <si>
    <t>1619PB4409-000</t>
  </si>
  <si>
    <t>1619PB4411-000</t>
  </si>
  <si>
    <t>1619PB4412-000</t>
  </si>
  <si>
    <t>1619PB4413-000</t>
  </si>
  <si>
    <t>1619PB4414-000</t>
  </si>
  <si>
    <t>1619PB4418-000</t>
  </si>
  <si>
    <t>1619PB4422-000</t>
  </si>
  <si>
    <t>1619PB4423-000</t>
  </si>
  <si>
    <t>1619PB4434-000</t>
  </si>
  <si>
    <t>1619PB4435-000</t>
  </si>
  <si>
    <t>1619PB4436-000</t>
  </si>
  <si>
    <t>1619PB4442-000</t>
  </si>
  <si>
    <t>1619PB4443-000</t>
  </si>
  <si>
    <t>1619PB4449-000</t>
  </si>
  <si>
    <t>1619PB4451-000</t>
  </si>
  <si>
    <t>1619PB4452-000</t>
  </si>
  <si>
    <t>1619PB4454-000</t>
  </si>
  <si>
    <t>1619PB4456-000</t>
  </si>
  <si>
    <t>1619PB4458-000</t>
  </si>
  <si>
    <t>1619PB4460-000</t>
  </si>
  <si>
    <t>1619PB4463-000</t>
  </si>
  <si>
    <t>1619PB4469-000</t>
  </si>
  <si>
    <t>1619PB4471-000</t>
  </si>
  <si>
    <t>1619PB4625-000</t>
  </si>
  <si>
    <t>1619PB4647-000</t>
  </si>
  <si>
    <t>1619PB4664-000</t>
  </si>
  <si>
    <t>1619PB4665-000</t>
  </si>
  <si>
    <t>1619PB4667-000</t>
  </si>
  <si>
    <t>1619PB4668-000</t>
  </si>
  <si>
    <t>1619PB4669-000</t>
  </si>
  <si>
    <t>1619PB4671-000</t>
  </si>
  <si>
    <t>1619PB4673-000</t>
  </si>
  <si>
    <t>1619PB4746-000</t>
  </si>
  <si>
    <t>1619PB4749-000</t>
  </si>
  <si>
    <t>1619PB4750-000</t>
  </si>
  <si>
    <t>1619PB4751-000</t>
  </si>
  <si>
    <t>1619PB4858-000</t>
  </si>
  <si>
    <t>1619PB4911-000</t>
  </si>
  <si>
    <t>1619PB4981-000</t>
  </si>
  <si>
    <t>1619PB5043-000</t>
  </si>
  <si>
    <t>1619PB5151-000</t>
  </si>
  <si>
    <t>1619PB5152-000</t>
  </si>
  <si>
    <t>1619PB5154-000</t>
  </si>
  <si>
    <t>1619PB5155-000</t>
  </si>
  <si>
    <t>1619PB5156-000</t>
  </si>
  <si>
    <t>1619PB5157-000</t>
  </si>
  <si>
    <t>1619PB5158-000</t>
  </si>
  <si>
    <t>1619PB5179-000</t>
  </si>
  <si>
    <t>1619PB5247-000</t>
  </si>
  <si>
    <t>1619PB5406-000</t>
  </si>
  <si>
    <t>1619PB5414-000</t>
  </si>
  <si>
    <t>1619PB5415-000</t>
  </si>
  <si>
    <t>1619PB5441-000</t>
  </si>
  <si>
    <t>1619PB5443-000</t>
  </si>
  <si>
    <t>1619PB5448-000</t>
  </si>
  <si>
    <t>1619PB5453-000</t>
  </si>
  <si>
    <t>1619PB5454-000</t>
  </si>
  <si>
    <t>1619PB5455-000</t>
  </si>
  <si>
    <t>1619PB5456-000</t>
  </si>
  <si>
    <t>1619PB5457-000</t>
  </si>
  <si>
    <t>1619PB5458-000</t>
  </si>
  <si>
    <t>1619PB5459-000</t>
  </si>
  <si>
    <t>1619PB5460-000</t>
  </si>
  <si>
    <t>1619PB5461-000</t>
  </si>
  <si>
    <t>1619PB5462-000</t>
  </si>
  <si>
    <t>1619PB5463-000</t>
  </si>
  <si>
    <t>1619PB5464-000</t>
  </si>
  <si>
    <t>1619PB5465-000</t>
  </si>
  <si>
    <t>1619PB5466-000</t>
  </si>
  <si>
    <t>1619PB5467-000</t>
  </si>
  <si>
    <t>1619PB5468-000</t>
  </si>
  <si>
    <t>1619PB5469-000</t>
  </si>
  <si>
    <t>1619PB5470-000</t>
  </si>
  <si>
    <t>1619PB5472-000</t>
  </si>
  <si>
    <t>1619PB5473-000</t>
  </si>
  <si>
    <t>1619PB5474-000</t>
  </si>
  <si>
    <t>1619PB5475-000</t>
  </si>
  <si>
    <t>1619PB5476-000</t>
  </si>
  <si>
    <t>1619PB5477-000</t>
  </si>
  <si>
    <t>1619PB5478-000</t>
  </si>
  <si>
    <t>1619PB5479-000</t>
  </si>
  <si>
    <t>1619PB5480-000</t>
  </si>
  <si>
    <t>1619PB5481-000</t>
  </si>
  <si>
    <t>1619PB5482-000</t>
  </si>
  <si>
    <t>1619PB5483-000</t>
  </si>
  <si>
    <t>1619PB5484-000</t>
  </si>
  <si>
    <t>1619PB5485-000</t>
  </si>
  <si>
    <t>1619PB5486-000</t>
  </si>
  <si>
    <t>1619PB5487-000</t>
  </si>
  <si>
    <t>1619PB5488-000</t>
  </si>
  <si>
    <t>1619PB5489-000</t>
  </si>
  <si>
    <t>1619PB5490-000</t>
  </si>
  <si>
    <t>1619PB5492-000</t>
  </si>
  <si>
    <t>1619PB5493-000</t>
  </si>
  <si>
    <t>1619PB5494-000</t>
  </si>
  <si>
    <t>1619PB5496-000</t>
  </si>
  <si>
    <t>1619PB5497-000</t>
  </si>
  <si>
    <t>1619PB5498-000</t>
  </si>
  <si>
    <t>1619PB5499-000</t>
  </si>
  <si>
    <t>1619PB5500-000</t>
  </si>
  <si>
    <t>1619PB5501-000</t>
  </si>
  <si>
    <t>1619PB5502-000</t>
  </si>
  <si>
    <t>1619PB5503-000</t>
  </si>
  <si>
    <t>1619PB5504-000</t>
  </si>
  <si>
    <t>1619PB5506-000</t>
  </si>
  <si>
    <t>1619PB5507-000</t>
  </si>
  <si>
    <t>1619PB5508-000</t>
  </si>
  <si>
    <t>1619PB5509-000</t>
  </si>
  <si>
    <t>1619PB5510-000</t>
  </si>
  <si>
    <t>1619PB5511-000</t>
  </si>
  <si>
    <t>1619PB5515-000</t>
  </si>
  <si>
    <t>1619PB5521-000</t>
  </si>
  <si>
    <t>1619PB5522-000</t>
  </si>
  <si>
    <t>1619PB5523-000</t>
  </si>
  <si>
    <t>1619PB5546-000</t>
  </si>
  <si>
    <t>1619PB5547-000</t>
  </si>
  <si>
    <t>1619PB5548-000</t>
  </si>
  <si>
    <t>1619PB5549-000</t>
  </si>
  <si>
    <t>1619PB5550-000</t>
  </si>
  <si>
    <t>1619PB5551-000</t>
  </si>
  <si>
    <t>1619PB5552-000</t>
  </si>
  <si>
    <t>1619PB5553-000</t>
  </si>
  <si>
    <t>1619PB5554-000</t>
  </si>
  <si>
    <t>1619PB5555-000</t>
  </si>
  <si>
    <t>1619PB5557-000</t>
  </si>
  <si>
    <t>1619PB5558-000</t>
  </si>
  <si>
    <t>1619PB5559-000</t>
  </si>
  <si>
    <t>1619PB5576-000</t>
  </si>
  <si>
    <t>1619PB5577-000</t>
  </si>
  <si>
    <t>1619PB5588-000</t>
  </si>
  <si>
    <t>1619PB5591-000</t>
  </si>
  <si>
    <t>1619PB5592-000</t>
  </si>
  <si>
    <t>1619PB5593-000</t>
  </si>
  <si>
    <t>1619PB5597-000</t>
  </si>
  <si>
    <t>1619PB5601-000</t>
  </si>
  <si>
    <t>1619PB5614-000</t>
  </si>
  <si>
    <t>1619PB5617-000</t>
  </si>
  <si>
    <t>1619PB6096-000</t>
  </si>
  <si>
    <t>1619PB6188-000</t>
  </si>
  <si>
    <t>1619PB6270-000</t>
  </si>
  <si>
    <t>1619PB6271-000</t>
  </si>
  <si>
    <t>1619PB6272-000</t>
  </si>
  <si>
    <t>1619PB6273-000</t>
  </si>
  <si>
    <t>1619PB6274-000</t>
  </si>
  <si>
    <t>1619PB6275-000</t>
  </si>
  <si>
    <t>1619PB6276-000</t>
  </si>
  <si>
    <t>1619PB6280-000</t>
  </si>
  <si>
    <t>1619PB6288-000</t>
  </si>
  <si>
    <t>1619PB6301-000</t>
  </si>
  <si>
    <t>1619PB6308-000</t>
  </si>
  <si>
    <t>1619PB6324-000</t>
  </si>
  <si>
    <t>1619PB6328-000</t>
  </si>
  <si>
    <t>1619PB6329-000</t>
  </si>
  <si>
    <t>1619PB6389-000</t>
  </si>
  <si>
    <t>1619PB6819-000</t>
  </si>
  <si>
    <t>1619PB6820-000</t>
  </si>
  <si>
    <t>1619PB6826-000</t>
  </si>
  <si>
    <t>1619PB6827-000</t>
  </si>
  <si>
    <t>1619PB6857-000</t>
  </si>
  <si>
    <t>1619PB6872-000</t>
  </si>
  <si>
    <t>1619PB6919-000</t>
  </si>
  <si>
    <t>1619PB6920-000</t>
  </si>
  <si>
    <t>1619PB6921-000</t>
  </si>
  <si>
    <t>1619PB6922-000</t>
  </si>
  <si>
    <t>1619PB6929-000</t>
  </si>
  <si>
    <t>1619PB6931-000</t>
  </si>
  <si>
    <t>1619PB6932-000</t>
  </si>
  <si>
    <t>1619PB6945-000</t>
  </si>
  <si>
    <t>1619PB6951-000</t>
  </si>
  <si>
    <t>1619PB6952-000</t>
  </si>
  <si>
    <t>1619PB6963-000</t>
  </si>
  <si>
    <t>1619PB6964-000</t>
  </si>
  <si>
    <t>1619PB6966-000</t>
  </si>
  <si>
    <t>1619PB6972-000</t>
  </si>
  <si>
    <t>1619PB6973-000</t>
  </si>
  <si>
    <t>1619PB6974-000</t>
  </si>
  <si>
    <t>1619PB6988-000</t>
  </si>
  <si>
    <t>1619PB7006-000</t>
  </si>
  <si>
    <t>1619PB7008-000</t>
  </si>
  <si>
    <t>1619PB7010-000</t>
  </si>
  <si>
    <t>1619PB7064-000</t>
  </si>
  <si>
    <t>1619PB7142-000</t>
  </si>
  <si>
    <t>1619PB7189-000</t>
  </si>
  <si>
    <t>1619PB7191-000</t>
  </si>
  <si>
    <t>1619PB7192-000</t>
  </si>
  <si>
    <t>1619PB7193-000</t>
  </si>
  <si>
    <t>1619PB7195-000</t>
  </si>
  <si>
    <t>1619PB7196-000</t>
  </si>
  <si>
    <t>1619PB7197-000</t>
  </si>
  <si>
    <t>1619PB7199-000</t>
  </si>
  <si>
    <t>1619PB7205-000</t>
  </si>
  <si>
    <t>1619PB7206-000</t>
  </si>
  <si>
    <t>1619PB7212-000</t>
  </si>
  <si>
    <t>1619PB7255-000</t>
  </si>
  <si>
    <t>1619PB7298-000</t>
  </si>
  <si>
    <t>1619PB7315-000</t>
  </si>
  <si>
    <t>1619PB7352-000</t>
  </si>
  <si>
    <t>1619PB7355-000</t>
  </si>
  <si>
    <t>1619PB7383-000</t>
  </si>
  <si>
    <t>1619PB7384-000</t>
  </si>
  <si>
    <t>1619PB7667-000</t>
  </si>
  <si>
    <t>1619PB7668-000</t>
  </si>
  <si>
    <t>1619PB8307-000</t>
  </si>
  <si>
    <t>1619PB8308-000</t>
  </si>
  <si>
    <t>1619PB8309-000</t>
  </si>
  <si>
    <t>1619PB8310-000</t>
  </si>
  <si>
    <t>1619PB8311-000</t>
  </si>
  <si>
    <t>1619PB8312-000</t>
  </si>
  <si>
    <t>1619PB8313-000</t>
  </si>
  <si>
    <t>1619PB8314-000</t>
  </si>
  <si>
    <t>1619PB8315-000</t>
  </si>
  <si>
    <t>1619PB8316-000</t>
  </si>
  <si>
    <t>1619PB8322-000</t>
  </si>
  <si>
    <t>1619PB8323-000</t>
  </si>
  <si>
    <t>1619PB8324-000</t>
  </si>
  <si>
    <t>1619PB8325-000</t>
  </si>
  <si>
    <t>1619PB8326-000</t>
  </si>
  <si>
    <t>1619PB8327-000</t>
  </si>
  <si>
    <t>1619PB8328-000</t>
  </si>
  <si>
    <t>1619PB8329-000</t>
  </si>
  <si>
    <t>1619PB8330-000</t>
  </si>
  <si>
    <t>1619PB8331-000</t>
  </si>
  <si>
    <t>1619PB8332-000</t>
  </si>
  <si>
    <t>1619PB8333-000</t>
  </si>
  <si>
    <t>1619PB8334-000</t>
  </si>
  <si>
    <t>1619PB8335-000</t>
  </si>
  <si>
    <t>1619PB8336-000</t>
  </si>
  <si>
    <t>1619PB8337-000</t>
  </si>
  <si>
    <t>1619PB8338-000</t>
  </si>
  <si>
    <t>1619PB8339-000</t>
  </si>
  <si>
    <t>1619PB8340-000</t>
  </si>
  <si>
    <t>1619PB8341-000</t>
  </si>
  <si>
    <t>1619PB8342-000</t>
  </si>
  <si>
    <t>1619PB8343-000</t>
  </si>
  <si>
    <t>1619PB8344-000</t>
  </si>
  <si>
    <t>1619PB8345-000</t>
  </si>
  <si>
    <t>1619PB8346-000</t>
  </si>
  <si>
    <t>1619PB8347-000</t>
  </si>
  <si>
    <t>1619PB8357-000</t>
  </si>
  <si>
    <t>1619PB8359-000</t>
  </si>
  <si>
    <t>1619PB8360-000</t>
  </si>
  <si>
    <t>1619PB8361-000</t>
  </si>
  <si>
    <t>1619PB8362-000</t>
  </si>
  <si>
    <t>1619PB8363-000</t>
  </si>
  <si>
    <t>1619PB8364-000</t>
  </si>
  <si>
    <t>1619PB8365-000</t>
  </si>
  <si>
    <t>1619PB8366-000</t>
  </si>
  <si>
    <t>1619PB8367-000</t>
  </si>
  <si>
    <t>1619PB8368-000</t>
  </si>
  <si>
    <t>1619X00090-000</t>
  </si>
  <si>
    <t>1619X00399-000</t>
  </si>
  <si>
    <t>1619X00434-000</t>
  </si>
  <si>
    <t>1619X00933-000</t>
  </si>
  <si>
    <t>1619X00935-000</t>
  </si>
  <si>
    <t>1619X00942-000</t>
  </si>
  <si>
    <t>1619X01409-000</t>
  </si>
  <si>
    <t>1619X01554-000</t>
  </si>
  <si>
    <t>1619X01612-000</t>
  </si>
  <si>
    <t>1619X01613-000</t>
  </si>
  <si>
    <t>1619X01696-000</t>
  </si>
  <si>
    <t>1619X01765-000</t>
  </si>
  <si>
    <t>1619X01791-000</t>
  </si>
  <si>
    <t>1619X01792-000</t>
  </si>
  <si>
    <t>1619X01947-000</t>
  </si>
  <si>
    <t>1619X01948-000</t>
  </si>
  <si>
    <t>1619X02268-000</t>
  </si>
  <si>
    <t>1619X02270-000</t>
  </si>
  <si>
    <t>1619X02377-000</t>
  </si>
  <si>
    <t>1619X02515-000</t>
  </si>
  <si>
    <t>1619X02572-000</t>
  </si>
  <si>
    <t>1619X02735-000</t>
  </si>
  <si>
    <t>1619X02922-000</t>
  </si>
  <si>
    <t>1619X03060-000</t>
  </si>
  <si>
    <t>1619X03062-000</t>
  </si>
  <si>
    <t>1619X03065-000</t>
  </si>
  <si>
    <t>1619X03111-000</t>
  </si>
  <si>
    <t>1619X03184-000</t>
  </si>
  <si>
    <t>1619X03185-000</t>
  </si>
  <si>
    <t>1619X03196-000</t>
  </si>
  <si>
    <t>1619X03396-000</t>
  </si>
  <si>
    <t>1619X03695-000</t>
  </si>
  <si>
    <t>1619X04044-000</t>
  </si>
  <si>
    <t>1619X04200-000</t>
  </si>
  <si>
    <t>1619X04517-000</t>
  </si>
  <si>
    <t>1619X04542-000</t>
  </si>
  <si>
    <t>1619X04546-000</t>
  </si>
  <si>
    <t>1619X04547-000</t>
  </si>
  <si>
    <t>1619X04550-000</t>
  </si>
  <si>
    <t>1619X04574-000</t>
  </si>
  <si>
    <t>1619X04872-000</t>
  </si>
  <si>
    <t>1619X04876-000</t>
  </si>
  <si>
    <t>1619X04877-000</t>
  </si>
  <si>
    <t>1619X04885-000</t>
  </si>
  <si>
    <t>1619X04886-000</t>
  </si>
  <si>
    <t>1619X04887-000</t>
  </si>
  <si>
    <t>1619X05274-000</t>
  </si>
  <si>
    <t>1619X05625-000</t>
  </si>
  <si>
    <t>1619X05789-000</t>
  </si>
  <si>
    <t>1619X05867-000</t>
  </si>
  <si>
    <t>1619X06060-000</t>
  </si>
  <si>
    <t>1619X07088-000</t>
  </si>
  <si>
    <t>1619X07247-000</t>
  </si>
  <si>
    <t>1619X07251-000</t>
  </si>
  <si>
    <t>1619X07252-000</t>
  </si>
  <si>
    <t>1619X07253-000</t>
  </si>
  <si>
    <t>1619X07256-000</t>
  </si>
  <si>
    <t>1619X07507-000</t>
  </si>
  <si>
    <t>1619X07569-000</t>
  </si>
  <si>
    <t>1619X08384-000</t>
  </si>
  <si>
    <t>1710102601-000</t>
  </si>
  <si>
    <t>1810210222-000</t>
  </si>
  <si>
    <t>1900210000-000</t>
  </si>
  <si>
    <t>1900210012-000</t>
  </si>
  <si>
    <t>1900210103-000</t>
  </si>
  <si>
    <t>1900210105-000</t>
  </si>
  <si>
    <t>1900210106-000</t>
  </si>
  <si>
    <t>1900210107-000</t>
  </si>
  <si>
    <t>1900210109-000</t>
  </si>
  <si>
    <t>1900210110-000</t>
  </si>
  <si>
    <t>1900210112-000</t>
  </si>
  <si>
    <t>1900210114-000</t>
  </si>
  <si>
    <t>1900210115-000</t>
  </si>
  <si>
    <t>1900210117-000</t>
  </si>
  <si>
    <t>1900210118-000</t>
  </si>
  <si>
    <t>1900210119-000</t>
  </si>
  <si>
    <t>1900210124-000</t>
  </si>
  <si>
    <t>1900210125-000</t>
  </si>
  <si>
    <t>1900210127-000</t>
  </si>
  <si>
    <t>1900210128-000</t>
  </si>
  <si>
    <t>1900210129-000</t>
  </si>
  <si>
    <t>1900210130-000</t>
  </si>
  <si>
    <t>1900210131-000</t>
  </si>
  <si>
    <t>1900210139-000</t>
  </si>
  <si>
    <t>1900210143-000</t>
  </si>
  <si>
    <t>1900210145-000</t>
  </si>
  <si>
    <t>1900210146-000</t>
  </si>
  <si>
    <t>1900210156-000</t>
  </si>
  <si>
    <t>1900210160-000</t>
  </si>
  <si>
    <t>1900210172-000</t>
  </si>
  <si>
    <t>1900210306-000</t>
  </si>
  <si>
    <t>1900210307-000</t>
  </si>
  <si>
    <t>1900210311-000</t>
  </si>
  <si>
    <t>1900210315-000</t>
  </si>
  <si>
    <t>1900210321-000</t>
  </si>
  <si>
    <t>1900210327-000</t>
  </si>
  <si>
    <t>1900301004-000</t>
  </si>
  <si>
    <t>1900301007-000</t>
  </si>
  <si>
    <t>1900301018-000</t>
  </si>
  <si>
    <t>1900322018-000</t>
  </si>
  <si>
    <t>1900452001-000</t>
  </si>
  <si>
    <t>1900452002-000</t>
  </si>
  <si>
    <t>1900452012-000</t>
  </si>
  <si>
    <t>1900900203-000</t>
  </si>
  <si>
    <t>1900900224-000</t>
  </si>
  <si>
    <t>1900900228-000</t>
  </si>
  <si>
    <t>1900900270-000</t>
  </si>
  <si>
    <t>1900900276-000</t>
  </si>
  <si>
    <t>1900900279-000</t>
  </si>
  <si>
    <t>1900900287-000</t>
  </si>
  <si>
    <t>1900900289-000</t>
  </si>
  <si>
    <t>1900900307-000</t>
  </si>
  <si>
    <t>1900900412-000</t>
  </si>
  <si>
    <t>1900905004-000</t>
  </si>
  <si>
    <t>1900905015-000</t>
  </si>
  <si>
    <t>1900905016-000</t>
  </si>
  <si>
    <t>1900905018-000</t>
  </si>
  <si>
    <t>1900905019-000</t>
  </si>
  <si>
    <t>1900905023-000</t>
  </si>
  <si>
    <t>1900905025-000</t>
  </si>
  <si>
    <t>1900905028-000</t>
  </si>
  <si>
    <t>1900905029-000</t>
  </si>
  <si>
    <t>1900905030-000</t>
  </si>
  <si>
    <t>1900905041-000</t>
  </si>
  <si>
    <t>1900905103-000</t>
  </si>
  <si>
    <t>1900905120-000</t>
  </si>
  <si>
    <t>1900905121-000</t>
  </si>
  <si>
    <t>1900905122-000</t>
  </si>
  <si>
    <t>1900905127-000</t>
  </si>
  <si>
    <t>1900905128-000</t>
  </si>
  <si>
    <t>1900905161-000</t>
  </si>
  <si>
    <t>1900905162-000</t>
  </si>
  <si>
    <t>1900905163-000</t>
  </si>
  <si>
    <t>1900905164-000</t>
  </si>
  <si>
    <t>1900905173-000</t>
  </si>
  <si>
    <t>1900905200-000</t>
  </si>
  <si>
    <t>1900905232-000</t>
  </si>
  <si>
    <t>1900905234-000</t>
  </si>
  <si>
    <t>1900905250-000</t>
  </si>
  <si>
    <t>1900905276-000</t>
  </si>
  <si>
    <t>1900905279-000</t>
  </si>
  <si>
    <t>1901091101-000</t>
  </si>
  <si>
    <t>1903201020-000</t>
  </si>
  <si>
    <t>1903201041-000</t>
  </si>
  <si>
    <t>1903201042-000</t>
  </si>
  <si>
    <t>1903201044-000</t>
  </si>
  <si>
    <t>1903201054-000</t>
  </si>
  <si>
    <t>1903201520-000</t>
  </si>
  <si>
    <t>1903230002-000</t>
  </si>
  <si>
    <t>1903230003-000</t>
  </si>
  <si>
    <t>1903230004-000</t>
  </si>
  <si>
    <t>1903230005-000</t>
  </si>
  <si>
    <t>1903230006-000</t>
  </si>
  <si>
    <t>1903230007-000</t>
  </si>
  <si>
    <t>1903230008-000</t>
  </si>
  <si>
    <t>1903230011-000</t>
  </si>
  <si>
    <t>1903230012-000</t>
  </si>
  <si>
    <t>1903230013-000</t>
  </si>
  <si>
    <t>1903230017-000</t>
  </si>
  <si>
    <t>1903230026-000</t>
  </si>
  <si>
    <t>1903230200-000</t>
  </si>
  <si>
    <t>1903230309-000</t>
  </si>
  <si>
    <t>1903230406-000</t>
  </si>
  <si>
    <t>1903230528-000</t>
  </si>
  <si>
    <t>1907904721-000</t>
  </si>
  <si>
    <t>1907950003-000</t>
  </si>
  <si>
    <t>1907950004-000</t>
  </si>
  <si>
    <t>1907950006-000</t>
  </si>
  <si>
    <t>1907950007-000</t>
  </si>
  <si>
    <t>1907950506-000</t>
  </si>
  <si>
    <t>1907950508-000</t>
  </si>
  <si>
    <t>1907950509-000</t>
  </si>
  <si>
    <t>2600000012-000</t>
  </si>
  <si>
    <t>2600000014-000</t>
  </si>
  <si>
    <t>2600000021-000</t>
  </si>
  <si>
    <t>2600000022-000</t>
  </si>
  <si>
    <t>2600000023-000</t>
  </si>
  <si>
    <t>2600000024-000</t>
  </si>
  <si>
    <t>2600000025-000</t>
  </si>
  <si>
    <t>2600000030-000</t>
  </si>
  <si>
    <t>2600000031-000</t>
  </si>
  <si>
    <t>2600000049-000</t>
  </si>
  <si>
    <t>2600025005-000</t>
  </si>
  <si>
    <t>2600030010-000</t>
  </si>
  <si>
    <t>2600030011-000</t>
  </si>
  <si>
    <t>2600030900-000</t>
  </si>
  <si>
    <t>2600034007-000</t>
  </si>
  <si>
    <t>2600034008-000</t>
  </si>
  <si>
    <t>2600040001-000</t>
  </si>
  <si>
    <t>2600040002-000</t>
  </si>
  <si>
    <t>2600040003-000</t>
  </si>
  <si>
    <t>2600040004-000</t>
  </si>
  <si>
    <t>2600100029-000</t>
  </si>
  <si>
    <t>2600100034-000</t>
  </si>
  <si>
    <t>2600100040-000</t>
  </si>
  <si>
    <t>2600100066-000</t>
  </si>
  <si>
    <t>2600100083-000</t>
  </si>
  <si>
    <t>2600100098-000</t>
  </si>
  <si>
    <t>2600100099-000</t>
  </si>
  <si>
    <t>2600100105-000</t>
  </si>
  <si>
    <t>2600100505-000</t>
  </si>
  <si>
    <t>2600100510-000</t>
  </si>
  <si>
    <t>2600100515-000</t>
  </si>
  <si>
    <t>2600100516-000</t>
  </si>
  <si>
    <t>2600100519-000</t>
  </si>
  <si>
    <t>2600100563-000</t>
  </si>
  <si>
    <t>2600100568-000</t>
  </si>
  <si>
    <t>2600100570-000</t>
  </si>
  <si>
    <t>2600100575-000</t>
  </si>
  <si>
    <t>2600100576-000</t>
  </si>
  <si>
    <t>2600100577-000</t>
  </si>
  <si>
    <t>2600100586-000</t>
  </si>
  <si>
    <t>2600100587-000</t>
  </si>
  <si>
    <t>2600100588-000</t>
  </si>
  <si>
    <t>2600100607-000</t>
  </si>
  <si>
    <t>2600100611-000</t>
  </si>
  <si>
    <t>2600100612-000</t>
  </si>
  <si>
    <t>2600100613-000</t>
  </si>
  <si>
    <t>2600100618-000</t>
  </si>
  <si>
    <t>2600100621-000</t>
  </si>
  <si>
    <t>2600100625-000</t>
  </si>
  <si>
    <t>2600100626-000</t>
  </si>
  <si>
    <t>2600100627-000</t>
  </si>
  <si>
    <t>2600100628-000</t>
  </si>
  <si>
    <t>2600100636-000</t>
  </si>
  <si>
    <t>2600100692-000</t>
  </si>
  <si>
    <t>2600100699-000</t>
  </si>
  <si>
    <t>2600101001-000</t>
  </si>
  <si>
    <t>2600101003-000</t>
  </si>
  <si>
    <t>2600101016-000</t>
  </si>
  <si>
    <t>2600101020-000</t>
  </si>
  <si>
    <t>2600101022-000</t>
  </si>
  <si>
    <t>2600101023-000</t>
  </si>
  <si>
    <t>2600101027-000</t>
  </si>
  <si>
    <t>2600101038-000</t>
  </si>
  <si>
    <t>2600101048-000</t>
  </si>
  <si>
    <t>2600101056-000</t>
  </si>
  <si>
    <t>2600101077-000</t>
  </si>
  <si>
    <t>2600101083-000</t>
  </si>
  <si>
    <t>2600101085-000</t>
  </si>
  <si>
    <t>2600101088-000</t>
  </si>
  <si>
    <t>2600101089-000</t>
  </si>
  <si>
    <t>2600101090-000</t>
  </si>
  <si>
    <t>2600101091-000</t>
  </si>
  <si>
    <t>2600101095-000</t>
  </si>
  <si>
    <t>2600101096-000</t>
  </si>
  <si>
    <t>2600101119-000</t>
  </si>
  <si>
    <t>2600101513-000</t>
  </si>
  <si>
    <t>2600101515-000</t>
  </si>
  <si>
    <t>2600101604-000</t>
  </si>
  <si>
    <t>2600101612-000</t>
  </si>
  <si>
    <t>2600101613-000</t>
  </si>
  <si>
    <t>2600101616-000</t>
  </si>
  <si>
    <t>2600101617-000</t>
  </si>
  <si>
    <t>2600101655-000</t>
  </si>
  <si>
    <t>2600101656-000</t>
  </si>
  <si>
    <t>2600101657-000</t>
  </si>
  <si>
    <t>2600101660-000</t>
  </si>
  <si>
    <t>2600101661-000</t>
  </si>
  <si>
    <t>2600101662-000</t>
  </si>
  <si>
    <t>2600101668-000</t>
  </si>
  <si>
    <t>2600101671-000</t>
  </si>
  <si>
    <t>2600101673-000</t>
  </si>
  <si>
    <t>2600102014-000</t>
  </si>
  <si>
    <t>2600102028-000</t>
  </si>
  <si>
    <t>2600102029-000</t>
  </si>
  <si>
    <t>2600102036-000</t>
  </si>
  <si>
    <t>2600102614-000</t>
  </si>
  <si>
    <t>2600102652-000</t>
  </si>
  <si>
    <t>2600102653-000</t>
  </si>
  <si>
    <t>2600102656-000</t>
  </si>
  <si>
    <t>2600102658-000</t>
  </si>
  <si>
    <t>2600102661-000</t>
  </si>
  <si>
    <t>2600103013-000</t>
  </si>
  <si>
    <t>2600103015-000</t>
  </si>
  <si>
    <t>2600108002-000</t>
  </si>
  <si>
    <t>2600108006-000</t>
  </si>
  <si>
    <t>2600108017-000</t>
  </si>
  <si>
    <t>2600108020-000</t>
  </si>
  <si>
    <t>2600108026-000</t>
  </si>
  <si>
    <t>2600108033-000</t>
  </si>
  <si>
    <t>2600108076-000</t>
  </si>
  <si>
    <t>2600108077-000</t>
  </si>
  <si>
    <t>2600108079-000</t>
  </si>
  <si>
    <t>2600109124-000</t>
  </si>
  <si>
    <t>2600109125-000</t>
  </si>
  <si>
    <t>2600109126-000</t>
  </si>
  <si>
    <t>2600112031-000</t>
  </si>
  <si>
    <t>2600113019-000</t>
  </si>
  <si>
    <t>2600116012-000</t>
  </si>
  <si>
    <t>2600116099-000</t>
  </si>
  <si>
    <t>2600118001-000</t>
  </si>
  <si>
    <t>2600118002-000</t>
  </si>
  <si>
    <t>2600118006-000</t>
  </si>
  <si>
    <t>2600118007-000</t>
  </si>
  <si>
    <t>2600118008-000</t>
  </si>
  <si>
    <t>2600118013-000</t>
  </si>
  <si>
    <t>2600119000-000</t>
  </si>
  <si>
    <t>2600120043-000</t>
  </si>
  <si>
    <t>2600120046-000</t>
  </si>
  <si>
    <t>2600121002-000</t>
  </si>
  <si>
    <t>2600136002-000</t>
  </si>
  <si>
    <t>2600136003-000</t>
  </si>
  <si>
    <t>2600138001-000</t>
  </si>
  <si>
    <t>2600139001-000</t>
  </si>
  <si>
    <t>2600148008-000</t>
  </si>
  <si>
    <t>2600148020-000</t>
  </si>
  <si>
    <t>2600150002-000</t>
  </si>
  <si>
    <t>2600150003-000</t>
  </si>
  <si>
    <t>2600150004-000</t>
  </si>
  <si>
    <t>2600150005-000</t>
  </si>
  <si>
    <t>2600150033-000</t>
  </si>
  <si>
    <t>2600150050-000</t>
  </si>
  <si>
    <t>2600170000-000</t>
  </si>
  <si>
    <t>2600190001-000</t>
  </si>
  <si>
    <t>2600190009-000</t>
  </si>
  <si>
    <t>2600190013-000</t>
  </si>
  <si>
    <t>2600190019-000</t>
  </si>
  <si>
    <t>2600190040-000</t>
  </si>
  <si>
    <t>2600190051-000</t>
  </si>
  <si>
    <t>2600190052-000</t>
  </si>
  <si>
    <t>2600190056-000</t>
  </si>
  <si>
    <t>2600190057-000</t>
  </si>
  <si>
    <t>2600190059-000</t>
  </si>
  <si>
    <t>2600190060-000</t>
  </si>
  <si>
    <t>2600190067-000</t>
  </si>
  <si>
    <t>2600200007-000</t>
  </si>
  <si>
    <t>2600200022-000</t>
  </si>
  <si>
    <t>2600200023-000</t>
  </si>
  <si>
    <t>2600200038-000</t>
  </si>
  <si>
    <t>2600200044-000</t>
  </si>
  <si>
    <t>2600202025-000</t>
  </si>
  <si>
    <t>2600202037-000</t>
  </si>
  <si>
    <t>2600202058-000</t>
  </si>
  <si>
    <t>2600202067-000</t>
  </si>
  <si>
    <t>2600206010-000</t>
  </si>
  <si>
    <t>2600206011-000</t>
  </si>
  <si>
    <t>2600206015-000</t>
  </si>
  <si>
    <t>2600206025-000</t>
  </si>
  <si>
    <t>2600206028-000</t>
  </si>
  <si>
    <t>2600209003-000</t>
  </si>
  <si>
    <t>2600209004-000</t>
  </si>
  <si>
    <t>2600209012-000</t>
  </si>
  <si>
    <t>2600209018-000</t>
  </si>
  <si>
    <t>2600210001-000</t>
  </si>
  <si>
    <t>2600210003-000</t>
  </si>
  <si>
    <t>2600210004-000</t>
  </si>
  <si>
    <t>2600210007-000</t>
  </si>
  <si>
    <t>2600210018-000</t>
  </si>
  <si>
    <t>2600210019-000</t>
  </si>
  <si>
    <t>2600210026-000</t>
  </si>
  <si>
    <t>2600210027-000</t>
  </si>
  <si>
    <t>2600210036-000</t>
  </si>
  <si>
    <t>2600210043-000</t>
  </si>
  <si>
    <t>2600210056-000</t>
  </si>
  <si>
    <t>2600211800-000</t>
  </si>
  <si>
    <t>2600211801-000</t>
  </si>
  <si>
    <t>2600211802-000</t>
  </si>
  <si>
    <t>2600211804-000</t>
  </si>
  <si>
    <t>2600211805-000</t>
  </si>
  <si>
    <t>2600224007-000</t>
  </si>
  <si>
    <t>2600224009-000</t>
  </si>
  <si>
    <t>2600232000-000</t>
  </si>
  <si>
    <t>2600250005-000</t>
  </si>
  <si>
    <t>2600282015-000</t>
  </si>
  <si>
    <t>2600282018-000</t>
  </si>
  <si>
    <t>2600283012-000</t>
  </si>
  <si>
    <t>2600283022-000</t>
  </si>
  <si>
    <t>2600290006-000</t>
  </si>
  <si>
    <t>2600290009-000</t>
  </si>
  <si>
    <t>2600290012-000</t>
  </si>
  <si>
    <t>2600290013-000</t>
  </si>
  <si>
    <t>2600290017-000</t>
  </si>
  <si>
    <t>2600290023-000</t>
  </si>
  <si>
    <t>2600290025-000</t>
  </si>
  <si>
    <t>2600290030-000</t>
  </si>
  <si>
    <t>2600290033-000</t>
  </si>
  <si>
    <t>2600290036-000</t>
  </si>
  <si>
    <t>2600290039-000</t>
  </si>
  <si>
    <t>2600290051-000</t>
  </si>
  <si>
    <t>2600290060-000</t>
  </si>
  <si>
    <t>2600290902-000</t>
  </si>
  <si>
    <t>2600290903-000</t>
  </si>
  <si>
    <t>2600300005-000</t>
  </si>
  <si>
    <t>2600300011-000</t>
  </si>
  <si>
    <t>2600300013-000</t>
  </si>
  <si>
    <t>2600300047-000</t>
  </si>
  <si>
    <t>2600300062-000</t>
  </si>
  <si>
    <t>2600300071-000</t>
  </si>
  <si>
    <t>2600300073-000</t>
  </si>
  <si>
    <t>2600300077-000</t>
  </si>
  <si>
    <t>2600301011-000</t>
  </si>
  <si>
    <t>2600301013-000</t>
  </si>
  <si>
    <t>2600301014-000</t>
  </si>
  <si>
    <t>2600301028-000</t>
  </si>
  <si>
    <t>2600301029-000</t>
  </si>
  <si>
    <t>2600301037-000</t>
  </si>
  <si>
    <t>2600301045-000</t>
  </si>
  <si>
    <t>2600301046-000</t>
  </si>
  <si>
    <t>2600301049-000</t>
  </si>
  <si>
    <t>2600301052-000</t>
  </si>
  <si>
    <t>2600302002-000</t>
  </si>
  <si>
    <t>2600302004-000</t>
  </si>
  <si>
    <t>2600302006-000</t>
  </si>
  <si>
    <t>2600302009-000</t>
  </si>
  <si>
    <t>2600302014-000</t>
  </si>
  <si>
    <t>2600302022-000</t>
  </si>
  <si>
    <t>2600302027-000</t>
  </si>
  <si>
    <t>2600306003-000</t>
  </si>
  <si>
    <t>2600309009-000</t>
  </si>
  <si>
    <t>2600322003-000</t>
  </si>
  <si>
    <t>2600322043-000</t>
  </si>
  <si>
    <t>2600322051-000</t>
  </si>
  <si>
    <t>2600324008-000</t>
  </si>
  <si>
    <t>2600324009-000</t>
  </si>
  <si>
    <t>2600324010-000</t>
  </si>
  <si>
    <t>2600324012-000</t>
  </si>
  <si>
    <t>2600326903-000</t>
  </si>
  <si>
    <t>2600326904-000</t>
  </si>
  <si>
    <t>2600327006-000</t>
  </si>
  <si>
    <t>2600327008-000</t>
  </si>
  <si>
    <t>2600327009-000</t>
  </si>
  <si>
    <t>2600328016-000</t>
  </si>
  <si>
    <t>2600328026-000</t>
  </si>
  <si>
    <t>2600328027-000</t>
  </si>
  <si>
    <t>2600390026-000</t>
  </si>
  <si>
    <t>2600400001-000</t>
  </si>
  <si>
    <t>2600400012-000</t>
  </si>
  <si>
    <t>2600400020-000</t>
  </si>
  <si>
    <t>2600400023-000</t>
  </si>
  <si>
    <t>2600400024-000</t>
  </si>
  <si>
    <t>2600400028-000</t>
  </si>
  <si>
    <t>2600400032-000</t>
  </si>
  <si>
    <t>2600400035-000</t>
  </si>
  <si>
    <t>2600400043-000</t>
  </si>
  <si>
    <t>2600400078-000</t>
  </si>
  <si>
    <t>2600406038-000</t>
  </si>
  <si>
    <t>2600406039-000</t>
  </si>
  <si>
    <t>2600409014-000</t>
  </si>
  <si>
    <t>2600409016-000</t>
  </si>
  <si>
    <t>2600409022-000</t>
  </si>
  <si>
    <t>2600409025-000</t>
  </si>
  <si>
    <t>2600409026-000</t>
  </si>
  <si>
    <t>2600409027-000</t>
  </si>
  <si>
    <t>2600409028-000</t>
  </si>
  <si>
    <t>2600420900-000</t>
  </si>
  <si>
    <t>2600421001-000</t>
  </si>
  <si>
    <t>2600422000-000</t>
  </si>
  <si>
    <t>2600422004-000</t>
  </si>
  <si>
    <t>2600422005-000</t>
  </si>
  <si>
    <t>2600423006-000</t>
  </si>
  <si>
    <t>2600451010-000</t>
  </si>
  <si>
    <t>2600460049-000</t>
  </si>
  <si>
    <t>2600460050-000</t>
  </si>
  <si>
    <t>2600460059-000</t>
  </si>
  <si>
    <t>2600499002-000</t>
  </si>
  <si>
    <t>2600499015-000</t>
  </si>
  <si>
    <t>2600499042-000</t>
  </si>
  <si>
    <t>2600499903-000</t>
  </si>
  <si>
    <t>2600500008-000</t>
  </si>
  <si>
    <t>2600500014-000</t>
  </si>
  <si>
    <t>2600500017-000</t>
  </si>
  <si>
    <t>2600500019-000</t>
  </si>
  <si>
    <t>2600500033-000</t>
  </si>
  <si>
    <t>2600501001-000</t>
  </si>
  <si>
    <t>2600501004-000</t>
  </si>
  <si>
    <t>2600501031-000</t>
  </si>
  <si>
    <t>2600506002-000</t>
  </si>
  <si>
    <t>2600506008-000</t>
  </si>
  <si>
    <t>2600508001-000</t>
  </si>
  <si>
    <t>2600508004-000</t>
  </si>
  <si>
    <t>2600508008-000</t>
  </si>
  <si>
    <t>2600508028-000</t>
  </si>
  <si>
    <t>2600508029-000</t>
  </si>
  <si>
    <t>2600508034-000</t>
  </si>
  <si>
    <t>2600508036-000</t>
  </si>
  <si>
    <t>2600508038-000</t>
  </si>
  <si>
    <t>2600508050-000</t>
  </si>
  <si>
    <t>2600508051-000</t>
  </si>
  <si>
    <t>2600508052-000</t>
  </si>
  <si>
    <t>2600508053-000</t>
  </si>
  <si>
    <t>2600508064-000</t>
  </si>
  <si>
    <t>2600508066-000</t>
  </si>
  <si>
    <t>2600510004-000</t>
  </si>
  <si>
    <t>2600510011-000</t>
  </si>
  <si>
    <t>2600510012-000</t>
  </si>
  <si>
    <t>2600522009-000</t>
  </si>
  <si>
    <t>2600522011-000</t>
  </si>
  <si>
    <t>2600522013-000</t>
  </si>
  <si>
    <t>2600522026-000</t>
  </si>
  <si>
    <t>2600550008-000</t>
  </si>
  <si>
    <t>2600550017-000</t>
  </si>
  <si>
    <t>2600550018-000</t>
  </si>
  <si>
    <t>2600550020-000</t>
  </si>
  <si>
    <t>2600590007-000</t>
  </si>
  <si>
    <t>2600590010-000</t>
  </si>
  <si>
    <t>2600590013-000</t>
  </si>
  <si>
    <t>2600591004-000</t>
  </si>
  <si>
    <t>2600591007-000</t>
  </si>
  <si>
    <t>2600591010-000</t>
  </si>
  <si>
    <t>2600591011-000</t>
  </si>
  <si>
    <t>2600591900-000</t>
  </si>
  <si>
    <t>2600703006-000</t>
  </si>
  <si>
    <t>2600703007-000</t>
  </si>
  <si>
    <t>2600703011-000</t>
  </si>
  <si>
    <t>2600703017-000</t>
  </si>
  <si>
    <t>2600703018-000</t>
  </si>
  <si>
    <t>2600703019-000</t>
  </si>
  <si>
    <t>2600703027-000</t>
  </si>
  <si>
    <t>2600703028-000</t>
  </si>
  <si>
    <t>2600703069-000</t>
  </si>
  <si>
    <t>2600707060-000</t>
  </si>
  <si>
    <t>2600707072-000</t>
  </si>
  <si>
    <t>2600707082-000</t>
  </si>
  <si>
    <t>2600712005-000</t>
  </si>
  <si>
    <t>2600712006-000</t>
  </si>
  <si>
    <t>2600780009-000</t>
  </si>
  <si>
    <t>2600780012-000</t>
  </si>
  <si>
    <t>2600780017-000</t>
  </si>
  <si>
    <t>2600780033-000</t>
  </si>
  <si>
    <t>2600780034-000</t>
  </si>
  <si>
    <t>2600780038-000</t>
  </si>
  <si>
    <t>2600780058-000</t>
  </si>
  <si>
    <t>2600780073-000</t>
  </si>
  <si>
    <t>2600780094-000</t>
  </si>
  <si>
    <t>2600780108-000</t>
  </si>
  <si>
    <t>2600780109-000</t>
  </si>
  <si>
    <t>2600780145-000</t>
  </si>
  <si>
    <t>2600780147-000</t>
  </si>
  <si>
    <t>2600780154-000</t>
  </si>
  <si>
    <t>2600780164-000</t>
  </si>
  <si>
    <t>2600780173-000</t>
  </si>
  <si>
    <t>2600780177-000</t>
  </si>
  <si>
    <t>2600780178-000</t>
  </si>
  <si>
    <t>2600780189-000</t>
  </si>
  <si>
    <t>2600780190-000</t>
  </si>
  <si>
    <t>2600780905-000</t>
  </si>
  <si>
    <t>2600780910-000</t>
  </si>
  <si>
    <t>2600780911-000</t>
  </si>
  <si>
    <t>2600780913-000</t>
  </si>
  <si>
    <t>2600905013-000</t>
  </si>
  <si>
    <t>2600905015-000</t>
  </si>
  <si>
    <t>2600905018-000</t>
  </si>
  <si>
    <t>2600905021-000</t>
  </si>
  <si>
    <t>2600905029-000</t>
  </si>
  <si>
    <t>2600905032-000</t>
  </si>
  <si>
    <t>2600905034-000</t>
  </si>
  <si>
    <t>2600905035-000</t>
  </si>
  <si>
    <t>2600905037-000</t>
  </si>
  <si>
    <t>2600905039-000</t>
  </si>
  <si>
    <t>2600905043-000</t>
  </si>
  <si>
    <t>2600905046-000</t>
  </si>
  <si>
    <t>2600905051-000</t>
  </si>
  <si>
    <t>2600905052-000</t>
  </si>
  <si>
    <t>2600905054-000</t>
  </si>
  <si>
    <t>2600905057-000</t>
  </si>
  <si>
    <t>2600905058-000</t>
  </si>
  <si>
    <t>2600905062-000</t>
  </si>
  <si>
    <t>2600905064-000</t>
  </si>
  <si>
    <t>2600905065-000</t>
  </si>
  <si>
    <t>2600905068-000</t>
  </si>
  <si>
    <t>2600905071-000</t>
  </si>
  <si>
    <t>2600905072-000</t>
  </si>
  <si>
    <t>2600905086-000</t>
  </si>
  <si>
    <t>2600905107-000</t>
  </si>
  <si>
    <t>2600905110-000</t>
  </si>
  <si>
    <t>2600905111-000</t>
  </si>
  <si>
    <t>2600905112-000</t>
  </si>
  <si>
    <t>2600905121-000</t>
  </si>
  <si>
    <t>2600910000-000</t>
  </si>
  <si>
    <t>2600910003-000</t>
  </si>
  <si>
    <t>2600910005-000</t>
  </si>
  <si>
    <t>2600910012-000</t>
  </si>
  <si>
    <t>2600913002-000</t>
  </si>
  <si>
    <t>2600913003-000</t>
  </si>
  <si>
    <t>2600913007-000</t>
  </si>
  <si>
    <t>2600913008-000</t>
  </si>
  <si>
    <t>2600913027-000</t>
  </si>
  <si>
    <t>2600913032-000</t>
  </si>
  <si>
    <t>2600913033-000</t>
  </si>
  <si>
    <t>2600913034-000</t>
  </si>
  <si>
    <t>2600913035-000</t>
  </si>
  <si>
    <t>2600913040-000</t>
  </si>
  <si>
    <t>2600914004-000</t>
  </si>
  <si>
    <t>2600914010-000</t>
  </si>
  <si>
    <t>2600914011-000</t>
  </si>
  <si>
    <t>2600914013-000</t>
  </si>
  <si>
    <t>2600914016-000</t>
  </si>
  <si>
    <t>2600914017-000</t>
  </si>
  <si>
    <t>2600914018-000</t>
  </si>
  <si>
    <t>2600914019-000</t>
  </si>
  <si>
    <t>2600914022-000</t>
  </si>
  <si>
    <t>2600914025-000</t>
  </si>
  <si>
    <t>2600916900-000</t>
  </si>
  <si>
    <t>2600917002-000</t>
  </si>
  <si>
    <t>2600917003-000</t>
  </si>
  <si>
    <t>2600917004-000</t>
  </si>
  <si>
    <t>2600917006-000</t>
  </si>
  <si>
    <t>2600917007-000</t>
  </si>
  <si>
    <t>2600917900-000</t>
  </si>
  <si>
    <t>2600917902-000</t>
  </si>
  <si>
    <t>2600917904-000</t>
  </si>
  <si>
    <t>2600917906-000</t>
  </si>
  <si>
    <t>2600923001-000</t>
  </si>
  <si>
    <t>2600923002-000</t>
  </si>
  <si>
    <t>2600923006-000</t>
  </si>
  <si>
    <t>2601000014-000</t>
  </si>
  <si>
    <t>2601000018-000</t>
  </si>
  <si>
    <t>2601000032-000</t>
  </si>
  <si>
    <t>2601000034-000</t>
  </si>
  <si>
    <t>2601005002-000</t>
  </si>
  <si>
    <t>2601005011-000</t>
  </si>
  <si>
    <t>2601005017-000</t>
  </si>
  <si>
    <t>2601005019-000</t>
  </si>
  <si>
    <t>2601006002-000</t>
  </si>
  <si>
    <t>2601010052-000</t>
  </si>
  <si>
    <t>2601010059-000</t>
  </si>
  <si>
    <t>2601010079-000</t>
  </si>
  <si>
    <t>2601010082-000</t>
  </si>
  <si>
    <t>2601015002-000</t>
  </si>
  <si>
    <t>2601015009-000</t>
  </si>
  <si>
    <t>2601015030-000</t>
  </si>
  <si>
    <t>2601015032-000</t>
  </si>
  <si>
    <t>2601015037-000</t>
  </si>
  <si>
    <t>2601015039-000</t>
  </si>
  <si>
    <t>2601015050-000</t>
  </si>
  <si>
    <t>2601015054-000</t>
  </si>
  <si>
    <t>2601015057-000</t>
  </si>
  <si>
    <t>2601015062-000</t>
  </si>
  <si>
    <t>2601015064-000</t>
  </si>
  <si>
    <t>2601015065-000</t>
  </si>
  <si>
    <t>2601015077-000</t>
  </si>
  <si>
    <t>2601015082-000</t>
  </si>
  <si>
    <t>2601015091-000</t>
  </si>
  <si>
    <t>2601015097-000</t>
  </si>
  <si>
    <t>2601015113-000</t>
  </si>
  <si>
    <t>2601015900-000</t>
  </si>
  <si>
    <t>2601015901-000</t>
  </si>
  <si>
    <t>2601015902-000</t>
  </si>
  <si>
    <t>2601016008-000</t>
  </si>
  <si>
    <t>2601016012-000</t>
  </si>
  <si>
    <t>2601016038-000</t>
  </si>
  <si>
    <t>2601016043-000</t>
  </si>
  <si>
    <t>2601016065-000</t>
  </si>
  <si>
    <t>2601016079-000</t>
  </si>
  <si>
    <t>2601016080-000</t>
  </si>
  <si>
    <t>2601016093-000</t>
  </si>
  <si>
    <t>2601016120-000</t>
  </si>
  <si>
    <t>2601016121-000</t>
  </si>
  <si>
    <t>2601016122-000</t>
  </si>
  <si>
    <t>2601016123-000</t>
  </si>
  <si>
    <t>2601016124-000</t>
  </si>
  <si>
    <t>2601016903-000</t>
  </si>
  <si>
    <t>2601016905-000</t>
  </si>
  <si>
    <t>2601016906-000</t>
  </si>
  <si>
    <t>2601020005-000</t>
  </si>
  <si>
    <t>2601020006-000</t>
  </si>
  <si>
    <t>2601020007-000</t>
  </si>
  <si>
    <t>2601022000-000</t>
  </si>
  <si>
    <t>2601030006-000</t>
  </si>
  <si>
    <t>2601030017-000</t>
  </si>
  <si>
    <t>2601030019-000</t>
  </si>
  <si>
    <t>2601030022-000</t>
  </si>
  <si>
    <t>2601032017-000</t>
  </si>
  <si>
    <t>2601032021-000</t>
  </si>
  <si>
    <t>2601034010-000</t>
  </si>
  <si>
    <t>2601035001-000</t>
  </si>
  <si>
    <t>2601035002-000</t>
  </si>
  <si>
    <t>2601035004-000</t>
  </si>
  <si>
    <t>2601035005-000</t>
  </si>
  <si>
    <t>2601038111-000</t>
  </si>
  <si>
    <t>2601039020-000</t>
  </si>
  <si>
    <t>2601072007-000</t>
  </si>
  <si>
    <t>2601072901-000</t>
  </si>
  <si>
    <t>2601073012-000</t>
  </si>
  <si>
    <t>2601073020-000</t>
  </si>
  <si>
    <t>2601074001-000</t>
  </si>
  <si>
    <t>2601074003-000</t>
  </si>
  <si>
    <t>2601074004-000</t>
  </si>
  <si>
    <t>2601098003-000</t>
  </si>
  <si>
    <t>2601098004-000</t>
  </si>
  <si>
    <t>2601098005-000</t>
  </si>
  <si>
    <t>2601098006-000</t>
  </si>
  <si>
    <t>2601098009-000</t>
  </si>
  <si>
    <t>2601098024-000</t>
  </si>
  <si>
    <t>2601098028-000</t>
  </si>
  <si>
    <t>2601098032-000</t>
  </si>
  <si>
    <t>2601098036-000</t>
  </si>
  <si>
    <t>2601098040-000</t>
  </si>
  <si>
    <t>2601098044-000</t>
  </si>
  <si>
    <t>2601098045-000</t>
  </si>
  <si>
    <t>2601098060-000</t>
  </si>
  <si>
    <t>2601098082-000</t>
  </si>
  <si>
    <t>2601098087-000</t>
  </si>
  <si>
    <t>2601098098-000</t>
  </si>
  <si>
    <t>2601098099-000</t>
  </si>
  <si>
    <t>2601098110-000</t>
  </si>
  <si>
    <t>2601098117-000</t>
  </si>
  <si>
    <t>2601098902-000</t>
  </si>
  <si>
    <t>2601099015-000</t>
  </si>
  <si>
    <t>2601099026-000</t>
  </si>
  <si>
    <t>2601099027-000</t>
  </si>
  <si>
    <t>2601099028-000</t>
  </si>
  <si>
    <t>2601099055-000</t>
  </si>
  <si>
    <t>2601099056-000</t>
  </si>
  <si>
    <t>2601099060-000</t>
  </si>
  <si>
    <t>2601099072-000</t>
  </si>
  <si>
    <t>2601099085-000</t>
  </si>
  <si>
    <t>2601099086-000</t>
  </si>
  <si>
    <t>2601099090-000</t>
  </si>
  <si>
    <t>2601099096-000</t>
  </si>
  <si>
    <t>2601099098-000</t>
  </si>
  <si>
    <t>2601099111-000</t>
  </si>
  <si>
    <t>2601099112-000</t>
  </si>
  <si>
    <t>2601099114-000</t>
  </si>
  <si>
    <t>2601099115-000</t>
  </si>
  <si>
    <t>2601099120-000</t>
  </si>
  <si>
    <t>2601099127-000</t>
  </si>
  <si>
    <t>2601099153-000</t>
  </si>
  <si>
    <t>2601099155-000</t>
  </si>
  <si>
    <t>2601099175-000</t>
  </si>
  <si>
    <t>2601099183-000</t>
  </si>
  <si>
    <t>2601099188-000</t>
  </si>
  <si>
    <t>2601099189-000</t>
  </si>
  <si>
    <t>2601099196-000</t>
  </si>
  <si>
    <t>2601099198-000</t>
  </si>
  <si>
    <t>2601099213-000</t>
  </si>
  <si>
    <t>2601099225-000</t>
  </si>
  <si>
    <t>2601099261-000</t>
  </si>
  <si>
    <t>2601099301-000</t>
  </si>
  <si>
    <t>2601111477-000</t>
  </si>
  <si>
    <t>2601112052-000</t>
  </si>
  <si>
    <t>2601113630-000</t>
  </si>
  <si>
    <t>2601115537-000</t>
  </si>
  <si>
    <t>2601120000-000</t>
  </si>
  <si>
    <t>2601120009-000</t>
  </si>
  <si>
    <t>2601120017-000</t>
  </si>
  <si>
    <t>2601120018-000</t>
  </si>
  <si>
    <t>2601250001-000</t>
  </si>
  <si>
    <t>2601250009-000</t>
  </si>
  <si>
    <t>2601251003-000</t>
  </si>
  <si>
    <t>2601254000-000</t>
  </si>
  <si>
    <t>2601290014-000</t>
  </si>
  <si>
    <t>2601290016-000</t>
  </si>
  <si>
    <t>2601301002-000</t>
  </si>
  <si>
    <t>2601302008-000</t>
  </si>
  <si>
    <t>2601310011-000</t>
  </si>
  <si>
    <t>2601314002-000</t>
  </si>
  <si>
    <t>2601316001-000</t>
  </si>
  <si>
    <t>2601320018-000</t>
  </si>
  <si>
    <t>2601321012-000</t>
  </si>
  <si>
    <t>2601321016-000</t>
  </si>
  <si>
    <t>2601321017-000</t>
  </si>
  <si>
    <t>2601321022-000</t>
  </si>
  <si>
    <t>2601321036-000</t>
  </si>
  <si>
    <t>2601321037-000</t>
  </si>
  <si>
    <t>2601321051-000</t>
  </si>
  <si>
    <t>2601321063-000</t>
  </si>
  <si>
    <t>2601321077-000</t>
  </si>
  <si>
    <t>2601321900-000</t>
  </si>
  <si>
    <t>2601321901-000</t>
  </si>
  <si>
    <t>2601321902-000</t>
  </si>
  <si>
    <t>2601321903-000</t>
  </si>
  <si>
    <t>2601321904-000</t>
  </si>
  <si>
    <t>2601321907-000</t>
  </si>
  <si>
    <t>2601321908-000</t>
  </si>
  <si>
    <t>2601322002-000</t>
  </si>
  <si>
    <t>2601322004-000</t>
  </si>
  <si>
    <t>2601322010-000</t>
  </si>
  <si>
    <t>2601322011-000</t>
  </si>
  <si>
    <t>2601322013-000</t>
  </si>
  <si>
    <t>2601322014-000</t>
  </si>
  <si>
    <t>2601322016-000</t>
  </si>
  <si>
    <t>2601322017-000</t>
  </si>
  <si>
    <t>2601322021-000</t>
  </si>
  <si>
    <t>2601322035-000</t>
  </si>
  <si>
    <t>2601322900-000</t>
  </si>
  <si>
    <t>2601322901-000</t>
  </si>
  <si>
    <t>2601323021-000</t>
  </si>
  <si>
    <t>2601324012-000</t>
  </si>
  <si>
    <t>2601324013-000</t>
  </si>
  <si>
    <t>2601324048-000</t>
  </si>
  <si>
    <t>2601328001-000</t>
  </si>
  <si>
    <t>2601328021-000</t>
  </si>
  <si>
    <t>2601328022-000</t>
  </si>
  <si>
    <t>2601328033-000</t>
  </si>
  <si>
    <t>2601328034-000</t>
  </si>
  <si>
    <t>2601328043-000</t>
  </si>
  <si>
    <t>2601328044-000</t>
  </si>
  <si>
    <t>2601328045-000</t>
  </si>
  <si>
    <t>2601328046-000</t>
  </si>
  <si>
    <t>2601328047-000</t>
  </si>
  <si>
    <t>2601328048-000</t>
  </si>
  <si>
    <t>2601328049-000</t>
  </si>
  <si>
    <t>2601328054-000</t>
  </si>
  <si>
    <t>2601328055-000</t>
  </si>
  <si>
    <t>2601328073-000</t>
  </si>
  <si>
    <t>2601328078-000</t>
  </si>
  <si>
    <t>2601328090-000</t>
  </si>
  <si>
    <t>2601328091-000</t>
  </si>
  <si>
    <t>2601328092-000</t>
  </si>
  <si>
    <t>2601328900-000</t>
  </si>
  <si>
    <t>2601328901-000</t>
  </si>
  <si>
    <t>2601329009-000</t>
  </si>
  <si>
    <t>2601329037-000</t>
  </si>
  <si>
    <t>2601329041-000</t>
  </si>
  <si>
    <t>2601329043-000</t>
  </si>
  <si>
    <t>2601329045-000</t>
  </si>
  <si>
    <t>2601329051-000</t>
  </si>
  <si>
    <t>2601329053-000</t>
  </si>
  <si>
    <t>2601329055-000</t>
  </si>
  <si>
    <t>2601329057-000</t>
  </si>
  <si>
    <t>2601329074-000</t>
  </si>
  <si>
    <t>2601329097-000</t>
  </si>
  <si>
    <t>2601329104-000</t>
  </si>
  <si>
    <t>2601329110-000</t>
  </si>
  <si>
    <t>2601329113-000</t>
  </si>
  <si>
    <t>2601329127-000</t>
  </si>
  <si>
    <t>2601329900-000</t>
  </si>
  <si>
    <t>2601330002-000</t>
  </si>
  <si>
    <t>2601331005-000</t>
  </si>
  <si>
    <t>2601332005-000</t>
  </si>
  <si>
    <t>2601334002-000</t>
  </si>
  <si>
    <t>2601334006-000</t>
  </si>
  <si>
    <t>2601334009-000</t>
  </si>
  <si>
    <t>2601334011-000</t>
  </si>
  <si>
    <t>2601334012-000</t>
  </si>
  <si>
    <t>2601389900-000</t>
  </si>
  <si>
    <t>2601901006-000</t>
  </si>
  <si>
    <t>2601923000-000</t>
  </si>
  <si>
    <t>2601923003-000</t>
  </si>
  <si>
    <t>2601923004-000</t>
  </si>
  <si>
    <t>2601923006-000</t>
  </si>
  <si>
    <t>2601923010-000</t>
  </si>
  <si>
    <t>2601923011-000</t>
  </si>
  <si>
    <t>2601923012-000</t>
  </si>
  <si>
    <t>2601923015-000</t>
  </si>
  <si>
    <t>2601990000-000</t>
  </si>
  <si>
    <t>2601990001-000</t>
  </si>
  <si>
    <t>2601990003-000</t>
  </si>
  <si>
    <t>2601990010-000</t>
  </si>
  <si>
    <t>2601990011-000</t>
  </si>
  <si>
    <t>2601990018-000</t>
  </si>
  <si>
    <t>2601990027-000</t>
  </si>
  <si>
    <t>2601990029-000</t>
  </si>
  <si>
    <t>2601990056-000</t>
  </si>
  <si>
    <t>2601990900-000</t>
  </si>
  <si>
    <t>2601990901-000</t>
  </si>
  <si>
    <t>2601990902-000</t>
  </si>
  <si>
    <t>2601990903-000</t>
  </si>
  <si>
    <t>2601990906-000</t>
  </si>
  <si>
    <t>2601990907-000</t>
  </si>
  <si>
    <t>2601990911-000</t>
  </si>
  <si>
    <t>2602001000-000</t>
  </si>
  <si>
    <t>2602001001-000</t>
  </si>
  <si>
    <t>2602001006-000</t>
  </si>
  <si>
    <t>2602025025-000</t>
  </si>
  <si>
    <t>2602025026-000</t>
  </si>
  <si>
    <t>2602025059-000</t>
  </si>
  <si>
    <t>2602025060-000</t>
  </si>
  <si>
    <t>2602025068-000</t>
  </si>
  <si>
    <t>2602025079-000</t>
  </si>
  <si>
    <t>2602025106-000</t>
  </si>
  <si>
    <t>2602025118-000</t>
  </si>
  <si>
    <t>2602025158-000</t>
  </si>
  <si>
    <t>2602025166-000</t>
  </si>
  <si>
    <t>2602025901-000</t>
  </si>
  <si>
    <t>2602026001-000</t>
  </si>
  <si>
    <t>2602026004-000</t>
  </si>
  <si>
    <t>2602026006-000</t>
  </si>
  <si>
    <t>2602026014-000</t>
  </si>
  <si>
    <t>2602026015-000</t>
  </si>
  <si>
    <t>2602026017-000</t>
  </si>
  <si>
    <t>2602026031-000</t>
  </si>
  <si>
    <t>2602026032-000</t>
  </si>
  <si>
    <t>2602026035-000</t>
  </si>
  <si>
    <t>2602026036-000</t>
  </si>
  <si>
    <t>2602026037-000</t>
  </si>
  <si>
    <t>2602026038-000</t>
  </si>
  <si>
    <t>2602026041-000</t>
  </si>
  <si>
    <t>2602026044-000</t>
  </si>
  <si>
    <t>2602026045-000</t>
  </si>
  <si>
    <t>2602026052-000</t>
  </si>
  <si>
    <t>2602026053-000</t>
  </si>
  <si>
    <t>2602026063-000</t>
  </si>
  <si>
    <t>2602026065-000</t>
  </si>
  <si>
    <t>2602026066-000</t>
  </si>
  <si>
    <t>2602026069-000</t>
  </si>
  <si>
    <t>2602026091-000</t>
  </si>
  <si>
    <t>2602026094-000</t>
  </si>
  <si>
    <t>2602026107-000</t>
  </si>
  <si>
    <t>2602026109-000</t>
  </si>
  <si>
    <t>2602026116-000</t>
  </si>
  <si>
    <t>2602026117-000</t>
  </si>
  <si>
    <t>2602026118-000</t>
  </si>
  <si>
    <t>2602026120-000</t>
  </si>
  <si>
    <t>2602026123-000</t>
  </si>
  <si>
    <t>2602026154-000</t>
  </si>
  <si>
    <t>2602026158-000</t>
  </si>
  <si>
    <t>2602026175-000</t>
  </si>
  <si>
    <t>2602026180-000</t>
  </si>
  <si>
    <t>2602026200-000</t>
  </si>
  <si>
    <t>2602026201-000</t>
  </si>
  <si>
    <t>2602026902-000</t>
  </si>
  <si>
    <t>2602026908-000</t>
  </si>
  <si>
    <t>2602026909-000</t>
  </si>
  <si>
    <t>2602033003-000</t>
  </si>
  <si>
    <t>2602033005-000</t>
  </si>
  <si>
    <t>2602033007-000</t>
  </si>
  <si>
    <t>2602033008-000</t>
  </si>
  <si>
    <t>2602033018-000</t>
  </si>
  <si>
    <t>2602051000-000</t>
  </si>
  <si>
    <t>2602051002-000</t>
  </si>
  <si>
    <t>2602051004-000</t>
  </si>
  <si>
    <t>2602053001-000</t>
  </si>
  <si>
    <t>2602098008-000</t>
  </si>
  <si>
    <t>2602098011-000</t>
  </si>
  <si>
    <t>2602123010-000</t>
  </si>
  <si>
    <t>2602130900-000</t>
  </si>
  <si>
    <t>2602130901-000</t>
  </si>
  <si>
    <t>2602130903-000</t>
  </si>
  <si>
    <t>2602210001-000</t>
  </si>
  <si>
    <t>2602210009-000</t>
  </si>
  <si>
    <t>2602210011-000</t>
  </si>
  <si>
    <t>2602210014-000</t>
  </si>
  <si>
    <t>2602210900-000</t>
  </si>
  <si>
    <t>2602210907-000</t>
  </si>
  <si>
    <t>2602300008-000</t>
  </si>
  <si>
    <t>2602300026-000</t>
  </si>
  <si>
    <t>2602300028-000</t>
  </si>
  <si>
    <t>2602300033-000</t>
  </si>
  <si>
    <t>2602305014-000</t>
  </si>
  <si>
    <t>2602305016-000</t>
  </si>
  <si>
    <t>2602305041-000</t>
  </si>
  <si>
    <t>2602305048-000</t>
  </si>
  <si>
    <t>2602305050-000</t>
  </si>
  <si>
    <t>2602305051-000</t>
  </si>
  <si>
    <t>2602316000-000</t>
  </si>
  <si>
    <t>2602316001-000</t>
  </si>
  <si>
    <t>2602316006-000</t>
  </si>
  <si>
    <t>2602316007-000</t>
  </si>
  <si>
    <t>2602316011-000</t>
  </si>
  <si>
    <t>2602316900-000</t>
  </si>
  <si>
    <t>2602316902-000</t>
  </si>
  <si>
    <t>2602317025-000</t>
  </si>
  <si>
    <t>2602317037-000</t>
  </si>
  <si>
    <t>2602317053-000</t>
  </si>
  <si>
    <t>2602317900-000</t>
  </si>
  <si>
    <t>2602319004-000</t>
  </si>
  <si>
    <t>2602319005-000</t>
  </si>
  <si>
    <t>2602319008-000</t>
  </si>
  <si>
    <t>2602319009-000</t>
  </si>
  <si>
    <t>2602319013-000</t>
  </si>
  <si>
    <t>2602319014-000</t>
  </si>
  <si>
    <t>2602319021-000</t>
  </si>
  <si>
    <t>2602329011-000</t>
  </si>
  <si>
    <t>2602329022-000</t>
  </si>
  <si>
    <t>2602380003-000</t>
  </si>
  <si>
    <t>2602388004-000</t>
  </si>
  <si>
    <t>2602388010-000</t>
  </si>
  <si>
    <t>2602388026-000</t>
  </si>
  <si>
    <t>2602389001-000</t>
  </si>
  <si>
    <t>2602391004-000</t>
  </si>
  <si>
    <t>2603000016-000</t>
  </si>
  <si>
    <t>2603001009-000</t>
  </si>
  <si>
    <t>2603010002-000</t>
  </si>
  <si>
    <t>2603070005-000</t>
  </si>
  <si>
    <t>2603070008-000</t>
  </si>
  <si>
    <t>2603100000-000</t>
  </si>
  <si>
    <t>2603100003-000</t>
  </si>
  <si>
    <t>2603100031-000</t>
  </si>
  <si>
    <t>2603100032-000</t>
  </si>
  <si>
    <t>2603100047-000</t>
  </si>
  <si>
    <t>2603100056-000</t>
  </si>
  <si>
    <t>2603100057-000</t>
  </si>
  <si>
    <t>2603100069-000</t>
  </si>
  <si>
    <t>2603101002-000</t>
  </si>
  <si>
    <t>2603101046-000</t>
  </si>
  <si>
    <t>2603101056-000</t>
  </si>
  <si>
    <t>2603101065-000</t>
  </si>
  <si>
    <t>2603101070-000</t>
  </si>
  <si>
    <t>2603102007-000</t>
  </si>
  <si>
    <t>2603104001-000</t>
  </si>
  <si>
    <t>2603105015-000</t>
  </si>
  <si>
    <t>2603105021-000</t>
  </si>
  <si>
    <t>2603105022-000</t>
  </si>
  <si>
    <t>2603105027-000</t>
  </si>
  <si>
    <t>2603105038-000</t>
  </si>
  <si>
    <t>2603105044-000</t>
  </si>
  <si>
    <t>2603105050-000</t>
  </si>
  <si>
    <t>2603105051-000</t>
  </si>
  <si>
    <t>2603105052-000</t>
  </si>
  <si>
    <t>2603105053-000</t>
  </si>
  <si>
    <t>2603105054-000</t>
  </si>
  <si>
    <t>2603105065-000</t>
  </si>
  <si>
    <t>2603105067-000</t>
  </si>
  <si>
    <t>2603105080-000</t>
  </si>
  <si>
    <t>2603105083-000</t>
  </si>
  <si>
    <t>2603105084-000</t>
  </si>
  <si>
    <t>2603105088-000</t>
  </si>
  <si>
    <t>2603105091-000</t>
  </si>
  <si>
    <t>2603105104-000</t>
  </si>
  <si>
    <t>2603105131-000</t>
  </si>
  <si>
    <t>2603105136-000</t>
  </si>
  <si>
    <t>2603105143-000</t>
  </si>
  <si>
    <t>2603105200-000</t>
  </si>
  <si>
    <t>2603111001-000</t>
  </si>
  <si>
    <t>2603120001-000</t>
  </si>
  <si>
    <t>2603120008-000</t>
  </si>
  <si>
    <t>2603120019-000</t>
  </si>
  <si>
    <t>2603120037-000</t>
  </si>
  <si>
    <t>2603120064-000</t>
  </si>
  <si>
    <t>2603123013-000</t>
  </si>
  <si>
    <t>2603124002-000</t>
  </si>
  <si>
    <t>2603124016-000</t>
  </si>
  <si>
    <t>2603124043-000</t>
  </si>
  <si>
    <t>2603124097-000</t>
  </si>
  <si>
    <t>2603124116-000</t>
  </si>
  <si>
    <t>2603124155-000</t>
  </si>
  <si>
    <t>2603124156-000</t>
  </si>
  <si>
    <t>2603124904-000</t>
  </si>
  <si>
    <t>2603124906-000</t>
  </si>
  <si>
    <t>2603126008-000</t>
  </si>
  <si>
    <t>2603126011-000</t>
  </si>
  <si>
    <t>2603126014-000</t>
  </si>
  <si>
    <t>2603132002-000</t>
  </si>
  <si>
    <t>2603200020-000</t>
  </si>
  <si>
    <t>2603201020-000</t>
  </si>
  <si>
    <t>2603201037-000</t>
  </si>
  <si>
    <t>2603201041-000</t>
  </si>
  <si>
    <t>2603201055-000</t>
  </si>
  <si>
    <t>2603201089-000</t>
  </si>
  <si>
    <t>2603203041-000</t>
  </si>
  <si>
    <t>2603204900-000</t>
  </si>
  <si>
    <t>2603204903-000</t>
  </si>
  <si>
    <t>2603204906-000</t>
  </si>
  <si>
    <t>2603204908-000</t>
  </si>
  <si>
    <t>2603212001-000</t>
  </si>
  <si>
    <t>2603230000-000</t>
  </si>
  <si>
    <t>2603230007-000</t>
  </si>
  <si>
    <t>2603231040-000</t>
  </si>
  <si>
    <t>2603239006-000</t>
  </si>
  <si>
    <t>2603239024-000</t>
  </si>
  <si>
    <t>2603239027-000</t>
  </si>
  <si>
    <t>2603300001-000</t>
  </si>
  <si>
    <t>2603312001-000</t>
  </si>
  <si>
    <t>2603314001-000</t>
  </si>
  <si>
    <t>2603320003-000</t>
  </si>
  <si>
    <t>2603320004-000</t>
  </si>
  <si>
    <t>2603339005-000</t>
  </si>
  <si>
    <t>2603340002-000</t>
  </si>
  <si>
    <t>2603341002-000</t>
  </si>
  <si>
    <t>2603341007-000</t>
  </si>
  <si>
    <t>2603342004-000</t>
  </si>
  <si>
    <t>2603342006-000</t>
  </si>
  <si>
    <t>2603342010-000</t>
  </si>
  <si>
    <t>2603345000-000</t>
  </si>
  <si>
    <t>2603345015-000</t>
  </si>
  <si>
    <t>2603386002-000</t>
  </si>
  <si>
    <t>2603400001-000</t>
  </si>
  <si>
    <t>2603400011-000</t>
  </si>
  <si>
    <t>2603400014-000</t>
  </si>
  <si>
    <t>2603400016-000</t>
  </si>
  <si>
    <t>2603410001-000</t>
  </si>
  <si>
    <t>2603410028-000</t>
  </si>
  <si>
    <t>2603410045-000</t>
  </si>
  <si>
    <t>2603410046-000</t>
  </si>
  <si>
    <t>2603410048-000</t>
  </si>
  <si>
    <t>2603410049-000</t>
  </si>
  <si>
    <t>2603410051-000</t>
  </si>
  <si>
    <t>2603413003-000</t>
  </si>
  <si>
    <t>2603413026-000</t>
  </si>
  <si>
    <t>2603413031-000</t>
  </si>
  <si>
    <t>2603413035-000</t>
  </si>
  <si>
    <t>2603414026-000</t>
  </si>
  <si>
    <t>2603414027-000</t>
  </si>
  <si>
    <t>2603414048-000</t>
  </si>
  <si>
    <t>2603414050-000</t>
  </si>
  <si>
    <t>2603414062-000</t>
  </si>
  <si>
    <t>2603415206-000</t>
  </si>
  <si>
    <t>2603421006-000</t>
  </si>
  <si>
    <t>2603421009-000</t>
  </si>
  <si>
    <t>2603421040-000</t>
  </si>
  <si>
    <t>2603421207-000</t>
  </si>
  <si>
    <t>2603421215-000</t>
  </si>
  <si>
    <t>2603421217-000</t>
  </si>
  <si>
    <t>2603421222-000</t>
  </si>
  <si>
    <t>2603421226-000</t>
  </si>
  <si>
    <t>2603421227-000</t>
  </si>
  <si>
    <t>2603421228-000</t>
  </si>
  <si>
    <t>2603421229-000</t>
  </si>
  <si>
    <t>2603433000-000</t>
  </si>
  <si>
    <t>2603433001-000</t>
  </si>
  <si>
    <t>2603435012-000</t>
  </si>
  <si>
    <t>2603435013-000</t>
  </si>
  <si>
    <t>2603435015-000</t>
  </si>
  <si>
    <t>2603435018-000</t>
  </si>
  <si>
    <t>2603435020-000</t>
  </si>
  <si>
    <t>2603435042-000</t>
  </si>
  <si>
    <t>2603435043-000</t>
  </si>
  <si>
    <t>2603435070-000</t>
  </si>
  <si>
    <t>2603435071-000</t>
  </si>
  <si>
    <t>2603435084-000</t>
  </si>
  <si>
    <t>2603435085-000</t>
  </si>
  <si>
    <t>2603435086-000</t>
  </si>
  <si>
    <t>2603435096-000</t>
  </si>
  <si>
    <t>2603450005-000</t>
  </si>
  <si>
    <t>2603455006-000</t>
  </si>
  <si>
    <t>2603463001-000</t>
  </si>
  <si>
    <t>2603480003-000</t>
  </si>
  <si>
    <t>2603490005-000</t>
  </si>
  <si>
    <t>2603490011-000</t>
  </si>
  <si>
    <t>2603490016-000</t>
  </si>
  <si>
    <t>2603490017-000</t>
  </si>
  <si>
    <t>2603490020-000</t>
  </si>
  <si>
    <t>2603490021-000</t>
  </si>
  <si>
    <t>2603490022-000</t>
  </si>
  <si>
    <t>2603490023-000</t>
  </si>
  <si>
    <t>2603490024-000</t>
  </si>
  <si>
    <t>2603490025-000</t>
  </si>
  <si>
    <t>2603490026-000</t>
  </si>
  <si>
    <t>2603490027-000</t>
  </si>
  <si>
    <t>2603502015-000</t>
  </si>
  <si>
    <t>2603520001-000</t>
  </si>
  <si>
    <t>2603520010-000</t>
  </si>
  <si>
    <t>2603523006-000</t>
  </si>
  <si>
    <t>2603523019-000</t>
  </si>
  <si>
    <t>2603527004-000</t>
  </si>
  <si>
    <t>2604010524-000</t>
  </si>
  <si>
    <t>2604010529-000</t>
  </si>
  <si>
    <t>2604010551-000</t>
  </si>
  <si>
    <t>2604010553-000</t>
  </si>
  <si>
    <t>2604010558-000</t>
  </si>
  <si>
    <t>2604010574-000</t>
  </si>
  <si>
    <t>2604010578-000</t>
  </si>
  <si>
    <t>2604010604-000</t>
  </si>
  <si>
    <t>2604010605-000</t>
  </si>
  <si>
    <t>2604010608-000</t>
  </si>
  <si>
    <t>2604010629-000</t>
  </si>
  <si>
    <t>2604010639-000</t>
  </si>
  <si>
    <t>2604010648-000</t>
  </si>
  <si>
    <t>2604010658-000</t>
  </si>
  <si>
    <t>2604010707-000</t>
  </si>
  <si>
    <t>2604010715-000</t>
  </si>
  <si>
    <t>2604010727-000</t>
  </si>
  <si>
    <t>2604010735-000</t>
  </si>
  <si>
    <t>2604010736-000</t>
  </si>
  <si>
    <t>2604010739-000</t>
  </si>
  <si>
    <t>2604010744-000</t>
  </si>
  <si>
    <t>2604010751-000</t>
  </si>
  <si>
    <t>2604010763-000</t>
  </si>
  <si>
    <t>2604010784-000</t>
  </si>
  <si>
    <t>2604010826-000</t>
  </si>
  <si>
    <t>2604010846-000</t>
  </si>
  <si>
    <t>2604010863-000</t>
  </si>
  <si>
    <t>2604010872-000</t>
  </si>
  <si>
    <t>2604010881-000</t>
  </si>
  <si>
    <t>2604010889-000</t>
  </si>
  <si>
    <t>2604010911-000</t>
  </si>
  <si>
    <t>2604010932-000</t>
  </si>
  <si>
    <t>2604010940-000</t>
  </si>
  <si>
    <t>2604010944-000</t>
  </si>
  <si>
    <t>2604010962-000</t>
  </si>
  <si>
    <t>2604010974-000</t>
  </si>
  <si>
    <t>2604010998-000</t>
  </si>
  <si>
    <t>2604011003-000</t>
  </si>
  <si>
    <t>2604011014-000</t>
  </si>
  <si>
    <t>2604011018-000</t>
  </si>
  <si>
    <t>2604011028-000</t>
  </si>
  <si>
    <t>2604011077-000</t>
  </si>
  <si>
    <t>2604011084-000</t>
  </si>
  <si>
    <t>2604011085-000</t>
  </si>
  <si>
    <t>2604011097-000</t>
  </si>
  <si>
    <t>2604011110-000</t>
  </si>
  <si>
    <t>2604011115-000</t>
  </si>
  <si>
    <t>2604011153-000</t>
  </si>
  <si>
    <t>2604011154-000</t>
  </si>
  <si>
    <t>2604011173-000</t>
  </si>
  <si>
    <t>2604011185-000</t>
  </si>
  <si>
    <t>2604011196-000</t>
  </si>
  <si>
    <t>2604011219-000</t>
  </si>
  <si>
    <t>2604011231-000</t>
  </si>
  <si>
    <t>2604011241-000</t>
  </si>
  <si>
    <t>2604011248-000</t>
  </si>
  <si>
    <t>2604011254-000</t>
  </si>
  <si>
    <t>2604011265-000</t>
  </si>
  <si>
    <t>2604011276-000</t>
  </si>
  <si>
    <t>2604011319-000</t>
  </si>
  <si>
    <t>2604011322-000</t>
  </si>
  <si>
    <t>2604011331-000</t>
  </si>
  <si>
    <t>2604011343-000</t>
  </si>
  <si>
    <t>2604011394-000</t>
  </si>
  <si>
    <t>2604011445-000</t>
  </si>
  <si>
    <t>2604011900-000</t>
  </si>
  <si>
    <t>2604011905-000</t>
  </si>
  <si>
    <t>2604011908-000</t>
  </si>
  <si>
    <t>2604011910-000</t>
  </si>
  <si>
    <t>2604011924-000</t>
  </si>
  <si>
    <t>2604011926-000</t>
  </si>
  <si>
    <t>2604011928-000</t>
  </si>
  <si>
    <t>2604011934-000</t>
  </si>
  <si>
    <t>2604011941-000</t>
  </si>
  <si>
    <t>2604011943-000</t>
  </si>
  <si>
    <t>2604011945-000</t>
  </si>
  <si>
    <t>2604200261-000</t>
  </si>
  <si>
    <t>2604220398-000</t>
  </si>
  <si>
    <t>2604220409-000</t>
  </si>
  <si>
    <t>2604220411-000</t>
  </si>
  <si>
    <t>2604220421-000</t>
  </si>
  <si>
    <t>2604220423-000</t>
  </si>
  <si>
    <t>2604220429-000</t>
  </si>
  <si>
    <t>2604220430-000</t>
  </si>
  <si>
    <t>2604220438-000</t>
  </si>
  <si>
    <t>2604220445-000</t>
  </si>
  <si>
    <t>2604220447-000</t>
  </si>
  <si>
    <t>2604220466-000</t>
  </si>
  <si>
    <t>2604220480-000</t>
  </si>
  <si>
    <t>2604220491-000</t>
  </si>
  <si>
    <t>2604220502-000</t>
  </si>
  <si>
    <t>2604220507-000</t>
  </si>
  <si>
    <t>2604220515-000</t>
  </si>
  <si>
    <t>2604220518-000</t>
  </si>
  <si>
    <t>2604220526-000</t>
  </si>
  <si>
    <t>2604220529-000</t>
  </si>
  <si>
    <t>2604220535-000</t>
  </si>
  <si>
    <t>2604220538-000</t>
  </si>
  <si>
    <t>2604220541-000</t>
  </si>
  <si>
    <t>2604220549-000</t>
  </si>
  <si>
    <t>2604220562-000</t>
  </si>
  <si>
    <t>2604220565-000</t>
  </si>
  <si>
    <t>2604220568-000</t>
  </si>
  <si>
    <t>2604220578-000</t>
  </si>
  <si>
    <t>2604220584-000</t>
  </si>
  <si>
    <t>2604220588-000</t>
  </si>
  <si>
    <t>2604220593-000</t>
  </si>
  <si>
    <t>2604220594-000</t>
  </si>
  <si>
    <t>2604220601-000</t>
  </si>
  <si>
    <t>2604220612-000</t>
  </si>
  <si>
    <t>2604220624-000</t>
  </si>
  <si>
    <t>2604220636-000</t>
  </si>
  <si>
    <t>2604220639-000</t>
  </si>
  <si>
    <t>2604220647-000</t>
  </si>
  <si>
    <t>2604220651-000</t>
  </si>
  <si>
    <t>2604220652-000</t>
  </si>
  <si>
    <t>2604220663-000</t>
  </si>
  <si>
    <t>2604220673-000</t>
  </si>
  <si>
    <t>2604220682-000</t>
  </si>
  <si>
    <t>2604220683-000</t>
  </si>
  <si>
    <t>2604220688-000</t>
  </si>
  <si>
    <t>2604220690-000</t>
  </si>
  <si>
    <t>2604220692-000</t>
  </si>
  <si>
    <t>2604220702-000</t>
  </si>
  <si>
    <t>2604220704-000</t>
  </si>
  <si>
    <t>2604220705-000</t>
  </si>
  <si>
    <t>2604220715-000</t>
  </si>
  <si>
    <t>2604220741-000</t>
  </si>
  <si>
    <t>2604220743-000</t>
  </si>
  <si>
    <t>2604320902-000</t>
  </si>
  <si>
    <t>2604320905-000</t>
  </si>
  <si>
    <t>2604320906-000</t>
  </si>
  <si>
    <t>2604320911-000</t>
  </si>
  <si>
    <t>2604320912-000</t>
  </si>
  <si>
    <t>2604320914-000</t>
  </si>
  <si>
    <t>2604321904-000</t>
  </si>
  <si>
    <t>2604321905-000</t>
  </si>
  <si>
    <t>2604321909-000</t>
  </si>
  <si>
    <t>2604321913-000</t>
  </si>
  <si>
    <t>2604321914-000</t>
  </si>
  <si>
    <t>2604321917-000</t>
  </si>
  <si>
    <t>2604321920-000</t>
  </si>
  <si>
    <t>2604321921-000</t>
  </si>
  <si>
    <t>2604321923-000</t>
  </si>
  <si>
    <t>2604321925-000</t>
  </si>
  <si>
    <t>2604321928-000</t>
  </si>
  <si>
    <t>2604321930-000</t>
  </si>
  <si>
    <t>2604321941-000</t>
  </si>
  <si>
    <t>2604330016-000</t>
  </si>
  <si>
    <t>2604337003-000</t>
  </si>
  <si>
    <t>2604337005-000</t>
  </si>
  <si>
    <t>2604337012-000</t>
  </si>
  <si>
    <t>2604337016-000</t>
  </si>
  <si>
    <t>2604337034-000</t>
  </si>
  <si>
    <t>2604337054-000</t>
  </si>
  <si>
    <t>2604337060-000</t>
  </si>
  <si>
    <t>2604337061-000</t>
  </si>
  <si>
    <t>2604337085-000</t>
  </si>
  <si>
    <t>2604337086-000</t>
  </si>
  <si>
    <t>2604337087-000</t>
  </si>
  <si>
    <t>2604337091-000</t>
  </si>
  <si>
    <t>2604337118-000</t>
  </si>
  <si>
    <t>2604337902-000</t>
  </si>
  <si>
    <t>2604448001-000</t>
  </si>
  <si>
    <t>2604448005-000</t>
  </si>
  <si>
    <t>2604448034-000</t>
  </si>
  <si>
    <t>2604448118-000</t>
  </si>
  <si>
    <t>2604448137-000</t>
  </si>
  <si>
    <t>2604448181-000</t>
  </si>
  <si>
    <t>2604448335-000</t>
  </si>
  <si>
    <t>2604448336-000</t>
  </si>
  <si>
    <t>2604448343-000</t>
  </si>
  <si>
    <t>2604448368-000</t>
  </si>
  <si>
    <t>2604448382-000</t>
  </si>
  <si>
    <t>2604449026-000</t>
  </si>
  <si>
    <t>2604449027-000</t>
  </si>
  <si>
    <t>2604449055-000</t>
  </si>
  <si>
    <t>2604460107-000</t>
  </si>
  <si>
    <t>2604460277-000</t>
  </si>
  <si>
    <t>2604460300-000</t>
  </si>
  <si>
    <t>2604465035-000</t>
  </si>
  <si>
    <t>2604465075-000</t>
  </si>
  <si>
    <t>2604465077-000</t>
  </si>
  <si>
    <t>2604465081-000</t>
  </si>
  <si>
    <t>2604465086-000</t>
  </si>
  <si>
    <t>2604465097-000</t>
  </si>
  <si>
    <t>2604465099-000</t>
  </si>
  <si>
    <t>2604465110-000</t>
  </si>
  <si>
    <t>2604465111-000</t>
  </si>
  <si>
    <t>2604601004-000</t>
  </si>
  <si>
    <t>2604610007-000</t>
  </si>
  <si>
    <t>2604610009-000</t>
  </si>
  <si>
    <t>2604610026-000</t>
  </si>
  <si>
    <t>2604610028-000</t>
  </si>
  <si>
    <t>2604610032-000</t>
  </si>
  <si>
    <t>2604610033-000</t>
  </si>
  <si>
    <t>2604610034-000</t>
  </si>
  <si>
    <t>2604610038-000</t>
  </si>
  <si>
    <t>2604610039-000</t>
  </si>
  <si>
    <t>2604610040-000</t>
  </si>
  <si>
    <t>2604610042-000</t>
  </si>
  <si>
    <t>2604610045-000</t>
  </si>
  <si>
    <t>2604610047-000</t>
  </si>
  <si>
    <t>2604610140-000</t>
  </si>
  <si>
    <t>2604610152-000</t>
  </si>
  <si>
    <t>2604610156-000</t>
  </si>
  <si>
    <t>2604611002-000</t>
  </si>
  <si>
    <t>2604611010-000</t>
  </si>
  <si>
    <t>2604611016-000</t>
  </si>
  <si>
    <t>2604611023-000</t>
  </si>
  <si>
    <t>2604611024-000</t>
  </si>
  <si>
    <t>2604611025-000</t>
  </si>
  <si>
    <t>2604611026-000</t>
  </si>
  <si>
    <t>2604611033-000</t>
  </si>
  <si>
    <t>2604611040-000</t>
  </si>
  <si>
    <t>2604612005-000</t>
  </si>
  <si>
    <t>2604612006-000</t>
  </si>
  <si>
    <t>2604613000-000</t>
  </si>
  <si>
    <t>2604613004-000</t>
  </si>
  <si>
    <t>2604616002-000</t>
  </si>
  <si>
    <t>2604616005-000</t>
  </si>
  <si>
    <t>2604616006-000</t>
  </si>
  <si>
    <t>2604616013-000</t>
  </si>
  <si>
    <t>2604616014-000</t>
  </si>
  <si>
    <t>2604617000-000</t>
  </si>
  <si>
    <t>2604617001-000</t>
  </si>
  <si>
    <t>2604617002-000</t>
  </si>
  <si>
    <t>2604617004-000</t>
  </si>
  <si>
    <t>2604617005-000</t>
  </si>
  <si>
    <t>2604617006-000</t>
  </si>
  <si>
    <t>2604618014-000</t>
  </si>
  <si>
    <t>2604618015-000</t>
  </si>
  <si>
    <t>2604618020-000</t>
  </si>
  <si>
    <t>2604618021-000</t>
  </si>
  <si>
    <t>2604619009-000</t>
  </si>
  <si>
    <t>2604619013-000</t>
  </si>
  <si>
    <t>2604619016-000</t>
  </si>
  <si>
    <t>2604630000-000</t>
  </si>
  <si>
    <t>2604630001-000</t>
  </si>
  <si>
    <t>2604630002-000</t>
  </si>
  <si>
    <t>2604651007-000</t>
  </si>
  <si>
    <t>2604651009-000</t>
  </si>
  <si>
    <t>2604651011-000</t>
  </si>
  <si>
    <t>2604651016-000</t>
  </si>
  <si>
    <t>2604651020-000</t>
  </si>
  <si>
    <t>2604651026-000</t>
  </si>
  <si>
    <t>2604651034-000</t>
  </si>
  <si>
    <t>2604652000-000</t>
  </si>
  <si>
    <t>2604652009-000</t>
  </si>
  <si>
    <t>2604680000-000</t>
  </si>
  <si>
    <t>2604680002-000</t>
  </si>
  <si>
    <t>2604681001-000</t>
  </si>
  <si>
    <t>2604682001-000</t>
  </si>
  <si>
    <t>2604690007-000</t>
  </si>
  <si>
    <t>2604690022-000</t>
  </si>
  <si>
    <t>2604690026-000</t>
  </si>
  <si>
    <t>2604690043-000</t>
  </si>
  <si>
    <t>2604690055-000</t>
  </si>
  <si>
    <t>2604690056-000</t>
  </si>
  <si>
    <t>2604690067-000</t>
  </si>
  <si>
    <t>2604735002-000</t>
  </si>
  <si>
    <t>2604736001-000</t>
  </si>
  <si>
    <t>2604736003-000</t>
  </si>
  <si>
    <t>2604736004-000</t>
  </si>
  <si>
    <t>2604736018-000</t>
  </si>
  <si>
    <t>2605104116-000</t>
  </si>
  <si>
    <t>2605104142-000</t>
  </si>
  <si>
    <t>2605104180-000</t>
  </si>
  <si>
    <t>2605104214-000</t>
  </si>
  <si>
    <t>2605104215-000</t>
  </si>
  <si>
    <t>2605104227-000</t>
  </si>
  <si>
    <t>2605104238-000</t>
  </si>
  <si>
    <t>2605104253-000</t>
  </si>
  <si>
    <t>2605104254-000</t>
  </si>
  <si>
    <t>2605104270-000</t>
  </si>
  <si>
    <t>2605104309-000</t>
  </si>
  <si>
    <t>2605104316-000</t>
  </si>
  <si>
    <t>2605104332-000</t>
  </si>
  <si>
    <t>2605104338-000</t>
  </si>
  <si>
    <t>2605104339-000</t>
  </si>
  <si>
    <t>2605104344-000</t>
  </si>
  <si>
    <t>2605104375-000</t>
  </si>
  <si>
    <t>2605104388-000</t>
  </si>
  <si>
    <t>2605104408-000</t>
  </si>
  <si>
    <t>2605104410-000</t>
  </si>
  <si>
    <t>2605104424-000</t>
  </si>
  <si>
    <t>2605104436-000</t>
  </si>
  <si>
    <t>2605104437-000</t>
  </si>
  <si>
    <t>2605104438-000</t>
  </si>
  <si>
    <t>2605104442-000</t>
  </si>
  <si>
    <t>2605104474-000</t>
  </si>
  <si>
    <t>2605104506-000</t>
  </si>
  <si>
    <t>2605104509-000</t>
  </si>
  <si>
    <t>2605104510-000</t>
  </si>
  <si>
    <t>2605104512-000</t>
  </si>
  <si>
    <t>2605104526-000</t>
  </si>
  <si>
    <t>2605104538-000</t>
  </si>
  <si>
    <t>2605104540-000</t>
  </si>
  <si>
    <t>2605104544-000</t>
  </si>
  <si>
    <t>2605104548-000</t>
  </si>
  <si>
    <t>2605104549-000</t>
  </si>
  <si>
    <t>2605104557-000</t>
  </si>
  <si>
    <t>2605104561-000</t>
  </si>
  <si>
    <t>2605104565-000</t>
  </si>
  <si>
    <t>2605104575-000</t>
  </si>
  <si>
    <t>2605104581-000</t>
  </si>
  <si>
    <t>2605104599-000</t>
  </si>
  <si>
    <t>2605104604-000</t>
  </si>
  <si>
    <t>2605104637-000</t>
  </si>
  <si>
    <t>2605104640-000</t>
  </si>
  <si>
    <t>2605104641-000</t>
  </si>
  <si>
    <t>2605104648-000</t>
  </si>
  <si>
    <t>2605104649-000</t>
  </si>
  <si>
    <t>2605104650-000</t>
  </si>
  <si>
    <t>2605104652-000</t>
  </si>
  <si>
    <t>2605104658-000</t>
  </si>
  <si>
    <t>2605104661-000</t>
  </si>
  <si>
    <t>2605104711-000</t>
  </si>
  <si>
    <t>2605104719-000</t>
  </si>
  <si>
    <t>2605104741-000</t>
  </si>
  <si>
    <t>2605104773-000</t>
  </si>
  <si>
    <t>2605104776-000</t>
  </si>
  <si>
    <t>2605104790-000</t>
  </si>
  <si>
    <t>2605104796-000</t>
  </si>
  <si>
    <t>2605104811-000</t>
  </si>
  <si>
    <t>2605104813-000</t>
  </si>
  <si>
    <t>2605104825-000</t>
  </si>
  <si>
    <t>2605104826-000</t>
  </si>
  <si>
    <t>2605104828-000</t>
  </si>
  <si>
    <t>2605104837-000</t>
  </si>
  <si>
    <t>2605104856-000</t>
  </si>
  <si>
    <t>2605104865-000</t>
  </si>
  <si>
    <t>2605104866-000</t>
  </si>
  <si>
    <t>2605104888-000</t>
  </si>
  <si>
    <t>2605104892-000</t>
  </si>
  <si>
    <t>2605104894-000</t>
  </si>
  <si>
    <t>2605104897-000</t>
  </si>
  <si>
    <t>2605104902-000</t>
  </si>
  <si>
    <t>2605104949-000</t>
  </si>
  <si>
    <t>2605104961-000</t>
  </si>
  <si>
    <t>2605104965-000</t>
  </si>
  <si>
    <t>2605104976-000</t>
  </si>
  <si>
    <t>2605104980-000</t>
  </si>
  <si>
    <t>2605104982-000</t>
  </si>
  <si>
    <t>2605104994-000</t>
  </si>
  <si>
    <t>2605104997-000</t>
  </si>
  <si>
    <t>2605104998-000</t>
  </si>
  <si>
    <t>2605105000-000</t>
  </si>
  <si>
    <t>2605105001-000</t>
  </si>
  <si>
    <t>2605105002-000</t>
  </si>
  <si>
    <t>2605105016-000</t>
  </si>
  <si>
    <t>2605105023-000</t>
  </si>
  <si>
    <t>2605105033-000</t>
  </si>
  <si>
    <t>2605105036-000</t>
  </si>
  <si>
    <t>2605105037-000</t>
  </si>
  <si>
    <t>2605105045-000</t>
  </si>
  <si>
    <t>2605105101-000</t>
  </si>
  <si>
    <t>2605105106-000</t>
  </si>
  <si>
    <t>2605105112-000</t>
  </si>
  <si>
    <t>2605105128-000</t>
  </si>
  <si>
    <t>2605105134-000</t>
  </si>
  <si>
    <t>2605105140-000</t>
  </si>
  <si>
    <t>2605105177-000</t>
  </si>
  <si>
    <t>2605105217-000</t>
  </si>
  <si>
    <t>2605105218-000</t>
  </si>
  <si>
    <t>2605105221-000</t>
  </si>
  <si>
    <t>2605105901-000</t>
  </si>
  <si>
    <t>2605105903-000</t>
  </si>
  <si>
    <t>2605105904-000</t>
  </si>
  <si>
    <t>2605105905-000</t>
  </si>
  <si>
    <t>2605105906-000</t>
  </si>
  <si>
    <t>2605105912-000</t>
  </si>
  <si>
    <t>2605105914-000</t>
  </si>
  <si>
    <t>2605105921-000</t>
  </si>
  <si>
    <t>2605105922-000</t>
  </si>
  <si>
    <t>2605105964-000</t>
  </si>
  <si>
    <t>2605105966-000</t>
  </si>
  <si>
    <t>2605105967-000</t>
  </si>
  <si>
    <t>2605108051-000</t>
  </si>
  <si>
    <t>2605108083-000</t>
  </si>
  <si>
    <t>2605108904-000</t>
  </si>
  <si>
    <t>2605108908-000</t>
  </si>
  <si>
    <t>2605108912-000</t>
  </si>
  <si>
    <t>2605132025-000</t>
  </si>
  <si>
    <t>2605132049-000</t>
  </si>
  <si>
    <t>2605132050-000</t>
  </si>
  <si>
    <t>2605132055-000</t>
  </si>
  <si>
    <t>2605132061-000</t>
  </si>
  <si>
    <t>2605132073-000</t>
  </si>
  <si>
    <t>2605132901-000</t>
  </si>
  <si>
    <t>2605133014-000</t>
  </si>
  <si>
    <t>2605133022-000</t>
  </si>
  <si>
    <t>2605133024-000</t>
  </si>
  <si>
    <t>2605133027-000</t>
  </si>
  <si>
    <t>2605133029-000</t>
  </si>
  <si>
    <t>2605133032-000</t>
  </si>
  <si>
    <t>2605190014-000</t>
  </si>
  <si>
    <t>2605190037-000</t>
  </si>
  <si>
    <t>2605190130-000</t>
  </si>
  <si>
    <t>2605190219-000</t>
  </si>
  <si>
    <t>2605190442-000</t>
  </si>
  <si>
    <t>2605190895-000</t>
  </si>
  <si>
    <t>2605190901-000</t>
  </si>
  <si>
    <t>2605190904-000</t>
  </si>
  <si>
    <t>2605190905-000</t>
  </si>
  <si>
    <t>2605190908-000</t>
  </si>
  <si>
    <t>2605190914-000</t>
  </si>
  <si>
    <t>2605190917-000</t>
  </si>
  <si>
    <t>2605191323-000</t>
  </si>
  <si>
    <t>2605191328-000</t>
  </si>
  <si>
    <t>2605411228-000</t>
  </si>
  <si>
    <t>2605439016-000</t>
  </si>
  <si>
    <t>2605500017-000</t>
  </si>
  <si>
    <t>2605500028-000</t>
  </si>
  <si>
    <t>2605500042-000</t>
  </si>
  <si>
    <t>2605500054-000</t>
  </si>
  <si>
    <t>2605500056-000</t>
  </si>
  <si>
    <t>2605500077-000</t>
  </si>
  <si>
    <t>2605500078-000</t>
  </si>
  <si>
    <t>2605500083-000</t>
  </si>
  <si>
    <t>2605500099-000</t>
  </si>
  <si>
    <t>2605500100-000</t>
  </si>
  <si>
    <t>2605500105-000</t>
  </si>
  <si>
    <t>2605500124-000</t>
  </si>
  <si>
    <t>2605500125-000</t>
  </si>
  <si>
    <t>2605500138-000</t>
  </si>
  <si>
    <t>2605500142-000</t>
  </si>
  <si>
    <t>2605500149-000</t>
  </si>
  <si>
    <t>2605500163-000</t>
  </si>
  <si>
    <t>2605500166-000</t>
  </si>
  <si>
    <t>2605500168-000</t>
  </si>
  <si>
    <t>2605500169-000</t>
  </si>
  <si>
    <t>2605500178-000</t>
  </si>
  <si>
    <t>2605500181-000</t>
  </si>
  <si>
    <t>2605500189-000</t>
  </si>
  <si>
    <t>2605500196-000</t>
  </si>
  <si>
    <t>2605500203-000</t>
  </si>
  <si>
    <t>2605500207-000</t>
  </si>
  <si>
    <t>2605500208-000</t>
  </si>
  <si>
    <t>2605500209-000</t>
  </si>
  <si>
    <t>2605500230-000</t>
  </si>
  <si>
    <t>2605500900-000</t>
  </si>
  <si>
    <t>2605500907-000</t>
  </si>
  <si>
    <t>2605500908-000</t>
  </si>
  <si>
    <t>2605500910-000</t>
  </si>
  <si>
    <t>2605500911-000</t>
  </si>
  <si>
    <t>2605510007-000</t>
  </si>
  <si>
    <t>2605510008-000</t>
  </si>
  <si>
    <t>2605510039-000</t>
  </si>
  <si>
    <t>2605510041-000</t>
  </si>
  <si>
    <t>2605510052-000</t>
  </si>
  <si>
    <t>2605510063-000</t>
  </si>
  <si>
    <t>2605510064-000</t>
  </si>
  <si>
    <t>2605510130-000</t>
  </si>
  <si>
    <t>2605510135-000</t>
  </si>
  <si>
    <t>2605510136-000</t>
  </si>
  <si>
    <t>2605510143-000</t>
  </si>
  <si>
    <t>2605510159-000</t>
  </si>
  <si>
    <t>2605510160-000</t>
  </si>
  <si>
    <t>2605510169-000</t>
  </si>
  <si>
    <t>2605510170-000</t>
  </si>
  <si>
    <t>2605510205-000</t>
  </si>
  <si>
    <t>2605510206-000</t>
  </si>
  <si>
    <t>2605510207-000</t>
  </si>
  <si>
    <t>2605510208-000</t>
  </si>
  <si>
    <t>2605510255-000</t>
  </si>
  <si>
    <t>2605510293-000</t>
  </si>
  <si>
    <t>2605510323-000</t>
  </si>
  <si>
    <t>2605700015-000</t>
  </si>
  <si>
    <t>2605700052-000</t>
  </si>
  <si>
    <t>2605700215-000</t>
  </si>
  <si>
    <t>2605700219-000</t>
  </si>
  <si>
    <t>2605700221-000</t>
  </si>
  <si>
    <t>2605700231-000</t>
  </si>
  <si>
    <t>2605700908-000</t>
  </si>
  <si>
    <t>2605700918-000</t>
  </si>
  <si>
    <t>2605700920-000</t>
  </si>
  <si>
    <t>2605700936-000</t>
  </si>
  <si>
    <t>2605700940-000</t>
  </si>
  <si>
    <t>2605700943-000</t>
  </si>
  <si>
    <t>2605703023-000</t>
  </si>
  <si>
    <t>2605703900-000</t>
  </si>
  <si>
    <t>2605719001-000</t>
  </si>
  <si>
    <t>2605719003-000</t>
  </si>
  <si>
    <t>2605719008-000</t>
  </si>
  <si>
    <t>2605719011-000</t>
  </si>
  <si>
    <t>2605719027-000</t>
  </si>
  <si>
    <t>2605719028-000</t>
  </si>
  <si>
    <t>2605719033-000</t>
  </si>
  <si>
    <t>2605719049-000</t>
  </si>
  <si>
    <t>2605719051-000</t>
  </si>
  <si>
    <t>2605719901-000</t>
  </si>
  <si>
    <t>2605730038-000</t>
  </si>
  <si>
    <t>2605730055-000</t>
  </si>
  <si>
    <t>2605730067-000</t>
  </si>
  <si>
    <t>2605801015-000</t>
  </si>
  <si>
    <t>2605801018-000</t>
  </si>
  <si>
    <t>2605801044-000</t>
  </si>
  <si>
    <t>2605801900-000</t>
  </si>
  <si>
    <t>2605801901-000</t>
  </si>
  <si>
    <t>2605801902-000</t>
  </si>
  <si>
    <t>2605805004-000</t>
  </si>
  <si>
    <t>2605805005-000</t>
  </si>
  <si>
    <t>2605805008-000</t>
  </si>
  <si>
    <t>2605805009-000</t>
  </si>
  <si>
    <t>2605806014-000</t>
  </si>
  <si>
    <t>2605806032-000</t>
  </si>
  <si>
    <t>2605806082-000</t>
  </si>
  <si>
    <t>2605806280-000</t>
  </si>
  <si>
    <t>2605806312-000</t>
  </si>
  <si>
    <t>2605806365-000</t>
  </si>
  <si>
    <t>2605806366-000</t>
  </si>
  <si>
    <t>2605806375-000</t>
  </si>
  <si>
    <t>2605806376-000</t>
  </si>
  <si>
    <t>2605806394-000</t>
  </si>
  <si>
    <t>2605806412-000</t>
  </si>
  <si>
    <t>2605806428-000</t>
  </si>
  <si>
    <t>2605806881-000</t>
  </si>
  <si>
    <t>2605806889-000</t>
  </si>
  <si>
    <t>2605806892-000</t>
  </si>
  <si>
    <t>2605806896-000</t>
  </si>
  <si>
    <t>2605806897-000</t>
  </si>
  <si>
    <t>2605806916-000</t>
  </si>
  <si>
    <t>2605806918-000</t>
  </si>
  <si>
    <t>2605806919-000</t>
  </si>
  <si>
    <t>2605806968-000</t>
  </si>
  <si>
    <t>2605806989-000</t>
  </si>
  <si>
    <t>2605806990-000</t>
  </si>
  <si>
    <t>2605806997-000</t>
  </si>
  <si>
    <t>2605807000-000</t>
  </si>
  <si>
    <t>2605807010-000</t>
  </si>
  <si>
    <t>2605807016-000</t>
  </si>
  <si>
    <t>2605807049-000</t>
  </si>
  <si>
    <t>2605807050-000</t>
  </si>
  <si>
    <t>2605807060-000</t>
  </si>
  <si>
    <t>2605807080-000</t>
  </si>
  <si>
    <t>2605807082-000</t>
  </si>
  <si>
    <t>2605807093-000</t>
  </si>
  <si>
    <t>2605807095-000</t>
  </si>
  <si>
    <t>2605807108-000</t>
  </si>
  <si>
    <t>2605807109-000</t>
  </si>
  <si>
    <t>2605807902-000</t>
  </si>
  <si>
    <t>2605807904-000</t>
  </si>
  <si>
    <t>2605807905-000</t>
  </si>
  <si>
    <t>2605807906-000</t>
  </si>
  <si>
    <t>2605807908-000</t>
  </si>
  <si>
    <t>2605807910-000</t>
  </si>
  <si>
    <t>2605807915-000</t>
  </si>
  <si>
    <t>2605807917-000</t>
  </si>
  <si>
    <t>2605807918-000</t>
  </si>
  <si>
    <t>2605807921-000</t>
  </si>
  <si>
    <t>2605807926-000</t>
  </si>
  <si>
    <t>2605807930-000</t>
  </si>
  <si>
    <t>2605807932-000</t>
  </si>
  <si>
    <t>2605807935-000</t>
  </si>
  <si>
    <t>2605807936-000</t>
  </si>
  <si>
    <t>2605807937-000</t>
  </si>
  <si>
    <t>2605807946-000</t>
  </si>
  <si>
    <t>2605808054-000</t>
  </si>
  <si>
    <t>2605808080-000</t>
  </si>
  <si>
    <t>2605808081-000</t>
  </si>
  <si>
    <t>2605808084-000</t>
  </si>
  <si>
    <t>2605808900-000</t>
  </si>
  <si>
    <t>2605808910-000</t>
  </si>
  <si>
    <t>2605808917-000</t>
  </si>
  <si>
    <t>2605808920-000</t>
  </si>
  <si>
    <t>2605808921-000</t>
  </si>
  <si>
    <t>2605808922-000</t>
  </si>
  <si>
    <t>2605808927-000</t>
  </si>
  <si>
    <t>2605808929-000</t>
  </si>
  <si>
    <t>2605808934-000</t>
  </si>
  <si>
    <t>2605819004-000</t>
  </si>
  <si>
    <t>2605819011-000</t>
  </si>
  <si>
    <t>2605819012-000</t>
  </si>
  <si>
    <t>2605820022-000</t>
  </si>
  <si>
    <t>2606100057-000</t>
  </si>
  <si>
    <t>2606100061-000</t>
  </si>
  <si>
    <t>2606100900-000</t>
  </si>
  <si>
    <t>2606100903-000</t>
  </si>
  <si>
    <t>2606100904-000</t>
  </si>
  <si>
    <t>2606100906-000</t>
  </si>
  <si>
    <t>2606100913-000</t>
  </si>
  <si>
    <t>2606100921-000</t>
  </si>
  <si>
    <t>2606100922-000</t>
  </si>
  <si>
    <t>2606110000-000</t>
  </si>
  <si>
    <t>2606110001-000</t>
  </si>
  <si>
    <t>2606122002-000</t>
  </si>
  <si>
    <t>2606122003-000</t>
  </si>
  <si>
    <t>2606122900-000</t>
  </si>
  <si>
    <t>2606122901-000</t>
  </si>
  <si>
    <t>2606135000-000</t>
  </si>
  <si>
    <t>2606135005-000</t>
  </si>
  <si>
    <t>2606135011-000</t>
  </si>
  <si>
    <t>2606135012-000</t>
  </si>
  <si>
    <t>2606135018-000</t>
  </si>
  <si>
    <t>2606135022-000</t>
  </si>
  <si>
    <t>2606135033-000</t>
  </si>
  <si>
    <t>2606135034-000</t>
  </si>
  <si>
    <t>2606135045-000</t>
  </si>
  <si>
    <t>2606135070-000</t>
  </si>
  <si>
    <t>2606135130-000</t>
  </si>
  <si>
    <t>2606135901-000</t>
  </si>
  <si>
    <t>2606135913-000</t>
  </si>
  <si>
    <t>2606135923-000</t>
  </si>
  <si>
    <t>2606135929-000</t>
  </si>
  <si>
    <t>2606135932-000</t>
  </si>
  <si>
    <t>2606200047-000</t>
  </si>
  <si>
    <t>2606200054-000</t>
  </si>
  <si>
    <t>2606200065-000</t>
  </si>
  <si>
    <t>2606200073-000</t>
  </si>
  <si>
    <t>2606200078-000</t>
  </si>
  <si>
    <t>2606200090-000</t>
  </si>
  <si>
    <t>2606200186-000</t>
  </si>
  <si>
    <t>2606200196-000</t>
  </si>
  <si>
    <t>2606200209-000</t>
  </si>
  <si>
    <t>2606200225-000</t>
  </si>
  <si>
    <t>2606200229-000</t>
  </si>
  <si>
    <t>2606200237-000</t>
  </si>
  <si>
    <t>2606200250-000</t>
  </si>
  <si>
    <t>2606200254-000</t>
  </si>
  <si>
    <t>2606200257-000</t>
  </si>
  <si>
    <t>2606200258-000</t>
  </si>
  <si>
    <t>2606200259-000</t>
  </si>
  <si>
    <t>2606200262-000</t>
  </si>
  <si>
    <t>2606200263-000</t>
  </si>
  <si>
    <t>2606200908-000</t>
  </si>
  <si>
    <t>2606200910-000</t>
  </si>
  <si>
    <t>2606200923-000</t>
  </si>
  <si>
    <t>2606200928-000</t>
  </si>
  <si>
    <t>2606200929-000</t>
  </si>
  <si>
    <t>2606200932-000</t>
  </si>
  <si>
    <t>2606200940-000</t>
  </si>
  <si>
    <t>2606200953-000</t>
  </si>
  <si>
    <t>2606200954-000</t>
  </si>
  <si>
    <t>2606200955-000</t>
  </si>
  <si>
    <t>2606308024-000</t>
  </si>
  <si>
    <t>2606308914-000</t>
  </si>
  <si>
    <t>2606308915-000</t>
  </si>
  <si>
    <t>2606308925-000</t>
  </si>
  <si>
    <t>2606309003-000</t>
  </si>
  <si>
    <t>2606309007-000</t>
  </si>
  <si>
    <t>2606309013-000</t>
  </si>
  <si>
    <t>2606309027-000</t>
  </si>
  <si>
    <t>2606309045-000</t>
  </si>
  <si>
    <t>2606309904-000</t>
  </si>
  <si>
    <t>2606309918-000</t>
  </si>
  <si>
    <t>2606309928-000</t>
  </si>
  <si>
    <t>2606309934-000</t>
  </si>
  <si>
    <t>2606316077-000</t>
  </si>
  <si>
    <t>2606316092-000</t>
  </si>
  <si>
    <t>2606316102-000</t>
  </si>
  <si>
    <t>2606316107-000</t>
  </si>
  <si>
    <t>2606316112-000</t>
  </si>
  <si>
    <t>2606316116-000</t>
  </si>
  <si>
    <t>2606316127-000</t>
  </si>
  <si>
    <t>2606316144-000</t>
  </si>
  <si>
    <t>2606316147-000</t>
  </si>
  <si>
    <t>2606316148-000</t>
  </si>
  <si>
    <t>2606316149-000</t>
  </si>
  <si>
    <t>2606316158-000</t>
  </si>
  <si>
    <t>2606316161-000</t>
  </si>
  <si>
    <t>2606316163-000</t>
  </si>
  <si>
    <t>2606316164-000</t>
  </si>
  <si>
    <t>2606316180-000</t>
  </si>
  <si>
    <t>2606316181-000</t>
  </si>
  <si>
    <t>2606316182-000</t>
  </si>
  <si>
    <t>2606316188-000</t>
  </si>
  <si>
    <t>2606316224-000</t>
  </si>
  <si>
    <t>2606316226-000</t>
  </si>
  <si>
    <t>2606316229-000</t>
  </si>
  <si>
    <t>2606316316-000</t>
  </si>
  <si>
    <t>2606316900-000</t>
  </si>
  <si>
    <t>2606317001-000</t>
  </si>
  <si>
    <t>2606317014-000</t>
  </si>
  <si>
    <t>2606317026-000</t>
  </si>
  <si>
    <t>2606317037-000</t>
  </si>
  <si>
    <t>2606317045-000</t>
  </si>
  <si>
    <t>2606317055-000</t>
  </si>
  <si>
    <t>2606317084-000</t>
  </si>
  <si>
    <t>2606317085-000</t>
  </si>
  <si>
    <t>2606319007-000</t>
  </si>
  <si>
    <t>2606319040-000</t>
  </si>
  <si>
    <t>2606319069-000</t>
  </si>
  <si>
    <t>2606319070-000</t>
  </si>
  <si>
    <t>2606319073-000</t>
  </si>
  <si>
    <t>2606319074-000</t>
  </si>
  <si>
    <t>2606319080-000</t>
  </si>
  <si>
    <t>2606319085-000</t>
  </si>
  <si>
    <t>2606319086-000</t>
  </si>
  <si>
    <t>2606319900-000</t>
  </si>
  <si>
    <t>2606319901-000</t>
  </si>
  <si>
    <t>2606320001-000</t>
  </si>
  <si>
    <t>2606320006-000</t>
  </si>
  <si>
    <t>2606320021-000</t>
  </si>
  <si>
    <t>2606320039-000</t>
  </si>
  <si>
    <t>2606320040-000</t>
  </si>
  <si>
    <t>2606320043-000</t>
  </si>
  <si>
    <t>2606320047-000</t>
  </si>
  <si>
    <t>2606320048-000</t>
  </si>
  <si>
    <t>2606320050-000</t>
  </si>
  <si>
    <t>2606320051-000</t>
  </si>
  <si>
    <t>2606320054-000</t>
  </si>
  <si>
    <t>2606320055-000</t>
  </si>
  <si>
    <t>2606320056-000</t>
  </si>
  <si>
    <t>2606320062-000</t>
  </si>
  <si>
    <t>2606320088-000</t>
  </si>
  <si>
    <t>2606320092-000</t>
  </si>
  <si>
    <t>2606320099-000</t>
  </si>
  <si>
    <t>2606320101-000</t>
  </si>
  <si>
    <t>2606320900-000</t>
  </si>
  <si>
    <t>2606320903-000</t>
  </si>
  <si>
    <t>2606320904-000</t>
  </si>
  <si>
    <t>2606325003-000</t>
  </si>
  <si>
    <t>2606325004-000</t>
  </si>
  <si>
    <t>2606328900-000</t>
  </si>
  <si>
    <t>2606328901-000</t>
  </si>
  <si>
    <t>2606329001-000</t>
  </si>
  <si>
    <t>2606333024-000</t>
  </si>
  <si>
    <t>2606333025-000</t>
  </si>
  <si>
    <t>2606333901-000</t>
  </si>
  <si>
    <t>2606334040-000</t>
  </si>
  <si>
    <t>2606334902-000</t>
  </si>
  <si>
    <t>2606338001-000</t>
  </si>
  <si>
    <t>2606338002-000</t>
  </si>
  <si>
    <t>2606440000-000</t>
  </si>
  <si>
    <t>2606445010-000</t>
  </si>
  <si>
    <t>2606445016-000</t>
  </si>
  <si>
    <t>2606445901-000</t>
  </si>
  <si>
    <t>2606446001-000</t>
  </si>
  <si>
    <t>2606446002-000</t>
  </si>
  <si>
    <t>2606490027-000</t>
  </si>
  <si>
    <t>2606490031-000</t>
  </si>
  <si>
    <t>2606490036-000</t>
  </si>
  <si>
    <t>2606490040-000</t>
  </si>
  <si>
    <t>2606490047-000</t>
  </si>
  <si>
    <t>2606490053-000</t>
  </si>
  <si>
    <t>2606490056-000</t>
  </si>
  <si>
    <t>2606490060-000</t>
  </si>
  <si>
    <t>2606490088-000</t>
  </si>
  <si>
    <t>2606490900-000</t>
  </si>
  <si>
    <t>2606490913-000</t>
  </si>
  <si>
    <t>2606491007-000</t>
  </si>
  <si>
    <t>2606491008-000</t>
  </si>
  <si>
    <t>2606491010-000</t>
  </si>
  <si>
    <t>2606491011-000</t>
  </si>
  <si>
    <t>2606491014-000</t>
  </si>
  <si>
    <t>2606491917-000</t>
  </si>
  <si>
    <t>2606600900-000</t>
  </si>
  <si>
    <t>2606610013-000</t>
  </si>
  <si>
    <t>2606610016-000</t>
  </si>
  <si>
    <t>2606610022-000</t>
  </si>
  <si>
    <t>2606610026-000</t>
  </si>
  <si>
    <t>2606610027-000</t>
  </si>
  <si>
    <t>2606610029-000</t>
  </si>
  <si>
    <t>2606610041-000</t>
  </si>
  <si>
    <t>2606610043-000</t>
  </si>
  <si>
    <t>2606610049-000</t>
  </si>
  <si>
    <t>2606610052-000</t>
  </si>
  <si>
    <t>2606610055-000</t>
  </si>
  <si>
    <t>2606610066-000</t>
  </si>
  <si>
    <t>2606610072-000</t>
  </si>
  <si>
    <t>2606610076-000</t>
  </si>
  <si>
    <t>2606610079-000</t>
  </si>
  <si>
    <t>2606610086-000</t>
  </si>
  <si>
    <t>2606610089-000</t>
  </si>
  <si>
    <t>2606610090-000</t>
  </si>
  <si>
    <t>2606610093-000</t>
  </si>
  <si>
    <t>2606610096-000</t>
  </si>
  <si>
    <t>2606610113-000</t>
  </si>
  <si>
    <t>2606610116-000</t>
  </si>
  <si>
    <t>2606610123-000</t>
  </si>
  <si>
    <t>2606610900-000</t>
  </si>
  <si>
    <t>2606610901-000</t>
  </si>
  <si>
    <t>2606610903-000</t>
  </si>
  <si>
    <t>2606621001-000</t>
  </si>
  <si>
    <t>2606621011-000</t>
  </si>
  <si>
    <t>2606625001-000</t>
  </si>
  <si>
    <t>2606625002-000</t>
  </si>
  <si>
    <t>2606625005-000</t>
  </si>
  <si>
    <t>2606625006-000</t>
  </si>
  <si>
    <t>2606625009-000</t>
  </si>
  <si>
    <t>2606625014-000</t>
  </si>
  <si>
    <t>2606625015-000</t>
  </si>
  <si>
    <t>2606625026-000</t>
  </si>
  <si>
    <t>2606625030-000</t>
  </si>
  <si>
    <t>2606625032-000</t>
  </si>
  <si>
    <t>2606625034-000</t>
  </si>
  <si>
    <t>2606625041-000</t>
  </si>
  <si>
    <t>2606625900-000</t>
  </si>
  <si>
    <t>2606625902-000</t>
  </si>
  <si>
    <t>2606625903-000</t>
  </si>
  <si>
    <t>2606625904-000</t>
  </si>
  <si>
    <t>2606625905-000</t>
  </si>
  <si>
    <t>2606625906-000</t>
  </si>
  <si>
    <t>2606625907-000</t>
  </si>
  <si>
    <t>2606625908-000</t>
  </si>
  <si>
    <t>2606625909-000</t>
  </si>
  <si>
    <t>2606625910-000</t>
  </si>
  <si>
    <t>2607000179-000</t>
  </si>
  <si>
    <t>2607000239-000</t>
  </si>
  <si>
    <t>2607001018-000</t>
  </si>
  <si>
    <t>2607001039-000</t>
  </si>
  <si>
    <t>2607001047-000</t>
  </si>
  <si>
    <t>2607001118-000</t>
  </si>
  <si>
    <t>2607001126-000</t>
  </si>
  <si>
    <t>2607001130-000</t>
  </si>
  <si>
    <t>2607001239-000</t>
  </si>
  <si>
    <t>2607001272-000</t>
  </si>
  <si>
    <t>2607001273-000</t>
  </si>
  <si>
    <t>2607001305-000</t>
  </si>
  <si>
    <t>2607001315-000</t>
  </si>
  <si>
    <t>2607001338-000</t>
  </si>
  <si>
    <t>2607001443-000</t>
  </si>
  <si>
    <t>2607001903-000</t>
  </si>
  <si>
    <t>2607010004-000</t>
  </si>
  <si>
    <t>2607014001-000</t>
  </si>
  <si>
    <t>2607014004-000</t>
  </si>
  <si>
    <t>2607014005-000</t>
  </si>
  <si>
    <t>2607014007-000</t>
  </si>
  <si>
    <t>2607014010-000</t>
  </si>
  <si>
    <t>2607014011-000</t>
  </si>
  <si>
    <t>2607014014-000</t>
  </si>
  <si>
    <t>2607014016-000</t>
  </si>
  <si>
    <t>2607020396-000</t>
  </si>
  <si>
    <t>2607022083-000</t>
  </si>
  <si>
    <t>2607022319-000</t>
  </si>
  <si>
    <t>2607022831-000</t>
  </si>
  <si>
    <t>2607022832-000</t>
  </si>
  <si>
    <t>2607022833-000</t>
  </si>
  <si>
    <t>2607022838-000</t>
  </si>
  <si>
    <t>2607022840-000</t>
  </si>
  <si>
    <t>2607022842-000</t>
  </si>
  <si>
    <t>2607022862-000</t>
  </si>
  <si>
    <t>2607022871-000</t>
  </si>
  <si>
    <t>2607022881-000</t>
  </si>
  <si>
    <t>2607022887-000</t>
  </si>
  <si>
    <t>2607022888-000</t>
  </si>
  <si>
    <t>2607022892-000</t>
  </si>
  <si>
    <t>2607022900-000</t>
  </si>
  <si>
    <t>2607022902-000</t>
  </si>
  <si>
    <t>2607022905-000</t>
  </si>
  <si>
    <t>2607022929-000</t>
  </si>
  <si>
    <t>2607022934-000</t>
  </si>
  <si>
    <t>2607022941-000</t>
  </si>
  <si>
    <t>2607022943-000</t>
  </si>
  <si>
    <t>2607022949-000</t>
  </si>
  <si>
    <t>2607022957-000</t>
  </si>
  <si>
    <t>2607022961-000</t>
  </si>
  <si>
    <t>2607022962-000</t>
  </si>
  <si>
    <t>2607022969-000</t>
  </si>
  <si>
    <t>2607022974-000</t>
  </si>
  <si>
    <t>2607022975-000</t>
  </si>
  <si>
    <t>2607022978-000</t>
  </si>
  <si>
    <t>2607022988-000</t>
  </si>
  <si>
    <t>2607022990-000</t>
  </si>
  <si>
    <t>2607034900-000</t>
  </si>
  <si>
    <t>2607034901-000</t>
  </si>
  <si>
    <t>2607034902-000</t>
  </si>
  <si>
    <t>2607034904-000</t>
  </si>
  <si>
    <t>2607200039-000</t>
  </si>
  <si>
    <t>2607200045-000</t>
  </si>
  <si>
    <t>2607200048-000</t>
  </si>
  <si>
    <t>2607200076-000</t>
  </si>
  <si>
    <t>2607200084-000</t>
  </si>
  <si>
    <t>2607200093-000</t>
  </si>
  <si>
    <t>2607200094-000</t>
  </si>
  <si>
    <t>2607200104-000</t>
  </si>
  <si>
    <t>2607200109-000</t>
  </si>
  <si>
    <t>2607200110-000</t>
  </si>
  <si>
    <t>2607200126-000</t>
  </si>
  <si>
    <t>2607200137-000</t>
  </si>
  <si>
    <t>2607200147-000</t>
  </si>
  <si>
    <t>2607200164-000</t>
  </si>
  <si>
    <t>2607200184-000</t>
  </si>
  <si>
    <t>2607200192-000</t>
  </si>
  <si>
    <t>2607200193-000</t>
  </si>
  <si>
    <t>2607200196-000</t>
  </si>
  <si>
    <t>2607200199-000</t>
  </si>
  <si>
    <t>2607200207-000</t>
  </si>
  <si>
    <t>2607200209-000</t>
  </si>
  <si>
    <t>2607200218-000</t>
  </si>
  <si>
    <t>2607200238-000</t>
  </si>
  <si>
    <t>2607200245-000</t>
  </si>
  <si>
    <t>2607200248-000</t>
  </si>
  <si>
    <t>2607200260-000</t>
  </si>
  <si>
    <t>2607200261-000</t>
  </si>
  <si>
    <t>2607200282-000</t>
  </si>
  <si>
    <t>2607200286-000</t>
  </si>
  <si>
    <t>2607200294-000</t>
  </si>
  <si>
    <t>2607200302-000</t>
  </si>
  <si>
    <t>2607200309-000</t>
  </si>
  <si>
    <t>2607200316-000</t>
  </si>
  <si>
    <t>2607200327-000</t>
  </si>
  <si>
    <t>2607200328-000</t>
  </si>
  <si>
    <t>2607200329-000</t>
  </si>
  <si>
    <t>2607200338-000</t>
  </si>
  <si>
    <t>2607200345-000</t>
  </si>
  <si>
    <t>2607200351-000</t>
  </si>
  <si>
    <t>2607200353-000</t>
  </si>
  <si>
    <t>2607200367-000</t>
  </si>
  <si>
    <t>2607200371-000</t>
  </si>
  <si>
    <t>2607200373-000</t>
  </si>
  <si>
    <t>2607200376-000</t>
  </si>
  <si>
    <t>2607200384-000</t>
  </si>
  <si>
    <t>2607200404-000</t>
  </si>
  <si>
    <t>2607200413-000</t>
  </si>
  <si>
    <t>2607200421-000</t>
  </si>
  <si>
    <t>2607200430-000</t>
  </si>
  <si>
    <t>2607200436-000</t>
  </si>
  <si>
    <t>2607200437-000</t>
  </si>
  <si>
    <t>2607200451-000</t>
  </si>
  <si>
    <t>2607200456-000</t>
  </si>
  <si>
    <t>2607200457-000</t>
  </si>
  <si>
    <t>2607200458-000</t>
  </si>
  <si>
    <t>2607200461-000</t>
  </si>
  <si>
    <t>2607200462-000</t>
  </si>
  <si>
    <t>2607200463-000</t>
  </si>
  <si>
    <t>2607200489-000</t>
  </si>
  <si>
    <t>2607200500-000</t>
  </si>
  <si>
    <t>2607200506-000</t>
  </si>
  <si>
    <t>2607200512-000</t>
  </si>
  <si>
    <t>2607200519-000</t>
  </si>
  <si>
    <t>2607200523-000</t>
  </si>
  <si>
    <t>2607200526-000</t>
  </si>
  <si>
    <t>2607200527-000</t>
  </si>
  <si>
    <t>2607200531-000</t>
  </si>
  <si>
    <t>2607200534-000</t>
  </si>
  <si>
    <t>2607200542-000</t>
  </si>
  <si>
    <t>2607200556-000</t>
  </si>
  <si>
    <t>2607200567-000</t>
  </si>
  <si>
    <t>2607200568-000</t>
  </si>
  <si>
    <t>2607200576-000</t>
  </si>
  <si>
    <t>2607200581-000</t>
  </si>
  <si>
    <t>2607200584-000</t>
  </si>
  <si>
    <t>2607200585-000</t>
  </si>
  <si>
    <t>2607200590-000</t>
  </si>
  <si>
    <t>2607200602-000</t>
  </si>
  <si>
    <t>2607200603-000</t>
  </si>
  <si>
    <t>2607200624-000</t>
  </si>
  <si>
    <t>2607200632-000</t>
  </si>
  <si>
    <t>2607200637-000</t>
  </si>
  <si>
    <t>2607200644-000</t>
  </si>
  <si>
    <t>2607200648-000</t>
  </si>
  <si>
    <t>2607200660-000</t>
  </si>
  <si>
    <t>2607200669-000</t>
  </si>
  <si>
    <t>2607200670-000</t>
  </si>
  <si>
    <t>2607200674-000</t>
  </si>
  <si>
    <t>2607200678-000</t>
  </si>
  <si>
    <t>2607200686-000</t>
  </si>
  <si>
    <t>2607200689-000</t>
  </si>
  <si>
    <t>2607200714-000</t>
  </si>
  <si>
    <t>2607200715-000</t>
  </si>
  <si>
    <t>2607200717-000</t>
  </si>
  <si>
    <t>2607200718-000</t>
  </si>
  <si>
    <t>2607200919-000</t>
  </si>
  <si>
    <t>2607200920-000</t>
  </si>
  <si>
    <t>2607202014-000</t>
  </si>
  <si>
    <t>2607202015-000</t>
  </si>
  <si>
    <t>2607202069-000</t>
  </si>
  <si>
    <t>2607202071-000</t>
  </si>
  <si>
    <t>2607202084-000</t>
  </si>
  <si>
    <t>2607202312-000</t>
  </si>
  <si>
    <t>2607202322-000</t>
  </si>
  <si>
    <t>2607202328-000</t>
  </si>
  <si>
    <t>2607202329-000</t>
  </si>
  <si>
    <t>2607202355-000</t>
  </si>
  <si>
    <t>2607202358-000</t>
  </si>
  <si>
    <t>2607202360-000</t>
  </si>
  <si>
    <t>2607202377-000</t>
  </si>
  <si>
    <t>2607202381-000</t>
  </si>
  <si>
    <t>2607202385-000</t>
  </si>
  <si>
    <t>2607202386-000</t>
  </si>
  <si>
    <t>2607202394-000</t>
  </si>
  <si>
    <t>2607202399-000</t>
  </si>
  <si>
    <t>2607202501-000</t>
  </si>
  <si>
    <t>2607202509-000</t>
  </si>
  <si>
    <t>2607202510-000</t>
  </si>
  <si>
    <t>2607202753-000</t>
  </si>
  <si>
    <t>2607202902-000</t>
  </si>
  <si>
    <t>2607224440-000</t>
  </si>
  <si>
    <t>2607224701-000</t>
  </si>
  <si>
    <t>2607225027-000</t>
  </si>
  <si>
    <t>2607225123-000</t>
  </si>
  <si>
    <t>2607225317-000</t>
  </si>
  <si>
    <t>2607225323-000</t>
  </si>
  <si>
    <t>2607225493-000</t>
  </si>
  <si>
    <t>2607225513-000</t>
  </si>
  <si>
    <t>2607225533-000</t>
  </si>
  <si>
    <t>2607225575-000</t>
  </si>
  <si>
    <t>2607225697-000</t>
  </si>
  <si>
    <t>2607225705-000</t>
  </si>
  <si>
    <t>2607225711-000</t>
  </si>
  <si>
    <t>2607225751-000</t>
  </si>
  <si>
    <t>2607225783-000</t>
  </si>
  <si>
    <t>2607226089-000</t>
  </si>
  <si>
    <t>2607226187-000</t>
  </si>
  <si>
    <t>2607226201-000</t>
  </si>
  <si>
    <t>2607230011-000</t>
  </si>
  <si>
    <t>2607230013-000</t>
  </si>
  <si>
    <t>2607230018-000</t>
  </si>
  <si>
    <t>2607230025-000</t>
  </si>
  <si>
    <t>2607230039-000</t>
  </si>
  <si>
    <t>2607230042-000</t>
  </si>
  <si>
    <t>2607230044-000</t>
  </si>
  <si>
    <t>2607230082-000</t>
  </si>
  <si>
    <t>2607230086-000</t>
  </si>
  <si>
    <t>2607230119-000</t>
  </si>
  <si>
    <t>2607230121-000</t>
  </si>
  <si>
    <t>2607230126-000</t>
  </si>
  <si>
    <t>2607233017-000</t>
  </si>
  <si>
    <t>2607233019-000</t>
  </si>
  <si>
    <t>2607233025-000</t>
  </si>
  <si>
    <t>2607233029-000</t>
  </si>
  <si>
    <t>2607233052-000</t>
  </si>
  <si>
    <t>2607233064-000</t>
  </si>
  <si>
    <t>2607233071-000</t>
  </si>
  <si>
    <t>2607233073-000</t>
  </si>
  <si>
    <t>2607235007-000</t>
  </si>
  <si>
    <t>2607235008-000</t>
  </si>
  <si>
    <t>2607329056-000</t>
  </si>
  <si>
    <t>2607329114-000</t>
  </si>
  <si>
    <t>2607329117-000</t>
  </si>
  <si>
    <t>2607329118-000</t>
  </si>
  <si>
    <t>2607329124-000</t>
  </si>
  <si>
    <t>2607329138-000</t>
  </si>
  <si>
    <t>2607329148-000</t>
  </si>
  <si>
    <t>2607329150-000</t>
  </si>
  <si>
    <t>2607329151-000</t>
  </si>
  <si>
    <t>2607335373-000</t>
  </si>
  <si>
    <t>2607335375-000</t>
  </si>
  <si>
    <t>2607335437-000</t>
  </si>
  <si>
    <t>2607335445-000</t>
  </si>
  <si>
    <t>2607335534-000</t>
  </si>
  <si>
    <t>2607335540-000</t>
  </si>
  <si>
    <t>2607335565-000</t>
  </si>
  <si>
    <t>2607335707-000</t>
  </si>
  <si>
    <t>2607335713-000</t>
  </si>
  <si>
    <t>2607335877-000</t>
  </si>
  <si>
    <t>2607336013-000</t>
  </si>
  <si>
    <t>2607336027-000</t>
  </si>
  <si>
    <t>2607336091-000</t>
  </si>
  <si>
    <t>2607336149-000</t>
  </si>
  <si>
    <t>2607336261-000</t>
  </si>
  <si>
    <t>2607336331-000</t>
  </si>
  <si>
    <t>2607336599-000</t>
  </si>
  <si>
    <t>2607336607-000</t>
  </si>
  <si>
    <t>2607336675-000</t>
  </si>
  <si>
    <t>2607336773-000</t>
  </si>
  <si>
    <t>2607336795-000</t>
  </si>
  <si>
    <t>2607336813-000</t>
  </si>
  <si>
    <t>2607336815-000</t>
  </si>
  <si>
    <t>2607336879-000</t>
  </si>
  <si>
    <t>2607336905-000</t>
  </si>
  <si>
    <t>2607337069-000</t>
  </si>
  <si>
    <t>2607337113-000</t>
  </si>
  <si>
    <t>2607337115-000</t>
  </si>
  <si>
    <t>2607337237-000</t>
  </si>
  <si>
    <t>2607337263-000</t>
  </si>
  <si>
    <t>2607950004-000</t>
  </si>
  <si>
    <t>2607950007-000</t>
  </si>
  <si>
    <t>2607950021-000</t>
  </si>
  <si>
    <t>2607950022-000</t>
  </si>
  <si>
    <t>2607950025-000</t>
  </si>
  <si>
    <t>2607990159-000</t>
  </si>
  <si>
    <t>2608000012-000</t>
  </si>
  <si>
    <t>2608000074-000</t>
  </si>
  <si>
    <t>2608000126-000</t>
  </si>
  <si>
    <t>2608000133-000</t>
  </si>
  <si>
    <t>2608000144-000</t>
  </si>
  <si>
    <t>2608000167-000</t>
  </si>
  <si>
    <t>2608000168-000</t>
  </si>
  <si>
    <t>2608000173-000</t>
  </si>
  <si>
    <t>2608000174-000</t>
  </si>
  <si>
    <t>2608000184-000</t>
  </si>
  <si>
    <t>2608000194-000</t>
  </si>
  <si>
    <t>2608000221-000</t>
  </si>
  <si>
    <t>2608000224-000</t>
  </si>
  <si>
    <t>2608000225-000</t>
  </si>
  <si>
    <t>2608000230-000</t>
  </si>
  <si>
    <t>2608000238-000</t>
  </si>
  <si>
    <t>2608000239-000</t>
  </si>
  <si>
    <t>2608000279-000</t>
  </si>
  <si>
    <t>2608000299-000</t>
  </si>
  <si>
    <t>2608000305-000</t>
  </si>
  <si>
    <t>2608000309-000</t>
  </si>
  <si>
    <t>2608000313-000</t>
  </si>
  <si>
    <t>2608000314-000</t>
  </si>
  <si>
    <t>2608000319-000</t>
  </si>
  <si>
    <t>2608000900-000</t>
  </si>
  <si>
    <t>2608000901-000</t>
  </si>
  <si>
    <t>2608000902-000</t>
  </si>
  <si>
    <t>2608000903-000</t>
  </si>
  <si>
    <t>2608000910-000</t>
  </si>
  <si>
    <t>2608000917-000</t>
  </si>
  <si>
    <t>2608000920-000</t>
  </si>
  <si>
    <t>2608000921-000</t>
  </si>
  <si>
    <t>2608000928-000</t>
  </si>
  <si>
    <t>2608001006-000</t>
  </si>
  <si>
    <t>2608001010-000</t>
  </si>
  <si>
    <t>2608001011-000</t>
  </si>
  <si>
    <t>2608001012-000</t>
  </si>
  <si>
    <t>2608005014-000</t>
  </si>
  <si>
    <t>2608005015-000</t>
  </si>
  <si>
    <t>2608005019-000</t>
  </si>
  <si>
    <t>2608005020-000</t>
  </si>
  <si>
    <t>2608005043-000</t>
  </si>
  <si>
    <t>2608005046-000</t>
  </si>
  <si>
    <t>2608005902-000</t>
  </si>
  <si>
    <t>2608012002-000</t>
  </si>
  <si>
    <t>2608012009-000</t>
  </si>
  <si>
    <t>2608018000-000</t>
  </si>
  <si>
    <t>2608018001-000</t>
  </si>
  <si>
    <t>2608018002-000</t>
  </si>
  <si>
    <t>2608040027-000</t>
  </si>
  <si>
    <t>2608040039-000</t>
  </si>
  <si>
    <t>2608040061-000</t>
  </si>
  <si>
    <t>2608040070-000</t>
  </si>
  <si>
    <t>2608040072-000</t>
  </si>
  <si>
    <t>2608040076-000</t>
  </si>
  <si>
    <t>2608040079-000</t>
  </si>
  <si>
    <t>2608040109-000</t>
  </si>
  <si>
    <t>2608040120-000</t>
  </si>
  <si>
    <t>2608040131-000</t>
  </si>
  <si>
    <t>2608040154-000</t>
  </si>
  <si>
    <t>2608040157-000</t>
  </si>
  <si>
    <t>2608040176-000</t>
  </si>
  <si>
    <t>2608040185-000</t>
  </si>
  <si>
    <t>2608040190-000</t>
  </si>
  <si>
    <t>2608040204-000</t>
  </si>
  <si>
    <t>2608040273-000</t>
  </si>
  <si>
    <t>2608042000-000</t>
  </si>
  <si>
    <t>2608042003-000</t>
  </si>
  <si>
    <t>2608042013-000</t>
  </si>
  <si>
    <t>2608042054-000</t>
  </si>
  <si>
    <t>2608045004-000</t>
  </si>
  <si>
    <t>2608110803-000</t>
  </si>
  <si>
    <t>2608135901-000</t>
  </si>
  <si>
    <t>2608300008-000</t>
  </si>
  <si>
    <t>2608570009-000</t>
  </si>
  <si>
    <t>2608570014-000</t>
  </si>
  <si>
    <t>2608570079-000</t>
  </si>
  <si>
    <t>2608570118-000</t>
  </si>
  <si>
    <t>2608570129-000</t>
  </si>
  <si>
    <t>2608571076-000</t>
  </si>
  <si>
    <t>2608572143-000</t>
  </si>
  <si>
    <t>2608572251-000</t>
  </si>
  <si>
    <t>2608572900-000</t>
  </si>
  <si>
    <t>2608572901-000</t>
  </si>
  <si>
    <t>2608584002-000</t>
  </si>
  <si>
    <t>2608584003-000</t>
  </si>
  <si>
    <t>2608584683-000</t>
  </si>
  <si>
    <t>2608601902-000</t>
  </si>
  <si>
    <t>2608614075-000</t>
  </si>
  <si>
    <t>2608635341-000</t>
  </si>
  <si>
    <t>2608656545-000</t>
  </si>
  <si>
    <t>2608670712-000</t>
  </si>
  <si>
    <t>2608670729-000</t>
  </si>
  <si>
    <t>2608710001-000</t>
  </si>
  <si>
    <t>2608710004-000</t>
  </si>
  <si>
    <t>2609000034-000</t>
  </si>
  <si>
    <t>2609000043-000</t>
  </si>
  <si>
    <t>2609000044-000</t>
  </si>
  <si>
    <t>2609000049-000</t>
  </si>
  <si>
    <t>2609000295-000</t>
  </si>
  <si>
    <t>2609000434-000</t>
  </si>
  <si>
    <t>2609000812-000</t>
  </si>
  <si>
    <t>2609001139-000</t>
  </si>
  <si>
    <t>2609001621-000</t>
  </si>
  <si>
    <t>2609001930-000</t>
  </si>
  <si>
    <t>2609001931-000</t>
  </si>
  <si>
    <t>2609002725-000</t>
  </si>
  <si>
    <t>2609003491-000</t>
  </si>
  <si>
    <t>2609003970-000</t>
  </si>
  <si>
    <t>2609004274-000</t>
  </si>
  <si>
    <t>2609004706-000</t>
  </si>
  <si>
    <t>2609007156-000</t>
  </si>
  <si>
    <t>2609100022-000</t>
  </si>
  <si>
    <t>2609100023-000</t>
  </si>
  <si>
    <t>2609100024-000</t>
  </si>
  <si>
    <t>2609100028-000</t>
  </si>
  <si>
    <t>2609100040-000</t>
  </si>
  <si>
    <t>2609100044-000</t>
  </si>
  <si>
    <t>2609100048-000</t>
  </si>
  <si>
    <t>2609100087-000</t>
  </si>
  <si>
    <t>2609100088-000</t>
  </si>
  <si>
    <t>2609100120-000</t>
  </si>
  <si>
    <t>2609100140-000</t>
  </si>
  <si>
    <t>2609100141-000</t>
  </si>
  <si>
    <t>2609100148-000</t>
  </si>
  <si>
    <t>2609100186-000</t>
  </si>
  <si>
    <t>2609100203-000</t>
  </si>
  <si>
    <t>2609100222-000</t>
  </si>
  <si>
    <t>2609100242-000</t>
  </si>
  <si>
    <t>2609100246-000</t>
  </si>
  <si>
    <t>2609100247-000</t>
  </si>
  <si>
    <t>2609100248-000</t>
  </si>
  <si>
    <t>2609100270-000</t>
  </si>
  <si>
    <t>2609100273-000</t>
  </si>
  <si>
    <t>2609100297-000</t>
  </si>
  <si>
    <t>2609100301-000</t>
  </si>
  <si>
    <t>2609100375-000</t>
  </si>
  <si>
    <t>2609100376-000</t>
  </si>
  <si>
    <t>2609100377-000</t>
  </si>
  <si>
    <t>2609100381-000</t>
  </si>
  <si>
    <t>2609100382-000</t>
  </si>
  <si>
    <t>2609100383-000</t>
  </si>
  <si>
    <t>2609100384-000</t>
  </si>
  <si>
    <t>2609100385-000</t>
  </si>
  <si>
    <t>2609100386-000</t>
  </si>
  <si>
    <t>2609100395-000</t>
  </si>
  <si>
    <t>2609100398-000</t>
  </si>
  <si>
    <t>2609100410-000</t>
  </si>
  <si>
    <t>2609100415-000</t>
  </si>
  <si>
    <t>2609100417-000</t>
  </si>
  <si>
    <t>2609100423-000</t>
  </si>
  <si>
    <t>2609100454-000</t>
  </si>
  <si>
    <t>2609100455-000</t>
  </si>
  <si>
    <t>2609100456-000</t>
  </si>
  <si>
    <t>2609100457-000</t>
  </si>
  <si>
    <t>2609100458-000</t>
  </si>
  <si>
    <t>2609100502-000</t>
  </si>
  <si>
    <t>2609100503-000</t>
  </si>
  <si>
    <t>2609100504-000</t>
  </si>
  <si>
    <t>2609100538-000</t>
  </si>
  <si>
    <t>2609100539-000</t>
  </si>
  <si>
    <t>2609100541-000</t>
  </si>
  <si>
    <t>2609100542-000</t>
  </si>
  <si>
    <t>2609100544-000</t>
  </si>
  <si>
    <t>2609100545-000</t>
  </si>
  <si>
    <t>2609100546-000</t>
  </si>
  <si>
    <t>2609100568-000</t>
  </si>
  <si>
    <t>2609100580-000</t>
  </si>
  <si>
    <t>2609100618-000</t>
  </si>
  <si>
    <t>2609100625-000</t>
  </si>
  <si>
    <t>2609100626-000</t>
  </si>
  <si>
    <t>2609100633-000</t>
  </si>
  <si>
    <t>2609100649-000</t>
  </si>
  <si>
    <t>2609100650-000</t>
  </si>
  <si>
    <t>2609100651-000</t>
  </si>
  <si>
    <t>2609100661-000</t>
  </si>
  <si>
    <t>2609100664-000</t>
  </si>
  <si>
    <t>2609100665-000</t>
  </si>
  <si>
    <t>2609100666-000</t>
  </si>
  <si>
    <t>2609100671-000</t>
  </si>
  <si>
    <t>2609100680-000</t>
  </si>
  <si>
    <t>2609100684-000</t>
  </si>
  <si>
    <t>2609100686-000</t>
  </si>
  <si>
    <t>2609100687-000</t>
  </si>
  <si>
    <t>2609100696-000</t>
  </si>
  <si>
    <t>2609100698-000</t>
  </si>
  <si>
    <t>2609100709-000</t>
  </si>
  <si>
    <t>2609100728-000</t>
  </si>
  <si>
    <t>2609100731-000</t>
  </si>
  <si>
    <t>2609100741-000</t>
  </si>
  <si>
    <t>2609100744-000</t>
  </si>
  <si>
    <t>2609100773-000</t>
  </si>
  <si>
    <t>2609100775-000</t>
  </si>
  <si>
    <t>2609100805-000</t>
  </si>
  <si>
    <t>2609100810-000</t>
  </si>
  <si>
    <t>2609100816-000</t>
  </si>
  <si>
    <t>2609100817-000</t>
  </si>
  <si>
    <t>2609100824-000</t>
  </si>
  <si>
    <t>2609100825-000</t>
  </si>
  <si>
    <t>2609100826-000</t>
  </si>
  <si>
    <t>2609100834-000</t>
  </si>
  <si>
    <t>2609100837-000</t>
  </si>
  <si>
    <t>2609100839-000</t>
  </si>
  <si>
    <t>2609100844-000</t>
  </si>
  <si>
    <t>2609100852-000</t>
  </si>
  <si>
    <t>2609100853-000</t>
  </si>
  <si>
    <t>2609100854-000</t>
  </si>
  <si>
    <t>2609100855-000</t>
  </si>
  <si>
    <t>2609100856-000</t>
  </si>
  <si>
    <t>2609100858-000</t>
  </si>
  <si>
    <t>2609100859-000</t>
  </si>
  <si>
    <t>2609100863-000</t>
  </si>
  <si>
    <t>2609100874-000</t>
  </si>
  <si>
    <t>2609100877-000</t>
  </si>
  <si>
    <t>2609100878-000</t>
  </si>
  <si>
    <t>2609100879-000</t>
  </si>
  <si>
    <t>2609100897-000</t>
  </si>
  <si>
    <t>2609100909-000</t>
  </si>
  <si>
    <t>2609100910-000</t>
  </si>
  <si>
    <t>2609100911-000</t>
  </si>
  <si>
    <t>2609100912-000</t>
  </si>
  <si>
    <t>2609100914-000</t>
  </si>
  <si>
    <t>2609100915-000</t>
  </si>
  <si>
    <t>2609100928-000</t>
  </si>
  <si>
    <t>2609100929-000</t>
  </si>
  <si>
    <t>2609100936-000</t>
  </si>
  <si>
    <t>2609100939-000</t>
  </si>
  <si>
    <t>2609100942-000</t>
  </si>
  <si>
    <t>2609100955-000</t>
  </si>
  <si>
    <t>2609101003-000</t>
  </si>
  <si>
    <t>2609101006-000</t>
  </si>
  <si>
    <t>2609101035-000</t>
  </si>
  <si>
    <t>2609101057-000</t>
  </si>
  <si>
    <t>2609101067-000</t>
  </si>
  <si>
    <t>2609101073-000</t>
  </si>
  <si>
    <t>2609101083-000</t>
  </si>
  <si>
    <t>2609101084-000</t>
  </si>
  <si>
    <t>2609101085-000</t>
  </si>
  <si>
    <t>2609101086-000</t>
  </si>
  <si>
    <t>2609101134-000</t>
  </si>
  <si>
    <t>2609101136-000</t>
  </si>
  <si>
    <t>2609101144-000</t>
  </si>
  <si>
    <t>2609101145-000</t>
  </si>
  <si>
    <t>2609101223-000</t>
  </si>
  <si>
    <t>2609101226-000</t>
  </si>
  <si>
    <t>2609101227-000</t>
  </si>
  <si>
    <t>2609101232-000</t>
  </si>
  <si>
    <t>2609101235-000</t>
  </si>
  <si>
    <t>2609101236-000</t>
  </si>
  <si>
    <t>2609101237-000</t>
  </si>
  <si>
    <t>2609101283-000</t>
  </si>
  <si>
    <t>2609101284-000</t>
  </si>
  <si>
    <t>2609101293-000</t>
  </si>
  <si>
    <t>2609101298-000</t>
  </si>
  <si>
    <t>2609101301-000</t>
  </si>
  <si>
    <t>2609101303-000</t>
  </si>
  <si>
    <t>2609101304-000</t>
  </si>
  <si>
    <t>2609101305-000</t>
  </si>
  <si>
    <t>2609101306-000</t>
  </si>
  <si>
    <t>2609101346-000</t>
  </si>
  <si>
    <t>2609101350-000</t>
  </si>
  <si>
    <t>2609101361-000</t>
  </si>
  <si>
    <t>2609101365-000</t>
  </si>
  <si>
    <t>2609101374-000</t>
  </si>
  <si>
    <t>2609101377-000</t>
  </si>
  <si>
    <t>2609101391-000</t>
  </si>
  <si>
    <t>2609101393-000</t>
  </si>
  <si>
    <t>2609101394-000</t>
  </si>
  <si>
    <t>2609101403-000</t>
  </si>
  <si>
    <t>2609101404-000</t>
  </si>
  <si>
    <t>2609101409-000</t>
  </si>
  <si>
    <t>2609101419-000</t>
  </si>
  <si>
    <t>2609101436-000</t>
  </si>
  <si>
    <t>2609101439-000</t>
  </si>
  <si>
    <t>2609101440-000</t>
  </si>
  <si>
    <t>2609101446-000</t>
  </si>
  <si>
    <t>2609101452-000</t>
  </si>
  <si>
    <t>2609101454-000</t>
  </si>
  <si>
    <t>2609101465-000</t>
  </si>
  <si>
    <t>2609101466-000</t>
  </si>
  <si>
    <t>2609101475-000</t>
  </si>
  <si>
    <t>2609101483-000</t>
  </si>
  <si>
    <t>2609101484-000</t>
  </si>
  <si>
    <t>2609101486-000</t>
  </si>
  <si>
    <t>2609101487-000</t>
  </si>
  <si>
    <t>2609101490-000</t>
  </si>
  <si>
    <t>2609101512-000</t>
  </si>
  <si>
    <t>2609101517-000</t>
  </si>
  <si>
    <t>2609101521-000</t>
  </si>
  <si>
    <t>2609101534-000</t>
  </si>
  <si>
    <t>2609101551-000</t>
  </si>
  <si>
    <t>2609101554-000</t>
  </si>
  <si>
    <t>2609101576-000</t>
  </si>
  <si>
    <t>2609101577-000</t>
  </si>
  <si>
    <t>2609101581-000</t>
  </si>
  <si>
    <t>2609101589-000</t>
  </si>
  <si>
    <t>2609101604-000</t>
  </si>
  <si>
    <t>2609101661-000</t>
  </si>
  <si>
    <t>2609101664-000</t>
  </si>
  <si>
    <t>2609101670-000</t>
  </si>
  <si>
    <t>2609101674-000</t>
  </si>
  <si>
    <t>2609101682-000</t>
  </si>
  <si>
    <t>2609101686-000</t>
  </si>
  <si>
    <t>2609101692-000</t>
  </si>
  <si>
    <t>2609101697-000</t>
  </si>
  <si>
    <t>2609101741-000</t>
  </si>
  <si>
    <t>2609101783-000</t>
  </si>
  <si>
    <t>2609101797-000</t>
  </si>
  <si>
    <t>2609110052-000</t>
  </si>
  <si>
    <t>2609110063-000</t>
  </si>
  <si>
    <t>2609110064-000</t>
  </si>
  <si>
    <t>2609110077-000</t>
  </si>
  <si>
    <t>2609110084-000</t>
  </si>
  <si>
    <t>2609110094-000</t>
  </si>
  <si>
    <t>2609110096-000</t>
  </si>
  <si>
    <t>2609110097-000</t>
  </si>
  <si>
    <t>2609110109-000</t>
  </si>
  <si>
    <t>2609110131-000</t>
  </si>
  <si>
    <t>2609110153-000</t>
  </si>
  <si>
    <t>2609110160-000</t>
  </si>
  <si>
    <t>2609110162-000</t>
  </si>
  <si>
    <t>2609110174-000</t>
  </si>
  <si>
    <t>2609110175-000</t>
  </si>
  <si>
    <t>2609110190-000</t>
  </si>
  <si>
    <t>2609110193-000</t>
  </si>
  <si>
    <t>2609110201-000</t>
  </si>
  <si>
    <t>2609110217-000</t>
  </si>
  <si>
    <t>2609110220-000</t>
  </si>
  <si>
    <t>2609110236-000</t>
  </si>
  <si>
    <t>2609110241-000</t>
  </si>
  <si>
    <t>2609110245-000</t>
  </si>
  <si>
    <t>2609110246-000</t>
  </si>
  <si>
    <t>2609110253-000</t>
  </si>
  <si>
    <t>2609110254-000</t>
  </si>
  <si>
    <t>2609110255-000</t>
  </si>
  <si>
    <t>2609110267-000</t>
  </si>
  <si>
    <t>2609110268-000</t>
  </si>
  <si>
    <t>2609110282-000</t>
  </si>
  <si>
    <t>2609110283-000</t>
  </si>
  <si>
    <t>2609110289-000</t>
  </si>
  <si>
    <t>2609110290-000</t>
  </si>
  <si>
    <t>2609110294-000</t>
  </si>
  <si>
    <t>2609110297-000</t>
  </si>
  <si>
    <t>2609110306-000</t>
  </si>
  <si>
    <t>2609110307-000</t>
  </si>
  <si>
    <t>2609110318-000</t>
  </si>
  <si>
    <t>2609110327-000</t>
  </si>
  <si>
    <t>2609110329-000</t>
  </si>
  <si>
    <t>2609110330-000</t>
  </si>
  <si>
    <t>2609110331-000</t>
  </si>
  <si>
    <t>2609110336-000</t>
  </si>
  <si>
    <t>2609110342-000</t>
  </si>
  <si>
    <t>2609110343-000</t>
  </si>
  <si>
    <t>2609110347-000</t>
  </si>
  <si>
    <t>2609110348-000</t>
  </si>
  <si>
    <t>2609110353-000</t>
  </si>
  <si>
    <t>2609110357-000</t>
  </si>
  <si>
    <t>2609110361-000</t>
  </si>
  <si>
    <t>2609110364-000</t>
  </si>
  <si>
    <t>2609110367-000</t>
  </si>
  <si>
    <t>2609110372-000</t>
  </si>
  <si>
    <t>2609110385-000</t>
  </si>
  <si>
    <t>2609110407-000</t>
  </si>
  <si>
    <t>2609110409-000</t>
  </si>
  <si>
    <t>2609110415-000</t>
  </si>
  <si>
    <t>2609110435-000</t>
  </si>
  <si>
    <t>2609110436-000</t>
  </si>
  <si>
    <t>2609110438-000</t>
  </si>
  <si>
    <t>2609110444-000</t>
  </si>
  <si>
    <t>2609110449-000</t>
  </si>
  <si>
    <t>2609110455-000</t>
  </si>
  <si>
    <t>2609110480-000</t>
  </si>
  <si>
    <t>2609110481-000</t>
  </si>
  <si>
    <t>2609110483-000</t>
  </si>
  <si>
    <t>2609110490-000</t>
  </si>
  <si>
    <t>2609110493-000</t>
  </si>
  <si>
    <t>2609110495-000</t>
  </si>
  <si>
    <t>2609110513-000</t>
  </si>
  <si>
    <t>2609110534-000</t>
  </si>
  <si>
    <t>2609110535-000</t>
  </si>
  <si>
    <t>2609110536-000</t>
  </si>
  <si>
    <t>2609110537-000</t>
  </si>
  <si>
    <t>2609110538-000</t>
  </si>
  <si>
    <t>2609110539-000</t>
  </si>
  <si>
    <t>2609110548-000</t>
  </si>
  <si>
    <t>2609110553-000</t>
  </si>
  <si>
    <t>2609110560-000</t>
  </si>
  <si>
    <t>2609110607-000</t>
  </si>
  <si>
    <t>2609110610-000</t>
  </si>
  <si>
    <t>2609110618-000</t>
  </si>
  <si>
    <t>2609110619-000</t>
  </si>
  <si>
    <t>2609110627-000</t>
  </si>
  <si>
    <t>2609110633-000</t>
  </si>
  <si>
    <t>2609110634-000</t>
  </si>
  <si>
    <t>2609110637-000</t>
  </si>
  <si>
    <t>2609110663-000</t>
  </si>
  <si>
    <t>2609110721-000</t>
  </si>
  <si>
    <t>2609110724-000</t>
  </si>
  <si>
    <t>2609110741-000</t>
  </si>
  <si>
    <t>2609110745-000</t>
  </si>
  <si>
    <t>2609110748-000</t>
  </si>
  <si>
    <t>2609110769-000</t>
  </si>
  <si>
    <t>2609110788-000</t>
  </si>
  <si>
    <t>2609110797-000</t>
  </si>
  <si>
    <t>2609110799-000</t>
  </si>
  <si>
    <t>2609110801-000</t>
  </si>
  <si>
    <t>2609110802-000</t>
  </si>
  <si>
    <t>2609110804-000</t>
  </si>
  <si>
    <t>2609110807-000</t>
  </si>
  <si>
    <t>2609110808-000</t>
  </si>
  <si>
    <t>2609110811-000</t>
  </si>
  <si>
    <t>2609110812-000</t>
  </si>
  <si>
    <t>2609110818-000</t>
  </si>
  <si>
    <t>2609110820-000</t>
  </si>
  <si>
    <t>2609110821-000</t>
  </si>
  <si>
    <t>2609110831-000</t>
  </si>
  <si>
    <t>2609110833-000</t>
  </si>
  <si>
    <t>2609110834-000</t>
  </si>
  <si>
    <t>2609110835-000</t>
  </si>
  <si>
    <t>2609110838-000</t>
  </si>
  <si>
    <t>2609110883-000</t>
  </si>
  <si>
    <t>2609110930-000</t>
  </si>
  <si>
    <t>2609110950-000</t>
  </si>
  <si>
    <t>2609110956-000</t>
  </si>
  <si>
    <t>2609110965-000</t>
  </si>
  <si>
    <t>2609110967-000</t>
  </si>
  <si>
    <t>2609110973-000</t>
  </si>
  <si>
    <t>2609110991-000</t>
  </si>
  <si>
    <t>2609110992-000</t>
  </si>
  <si>
    <t>2609111017-000</t>
  </si>
  <si>
    <t>2609111021-000</t>
  </si>
  <si>
    <t>2609111024-000</t>
  </si>
  <si>
    <t>2609111078-000</t>
  </si>
  <si>
    <t>2609111104-000</t>
  </si>
  <si>
    <t>2609111220-000</t>
  </si>
  <si>
    <t>2609111262-000</t>
  </si>
  <si>
    <t>2609111264-000</t>
  </si>
  <si>
    <t>2609111286-000</t>
  </si>
  <si>
    <t>2609111289-000</t>
  </si>
  <si>
    <t>2609111312-000</t>
  </si>
  <si>
    <t>2609111314-000</t>
  </si>
  <si>
    <t>2609111330-000</t>
  </si>
  <si>
    <t>2609111383-000</t>
  </si>
  <si>
    <t>2609111393-000</t>
  </si>
  <si>
    <t>2609111418-000</t>
  </si>
  <si>
    <t>2609111419-000</t>
  </si>
  <si>
    <t>2609111452-000</t>
  </si>
  <si>
    <t>2609111453-000</t>
  </si>
  <si>
    <t>2609111485-000</t>
  </si>
  <si>
    <t>2609111487-000</t>
  </si>
  <si>
    <t>2609111496-000</t>
  </si>
  <si>
    <t>2609111505-000</t>
  </si>
  <si>
    <t>2609111530-000</t>
  </si>
  <si>
    <t>2609111531-000</t>
  </si>
  <si>
    <t>2609111560-000</t>
  </si>
  <si>
    <t>2609111584-000</t>
  </si>
  <si>
    <t>2609111657-000</t>
  </si>
  <si>
    <t>2609111664-000</t>
  </si>
  <si>
    <t>2609111665-000</t>
  </si>
  <si>
    <t>2609111666-000</t>
  </si>
  <si>
    <t>2609111667-000</t>
  </si>
  <si>
    <t>2609111668-000</t>
  </si>
  <si>
    <t>2609111669-000</t>
  </si>
  <si>
    <t>2609111670-000</t>
  </si>
  <si>
    <t>2609111673-000</t>
  </si>
  <si>
    <t>2609111708-000</t>
  </si>
  <si>
    <t>2609111738-000</t>
  </si>
  <si>
    <t>2609111788-000</t>
  </si>
  <si>
    <t>2609111800-000</t>
  </si>
  <si>
    <t>2609111844-000</t>
  </si>
  <si>
    <t>2609111845-000</t>
  </si>
  <si>
    <t>2609111851-000</t>
  </si>
  <si>
    <t>2609111892-000</t>
  </si>
  <si>
    <t>2609111893-000</t>
  </si>
  <si>
    <t>2609111906-000</t>
  </si>
  <si>
    <t>2609111907-000</t>
  </si>
  <si>
    <t>2609111930-000</t>
  </si>
  <si>
    <t>2609111940-000</t>
  </si>
  <si>
    <t>2609111944-000</t>
  </si>
  <si>
    <t>2609111997-000</t>
  </si>
  <si>
    <t>2609112024-000</t>
  </si>
  <si>
    <t>2609112036-000</t>
  </si>
  <si>
    <t>2609112051-000</t>
  </si>
  <si>
    <t>2609112053-000</t>
  </si>
  <si>
    <t>2609112071-000</t>
  </si>
  <si>
    <t>2609112105-000</t>
  </si>
  <si>
    <t>2609112128-000</t>
  </si>
  <si>
    <t>2609112141-000</t>
  </si>
  <si>
    <t>2609112142-000</t>
  </si>
  <si>
    <t>2609112143-000</t>
  </si>
  <si>
    <t>2609112144-000</t>
  </si>
  <si>
    <t>2609112154-000</t>
  </si>
  <si>
    <t>2609112158-000</t>
  </si>
  <si>
    <t>2609112169-000</t>
  </si>
  <si>
    <t>2609112203-000</t>
  </si>
  <si>
    <t>2609112221-000</t>
  </si>
  <si>
    <t>2609112224-000</t>
  </si>
  <si>
    <t>2609112225-000</t>
  </si>
  <si>
    <t>2609120029-000</t>
  </si>
  <si>
    <t>2609120053-000</t>
  </si>
  <si>
    <t>2609120054-000</t>
  </si>
  <si>
    <t>2609120153-000</t>
  </si>
  <si>
    <t>2609120164-000</t>
  </si>
  <si>
    <t>2609120168-000</t>
  </si>
  <si>
    <t>2609120169-000</t>
  </si>
  <si>
    <t>2609120177-000</t>
  </si>
  <si>
    <t>2609120180-000</t>
  </si>
  <si>
    <t>2609120182-000</t>
  </si>
  <si>
    <t>2609120183-000</t>
  </si>
  <si>
    <t>2609120202-000</t>
  </si>
  <si>
    <t>2609120204-000</t>
  </si>
  <si>
    <t>2609120228-000</t>
  </si>
  <si>
    <t>2609120235-000</t>
  </si>
  <si>
    <t>2609120256-000</t>
  </si>
  <si>
    <t>2609120258-000</t>
  </si>
  <si>
    <t>2609120259-000</t>
  </si>
  <si>
    <t>2609120266-000</t>
  </si>
  <si>
    <t>2609120274-000</t>
  </si>
  <si>
    <t>2609120276-000</t>
  </si>
  <si>
    <t>2609120279-000</t>
  </si>
  <si>
    <t>2609120282-000</t>
  </si>
  <si>
    <t>2609120284-000</t>
  </si>
  <si>
    <t>2609120290-000</t>
  </si>
  <si>
    <t>2609120291-000</t>
  </si>
  <si>
    <t>2609120299-000</t>
  </si>
  <si>
    <t>2609120308-000</t>
  </si>
  <si>
    <t>2609120335-000</t>
  </si>
  <si>
    <t>2609120337-000</t>
  </si>
  <si>
    <t>2609120341-000</t>
  </si>
  <si>
    <t>2609120356-000</t>
  </si>
  <si>
    <t>2609120363-000</t>
  </si>
  <si>
    <t>2609120396-000</t>
  </si>
  <si>
    <t>2609120405-000</t>
  </si>
  <si>
    <t>2609120416-000</t>
  </si>
  <si>
    <t>2609120498-000</t>
  </si>
  <si>
    <t>2609120536-000</t>
  </si>
  <si>
    <t>2609120543-000</t>
  </si>
  <si>
    <t>2609120579-000</t>
  </si>
  <si>
    <t>2609120591-000</t>
  </si>
  <si>
    <t>2609120637-000</t>
  </si>
  <si>
    <t>2609120670-000</t>
  </si>
  <si>
    <t>2609125028-000</t>
  </si>
  <si>
    <t>2609125143-000</t>
  </si>
  <si>
    <t>2609125204-000</t>
  </si>
  <si>
    <t>2609131505-000</t>
  </si>
  <si>
    <t>2609133977-000</t>
  </si>
  <si>
    <t>2609134168-000</t>
  </si>
  <si>
    <t>2609134169-000</t>
  </si>
  <si>
    <t>2609136324-000</t>
  </si>
  <si>
    <t>2609136433-000</t>
  </si>
  <si>
    <t>2609136434-000</t>
  </si>
  <si>
    <t>2609136619-000</t>
  </si>
  <si>
    <t>2609138606-000</t>
  </si>
  <si>
    <t>2609138608-000</t>
  </si>
  <si>
    <t>2609160063-000</t>
  </si>
  <si>
    <t>2609160124-000</t>
  </si>
  <si>
    <t>2609160127-000</t>
  </si>
  <si>
    <t>2609160205-000</t>
  </si>
  <si>
    <t>2609170013-000</t>
  </si>
  <si>
    <t>2609170025-000</t>
  </si>
  <si>
    <t>2609170030-000</t>
  </si>
  <si>
    <t>2609170042-000</t>
  </si>
  <si>
    <t>2609170044-000</t>
  </si>
  <si>
    <t>2609170045-000</t>
  </si>
  <si>
    <t>2609170058-000</t>
  </si>
  <si>
    <t>2609170077-000</t>
  </si>
  <si>
    <t>2609170083-000</t>
  </si>
  <si>
    <t>2609170084-000</t>
  </si>
  <si>
    <t>2609170085-000</t>
  </si>
  <si>
    <t>2609170104-000</t>
  </si>
  <si>
    <t>2609170121-000</t>
  </si>
  <si>
    <t>2609170128-000</t>
  </si>
  <si>
    <t>2609170129-000</t>
  </si>
  <si>
    <t>2609170134-000</t>
  </si>
  <si>
    <t>2609170135-000</t>
  </si>
  <si>
    <t>2609170136-000</t>
  </si>
  <si>
    <t>2609170137-000</t>
  </si>
  <si>
    <t>2609170157-000</t>
  </si>
  <si>
    <t>2609170168-000</t>
  </si>
  <si>
    <t>2609170185-000</t>
  </si>
  <si>
    <t>2609170204-000</t>
  </si>
  <si>
    <t>2609170212-000</t>
  </si>
  <si>
    <t>2609170216-000</t>
  </si>
  <si>
    <t>2609170218-000</t>
  </si>
  <si>
    <t>2609170220-000</t>
  </si>
  <si>
    <t>2609170221-000</t>
  </si>
  <si>
    <t>2609170222-000</t>
  </si>
  <si>
    <t>2609170223-000</t>
  </si>
  <si>
    <t>2609170228-000</t>
  </si>
  <si>
    <t>2609170230-000</t>
  </si>
  <si>
    <t>2609170243-000</t>
  </si>
  <si>
    <t>2609170248-000</t>
  </si>
  <si>
    <t>2609170259-000</t>
  </si>
  <si>
    <t>2609170260-000</t>
  </si>
  <si>
    <t>2609170267-000</t>
  </si>
  <si>
    <t>2609170273-000</t>
  </si>
  <si>
    <t>2609170274-000</t>
  </si>
  <si>
    <t>2609170278-000</t>
  </si>
  <si>
    <t>2609170312-000</t>
  </si>
  <si>
    <t>2609199008-000</t>
  </si>
  <si>
    <t>2609199027-000</t>
  </si>
  <si>
    <t>2609199038-000</t>
  </si>
  <si>
    <t>2609199041-000</t>
  </si>
  <si>
    <t>2609199047-000</t>
  </si>
  <si>
    <t>2609199048-000</t>
  </si>
  <si>
    <t>2609199059-000</t>
  </si>
  <si>
    <t>2609199067-000</t>
  </si>
  <si>
    <t>2609199069-000</t>
  </si>
  <si>
    <t>2609199070-000</t>
  </si>
  <si>
    <t>2609199083-000</t>
  </si>
  <si>
    <t>2609199100-000</t>
  </si>
  <si>
    <t>2609199109-000</t>
  </si>
  <si>
    <t>2609199110-000</t>
  </si>
  <si>
    <t>2609199112-000</t>
  </si>
  <si>
    <t>2609199114-000</t>
  </si>
  <si>
    <t>2609199119-000</t>
  </si>
  <si>
    <t>2609199125-000</t>
  </si>
  <si>
    <t>2609199127-000</t>
  </si>
  <si>
    <t>2609199128-000</t>
  </si>
  <si>
    <t>2609199130-000</t>
  </si>
  <si>
    <t>2609199131-000</t>
  </si>
  <si>
    <t>2609199133-000</t>
  </si>
  <si>
    <t>2609199135-000</t>
  </si>
  <si>
    <t>2609199140-000</t>
  </si>
  <si>
    <t>2609199143-000</t>
  </si>
  <si>
    <t>2609199145-000</t>
  </si>
  <si>
    <t>2609199146-000</t>
  </si>
  <si>
    <t>2609199157-000</t>
  </si>
  <si>
    <t>2609199164-000</t>
  </si>
  <si>
    <t>2609199167-000</t>
  </si>
  <si>
    <t>2609199169-000</t>
  </si>
  <si>
    <t>2609199173-000</t>
  </si>
  <si>
    <t>2609199177-000</t>
  </si>
  <si>
    <t>2609199180-000</t>
  </si>
  <si>
    <t>2609199182-000</t>
  </si>
  <si>
    <t>2609199185-000</t>
  </si>
  <si>
    <t>2609199186-000</t>
  </si>
  <si>
    <t>2609199188-000</t>
  </si>
  <si>
    <t>2609199190-000</t>
  </si>
  <si>
    <t>2609199193-000</t>
  </si>
  <si>
    <t>2609199195-000</t>
  </si>
  <si>
    <t>2609199223-000</t>
  </si>
  <si>
    <t>2609199228-000</t>
  </si>
  <si>
    <t>2609199241-000</t>
  </si>
  <si>
    <t>2609199251-000</t>
  </si>
  <si>
    <t>2609199255-000</t>
  </si>
  <si>
    <t>2609199258-000</t>
  </si>
  <si>
    <t>2609199266-000</t>
  </si>
  <si>
    <t>2609199269-000</t>
  </si>
  <si>
    <t>2609199270-000</t>
  </si>
  <si>
    <t>2609199275-000</t>
  </si>
  <si>
    <t>2609199279-000</t>
  </si>
  <si>
    <t>2609199281-000</t>
  </si>
  <si>
    <t>2609199282-000</t>
  </si>
  <si>
    <t>2609199283-000</t>
  </si>
  <si>
    <t>2609199298-000</t>
  </si>
  <si>
    <t>2609199312-000</t>
  </si>
  <si>
    <t>2609199316-000</t>
  </si>
  <si>
    <t>2609199319-000</t>
  </si>
  <si>
    <t>2609199320-000</t>
  </si>
  <si>
    <t>2609199334-000</t>
  </si>
  <si>
    <t>2609199335-000</t>
  </si>
  <si>
    <t>2609199336-000</t>
  </si>
  <si>
    <t>2609199337-000</t>
  </si>
  <si>
    <t>2609199338-000</t>
  </si>
  <si>
    <t>2609199343-000</t>
  </si>
  <si>
    <t>2609199344-000</t>
  </si>
  <si>
    <t>2609199356-000</t>
  </si>
  <si>
    <t>2609199357-000</t>
  </si>
  <si>
    <t>2609199358-000</t>
  </si>
  <si>
    <t>2609199364-000</t>
  </si>
  <si>
    <t>2609199366-000</t>
  </si>
  <si>
    <t>2609199378-000</t>
  </si>
  <si>
    <t>2609199380-000</t>
  </si>
  <si>
    <t>2609199393-000</t>
  </si>
  <si>
    <t>2609199397-000</t>
  </si>
  <si>
    <t>2609199400-000</t>
  </si>
  <si>
    <t>2609199403-000</t>
  </si>
  <si>
    <t>2609199408-000</t>
  </si>
  <si>
    <t>2609199409-000</t>
  </si>
  <si>
    <t>2609199418-000</t>
  </si>
  <si>
    <t>2609199419-000</t>
  </si>
  <si>
    <t>2609199431-000</t>
  </si>
  <si>
    <t>2609199446-000</t>
  </si>
  <si>
    <t>2609199447-000</t>
  </si>
  <si>
    <t>2609199449-000</t>
  </si>
  <si>
    <t>2609199450-000</t>
  </si>
  <si>
    <t>2609199474-000</t>
  </si>
  <si>
    <t>2609199475-000</t>
  </si>
  <si>
    <t>2609199482-000</t>
  </si>
  <si>
    <t>2609199484-000</t>
  </si>
  <si>
    <t>2609199577-000</t>
  </si>
  <si>
    <t>2609199578-000</t>
  </si>
  <si>
    <t>2609199599-000</t>
  </si>
  <si>
    <t>2609199602-000</t>
  </si>
  <si>
    <t>2609199609-000</t>
  </si>
  <si>
    <t>2609199614-000</t>
  </si>
  <si>
    <t>2609199615-000</t>
  </si>
  <si>
    <t>2609199616-000</t>
  </si>
  <si>
    <t>2609199618-000</t>
  </si>
  <si>
    <t>2609199619-000</t>
  </si>
  <si>
    <t>2609199631-000</t>
  </si>
  <si>
    <t>2609199634-000</t>
  </si>
  <si>
    <t>2609199635-000</t>
  </si>
  <si>
    <t>2609199636-000</t>
  </si>
  <si>
    <t>2609199651-000</t>
  </si>
  <si>
    <t>2609199660-000</t>
  </si>
  <si>
    <t>2609199665-000</t>
  </si>
  <si>
    <t>2609199666-000</t>
  </si>
  <si>
    <t>2609199668-000</t>
  </si>
  <si>
    <t>2609199671-000</t>
  </si>
  <si>
    <t>2609199679-000</t>
  </si>
  <si>
    <t>2609199694-000</t>
  </si>
  <si>
    <t>2609199701-000</t>
  </si>
  <si>
    <t>2609199711-000</t>
  </si>
  <si>
    <t>2609199714-000</t>
  </si>
  <si>
    <t>2609199719-000</t>
  </si>
  <si>
    <t>2609199726-000</t>
  </si>
  <si>
    <t>2609199730-000</t>
  </si>
  <si>
    <t>2609199746-000</t>
  </si>
  <si>
    <t>2609199748-000</t>
  </si>
  <si>
    <t>2609199754-000</t>
  </si>
  <si>
    <t>2609199757-000</t>
  </si>
  <si>
    <t>2609199766-000</t>
  </si>
  <si>
    <t>2609199769-000</t>
  </si>
  <si>
    <t>2609199784-000</t>
  </si>
  <si>
    <t>2609199785-000</t>
  </si>
  <si>
    <t>2609199786-000</t>
  </si>
  <si>
    <t>2609199790-000</t>
  </si>
  <si>
    <t>2609199798-000</t>
  </si>
  <si>
    <t>2609199810-000</t>
  </si>
  <si>
    <t>2609199811-000</t>
  </si>
  <si>
    <t>2609199812-000</t>
  </si>
  <si>
    <t>2609199813-000</t>
  </si>
  <si>
    <t>2609199814-000</t>
  </si>
  <si>
    <t>2609199824-000</t>
  </si>
  <si>
    <t>2609199865-000</t>
  </si>
  <si>
    <t>2609199869-000</t>
  </si>
  <si>
    <t>2609199883-000</t>
  </si>
  <si>
    <t>2609199894-000</t>
  </si>
  <si>
    <t>2609199916-000</t>
  </si>
  <si>
    <t>2609199928-000</t>
  </si>
  <si>
    <t>2609199943-000</t>
  </si>
  <si>
    <t>2609199946-000</t>
  </si>
  <si>
    <t>2609199948-000</t>
  </si>
  <si>
    <t>2609199949-000</t>
  </si>
  <si>
    <t>2609199957-000</t>
  </si>
  <si>
    <t>2609199961-000</t>
  </si>
  <si>
    <t>2609199971-000</t>
  </si>
  <si>
    <t>2609199975-000</t>
  </si>
  <si>
    <t>2609200574-000</t>
  </si>
  <si>
    <t>2609200575-000</t>
  </si>
  <si>
    <t>2609270035-000</t>
  </si>
  <si>
    <t>2609270036-000</t>
  </si>
  <si>
    <t>2609390014-000</t>
  </si>
  <si>
    <t>2609390015-000</t>
  </si>
  <si>
    <t>2609390303-000</t>
  </si>
  <si>
    <t>2609992600-000</t>
  </si>
  <si>
    <t>2609992604-000</t>
  </si>
  <si>
    <t>2609992605-000</t>
  </si>
  <si>
    <t>2609992608-000</t>
  </si>
  <si>
    <t>2609992612-000</t>
  </si>
  <si>
    <t>2609992615-000</t>
  </si>
  <si>
    <t>2609992618-000</t>
  </si>
  <si>
    <t>2609992620-000</t>
  </si>
  <si>
    <t>2609992624-000</t>
  </si>
  <si>
    <t>2609992625-000</t>
  </si>
  <si>
    <t>2609994436-000</t>
  </si>
  <si>
    <t>2609994709-000</t>
  </si>
  <si>
    <t>2609994797-000</t>
  </si>
  <si>
    <t>2609994835-000</t>
  </si>
  <si>
    <t>2609994926-000</t>
  </si>
  <si>
    <t>2609995084-000</t>
  </si>
  <si>
    <t>2609995085-000</t>
  </si>
  <si>
    <t>2609995917-000</t>
  </si>
  <si>
    <t>2610000606-000</t>
  </si>
  <si>
    <t>2610000607-000</t>
  </si>
  <si>
    <t>2610000765-000</t>
  </si>
  <si>
    <t>2610001147-000</t>
  </si>
  <si>
    <t>2610001398-000</t>
  </si>
  <si>
    <t>2610001597-000</t>
  </si>
  <si>
    <t>2610001598-000</t>
  </si>
  <si>
    <t>2610001599-000</t>
  </si>
  <si>
    <t>2610001600-000</t>
  </si>
  <si>
    <t>2610001602-000</t>
  </si>
  <si>
    <t>2610001604-000</t>
  </si>
  <si>
    <t>2610001605-000</t>
  </si>
  <si>
    <t>2610001606-000</t>
  </si>
  <si>
    <t>2610001607-000</t>
  </si>
  <si>
    <t>2610001608-000</t>
  </si>
  <si>
    <t>2610001609-000</t>
  </si>
  <si>
    <t>2610001624-000</t>
  </si>
  <si>
    <t>2610001625-000</t>
  </si>
  <si>
    <t>2610001785-000</t>
  </si>
  <si>
    <t>2610001817-000</t>
  </si>
  <si>
    <t>2610001818-000</t>
  </si>
  <si>
    <t>2610002144-000</t>
  </si>
  <si>
    <t>2610002911-000</t>
  </si>
  <si>
    <t>2610003062-000</t>
  </si>
  <si>
    <t>2610003063-000</t>
  </si>
  <si>
    <t>2610003064-000</t>
  </si>
  <si>
    <t>2610003067-000</t>
  </si>
  <si>
    <t>2610003090-000</t>
  </si>
  <si>
    <t>2610003184-000</t>
  </si>
  <si>
    <t>2610003185-000</t>
  </si>
  <si>
    <t>2610003210-000</t>
  </si>
  <si>
    <t>2610003424-000</t>
  </si>
  <si>
    <t>2610003429-000</t>
  </si>
  <si>
    <t>2610003433-000</t>
  </si>
  <si>
    <t>2610003434-000</t>
  </si>
  <si>
    <t>2610003969-000</t>
  </si>
  <si>
    <t>2610003970-000</t>
  </si>
  <si>
    <t>2610003971-000</t>
  </si>
  <si>
    <t>2610003973-000</t>
  </si>
  <si>
    <t>2610003974-000</t>
  </si>
  <si>
    <t>2610004411-000</t>
  </si>
  <si>
    <t>2610004460-000</t>
  </si>
  <si>
    <t>2610004556-000</t>
  </si>
  <si>
    <t>2610004557-000</t>
  </si>
  <si>
    <t>2610004592-000</t>
  </si>
  <si>
    <t>2610004595-000</t>
  </si>
  <si>
    <t>2610004610-000</t>
  </si>
  <si>
    <t>2610004743-000</t>
  </si>
  <si>
    <t>2610004745-000</t>
  </si>
  <si>
    <t>2610004774-000</t>
  </si>
  <si>
    <t>2610004778-000</t>
  </si>
  <si>
    <t>2610004779-000</t>
  </si>
  <si>
    <t>2610004781-000</t>
  </si>
  <si>
    <t>2610004782-000</t>
  </si>
  <si>
    <t>2610004783-000</t>
  </si>
  <si>
    <t>2610004784-000</t>
  </si>
  <si>
    <t>2610004789-000</t>
  </si>
  <si>
    <t>2610004790-000</t>
  </si>
  <si>
    <t>2610004791-000</t>
  </si>
  <si>
    <t>2610004793-000</t>
  </si>
  <si>
    <t>2610004794-000</t>
  </si>
  <si>
    <t>2610004797-000</t>
  </si>
  <si>
    <t>2610004808-000</t>
  </si>
  <si>
    <t>2610004824-000</t>
  </si>
  <si>
    <t>2610004825-000</t>
  </si>
  <si>
    <t>2610004830-000</t>
  </si>
  <si>
    <t>2610004925-000</t>
  </si>
  <si>
    <t>2610005245-000</t>
  </si>
  <si>
    <t>2610005252-000</t>
  </si>
  <si>
    <t>2610005300-000</t>
  </si>
  <si>
    <t>2610005311-000</t>
  </si>
  <si>
    <t>2610005325-000</t>
  </si>
  <si>
    <t>2610005340-000</t>
  </si>
  <si>
    <t>2610005357-000</t>
  </si>
  <si>
    <t>2610005381-000</t>
  </si>
  <si>
    <t>2610005460-000</t>
  </si>
  <si>
    <t>2610005471-000</t>
  </si>
  <si>
    <t>2610005472-000</t>
  </si>
  <si>
    <t>2610005473-000</t>
  </si>
  <si>
    <t>2610005516-000</t>
  </si>
  <si>
    <t>2610005997-000</t>
  </si>
  <si>
    <t>2610006340-000</t>
  </si>
  <si>
    <t>2610006391-000</t>
  </si>
  <si>
    <t>2610006518-000</t>
  </si>
  <si>
    <t>2610006628-000</t>
  </si>
  <si>
    <t>2610006642-000</t>
  </si>
  <si>
    <t>2610006643-000</t>
  </si>
  <si>
    <t>2610006980-000</t>
  </si>
  <si>
    <t>2610007023-000</t>
  </si>
  <si>
    <t>2610007050-000</t>
  </si>
  <si>
    <t>2610007757-000</t>
  </si>
  <si>
    <t>2610007763-000</t>
  </si>
  <si>
    <t>2610007764-000</t>
  </si>
  <si>
    <t>2610007765-000</t>
  </si>
  <si>
    <t>2610007957-000</t>
  </si>
  <si>
    <t>2610007979-000</t>
  </si>
  <si>
    <t>2610008113-000</t>
  </si>
  <si>
    <t>2610008115-000</t>
  </si>
  <si>
    <t>2610008117-000</t>
  </si>
  <si>
    <t>2610008123-000</t>
  </si>
  <si>
    <t>2610008124-000</t>
  </si>
  <si>
    <t>2610008200-000</t>
  </si>
  <si>
    <t>2610008283-000</t>
  </si>
  <si>
    <t>2610009047-000</t>
  </si>
  <si>
    <t>2610009294-000</t>
  </si>
  <si>
    <t>2610009615-000</t>
  </si>
  <si>
    <t>2610009742-000</t>
  </si>
  <si>
    <t>2610009743-000</t>
  </si>
  <si>
    <t>2610009744-000</t>
  </si>
  <si>
    <t>2610009745-000</t>
  </si>
  <si>
    <t>2610009746-000</t>
  </si>
  <si>
    <t>2610009747-000</t>
  </si>
  <si>
    <t>2610009748-000</t>
  </si>
  <si>
    <t>2610009749-000</t>
  </si>
  <si>
    <t>2610009750-000</t>
  </si>
  <si>
    <t>2610009751-000</t>
  </si>
  <si>
    <t>2610009752-000</t>
  </si>
  <si>
    <t>2610009754-000</t>
  </si>
  <si>
    <t>2610009755-000</t>
  </si>
  <si>
    <t>2610009756-000</t>
  </si>
  <si>
    <t>2610009757-000</t>
  </si>
  <si>
    <t>2610009758-000</t>
  </si>
  <si>
    <t>2610009760-000</t>
  </si>
  <si>
    <t>2610009761-000</t>
  </si>
  <si>
    <t>2610009762-000</t>
  </si>
  <si>
    <t>2610009763-000</t>
  </si>
  <si>
    <t>2610009765-000</t>
  </si>
  <si>
    <t>2610009766-000</t>
  </si>
  <si>
    <t>2610009767-000</t>
  </si>
  <si>
    <t>2610009768-000</t>
  </si>
  <si>
    <t>2610009769-000</t>
  </si>
  <si>
    <t>2610009770-000</t>
  </si>
  <si>
    <t>2610009771-000</t>
  </si>
  <si>
    <t>2610009772-000</t>
  </si>
  <si>
    <t>2610009773-000</t>
  </si>
  <si>
    <t>2610009775-000</t>
  </si>
  <si>
    <t>2610009777-000</t>
  </si>
  <si>
    <t>2610009778-000</t>
  </si>
  <si>
    <t>2610009780-000</t>
  </si>
  <si>
    <t>2610009781-000</t>
  </si>
  <si>
    <t>2610009782-000</t>
  </si>
  <si>
    <t>2610009783-000</t>
  </si>
  <si>
    <t>2610009784-000</t>
  </si>
  <si>
    <t>2610009787-000</t>
  </si>
  <si>
    <t>2610009789-000</t>
  </si>
  <si>
    <t>2610009790-000</t>
  </si>
  <si>
    <t>2610009802-000</t>
  </si>
  <si>
    <t>2610009805-000</t>
  </si>
  <si>
    <t>2610009845-000</t>
  </si>
  <si>
    <t>2610009854-000</t>
  </si>
  <si>
    <t>2610010072-000</t>
  </si>
  <si>
    <t>2610010404-000</t>
  </si>
  <si>
    <t>2610010409-000</t>
  </si>
  <si>
    <t>2610011033-000</t>
  </si>
  <si>
    <t>2610011034-000</t>
  </si>
  <si>
    <t>2610011174-000</t>
  </si>
  <si>
    <t>2610011176-000</t>
  </si>
  <si>
    <t>2610011204-000</t>
  </si>
  <si>
    <t>2610011205-000</t>
  </si>
  <si>
    <t>2610011212-000</t>
  </si>
  <si>
    <t>2610011225-000</t>
  </si>
  <si>
    <t>2610011286-000</t>
  </si>
  <si>
    <t>2610011290-000</t>
  </si>
  <si>
    <t>2610011291-000</t>
  </si>
  <si>
    <t>2610011292-000</t>
  </si>
  <si>
    <t>2610011547-000</t>
  </si>
  <si>
    <t>2610011549-000</t>
  </si>
  <si>
    <t>2610011569-000</t>
  </si>
  <si>
    <t>2610011716-000</t>
  </si>
  <si>
    <t>2610011717-000</t>
  </si>
  <si>
    <t>2610011957-000</t>
  </si>
  <si>
    <t>2610011963-000</t>
  </si>
  <si>
    <t>2610011964-000</t>
  </si>
  <si>
    <t>2610012031-000</t>
  </si>
  <si>
    <t>2610012032-000</t>
  </si>
  <si>
    <t>2610012042-000</t>
  </si>
  <si>
    <t>2610012049-000</t>
  </si>
  <si>
    <t>2610012050-000</t>
  </si>
  <si>
    <t>2610012053-000</t>
  </si>
  <si>
    <t>2610012054-000</t>
  </si>
  <si>
    <t>2610012055-000</t>
  </si>
  <si>
    <t>2610012056-000</t>
  </si>
  <si>
    <t>2610012162-000</t>
  </si>
  <si>
    <t>2610012366-000</t>
  </si>
  <si>
    <t>2610012367-000</t>
  </si>
  <si>
    <t>2610012368-000</t>
  </si>
  <si>
    <t>2610012797-000</t>
  </si>
  <si>
    <t>2610012798-000</t>
  </si>
  <si>
    <t>2610012799-000</t>
  </si>
  <si>
    <t>2610012803-000</t>
  </si>
  <si>
    <t>2610012804-000</t>
  </si>
  <si>
    <t>2610012805-000</t>
  </si>
  <si>
    <t>2610012809-000</t>
  </si>
  <si>
    <t>2610012813-000</t>
  </si>
  <si>
    <t>2610012815-000</t>
  </si>
  <si>
    <t>2610012817-000</t>
  </si>
  <si>
    <t>2610012818-000</t>
  </si>
  <si>
    <t>2610012824-000</t>
  </si>
  <si>
    <t>2610012825-000</t>
  </si>
  <si>
    <t>2610012902-000</t>
  </si>
  <si>
    <t>2610012903-000</t>
  </si>
  <si>
    <t>2610012910-000</t>
  </si>
  <si>
    <t>2610012913-000</t>
  </si>
  <si>
    <t>2610012915-000</t>
  </si>
  <si>
    <t>2610012916-000</t>
  </si>
  <si>
    <t>2610012926-000</t>
  </si>
  <si>
    <t>2610012935-000</t>
  </si>
  <si>
    <t>2610012938-000</t>
  </si>
  <si>
    <t>2610012943-000</t>
  </si>
  <si>
    <t>2610012984-000</t>
  </si>
  <si>
    <t>2610013003-000</t>
  </si>
  <si>
    <t>2610013053-000</t>
  </si>
  <si>
    <t>2610013054-000</t>
  </si>
  <si>
    <t>2610013162-000</t>
  </si>
  <si>
    <t>2610013288-000</t>
  </si>
  <si>
    <t>2610013365-000</t>
  </si>
  <si>
    <t>2610013388-000</t>
  </si>
  <si>
    <t>2610013393-000</t>
  </si>
  <si>
    <t>2610013397-000</t>
  </si>
  <si>
    <t>2610013522-000</t>
  </si>
  <si>
    <t>2610013523-000</t>
  </si>
  <si>
    <t>2610013524-000</t>
  </si>
  <si>
    <t>2610013525-000</t>
  </si>
  <si>
    <t>2610013526-000</t>
  </si>
  <si>
    <t>2610013527-000</t>
  </si>
  <si>
    <t>2610013528-000</t>
  </si>
  <si>
    <t>2610013529-000</t>
  </si>
  <si>
    <t>2610013530-000</t>
  </si>
  <si>
    <t>2610013531-000</t>
  </si>
  <si>
    <t>2610013532-000</t>
  </si>
  <si>
    <t>2610013533-000</t>
  </si>
  <si>
    <t>2610013534-000</t>
  </si>
  <si>
    <t>2610013535-000</t>
  </si>
  <si>
    <t>2610013536-000</t>
  </si>
  <si>
    <t>2610013537-000</t>
  </si>
  <si>
    <t>2610013538-000</t>
  </si>
  <si>
    <t>2610013539-000</t>
  </si>
  <si>
    <t>2610013540-000</t>
  </si>
  <si>
    <t>2610013541-000</t>
  </si>
  <si>
    <t>2610013542-000</t>
  </si>
  <si>
    <t>2610013543-000</t>
  </si>
  <si>
    <t>2610013545-000</t>
  </si>
  <si>
    <t>2610013547-000</t>
  </si>
  <si>
    <t>2610013548-000</t>
  </si>
  <si>
    <t>2610013549-000</t>
  </si>
  <si>
    <t>2610013550-000</t>
  </si>
  <si>
    <t>2610013551-000</t>
  </si>
  <si>
    <t>2610013552-000</t>
  </si>
  <si>
    <t>2610013553-000</t>
  </si>
  <si>
    <t>2610013554-000</t>
  </si>
  <si>
    <t>2610013555-000</t>
  </si>
  <si>
    <t>2610013556-000</t>
  </si>
  <si>
    <t>2610013559-000</t>
  </si>
  <si>
    <t>2610013560-000</t>
  </si>
  <si>
    <t>2610013561-000</t>
  </si>
  <si>
    <t>2610013562-000</t>
  </si>
  <si>
    <t>2610013563-000</t>
  </si>
  <si>
    <t>2610013564-000</t>
  </si>
  <si>
    <t>2610013565-000</t>
  </si>
  <si>
    <t>2610013689-000</t>
  </si>
  <si>
    <t>2610013756-000</t>
  </si>
  <si>
    <t>2610013854-000</t>
  </si>
  <si>
    <t>2610013888-000</t>
  </si>
  <si>
    <t>2610013890-000</t>
  </si>
  <si>
    <t>2610013891-000</t>
  </si>
  <si>
    <t>2610014582-000</t>
  </si>
  <si>
    <t>2610014693-000</t>
  </si>
  <si>
    <t>2610014697-000</t>
  </si>
  <si>
    <t>2610014698-000</t>
  </si>
  <si>
    <t>2610014699-000</t>
  </si>
  <si>
    <t>2610015000-000</t>
  </si>
  <si>
    <t>2610015001-000</t>
  </si>
  <si>
    <t>2610015002-000</t>
  </si>
  <si>
    <t>2610015006-000</t>
  </si>
  <si>
    <t>2610015008-000</t>
  </si>
  <si>
    <t>2610015009-000</t>
  </si>
  <si>
    <t>2610015010-000</t>
  </si>
  <si>
    <t>2610015011-000</t>
  </si>
  <si>
    <t>2610015012-000</t>
  </si>
  <si>
    <t>2610015014-000</t>
  </si>
  <si>
    <t>2610015015-000</t>
  </si>
  <si>
    <t>2610015016-000</t>
  </si>
  <si>
    <t>2610015017-000</t>
  </si>
  <si>
    <t>2610015018-000</t>
  </si>
  <si>
    <t>2610015019-000</t>
  </si>
  <si>
    <t>2610015021-000</t>
  </si>
  <si>
    <t>2610015022-000</t>
  </si>
  <si>
    <t>2610015026-000</t>
  </si>
  <si>
    <t>2610015027-000</t>
  </si>
  <si>
    <t>2610015030-000</t>
  </si>
  <si>
    <t>2610015031-000</t>
  </si>
  <si>
    <t>2610015035-000</t>
  </si>
  <si>
    <t>2610015038-000</t>
  </si>
  <si>
    <t>2610015039-000</t>
  </si>
  <si>
    <t>2610015040-000</t>
  </si>
  <si>
    <t>2610015043-000</t>
  </si>
  <si>
    <t>2610015044-000</t>
  </si>
  <si>
    <t>2610015045-000</t>
  </si>
  <si>
    <t>2610015047-000</t>
  </si>
  <si>
    <t>2610015048-000</t>
  </si>
  <si>
    <t>2610015049-000</t>
  </si>
  <si>
    <t>2610015050-000</t>
  </si>
  <si>
    <t>2610015051-000</t>
  </si>
  <si>
    <t>2610015052-000</t>
  </si>
  <si>
    <t>2610015053-000</t>
  </si>
  <si>
    <t>2610015054-000</t>
  </si>
  <si>
    <t>2610015055-000</t>
  </si>
  <si>
    <t>2610015058-000</t>
  </si>
  <si>
    <t>2610015059-000</t>
  </si>
  <si>
    <t>2610015061-000</t>
  </si>
  <si>
    <t>2610015062-000</t>
  </si>
  <si>
    <t>2610015063-000</t>
  </si>
  <si>
    <t>2610015064-000</t>
  </si>
  <si>
    <t>2610015065-000</t>
  </si>
  <si>
    <t>2610015066-000</t>
  </si>
  <si>
    <t>2610015067-000</t>
  </si>
  <si>
    <t>2610015069-000</t>
  </si>
  <si>
    <t>2610015070-000</t>
  </si>
  <si>
    <t>2610015071-000</t>
  </si>
  <si>
    <t>2610015073-000</t>
  </si>
  <si>
    <t>2610015074-000</t>
  </si>
  <si>
    <t>2610015075-000</t>
  </si>
  <si>
    <t>2610015076-000</t>
  </si>
  <si>
    <t>2610015077-000</t>
  </si>
  <si>
    <t>2610015078-000</t>
  </si>
  <si>
    <t>2610015080-000</t>
  </si>
  <si>
    <t>2610015091-000</t>
  </si>
  <si>
    <t>2610015093-000</t>
  </si>
  <si>
    <t>2610015236-000</t>
  </si>
  <si>
    <t>2610015241-000</t>
  </si>
  <si>
    <t>2610015256-000</t>
  </si>
  <si>
    <t>2610015357-000</t>
  </si>
  <si>
    <t>2610015359-000</t>
  </si>
  <si>
    <t>2610015446-000</t>
  </si>
  <si>
    <t>2610015507-000</t>
  </si>
  <si>
    <t>2610015629-000</t>
  </si>
  <si>
    <t>2610015716-000</t>
  </si>
  <si>
    <t>2610015730-000</t>
  </si>
  <si>
    <t>2610015844-000</t>
  </si>
  <si>
    <t>2610015848-000</t>
  </si>
  <si>
    <t>2610015849-000</t>
  </si>
  <si>
    <t>2610015850-000</t>
  </si>
  <si>
    <t>2610015923-000</t>
  </si>
  <si>
    <t>2610015926-000</t>
  </si>
  <si>
    <t>2610016070-000</t>
  </si>
  <si>
    <t>2610016072-000</t>
  </si>
  <si>
    <t>2610016557-000</t>
  </si>
  <si>
    <t>2610016558-000</t>
  </si>
  <si>
    <t>2610016559-000</t>
  </si>
  <si>
    <t>2610016560-000</t>
  </si>
  <si>
    <t>2610016561-000</t>
  </si>
  <si>
    <t>2610016562-000</t>
  </si>
  <si>
    <t>2610016563-000</t>
  </si>
  <si>
    <t>2610016565-000</t>
  </si>
  <si>
    <t>2610016566-000</t>
  </si>
  <si>
    <t>2610016567-000</t>
  </si>
  <si>
    <t>2610016801-000</t>
  </si>
  <si>
    <t>2610016810-000</t>
  </si>
  <si>
    <t>2610016828-000</t>
  </si>
  <si>
    <t>2610016996-000</t>
  </si>
  <si>
    <t>2610016997-000</t>
  </si>
  <si>
    <t>2610017000-000</t>
  </si>
  <si>
    <t>2610017001-000</t>
  </si>
  <si>
    <t>2610017002-000</t>
  </si>
  <si>
    <t>2610017003-000</t>
  </si>
  <si>
    <t>2610017004-000</t>
  </si>
  <si>
    <t>2610017005-000</t>
  </si>
  <si>
    <t>2610017007-000</t>
  </si>
  <si>
    <t>2610017008-000</t>
  </si>
  <si>
    <t>2610017009-000</t>
  </si>
  <si>
    <t>2610017013-000</t>
  </si>
  <si>
    <t>2610017014-000</t>
  </si>
  <si>
    <t>2610017015-000</t>
  </si>
  <si>
    <t>2610017016-000</t>
  </si>
  <si>
    <t>2610017017-000</t>
  </si>
  <si>
    <t>2610017018-000</t>
  </si>
  <si>
    <t>2610017019-000</t>
  </si>
  <si>
    <t>2610017020-000</t>
  </si>
  <si>
    <t>2610017021-000</t>
  </si>
  <si>
    <t>2610017022-000</t>
  </si>
  <si>
    <t>2610017023-000</t>
  </si>
  <si>
    <t>2610017024-000</t>
  </si>
  <si>
    <t>2610017025-000</t>
  </si>
  <si>
    <t>2610017026-000</t>
  </si>
  <si>
    <t>2610017027-000</t>
  </si>
  <si>
    <t>2610017028-000</t>
  </si>
  <si>
    <t>2610017029-000</t>
  </si>
  <si>
    <t>2610017030-000</t>
  </si>
  <si>
    <t>2610017031-000</t>
  </si>
  <si>
    <t>2610017032-000</t>
  </si>
  <si>
    <t>2610017033-000</t>
  </si>
  <si>
    <t>2610017034-000</t>
  </si>
  <si>
    <t>2610017035-000</t>
  </si>
  <si>
    <t>2610017036-000</t>
  </si>
  <si>
    <t>2610017037-000</t>
  </si>
  <si>
    <t>2610017038-000</t>
  </si>
  <si>
    <t>2610017039-000</t>
  </si>
  <si>
    <t>2610017040-000</t>
  </si>
  <si>
    <t>2610017041-000</t>
  </si>
  <si>
    <t>2610017046-000</t>
  </si>
  <si>
    <t>2610017047-000</t>
  </si>
  <si>
    <t>2610017049-000</t>
  </si>
  <si>
    <t>2610017050-000</t>
  </si>
  <si>
    <t>2610017051-000</t>
  </si>
  <si>
    <t>2610017052-000</t>
  </si>
  <si>
    <t>2610017053-000</t>
  </si>
  <si>
    <t>2610017054-000</t>
  </si>
  <si>
    <t>2610017056-000</t>
  </si>
  <si>
    <t>2610017057-000</t>
  </si>
  <si>
    <t>2610017058-000</t>
  </si>
  <si>
    <t>2610017060-000</t>
  </si>
  <si>
    <t>2610017110-000</t>
  </si>
  <si>
    <t>2610017111-000</t>
  </si>
  <si>
    <t>2610017161-000</t>
  </si>
  <si>
    <t>2610017262-000</t>
  </si>
  <si>
    <t>2610017348-000</t>
  </si>
  <si>
    <t>2610017642-000</t>
  </si>
  <si>
    <t>2610017807-000</t>
  </si>
  <si>
    <t>2610017808-000</t>
  </si>
  <si>
    <t>2610018332-000</t>
  </si>
  <si>
    <t>2610018374-000</t>
  </si>
  <si>
    <t>2610018461-000</t>
  </si>
  <si>
    <t>2610018891-000</t>
  </si>
  <si>
    <t>2610018983-000</t>
  </si>
  <si>
    <t>2610018987-000</t>
  </si>
  <si>
    <t>2610019122-000</t>
  </si>
  <si>
    <t>2610019126-000</t>
  </si>
  <si>
    <t>2610020639-000</t>
  </si>
  <si>
    <t>2610020656-000</t>
  </si>
  <si>
    <t>2610020858-000</t>
  </si>
  <si>
    <t>2610020934-000</t>
  </si>
  <si>
    <t>2610020976-000</t>
  </si>
  <si>
    <t>2610021159-000</t>
  </si>
  <si>
    <t>2610021218-000</t>
  </si>
  <si>
    <t>2610021281-000</t>
  </si>
  <si>
    <t>2610021311-000</t>
  </si>
  <si>
    <t>2610021321-000</t>
  </si>
  <si>
    <t>2610021327-000</t>
  </si>
  <si>
    <t>2610022571-000</t>
  </si>
  <si>
    <t>2610023173-000</t>
  </si>
  <si>
    <t>2610023174-000</t>
  </si>
  <si>
    <t>2610023231-000</t>
  </si>
  <si>
    <t>2610024569-000</t>
  </si>
  <si>
    <t>2610024574-000</t>
  </si>
  <si>
    <t>2610024575-000</t>
  </si>
  <si>
    <t>2610024626-000</t>
  </si>
  <si>
    <t>2610024627-000</t>
  </si>
  <si>
    <t>2610025596-000</t>
  </si>
  <si>
    <t>2610026126-000</t>
  </si>
  <si>
    <t>2610026667-000</t>
  </si>
  <si>
    <t>2610027360-000</t>
  </si>
  <si>
    <t>2610027372-000</t>
  </si>
  <si>
    <t>2610027396-000</t>
  </si>
  <si>
    <t>2610027445-000</t>
  </si>
  <si>
    <t>2610028780-000</t>
  </si>
  <si>
    <t>2610029234-000</t>
  </si>
  <si>
    <t>2610029562-000</t>
  </si>
  <si>
    <t>2610030004-000</t>
  </si>
  <si>
    <t>2610031628-000</t>
  </si>
  <si>
    <t>2610031712-000</t>
  </si>
  <si>
    <t>2610031874-000</t>
  </si>
  <si>
    <t>2610031876-000</t>
  </si>
  <si>
    <t>2610031877-000</t>
  </si>
  <si>
    <t>2610031890-000</t>
  </si>
  <si>
    <t>2610033091-000</t>
  </si>
  <si>
    <t>2610033160-000</t>
  </si>
  <si>
    <t>2610033555-000</t>
  </si>
  <si>
    <t>2610033559-000</t>
  </si>
  <si>
    <t>2610033560-000</t>
  </si>
  <si>
    <t>2610033561-000</t>
  </si>
  <si>
    <t>2610033563-000</t>
  </si>
  <si>
    <t>2610033564-000</t>
  </si>
  <si>
    <t>2610033566-000</t>
  </si>
  <si>
    <t>2610033571-000</t>
  </si>
  <si>
    <t>2610033572-000</t>
  </si>
  <si>
    <t>2610033576-000</t>
  </si>
  <si>
    <t>2610033577-000</t>
  </si>
  <si>
    <t>2610033578-000</t>
  </si>
  <si>
    <t>2610033579-000</t>
  </si>
  <si>
    <t>2610033580-000</t>
  </si>
  <si>
    <t>2610033581-000</t>
  </si>
  <si>
    <t>2610033592-000</t>
  </si>
  <si>
    <t>2610033601-000</t>
  </si>
  <si>
    <t>2610033602-000</t>
  </si>
  <si>
    <t>2610033603-000</t>
  </si>
  <si>
    <t>2610033606-000</t>
  </si>
  <si>
    <t>2610033973-000</t>
  </si>
  <si>
    <t>2610033988-000</t>
  </si>
  <si>
    <t>2610034087-000</t>
  </si>
  <si>
    <t>2610034090-000</t>
  </si>
  <si>
    <t>2610034094-000</t>
  </si>
  <si>
    <t>2610034095-000</t>
  </si>
  <si>
    <t>2610034096-000</t>
  </si>
  <si>
    <t>2610034103-000</t>
  </si>
  <si>
    <t>2610034140-000</t>
  </si>
  <si>
    <t>2610034141-000</t>
  </si>
  <si>
    <t>2610034142-000</t>
  </si>
  <si>
    <t>2610034143-000</t>
  </si>
  <si>
    <t>2610034144-000</t>
  </si>
  <si>
    <t>2610034145-000</t>
  </si>
  <si>
    <t>2610034146-000</t>
  </si>
  <si>
    <t>2610034147-000</t>
  </si>
  <si>
    <t>2610034148-000</t>
  </si>
  <si>
    <t>2610034150-000</t>
  </si>
  <si>
    <t>2610034151-000</t>
  </si>
  <si>
    <t>2610034153-000</t>
  </si>
  <si>
    <t>2610034156-000</t>
  </si>
  <si>
    <t>2610034157-000</t>
  </si>
  <si>
    <t>2610034158-000</t>
  </si>
  <si>
    <t>2610034159-000</t>
  </si>
  <si>
    <t>2610034161-000</t>
  </si>
  <si>
    <t>2610035222-000</t>
  </si>
  <si>
    <t>2610035267-000</t>
  </si>
  <si>
    <t>2610035686-000</t>
  </si>
  <si>
    <t>2610035687-000</t>
  </si>
  <si>
    <t>2610035688-000</t>
  </si>
  <si>
    <t>2610039153-000</t>
  </si>
  <si>
    <t>2610039904-000</t>
  </si>
  <si>
    <t>2610042699-000</t>
  </si>
  <si>
    <t>2610043378-000</t>
  </si>
  <si>
    <t>2610045182-000</t>
  </si>
  <si>
    <t>2610052109-000</t>
  </si>
  <si>
    <t>2610060362-000</t>
  </si>
  <si>
    <t>2610061550-000</t>
  </si>
  <si>
    <t>2610062425-000</t>
  </si>
  <si>
    <t>2610062916-000</t>
  </si>
  <si>
    <t>2610068566-000</t>
  </si>
  <si>
    <t>2610069183-000</t>
  </si>
  <si>
    <t>2610072554-000</t>
  </si>
  <si>
    <t>2610096901-000</t>
  </si>
  <si>
    <t>2610233020-000</t>
  </si>
  <si>
    <t>2610296243-000</t>
  </si>
  <si>
    <t>2610297323-000</t>
  </si>
  <si>
    <t>2610302855-000</t>
  </si>
  <si>
    <t>2610303020-000</t>
  </si>
  <si>
    <t>2610303023-000</t>
  </si>
  <si>
    <t>2610303026-000</t>
  </si>
  <si>
    <t>2610303029-000</t>
  </si>
  <si>
    <t>2610304772-000</t>
  </si>
  <si>
    <t>2610305670-000</t>
  </si>
  <si>
    <t>2610309525-000</t>
  </si>
  <si>
    <t>2610309996-000</t>
  </si>
  <si>
    <t>2610313808-000</t>
  </si>
  <si>
    <t>2610315386-000</t>
  </si>
  <si>
    <t>2610315865-000</t>
  </si>
  <si>
    <t>2610320126-000</t>
  </si>
  <si>
    <t>2610320339-000</t>
  </si>
  <si>
    <t>2610320345-000</t>
  </si>
  <si>
    <t>2610320418-000</t>
  </si>
  <si>
    <t>2610320494-000</t>
  </si>
  <si>
    <t>2610320548-000</t>
  </si>
  <si>
    <t>2610321417-000</t>
  </si>
  <si>
    <t>2610321605-000</t>
  </si>
  <si>
    <t>2610321608-000</t>
  </si>
  <si>
    <t>2610326017-000</t>
  </si>
  <si>
    <t>2610326023-000</t>
  </si>
  <si>
    <t>2610326529-000</t>
  </si>
  <si>
    <t>2610326586-000</t>
  </si>
  <si>
    <t>2610327772-000</t>
  </si>
  <si>
    <t>2610327868-000</t>
  </si>
  <si>
    <t>2610328605-000</t>
  </si>
  <si>
    <t>2610328617-000</t>
  </si>
  <si>
    <t>2610328618-000</t>
  </si>
  <si>
    <t>2610329896-000</t>
  </si>
  <si>
    <t>2610329898-000</t>
  </si>
  <si>
    <t>2610335225-000</t>
  </si>
  <si>
    <t>2610341255-000</t>
  </si>
  <si>
    <t>2610341257-000</t>
  </si>
  <si>
    <t>2610341268-000</t>
  </si>
  <si>
    <t>2610341288-000</t>
  </si>
  <si>
    <t>2610341299-000</t>
  </si>
  <si>
    <t>2610341304-000</t>
  </si>
  <si>
    <t>2610341307-000</t>
  </si>
  <si>
    <t>2610341343-000</t>
  </si>
  <si>
    <t>2610341347-000</t>
  </si>
  <si>
    <t>2610341350-000</t>
  </si>
  <si>
    <t>2610341354-000</t>
  </si>
  <si>
    <t>2610341359-000</t>
  </si>
  <si>
    <t>2610341361-000</t>
  </si>
  <si>
    <t>2610341363-000</t>
  </si>
  <si>
    <t>2610341366-000</t>
  </si>
  <si>
    <t>2610341392-000</t>
  </si>
  <si>
    <t>2610341394-000</t>
  </si>
  <si>
    <t>2610341395-000</t>
  </si>
  <si>
    <t>2610341396-000</t>
  </si>
  <si>
    <t>2610341405-000</t>
  </si>
  <si>
    <t>2610341465-000</t>
  </si>
  <si>
    <t>2610346315-000</t>
  </si>
  <si>
    <t>2610346316-000</t>
  </si>
  <si>
    <t>2610346317-000</t>
  </si>
  <si>
    <t>2610346320-000</t>
  </si>
  <si>
    <t>2610346330-000</t>
  </si>
  <si>
    <t>2610346332-000</t>
  </si>
  <si>
    <t>2610346341-000</t>
  </si>
  <si>
    <t>2610346342-000</t>
  </si>
  <si>
    <t>2610346349-000</t>
  </si>
  <si>
    <t>2610346351-000</t>
  </si>
  <si>
    <t>2610346352-000</t>
  </si>
  <si>
    <t>2610346358-000</t>
  </si>
  <si>
    <t>2610346362-000</t>
  </si>
  <si>
    <t>2610346364-000</t>
  </si>
  <si>
    <t>2610346370-000</t>
  </si>
  <si>
    <t>2610346372-000</t>
  </si>
  <si>
    <t>2610346373-000</t>
  </si>
  <si>
    <t>2610346374-000</t>
  </si>
  <si>
    <t>2610346380-000</t>
  </si>
  <si>
    <t>2610346381-000</t>
  </si>
  <si>
    <t>2610346454-000</t>
  </si>
  <si>
    <t>2610346455-000</t>
  </si>
  <si>
    <t>2610346456-000</t>
  </si>
  <si>
    <t>2610346459-000</t>
  </si>
  <si>
    <t>2610346554-000</t>
  </si>
  <si>
    <t>2610346603-000</t>
  </si>
  <si>
    <t>2610346609-000</t>
  </si>
  <si>
    <t>2610346618-000</t>
  </si>
  <si>
    <t>2610346793-000</t>
  </si>
  <si>
    <t>2610347092-000</t>
  </si>
  <si>
    <t>2610347100-000</t>
  </si>
  <si>
    <t>2610347126-000</t>
  </si>
  <si>
    <t>2610347301-000</t>
  </si>
  <si>
    <t>2610347305-000</t>
  </si>
  <si>
    <t>2610347349-000</t>
  </si>
  <si>
    <t>2610347350-000</t>
  </si>
  <si>
    <t>2610347358-000</t>
  </si>
  <si>
    <t>2610347363-000</t>
  </si>
  <si>
    <t>2610347406-000</t>
  </si>
  <si>
    <t>2610347486-000</t>
  </si>
  <si>
    <t>2610347566-000</t>
  </si>
  <si>
    <t>2610347892-000</t>
  </si>
  <si>
    <t>2610347911-000</t>
  </si>
  <si>
    <t>2610347918-000</t>
  </si>
  <si>
    <t>2610347948-000</t>
  </si>
  <si>
    <t>2610348065-000</t>
  </si>
  <si>
    <t>2610348355-000</t>
  </si>
  <si>
    <t>2610348357-000</t>
  </si>
  <si>
    <t>2610348374-000</t>
  </si>
  <si>
    <t>2610348394-000</t>
  </si>
  <si>
    <t>2610348399-000</t>
  </si>
  <si>
    <t>2610348570-000</t>
  </si>
  <si>
    <t>2610348586-000</t>
  </si>
  <si>
    <t>2610348609-000</t>
  </si>
  <si>
    <t>2610348613-000</t>
  </si>
  <si>
    <t>2610348614-000</t>
  </si>
  <si>
    <t>2610348621-000</t>
  </si>
  <si>
    <t>2610348628-000</t>
  </si>
  <si>
    <t>2610350009-000</t>
  </si>
  <si>
    <t>2610350103-000</t>
  </si>
  <si>
    <t>2610350311-000</t>
  </si>
  <si>
    <t>2610350352-000</t>
  </si>
  <si>
    <t>2610350359-000</t>
  </si>
  <si>
    <t>2610350360-000</t>
  </si>
  <si>
    <t>2610350377-000</t>
  </si>
  <si>
    <t>2610350554-000</t>
  </si>
  <si>
    <t>2610350555-000</t>
  </si>
  <si>
    <t>2610350556-000</t>
  </si>
  <si>
    <t>2610350558-000</t>
  </si>
  <si>
    <t>2610350560-000</t>
  </si>
  <si>
    <t>2610350567-000</t>
  </si>
  <si>
    <t>2610350568-000</t>
  </si>
  <si>
    <t>2610350570-000</t>
  </si>
  <si>
    <t>2610350571-000</t>
  </si>
  <si>
    <t>2610350572-000</t>
  </si>
  <si>
    <t>2610350575-000</t>
  </si>
  <si>
    <t>2610350583-000</t>
  </si>
  <si>
    <t>2610350655-000</t>
  </si>
  <si>
    <t>2610350657-000</t>
  </si>
  <si>
    <t>2610350662-000</t>
  </si>
  <si>
    <t>2610350665-000</t>
  </si>
  <si>
    <t>2610350667-000</t>
  </si>
  <si>
    <t>2610350668-000</t>
  </si>
  <si>
    <t>2610350672-000</t>
  </si>
  <si>
    <t>2610350677-000</t>
  </si>
  <si>
    <t>2610350679-000</t>
  </si>
  <si>
    <t>2610350683-000</t>
  </si>
  <si>
    <t>2610350688-000</t>
  </si>
  <si>
    <t>2610350691-000</t>
  </si>
  <si>
    <t>2610350720-000</t>
  </si>
  <si>
    <t>2610350729-000</t>
  </si>
  <si>
    <t>2610350758-000</t>
  </si>
  <si>
    <t>2610350763-000</t>
  </si>
  <si>
    <t>2610350765-000</t>
  </si>
  <si>
    <t>2610350776-000</t>
  </si>
  <si>
    <t>2610350777-000</t>
  </si>
  <si>
    <t>2610350781-000</t>
  </si>
  <si>
    <t>2610350788-000</t>
  </si>
  <si>
    <t>2610350793-000</t>
  </si>
  <si>
    <t>2610350934-000</t>
  </si>
  <si>
    <t>2610350939-000</t>
  </si>
  <si>
    <t>2610350941-000</t>
  </si>
  <si>
    <t>2610350943-000</t>
  </si>
  <si>
    <t>2610350945-000</t>
  </si>
  <si>
    <t>2610351011-000</t>
  </si>
  <si>
    <t>2610351012-000</t>
  </si>
  <si>
    <t>2610351014-000</t>
  </si>
  <si>
    <t>2610351015-000</t>
  </si>
  <si>
    <t>2610351016-000</t>
  </si>
  <si>
    <t>2610351018-000</t>
  </si>
  <si>
    <t>2610351034-000</t>
  </si>
  <si>
    <t>2610351037-000</t>
  </si>
  <si>
    <t>2610351040-000</t>
  </si>
  <si>
    <t>2610351041-000</t>
  </si>
  <si>
    <t>2610351048-000</t>
  </si>
  <si>
    <t>2610351049-000</t>
  </si>
  <si>
    <t>2610351201-000</t>
  </si>
  <si>
    <t>2610351222-000</t>
  </si>
  <si>
    <t>2610351285-000</t>
  </si>
  <si>
    <t>2610351295-000</t>
  </si>
  <si>
    <t>2610351348-000</t>
  </si>
  <si>
    <t>2610351415-000</t>
  </si>
  <si>
    <t>2610351837-000</t>
  </si>
  <si>
    <t>2610351851-000</t>
  </si>
  <si>
    <t>2610351853-000</t>
  </si>
  <si>
    <t>2610351861-000</t>
  </si>
  <si>
    <t>2610351898-000</t>
  </si>
  <si>
    <t>2610352019-000</t>
  </si>
  <si>
    <t>2610352042-000</t>
  </si>
  <si>
    <t>2610352107-000</t>
  </si>
  <si>
    <t>2610352355-000</t>
  </si>
  <si>
    <t>2610352367-000</t>
  </si>
  <si>
    <t>2610352373-000</t>
  </si>
  <si>
    <t>2610352613-000</t>
  </si>
  <si>
    <t>2610352624-000</t>
  </si>
  <si>
    <t>2610352629-000</t>
  </si>
  <si>
    <t>2610352716-000</t>
  </si>
  <si>
    <t>2610352770-000</t>
  </si>
  <si>
    <t>2610352772-000</t>
  </si>
  <si>
    <t>2610352773-000</t>
  </si>
  <si>
    <t>2610352774-000</t>
  </si>
  <si>
    <t>2610352805-000</t>
  </si>
  <si>
    <t>2610352839-000</t>
  </si>
  <si>
    <t>2610352840-000</t>
  </si>
  <si>
    <t>2610352856-000</t>
  </si>
  <si>
    <t>2610352858-000</t>
  </si>
  <si>
    <t>2610352875-000</t>
  </si>
  <si>
    <t>2610352876-000</t>
  </si>
  <si>
    <t>2610352893-000</t>
  </si>
  <si>
    <t>2610353027-000</t>
  </si>
  <si>
    <t>2610353292-000</t>
  </si>
  <si>
    <t>2610353294-000</t>
  </si>
  <si>
    <t>2610353356-000</t>
  </si>
  <si>
    <t>2610353370-000</t>
  </si>
  <si>
    <t>2610353371-000</t>
  </si>
  <si>
    <t>2610353372-000</t>
  </si>
  <si>
    <t>2610353373-000</t>
  </si>
  <si>
    <t>2610353374-000</t>
  </si>
  <si>
    <t>2610353376-000</t>
  </si>
  <si>
    <t>2610353377-000</t>
  </si>
  <si>
    <t>2610353378-000</t>
  </si>
  <si>
    <t>2610353379-000</t>
  </si>
  <si>
    <t>2610353380-000</t>
  </si>
  <si>
    <t>2610353381-000</t>
  </si>
  <si>
    <t>2610353384-000</t>
  </si>
  <si>
    <t>2610353395-000</t>
  </si>
  <si>
    <t>2610353399-000</t>
  </si>
  <si>
    <t>2610353400-000</t>
  </si>
  <si>
    <t>2610353401-000</t>
  </si>
  <si>
    <t>2610353407-000</t>
  </si>
  <si>
    <t>2610353411-000</t>
  </si>
  <si>
    <t>2610353412-000</t>
  </si>
  <si>
    <t>2610353424-000</t>
  </si>
  <si>
    <t>2610353425-000</t>
  </si>
  <si>
    <t>2610353426-000</t>
  </si>
  <si>
    <t>2610353433-000</t>
  </si>
  <si>
    <t>2610353434-000</t>
  </si>
  <si>
    <t>2610353446-000</t>
  </si>
  <si>
    <t>2610353447-000</t>
  </si>
  <si>
    <t>2610353495-000</t>
  </si>
  <si>
    <t>2610353752-000</t>
  </si>
  <si>
    <t>2610353753-000</t>
  </si>
  <si>
    <t>2610353754-000</t>
  </si>
  <si>
    <t>2610353759-000</t>
  </si>
  <si>
    <t>2610353949-000</t>
  </si>
  <si>
    <t>2610353992-000</t>
  </si>
  <si>
    <t>2610353993-000</t>
  </si>
  <si>
    <t>2610353994-000</t>
  </si>
  <si>
    <t>2610353999-000</t>
  </si>
  <si>
    <t>2610354001-000</t>
  </si>
  <si>
    <t>2610354011-000</t>
  </si>
  <si>
    <t>2610354016-000</t>
  </si>
  <si>
    <t>2610354063-000</t>
  </si>
  <si>
    <t>2610354064-000</t>
  </si>
  <si>
    <t>2610354369-000</t>
  </si>
  <si>
    <t>2610354385-000</t>
  </si>
  <si>
    <t>2610354398-000</t>
  </si>
  <si>
    <t>2610354457-000</t>
  </si>
  <si>
    <t>2610354662-000</t>
  </si>
  <si>
    <t>2610354697-000</t>
  </si>
  <si>
    <t>2610354721-000</t>
  </si>
  <si>
    <t>2610354744-000</t>
  </si>
  <si>
    <t>2610354747-000</t>
  </si>
  <si>
    <t>2610355200-000</t>
  </si>
  <si>
    <t>2610355202-000</t>
  </si>
  <si>
    <t>2610355205-000</t>
  </si>
  <si>
    <t>2610355206-000</t>
  </si>
  <si>
    <t>2610355207-000</t>
  </si>
  <si>
    <t>2610355208-000</t>
  </si>
  <si>
    <t>2610355209-000</t>
  </si>
  <si>
    <t>2610355210-000</t>
  </si>
  <si>
    <t>2610355211-000</t>
  </si>
  <si>
    <t>2610355212-000</t>
  </si>
  <si>
    <t>2610355217-000</t>
  </si>
  <si>
    <t>2610355264-000</t>
  </si>
  <si>
    <t>2610355267-000</t>
  </si>
  <si>
    <t>2610355272-000</t>
  </si>
  <si>
    <t>2610355278-000</t>
  </si>
  <si>
    <t>2610355293-000</t>
  </si>
  <si>
    <t>2610355295-000</t>
  </si>
  <si>
    <t>2610355304-000</t>
  </si>
  <si>
    <t>2610355320-000</t>
  </si>
  <si>
    <t>2610355325-000</t>
  </si>
  <si>
    <t>2610355332-000</t>
  </si>
  <si>
    <t>2610355337-000</t>
  </si>
  <si>
    <t>2610355338-000</t>
  </si>
  <si>
    <t>2610355550-000</t>
  </si>
  <si>
    <t>2610355559-000</t>
  </si>
  <si>
    <t>2610355560-000</t>
  </si>
  <si>
    <t>2610355570-000</t>
  </si>
  <si>
    <t>2610355577-000</t>
  </si>
  <si>
    <t>2610355581-000</t>
  </si>
  <si>
    <t>2610355582-000</t>
  </si>
  <si>
    <t>2610355586-000</t>
  </si>
  <si>
    <t>2610355596-000</t>
  </si>
  <si>
    <t>2610355655-000</t>
  </si>
  <si>
    <t>2610355665-000</t>
  </si>
  <si>
    <t>2610355677-000</t>
  </si>
  <si>
    <t>2610355678-000</t>
  </si>
  <si>
    <t>2610355710-000</t>
  </si>
  <si>
    <t>2610355738-000</t>
  </si>
  <si>
    <t>2610355739-000</t>
  </si>
  <si>
    <t>2610355746-000</t>
  </si>
  <si>
    <t>2610355777-000</t>
  </si>
  <si>
    <t>2610356016-000</t>
  </si>
  <si>
    <t>2610356017-000</t>
  </si>
  <si>
    <t>2610356029-000</t>
  </si>
  <si>
    <t>2610356033-000</t>
  </si>
  <si>
    <t>2610356036-000</t>
  </si>
  <si>
    <t>2610356652-000</t>
  </si>
  <si>
    <t>2610356675-000</t>
  </si>
  <si>
    <t>2610356680-000</t>
  </si>
  <si>
    <t>2610356706-000</t>
  </si>
  <si>
    <t>2610356733-000</t>
  </si>
  <si>
    <t>2610356794-000</t>
  </si>
  <si>
    <t>2610357092-000</t>
  </si>
  <si>
    <t>2610357411-000</t>
  </si>
  <si>
    <t>2610357532-000</t>
  </si>
  <si>
    <t>2610357542-000</t>
  </si>
  <si>
    <t>2610358001-000</t>
  </si>
  <si>
    <t>2610358010-000</t>
  </si>
  <si>
    <t>2610358011-000</t>
  </si>
  <si>
    <t>2610358013-000</t>
  </si>
  <si>
    <t>2610358021-000</t>
  </si>
  <si>
    <t>2610358055-000</t>
  </si>
  <si>
    <t>2610358064-000</t>
  </si>
  <si>
    <t>2610358149-000</t>
  </si>
  <si>
    <t>2610358172-000</t>
  </si>
  <si>
    <t>2610358439-000</t>
  </si>
  <si>
    <t>2610358560-000</t>
  </si>
  <si>
    <t>2610358578-000</t>
  </si>
  <si>
    <t>2610358595-000</t>
  </si>
  <si>
    <t>2610358598-000</t>
  </si>
  <si>
    <t>2610358652-000</t>
  </si>
  <si>
    <t>2610358802-000</t>
  </si>
  <si>
    <t>2610358832-000</t>
  </si>
  <si>
    <t>2610358842-000</t>
  </si>
  <si>
    <t>2610358844-000</t>
  </si>
  <si>
    <t>2610358846-000</t>
  </si>
  <si>
    <t>2610358858-000</t>
  </si>
  <si>
    <t>2610358892-000</t>
  </si>
  <si>
    <t>2610358901-000</t>
  </si>
  <si>
    <t>2610358932-000</t>
  </si>
  <si>
    <t>2610358936-000</t>
  </si>
  <si>
    <t>2610360176-000</t>
  </si>
  <si>
    <t>2610361473-000</t>
  </si>
  <si>
    <t>2610361665-000</t>
  </si>
  <si>
    <t>2610361694-000</t>
  </si>
  <si>
    <t>2610362954-000</t>
  </si>
  <si>
    <t>2610364015-000</t>
  </si>
  <si>
    <t>2610364374-000</t>
  </si>
  <si>
    <t>2610366280-000</t>
  </si>
  <si>
    <t>2610366556-000</t>
  </si>
  <si>
    <t>2610366564-000</t>
  </si>
  <si>
    <t>2610366635-000</t>
  </si>
  <si>
    <t>2610366653-000</t>
  </si>
  <si>
    <t>2610367088-000</t>
  </si>
  <si>
    <t>2610367507-000</t>
  </si>
  <si>
    <t>2610367556-000</t>
  </si>
  <si>
    <t>2610367938-000</t>
  </si>
  <si>
    <t>2610370203-000</t>
  </si>
  <si>
    <t>2610370207-000</t>
  </si>
  <si>
    <t>2610370208-000</t>
  </si>
  <si>
    <t>2610370209-000</t>
  </si>
  <si>
    <t>2610370210-000</t>
  </si>
  <si>
    <t>2610370211-000</t>
  </si>
  <si>
    <t>2610370213-000</t>
  </si>
  <si>
    <t>2610370222-000</t>
  </si>
  <si>
    <t>2610370223-000</t>
  </si>
  <si>
    <t>2610370224-000</t>
  </si>
  <si>
    <t>2610370225-000</t>
  </si>
  <si>
    <t>2610370230-000</t>
  </si>
  <si>
    <t>2610370234-000</t>
  </si>
  <si>
    <t>2610370238-000</t>
  </si>
  <si>
    <t>2610370241-000</t>
  </si>
  <si>
    <t>2610370243-000</t>
  </si>
  <si>
    <t>2610370967-000</t>
  </si>
  <si>
    <t>2610371010-000</t>
  </si>
  <si>
    <t>2610371020-000</t>
  </si>
  <si>
    <t>2610371021-000</t>
  </si>
  <si>
    <t>2610371026-000</t>
  </si>
  <si>
    <t>2610371027-000</t>
  </si>
  <si>
    <t>2610371028-000</t>
  </si>
  <si>
    <t>2610371029-000</t>
  </si>
  <si>
    <t>2610371031-000</t>
  </si>
  <si>
    <t>2610371034-000</t>
  </si>
  <si>
    <t>2610371035-000</t>
  </si>
  <si>
    <t>2610371036-000</t>
  </si>
  <si>
    <t>2610371037-000</t>
  </si>
  <si>
    <t>2610371038-000</t>
  </si>
  <si>
    <t>2610371043-000</t>
  </si>
  <si>
    <t>2610371044-000</t>
  </si>
  <si>
    <t>2610371045-000</t>
  </si>
  <si>
    <t>2610371048-000</t>
  </si>
  <si>
    <t>2610371049-000</t>
  </si>
  <si>
    <t>2610371278-000</t>
  </si>
  <si>
    <t>2610371776-000</t>
  </si>
  <si>
    <t>2610371777-000</t>
  </si>
  <si>
    <t>2610371784-000</t>
  </si>
  <si>
    <t>2610372012-000</t>
  </si>
  <si>
    <t>2610372068-000</t>
  </si>
  <si>
    <t>2610372635-000</t>
  </si>
  <si>
    <t>2610372764-000</t>
  </si>
  <si>
    <t>2610372768-000</t>
  </si>
  <si>
    <t>2610372770-000</t>
  </si>
  <si>
    <t>2610372780-000</t>
  </si>
  <si>
    <t>2610372781-000</t>
  </si>
  <si>
    <t>2610372783-000</t>
  </si>
  <si>
    <t>2610372789-000</t>
  </si>
  <si>
    <t>2610372883-000</t>
  </si>
  <si>
    <t>2610373248-000</t>
  </si>
  <si>
    <t>2610373249-000</t>
  </si>
  <si>
    <t>2610373250-000</t>
  </si>
  <si>
    <t>2610373251-000</t>
  </si>
  <si>
    <t>2610373315-000</t>
  </si>
  <si>
    <t>2610373415-000</t>
  </si>
  <si>
    <t>2610373494-000</t>
  </si>
  <si>
    <t>2610373897-000</t>
  </si>
  <si>
    <t>2610373995-000</t>
  </si>
  <si>
    <t>2610373997-000</t>
  </si>
  <si>
    <t>2610374649-000</t>
  </si>
  <si>
    <t>2610374700-000</t>
  </si>
  <si>
    <t>2610374704-000</t>
  </si>
  <si>
    <t>2610374725-000</t>
  </si>
  <si>
    <t>2610374862-000</t>
  </si>
  <si>
    <t>2610374919-000</t>
  </si>
  <si>
    <t>2610374984-000</t>
  </si>
  <si>
    <t>2610374994-000</t>
  </si>
  <si>
    <t>2610376135-000</t>
  </si>
  <si>
    <t>2610376140-000</t>
  </si>
  <si>
    <t>2610376234-000</t>
  </si>
  <si>
    <t>2610376249-000</t>
  </si>
  <si>
    <t>2610376473-000</t>
  </si>
  <si>
    <t>2610376656-000</t>
  </si>
  <si>
    <t>2610376663-000</t>
  </si>
  <si>
    <t>2610376669-000</t>
  </si>
  <si>
    <t>2610376674-000</t>
  </si>
  <si>
    <t>2610376749-000</t>
  </si>
  <si>
    <t>2610376750-000</t>
  </si>
  <si>
    <t>2610376866-000</t>
  </si>
  <si>
    <t>2610376869-000</t>
  </si>
  <si>
    <t>2610376870-000</t>
  </si>
  <si>
    <t>2610376873-000</t>
  </si>
  <si>
    <t>2610376874-000</t>
  </si>
  <si>
    <t>2610376878-000</t>
  </si>
  <si>
    <t>2610376880-000</t>
  </si>
  <si>
    <t>2610377099-000</t>
  </si>
  <si>
    <t>2610377223-000</t>
  </si>
  <si>
    <t>2610377318-000</t>
  </si>
  <si>
    <t>2610377321-000</t>
  </si>
  <si>
    <t>2610377470-000</t>
  </si>
  <si>
    <t>2610377476-000</t>
  </si>
  <si>
    <t>2610377477-000</t>
  </si>
  <si>
    <t>2610377480-000</t>
  </si>
  <si>
    <t>2610377484-000</t>
  </si>
  <si>
    <t>2610377487-000</t>
  </si>
  <si>
    <t>2610377562-000</t>
  </si>
  <si>
    <t>2610377563-000</t>
  </si>
  <si>
    <t>2610377565-000</t>
  </si>
  <si>
    <t>2610377566-000</t>
  </si>
  <si>
    <t>2610377567-000</t>
  </si>
  <si>
    <t>2610383159-000</t>
  </si>
  <si>
    <t>2610384231-000</t>
  </si>
  <si>
    <t>2610384233-000</t>
  </si>
  <si>
    <t>2610384236-000</t>
  </si>
  <si>
    <t>2610384237-000</t>
  </si>
  <si>
    <t>2610384240-000</t>
  </si>
  <si>
    <t>2610384263-000</t>
  </si>
  <si>
    <t>2610384264-000</t>
  </si>
  <si>
    <t>2610384266-000</t>
  </si>
  <si>
    <t>2610384267-000</t>
  </si>
  <si>
    <t>2610384299-000</t>
  </si>
  <si>
    <t>2610384300-000</t>
  </si>
  <si>
    <t>2610384301-000</t>
  </si>
  <si>
    <t>2610384302-000</t>
  </si>
  <si>
    <t>2610384304-000</t>
  </si>
  <si>
    <t>2610384305-000</t>
  </si>
  <si>
    <t>2610384306-000</t>
  </si>
  <si>
    <t>2610384309-000</t>
  </si>
  <si>
    <t>2610384310-000</t>
  </si>
  <si>
    <t>2610384311-000</t>
  </si>
  <si>
    <t>2610384321-000</t>
  </si>
  <si>
    <t>2610384329-000</t>
  </si>
  <si>
    <t>2610384337-000</t>
  </si>
  <si>
    <t>2610384418-000</t>
  </si>
  <si>
    <t>2610384555-000</t>
  </si>
  <si>
    <t>2610384556-000</t>
  </si>
  <si>
    <t>2610384558-000</t>
  </si>
  <si>
    <t>2610384778-000</t>
  </si>
  <si>
    <t>2610384794-000</t>
  </si>
  <si>
    <t>2610384795-000</t>
  </si>
  <si>
    <t>2610384797-000</t>
  </si>
  <si>
    <t>2610384960-000</t>
  </si>
  <si>
    <t>2610384961-000</t>
  </si>
  <si>
    <t>2610384962-000</t>
  </si>
  <si>
    <t>2610385129-000</t>
  </si>
  <si>
    <t>2610385171-000</t>
  </si>
  <si>
    <t>2610385254-000</t>
  </si>
  <si>
    <t>2610385396-000</t>
  </si>
  <si>
    <t>2610385456-000</t>
  </si>
  <si>
    <t>2610385457-000</t>
  </si>
  <si>
    <t>2610385458-000</t>
  </si>
  <si>
    <t>2610385459-000</t>
  </si>
  <si>
    <t>2610385460-000</t>
  </si>
  <si>
    <t>2610385613-000</t>
  </si>
  <si>
    <t>2610385699-000</t>
  </si>
  <si>
    <t>2610385740-000</t>
  </si>
  <si>
    <t>2610385741-000</t>
  </si>
  <si>
    <t>2610385742-000</t>
  </si>
  <si>
    <t>2610385776-000</t>
  </si>
  <si>
    <t>2610385958-000</t>
  </si>
  <si>
    <t>2610385960-000</t>
  </si>
  <si>
    <t>2610385991-000</t>
  </si>
  <si>
    <t>2610386053-000</t>
  </si>
  <si>
    <t>2610386089-000</t>
  </si>
  <si>
    <t>2610386090-000</t>
  </si>
  <si>
    <t>2610386091-000</t>
  </si>
  <si>
    <t>2610386095-000</t>
  </si>
  <si>
    <t>2610386102-000</t>
  </si>
  <si>
    <t>2610386104-000</t>
  </si>
  <si>
    <t>2610386382-000</t>
  </si>
  <si>
    <t>2610386395-000</t>
  </si>
  <si>
    <t>2610386398-000</t>
  </si>
  <si>
    <t>2610386423-000</t>
  </si>
  <si>
    <t>2610386442-000</t>
  </si>
  <si>
    <t>2610386454-000</t>
  </si>
  <si>
    <t>2610386470-000</t>
  </si>
  <si>
    <t>2610386471-000</t>
  </si>
  <si>
    <t>2610386472-000</t>
  </si>
  <si>
    <t>2610386516-000</t>
  </si>
  <si>
    <t>2610386542-000</t>
  </si>
  <si>
    <t>2610386545-000</t>
  </si>
  <si>
    <t>2610386546-000</t>
  </si>
  <si>
    <t>2610386556-000</t>
  </si>
  <si>
    <t>2610386570-000</t>
  </si>
  <si>
    <t>2610386606-000</t>
  </si>
  <si>
    <t>2610386607-000</t>
  </si>
  <si>
    <t>2610386608-000</t>
  </si>
  <si>
    <t>2610386630-000</t>
  </si>
  <si>
    <t>2610386669-000</t>
  </si>
  <si>
    <t>2610386695-000</t>
  </si>
  <si>
    <t>2610386696-000</t>
  </si>
  <si>
    <t>2610386698-000</t>
  </si>
  <si>
    <t>2610386700-000</t>
  </si>
  <si>
    <t>2610386701-000</t>
  </si>
  <si>
    <t>2610386702-000</t>
  </si>
  <si>
    <t>2610386834-000</t>
  </si>
  <si>
    <t>2610386835-000</t>
  </si>
  <si>
    <t>2610386836-000</t>
  </si>
  <si>
    <t>2610386889-000</t>
  </si>
  <si>
    <t>2610386922-000</t>
  </si>
  <si>
    <t>2610387014-000</t>
  </si>
  <si>
    <t>2610387047-000</t>
  </si>
  <si>
    <t>2610387211-000</t>
  </si>
  <si>
    <t>2610387212-000</t>
  </si>
  <si>
    <t>2610387218-000</t>
  </si>
  <si>
    <t>2610387247-000</t>
  </si>
  <si>
    <t>2610387532-000</t>
  </si>
  <si>
    <t>2610387779-000</t>
  </si>
  <si>
    <t>2610387781-000</t>
  </si>
  <si>
    <t>2610387799-000</t>
  </si>
  <si>
    <t>2610387874-000</t>
  </si>
  <si>
    <t>2610387875-000</t>
  </si>
  <si>
    <t>2610387920-000</t>
  </si>
  <si>
    <t>2610387925-000</t>
  </si>
  <si>
    <t>2610387965-000</t>
  </si>
  <si>
    <t>2610387966-000</t>
  </si>
  <si>
    <t>2610387967-000</t>
  </si>
  <si>
    <t>2610387977-000</t>
  </si>
  <si>
    <t>2610387984-000</t>
  </si>
  <si>
    <t>2610387990-000</t>
  </si>
  <si>
    <t>2610387991-000</t>
  </si>
  <si>
    <t>2610388002-000</t>
  </si>
  <si>
    <t>2610388048-000</t>
  </si>
  <si>
    <t>2610388050-000</t>
  </si>
  <si>
    <t>2610388051-000</t>
  </si>
  <si>
    <t>2610388251-000</t>
  </si>
  <si>
    <t>2610388369-000</t>
  </si>
  <si>
    <t>2610388523-000</t>
  </si>
  <si>
    <t>2610388701-000</t>
  </si>
  <si>
    <t>2610388757-000</t>
  </si>
  <si>
    <t>2610388759-000</t>
  </si>
  <si>
    <t>2610388779-000</t>
  </si>
  <si>
    <t>2610388781-000</t>
  </si>
  <si>
    <t>2610388813-000</t>
  </si>
  <si>
    <t>2610388840-000</t>
  </si>
  <si>
    <t>2610388950-000</t>
  </si>
  <si>
    <t>2610388968-000</t>
  </si>
  <si>
    <t>2610389010-000</t>
  </si>
  <si>
    <t>2610389032-000</t>
  </si>
  <si>
    <t>2610389035-000</t>
  </si>
  <si>
    <t>2610389036-000</t>
  </si>
  <si>
    <t>2610389040-000</t>
  </si>
  <si>
    <t>2610389123-000</t>
  </si>
  <si>
    <t>2610389703-000</t>
  </si>
  <si>
    <t>2610389756-000</t>
  </si>
  <si>
    <t>2610390098-000</t>
  </si>
  <si>
    <t>2610390620-000</t>
  </si>
  <si>
    <t>2610390892-000</t>
  </si>
  <si>
    <t>2610390992-000</t>
  </si>
  <si>
    <t>2610391898-000</t>
  </si>
  <si>
    <t>2610392429-000</t>
  </si>
  <si>
    <t>2610393200-000</t>
  </si>
  <si>
    <t>2610393201-000</t>
  </si>
  <si>
    <t>2610393202-000</t>
  </si>
  <si>
    <t>2610393203-000</t>
  </si>
  <si>
    <t>2610393204-000</t>
  </si>
  <si>
    <t>2610393205-000</t>
  </si>
  <si>
    <t>2610393206-000</t>
  </si>
  <si>
    <t>2610393207-000</t>
  </si>
  <si>
    <t>2610393208-000</t>
  </si>
  <si>
    <t>2610393209-000</t>
  </si>
  <si>
    <t>2610393210-000</t>
  </si>
  <si>
    <t>2610393212-000</t>
  </si>
  <si>
    <t>2610393213-000</t>
  </si>
  <si>
    <t>2610393214-000</t>
  </si>
  <si>
    <t>2610393215-000</t>
  </si>
  <si>
    <t>2610393852-000</t>
  </si>
  <si>
    <t>2610393855-000</t>
  </si>
  <si>
    <t>2610393858-000</t>
  </si>
  <si>
    <t>2610393904-000</t>
  </si>
  <si>
    <t>2610393906-000</t>
  </si>
  <si>
    <t>2610393908-000</t>
  </si>
  <si>
    <t>2610394008-000</t>
  </si>
  <si>
    <t>2610394009-000</t>
  </si>
  <si>
    <t>2610394010-000</t>
  </si>
  <si>
    <t>2610394011-000</t>
  </si>
  <si>
    <t>2610394012-000</t>
  </si>
  <si>
    <t>2610394013-000</t>
  </si>
  <si>
    <t>2610394014-000</t>
  </si>
  <si>
    <t>2610394092-000</t>
  </si>
  <si>
    <t>2610394095-000</t>
  </si>
  <si>
    <t>2610394097-000</t>
  </si>
  <si>
    <t>2610394098-000</t>
  </si>
  <si>
    <t>2610394099-000</t>
  </si>
  <si>
    <t>2610394100-000</t>
  </si>
  <si>
    <t>2610394101-000</t>
  </si>
  <si>
    <t>2610394102-000</t>
  </si>
  <si>
    <t>2610394103-000</t>
  </si>
  <si>
    <t>2610394105-000</t>
  </si>
  <si>
    <t>2610394289-000</t>
  </si>
  <si>
    <t>2610394290-000</t>
  </si>
  <si>
    <t>2610394291-000</t>
  </si>
  <si>
    <t>2610394292-000</t>
  </si>
  <si>
    <t>2610394293-000</t>
  </si>
  <si>
    <t>2610394294-000</t>
  </si>
  <si>
    <t>2610394295-000</t>
  </si>
  <si>
    <t>2610394296-000</t>
  </si>
  <si>
    <t>2610394297-000</t>
  </si>
  <si>
    <t>2610394298-000</t>
  </si>
  <si>
    <t>2610394299-000</t>
  </si>
  <si>
    <t>2610394300-000</t>
  </si>
  <si>
    <t>2610394302-000</t>
  </si>
  <si>
    <t>2610394303-000</t>
  </si>
  <si>
    <t>2610394307-000</t>
  </si>
  <si>
    <t>2610394329-000</t>
  </si>
  <si>
    <t>2610394330-000</t>
  </si>
  <si>
    <t>2610394331-000</t>
  </si>
  <si>
    <t>2610394332-000</t>
  </si>
  <si>
    <t>2610394333-000</t>
  </si>
  <si>
    <t>2610394334-000</t>
  </si>
  <si>
    <t>2610394451-000</t>
  </si>
  <si>
    <t>2610394608-000</t>
  </si>
  <si>
    <t>2610394609-000</t>
  </si>
  <si>
    <t>2610394612-000</t>
  </si>
  <si>
    <t>2610394613-000</t>
  </si>
  <si>
    <t>2610394614-000</t>
  </si>
  <si>
    <t>2610394615-000</t>
  </si>
  <si>
    <t>2610394617-000</t>
  </si>
  <si>
    <t>2610394619-000</t>
  </si>
  <si>
    <t>2610394621-000</t>
  </si>
  <si>
    <t>2610394623-000</t>
  </si>
  <si>
    <t>2610394625-000</t>
  </si>
  <si>
    <t>2610394626-000</t>
  </si>
  <si>
    <t>2610394627-000</t>
  </si>
  <si>
    <t>2610394628-000</t>
  </si>
  <si>
    <t>2610394630-000</t>
  </si>
  <si>
    <t>2610394631-000</t>
  </si>
  <si>
    <t>2610394632-000</t>
  </si>
  <si>
    <t>2610394634-000</t>
  </si>
  <si>
    <t>2610394635-000</t>
  </si>
  <si>
    <t>2610394636-000</t>
  </si>
  <si>
    <t>2610394689-000</t>
  </si>
  <si>
    <t>2610395100-000</t>
  </si>
  <si>
    <t>2610395434-000</t>
  </si>
  <si>
    <t>2610395435-000</t>
  </si>
  <si>
    <t>2610395436-000</t>
  </si>
  <si>
    <t>2610395438-000</t>
  </si>
  <si>
    <t>2610395439-000</t>
  </si>
  <si>
    <t>2610395440-000</t>
  </si>
  <si>
    <t>2610395441-000</t>
  </si>
  <si>
    <t>2610395442-000</t>
  </si>
  <si>
    <t>2610395444-000</t>
  </si>
  <si>
    <t>2610395445-000</t>
  </si>
  <si>
    <t>2610395446-000</t>
  </si>
  <si>
    <t>2610395447-000</t>
  </si>
  <si>
    <t>2610395448-000</t>
  </si>
  <si>
    <t>2610395449-000</t>
  </si>
  <si>
    <t>2610395786-000</t>
  </si>
  <si>
    <t>2610395788-000</t>
  </si>
  <si>
    <t>2610395789-000</t>
  </si>
  <si>
    <t>2610395791-000</t>
  </si>
  <si>
    <t>2610395792-000</t>
  </si>
  <si>
    <t>2610395793-000</t>
  </si>
  <si>
    <t>2610395794-000</t>
  </si>
  <si>
    <t>2610395795-000</t>
  </si>
  <si>
    <t>2610395796-000</t>
  </si>
  <si>
    <t>2610395797-000</t>
  </si>
  <si>
    <t>2610395798-000</t>
  </si>
  <si>
    <t>2610395799-000</t>
  </si>
  <si>
    <t>2610395802-000</t>
  </si>
  <si>
    <t>2610395803-000</t>
  </si>
  <si>
    <t>2610395804-000</t>
  </si>
  <si>
    <t>2610395805-000</t>
  </si>
  <si>
    <t>2610395810-000</t>
  </si>
  <si>
    <t>2610395811-000</t>
  </si>
  <si>
    <t>2610395812-000</t>
  </si>
  <si>
    <t>2610396238-000</t>
  </si>
  <si>
    <t>2610396241-000</t>
  </si>
  <si>
    <t>2610396242-000</t>
  </si>
  <si>
    <t>2610396244-000</t>
  </si>
  <si>
    <t>2610396245-000</t>
  </si>
  <si>
    <t>2610396251-000</t>
  </si>
  <si>
    <t>2610396254-000</t>
  </si>
  <si>
    <t>2610396255-000</t>
  </si>
  <si>
    <t>2610396256-000</t>
  </si>
  <si>
    <t>2610396257-000</t>
  </si>
  <si>
    <t>2610396346-000</t>
  </si>
  <si>
    <t>2610396347-000</t>
  </si>
  <si>
    <t>2610396350-000</t>
  </si>
  <si>
    <t>2610396352-000</t>
  </si>
  <si>
    <t>2610396358-000</t>
  </si>
  <si>
    <t>2610396536-000</t>
  </si>
  <si>
    <t>2610396574-000</t>
  </si>
  <si>
    <t>2610397036-000</t>
  </si>
  <si>
    <t>2610397037-000</t>
  </si>
  <si>
    <t>2610397038-000</t>
  </si>
  <si>
    <t>2610397039-000</t>
  </si>
  <si>
    <t>2610397040-000</t>
  </si>
  <si>
    <t>2610397041-000</t>
  </si>
  <si>
    <t>2610397042-000</t>
  </si>
  <si>
    <t>2610397043-000</t>
  </si>
  <si>
    <t>2610397044-000</t>
  </si>
  <si>
    <t>2610397045-000</t>
  </si>
  <si>
    <t>2610397046-000</t>
  </si>
  <si>
    <t>2610397047-000</t>
  </si>
  <si>
    <t>2610397056-000</t>
  </si>
  <si>
    <t>2610397057-000</t>
  </si>
  <si>
    <t>2610397058-000</t>
  </si>
  <si>
    <t>2610397059-000</t>
  </si>
  <si>
    <t>2610397060-000</t>
  </si>
  <si>
    <t>2610397061-000</t>
  </si>
  <si>
    <t>2610397066-000</t>
  </si>
  <si>
    <t>2610397067-000</t>
  </si>
  <si>
    <t>2610397068-000</t>
  </si>
  <si>
    <t>2610397069-000</t>
  </si>
  <si>
    <t>2610397124-000</t>
  </si>
  <si>
    <t>2610397235-000</t>
  </si>
  <si>
    <t>2610397236-000</t>
  </si>
  <si>
    <t>2610397345-000</t>
  </si>
  <si>
    <t>2610397346-000</t>
  </si>
  <si>
    <t>2610397748-000</t>
  </si>
  <si>
    <t>2610398305-000</t>
  </si>
  <si>
    <t>2610398306-000</t>
  </si>
  <si>
    <t>2610398487-000</t>
  </si>
  <si>
    <t>2610398522-000</t>
  </si>
  <si>
    <t>2610398578-000</t>
  </si>
  <si>
    <t>2610398579-000</t>
  </si>
  <si>
    <t>2610398580-000</t>
  </si>
  <si>
    <t>2610398581-000</t>
  </si>
  <si>
    <t>2610398583-000</t>
  </si>
  <si>
    <t>2610398585-000</t>
  </si>
  <si>
    <t>2610398586-000</t>
  </si>
  <si>
    <t>2610398587-000</t>
  </si>
  <si>
    <t>2610398589-000</t>
  </si>
  <si>
    <t>2610398590-000</t>
  </si>
  <si>
    <t>2610398591-000</t>
  </si>
  <si>
    <t>2610398735-000</t>
  </si>
  <si>
    <t>2610398736-000</t>
  </si>
  <si>
    <t>2610398737-000</t>
  </si>
  <si>
    <t>2610398739-000</t>
  </si>
  <si>
    <t>2610398743-000</t>
  </si>
  <si>
    <t>2610398744-000</t>
  </si>
  <si>
    <t>2610398745-000</t>
  </si>
  <si>
    <t>2610398746-000</t>
  </si>
  <si>
    <t>2610398860-000</t>
  </si>
  <si>
    <t>2610398861-000</t>
  </si>
  <si>
    <t>2610398862-000</t>
  </si>
  <si>
    <t>2610398863-000</t>
  </si>
  <si>
    <t>2610398864-000</t>
  </si>
  <si>
    <t>2610398865-000</t>
  </si>
  <si>
    <t>2610398866-000</t>
  </si>
  <si>
    <t>2610398867-000</t>
  </si>
  <si>
    <t>2610398868-000</t>
  </si>
  <si>
    <t>2610398869-000</t>
  </si>
  <si>
    <t>2610398870-000</t>
  </si>
  <si>
    <t>2610398871-000</t>
  </si>
  <si>
    <t>2610398872-000</t>
  </si>
  <si>
    <t>2610398873-000</t>
  </si>
  <si>
    <t>2610398874-000</t>
  </si>
  <si>
    <t>2610398875-000</t>
  </si>
  <si>
    <t>2610398876-000</t>
  </si>
  <si>
    <t>2610398877-000</t>
  </si>
  <si>
    <t>2610398878-000</t>
  </si>
  <si>
    <t>2610398879-000</t>
  </si>
  <si>
    <t>2610398880-000</t>
  </si>
  <si>
    <t>2610398881-000</t>
  </si>
  <si>
    <t>2610398914-000</t>
  </si>
  <si>
    <t>2610398915-000</t>
  </si>
  <si>
    <t>2610398972-000</t>
  </si>
  <si>
    <t>2610398973-000</t>
  </si>
  <si>
    <t>2610398974-000</t>
  </si>
  <si>
    <t>2610398975-000</t>
  </si>
  <si>
    <t>2610398976-000</t>
  </si>
  <si>
    <t>2610398978-000</t>
  </si>
  <si>
    <t>2610398980-000</t>
  </si>
  <si>
    <t>2610398981-000</t>
  </si>
  <si>
    <t>2610398982-000</t>
  </si>
  <si>
    <t>2610398983-000</t>
  </si>
  <si>
    <t>2610398984-000</t>
  </si>
  <si>
    <t>2610398985-000</t>
  </si>
  <si>
    <t>2610399649-000</t>
  </si>
  <si>
    <t>2610399695-000</t>
  </si>
  <si>
    <t>2610399698-000</t>
  </si>
  <si>
    <t>2610399700-000</t>
  </si>
  <si>
    <t>2610399704-000</t>
  </si>
  <si>
    <t>2610399708-000</t>
  </si>
  <si>
    <t>2610399709-000</t>
  </si>
  <si>
    <t>2610399710-000</t>
  </si>
  <si>
    <t>2610399713-000</t>
  </si>
  <si>
    <t>2610399714-000</t>
  </si>
  <si>
    <t>2610901970-000</t>
  </si>
  <si>
    <t>2610901987-000</t>
  </si>
  <si>
    <t>2610901988-000</t>
  </si>
  <si>
    <t>2610901989-000</t>
  </si>
  <si>
    <t>2610902373-000</t>
  </si>
  <si>
    <t>2610902374-000</t>
  </si>
  <si>
    <t>2610902875-000</t>
  </si>
  <si>
    <t>2610902880-000</t>
  </si>
  <si>
    <t>2610902896-000</t>
  </si>
  <si>
    <t>2610902931-000</t>
  </si>
  <si>
    <t>2610902932-000</t>
  </si>
  <si>
    <t>2610902933-000</t>
  </si>
  <si>
    <t>2610903180-000</t>
  </si>
  <si>
    <t>2610903192-000</t>
  </si>
  <si>
    <t>2610903196-000</t>
  </si>
  <si>
    <t>2610903759-000</t>
  </si>
  <si>
    <t>2610903764-000</t>
  </si>
  <si>
    <t>2610903770-000</t>
  </si>
  <si>
    <t>2610903771-000</t>
  </si>
  <si>
    <t>2610903809-000</t>
  </si>
  <si>
    <t>2610903815-000</t>
  </si>
  <si>
    <t>2610903878-000</t>
  </si>
  <si>
    <t>2610904202-000</t>
  </si>
  <si>
    <t>2610904250-000</t>
  </si>
  <si>
    <t>2610904632-000</t>
  </si>
  <si>
    <t>2610904710-000</t>
  </si>
  <si>
    <t>2610904711-000</t>
  </si>
  <si>
    <t>2610904740-000</t>
  </si>
  <si>
    <t>2610904751-000</t>
  </si>
  <si>
    <t>2610904752-000</t>
  </si>
  <si>
    <t>2610904820-000</t>
  </si>
  <si>
    <t>2610904887-000</t>
  </si>
  <si>
    <t>2610905306-000</t>
  </si>
  <si>
    <t>2610905307-000</t>
  </si>
  <si>
    <t>2610905311-000</t>
  </si>
  <si>
    <t>2610905333-000</t>
  </si>
  <si>
    <t>2610905334-000</t>
  </si>
  <si>
    <t>2610905360-000</t>
  </si>
  <si>
    <t>2610905362-000</t>
  </si>
  <si>
    <t>2610905372-000</t>
  </si>
  <si>
    <t>2610905379-000</t>
  </si>
  <si>
    <t>2610906132-000</t>
  </si>
  <si>
    <t>2610906137-000</t>
  </si>
  <si>
    <t>2610906321-000</t>
  </si>
  <si>
    <t>2610907370-000</t>
  </si>
  <si>
    <t>2610907388-000</t>
  </si>
  <si>
    <t>2610907529-000</t>
  </si>
  <si>
    <t>2610907535-000</t>
  </si>
  <si>
    <t>2610907550-000</t>
  </si>
  <si>
    <t>2610907616-000</t>
  </si>
  <si>
    <t>2610907721-000</t>
  </si>
  <si>
    <t>2610907783-000</t>
  </si>
  <si>
    <t>2610907813-000</t>
  </si>
  <si>
    <t>2610907816-000</t>
  </si>
  <si>
    <t>2610907824-000</t>
  </si>
  <si>
    <t>2610907826-000</t>
  </si>
  <si>
    <t>2610907844-000</t>
  </si>
  <si>
    <t>2610907846-000</t>
  </si>
  <si>
    <t>2610907847-000</t>
  </si>
  <si>
    <t>2610907850-000</t>
  </si>
  <si>
    <t>2610907852-000</t>
  </si>
  <si>
    <t>2610907854-000</t>
  </si>
  <si>
    <t>2610907863-000</t>
  </si>
  <si>
    <t>2610907864-000</t>
  </si>
  <si>
    <t>2610907865-000</t>
  </si>
  <si>
    <t>2610907867-000</t>
  </si>
  <si>
    <t>2610907942-000</t>
  </si>
  <si>
    <t>2610907977-000</t>
  </si>
  <si>
    <t>2610908270-000</t>
  </si>
  <si>
    <t>2610908271-000</t>
  </si>
  <si>
    <t>2610908272-000</t>
  </si>
  <si>
    <t>2610908288-000</t>
  </si>
  <si>
    <t>2610908305-000</t>
  </si>
  <si>
    <t>2610908306-000</t>
  </si>
  <si>
    <t>2610908318-000</t>
  </si>
  <si>
    <t>2610908319-000</t>
  </si>
  <si>
    <t>2610908334-000</t>
  </si>
  <si>
    <t>2610908335-000</t>
  </si>
  <si>
    <t>2610908358-000</t>
  </si>
  <si>
    <t>2610908382-000</t>
  </si>
  <si>
    <t>2610908398-000</t>
  </si>
  <si>
    <t>2610908605-000</t>
  </si>
  <si>
    <t>2610908607-000</t>
  </si>
  <si>
    <t>2610908618-000</t>
  </si>
  <si>
    <t>2610908621-000</t>
  </si>
  <si>
    <t>2610908623-000</t>
  </si>
  <si>
    <t>2610908625-000</t>
  </si>
  <si>
    <t>2610908627-000</t>
  </si>
  <si>
    <t>2610908628-000</t>
  </si>
  <si>
    <t>2610908629-000</t>
  </si>
  <si>
    <t>2610908630-000</t>
  </si>
  <si>
    <t>2610908632-000</t>
  </si>
  <si>
    <t>2610908634-000</t>
  </si>
  <si>
    <t>2610908637-000</t>
  </si>
  <si>
    <t>2610908642-000</t>
  </si>
  <si>
    <t>2610908644-000</t>
  </si>
  <si>
    <t>2610908651-000</t>
  </si>
  <si>
    <t>2610908652-000</t>
  </si>
  <si>
    <t>2610908655-000</t>
  </si>
  <si>
    <t>2610908656-000</t>
  </si>
  <si>
    <t>2610908657-000</t>
  </si>
  <si>
    <t>2610908661-000</t>
  </si>
  <si>
    <t>2610908665-000</t>
  </si>
  <si>
    <t>2610908668-000</t>
  </si>
  <si>
    <t>2610908671-000</t>
  </si>
  <si>
    <t>2610908678-000</t>
  </si>
  <si>
    <t>2610908698-000</t>
  </si>
  <si>
    <t>2610908799-000</t>
  </si>
  <si>
    <t>2610908804-000</t>
  </si>
  <si>
    <t>2610908901-000</t>
  </si>
  <si>
    <t>2610908919-000</t>
  </si>
  <si>
    <t>2610909006-000</t>
  </si>
  <si>
    <t>2610909058-000</t>
  </si>
  <si>
    <t>2610909072-000</t>
  </si>
  <si>
    <t>2610909077-000</t>
  </si>
  <si>
    <t>2610909178-000</t>
  </si>
  <si>
    <t>2610909203-000</t>
  </si>
  <si>
    <t>2610909216-000</t>
  </si>
  <si>
    <t>2610909310-000</t>
  </si>
  <si>
    <t>2610909578-000</t>
  </si>
  <si>
    <t>2610909579-000</t>
  </si>
  <si>
    <t>2610909580-000</t>
  </si>
  <si>
    <t>2610909581-000</t>
  </si>
  <si>
    <t>2610909582-000</t>
  </si>
  <si>
    <t>2610909583-000</t>
  </si>
  <si>
    <t>2610909603-000</t>
  </si>
  <si>
    <t>2610909704-000</t>
  </si>
  <si>
    <t>2610909726-000</t>
  </si>
  <si>
    <t>2610909730-000</t>
  </si>
  <si>
    <t>2610910009-000</t>
  </si>
  <si>
    <t>2610910013-000</t>
  </si>
  <si>
    <t>2610910015-000</t>
  </si>
  <si>
    <t>2610910046-000</t>
  </si>
  <si>
    <t>2610910047-000</t>
  </si>
  <si>
    <t>2610910108-000</t>
  </si>
  <si>
    <t>2610910115-000</t>
  </si>
  <si>
    <t>2610910119-000</t>
  </si>
  <si>
    <t>2610910179-000</t>
  </si>
  <si>
    <t>2610910180-000</t>
  </si>
  <si>
    <t>2610910185-000</t>
  </si>
  <si>
    <t>2610910188-000</t>
  </si>
  <si>
    <t>2610910194-000</t>
  </si>
  <si>
    <t>2610910300-000</t>
  </si>
  <si>
    <t>2610910316-000</t>
  </si>
  <si>
    <t>2610910424-000</t>
  </si>
  <si>
    <t>2610910431-000</t>
  </si>
  <si>
    <t>2610910506-000</t>
  </si>
  <si>
    <t>2610910566-000</t>
  </si>
  <si>
    <t>2610910606-000</t>
  </si>
  <si>
    <t>2610910608-000</t>
  </si>
  <si>
    <t>2610910750-000</t>
  </si>
  <si>
    <t>2610910751-000</t>
  </si>
  <si>
    <t>2610910752-000</t>
  </si>
  <si>
    <t>2610910753-000</t>
  </si>
  <si>
    <t>2610910754-000</t>
  </si>
  <si>
    <t>2610910755-000</t>
  </si>
  <si>
    <t>2610910756-000</t>
  </si>
  <si>
    <t>2610910757-000</t>
  </si>
  <si>
    <t>2610910758-000</t>
  </si>
  <si>
    <t>2610910760-000</t>
  </si>
  <si>
    <t>2610910761-000</t>
  </si>
  <si>
    <t>2610910762-000</t>
  </si>
  <si>
    <t>2610910764-000</t>
  </si>
  <si>
    <t>2610910765-000</t>
  </si>
  <si>
    <t>2610910766-000</t>
  </si>
  <si>
    <t>2610910768-000</t>
  </si>
  <si>
    <t>2610910769-000</t>
  </si>
  <si>
    <t>2610910770-000</t>
  </si>
  <si>
    <t>2610910774-000</t>
  </si>
  <si>
    <t>2610910775-000</t>
  </si>
  <si>
    <t>2610910776-000</t>
  </si>
  <si>
    <t>2610910777-000</t>
  </si>
  <si>
    <t>2610910778-000</t>
  </si>
  <si>
    <t>2610910779-000</t>
  </si>
  <si>
    <t>2610910781-000</t>
  </si>
  <si>
    <t>2610910782-000</t>
  </si>
  <si>
    <t>2610910783-000</t>
  </si>
  <si>
    <t>2610910784-000</t>
  </si>
  <si>
    <t>2610910785-000</t>
  </si>
  <si>
    <t>2610910786-000</t>
  </si>
  <si>
    <t>2610910787-000</t>
  </si>
  <si>
    <t>2610910788-000</t>
  </si>
  <si>
    <t>2610910789-000</t>
  </si>
  <si>
    <t>2610910790-000</t>
  </si>
  <si>
    <t>2610910791-000</t>
  </si>
  <si>
    <t>2610910792-000</t>
  </si>
  <si>
    <t>2610910793-000</t>
  </si>
  <si>
    <t>2610910794-000</t>
  </si>
  <si>
    <t>2610910796-000</t>
  </si>
  <si>
    <t>2610910797-000</t>
  </si>
  <si>
    <t>2610910799-000</t>
  </si>
  <si>
    <t>2610910821-000</t>
  </si>
  <si>
    <t>2610910822-000</t>
  </si>
  <si>
    <t>2610910827-000</t>
  </si>
  <si>
    <t>2610910828-000</t>
  </si>
  <si>
    <t>2610910830-000</t>
  </si>
  <si>
    <t>2610910831-000</t>
  </si>
  <si>
    <t>2610910833-000</t>
  </si>
  <si>
    <t>2610910834-000</t>
  </si>
  <si>
    <t>2610910835-000</t>
  </si>
  <si>
    <t>2610910837-000</t>
  </si>
  <si>
    <t>2610910838-000</t>
  </si>
  <si>
    <t>2610910839-000</t>
  </si>
  <si>
    <t>2610910842-000</t>
  </si>
  <si>
    <t>2610910844-000</t>
  </si>
  <si>
    <t>2610910845-000</t>
  </si>
  <si>
    <t>2610910848-000</t>
  </si>
  <si>
    <t>2610910849-000</t>
  </si>
  <si>
    <t>2610910938-000</t>
  </si>
  <si>
    <t>2610910947-000</t>
  </si>
  <si>
    <t>2610910965-000</t>
  </si>
  <si>
    <t>2610910968-000</t>
  </si>
  <si>
    <t>2610910986-000</t>
  </si>
  <si>
    <t>2610911048-000</t>
  </si>
  <si>
    <t>2610911450-000</t>
  </si>
  <si>
    <t>2610911451-000</t>
  </si>
  <si>
    <t>2610911452-000</t>
  </si>
  <si>
    <t>2610911455-000</t>
  </si>
  <si>
    <t>2610911456-000</t>
  </si>
  <si>
    <t>2610911458-000</t>
  </si>
  <si>
    <t>2610911459-000</t>
  </si>
  <si>
    <t>2610911460-000</t>
  </si>
  <si>
    <t>2610911461-000</t>
  </si>
  <si>
    <t>2610911464-000</t>
  </si>
  <si>
    <t>2610911465-000</t>
  </si>
  <si>
    <t>2610911466-000</t>
  </si>
  <si>
    <t>2610911467-000</t>
  </si>
  <si>
    <t>2610911469-000</t>
  </si>
  <si>
    <t>2610911470-000</t>
  </si>
  <si>
    <t>2610911474-000</t>
  </si>
  <si>
    <t>2610911477-000</t>
  </si>
  <si>
    <t>2610911479-000</t>
  </si>
  <si>
    <t>2610911484-000</t>
  </si>
  <si>
    <t>2610911485-000</t>
  </si>
  <si>
    <t>2610911486-000</t>
  </si>
  <si>
    <t>2610911487-000</t>
  </si>
  <si>
    <t>2610911488-000</t>
  </si>
  <si>
    <t>2610911551-000</t>
  </si>
  <si>
    <t>2610911552-000</t>
  </si>
  <si>
    <t>2610911554-000</t>
  </si>
  <si>
    <t>2610911556-000</t>
  </si>
  <si>
    <t>2610911559-000</t>
  </si>
  <si>
    <t>2610911560-000</t>
  </si>
  <si>
    <t>2610911561-000</t>
  </si>
  <si>
    <t>2610911562-000</t>
  </si>
  <si>
    <t>2610911563-000</t>
  </si>
  <si>
    <t>2610911564-000</t>
  </si>
  <si>
    <t>2610911566-000</t>
  </si>
  <si>
    <t>2610911567-000</t>
  </si>
  <si>
    <t>2610911568-000</t>
  </si>
  <si>
    <t>2610911569-000</t>
  </si>
  <si>
    <t>2610911570-000</t>
  </si>
  <si>
    <t>2610911572-000</t>
  </si>
  <si>
    <t>2610911576-000</t>
  </si>
  <si>
    <t>2610911577-000</t>
  </si>
  <si>
    <t>2610911578-000</t>
  </si>
  <si>
    <t>2610911579-000</t>
  </si>
  <si>
    <t>2610911582-000</t>
  </si>
  <si>
    <t>2610911583-000</t>
  </si>
  <si>
    <t>2610911584-000</t>
  </si>
  <si>
    <t>2610911586-000</t>
  </si>
  <si>
    <t>2610911587-000</t>
  </si>
  <si>
    <t>2610911589-000</t>
  </si>
  <si>
    <t>2610911590-000</t>
  </si>
  <si>
    <t>2610911591-000</t>
  </si>
  <si>
    <t>2610911592-000</t>
  </si>
  <si>
    <t>2610911593-000</t>
  </si>
  <si>
    <t>2610911594-000</t>
  </si>
  <si>
    <t>2610911597-000</t>
  </si>
  <si>
    <t>2610911598-000</t>
  </si>
  <si>
    <t>2610911599-000</t>
  </si>
  <si>
    <t>2610911658-000</t>
  </si>
  <si>
    <t>2610911666-000</t>
  </si>
  <si>
    <t>2610911667-000</t>
  </si>
  <si>
    <t>2610911668-000</t>
  </si>
  <si>
    <t>2610911669-000</t>
  </si>
  <si>
    <t>2610911671-000</t>
  </si>
  <si>
    <t>2610911693-000</t>
  </si>
  <si>
    <t>2610911695-000</t>
  </si>
  <si>
    <t>2610911850-000</t>
  </si>
  <si>
    <t>2610911852-000</t>
  </si>
  <si>
    <t>2610911853-000</t>
  </si>
  <si>
    <t>2610911858-000</t>
  </si>
  <si>
    <t>2610911859-000</t>
  </si>
  <si>
    <t>2610911860-000</t>
  </si>
  <si>
    <t>2610911861-000</t>
  </si>
  <si>
    <t>2610911862-000</t>
  </si>
  <si>
    <t>2610911863-000</t>
  </si>
  <si>
    <t>2610911864-000</t>
  </si>
  <si>
    <t>2610911865-000</t>
  </si>
  <si>
    <t>2610911866-000</t>
  </si>
  <si>
    <t>2610911867-000</t>
  </si>
  <si>
    <t>2610911869-000</t>
  </si>
  <si>
    <t>2610911870-000</t>
  </si>
  <si>
    <t>2610911872-000</t>
  </si>
  <si>
    <t>2610911873-000</t>
  </si>
  <si>
    <t>2610911874-000</t>
  </si>
  <si>
    <t>2610911875-000</t>
  </si>
  <si>
    <t>2610911876-000</t>
  </si>
  <si>
    <t>2610911877-000</t>
  </si>
  <si>
    <t>2610911883-000</t>
  </si>
  <si>
    <t>2610911884-000</t>
  </si>
  <si>
    <t>2610911885-000</t>
  </si>
  <si>
    <t>2610911886-000</t>
  </si>
  <si>
    <t>2610911887-000</t>
  </si>
  <si>
    <t>2610911891-000</t>
  </si>
  <si>
    <t>2610911893-000</t>
  </si>
  <si>
    <t>2610911895-000</t>
  </si>
  <si>
    <t>2610911896-000</t>
  </si>
  <si>
    <t>2610911900-000</t>
  </si>
  <si>
    <t>2610911901-000</t>
  </si>
  <si>
    <t>2610911902-000</t>
  </si>
  <si>
    <t>2610911903-000</t>
  </si>
  <si>
    <t>2610911904-000</t>
  </si>
  <si>
    <t>2610911905-000</t>
  </si>
  <si>
    <t>2610911906-000</t>
  </si>
  <si>
    <t>2610911907-000</t>
  </si>
  <si>
    <t>2610911908-000</t>
  </si>
  <si>
    <t>2610911910-000</t>
  </si>
  <si>
    <t>2610911911-000</t>
  </si>
  <si>
    <t>2610911912-000</t>
  </si>
  <si>
    <t>2610911913-000</t>
  </si>
  <si>
    <t>2610911914-000</t>
  </si>
  <si>
    <t>2610911917-000</t>
  </si>
  <si>
    <t>2610911918-000</t>
  </si>
  <si>
    <t>2610911919-000</t>
  </si>
  <si>
    <t>2610911920-000</t>
  </si>
  <si>
    <t>2610911921-000</t>
  </si>
  <si>
    <t>2610911922-000</t>
  </si>
  <si>
    <t>2610911923-000</t>
  </si>
  <si>
    <t>2610911924-000</t>
  </si>
  <si>
    <t>2610911925-000</t>
  </si>
  <si>
    <t>2610911926-000</t>
  </si>
  <si>
    <t>2610911927-000</t>
  </si>
  <si>
    <t>2610911928-000</t>
  </si>
  <si>
    <t>2610911929-000</t>
  </si>
  <si>
    <t>2610911930-000</t>
  </si>
  <si>
    <t>2610911931-000</t>
  </si>
  <si>
    <t>2610911932-000</t>
  </si>
  <si>
    <t>2610911933-000</t>
  </si>
  <si>
    <t>2610911934-000</t>
  </si>
  <si>
    <t>2610911937-000</t>
  </si>
  <si>
    <t>2610911938-000</t>
  </si>
  <si>
    <t>2610911939-000</t>
  </si>
  <si>
    <t>2610911943-000</t>
  </si>
  <si>
    <t>2610911949-000</t>
  </si>
  <si>
    <t>2610912548-000</t>
  </si>
  <si>
    <t>2610912549-000</t>
  </si>
  <si>
    <t>2610912551-000</t>
  </si>
  <si>
    <t>2610912553-000</t>
  </si>
  <si>
    <t>2610912554-000</t>
  </si>
  <si>
    <t>2610912560-000</t>
  </si>
  <si>
    <t>2610912561-000</t>
  </si>
  <si>
    <t>2610912562-000</t>
  </si>
  <si>
    <t>2610912588-000</t>
  </si>
  <si>
    <t>2610912849-000</t>
  </si>
  <si>
    <t>2610913034-000</t>
  </si>
  <si>
    <t>2610913184-000</t>
  </si>
  <si>
    <t>2610913192-000</t>
  </si>
  <si>
    <t>2610913441-000</t>
  </si>
  <si>
    <t>2610913476-000</t>
  </si>
  <si>
    <t>2610913573-000</t>
  </si>
  <si>
    <t>2610913683-000</t>
  </si>
  <si>
    <t>2610913684-000</t>
  </si>
  <si>
    <t>2610913718-000</t>
  </si>
  <si>
    <t>2610913818-000</t>
  </si>
  <si>
    <t>2610913825-000</t>
  </si>
  <si>
    <t>2610913863-000</t>
  </si>
  <si>
    <t>2610914480-000</t>
  </si>
  <si>
    <t>2610914543-000</t>
  </si>
  <si>
    <t>2610915161-000</t>
  </si>
  <si>
    <t>2610915760-000</t>
  </si>
  <si>
    <t>2610916005-000</t>
  </si>
  <si>
    <t>2610916116-000</t>
  </si>
  <si>
    <t>2610916122-000</t>
  </si>
  <si>
    <t>2610916207-000</t>
  </si>
  <si>
    <t>2610916208-000</t>
  </si>
  <si>
    <t>2610916357-000</t>
  </si>
  <si>
    <t>2610916359-000</t>
  </si>
  <si>
    <t>2610916360-000</t>
  </si>
  <si>
    <t>2610916645-000</t>
  </si>
  <si>
    <t>2610916802-000</t>
  </si>
  <si>
    <t>2610917048-000</t>
  </si>
  <si>
    <t>2610917052-000</t>
  </si>
  <si>
    <t>2610917191-000</t>
  </si>
  <si>
    <t>2610917210-000</t>
  </si>
  <si>
    <t>2610917263-000</t>
  </si>
  <si>
    <t>2610917489-000</t>
  </si>
  <si>
    <t>2610918051-000</t>
  </si>
  <si>
    <t>2610918116-000</t>
  </si>
  <si>
    <t>2610918145-000</t>
  </si>
  <si>
    <t>2610918148-000</t>
  </si>
  <si>
    <t>2610918150-000</t>
  </si>
  <si>
    <t>2610918151-000</t>
  </si>
  <si>
    <t>2610918985-000</t>
  </si>
  <si>
    <t>2610919073-000</t>
  </si>
  <si>
    <t>2610919255-000</t>
  </si>
  <si>
    <t>2610919256-000</t>
  </si>
  <si>
    <t>2610919281-000</t>
  </si>
  <si>
    <t>2610919327-000</t>
  </si>
  <si>
    <t>2610919467-000</t>
  </si>
  <si>
    <t>2610919663-000</t>
  </si>
  <si>
    <t>2610919739-000</t>
  </si>
  <si>
    <t>2610919742-000</t>
  </si>
  <si>
    <t>2610919750-000</t>
  </si>
  <si>
    <t>2610919753-000</t>
  </si>
  <si>
    <t>2610919754-000</t>
  </si>
  <si>
    <t>2610919868-000</t>
  </si>
  <si>
    <t>2610920614-000</t>
  </si>
  <si>
    <t>2610920617-000</t>
  </si>
  <si>
    <t>2610920618-000</t>
  </si>
  <si>
    <t>2610920619-000</t>
  </si>
  <si>
    <t>2610920620-000</t>
  </si>
  <si>
    <t>2610920623-000</t>
  </si>
  <si>
    <t>2610920631-000</t>
  </si>
  <si>
    <t>2610920634-000</t>
  </si>
  <si>
    <t>2610920635-000</t>
  </si>
  <si>
    <t>2610920644-000</t>
  </si>
  <si>
    <t>2610920650-000</t>
  </si>
  <si>
    <t>2610920651-000</t>
  </si>
  <si>
    <t>2610920652-000</t>
  </si>
  <si>
    <t>2610920684-000</t>
  </si>
  <si>
    <t>2610920772-000</t>
  </si>
  <si>
    <t>2610920799-000</t>
  </si>
  <si>
    <t>2610921108-000</t>
  </si>
  <si>
    <t>2610921110-000</t>
  </si>
  <si>
    <t>2610921111-000</t>
  </si>
  <si>
    <t>2610921112-000</t>
  </si>
  <si>
    <t>2610921113-000</t>
  </si>
  <si>
    <t>2610921115-000</t>
  </si>
  <si>
    <t>2610921116-000</t>
  </si>
  <si>
    <t>2610921117-000</t>
  </si>
  <si>
    <t>2610921118-000</t>
  </si>
  <si>
    <t>2610921119-000</t>
  </si>
  <si>
    <t>2610921120-000</t>
  </si>
  <si>
    <t>2610921121-000</t>
  </si>
  <si>
    <t>2610921122-000</t>
  </si>
  <si>
    <t>2610921124-000</t>
  </si>
  <si>
    <t>2610921125-000</t>
  </si>
  <si>
    <t>2610921127-000</t>
  </si>
  <si>
    <t>2610921128-000</t>
  </si>
  <si>
    <t>2610921130-000</t>
  </si>
  <si>
    <t>2610921131-000</t>
  </si>
  <si>
    <t>2610921132-000</t>
  </si>
  <si>
    <t>2610921133-000</t>
  </si>
  <si>
    <t>2610921144-000</t>
  </si>
  <si>
    <t>2610921176-000</t>
  </si>
  <si>
    <t>2610921530-000</t>
  </si>
  <si>
    <t>2610921905-000</t>
  </si>
  <si>
    <t>2610922568-000</t>
  </si>
  <si>
    <t>2610922569-000</t>
  </si>
  <si>
    <t>2610922570-000</t>
  </si>
  <si>
    <t>2610922572-000</t>
  </si>
  <si>
    <t>2610923193-000</t>
  </si>
  <si>
    <t>2610923224-000</t>
  </si>
  <si>
    <t>2610923615-000</t>
  </si>
  <si>
    <t>2610923830-000</t>
  </si>
  <si>
    <t>2610923941-000</t>
  </si>
  <si>
    <t>2610923942-000</t>
  </si>
  <si>
    <t>2610924143-000</t>
  </si>
  <si>
    <t>2610924368-000</t>
  </si>
  <si>
    <t>2610924448-000</t>
  </si>
  <si>
    <t>2610924635-000</t>
  </si>
  <si>
    <t>2610924636-000</t>
  </si>
  <si>
    <t>2610924684-000</t>
  </si>
  <si>
    <t>2610924685-000</t>
  </si>
  <si>
    <t>2610924687-000</t>
  </si>
  <si>
    <t>2610924961-000</t>
  </si>
  <si>
    <t>2610925187-000</t>
  </si>
  <si>
    <t>2610925244-000</t>
  </si>
  <si>
    <t>2610925247-000</t>
  </si>
  <si>
    <t>2610925248-000</t>
  </si>
  <si>
    <t>2610925373-000</t>
  </si>
  <si>
    <t>2610925374-000</t>
  </si>
  <si>
    <t>2610925421-000</t>
  </si>
  <si>
    <t>2610925438-000</t>
  </si>
  <si>
    <t>2610925591-000</t>
  </si>
  <si>
    <t>2610925714-000</t>
  </si>
  <si>
    <t>2610925721-000</t>
  </si>
  <si>
    <t>2610925864-000</t>
  </si>
  <si>
    <t>2610925983-000</t>
  </si>
  <si>
    <t>2610927767-000</t>
  </si>
  <si>
    <t>2610927769-000</t>
  </si>
  <si>
    <t>2610928647-000</t>
  </si>
  <si>
    <t>2610928648-000</t>
  </si>
  <si>
    <t>2610928650-000</t>
  </si>
  <si>
    <t>2610929391-000</t>
  </si>
  <si>
    <t>2610930051-000</t>
  </si>
  <si>
    <t>2610930054-000</t>
  </si>
  <si>
    <t>2610930057-000</t>
  </si>
  <si>
    <t>2610930066-000</t>
  </si>
  <si>
    <t>2610930070-000</t>
  </si>
  <si>
    <t>2610930071-000</t>
  </si>
  <si>
    <t>2610930072-000</t>
  </si>
  <si>
    <t>2610930365-000</t>
  </si>
  <si>
    <t>2610930648-000</t>
  </si>
  <si>
    <t>2610930652-000</t>
  </si>
  <si>
    <t>2610930692-000</t>
  </si>
  <si>
    <t>2610931544-000</t>
  </si>
  <si>
    <t>2610931997-000</t>
  </si>
  <si>
    <t>2610933516-000</t>
  </si>
  <si>
    <t>2610933937-000</t>
  </si>
  <si>
    <t>2610933955-000</t>
  </si>
  <si>
    <t>2610933956-000</t>
  </si>
  <si>
    <t>2610934305-000</t>
  </si>
  <si>
    <t>2610934311-000</t>
  </si>
  <si>
    <t>2610934688-000</t>
  </si>
  <si>
    <t>2610934990-000</t>
  </si>
  <si>
    <t>2610934995-000</t>
  </si>
  <si>
    <t>2610934999-000</t>
  </si>
  <si>
    <t>2610935004-000</t>
  </si>
  <si>
    <t>2610935005-000</t>
  </si>
  <si>
    <t>2610935008-000</t>
  </si>
  <si>
    <t>2610935010-000</t>
  </si>
  <si>
    <t>2610935014-000</t>
  </si>
  <si>
    <t>2610935103-000</t>
  </si>
  <si>
    <t>2610935154-000</t>
  </si>
  <si>
    <t>2610935245-000</t>
  </si>
  <si>
    <t>2610935246-000</t>
  </si>
  <si>
    <t>2610935247-000</t>
  </si>
  <si>
    <t>2610935249-000</t>
  </si>
  <si>
    <t>2610935251-000</t>
  </si>
  <si>
    <t>2610935431-000</t>
  </si>
  <si>
    <t>2610936575-000</t>
  </si>
  <si>
    <t>2610936576-000</t>
  </si>
  <si>
    <t>2610937289-000</t>
  </si>
  <si>
    <t>2610937290-000</t>
  </si>
  <si>
    <t>2610937291-000</t>
  </si>
  <si>
    <t>2610937292-000</t>
  </si>
  <si>
    <t>2610937293-000</t>
  </si>
  <si>
    <t>2610937294-000</t>
  </si>
  <si>
    <t>2610937396-000</t>
  </si>
  <si>
    <t>2610937399-000</t>
  </si>
  <si>
    <t>2610937437-000</t>
  </si>
  <si>
    <t>2610937452-000</t>
  </si>
  <si>
    <t>2610937464-000</t>
  </si>
  <si>
    <t>2610937508-000</t>
  </si>
  <si>
    <t>2610938737-000</t>
  </si>
  <si>
    <t>2610938887-000</t>
  </si>
  <si>
    <t>2610941202-000</t>
  </si>
  <si>
    <t>2610942109-000</t>
  </si>
  <si>
    <t>2610942118-000</t>
  </si>
  <si>
    <t>2610942930-000</t>
  </si>
  <si>
    <t>2610942931-000</t>
  </si>
  <si>
    <t>2610943033-000</t>
  </si>
  <si>
    <t>2610943105-000</t>
  </si>
  <si>
    <t>2610943623-000</t>
  </si>
  <si>
    <t>2610943873-000</t>
  </si>
  <si>
    <t>2610943874-000</t>
  </si>
  <si>
    <t>2610943875-000</t>
  </si>
  <si>
    <t>2610943877-000</t>
  </si>
  <si>
    <t>2610943878-000</t>
  </si>
  <si>
    <t>2610943879-000</t>
  </si>
  <si>
    <t>2610943880-000</t>
  </si>
  <si>
    <t>2610943881-000</t>
  </si>
  <si>
    <t>2610943883-000</t>
  </si>
  <si>
    <t>2610943884-000</t>
  </si>
  <si>
    <t>2610943885-000</t>
  </si>
  <si>
    <t>2610943886-000</t>
  </si>
  <si>
    <t>2610943887-000</t>
  </si>
  <si>
    <t>2610943888-000</t>
  </si>
  <si>
    <t>2610943890-000</t>
  </si>
  <si>
    <t>2610943891-000</t>
  </si>
  <si>
    <t>2610943892-000</t>
  </si>
  <si>
    <t>2610943893-000</t>
  </si>
  <si>
    <t>2610943895-000</t>
  </si>
  <si>
    <t>2610943896-000</t>
  </si>
  <si>
    <t>2610944356-000</t>
  </si>
  <si>
    <t>2610944393-000</t>
  </si>
  <si>
    <t>2610945335-000</t>
  </si>
  <si>
    <t>2610945804-000</t>
  </si>
  <si>
    <t>2610946075-000</t>
  </si>
  <si>
    <t>2610947075-000</t>
  </si>
  <si>
    <t>2610947537-000</t>
  </si>
  <si>
    <t>2610947588-000</t>
  </si>
  <si>
    <t>2610950042-000</t>
  </si>
  <si>
    <t>2610950044-000</t>
  </si>
  <si>
    <t>2610950046-000</t>
  </si>
  <si>
    <t>2610950049-000</t>
  </si>
  <si>
    <t>2610950055-000</t>
  </si>
  <si>
    <t>2610950059-000</t>
  </si>
  <si>
    <t>2610950060-000</t>
  </si>
  <si>
    <t>2610950069-000</t>
  </si>
  <si>
    <t>2610950070-000</t>
  </si>
  <si>
    <t>2610950071-000</t>
  </si>
  <si>
    <t>2610950075-000</t>
  </si>
  <si>
    <t>2610950077-000</t>
  </si>
  <si>
    <t>2610950108-000</t>
  </si>
  <si>
    <t>2610950109-000</t>
  </si>
  <si>
    <t>2610950117-000</t>
  </si>
  <si>
    <t>2610950120-000</t>
  </si>
  <si>
    <t>2610950126-000</t>
  </si>
  <si>
    <t>2610950132-000</t>
  </si>
  <si>
    <t>2610950134-000</t>
  </si>
  <si>
    <t>2610950135-000</t>
  </si>
  <si>
    <t>2610950336-000</t>
  </si>
  <si>
    <t>2610950389-000</t>
  </si>
  <si>
    <t>2610950427-000</t>
  </si>
  <si>
    <t>2610950439-000</t>
  </si>
  <si>
    <t>2610951118-000</t>
  </si>
  <si>
    <t>2610951945-000</t>
  </si>
  <si>
    <t>2610953099-000</t>
  </si>
  <si>
    <t>2610955158-000</t>
  </si>
  <si>
    <t>2610955160-000</t>
  </si>
  <si>
    <t>2610955162-000</t>
  </si>
  <si>
    <t>2610955166-000</t>
  </si>
  <si>
    <t>2610955167-000</t>
  </si>
  <si>
    <t>2610955195-000</t>
  </si>
  <si>
    <t>2610956311-000</t>
  </si>
  <si>
    <t>2610956312-000</t>
  </si>
  <si>
    <t>2610956413-000</t>
  </si>
  <si>
    <t>2610956414-000</t>
  </si>
  <si>
    <t>2610956415-000</t>
  </si>
  <si>
    <t>2610956416-000</t>
  </si>
  <si>
    <t>2610956663-000</t>
  </si>
  <si>
    <t>2610956664-000</t>
  </si>
  <si>
    <t>2610956683-000</t>
  </si>
  <si>
    <t>2610956864-000</t>
  </si>
  <si>
    <t>2610956865-000</t>
  </si>
  <si>
    <t>2610956866-000</t>
  </si>
  <si>
    <t>2610956867-000</t>
  </si>
  <si>
    <t>2610956868-000</t>
  </si>
  <si>
    <t>2610956869-000</t>
  </si>
  <si>
    <t>2610956870-000</t>
  </si>
  <si>
    <t>2610956874-000</t>
  </si>
  <si>
    <t>2610956877-000</t>
  </si>
  <si>
    <t>2610956878-000</t>
  </si>
  <si>
    <t>2610956880-000</t>
  </si>
  <si>
    <t>2610956881-000</t>
  </si>
  <si>
    <t>2610956882-000</t>
  </si>
  <si>
    <t>2610956884-000</t>
  </si>
  <si>
    <t>2610956885-000</t>
  </si>
  <si>
    <t>2610956886-000</t>
  </si>
  <si>
    <t>2610956887-000</t>
  </si>
  <si>
    <t>2610956888-000</t>
  </si>
  <si>
    <t>2610956889-000</t>
  </si>
  <si>
    <t>2610956890-000</t>
  </si>
  <si>
    <t>2610956893-000</t>
  </si>
  <si>
    <t>2610956894-000</t>
  </si>
  <si>
    <t>2610956897-000</t>
  </si>
  <si>
    <t>2610956898-000</t>
  </si>
  <si>
    <t>2610956899-000</t>
  </si>
  <si>
    <t>2610956900-000</t>
  </si>
  <si>
    <t>2610956902-000</t>
  </si>
  <si>
    <t>2610956906-000</t>
  </si>
  <si>
    <t>2610956907-000</t>
  </si>
  <si>
    <t>2610956909-000</t>
  </si>
  <si>
    <t>2610956916-000</t>
  </si>
  <si>
    <t>2610956919-000</t>
  </si>
  <si>
    <t>2610956920-000</t>
  </si>
  <si>
    <t>2610957458-000</t>
  </si>
  <si>
    <t>2610957469-000</t>
  </si>
  <si>
    <t>2610957736-000</t>
  </si>
  <si>
    <t>2610957738-000</t>
  </si>
  <si>
    <t>2610957739-000</t>
  </si>
  <si>
    <t>2610957778-000</t>
  </si>
  <si>
    <t>2610957779-000</t>
  </si>
  <si>
    <t>2610957808-000</t>
  </si>
  <si>
    <t>2610957811-000</t>
  </si>
  <si>
    <t>2610957812-000</t>
  </si>
  <si>
    <t>2610957840-000</t>
  </si>
  <si>
    <t>2610957841-000</t>
  </si>
  <si>
    <t>2610957842-000</t>
  </si>
  <si>
    <t>2610957843-000</t>
  </si>
  <si>
    <t>2610957844-000</t>
  </si>
  <si>
    <t>2610957845-000</t>
  </si>
  <si>
    <t>2610957846-000</t>
  </si>
  <si>
    <t>2610957974-000</t>
  </si>
  <si>
    <t>2610957994-000</t>
  </si>
  <si>
    <t>2610958768-000</t>
  </si>
  <si>
    <t>2610958769-000</t>
  </si>
  <si>
    <t>2610958771-000</t>
  </si>
  <si>
    <t>2610958776-000</t>
  </si>
  <si>
    <t>2610958778-000</t>
  </si>
  <si>
    <t>2610958780-000</t>
  </si>
  <si>
    <t>2610958781-000</t>
  </si>
  <si>
    <t>2610958782-000</t>
  </si>
  <si>
    <t>2610958784-000</t>
  </si>
  <si>
    <t>2610958785-000</t>
  </si>
  <si>
    <t>2610958788-000</t>
  </si>
  <si>
    <t>2610958790-000</t>
  </si>
  <si>
    <t>2610958791-000</t>
  </si>
  <si>
    <t>2610958793-000</t>
  </si>
  <si>
    <t>2610958794-000</t>
  </si>
  <si>
    <t>2610958795-000</t>
  </si>
  <si>
    <t>2610958796-000</t>
  </si>
  <si>
    <t>2610958797-000</t>
  </si>
  <si>
    <t>2610958798-000</t>
  </si>
  <si>
    <t>2610958799-000</t>
  </si>
  <si>
    <t>2610958800-000</t>
  </si>
  <si>
    <t>2610958802-000</t>
  </si>
  <si>
    <t>2610958803-000</t>
  </si>
  <si>
    <t>2610958805-000</t>
  </si>
  <si>
    <t>2610958806-000</t>
  </si>
  <si>
    <t>2610958809-000</t>
  </si>
  <si>
    <t>2610958810-000</t>
  </si>
  <si>
    <t>2610958811-000</t>
  </si>
  <si>
    <t>2610958812-000</t>
  </si>
  <si>
    <t>2610958813-000</t>
  </si>
  <si>
    <t>2610958814-000</t>
  </si>
  <si>
    <t>2610958815-000</t>
  </si>
  <si>
    <t>2610958816-000</t>
  </si>
  <si>
    <t>2610958817-000</t>
  </si>
  <si>
    <t>2610958818-000</t>
  </si>
  <si>
    <t>2610958819-000</t>
  </si>
  <si>
    <t>2610958824-000</t>
  </si>
  <si>
    <t>2610958825-000</t>
  </si>
  <si>
    <t>2610958826-000</t>
  </si>
  <si>
    <t>2610958827-000</t>
  </si>
  <si>
    <t>2610958828-000</t>
  </si>
  <si>
    <t>2610958829-000</t>
  </si>
  <si>
    <t>2610958830-000</t>
  </si>
  <si>
    <t>2610958831-000</t>
  </si>
  <si>
    <t>2610958832-000</t>
  </si>
  <si>
    <t>2610958833-000</t>
  </si>
  <si>
    <t>2610958834-000</t>
  </si>
  <si>
    <t>2610958836-000</t>
  </si>
  <si>
    <t>2610958837-000</t>
  </si>
  <si>
    <t>2610958973-000</t>
  </si>
  <si>
    <t>2610958975-000</t>
  </si>
  <si>
    <t>2610958977-000</t>
  </si>
  <si>
    <t>2610958979-000</t>
  </si>
  <si>
    <t>2610958980-000</t>
  </si>
  <si>
    <t>2610959234-000</t>
  </si>
  <si>
    <t>2610959338-000</t>
  </si>
  <si>
    <t>2610959343-000</t>
  </si>
  <si>
    <t>2610959344-000</t>
  </si>
  <si>
    <t>2610959345-000</t>
  </si>
  <si>
    <t>2610959346-000</t>
  </si>
  <si>
    <t>2610959347-000</t>
  </si>
  <si>
    <t>2610959348-000</t>
  </si>
  <si>
    <t>2610959349-000</t>
  </si>
  <si>
    <t>2610959350-000</t>
  </si>
  <si>
    <t>2610959351-000</t>
  </si>
  <si>
    <t>2610959352-000</t>
  </si>
  <si>
    <t>2610959353-000</t>
  </si>
  <si>
    <t>2610959390-000</t>
  </si>
  <si>
    <t>2610959394-000</t>
  </si>
  <si>
    <t>2610959405-000</t>
  </si>
  <si>
    <t>2610959406-000</t>
  </si>
  <si>
    <t>2610959407-000</t>
  </si>
  <si>
    <t>2610959533-000</t>
  </si>
  <si>
    <t>2610967116-000</t>
  </si>
  <si>
    <t>2610967121-000</t>
  </si>
  <si>
    <t>2610967132-000</t>
  </si>
  <si>
    <t>2610967133-000</t>
  </si>
  <si>
    <t>2610967134-000</t>
  </si>
  <si>
    <t>2610967138-000</t>
  </si>
  <si>
    <t>2610967144-000</t>
  </si>
  <si>
    <t>2610967152-000</t>
  </si>
  <si>
    <t>2610967197-000</t>
  </si>
  <si>
    <t>2610967204-000</t>
  </si>
  <si>
    <t>2610967422-000</t>
  </si>
  <si>
    <t>2610967432-000</t>
  </si>
  <si>
    <t>2610967433-000</t>
  </si>
  <si>
    <t>2610967437-000</t>
  </si>
  <si>
    <t>2610967438-000</t>
  </si>
  <si>
    <t>2610967439-000</t>
  </si>
  <si>
    <t>2610967440-000</t>
  </si>
  <si>
    <t>2610967445-000</t>
  </si>
  <si>
    <t>2610967449-000</t>
  </si>
  <si>
    <t>2610967609-000</t>
  </si>
  <si>
    <t>2610967610-000</t>
  </si>
  <si>
    <t>2610967626-000</t>
  </si>
  <si>
    <t>2610967639-000</t>
  </si>
  <si>
    <t>2610967692-000</t>
  </si>
  <si>
    <t>2610967693-000</t>
  </si>
  <si>
    <t>2610968308-000</t>
  </si>
  <si>
    <t>2610968473-000</t>
  </si>
  <si>
    <t>2610968650-000</t>
  </si>
  <si>
    <t>2610968724-000</t>
  </si>
  <si>
    <t>2610968739-000</t>
  </si>
  <si>
    <t>2610968740-000</t>
  </si>
  <si>
    <t>2610990025-000</t>
  </si>
  <si>
    <t>2610990029-000</t>
  </si>
  <si>
    <t>2610990039-000</t>
  </si>
  <si>
    <t>2610990040-000</t>
  </si>
  <si>
    <t>2610990160-000</t>
  </si>
  <si>
    <t>2610990171-000</t>
  </si>
  <si>
    <t>2610990176-000</t>
  </si>
  <si>
    <t>2610990186-000</t>
  </si>
  <si>
    <t>2610990503-000</t>
  </si>
  <si>
    <t>2610990504-000</t>
  </si>
  <si>
    <t>2610990518-000</t>
  </si>
  <si>
    <t>2610990521-000</t>
  </si>
  <si>
    <t>2610990522-000</t>
  </si>
  <si>
    <t>2610990525-000</t>
  </si>
  <si>
    <t>2610990806-000</t>
  </si>
  <si>
    <t>2610990845-000</t>
  </si>
  <si>
    <t>2610991218-000</t>
  </si>
  <si>
    <t>2610991256-000</t>
  </si>
  <si>
    <t>2610991280-000</t>
  </si>
  <si>
    <t>2610991306-000</t>
  </si>
  <si>
    <t>2610991329-000</t>
  </si>
  <si>
    <t>2610991370-000</t>
  </si>
  <si>
    <t>2610991372-000</t>
  </si>
  <si>
    <t>2610991375-000</t>
  </si>
  <si>
    <t>2610991395-000</t>
  </si>
  <si>
    <t>2610991398-000</t>
  </si>
  <si>
    <t>2610991892-000</t>
  </si>
  <si>
    <t>2610992229-000</t>
  </si>
  <si>
    <t>2610992314-000</t>
  </si>
  <si>
    <t>2610992363-000</t>
  </si>
  <si>
    <t>2610992366-000</t>
  </si>
  <si>
    <t>2610992372-000</t>
  </si>
  <si>
    <t>2610992377-000</t>
  </si>
  <si>
    <t>2610992380-000</t>
  </si>
  <si>
    <t>2610992408-000</t>
  </si>
  <si>
    <t>2610992417-000</t>
  </si>
  <si>
    <t>2610992427-000</t>
  </si>
  <si>
    <t>2610992580-000</t>
  </si>
  <si>
    <t>2610992974-000</t>
  </si>
  <si>
    <t>2610993102-000</t>
  </si>
  <si>
    <t>2610993104-000</t>
  </si>
  <si>
    <t>2610993106-000</t>
  </si>
  <si>
    <t>2610993107-000</t>
  </si>
  <si>
    <t>2610993108-000</t>
  </si>
  <si>
    <t>2610993109-000</t>
  </si>
  <si>
    <t>2610993191-000</t>
  </si>
  <si>
    <t>2610993221-000</t>
  </si>
  <si>
    <t>2610993238-000</t>
  </si>
  <si>
    <t>2610993249-000</t>
  </si>
  <si>
    <t>2610993502-000</t>
  </si>
  <si>
    <t>2610993520-000</t>
  </si>
  <si>
    <t>2610993526-000</t>
  </si>
  <si>
    <t>2610993575-000</t>
  </si>
  <si>
    <t>2610994016-000</t>
  </si>
  <si>
    <t>2610994411-000</t>
  </si>
  <si>
    <t>2610994437-000</t>
  </si>
  <si>
    <t>2610994443-000</t>
  </si>
  <si>
    <t>2610995815-000</t>
  </si>
  <si>
    <t>2610995857-000</t>
  </si>
  <si>
    <t>2610996054-000</t>
  </si>
  <si>
    <t>2610996079-000</t>
  </si>
  <si>
    <t>2610996083-000</t>
  </si>
  <si>
    <t>2610996101-000</t>
  </si>
  <si>
    <t>2610996102-000</t>
  </si>
  <si>
    <t>2610996106-000</t>
  </si>
  <si>
    <t>2610996107-000</t>
  </si>
  <si>
    <t>2610996111-000</t>
  </si>
  <si>
    <t>2610996118-000</t>
  </si>
  <si>
    <t>2610996119-000</t>
  </si>
  <si>
    <t>2610996120-000</t>
  </si>
  <si>
    <t>2610996125-000</t>
  </si>
  <si>
    <t>2610996128-000</t>
  </si>
  <si>
    <t>2610996135-000</t>
  </si>
  <si>
    <t>2610996137-000</t>
  </si>
  <si>
    <t>2610996138-000</t>
  </si>
  <si>
    <t>2610996139-000</t>
  </si>
  <si>
    <t>2610996142-000</t>
  </si>
  <si>
    <t>2610996143-000</t>
  </si>
  <si>
    <t>2610996147-000</t>
  </si>
  <si>
    <t>2610996148-000</t>
  </si>
  <si>
    <t>2610996149-000</t>
  </si>
  <si>
    <t>2610996247-000</t>
  </si>
  <si>
    <t>2610996647-000</t>
  </si>
  <si>
    <t>2610996689-000</t>
  </si>
  <si>
    <t>2610996853-000</t>
  </si>
  <si>
    <t>2610996854-000</t>
  </si>
  <si>
    <t>2610996855-000</t>
  </si>
  <si>
    <t>2610996856-000</t>
  </si>
  <si>
    <t>2610996861-000</t>
  </si>
  <si>
    <t>2610996862-000</t>
  </si>
  <si>
    <t>2610996863-000</t>
  </si>
  <si>
    <t>2610996864-000</t>
  </si>
  <si>
    <t>2610996865-000</t>
  </si>
  <si>
    <t>2610996869-000</t>
  </si>
  <si>
    <t>2610996871-000</t>
  </si>
  <si>
    <t>2610996874-000</t>
  </si>
  <si>
    <t>2610996875-000</t>
  </si>
  <si>
    <t>2610996876-000</t>
  </si>
  <si>
    <t>2610996877-000</t>
  </si>
  <si>
    <t>2610996878-000</t>
  </si>
  <si>
    <t>2610996879-000</t>
  </si>
  <si>
    <t>2610996880-000</t>
  </si>
  <si>
    <t>2610996884-000</t>
  </si>
  <si>
    <t>2610996885-000</t>
  </si>
  <si>
    <t>2610996886-000</t>
  </si>
  <si>
    <t>2610996888-000</t>
  </si>
  <si>
    <t>2610996891-000</t>
  </si>
  <si>
    <t>2610996894-000</t>
  </si>
  <si>
    <t>2610996895-000</t>
  </si>
  <si>
    <t>2610996896-000</t>
  </si>
  <si>
    <t>2610996897-000</t>
  </si>
  <si>
    <t>2610996898-000</t>
  </si>
  <si>
    <t>2610996911-000</t>
  </si>
  <si>
    <t>2610996912-000</t>
  </si>
  <si>
    <t>2610996913-000</t>
  </si>
  <si>
    <t>2610996915-000</t>
  </si>
  <si>
    <t>2610996917-000</t>
  </si>
  <si>
    <t>2610996918-000</t>
  </si>
  <si>
    <t>2610996920-000</t>
  </si>
  <si>
    <t>2610996921-000</t>
  </si>
  <si>
    <t>2610996922-000</t>
  </si>
  <si>
    <t>2610996923-000</t>
  </si>
  <si>
    <t>2610996925-000</t>
  </si>
  <si>
    <t>2610996926-000</t>
  </si>
  <si>
    <t>2610996927-000</t>
  </si>
  <si>
    <t>2610996928-000</t>
  </si>
  <si>
    <t>2610996929-000</t>
  </si>
  <si>
    <t>2610996930-000</t>
  </si>
  <si>
    <t>2610996931-000</t>
  </si>
  <si>
    <t>2610996932-000</t>
  </si>
  <si>
    <t>2610996933-000</t>
  </si>
  <si>
    <t>2610996938-000</t>
  </si>
  <si>
    <t>2610996941-000</t>
  </si>
  <si>
    <t>2610996949-000</t>
  </si>
  <si>
    <t>2610997003-000</t>
  </si>
  <si>
    <t>2610997006-000</t>
  </si>
  <si>
    <t>2610997007-000</t>
  </si>
  <si>
    <t>2610997008-000</t>
  </si>
  <si>
    <t>2610997009-000</t>
  </si>
  <si>
    <t>2610997010-000</t>
  </si>
  <si>
    <t>2610997012-000</t>
  </si>
  <si>
    <t>2610997030-000</t>
  </si>
  <si>
    <t>2610997031-000</t>
  </si>
  <si>
    <t>2610997139-000</t>
  </si>
  <si>
    <t>2610997148-000</t>
  </si>
  <si>
    <t>2610997152-000</t>
  </si>
  <si>
    <t>2610997157-000</t>
  </si>
  <si>
    <t>2610997184-000</t>
  </si>
  <si>
    <t>2610997208-000</t>
  </si>
  <si>
    <t>2610997210-000</t>
  </si>
  <si>
    <t>2610997211-000</t>
  </si>
  <si>
    <t>2610997212-000</t>
  </si>
  <si>
    <t>2610997213-000</t>
  </si>
  <si>
    <t>2610997214-000</t>
  </si>
  <si>
    <t>2610997215-000</t>
  </si>
  <si>
    <t>2610997216-000</t>
  </si>
  <si>
    <t>2610997217-000</t>
  </si>
  <si>
    <t>2610997218-000</t>
  </si>
  <si>
    <t>2610997221-000</t>
  </si>
  <si>
    <t>2610997222-000</t>
  </si>
  <si>
    <t>2610997240-000</t>
  </si>
  <si>
    <t>2610997244-000</t>
  </si>
  <si>
    <t>2610997245-000</t>
  </si>
  <si>
    <t>2610997246-000</t>
  </si>
  <si>
    <t>2610997270-000</t>
  </si>
  <si>
    <t>2610997271-000</t>
  </si>
  <si>
    <t>2610997273-000</t>
  </si>
  <si>
    <t>2610997274-000</t>
  </si>
  <si>
    <t>2610997275-000</t>
  </si>
  <si>
    <t>2610997276-000</t>
  </si>
  <si>
    <t>2610997277-000</t>
  </si>
  <si>
    <t>2610997281-000</t>
  </si>
  <si>
    <t>2610997282-000</t>
  </si>
  <si>
    <t>2610997283-000</t>
  </si>
  <si>
    <t>2610997286-000</t>
  </si>
  <si>
    <t>2610997291-000</t>
  </si>
  <si>
    <t>2610997292-000</t>
  </si>
  <si>
    <t>2610997293-000</t>
  </si>
  <si>
    <t>2610997294-000</t>
  </si>
  <si>
    <t>2610997296-000</t>
  </si>
  <si>
    <t>2610997297-000</t>
  </si>
  <si>
    <t>2610997298-000</t>
  </si>
  <si>
    <t>2610997299-000</t>
  </si>
  <si>
    <t>2610997509-000</t>
  </si>
  <si>
    <t>2610997756-000</t>
  </si>
  <si>
    <t>2610997807-000</t>
  </si>
  <si>
    <t>2610998102-000</t>
  </si>
  <si>
    <t>2610998113-000</t>
  </si>
  <si>
    <t>2610998114-000</t>
  </si>
  <si>
    <t>2610998115-000</t>
  </si>
  <si>
    <t>2610998116-000</t>
  </si>
  <si>
    <t>2610998117-000</t>
  </si>
  <si>
    <t>2610998128-000</t>
  </si>
  <si>
    <t>2610998132-000</t>
  </si>
  <si>
    <t>2610998149-000</t>
  </si>
  <si>
    <t>2610998150-000</t>
  </si>
  <si>
    <t>2610998153-000</t>
  </si>
  <si>
    <t>2610998550-000</t>
  </si>
  <si>
    <t>2610998558-000</t>
  </si>
  <si>
    <t>2610998567-000</t>
  </si>
  <si>
    <t>2610998570-000</t>
  </si>
  <si>
    <t>2610998571-000</t>
  </si>
  <si>
    <t>2610998572-000</t>
  </si>
  <si>
    <t>2610998573-000</t>
  </si>
  <si>
    <t>2610998574-000</t>
  </si>
  <si>
    <t>2610998575-000</t>
  </si>
  <si>
    <t>2610998577-000</t>
  </si>
  <si>
    <t>2610998579-000</t>
  </si>
  <si>
    <t>2610998580-000</t>
  </si>
  <si>
    <t>2610998587-000</t>
  </si>
  <si>
    <t>2610998588-000</t>
  </si>
  <si>
    <t>2610998593-000</t>
  </si>
  <si>
    <t>2610998878-000</t>
  </si>
  <si>
    <t>2610998879-000</t>
  </si>
  <si>
    <t>2610999105-000</t>
  </si>
  <si>
    <t>2610999112-000</t>
  </si>
  <si>
    <t>2610A01267-000</t>
  </si>
  <si>
    <t>2610A02324-000</t>
  </si>
  <si>
    <t>2610A02504-000</t>
  </si>
  <si>
    <t>2610A02507-000</t>
  </si>
  <si>
    <t>2610A02546-000</t>
  </si>
  <si>
    <t>2610A02549-000</t>
  </si>
  <si>
    <t>2610A02550-000</t>
  </si>
  <si>
    <t>2610A03338-000</t>
  </si>
  <si>
    <t>2610A03339-000</t>
  </si>
  <si>
    <t>2610A03364-000</t>
  </si>
  <si>
    <t>2610A03366-000</t>
  </si>
  <si>
    <t>2610A03367-000</t>
  </si>
  <si>
    <t>2610A03368-000</t>
  </si>
  <si>
    <t>2610A03369-000</t>
  </si>
  <si>
    <t>2610A03370-000</t>
  </si>
  <si>
    <t>2610A03377-000</t>
  </si>
  <si>
    <t>2610A03379-000</t>
  </si>
  <si>
    <t>2610A03380-000</t>
  </si>
  <si>
    <t>2610A03381-000</t>
  </si>
  <si>
    <t>2610A03382-000</t>
  </si>
  <si>
    <t>2610A03383-000</t>
  </si>
  <si>
    <t>2610A03384-000</t>
  </si>
  <si>
    <t>2610A03385-000</t>
  </si>
  <si>
    <t>2610A03389-000</t>
  </si>
  <si>
    <t>2610A03392-000</t>
  </si>
  <si>
    <t>2610A03394-000</t>
  </si>
  <si>
    <t>2610A03397-000</t>
  </si>
  <si>
    <t>2610A03398-000</t>
  </si>
  <si>
    <t>2610A03399-000</t>
  </si>
  <si>
    <t>2610A03400-000</t>
  </si>
  <si>
    <t>2610A03401-000</t>
  </si>
  <si>
    <t>2610A03402-000</t>
  </si>
  <si>
    <t>2610A03403-000</t>
  </si>
  <si>
    <t>2610A03404-000</t>
  </si>
  <si>
    <t>2610A03405-000</t>
  </si>
  <si>
    <t>2610A05614-000</t>
  </si>
  <si>
    <t>2610A05622-000</t>
  </si>
  <si>
    <t>2610A05628-000</t>
  </si>
  <si>
    <t>2610A05629-000</t>
  </si>
  <si>
    <t>2610A05630-000</t>
  </si>
  <si>
    <t>2610A05631-000</t>
  </si>
  <si>
    <t>2610A05649-000</t>
  </si>
  <si>
    <t>2610A05652-000</t>
  </si>
  <si>
    <t>2610A05653-000</t>
  </si>
  <si>
    <t>2610A05661-000</t>
  </si>
  <si>
    <t>2610A05662-000</t>
  </si>
  <si>
    <t>2610A05664-000</t>
  </si>
  <si>
    <t>2610A05665-000</t>
  </si>
  <si>
    <t>2610A05666-000</t>
  </si>
  <si>
    <t>2610A05667-000</t>
  </si>
  <si>
    <t>2610A05669-000</t>
  </si>
  <si>
    <t>2610A05671-000</t>
  </si>
  <si>
    <t>2610A05673-000</t>
  </si>
  <si>
    <t>2610A05675-000</t>
  </si>
  <si>
    <t>2610A05677-000</t>
  </si>
  <si>
    <t>2610A05679-000</t>
  </si>
  <si>
    <t>2610A05680-000</t>
  </si>
  <si>
    <t>2610A05681-000</t>
  </si>
  <si>
    <t>2610A05682-000</t>
  </si>
  <si>
    <t>2610A05683-000</t>
  </si>
  <si>
    <t>2610A05684-000</t>
  </si>
  <si>
    <t>2610A05685-000</t>
  </si>
  <si>
    <t>2610A05686-000</t>
  </si>
  <si>
    <t>2610A05689-000</t>
  </si>
  <si>
    <t>2610A05691-000</t>
  </si>
  <si>
    <t>2610A05692-000</t>
  </si>
  <si>
    <t>2610A05693-000</t>
  </si>
  <si>
    <t>2610A05694-000</t>
  </si>
  <si>
    <t>2610A05697-000</t>
  </si>
  <si>
    <t>2610A05702-000</t>
  </si>
  <si>
    <t>2610A05712-000</t>
  </si>
  <si>
    <t>2610A05718-000</t>
  </si>
  <si>
    <t>2610A05723-000</t>
  </si>
  <si>
    <t>2610A05724-000</t>
  </si>
  <si>
    <t>2610A05726-000</t>
  </si>
  <si>
    <t>2610A05731-000</t>
  </si>
  <si>
    <t>2610A05734-000</t>
  </si>
  <si>
    <t>2610A05744-000</t>
  </si>
  <si>
    <t>2610A05748-000</t>
  </si>
  <si>
    <t>2610A05751-000</t>
  </si>
  <si>
    <t>2610A05758-000</t>
  </si>
  <si>
    <t>2610A05772-000</t>
  </si>
  <si>
    <t>2610A09014-000</t>
  </si>
  <si>
    <t>2610A09044-000</t>
  </si>
  <si>
    <t>2610A09286-000</t>
  </si>
  <si>
    <t>2610A09293-000</t>
  </si>
  <si>
    <t>2610A09314-000</t>
  </si>
  <si>
    <t>2610A09316-000</t>
  </si>
  <si>
    <t>2610A09381-000</t>
  </si>
  <si>
    <t>2610A09402-000</t>
  </si>
  <si>
    <t>2610A09492-000</t>
  </si>
  <si>
    <t>2610A11682-000</t>
  </si>
  <si>
    <t>2610A11683-000</t>
  </si>
  <si>
    <t>2610A11684-000</t>
  </si>
  <si>
    <t>2610A11685-000</t>
  </si>
  <si>
    <t>2610A11687-000</t>
  </si>
  <si>
    <t>2610A11904-000</t>
  </si>
  <si>
    <t>2610A11966-000</t>
  </si>
  <si>
    <t>2610A12224-000</t>
  </si>
  <si>
    <t>2610A12237-000</t>
  </si>
  <si>
    <t>2610A12269-000</t>
  </si>
  <si>
    <t>2610A12272-000</t>
  </si>
  <si>
    <t>2610A12275-000</t>
  </si>
  <si>
    <t>2610A12283-000</t>
  </si>
  <si>
    <t>2610A12284-000</t>
  </si>
  <si>
    <t>2610A12298-000</t>
  </si>
  <si>
    <t>2610A12301-000</t>
  </si>
  <si>
    <t>2610A12309-000</t>
  </si>
  <si>
    <t>2610A12310-000</t>
  </si>
  <si>
    <t>2610A12311-000</t>
  </si>
  <si>
    <t>2610A12327-000</t>
  </si>
  <si>
    <t>2610A12340-000</t>
  </si>
  <si>
    <t>2610A12348-000</t>
  </si>
  <si>
    <t>2610A12359-000</t>
  </si>
  <si>
    <t>2610A12362-000</t>
  </si>
  <si>
    <t>2610A12459-000</t>
  </si>
  <si>
    <t>2610A12460-000</t>
  </si>
  <si>
    <t>2610A12461-000</t>
  </si>
  <si>
    <t>2610A12464-000</t>
  </si>
  <si>
    <t>2610A12957-000</t>
  </si>
  <si>
    <t>2610A12991-000</t>
  </si>
  <si>
    <t>2610A13065-000</t>
  </si>
  <si>
    <t>2610A13249-000</t>
  </si>
  <si>
    <t>2610A13397-000</t>
  </si>
  <si>
    <t>2610A13399-000</t>
  </si>
  <si>
    <t>2610A13403-000</t>
  </si>
  <si>
    <t>2610A13404-000</t>
  </si>
  <si>
    <t>2610A14394-000</t>
  </si>
  <si>
    <t>2610A14450-000</t>
  </si>
  <si>
    <t>2610A14492-000</t>
  </si>
  <si>
    <t>2610A14493-000</t>
  </si>
  <si>
    <t>2610A14606-000</t>
  </si>
  <si>
    <t>2610A14607-000</t>
  </si>
  <si>
    <t>2610A14608-000</t>
  </si>
  <si>
    <t>2610A14609-000</t>
  </si>
  <si>
    <t>2610A14624-000</t>
  </si>
  <si>
    <t>2610A15780-000</t>
  </si>
  <si>
    <t>2610A15789-000</t>
  </si>
  <si>
    <t>2610Z00172-000</t>
  </si>
  <si>
    <t>2610Z00173-000</t>
  </si>
  <si>
    <t>2610Z00174-000</t>
  </si>
  <si>
    <t>2610Z00175-000</t>
  </si>
  <si>
    <t>2610Z00176-000</t>
  </si>
  <si>
    <t>2610Z00177-000</t>
  </si>
  <si>
    <t>2610Z00178-000</t>
  </si>
  <si>
    <t>2610Z00179-000</t>
  </si>
  <si>
    <t>2610Z00181-000</t>
  </si>
  <si>
    <t>2610Z00184-000</t>
  </si>
  <si>
    <t>2610Z00185-000</t>
  </si>
  <si>
    <t>2610Z00188-000</t>
  </si>
  <si>
    <t>2610Z00626-000</t>
  </si>
  <si>
    <t>2610Z00627-000</t>
  </si>
  <si>
    <t>2610Z00628-000</t>
  </si>
  <si>
    <t>2610Z00630-000</t>
  </si>
  <si>
    <t>2610Z00634-000</t>
  </si>
  <si>
    <t>2610Z00639-000</t>
  </si>
  <si>
    <t>2610Z00640-000</t>
  </si>
  <si>
    <t>2610Z01066-000</t>
  </si>
  <si>
    <t>2610Z02475-000</t>
  </si>
  <si>
    <t>2610Z03711-000</t>
  </si>
  <si>
    <t>2610Z03713-000</t>
  </si>
  <si>
    <t>2610Z03714-000</t>
  </si>
  <si>
    <t>2610Z03715-000</t>
  </si>
  <si>
    <t>2610Z03716-000</t>
  </si>
  <si>
    <t>2610Z03717-000</t>
  </si>
  <si>
    <t>2610Z03718-000</t>
  </si>
  <si>
    <t>2610Z03719-000</t>
  </si>
  <si>
    <t>2610Z03720-000</t>
  </si>
  <si>
    <t>2610Z03721-000</t>
  </si>
  <si>
    <t>2610Z03722-000</t>
  </si>
  <si>
    <t>2610Z03723-000</t>
  </si>
  <si>
    <t>2610Z03724-000</t>
  </si>
  <si>
    <t>2610Z03725-000</t>
  </si>
  <si>
    <t>2610Z04038-000</t>
  </si>
  <si>
    <t>2610Z04595-000</t>
  </si>
  <si>
    <t>2610Z04596-000</t>
  </si>
  <si>
    <t>2610Z05061-000</t>
  </si>
  <si>
    <t>2610Z07220-000</t>
  </si>
  <si>
    <t>2610Z09804-000</t>
  </si>
  <si>
    <t>2610Z09805-000</t>
  </si>
  <si>
    <t>2610Z09806-000</t>
  </si>
  <si>
    <t>2610Z09807-000</t>
  </si>
  <si>
    <t>2610Z09808-000</t>
  </si>
  <si>
    <t>2610Z09809-000</t>
  </si>
  <si>
    <t>2610Z09810-000</t>
  </si>
  <si>
    <t>26150670AA-000</t>
  </si>
  <si>
    <t>2615110480-000</t>
  </si>
  <si>
    <t>2615294028-000</t>
  </si>
  <si>
    <t>2615294035-000</t>
  </si>
  <si>
    <t>2615294043-000</t>
  </si>
  <si>
    <t>2615294178-000</t>
  </si>
  <si>
    <t>2615294309-000</t>
  </si>
  <si>
    <t>2615294888-000</t>
  </si>
  <si>
    <t>2615295093-000</t>
  </si>
  <si>
    <t>2615296243-000</t>
  </si>
  <si>
    <t>2615296765-000</t>
  </si>
  <si>
    <t>2615297061-000</t>
  </si>
  <si>
    <t>2615297323-000</t>
  </si>
  <si>
    <t>2615297329-000</t>
  </si>
  <si>
    <t>2615297355-000</t>
  </si>
  <si>
    <t>2615297356-000</t>
  </si>
  <si>
    <t>2615297373-000</t>
  </si>
  <si>
    <t>2615298786-000</t>
  </si>
  <si>
    <t>2615302217-000</t>
  </si>
  <si>
    <t>2615302505-000</t>
  </si>
  <si>
    <t>2615302530-000</t>
  </si>
  <si>
    <t>2615302548-000</t>
  </si>
  <si>
    <t>2615302683-000</t>
  </si>
  <si>
    <t>2615302747-000</t>
  </si>
  <si>
    <t>2615302807-000</t>
  </si>
  <si>
    <t>2615303020-000</t>
  </si>
  <si>
    <t>2615303029-000</t>
  </si>
  <si>
    <t>2615448632-000</t>
  </si>
  <si>
    <t>2615650007-000</t>
  </si>
  <si>
    <t>2631163851-000</t>
  </si>
  <si>
    <t>2910011082-000</t>
  </si>
  <si>
    <t>2910011088-000</t>
  </si>
  <si>
    <t>2910011125-000</t>
  </si>
  <si>
    <t>2910011128-000</t>
  </si>
  <si>
    <t>2910011157-000</t>
  </si>
  <si>
    <t>2910011162-000</t>
  </si>
  <si>
    <t>2910011170-000</t>
  </si>
  <si>
    <t>2910020120-000</t>
  </si>
  <si>
    <t>2910021116-000</t>
  </si>
  <si>
    <t>2910021118-000</t>
  </si>
  <si>
    <t>2910021120-000</t>
  </si>
  <si>
    <t>2910021122-000</t>
  </si>
  <si>
    <t>2910021125-000</t>
  </si>
  <si>
    <t>2910021126-000</t>
  </si>
  <si>
    <t>2910021132-000</t>
  </si>
  <si>
    <t>2910021154-000</t>
  </si>
  <si>
    <t>2910091118-000</t>
  </si>
  <si>
    <t>2910110048-000</t>
  </si>
  <si>
    <t>2910110120-000</t>
  </si>
  <si>
    <t>2910130244-000</t>
  </si>
  <si>
    <t>2910131197-000</t>
  </si>
  <si>
    <t>2910141047-000</t>
  </si>
  <si>
    <t>2910141126-000</t>
  </si>
  <si>
    <t>2910141158-000</t>
  </si>
  <si>
    <t>2910141162-000</t>
  </si>
  <si>
    <t>2910141168-000</t>
  </si>
  <si>
    <t>2910141197-000</t>
  </si>
  <si>
    <t>2910141199-000</t>
  </si>
  <si>
    <t>2910141201-000</t>
  </si>
  <si>
    <t>2910141203-000</t>
  </si>
  <si>
    <t>2910141218-000</t>
  </si>
  <si>
    <t>2910141238-000</t>
  </si>
  <si>
    <t>2910141242-000</t>
  </si>
  <si>
    <t>2910141244-000</t>
  </si>
  <si>
    <t>2910141248-000</t>
  </si>
  <si>
    <t>2910141356-000</t>
  </si>
  <si>
    <t>2910151246-000</t>
  </si>
  <si>
    <t>2910151356-000</t>
  </si>
  <si>
    <t>2910211005-000</t>
  </si>
  <si>
    <t>2910211006-000</t>
  </si>
  <si>
    <t>2910211007-000</t>
  </si>
  <si>
    <t>2910211018-000</t>
  </si>
  <si>
    <t>2910211019-000</t>
  </si>
  <si>
    <t>2910211020-000</t>
  </si>
  <si>
    <t>2910211025-000</t>
  </si>
  <si>
    <t>2910211093-000</t>
  </si>
  <si>
    <t>2910211205-000</t>
  </si>
  <si>
    <t>2910211207-000</t>
  </si>
  <si>
    <t>2910211217-000</t>
  </si>
  <si>
    <t>2910211218-000</t>
  </si>
  <si>
    <t>2910211219-000</t>
  </si>
  <si>
    <t>2910211236-000</t>
  </si>
  <si>
    <t>2910281203-000</t>
  </si>
  <si>
    <t>2910281205-000</t>
  </si>
  <si>
    <t>2910281209-000</t>
  </si>
  <si>
    <t>2910285226-000</t>
  </si>
  <si>
    <t>2910401118-000</t>
  </si>
  <si>
    <t>2910401289-000</t>
  </si>
  <si>
    <t>2910405154-000</t>
  </si>
  <si>
    <t>2910501130-000</t>
  </si>
  <si>
    <t>2910501152-000</t>
  </si>
  <si>
    <t>2910541050-000</t>
  </si>
  <si>
    <t>2910601105-000</t>
  </si>
  <si>
    <t>2910601118-000</t>
  </si>
  <si>
    <t>2910601325-000</t>
  </si>
  <si>
    <t>2910611002-000</t>
  </si>
  <si>
    <t>2910611005-000</t>
  </si>
  <si>
    <t>2910611006-000</t>
  </si>
  <si>
    <t>2910611007-000</t>
  </si>
  <si>
    <t>2910611012-000</t>
  </si>
  <si>
    <t>2910611015-000</t>
  </si>
  <si>
    <t>2910611018-000</t>
  </si>
  <si>
    <t>2910611019-000</t>
  </si>
  <si>
    <t>2910611020-000</t>
  </si>
  <si>
    <t>2910611022-000</t>
  </si>
  <si>
    <t>2910611093-000</t>
  </si>
  <si>
    <t>2910615407-000</t>
  </si>
  <si>
    <t>2910641054-000</t>
  </si>
  <si>
    <t>2910641081-000</t>
  </si>
  <si>
    <t>2910641122-000</t>
  </si>
  <si>
    <t>2910648880-000</t>
  </si>
  <si>
    <t>2910771118-000</t>
  </si>
  <si>
    <t>2910871122-000</t>
  </si>
  <si>
    <t>2910951118-000</t>
  </si>
  <si>
    <t>2911011270-000</t>
  </si>
  <si>
    <t>2911011363-000</t>
  </si>
  <si>
    <t>2911021267-000</t>
  </si>
  <si>
    <t>2911061180-000</t>
  </si>
  <si>
    <t>2912031193-000</t>
  </si>
  <si>
    <t>2912041114-000</t>
  </si>
  <si>
    <t>2912041147-000</t>
  </si>
  <si>
    <t>2912081116-000</t>
  </si>
  <si>
    <t>2912401005-000</t>
  </si>
  <si>
    <t>2912401007-000</t>
  </si>
  <si>
    <t>2912401018-000</t>
  </si>
  <si>
    <t>2912401019-000</t>
  </si>
  <si>
    <t>2912401020-000</t>
  </si>
  <si>
    <t>2912401038-000</t>
  </si>
  <si>
    <t>2912401412-000</t>
  </si>
  <si>
    <t>2912401420-000</t>
  </si>
  <si>
    <t>2912731122-000</t>
  </si>
  <si>
    <t>2912738178-000</t>
  </si>
  <si>
    <t>2914201468-000</t>
  </si>
  <si>
    <t>2914201483-000</t>
  </si>
  <si>
    <t>2914201503-000</t>
  </si>
  <si>
    <t>2914201504-000</t>
  </si>
  <si>
    <t>2914201506-000</t>
  </si>
  <si>
    <t>2914201529-000</t>
  </si>
  <si>
    <t>2914201703-000</t>
  </si>
  <si>
    <t>2914201712-000</t>
  </si>
  <si>
    <t>2914211528-000</t>
  </si>
  <si>
    <t>2914451079-000</t>
  </si>
  <si>
    <t>2914451080-000</t>
  </si>
  <si>
    <t>2914461401-000</t>
  </si>
  <si>
    <t>2914461403-000</t>
  </si>
  <si>
    <t>2914491410-000</t>
  </si>
  <si>
    <t>2914491413-000</t>
  </si>
  <si>
    <t>2914500009-000</t>
  </si>
  <si>
    <t>2914501028-000</t>
  </si>
  <si>
    <t>2914541008-000</t>
  </si>
  <si>
    <t>2914550033-000</t>
  </si>
  <si>
    <t>2914551117-000</t>
  </si>
  <si>
    <t>2914551164-000</t>
  </si>
  <si>
    <t>2914551176-000</t>
  </si>
  <si>
    <t>2914551188-000</t>
  </si>
  <si>
    <t>2914551189-000</t>
  </si>
  <si>
    <t>2914555131-000</t>
  </si>
  <si>
    <t>2915011005-000</t>
  </si>
  <si>
    <t>2915011007-000</t>
  </si>
  <si>
    <t>2915011009-000</t>
  </si>
  <si>
    <t>2915011011-000</t>
  </si>
  <si>
    <t>2915011038-000</t>
  </si>
  <si>
    <t>2915050107-000</t>
  </si>
  <si>
    <t>2915051180-000</t>
  </si>
  <si>
    <t>2915061003-000</t>
  </si>
  <si>
    <t>2915121006-000</t>
  </si>
  <si>
    <t>2915191007-000</t>
  </si>
  <si>
    <t>2916011005-000</t>
  </si>
  <si>
    <t>2916011006-000</t>
  </si>
  <si>
    <t>2916011010-000</t>
  </si>
  <si>
    <t>2916011012-000</t>
  </si>
  <si>
    <t>2916011014-000</t>
  </si>
  <si>
    <t>2916011015-000</t>
  </si>
  <si>
    <t>2916011022-000</t>
  </si>
  <si>
    <t>2916011111-000</t>
  </si>
  <si>
    <t>2916011892-000</t>
  </si>
  <si>
    <t>2916012014-000</t>
  </si>
  <si>
    <t>2916021013-000</t>
  </si>
  <si>
    <t>2916031018-000</t>
  </si>
  <si>
    <t>2916060006-000</t>
  </si>
  <si>
    <t>2916060007-000</t>
  </si>
  <si>
    <t>2916069088-000</t>
  </si>
  <si>
    <t>2916080006-000</t>
  </si>
  <si>
    <t>2916080007-000</t>
  </si>
  <si>
    <t>2916080008-000</t>
  </si>
  <si>
    <t>2916080010-000</t>
  </si>
  <si>
    <t>2916080012-000</t>
  </si>
  <si>
    <t>2916080014-000</t>
  </si>
  <si>
    <t>2916080906-000</t>
  </si>
  <si>
    <t>2916080907-000</t>
  </si>
  <si>
    <t>2916080908-000</t>
  </si>
  <si>
    <t>2916080909-000</t>
  </si>
  <si>
    <t>2916080910-000</t>
  </si>
  <si>
    <t>2916080911-000</t>
  </si>
  <si>
    <t>2916080912-000</t>
  </si>
  <si>
    <t>2916082908-000</t>
  </si>
  <si>
    <t>2916089079-000</t>
  </si>
  <si>
    <t>2916120023-000</t>
  </si>
  <si>
    <t>2916130004-000</t>
  </si>
  <si>
    <t>2916130027-000</t>
  </si>
  <si>
    <t>2916160007-000</t>
  </si>
  <si>
    <t>2916160009-000</t>
  </si>
  <si>
    <t>2916160109-000</t>
  </si>
  <si>
    <t>2916190004-000</t>
  </si>
  <si>
    <t>2916190012-000</t>
  </si>
  <si>
    <t>2916190013-000</t>
  </si>
  <si>
    <t>2916190108-000</t>
  </si>
  <si>
    <t>2916190284-000</t>
  </si>
  <si>
    <t>2916201003-000</t>
  </si>
  <si>
    <t>2916280013-000</t>
  </si>
  <si>
    <t>2916540005-000</t>
  </si>
  <si>
    <t>2916540012-000</t>
  </si>
  <si>
    <t>2916540015-000</t>
  </si>
  <si>
    <t>2916540018-000</t>
  </si>
  <si>
    <t>2916550006-000</t>
  </si>
  <si>
    <t>2916550011-000</t>
  </si>
  <si>
    <t>2916600007-000</t>
  </si>
  <si>
    <t>2916600013-000</t>
  </si>
  <si>
    <t>2916600018-000</t>
  </si>
  <si>
    <t>2916600022-000</t>
  </si>
  <si>
    <t>2916609063-000</t>
  </si>
  <si>
    <t>2916609112-000</t>
  </si>
  <si>
    <t>2916620011-000</t>
  </si>
  <si>
    <t>2916640001-000</t>
  </si>
  <si>
    <t>2916640004-000</t>
  </si>
  <si>
    <t>2916640901-000</t>
  </si>
  <si>
    <t>2916640905-000</t>
  </si>
  <si>
    <t>2916649005-000</t>
  </si>
  <si>
    <t>2916650001-000</t>
  </si>
  <si>
    <t>2916650003-000</t>
  </si>
  <si>
    <t>2916650006-000</t>
  </si>
  <si>
    <t>2916650008-000</t>
  </si>
  <si>
    <t>2916650009-000</t>
  </si>
  <si>
    <t>2916650011-000</t>
  </si>
  <si>
    <t>2916650012-000</t>
  </si>
  <si>
    <t>2916650014-000</t>
  </si>
  <si>
    <t>2916650037-000</t>
  </si>
  <si>
    <t>2916650038-000</t>
  </si>
  <si>
    <t>2916650903-000</t>
  </si>
  <si>
    <t>2916650905-000</t>
  </si>
  <si>
    <t>2916659006-000</t>
  </si>
  <si>
    <t>2916660003-000</t>
  </si>
  <si>
    <t>2916660007-000</t>
  </si>
  <si>
    <t>2916660008-000</t>
  </si>
  <si>
    <t>2916660009-000</t>
  </si>
  <si>
    <t>2916660010-000</t>
  </si>
  <si>
    <t>2916660011-000</t>
  </si>
  <si>
    <t>2916660012-000</t>
  </si>
  <si>
    <t>2916660013-000</t>
  </si>
  <si>
    <t>2916660014-000</t>
  </si>
  <si>
    <t>2916660017-000</t>
  </si>
  <si>
    <t>2916660019-000</t>
  </si>
  <si>
    <t>2916660021-000</t>
  </si>
  <si>
    <t>2916660023-000</t>
  </si>
  <si>
    <t>2916660024-000</t>
  </si>
  <si>
    <t>2916660027-000</t>
  </si>
  <si>
    <t>2916660033-000</t>
  </si>
  <si>
    <t>2916660040-000</t>
  </si>
  <si>
    <t>2916660041-000</t>
  </si>
  <si>
    <t>2916660042-000</t>
  </si>
  <si>
    <t>2916669005-000</t>
  </si>
  <si>
    <t>2916669024-000</t>
  </si>
  <si>
    <t>2916680005-000</t>
  </si>
  <si>
    <t>2916683006-000</t>
  </si>
  <si>
    <t>2916710636-000</t>
  </si>
  <si>
    <t>2917030110-000</t>
  </si>
  <si>
    <t>2917030709-000</t>
  </si>
  <si>
    <t>2917500095-000</t>
  </si>
  <si>
    <t>2917500157-000</t>
  </si>
  <si>
    <t>2917511104-000</t>
  </si>
  <si>
    <t>2917530081-000</t>
  </si>
  <si>
    <t>2917530083-000</t>
  </si>
  <si>
    <t>2917530095-000</t>
  </si>
  <si>
    <t>2917530101-000</t>
  </si>
  <si>
    <t>2917530104-000</t>
  </si>
  <si>
    <t>2917530174-000</t>
  </si>
  <si>
    <t>2917550088-000</t>
  </si>
  <si>
    <t>2917550101-000</t>
  </si>
  <si>
    <t>2917550138-000</t>
  </si>
  <si>
    <t>2917550184-000</t>
  </si>
  <si>
    <t>2917601059-000</t>
  </si>
  <si>
    <t>2917610086-000</t>
  </si>
  <si>
    <t>2917610093-000</t>
  </si>
  <si>
    <t>2917700040-000</t>
  </si>
  <si>
    <t>2917710039-000</t>
  </si>
  <si>
    <t>2917760012-000</t>
  </si>
  <si>
    <t>2917760034-000</t>
  </si>
  <si>
    <t>2917760151-000</t>
  </si>
  <si>
    <t>2917760156-000</t>
  </si>
  <si>
    <t>2917760159-000</t>
  </si>
  <si>
    <t>2917760187-000</t>
  </si>
  <si>
    <t>2917761253-000</t>
  </si>
  <si>
    <t>2917780078-000</t>
  </si>
  <si>
    <t>2917780105-000</t>
  </si>
  <si>
    <t>2917780185-000</t>
  </si>
  <si>
    <t>2917790174-000</t>
  </si>
  <si>
    <t>2917800032-000</t>
  </si>
  <si>
    <t>2917800053-000</t>
  </si>
  <si>
    <t>2917800253-000</t>
  </si>
  <si>
    <t>2917800303-000</t>
  </si>
  <si>
    <t>2917850055-000</t>
  </si>
  <si>
    <t>2917850080-000</t>
  </si>
  <si>
    <t>2917850119-000</t>
  </si>
  <si>
    <t>2918260150-000</t>
  </si>
  <si>
    <t>2918370504-000</t>
  </si>
  <si>
    <t>2918650007-000</t>
  </si>
  <si>
    <t>2918660002-000</t>
  </si>
  <si>
    <t>3130900020-000</t>
  </si>
  <si>
    <t>3600000006-000</t>
  </si>
  <si>
    <t>3600001000-000</t>
  </si>
  <si>
    <t>3600002000-000</t>
  </si>
  <si>
    <t>3600002005-000</t>
  </si>
  <si>
    <t>3600002006-000</t>
  </si>
  <si>
    <t>3600009001-000</t>
  </si>
  <si>
    <t>3600009002-000</t>
  </si>
  <si>
    <t>3600031002-000</t>
  </si>
  <si>
    <t>3600034504-000</t>
  </si>
  <si>
    <t>3600034505-000</t>
  </si>
  <si>
    <t>3600034506-000</t>
  </si>
  <si>
    <t>3600054004-000</t>
  </si>
  <si>
    <t>3600098001-000</t>
  </si>
  <si>
    <t>3600100002-000</t>
  </si>
  <si>
    <t>3600100015-000</t>
  </si>
  <si>
    <t>3600100031-000</t>
  </si>
  <si>
    <t>3600100043-000</t>
  </si>
  <si>
    <t>3600100044-000</t>
  </si>
  <si>
    <t>3600100045-000</t>
  </si>
  <si>
    <t>3600100048-000</t>
  </si>
  <si>
    <t>3600100049-000</t>
  </si>
  <si>
    <t>3600100062-000</t>
  </si>
  <si>
    <t>3600100076-000</t>
  </si>
  <si>
    <t>3600100077-000</t>
  </si>
  <si>
    <t>3600100098-000</t>
  </si>
  <si>
    <t>3600100099-000</t>
  </si>
  <si>
    <t>3600100527-000</t>
  </si>
  <si>
    <t>3600100528-000</t>
  </si>
  <si>
    <t>3600101001-000</t>
  </si>
  <si>
    <t>3600101002-000</t>
  </si>
  <si>
    <t>3600101004-000</t>
  </si>
  <si>
    <t>3600101007-000</t>
  </si>
  <si>
    <t>3600101008-000</t>
  </si>
  <si>
    <t>3600101015-000</t>
  </si>
  <si>
    <t>3600101036-000</t>
  </si>
  <si>
    <t>3600101039-000</t>
  </si>
  <si>
    <t>3600101052-000</t>
  </si>
  <si>
    <t>3600101055-000</t>
  </si>
  <si>
    <t>3600101501-000</t>
  </si>
  <si>
    <t>3600102005-000</t>
  </si>
  <si>
    <t>3600102006-000</t>
  </si>
  <si>
    <t>3600102010-000</t>
  </si>
  <si>
    <t>3600102012-000</t>
  </si>
  <si>
    <t>3600102018-000</t>
  </si>
  <si>
    <t>3600102049-000</t>
  </si>
  <si>
    <t>3600103018-000</t>
  </si>
  <si>
    <t>3600103020-000</t>
  </si>
  <si>
    <t>3600105001-000</t>
  </si>
  <si>
    <t>3600105002-000</t>
  </si>
  <si>
    <t>3600105009-000</t>
  </si>
  <si>
    <t>3600105011-000</t>
  </si>
  <si>
    <t>3600106003-000</t>
  </si>
  <si>
    <t>3600106010-000</t>
  </si>
  <si>
    <t>3600106011-000</t>
  </si>
  <si>
    <t>3600106012-000</t>
  </si>
  <si>
    <t>3600106013-000</t>
  </si>
  <si>
    <t>3600106014-000</t>
  </si>
  <si>
    <t>3600106015-000</t>
  </si>
  <si>
    <t>3600106017-000</t>
  </si>
  <si>
    <t>3600106020-000</t>
  </si>
  <si>
    <t>3600106021-000</t>
  </si>
  <si>
    <t>3600106022-000</t>
  </si>
  <si>
    <t>3600106023-000</t>
  </si>
  <si>
    <t>3600106025-000</t>
  </si>
  <si>
    <t>3600106027-000</t>
  </si>
  <si>
    <t>3600106028-000</t>
  </si>
  <si>
    <t>3600106029-000</t>
  </si>
  <si>
    <t>3600106030-000</t>
  </si>
  <si>
    <t>3600106031-000</t>
  </si>
  <si>
    <t>3600106032-000</t>
  </si>
  <si>
    <t>3600106033-000</t>
  </si>
  <si>
    <t>3600109002-000</t>
  </si>
  <si>
    <t>3600109019-000</t>
  </si>
  <si>
    <t>3600109024-000</t>
  </si>
  <si>
    <t>3600112006-000</t>
  </si>
  <si>
    <t>3600113014-000</t>
  </si>
  <si>
    <t>3600113015-000</t>
  </si>
  <si>
    <t>3600113021-000</t>
  </si>
  <si>
    <t>3600113506-000</t>
  </si>
  <si>
    <t>3600115001-000</t>
  </si>
  <si>
    <t>3600118006-000</t>
  </si>
  <si>
    <t>3600118007-000</t>
  </si>
  <si>
    <t>3600118502-000</t>
  </si>
  <si>
    <t>3600119016-000</t>
  </si>
  <si>
    <t>3600119028-000</t>
  </si>
  <si>
    <t>3600119029-000</t>
  </si>
  <si>
    <t>3600120007-000</t>
  </si>
  <si>
    <t>3600134013-000</t>
  </si>
  <si>
    <t>3600134014-000</t>
  </si>
  <si>
    <t>3600134015-000</t>
  </si>
  <si>
    <t>3600134016-000</t>
  </si>
  <si>
    <t>3600149500-000</t>
  </si>
  <si>
    <t>3600150003-000</t>
  </si>
  <si>
    <t>3600150005-000</t>
  </si>
  <si>
    <t>3600150006-000</t>
  </si>
  <si>
    <t>3600150011-000</t>
  </si>
  <si>
    <t>3600150021-000</t>
  </si>
  <si>
    <t>3600150022-000</t>
  </si>
  <si>
    <t>3600150023-000</t>
  </si>
  <si>
    <t>3600150029-000</t>
  </si>
  <si>
    <t>3600171001-000</t>
  </si>
  <si>
    <t>3600190003-000</t>
  </si>
  <si>
    <t>3600190007-000</t>
  </si>
  <si>
    <t>3600190017-000</t>
  </si>
  <si>
    <t>3600190023-000</t>
  </si>
  <si>
    <t>3600190024-000</t>
  </si>
  <si>
    <t>3600190027-000</t>
  </si>
  <si>
    <t>3600190029-000</t>
  </si>
  <si>
    <t>3600190030-000</t>
  </si>
  <si>
    <t>3600190036-000</t>
  </si>
  <si>
    <t>3600190038-000</t>
  </si>
  <si>
    <t>3600190039-000</t>
  </si>
  <si>
    <t>3600190520-000</t>
  </si>
  <si>
    <t>3600190521-000</t>
  </si>
  <si>
    <t>3600200010-000</t>
  </si>
  <si>
    <t>3600200016-000</t>
  </si>
  <si>
    <t>3600200021-000</t>
  </si>
  <si>
    <t>3600200041-000</t>
  </si>
  <si>
    <t>3600200043-000</t>
  </si>
  <si>
    <t>3600200055-000</t>
  </si>
  <si>
    <t>3600200058-000</t>
  </si>
  <si>
    <t>3600200059-000</t>
  </si>
  <si>
    <t>3600200516-000</t>
  </si>
  <si>
    <t>3600202004-000</t>
  </si>
  <si>
    <t>3600202006-000</t>
  </si>
  <si>
    <t>3600202007-000</t>
  </si>
  <si>
    <t>3600202012-000</t>
  </si>
  <si>
    <t>3600202020-000</t>
  </si>
  <si>
    <t>3600203002-000</t>
  </si>
  <si>
    <t>3600203004-000</t>
  </si>
  <si>
    <t>3600203005-000</t>
  </si>
  <si>
    <t>3600205002-000</t>
  </si>
  <si>
    <t>3600206003-000</t>
  </si>
  <si>
    <t>3600206005-000</t>
  </si>
  <si>
    <t>3600206006-000</t>
  </si>
  <si>
    <t>3600206013-000</t>
  </si>
  <si>
    <t>3600206014-000</t>
  </si>
  <si>
    <t>3600206016-000</t>
  </si>
  <si>
    <t>3600206017-000</t>
  </si>
  <si>
    <t>3600206502-000</t>
  </si>
  <si>
    <t>3600209003-000</t>
  </si>
  <si>
    <t>3600209004-000</t>
  </si>
  <si>
    <t>3600209006-000</t>
  </si>
  <si>
    <t>3600209008-000</t>
  </si>
  <si>
    <t>3600209010-000</t>
  </si>
  <si>
    <t>3600209500-000</t>
  </si>
  <si>
    <t>3600210002-000</t>
  </si>
  <si>
    <t>3600210006-000</t>
  </si>
  <si>
    <t>3600210012-000</t>
  </si>
  <si>
    <t>3600210014-000</t>
  </si>
  <si>
    <t>3600210015-000</t>
  </si>
  <si>
    <t>3600210016-000</t>
  </si>
  <si>
    <t>3600210022-000</t>
  </si>
  <si>
    <t>3600210023-000</t>
  </si>
  <si>
    <t>3600210024-000</t>
  </si>
  <si>
    <t>3600210025-000</t>
  </si>
  <si>
    <t>3600210032-000</t>
  </si>
  <si>
    <t>3600210034-000</t>
  </si>
  <si>
    <t>3600210036-000</t>
  </si>
  <si>
    <t>3600210038-000</t>
  </si>
  <si>
    <t>3600210050-000</t>
  </si>
  <si>
    <t>3600210057-000</t>
  </si>
  <si>
    <t>3600210058-000</t>
  </si>
  <si>
    <t>3600210082-000</t>
  </si>
  <si>
    <t>3600210086-000</t>
  </si>
  <si>
    <t>3600210104-000</t>
  </si>
  <si>
    <t>3600210105-000</t>
  </si>
  <si>
    <t>3600210109-000</t>
  </si>
  <si>
    <t>3600210116-000</t>
  </si>
  <si>
    <t>3600210120-000</t>
  </si>
  <si>
    <t>3600210124-000</t>
  </si>
  <si>
    <t>3600210128-000</t>
  </si>
  <si>
    <t>3600210129-000</t>
  </si>
  <si>
    <t>3600210130-000</t>
  </si>
  <si>
    <t>3600210136-000</t>
  </si>
  <si>
    <t>3600210506-000</t>
  </si>
  <si>
    <t>3600210507-000</t>
  </si>
  <si>
    <t>3600222005-000</t>
  </si>
  <si>
    <t>3600224001-000</t>
  </si>
  <si>
    <t>3600224005-000</t>
  </si>
  <si>
    <t>3600224006-000</t>
  </si>
  <si>
    <t>3600224008-000</t>
  </si>
  <si>
    <t>3600224011-000</t>
  </si>
  <si>
    <t>3600224021-000</t>
  </si>
  <si>
    <t>3600224035-000</t>
  </si>
  <si>
    <t>3600224038-000</t>
  </si>
  <si>
    <t>3600224039-000</t>
  </si>
  <si>
    <t>3600224053-000</t>
  </si>
  <si>
    <t>3600224059-000</t>
  </si>
  <si>
    <t>3600224063-000</t>
  </si>
  <si>
    <t>3600224064-000</t>
  </si>
  <si>
    <t>3600232504-000</t>
  </si>
  <si>
    <t>3600240500-000</t>
  </si>
  <si>
    <t>3600250002-000</t>
  </si>
  <si>
    <t>3600250004-000</t>
  </si>
  <si>
    <t>3600283013-000</t>
  </si>
  <si>
    <t>3600283045-000</t>
  </si>
  <si>
    <t>3600290001-000</t>
  </si>
  <si>
    <t>3600290004-000</t>
  </si>
  <si>
    <t>3600290502-000</t>
  </si>
  <si>
    <t>3600290503-000</t>
  </si>
  <si>
    <t>3600300021-000</t>
  </si>
  <si>
    <t>3600300060-000</t>
  </si>
  <si>
    <t>3600300061-000</t>
  </si>
  <si>
    <t>3600300063-000</t>
  </si>
  <si>
    <t>3600300074-000</t>
  </si>
  <si>
    <t>3600301007-000</t>
  </si>
  <si>
    <t>3600301501-000</t>
  </si>
  <si>
    <t>3600301502-000</t>
  </si>
  <si>
    <t>3600301510-000</t>
  </si>
  <si>
    <t>3600309003-000</t>
  </si>
  <si>
    <t>3600311001-000</t>
  </si>
  <si>
    <t>3600311007-000</t>
  </si>
  <si>
    <t>3600311012-000</t>
  </si>
  <si>
    <t>3600311015-000</t>
  </si>
  <si>
    <t>3600311016-000</t>
  </si>
  <si>
    <t>3600313007-000</t>
  </si>
  <si>
    <t>3600313011-000</t>
  </si>
  <si>
    <t>3600320005-000</t>
  </si>
  <si>
    <t>3600320015-000</t>
  </si>
  <si>
    <t>3600320016-000</t>
  </si>
  <si>
    <t>3600320017-000</t>
  </si>
  <si>
    <t>3600323000-000</t>
  </si>
  <si>
    <t>3600327000-000</t>
  </si>
  <si>
    <t>3600328033-000</t>
  </si>
  <si>
    <t>3600328035-000</t>
  </si>
  <si>
    <t>3600328043-000</t>
  </si>
  <si>
    <t>3600340005-000</t>
  </si>
  <si>
    <t>3600360002-000</t>
  </si>
  <si>
    <t>3600360505-000</t>
  </si>
  <si>
    <t>3600360507-000</t>
  </si>
  <si>
    <t>3600361001-000</t>
  </si>
  <si>
    <t>3600362002-000</t>
  </si>
  <si>
    <t>3600390003-000</t>
  </si>
  <si>
    <t>3600390010-000</t>
  </si>
  <si>
    <t>3600390019-000</t>
  </si>
  <si>
    <t>3600390030-000</t>
  </si>
  <si>
    <t>3600390033-000</t>
  </si>
  <si>
    <t>3600390501-000</t>
  </si>
  <si>
    <t>3600390502-000</t>
  </si>
  <si>
    <t>3600400008-000</t>
  </si>
  <si>
    <t>3600400012-000</t>
  </si>
  <si>
    <t>3600400016-000</t>
  </si>
  <si>
    <t>3600400032-000</t>
  </si>
  <si>
    <t>3600400034-000</t>
  </si>
  <si>
    <t>3600400507-000</t>
  </si>
  <si>
    <t>3600409010-000</t>
  </si>
  <si>
    <t>3600409011-000</t>
  </si>
  <si>
    <t>3600421002-000</t>
  </si>
  <si>
    <t>3600421500-000</t>
  </si>
  <si>
    <t>3600422000-000</t>
  </si>
  <si>
    <t>3600422006-000</t>
  </si>
  <si>
    <t>3600422503-000</t>
  </si>
  <si>
    <t>3600423004-000</t>
  </si>
  <si>
    <t>3600460004-000</t>
  </si>
  <si>
    <t>3600460005-000</t>
  </si>
  <si>
    <t>3600492504-000</t>
  </si>
  <si>
    <t>3600499003-000</t>
  </si>
  <si>
    <t>3600499016-000</t>
  </si>
  <si>
    <t>3600499022-000</t>
  </si>
  <si>
    <t>3600499023-000</t>
  </si>
  <si>
    <t>3600508023-000</t>
  </si>
  <si>
    <t>3600508035-000</t>
  </si>
  <si>
    <t>3600521002-000</t>
  </si>
  <si>
    <t>3600550000-000</t>
  </si>
  <si>
    <t>3600552000-000</t>
  </si>
  <si>
    <t>3600552505-000</t>
  </si>
  <si>
    <t>3600552509-000</t>
  </si>
  <si>
    <t>3600552510-000</t>
  </si>
  <si>
    <t>3600590505-000</t>
  </si>
  <si>
    <t>3600590507-000</t>
  </si>
  <si>
    <t>3600590508-000</t>
  </si>
  <si>
    <t>3600591000-000</t>
  </si>
  <si>
    <t>3600591002-000</t>
  </si>
  <si>
    <t>3600690503-000</t>
  </si>
  <si>
    <t>3600700029-000</t>
  </si>
  <si>
    <t>3600700033-000</t>
  </si>
  <si>
    <t>3600700035-000</t>
  </si>
  <si>
    <t>3600700036-000</t>
  </si>
  <si>
    <t>3600700055-000</t>
  </si>
  <si>
    <t>3600700056-000</t>
  </si>
  <si>
    <t>3600703003-000</t>
  </si>
  <si>
    <t>3600703509-000</t>
  </si>
  <si>
    <t>3600707001-000</t>
  </si>
  <si>
    <t>3600707503-000</t>
  </si>
  <si>
    <t>3600712004-000</t>
  </si>
  <si>
    <t>3600712026-000</t>
  </si>
  <si>
    <t>3600760023-000</t>
  </si>
  <si>
    <t>3600760040-000</t>
  </si>
  <si>
    <t>3600760113-000</t>
  </si>
  <si>
    <t>3600760119-000</t>
  </si>
  <si>
    <t>3600900018-000</t>
  </si>
  <si>
    <t>3600900020-000</t>
  </si>
  <si>
    <t>3600900021-000</t>
  </si>
  <si>
    <t>3600900026-000</t>
  </si>
  <si>
    <t>3600900512-000</t>
  </si>
  <si>
    <t>3600900526-000</t>
  </si>
  <si>
    <t>3600905001-000</t>
  </si>
  <si>
    <t>3600905011-000</t>
  </si>
  <si>
    <t>3600905015-000</t>
  </si>
  <si>
    <t>3600905023-000</t>
  </si>
  <si>
    <t>3600905025-000</t>
  </si>
  <si>
    <t>3600905027-000</t>
  </si>
  <si>
    <t>3600905039-000</t>
  </si>
  <si>
    <t>3600905045-000</t>
  </si>
  <si>
    <t>3600905056-000</t>
  </si>
  <si>
    <t>3600905057-000</t>
  </si>
  <si>
    <t>3600905058-000</t>
  </si>
  <si>
    <t>3600905060-000</t>
  </si>
  <si>
    <t>3600905063-000</t>
  </si>
  <si>
    <t>3600905075-000</t>
  </si>
  <si>
    <t>3600905090-000</t>
  </si>
  <si>
    <t>3600905095-000</t>
  </si>
  <si>
    <t>3600905104-000</t>
  </si>
  <si>
    <t>3600905108-000</t>
  </si>
  <si>
    <t>3600905111-000</t>
  </si>
  <si>
    <t>3600905119-000</t>
  </si>
  <si>
    <t>3600905124-000</t>
  </si>
  <si>
    <t>3600905130-000</t>
  </si>
  <si>
    <t>3600905134-000</t>
  </si>
  <si>
    <t>3600905138-000</t>
  </si>
  <si>
    <t>3600905139-000</t>
  </si>
  <si>
    <t>3600905140-000</t>
  </si>
  <si>
    <t>3600905147-000</t>
  </si>
  <si>
    <t>3600905156-000</t>
  </si>
  <si>
    <t>3600905157-000</t>
  </si>
  <si>
    <t>3600905158-000</t>
  </si>
  <si>
    <t>3600905161-000</t>
  </si>
  <si>
    <t>3600905509-000</t>
  </si>
  <si>
    <t>3600905510-000</t>
  </si>
  <si>
    <t>3600905512-000</t>
  </si>
  <si>
    <t>3600905513-000</t>
  </si>
  <si>
    <t>3600910000-000</t>
  </si>
  <si>
    <t>3600910001-000</t>
  </si>
  <si>
    <t>3600910505-000</t>
  </si>
  <si>
    <t>3600913000-000</t>
  </si>
  <si>
    <t>3600913001-000</t>
  </si>
  <si>
    <t>3600913006-000</t>
  </si>
  <si>
    <t>3600913010-000</t>
  </si>
  <si>
    <t>3600915001-000</t>
  </si>
  <si>
    <t>3600917010-000</t>
  </si>
  <si>
    <t>3600917019-000</t>
  </si>
  <si>
    <t>3600917020-000</t>
  </si>
  <si>
    <t>3600917037-000</t>
  </si>
  <si>
    <t>3600917038-000</t>
  </si>
  <si>
    <t>3600921001-000</t>
  </si>
  <si>
    <t>3600929003-000</t>
  </si>
  <si>
    <t>3600929005-000</t>
  </si>
  <si>
    <t>3600929008-000</t>
  </si>
  <si>
    <t>3601010001-000</t>
  </si>
  <si>
    <t>3601010006-000</t>
  </si>
  <si>
    <t>3601010010-000</t>
  </si>
  <si>
    <t>3601010017-000</t>
  </si>
  <si>
    <t>3601010020-000</t>
  </si>
  <si>
    <t>3601010027-000</t>
  </si>
  <si>
    <t>3601010046-000</t>
  </si>
  <si>
    <t>3601010516-000</t>
  </si>
  <si>
    <t>3601010517-000</t>
  </si>
  <si>
    <t>3601010519-000</t>
  </si>
  <si>
    <t>3601012003-000</t>
  </si>
  <si>
    <t>3601015503-000</t>
  </si>
  <si>
    <t>3601016502-000</t>
  </si>
  <si>
    <t>3601016504-000</t>
  </si>
  <si>
    <t>3601021509-000</t>
  </si>
  <si>
    <t>3601021510-000</t>
  </si>
  <si>
    <t>3601023003-000</t>
  </si>
  <si>
    <t>3601023007-000</t>
  </si>
  <si>
    <t>3601023008-000</t>
  </si>
  <si>
    <t>3601023011-000</t>
  </si>
  <si>
    <t>3601099003-000</t>
  </si>
  <si>
    <t>3601099004-000</t>
  </si>
  <si>
    <t>3601110256-000</t>
  </si>
  <si>
    <t>3601110616-000</t>
  </si>
  <si>
    <t>3601119204-000</t>
  </si>
  <si>
    <t>3601119209-000</t>
  </si>
  <si>
    <t>3601119309-000</t>
  </si>
  <si>
    <t>3601119318-000</t>
  </si>
  <si>
    <t>3601119940-000</t>
  </si>
  <si>
    <t>3601253503-000</t>
  </si>
  <si>
    <t>3601303002-000</t>
  </si>
  <si>
    <t>3601303004-000</t>
  </si>
  <si>
    <t>3601321001-000</t>
  </si>
  <si>
    <t>3601321008-000</t>
  </si>
  <si>
    <t>3601376007-000</t>
  </si>
  <si>
    <t>3601902001-000</t>
  </si>
  <si>
    <t>3601902012-000</t>
  </si>
  <si>
    <t>3601923001-000</t>
  </si>
  <si>
    <t>3601923017-000</t>
  </si>
  <si>
    <t>3601923022-000</t>
  </si>
  <si>
    <t>3601923023-000</t>
  </si>
  <si>
    <t>3601923024-000</t>
  </si>
  <si>
    <t>3601923025-000</t>
  </si>
  <si>
    <t>3601923029-000</t>
  </si>
  <si>
    <t>3601923030-000</t>
  </si>
  <si>
    <t>3601923502-000</t>
  </si>
  <si>
    <t>3602000000-000</t>
  </si>
  <si>
    <t>3602000001-000</t>
  </si>
  <si>
    <t>3602000510-000</t>
  </si>
  <si>
    <t>3602001001-000</t>
  </si>
  <si>
    <t>3602010000-000</t>
  </si>
  <si>
    <t>3602025023-000</t>
  </si>
  <si>
    <t>3602033001-000</t>
  </si>
  <si>
    <t>3602033003-000</t>
  </si>
  <si>
    <t>3602033004-000</t>
  </si>
  <si>
    <t>3602053003-000</t>
  </si>
  <si>
    <t>3602053004-000</t>
  </si>
  <si>
    <t>3602053005-000</t>
  </si>
  <si>
    <t>3602099000-000</t>
  </si>
  <si>
    <t>3602300011-000</t>
  </si>
  <si>
    <t>3602305011-000</t>
  </si>
  <si>
    <t>3602311018-000</t>
  </si>
  <si>
    <t>3602311047-000</t>
  </si>
  <si>
    <t>3602311052-000</t>
  </si>
  <si>
    <t>3602317037-000</t>
  </si>
  <si>
    <t>3602317042-000</t>
  </si>
  <si>
    <t>3602317050-000</t>
  </si>
  <si>
    <t>3602329026-000</t>
  </si>
  <si>
    <t>3602329027-000</t>
  </si>
  <si>
    <t>3602329031-000</t>
  </si>
  <si>
    <t>3602391503-000</t>
  </si>
  <si>
    <t>3603001529-000</t>
  </si>
  <si>
    <t>3603003005-000</t>
  </si>
  <si>
    <t>3603008500-000</t>
  </si>
  <si>
    <t>3603029501-000</t>
  </si>
  <si>
    <t>3603050005-000</t>
  </si>
  <si>
    <t>3603050014-000</t>
  </si>
  <si>
    <t>3603060010-000</t>
  </si>
  <si>
    <t>3603060012-000</t>
  </si>
  <si>
    <t>3603070000-000</t>
  </si>
  <si>
    <t>3603100000-000</t>
  </si>
  <si>
    <t>3603100030-000</t>
  </si>
  <si>
    <t>3603100031-000</t>
  </si>
  <si>
    <t>3603100032-000</t>
  </si>
  <si>
    <t>3603101007-000</t>
  </si>
  <si>
    <t>3603105001-000</t>
  </si>
  <si>
    <t>3603105003-000</t>
  </si>
  <si>
    <t>3603105010-000</t>
  </si>
  <si>
    <t>3603120001-000</t>
  </si>
  <si>
    <t>3603120003-000</t>
  </si>
  <si>
    <t>3603120502-000</t>
  </si>
  <si>
    <t>3603121003-000</t>
  </si>
  <si>
    <t>3603121004-000</t>
  </si>
  <si>
    <t>3603123007-000</t>
  </si>
  <si>
    <t>3603123010-000</t>
  </si>
  <si>
    <t>3603123017-000</t>
  </si>
  <si>
    <t>3603123021-000</t>
  </si>
  <si>
    <t>3603124011-000</t>
  </si>
  <si>
    <t>3603124023-000</t>
  </si>
  <si>
    <t>3603124025-000</t>
  </si>
  <si>
    <t>3603124030-000</t>
  </si>
  <si>
    <t>3603132000-000</t>
  </si>
  <si>
    <t>3603133001-000</t>
  </si>
  <si>
    <t>3603200007-000</t>
  </si>
  <si>
    <t>3603201000-000</t>
  </si>
  <si>
    <t>3603201005-000</t>
  </si>
  <si>
    <t>3603201031-000</t>
  </si>
  <si>
    <t>3603201037-000</t>
  </si>
  <si>
    <t>3603201042-000</t>
  </si>
  <si>
    <t>3603201043-000</t>
  </si>
  <si>
    <t>3603201047-000</t>
  </si>
  <si>
    <t>3603201048-000</t>
  </si>
  <si>
    <t>3603201050-000</t>
  </si>
  <si>
    <t>3603201055-000</t>
  </si>
  <si>
    <t>3603201077-000</t>
  </si>
  <si>
    <t>3603201085-000</t>
  </si>
  <si>
    <t>3603203007-000</t>
  </si>
  <si>
    <t>3603211501-000</t>
  </si>
  <si>
    <t>3603230004-000</t>
  </si>
  <si>
    <t>3603231017-000</t>
  </si>
  <si>
    <t>3603231539-000</t>
  </si>
  <si>
    <t>3603300005-000</t>
  </si>
  <si>
    <t>3603300501-000</t>
  </si>
  <si>
    <t>3603313001-000</t>
  </si>
  <si>
    <t>3603313002-000</t>
  </si>
  <si>
    <t>3603313006-000</t>
  </si>
  <si>
    <t>3603313007-000</t>
  </si>
  <si>
    <t>3603315500-000</t>
  </si>
  <si>
    <t>3603317002-000</t>
  </si>
  <si>
    <t>3603340006-000</t>
  </si>
  <si>
    <t>3603340010-000</t>
  </si>
  <si>
    <t>3603340014-000</t>
  </si>
  <si>
    <t>3603340017-000</t>
  </si>
  <si>
    <t>3603340019-000</t>
  </si>
  <si>
    <t>3603340501-000</t>
  </si>
  <si>
    <t>3603340503-000</t>
  </si>
  <si>
    <t>3603342001-000</t>
  </si>
  <si>
    <t>3603342002-000</t>
  </si>
  <si>
    <t>3603342003-000</t>
  </si>
  <si>
    <t>3603342004-000</t>
  </si>
  <si>
    <t>3603342009-000</t>
  </si>
  <si>
    <t>3603344003-000</t>
  </si>
  <si>
    <t>3603344023-000</t>
  </si>
  <si>
    <t>3603344024-000</t>
  </si>
  <si>
    <t>3603344039-000</t>
  </si>
  <si>
    <t>3603344046-000</t>
  </si>
  <si>
    <t>3603344047-000</t>
  </si>
  <si>
    <t>3603344052-000</t>
  </si>
  <si>
    <t>3603344057-000</t>
  </si>
  <si>
    <t>3603344059-000</t>
  </si>
  <si>
    <t>3603344062-000</t>
  </si>
  <si>
    <t>3603344097-000</t>
  </si>
  <si>
    <t>3603345016-000</t>
  </si>
  <si>
    <t>3603386001-000</t>
  </si>
  <si>
    <t>3603386039-000</t>
  </si>
  <si>
    <t>3603386063-000</t>
  </si>
  <si>
    <t>3603386065-000</t>
  </si>
  <si>
    <t>3603386066-000</t>
  </si>
  <si>
    <t>3603391007-000</t>
  </si>
  <si>
    <t>3603400003-000</t>
  </si>
  <si>
    <t>3603405509-000</t>
  </si>
  <si>
    <t>3603410001-000</t>
  </si>
  <si>
    <t>3603410005-000</t>
  </si>
  <si>
    <t>3603410006-000</t>
  </si>
  <si>
    <t>3603410007-000</t>
  </si>
  <si>
    <t>3603410504-000</t>
  </si>
  <si>
    <t>3603414020-000</t>
  </si>
  <si>
    <t>3603414021-000</t>
  </si>
  <si>
    <t>3603415556-000</t>
  </si>
  <si>
    <t>3603415560-000</t>
  </si>
  <si>
    <t>3603430505-000</t>
  </si>
  <si>
    <t>3603435003-000</t>
  </si>
  <si>
    <t>3603435004-000</t>
  </si>
  <si>
    <t>3603435020-000</t>
  </si>
  <si>
    <t>3603435042-000</t>
  </si>
  <si>
    <t>3603435044-000</t>
  </si>
  <si>
    <t>3603435051-000</t>
  </si>
  <si>
    <t>3603435056-000</t>
  </si>
  <si>
    <t>3603450000-000</t>
  </si>
  <si>
    <t>3603450006-000</t>
  </si>
  <si>
    <t>3603450008-000</t>
  </si>
  <si>
    <t>3603450503-000</t>
  </si>
  <si>
    <t>3603450504-000</t>
  </si>
  <si>
    <t>3603458008-000</t>
  </si>
  <si>
    <t>3603458010-000</t>
  </si>
  <si>
    <t>3603462000-000</t>
  </si>
  <si>
    <t>3603462004-000</t>
  </si>
  <si>
    <t>3603462006-000</t>
  </si>
  <si>
    <t>3603462007-000</t>
  </si>
  <si>
    <t>3603462010-000</t>
  </si>
  <si>
    <t>3603462011-000</t>
  </si>
  <si>
    <t>3603462012-000</t>
  </si>
  <si>
    <t>3603463003-000</t>
  </si>
  <si>
    <t>3603463005-000</t>
  </si>
  <si>
    <t>3603463503-000</t>
  </si>
  <si>
    <t>3603490001-000</t>
  </si>
  <si>
    <t>3603490015-000</t>
  </si>
  <si>
    <t>3603490016-000</t>
  </si>
  <si>
    <t>3603490017-000</t>
  </si>
  <si>
    <t>3603490020-000</t>
  </si>
  <si>
    <t>3603521000-000</t>
  </si>
  <si>
    <t>3603523008-000</t>
  </si>
  <si>
    <t>3603523013-000</t>
  </si>
  <si>
    <t>3603523016-000</t>
  </si>
  <si>
    <t>3603523030-000</t>
  </si>
  <si>
    <t>3603523032-000</t>
  </si>
  <si>
    <t>3603523034-000</t>
  </si>
  <si>
    <t>3603523035-000</t>
  </si>
  <si>
    <t>3603523037-000</t>
  </si>
  <si>
    <t>3603523039-000</t>
  </si>
  <si>
    <t>3603523041-000</t>
  </si>
  <si>
    <t>3603523042-000</t>
  </si>
  <si>
    <t>3603523047-000</t>
  </si>
  <si>
    <t>3603523070-000</t>
  </si>
  <si>
    <t>3604010037-000</t>
  </si>
  <si>
    <t>3604010064-000</t>
  </si>
  <si>
    <t>3604010088-000</t>
  </si>
  <si>
    <t>3604010501-000</t>
  </si>
  <si>
    <t>3604011523-000</t>
  </si>
  <si>
    <t>3604011587-000</t>
  </si>
  <si>
    <t>3604011621-000</t>
  </si>
  <si>
    <t>3604080018-000</t>
  </si>
  <si>
    <t>3604080024-000</t>
  </si>
  <si>
    <t>3604080025-000</t>
  </si>
  <si>
    <t>3604080037-000</t>
  </si>
  <si>
    <t>3604080044-000</t>
  </si>
  <si>
    <t>3604080053-000</t>
  </si>
  <si>
    <t>3604080054-000</t>
  </si>
  <si>
    <t>3604080055-000</t>
  </si>
  <si>
    <t>3604080070-000</t>
  </si>
  <si>
    <t>3604090009-000</t>
  </si>
  <si>
    <t>3604090022-000</t>
  </si>
  <si>
    <t>3604090023-000</t>
  </si>
  <si>
    <t>3604090029-000</t>
  </si>
  <si>
    <t>3604090034-000</t>
  </si>
  <si>
    <t>3604090044-000</t>
  </si>
  <si>
    <t>3604090046-000</t>
  </si>
  <si>
    <t>3604090049-000</t>
  </si>
  <si>
    <t>3604090057-000</t>
  </si>
  <si>
    <t>3604090064-000</t>
  </si>
  <si>
    <t>3604220021-000</t>
  </si>
  <si>
    <t>3604220033-000</t>
  </si>
  <si>
    <t>3604220034-000</t>
  </si>
  <si>
    <t>3604220039-000</t>
  </si>
  <si>
    <t>3604220042-000</t>
  </si>
  <si>
    <t>3604220043-000</t>
  </si>
  <si>
    <t>3604220044-000</t>
  </si>
  <si>
    <t>3604220046-000</t>
  </si>
  <si>
    <t>3604220047-000</t>
  </si>
  <si>
    <t>3604220061-000</t>
  </si>
  <si>
    <t>3604220069-000</t>
  </si>
  <si>
    <t>3604220077-000</t>
  </si>
  <si>
    <t>3604220078-000</t>
  </si>
  <si>
    <t>3604220085-000</t>
  </si>
  <si>
    <t>3604220092-000</t>
  </si>
  <si>
    <t>3604220097-000</t>
  </si>
  <si>
    <t>3604220159-000</t>
  </si>
  <si>
    <t>3604220512-000</t>
  </si>
  <si>
    <t>3604220559-000</t>
  </si>
  <si>
    <t>3604220570-000</t>
  </si>
  <si>
    <t>3604229057-000</t>
  </si>
  <si>
    <t>3604229064-000</t>
  </si>
  <si>
    <t>3604229082-000</t>
  </si>
  <si>
    <t>3604229095-000</t>
  </si>
  <si>
    <t>3604229109-000</t>
  </si>
  <si>
    <t>3604229110-000</t>
  </si>
  <si>
    <t>3604229114-000</t>
  </si>
  <si>
    <t>3604321513-000</t>
  </si>
  <si>
    <t>3604321514-000</t>
  </si>
  <si>
    <t>3604336001-000</t>
  </si>
  <si>
    <t>3604336012-000</t>
  </si>
  <si>
    <t>3604336507-000</t>
  </si>
  <si>
    <t>3604336510-000</t>
  </si>
  <si>
    <t>3604422049-000</t>
  </si>
  <si>
    <t>3604438020-000</t>
  </si>
  <si>
    <t>3604460117-000</t>
  </si>
  <si>
    <t>3604460132-000</t>
  </si>
  <si>
    <t>3604460526-000</t>
  </si>
  <si>
    <t>3604462002-000</t>
  </si>
  <si>
    <t>3604462003-000</t>
  </si>
  <si>
    <t>3604462004-000</t>
  </si>
  <si>
    <t>3604462005-000</t>
  </si>
  <si>
    <t>3604462017-000</t>
  </si>
  <si>
    <t>3604478004-000</t>
  </si>
  <si>
    <t>3604601001-000</t>
  </si>
  <si>
    <t>3604610007-000</t>
  </si>
  <si>
    <t>3604610011-000</t>
  </si>
  <si>
    <t>3604610024-000</t>
  </si>
  <si>
    <t>3604610027-000</t>
  </si>
  <si>
    <t>3604610038-000</t>
  </si>
  <si>
    <t>3604610044-000</t>
  </si>
  <si>
    <t>3604610045-000</t>
  </si>
  <si>
    <t>3604610046-000</t>
  </si>
  <si>
    <t>3604610047-000</t>
  </si>
  <si>
    <t>3604610057-000</t>
  </si>
  <si>
    <t>3604611006-000</t>
  </si>
  <si>
    <t>3604611019-000</t>
  </si>
  <si>
    <t>3604611020-000</t>
  </si>
  <si>
    <t>3604611021-000</t>
  </si>
  <si>
    <t>3604611022-000</t>
  </si>
  <si>
    <t>3604611037-000</t>
  </si>
  <si>
    <t>3604611039-000</t>
  </si>
  <si>
    <t>3604613506-000</t>
  </si>
  <si>
    <t>3604613507-000</t>
  </si>
  <si>
    <t>3604613508-000</t>
  </si>
  <si>
    <t>3604615000-000</t>
  </si>
  <si>
    <t>3604615001-000</t>
  </si>
  <si>
    <t>3604615004-000</t>
  </si>
  <si>
    <t>3604615009-000</t>
  </si>
  <si>
    <t>3604616002-000</t>
  </si>
  <si>
    <t>3604616008-000</t>
  </si>
  <si>
    <t>3604616013-000</t>
  </si>
  <si>
    <t>3604617000-000</t>
  </si>
  <si>
    <t>3604618003-000</t>
  </si>
  <si>
    <t>3604618008-000</t>
  </si>
  <si>
    <t>3604619000-000</t>
  </si>
  <si>
    <t>3604619003-000</t>
  </si>
  <si>
    <t>3604619004-000</t>
  </si>
  <si>
    <t>3604619015-000</t>
  </si>
  <si>
    <t>3604619020-000</t>
  </si>
  <si>
    <t>3604619500-000</t>
  </si>
  <si>
    <t>3604630000-000</t>
  </si>
  <si>
    <t>3604643002-000</t>
  </si>
  <si>
    <t>3604643010-000</t>
  </si>
  <si>
    <t>3604643012-000</t>
  </si>
  <si>
    <t>3604643013-000</t>
  </si>
  <si>
    <t>3604643016-000</t>
  </si>
  <si>
    <t>3604648504-000</t>
  </si>
  <si>
    <t>3604650000-000</t>
  </si>
  <si>
    <t>3604651005-000</t>
  </si>
  <si>
    <t>3604651006-000</t>
  </si>
  <si>
    <t>3604651008-000</t>
  </si>
  <si>
    <t>3604651009-000</t>
  </si>
  <si>
    <t>3604651010-000</t>
  </si>
  <si>
    <t>3604651011-000</t>
  </si>
  <si>
    <t>3604651012-000</t>
  </si>
  <si>
    <t>3604651016-000</t>
  </si>
  <si>
    <t>3604651502-000</t>
  </si>
  <si>
    <t>3604651503-000</t>
  </si>
  <si>
    <t>3604652500-000</t>
  </si>
  <si>
    <t>3604652501-000</t>
  </si>
  <si>
    <t>3604680002-000</t>
  </si>
  <si>
    <t>3604680500-000</t>
  </si>
  <si>
    <t>3604682002-000</t>
  </si>
  <si>
    <t>3604710003-000</t>
  </si>
  <si>
    <t>3604710031-000</t>
  </si>
  <si>
    <t>3604710054-000</t>
  </si>
  <si>
    <t>3604710055-000</t>
  </si>
  <si>
    <t>3604710057-000</t>
  </si>
  <si>
    <t>3604730001-000</t>
  </si>
  <si>
    <t>3604736505-000</t>
  </si>
  <si>
    <t>3605102040-000</t>
  </si>
  <si>
    <t>3605102076-000</t>
  </si>
  <si>
    <t>3605102079-000</t>
  </si>
  <si>
    <t>3605105014-000</t>
  </si>
  <si>
    <t>3605105015-000</t>
  </si>
  <si>
    <t>3605105016-000</t>
  </si>
  <si>
    <t>3605105017-000</t>
  </si>
  <si>
    <t>3605105019-000</t>
  </si>
  <si>
    <t>3605105020-000</t>
  </si>
  <si>
    <t>3605105023-000</t>
  </si>
  <si>
    <t>3605105024-000</t>
  </si>
  <si>
    <t>3605105025-000</t>
  </si>
  <si>
    <t>3605105027-000</t>
  </si>
  <si>
    <t>3605105028-000</t>
  </si>
  <si>
    <t>3605105029-000</t>
  </si>
  <si>
    <t>3605105030-000</t>
  </si>
  <si>
    <t>3605105035-000</t>
  </si>
  <si>
    <t>3605106071-000</t>
  </si>
  <si>
    <t>3605106093-000</t>
  </si>
  <si>
    <t>3605106107-000</t>
  </si>
  <si>
    <t>3605108040-000</t>
  </si>
  <si>
    <t>3605108045-000</t>
  </si>
  <si>
    <t>3605108053-000</t>
  </si>
  <si>
    <t>3605108056-000</t>
  </si>
  <si>
    <t>3605108059-000</t>
  </si>
  <si>
    <t>3605108070-000</t>
  </si>
  <si>
    <t>3605108072-000</t>
  </si>
  <si>
    <t>3605108073-000</t>
  </si>
  <si>
    <t>3605108084-000</t>
  </si>
  <si>
    <t>3605108091-000</t>
  </si>
  <si>
    <t>3605108092-000</t>
  </si>
  <si>
    <t>3605108101-000</t>
  </si>
  <si>
    <t>3605108109-000</t>
  </si>
  <si>
    <t>3605108114-000</t>
  </si>
  <si>
    <t>3605108159-000</t>
  </si>
  <si>
    <t>3605108160-000</t>
  </si>
  <si>
    <t>3605108161-000</t>
  </si>
  <si>
    <t>3605108171-000</t>
  </si>
  <si>
    <t>3605108181-000</t>
  </si>
  <si>
    <t>3605108193-000</t>
  </si>
  <si>
    <t>3605108194-000</t>
  </si>
  <si>
    <t>3605108557-000</t>
  </si>
  <si>
    <t>3605108561-000</t>
  </si>
  <si>
    <t>3605108566-000</t>
  </si>
  <si>
    <t>3605108580-000</t>
  </si>
  <si>
    <t>3605108584-000</t>
  </si>
  <si>
    <t>3605109000-000</t>
  </si>
  <si>
    <t>3605110078-000</t>
  </si>
  <si>
    <t>3605110079-000</t>
  </si>
  <si>
    <t>3605125031-000</t>
  </si>
  <si>
    <t>3605125032-000</t>
  </si>
  <si>
    <t>3605125033-000</t>
  </si>
  <si>
    <t>3605125034-000</t>
  </si>
  <si>
    <t>3605125049-000</t>
  </si>
  <si>
    <t>3605125050-000</t>
  </si>
  <si>
    <t>3605125051-000</t>
  </si>
  <si>
    <t>3605125062-000</t>
  </si>
  <si>
    <t>3605132024-000</t>
  </si>
  <si>
    <t>3605132031-000</t>
  </si>
  <si>
    <t>3605132042-000</t>
  </si>
  <si>
    <t>3605132048-000</t>
  </si>
  <si>
    <t>3605132077-000</t>
  </si>
  <si>
    <t>3605133012-000</t>
  </si>
  <si>
    <t>3605133015-000</t>
  </si>
  <si>
    <t>3605133019-000</t>
  </si>
  <si>
    <t>3605133521-000</t>
  </si>
  <si>
    <t>3605133526-000</t>
  </si>
  <si>
    <t>3605133528-000</t>
  </si>
  <si>
    <t>3605133530-000</t>
  </si>
  <si>
    <t>3605133531-000</t>
  </si>
  <si>
    <t>3605190078-000</t>
  </si>
  <si>
    <t>3605190104-000</t>
  </si>
  <si>
    <t>3605190118-000</t>
  </si>
  <si>
    <t>3605190137-000</t>
  </si>
  <si>
    <t>3605190163-000</t>
  </si>
  <si>
    <t>3605190183-000</t>
  </si>
  <si>
    <t>3605190188-000</t>
  </si>
  <si>
    <t>3605190195-000</t>
  </si>
  <si>
    <t>3605190199-000</t>
  </si>
  <si>
    <t>3605190200-000</t>
  </si>
  <si>
    <t>3605190512-000</t>
  </si>
  <si>
    <t>3605190520-000</t>
  </si>
  <si>
    <t>3605190522-000</t>
  </si>
  <si>
    <t>3605190526-000</t>
  </si>
  <si>
    <t>3605405000-000</t>
  </si>
  <si>
    <t>3605430001-000</t>
  </si>
  <si>
    <t>3605430002-000</t>
  </si>
  <si>
    <t>3605430003-000</t>
  </si>
  <si>
    <t>3605430008-000</t>
  </si>
  <si>
    <t>3605430009-000</t>
  </si>
  <si>
    <t>3605500017-000</t>
  </si>
  <si>
    <t>3605500025-000</t>
  </si>
  <si>
    <t>3605500026-000</t>
  </si>
  <si>
    <t>3605500032-000</t>
  </si>
  <si>
    <t>3605500043-000</t>
  </si>
  <si>
    <t>3605500046-000</t>
  </si>
  <si>
    <t>3605500058-000</t>
  </si>
  <si>
    <t>3605500059-000</t>
  </si>
  <si>
    <t>3605500127-000</t>
  </si>
  <si>
    <t>3605500147-000</t>
  </si>
  <si>
    <t>3605500148-000</t>
  </si>
  <si>
    <t>3605500149-000</t>
  </si>
  <si>
    <t>3605500153-000</t>
  </si>
  <si>
    <t>3605500164-000</t>
  </si>
  <si>
    <t>3605500171-000</t>
  </si>
  <si>
    <t>3605500172-000</t>
  </si>
  <si>
    <t>3605500175-000</t>
  </si>
  <si>
    <t>3605500187-000</t>
  </si>
  <si>
    <t>3605500194-000</t>
  </si>
  <si>
    <t>3605500220-000</t>
  </si>
  <si>
    <t>3605500222-000</t>
  </si>
  <si>
    <t>3605500576-000</t>
  </si>
  <si>
    <t>3605500579-000</t>
  </si>
  <si>
    <t>3605500593-000</t>
  </si>
  <si>
    <t>3605510007-000</t>
  </si>
  <si>
    <t>3605510031-000</t>
  </si>
  <si>
    <t>3605510032-000</t>
  </si>
  <si>
    <t>3605510033-000</t>
  </si>
  <si>
    <t>3605510040-000</t>
  </si>
  <si>
    <t>3605510505-000</t>
  </si>
  <si>
    <t>3605510525-000</t>
  </si>
  <si>
    <t>3605510538-000</t>
  </si>
  <si>
    <t>3605510547-000</t>
  </si>
  <si>
    <t>3605510548-000</t>
  </si>
  <si>
    <t>3605700011-000</t>
  </si>
  <si>
    <t>3605700012-000</t>
  </si>
  <si>
    <t>3605700039-000</t>
  </si>
  <si>
    <t>3605700040-000</t>
  </si>
  <si>
    <t>3605700058-000</t>
  </si>
  <si>
    <t>3605700064-000</t>
  </si>
  <si>
    <t>3605700065-000</t>
  </si>
  <si>
    <t>3605700074-000</t>
  </si>
  <si>
    <t>3605700076-000</t>
  </si>
  <si>
    <t>3605700078-000</t>
  </si>
  <si>
    <t>3605700082-000</t>
  </si>
  <si>
    <t>3605700119-000</t>
  </si>
  <si>
    <t>3605700120-000</t>
  </si>
  <si>
    <t>3605700141-000</t>
  </si>
  <si>
    <t>3605700158-000</t>
  </si>
  <si>
    <t>3605700165-000</t>
  </si>
  <si>
    <t>3605700170-000</t>
  </si>
  <si>
    <t>3605700173-000</t>
  </si>
  <si>
    <t>3605700174-000</t>
  </si>
  <si>
    <t>3605700175-000</t>
  </si>
  <si>
    <t>3605700176-000</t>
  </si>
  <si>
    <t>3605700177-000</t>
  </si>
  <si>
    <t>3605700179-000</t>
  </si>
  <si>
    <t>3605700180-000</t>
  </si>
  <si>
    <t>3605700186-000</t>
  </si>
  <si>
    <t>3605700190-000</t>
  </si>
  <si>
    <t>3605700191-000</t>
  </si>
  <si>
    <t>3605700192-000</t>
  </si>
  <si>
    <t>3605700210-000</t>
  </si>
  <si>
    <t>3605700211-000</t>
  </si>
  <si>
    <t>3605700213-000</t>
  </si>
  <si>
    <t>3605702581-000</t>
  </si>
  <si>
    <t>3605702583-000</t>
  </si>
  <si>
    <t>3605702588-000</t>
  </si>
  <si>
    <t>3605702598-000</t>
  </si>
  <si>
    <t>3605703029-000</t>
  </si>
  <si>
    <t>3605703065-000</t>
  </si>
  <si>
    <t>3605703066-000</t>
  </si>
  <si>
    <t>3605703067-000</t>
  </si>
  <si>
    <t>3605703068-000</t>
  </si>
  <si>
    <t>3605703069-000</t>
  </si>
  <si>
    <t>3605703070-000</t>
  </si>
  <si>
    <t>3605703074-000</t>
  </si>
  <si>
    <t>3605703077-000</t>
  </si>
  <si>
    <t>3605703078-000</t>
  </si>
  <si>
    <t>3605703089-000</t>
  </si>
  <si>
    <t>3605703112-000</t>
  </si>
  <si>
    <t>3605801000-000</t>
  </si>
  <si>
    <t>3605805009-000</t>
  </si>
  <si>
    <t>3605805032-000</t>
  </si>
  <si>
    <t>3605805038-000</t>
  </si>
  <si>
    <t>3605806050-000</t>
  </si>
  <si>
    <t>3605806053-000</t>
  </si>
  <si>
    <t>3605806066-000</t>
  </si>
  <si>
    <t>3605806067-000</t>
  </si>
  <si>
    <t>3605806109-000</t>
  </si>
  <si>
    <t>3605806112-000</t>
  </si>
  <si>
    <t>3605806114-000</t>
  </si>
  <si>
    <t>3605806138-000</t>
  </si>
  <si>
    <t>3605806184-000</t>
  </si>
  <si>
    <t>3605806188-000</t>
  </si>
  <si>
    <t>3605806201-000</t>
  </si>
  <si>
    <t>3605806216-000</t>
  </si>
  <si>
    <t>3605806508-000</t>
  </si>
  <si>
    <t>3605806537-000</t>
  </si>
  <si>
    <t>3605806541-000</t>
  </si>
  <si>
    <t>3605820002-000</t>
  </si>
  <si>
    <t>3605820013-000</t>
  </si>
  <si>
    <t>3605820036-000</t>
  </si>
  <si>
    <t>3605820037-000</t>
  </si>
  <si>
    <t>3605820064-000</t>
  </si>
  <si>
    <t>3605820065-000</t>
  </si>
  <si>
    <t>3606100005-000</t>
  </si>
  <si>
    <t>3606100008-000</t>
  </si>
  <si>
    <t>3606100010-000</t>
  </si>
  <si>
    <t>3606100101-000</t>
  </si>
  <si>
    <t>3606100511-000</t>
  </si>
  <si>
    <t>3606110002-000</t>
  </si>
  <si>
    <t>3606120005-000</t>
  </si>
  <si>
    <t>3606120009-000</t>
  </si>
  <si>
    <t>3606120565-000</t>
  </si>
  <si>
    <t>3606120567-000</t>
  </si>
  <si>
    <t>3606135004-000</t>
  </si>
  <si>
    <t>3606135006-000</t>
  </si>
  <si>
    <t>3606135009-000</t>
  </si>
  <si>
    <t>3606200029-000</t>
  </si>
  <si>
    <t>3606300007-000</t>
  </si>
  <si>
    <t>3606300050-000</t>
  </si>
  <si>
    <t>3606300072-000</t>
  </si>
  <si>
    <t>3606300091-000</t>
  </si>
  <si>
    <t>3606300092-000</t>
  </si>
  <si>
    <t>3606300097-000</t>
  </si>
  <si>
    <t>3606300098-000</t>
  </si>
  <si>
    <t>3606300103-000</t>
  </si>
  <si>
    <t>3606300104-000</t>
  </si>
  <si>
    <t>3606300109-000</t>
  </si>
  <si>
    <t>3606300110-000</t>
  </si>
  <si>
    <t>3606300137-000</t>
  </si>
  <si>
    <t>3606300138-000</t>
  </si>
  <si>
    <t>3606300139-000</t>
  </si>
  <si>
    <t>3606300144-000</t>
  </si>
  <si>
    <t>3606300147-000</t>
  </si>
  <si>
    <t>3606300156-000</t>
  </si>
  <si>
    <t>3606300177-000</t>
  </si>
  <si>
    <t>3606302500-000</t>
  </si>
  <si>
    <t>3606309015-000</t>
  </si>
  <si>
    <t>3606309016-000</t>
  </si>
  <si>
    <t>3606309054-000</t>
  </si>
  <si>
    <t>3606309058-000</t>
  </si>
  <si>
    <t>3606309060-000</t>
  </si>
  <si>
    <t>3606309061-000</t>
  </si>
  <si>
    <t>3606316000-000</t>
  </si>
  <si>
    <t>3606316001-000</t>
  </si>
  <si>
    <t>3606316002-000</t>
  </si>
  <si>
    <t>3606316004-000</t>
  </si>
  <si>
    <t>3606316011-000</t>
  </si>
  <si>
    <t>3606316015-000</t>
  </si>
  <si>
    <t>3606316057-000</t>
  </si>
  <si>
    <t>3606316062-000</t>
  </si>
  <si>
    <t>3606316073-000</t>
  </si>
  <si>
    <t>3606316075-000</t>
  </si>
  <si>
    <t>3606316090-000</t>
  </si>
  <si>
    <t>3606316091-000</t>
  </si>
  <si>
    <t>3606316093-000</t>
  </si>
  <si>
    <t>3606316097-000</t>
  </si>
  <si>
    <t>3606316098-000</t>
  </si>
  <si>
    <t>3606316099-000</t>
  </si>
  <si>
    <t>3606316100-000</t>
  </si>
  <si>
    <t>3606316102-000</t>
  </si>
  <si>
    <t>3606316108-000</t>
  </si>
  <si>
    <t>3606316110-000</t>
  </si>
  <si>
    <t>3606316111-000</t>
  </si>
  <si>
    <t>3606316116-000</t>
  </si>
  <si>
    <t>3606317002-000</t>
  </si>
  <si>
    <t>3606317021-000</t>
  </si>
  <si>
    <t>3606317031-000</t>
  </si>
  <si>
    <t>3606317047-000</t>
  </si>
  <si>
    <t>3606317048-000</t>
  </si>
  <si>
    <t>3606317055-000</t>
  </si>
  <si>
    <t>3606319522-000</t>
  </si>
  <si>
    <t>3606319525-000</t>
  </si>
  <si>
    <t>3606320012-000</t>
  </si>
  <si>
    <t>3606328018-000</t>
  </si>
  <si>
    <t>3606333032-000</t>
  </si>
  <si>
    <t>3606333033-000</t>
  </si>
  <si>
    <t>3606333045-000</t>
  </si>
  <si>
    <t>3606333047-000</t>
  </si>
  <si>
    <t>3606333048-000</t>
  </si>
  <si>
    <t>3606333057-000</t>
  </si>
  <si>
    <t>3606333075-000</t>
  </si>
  <si>
    <t>3606333078-000</t>
  </si>
  <si>
    <t>3606333079-000</t>
  </si>
  <si>
    <t>3606334009-000</t>
  </si>
  <si>
    <t>3606334015-000</t>
  </si>
  <si>
    <t>3606334018-000</t>
  </si>
  <si>
    <t>3606334021-000</t>
  </si>
  <si>
    <t>3606334049-000</t>
  </si>
  <si>
    <t>3606334054-000</t>
  </si>
  <si>
    <t>3606334056-000</t>
  </si>
  <si>
    <t>3606334058-000</t>
  </si>
  <si>
    <t>3606334059-000</t>
  </si>
  <si>
    <t>3606334061-000</t>
  </si>
  <si>
    <t>3606334082-000</t>
  </si>
  <si>
    <t>3606334086-000</t>
  </si>
  <si>
    <t>3606334095-000</t>
  </si>
  <si>
    <t>3606337052-000</t>
  </si>
  <si>
    <t>3606337054-000</t>
  </si>
  <si>
    <t>3606337056-000</t>
  </si>
  <si>
    <t>3606337115-000</t>
  </si>
  <si>
    <t>3606337119-000</t>
  </si>
  <si>
    <t>3606337143-000</t>
  </si>
  <si>
    <t>3606337210-000</t>
  </si>
  <si>
    <t>3606337211-000</t>
  </si>
  <si>
    <t>3606337213-000</t>
  </si>
  <si>
    <t>3606337219-000</t>
  </si>
  <si>
    <t>3606337220-000</t>
  </si>
  <si>
    <t>3606337226-000</t>
  </si>
  <si>
    <t>3606441503-000</t>
  </si>
  <si>
    <t>3606445008-000</t>
  </si>
  <si>
    <t>3606445028-000</t>
  </si>
  <si>
    <t>3606445032-000</t>
  </si>
  <si>
    <t>3606445043-000</t>
  </si>
  <si>
    <t>3606445044-000</t>
  </si>
  <si>
    <t>3606445045-000</t>
  </si>
  <si>
    <t>3606455036-000</t>
  </si>
  <si>
    <t>3606455037-000</t>
  </si>
  <si>
    <t>3606455038-000</t>
  </si>
  <si>
    <t>3606455042-000</t>
  </si>
  <si>
    <t>3606490000-000</t>
  </si>
  <si>
    <t>3606490004-000</t>
  </si>
  <si>
    <t>3606490005-000</t>
  </si>
  <si>
    <t>3606491000-000</t>
  </si>
  <si>
    <t>3606610002-000</t>
  </si>
  <si>
    <t>3606610004-000</t>
  </si>
  <si>
    <t>3606610010-000</t>
  </si>
  <si>
    <t>3606625529-000</t>
  </si>
  <si>
    <t>3606625531-000</t>
  </si>
  <si>
    <t>3606625533-000</t>
  </si>
  <si>
    <t>3606625540-000</t>
  </si>
  <si>
    <t>3607000000-000</t>
  </si>
  <si>
    <t>3607000027-000</t>
  </si>
  <si>
    <t>3607000073-000</t>
  </si>
  <si>
    <t>3607000509-000</t>
  </si>
  <si>
    <t>3607010005-000</t>
  </si>
  <si>
    <t>3607010006-000</t>
  </si>
  <si>
    <t>3607010007-000</t>
  </si>
  <si>
    <t>3607010017-000</t>
  </si>
  <si>
    <t>3607010018-000</t>
  </si>
  <si>
    <t>3607010026-000</t>
  </si>
  <si>
    <t>3607010031-000</t>
  </si>
  <si>
    <t>3607014000-000</t>
  </si>
  <si>
    <t>3607014003-000</t>
  </si>
  <si>
    <t>3607014010-000</t>
  </si>
  <si>
    <t>3607014012-000</t>
  </si>
  <si>
    <t>3607014507-000</t>
  </si>
  <si>
    <t>3607020033-000</t>
  </si>
  <si>
    <t>3607020041-000</t>
  </si>
  <si>
    <t>3607020075-000</t>
  </si>
  <si>
    <t>3607020161-000</t>
  </si>
  <si>
    <t>3607020163-000</t>
  </si>
  <si>
    <t>3607020165-000</t>
  </si>
  <si>
    <t>3607020192-000</t>
  </si>
  <si>
    <t>3607020263-000</t>
  </si>
  <si>
    <t>3607020314-000</t>
  </si>
  <si>
    <t>3607020315-000</t>
  </si>
  <si>
    <t>3607021012-000</t>
  </si>
  <si>
    <t>3607030030-000</t>
  </si>
  <si>
    <t>3607030033-000</t>
  </si>
  <si>
    <t>3607030059-000</t>
  </si>
  <si>
    <t>3607030064-000</t>
  </si>
  <si>
    <t>3607030093-000</t>
  </si>
  <si>
    <t>3607030095-000</t>
  </si>
  <si>
    <t>3607030109-000</t>
  </si>
  <si>
    <t>3607030131-000</t>
  </si>
  <si>
    <t>3607030149-000</t>
  </si>
  <si>
    <t>3607030233-000</t>
  </si>
  <si>
    <t>3607030239-000</t>
  </si>
  <si>
    <t>3607030244-000</t>
  </si>
  <si>
    <t>3607030251-000</t>
  </si>
  <si>
    <t>3607030252-000</t>
  </si>
  <si>
    <t>3607030254-000</t>
  </si>
  <si>
    <t>3607030260-000</t>
  </si>
  <si>
    <t>3607030289-000</t>
  </si>
  <si>
    <t>3607030290-000</t>
  </si>
  <si>
    <t>3607030292-000</t>
  </si>
  <si>
    <t>3607030293-000</t>
  </si>
  <si>
    <t>3607030294-000</t>
  </si>
  <si>
    <t>3607030300-000</t>
  </si>
  <si>
    <t>3607030320-000</t>
  </si>
  <si>
    <t>3607030321-000</t>
  </si>
  <si>
    <t>3607030322-000</t>
  </si>
  <si>
    <t>3607030331-000</t>
  </si>
  <si>
    <t>3607030332-000</t>
  </si>
  <si>
    <t>3607030333-000</t>
  </si>
  <si>
    <t>3607030334-000</t>
  </si>
  <si>
    <t>3607030335-000</t>
  </si>
  <si>
    <t>3607030347-000</t>
  </si>
  <si>
    <t>3607030351-000</t>
  </si>
  <si>
    <t>3607030352-000</t>
  </si>
  <si>
    <t>3607030354-000</t>
  </si>
  <si>
    <t>3607030360-000</t>
  </si>
  <si>
    <t>3607030374-000</t>
  </si>
  <si>
    <t>3607030375-000</t>
  </si>
  <si>
    <t>3607030377-000</t>
  </si>
  <si>
    <t>3607030408-000</t>
  </si>
  <si>
    <t>3607030409-000</t>
  </si>
  <si>
    <t>3607030414-000</t>
  </si>
  <si>
    <t>3607030418-000</t>
  </si>
  <si>
    <t>3607030424-000</t>
  </si>
  <si>
    <t>3607030426-000</t>
  </si>
  <si>
    <t>3607030427-000</t>
  </si>
  <si>
    <t>3607030429-000</t>
  </si>
  <si>
    <t>3607030436-000</t>
  </si>
  <si>
    <t>3607030438-000</t>
  </si>
  <si>
    <t>3607030440-000</t>
  </si>
  <si>
    <t>3607030441-000</t>
  </si>
  <si>
    <t>3607030442-000</t>
  </si>
  <si>
    <t>3607030443-000</t>
  </si>
  <si>
    <t>3607030467-000</t>
  </si>
  <si>
    <t>3607030469-000</t>
  </si>
  <si>
    <t>3607030471-000</t>
  </si>
  <si>
    <t>3607030472-000</t>
  </si>
  <si>
    <t>3607030474-000</t>
  </si>
  <si>
    <t>3607030475-000</t>
  </si>
  <si>
    <t>3607030488-000</t>
  </si>
  <si>
    <t>3607030490-000</t>
  </si>
  <si>
    <t>3607030492-000</t>
  </si>
  <si>
    <t>3607030494-000</t>
  </si>
  <si>
    <t>3607031142-000</t>
  </si>
  <si>
    <t>3607031143-000</t>
  </si>
  <si>
    <t>3607031146-000</t>
  </si>
  <si>
    <t>3607031147-000</t>
  </si>
  <si>
    <t>3607031159-000</t>
  </si>
  <si>
    <t>3607031168-000</t>
  </si>
  <si>
    <t>3607031182-000</t>
  </si>
  <si>
    <t>3607031199-000</t>
  </si>
  <si>
    <t>3607031201-000</t>
  </si>
  <si>
    <t>3607031206-000</t>
  </si>
  <si>
    <t>3607031207-000</t>
  </si>
  <si>
    <t>3607031208-000</t>
  </si>
  <si>
    <t>3607031288-000</t>
  </si>
  <si>
    <t>3607031289-000</t>
  </si>
  <si>
    <t>3607031290-000</t>
  </si>
  <si>
    <t>3607031291-000</t>
  </si>
  <si>
    <t>3607031292-000</t>
  </si>
  <si>
    <t>3607031296-000</t>
  </si>
  <si>
    <t>3607031297-000</t>
  </si>
  <si>
    <t>3607031298-000</t>
  </si>
  <si>
    <t>3607031299-000</t>
  </si>
  <si>
    <t>3607031322-000</t>
  </si>
  <si>
    <t>3607031335-000</t>
  </si>
  <si>
    <t>3607031336-000</t>
  </si>
  <si>
    <t>3607031342-000</t>
  </si>
  <si>
    <t>3607031343-000</t>
  </si>
  <si>
    <t>3607031344-000</t>
  </si>
  <si>
    <t>3607031346-000</t>
  </si>
  <si>
    <t>3607031534-000</t>
  </si>
  <si>
    <t>3607031535-000</t>
  </si>
  <si>
    <t>3607031537-000</t>
  </si>
  <si>
    <t>3607031538-000</t>
  </si>
  <si>
    <t>3607031545-000</t>
  </si>
  <si>
    <t>3607031546-000</t>
  </si>
  <si>
    <t>3607031547-000</t>
  </si>
  <si>
    <t>3607031550-000</t>
  </si>
  <si>
    <t>3607031551-000</t>
  </si>
  <si>
    <t>3607031552-000</t>
  </si>
  <si>
    <t>3607031553-000</t>
  </si>
  <si>
    <t>3607031555-000</t>
  </si>
  <si>
    <t>3607031564-000</t>
  </si>
  <si>
    <t>3607031566-000</t>
  </si>
  <si>
    <t>3607031567-000</t>
  </si>
  <si>
    <t>3607031568-000</t>
  </si>
  <si>
    <t>3607031570-000</t>
  </si>
  <si>
    <t>3607031571-000</t>
  </si>
  <si>
    <t>3607031576-000</t>
  </si>
  <si>
    <t>3607031578-000</t>
  </si>
  <si>
    <t>3607031579-000</t>
  </si>
  <si>
    <t>3607031585-000</t>
  </si>
  <si>
    <t>3607031587-000</t>
  </si>
  <si>
    <t>3607031592-000</t>
  </si>
  <si>
    <t>3607031605-000</t>
  </si>
  <si>
    <t>3607031608-000</t>
  </si>
  <si>
    <t>3607031609-000</t>
  </si>
  <si>
    <t>3607031616-000</t>
  </si>
  <si>
    <t>3607031620-000</t>
  </si>
  <si>
    <t>3607031624-000</t>
  </si>
  <si>
    <t>3607031625-000</t>
  </si>
  <si>
    <t>3607031626-000</t>
  </si>
  <si>
    <t>3607031627-000</t>
  </si>
  <si>
    <t>3607031632-000</t>
  </si>
  <si>
    <t>3607031633-000</t>
  </si>
  <si>
    <t>3607031645-000</t>
  </si>
  <si>
    <t>3607031651-000</t>
  </si>
  <si>
    <t>3607031652-000</t>
  </si>
  <si>
    <t>3607031654-000</t>
  </si>
  <si>
    <t>3607031655-000</t>
  </si>
  <si>
    <t>3607031658-000</t>
  </si>
  <si>
    <t>3607031667-000</t>
  </si>
  <si>
    <t>3607031756-000</t>
  </si>
  <si>
    <t>3607031757-000</t>
  </si>
  <si>
    <t>3607031758-000</t>
  </si>
  <si>
    <t>3607031759-000</t>
  </si>
  <si>
    <t>3607031759-000 </t>
  </si>
  <si>
    <t>3607031760-000</t>
  </si>
  <si>
    <t>3607031761-000</t>
  </si>
  <si>
    <t>3607031762-000</t>
  </si>
  <si>
    <t>3607031765-000</t>
  </si>
  <si>
    <t>3607031766-000</t>
  </si>
  <si>
    <t>3607031767-000</t>
  </si>
  <si>
    <t>3607031768-000</t>
  </si>
  <si>
    <t>3607031770-000</t>
  </si>
  <si>
    <t>3607031771-000</t>
  </si>
  <si>
    <t>3607031772-000</t>
  </si>
  <si>
    <t>3607031774-000</t>
  </si>
  <si>
    <t>3607031775-000</t>
  </si>
  <si>
    <t>3607031776-000</t>
  </si>
  <si>
    <t>3607031777-000</t>
  </si>
  <si>
    <t>3607031779-000</t>
  </si>
  <si>
    <t>3607031780-000</t>
  </si>
  <si>
    <t>3607031781-000</t>
  </si>
  <si>
    <t>3607031790-000</t>
  </si>
  <si>
    <t>3607031791-000</t>
  </si>
  <si>
    <t>3607031792-000</t>
  </si>
  <si>
    <t>3607031794-000</t>
  </si>
  <si>
    <t>3607031827-000</t>
  </si>
  <si>
    <t>3607031860-000</t>
  </si>
  <si>
    <t>3607031879-000</t>
  </si>
  <si>
    <t>3607031890-000</t>
  </si>
  <si>
    <t>3607031891-000</t>
  </si>
  <si>
    <t>3607031892-000</t>
  </si>
  <si>
    <t>3607031893-000</t>
  </si>
  <si>
    <t>3607031894-000</t>
  </si>
  <si>
    <t>3607031895-000</t>
  </si>
  <si>
    <t>3607031908-000</t>
  </si>
  <si>
    <t>3607031909-000</t>
  </si>
  <si>
    <t>3607031912-000</t>
  </si>
  <si>
    <t>3607031913-000</t>
  </si>
  <si>
    <t>3607031916-000</t>
  </si>
  <si>
    <t>3607031917-000</t>
  </si>
  <si>
    <t>3607200000-000</t>
  </si>
  <si>
    <t>3607200001-000</t>
  </si>
  <si>
    <t>3607200024-000</t>
  </si>
  <si>
    <t>3607200063-000</t>
  </si>
  <si>
    <t>3607200064-000</t>
  </si>
  <si>
    <t>3607200074-000</t>
  </si>
  <si>
    <t>3607200083-000</t>
  </si>
  <si>
    <t>3607200085-000</t>
  </si>
  <si>
    <t>3607200086-000</t>
  </si>
  <si>
    <t>3607200092-000</t>
  </si>
  <si>
    <t>3607200093-000</t>
  </si>
  <si>
    <t>3607200094-000</t>
  </si>
  <si>
    <t>3607200095-000</t>
  </si>
  <si>
    <t>3607200096-000</t>
  </si>
  <si>
    <t>3607200097-000</t>
  </si>
  <si>
    <t>3607200098-000</t>
  </si>
  <si>
    <t>3607200099-000</t>
  </si>
  <si>
    <t>3607200106-000</t>
  </si>
  <si>
    <t>3607200107-000</t>
  </si>
  <si>
    <t>3607200108-000</t>
  </si>
  <si>
    <t>3607200109-000</t>
  </si>
  <si>
    <t>3607200112-000</t>
  </si>
  <si>
    <t>3607200113-000</t>
  </si>
  <si>
    <t>3607200114-000</t>
  </si>
  <si>
    <t>3607200120-000</t>
  </si>
  <si>
    <t>3607200507-000</t>
  </si>
  <si>
    <t>3607218000-000</t>
  </si>
  <si>
    <t>3607218009-000</t>
  </si>
  <si>
    <t>3607230500-000</t>
  </si>
  <si>
    <t>3607233026-000</t>
  </si>
  <si>
    <t>3607950005-000</t>
  </si>
  <si>
    <t>3607950010-000</t>
  </si>
  <si>
    <t>3607950020-000</t>
  </si>
  <si>
    <t>3607950024-000</t>
  </si>
  <si>
    <t>3607950025-000</t>
  </si>
  <si>
    <t>3607950027-000</t>
  </si>
  <si>
    <t>3608000000-000</t>
  </si>
  <si>
    <t>3608042002-000</t>
  </si>
  <si>
    <t>3608300177-000</t>
  </si>
  <si>
    <t>3608300178-000</t>
  </si>
  <si>
    <t>3608571003-000</t>
  </si>
  <si>
    <t>3608635009-000</t>
  </si>
  <si>
    <t>3608639026-000</t>
  </si>
  <si>
    <t>3608750017-000</t>
  </si>
  <si>
    <t>3608750023-000</t>
  </si>
  <si>
    <t>3608750024-000</t>
  </si>
  <si>
    <t>3608750025-000</t>
  </si>
  <si>
    <t>3608750028-000</t>
  </si>
  <si>
    <t>3608750030-000</t>
  </si>
  <si>
    <t>3608750031-000</t>
  </si>
  <si>
    <t>3608750036-000</t>
  </si>
  <si>
    <t>3608750037-000</t>
  </si>
  <si>
    <t>3608750040-000</t>
  </si>
  <si>
    <t>3608750041-000</t>
  </si>
  <si>
    <t>3608750042-000</t>
  </si>
  <si>
    <t>3608750043-000</t>
  </si>
  <si>
    <t>3608750044-000</t>
  </si>
  <si>
    <t>3608750046-000</t>
  </si>
  <si>
    <t>3608750047-000</t>
  </si>
  <si>
    <t>3608870327-000</t>
  </si>
  <si>
    <t>3608870382-000</t>
  </si>
  <si>
    <t>3608871840-000</t>
  </si>
  <si>
    <t>3608872913-000</t>
  </si>
  <si>
    <t>3608873782-000</t>
  </si>
  <si>
    <t>3608874669-000</t>
  </si>
  <si>
    <t>3608874921-000</t>
  </si>
  <si>
    <t>3608874923-000</t>
  </si>
  <si>
    <t>3608874924-000</t>
  </si>
  <si>
    <t>3608875340-000</t>
  </si>
  <si>
    <t>3609200255-000</t>
  </si>
  <si>
    <t>3609200268-000</t>
  </si>
  <si>
    <t>3609200269-000</t>
  </si>
  <si>
    <t>3609200270-000</t>
  </si>
  <si>
    <t>3609200271-000</t>
  </si>
  <si>
    <t>3609200272-000</t>
  </si>
  <si>
    <t>3609200273-000</t>
  </si>
  <si>
    <t>3609200274-000</t>
  </si>
  <si>
    <t>3609200275-000</t>
  </si>
  <si>
    <t>3609200276-000</t>
  </si>
  <si>
    <t>3609200278-000</t>
  </si>
  <si>
    <t>3609200279-000</t>
  </si>
  <si>
    <t>3609200289-000</t>
  </si>
  <si>
    <t>3609200290-000</t>
  </si>
  <si>
    <t>3609200291-000</t>
  </si>
  <si>
    <t>3609200292-000</t>
  </si>
  <si>
    <t>3609200296-000</t>
  </si>
  <si>
    <t>3609200297-000</t>
  </si>
  <si>
    <t>3609200299-000</t>
  </si>
  <si>
    <t>3609200300-000</t>
  </si>
  <si>
    <t>3609200303-000</t>
  </si>
  <si>
    <t>3609200320-000</t>
  </si>
  <si>
    <t>3609200325-000</t>
  </si>
  <si>
    <t>3609201041-000</t>
  </si>
  <si>
    <t>3609201042-000</t>
  </si>
  <si>
    <t>3609201043-000</t>
  </si>
  <si>
    <t>3609201044-000</t>
  </si>
  <si>
    <t>3609201045-000</t>
  </si>
  <si>
    <t>3609201046-000</t>
  </si>
  <si>
    <t>3609201047-000</t>
  </si>
  <si>
    <t>3609201048-000</t>
  </si>
  <si>
    <t>3609201049-000</t>
  </si>
  <si>
    <t>3609201050-000</t>
  </si>
  <si>
    <t>3609201053-000</t>
  </si>
  <si>
    <t>3609201054-000</t>
  </si>
  <si>
    <t>3609201055-000</t>
  </si>
  <si>
    <t>3609201056-000</t>
  </si>
  <si>
    <t>3609201057-000</t>
  </si>
  <si>
    <t>3609201058-000</t>
  </si>
  <si>
    <t>3609201059-000</t>
  </si>
  <si>
    <t>3609201060-000</t>
  </si>
  <si>
    <t>3609201061-000</t>
  </si>
  <si>
    <t>3609201062-000</t>
  </si>
  <si>
    <t>3609201063-000</t>
  </si>
  <si>
    <t>3609201065-000</t>
  </si>
  <si>
    <t>3609201067-000</t>
  </si>
  <si>
    <t>3609201068-000</t>
  </si>
  <si>
    <t>3609201071-000</t>
  </si>
  <si>
    <t>3609201072-000</t>
  </si>
  <si>
    <t>3609201073-000</t>
  </si>
  <si>
    <t>3609201074-000</t>
  </si>
  <si>
    <t>3609201075-000</t>
  </si>
  <si>
    <t>3609201079-000</t>
  </si>
  <si>
    <t>3609201081-000</t>
  </si>
  <si>
    <t>3609201082-000</t>
  </si>
  <si>
    <t>3609201083-000</t>
  </si>
  <si>
    <t>3609201084-000</t>
  </si>
  <si>
    <t>3609201085-000</t>
  </si>
  <si>
    <t>3609201090-000</t>
  </si>
  <si>
    <t>3609201091-000</t>
  </si>
  <si>
    <t>3609201092-000</t>
  </si>
  <si>
    <t>3609201093-000</t>
  </si>
  <si>
    <t>3609201096-000</t>
  </si>
  <si>
    <t>3609201097-000</t>
  </si>
  <si>
    <t>3609201098-000</t>
  </si>
  <si>
    <t>3609201099-000</t>
  </si>
  <si>
    <t>3609201101-000</t>
  </si>
  <si>
    <t>3609201103-000</t>
  </si>
  <si>
    <t>3609201104-000</t>
  </si>
  <si>
    <t>3609201105-000</t>
  </si>
  <si>
    <t>3609201106-000</t>
  </si>
  <si>
    <t>3609201107-000</t>
  </si>
  <si>
    <t>3609201110-000</t>
  </si>
  <si>
    <t>3609201111-000</t>
  </si>
  <si>
    <t>3609201112-000</t>
  </si>
  <si>
    <t>3609201113-000</t>
  </si>
  <si>
    <t>3609201115-000</t>
  </si>
  <si>
    <t>3609201116-000</t>
  </si>
  <si>
    <t>3609201117-000</t>
  </si>
  <si>
    <t>3609201118-000</t>
  </si>
  <si>
    <t>3609201119-000</t>
  </si>
  <si>
    <t>3609201121-000</t>
  </si>
  <si>
    <t>3609201123-000</t>
  </si>
  <si>
    <t>3609201124-000</t>
  </si>
  <si>
    <t>3609201125-000</t>
  </si>
  <si>
    <t>3609201127-000</t>
  </si>
  <si>
    <t>3609201128-000</t>
  </si>
  <si>
    <t>3609201133-000</t>
  </si>
  <si>
    <t>3609201135-000</t>
  </si>
  <si>
    <t>3609201137-000</t>
  </si>
  <si>
    <t>3609201138-000</t>
  </si>
  <si>
    <t>3609201139-000</t>
  </si>
  <si>
    <t>3609201140-000</t>
  </si>
  <si>
    <t>3609201142-000</t>
  </si>
  <si>
    <t>3609201143-000</t>
  </si>
  <si>
    <t>3609201144-000</t>
  </si>
  <si>
    <t>3609201145-000</t>
  </si>
  <si>
    <t>3609201146-000</t>
  </si>
  <si>
    <t>3609201147-000</t>
  </si>
  <si>
    <t>3609201150-000</t>
  </si>
  <si>
    <t>3609201151-000</t>
  </si>
  <si>
    <t>3609201152-000</t>
  </si>
  <si>
    <t>3609201153-000</t>
  </si>
  <si>
    <t>3609201154-000</t>
  </si>
  <si>
    <t>3609201155-000</t>
  </si>
  <si>
    <t>3609201179-000</t>
  </si>
  <si>
    <t>3609201181-000</t>
  </si>
  <si>
    <t>3609201215-000</t>
  </si>
  <si>
    <t>3609201216-000</t>
  </si>
  <si>
    <t>3609201295-000</t>
  </si>
  <si>
    <t>3609201297-000</t>
  </si>
  <si>
    <t>3609201298-000</t>
  </si>
  <si>
    <t>3609201419-000</t>
  </si>
  <si>
    <t>3609201420-000</t>
  </si>
  <si>
    <t>3609201421-000</t>
  </si>
  <si>
    <t>3609201422-000</t>
  </si>
  <si>
    <t>3609201423-000</t>
  </si>
  <si>
    <t>3609201424-000</t>
  </si>
  <si>
    <t>3609201425-000</t>
  </si>
  <si>
    <t>3609201426-000</t>
  </si>
  <si>
    <t>3609201428-000</t>
  </si>
  <si>
    <t>3609201429-000</t>
  </si>
  <si>
    <t>3609201431-000</t>
  </si>
  <si>
    <t>3609201434-000</t>
  </si>
  <si>
    <t>3609201435-000</t>
  </si>
  <si>
    <t>3609201579-000</t>
  </si>
  <si>
    <t>3609202033-000</t>
  </si>
  <si>
    <t>3609202037-000</t>
  </si>
  <si>
    <t>3609202038-000</t>
  </si>
  <si>
    <t>3609202039-000</t>
  </si>
  <si>
    <t>3609202040-000</t>
  </si>
  <si>
    <t>3609202041-000</t>
  </si>
  <si>
    <t>3609202042-000</t>
  </si>
  <si>
    <t>3609202043-000</t>
  </si>
  <si>
    <t>3609202308-000</t>
  </si>
  <si>
    <t>3609202309-000</t>
  </si>
  <si>
    <t>3609202313-000</t>
  </si>
  <si>
    <t>3609202314-000</t>
  </si>
  <si>
    <t>3609202317-000</t>
  </si>
  <si>
    <t>3609202318-000</t>
  </si>
  <si>
    <t>3609202319-000</t>
  </si>
  <si>
    <t>3609202320-000</t>
  </si>
  <si>
    <t>3609202321-000</t>
  </si>
  <si>
    <t>3609202403-000</t>
  </si>
  <si>
    <t>3609202406-000</t>
  </si>
  <si>
    <t>3609202407-000</t>
  </si>
  <si>
    <t>3609202408-000</t>
  </si>
  <si>
    <t>3609202409-000</t>
  </si>
  <si>
    <t>3609202410-000</t>
  </si>
  <si>
    <t>3609202411-000</t>
  </si>
  <si>
    <t>3609202412-000</t>
  </si>
  <si>
    <t>3609202413-000</t>
  </si>
  <si>
    <t>3609202414-000</t>
  </si>
  <si>
    <t>3609202415-000</t>
  </si>
  <si>
    <t>3609202417-000</t>
  </si>
  <si>
    <t>3609202419-000</t>
  </si>
  <si>
    <t>3609202420-000</t>
  </si>
  <si>
    <t>3609202421-000</t>
  </si>
  <si>
    <t>3609202424-000</t>
  </si>
  <si>
    <t>3609202426-000</t>
  </si>
  <si>
    <t>3609202433-000</t>
  </si>
  <si>
    <t>3609202438-000</t>
  </si>
  <si>
    <t>3609202439-000</t>
  </si>
  <si>
    <t>3609202440-000</t>
  </si>
  <si>
    <t>3609202441-000</t>
  </si>
  <si>
    <t>3609202443-000</t>
  </si>
  <si>
    <t>3609202444-000</t>
  </si>
  <si>
    <t>3609202445-000</t>
  </si>
  <si>
    <t>3609202446-000</t>
  </si>
  <si>
    <t>3609202448-000</t>
  </si>
  <si>
    <t>3609202449-000</t>
  </si>
  <si>
    <t>3609202450-000</t>
  </si>
  <si>
    <t>3609202452-000</t>
  </si>
  <si>
    <t>3609202453-000</t>
  </si>
  <si>
    <t>3609202454-000</t>
  </si>
  <si>
    <t>3609202456-000</t>
  </si>
  <si>
    <t>3609202457-000</t>
  </si>
  <si>
    <t>3609202459-000</t>
  </si>
  <si>
    <t>3609202462-000</t>
  </si>
  <si>
    <t>3609202464-000</t>
  </si>
  <si>
    <t>3609202465-000</t>
  </si>
  <si>
    <t>3609202466-000</t>
  </si>
  <si>
    <t>3609202467-000</t>
  </si>
  <si>
    <t>3609202469-000</t>
  </si>
  <si>
    <t>3609202471-000</t>
  </si>
  <si>
    <t>3609202475-000</t>
  </si>
  <si>
    <t>3609202480-000</t>
  </si>
  <si>
    <t>3609202485-000</t>
  </si>
  <si>
    <t>3609202489-000</t>
  </si>
  <si>
    <t>3609202502-000</t>
  </si>
  <si>
    <t>3609202510-000</t>
  </si>
  <si>
    <t>3609202590-000</t>
  </si>
  <si>
    <t>3609202656-000</t>
  </si>
  <si>
    <t>3609202735-000</t>
  </si>
  <si>
    <t>3609202746-000</t>
  </si>
  <si>
    <t>3609202752-000</t>
  </si>
  <si>
    <t>3609202753-000</t>
  </si>
  <si>
    <t>3609202754-000</t>
  </si>
  <si>
    <t>3609202755-000</t>
  </si>
  <si>
    <t>3609202756-000</t>
  </si>
  <si>
    <t>3609202762-000</t>
  </si>
  <si>
    <t>3609202764-000</t>
  </si>
  <si>
    <t>3609202766-000</t>
  </si>
  <si>
    <t>3609202799-000</t>
  </si>
  <si>
    <t>3609202805-000</t>
  </si>
  <si>
    <t>3609202979-000</t>
  </si>
  <si>
    <t>3609202980-000</t>
  </si>
  <si>
    <t>3609202982-000</t>
  </si>
  <si>
    <t>3609202986-000</t>
  </si>
  <si>
    <t>3609202988-000</t>
  </si>
  <si>
    <t>3609202989-000</t>
  </si>
  <si>
    <t>3609202A05-000</t>
  </si>
  <si>
    <t>3609202A08-000</t>
  </si>
  <si>
    <t>3609202A19-000</t>
  </si>
  <si>
    <t>3609202A29-000</t>
  </si>
  <si>
    <t>3609202A32-000</t>
  </si>
  <si>
    <t>3609202A33-000</t>
  </si>
  <si>
    <t>3609202A34-000</t>
  </si>
  <si>
    <t>3609202A36-000</t>
  </si>
  <si>
    <t>3609202A41-000</t>
  </si>
  <si>
    <t>3609202A42-000</t>
  </si>
  <si>
    <t>3609202A43-000</t>
  </si>
  <si>
    <t>3609202A44-000</t>
  </si>
  <si>
    <t>3609202A45-000</t>
  </si>
  <si>
    <t>3609202A51-000</t>
  </si>
  <si>
    <t>3609202A64-000</t>
  </si>
  <si>
    <t>3609202A66-000</t>
  </si>
  <si>
    <t>3609202A89-000</t>
  </si>
  <si>
    <t>3609202A90-000</t>
  </si>
  <si>
    <t>3609202A91-000</t>
  </si>
  <si>
    <t>3609202A92-000</t>
  </si>
  <si>
    <t>3609202A98-000</t>
  </si>
  <si>
    <t>3609202A99-000</t>
  </si>
  <si>
    <t>3609202B01-000</t>
  </si>
  <si>
    <t>3609202B02-000</t>
  </si>
  <si>
    <t>3609202B03-000</t>
  </si>
  <si>
    <t>3609202B07-000</t>
  </si>
  <si>
    <t>3609202B10-000</t>
  </si>
  <si>
    <t>3610501500-000</t>
  </si>
  <si>
    <t>3613101500-000</t>
  </si>
  <si>
    <t>3613313500-000</t>
  </si>
  <si>
    <t>3613344500-000</t>
  </si>
  <si>
    <t>3613461500-000</t>
  </si>
  <si>
    <t>3614012503-000</t>
  </si>
  <si>
    <t>3614640501-000</t>
  </si>
  <si>
    <t>3615102507-000</t>
  </si>
  <si>
    <t>3615808500-000</t>
  </si>
  <si>
    <t>6035970929-000</t>
  </si>
  <si>
    <t>60828506S7-000</t>
  </si>
  <si>
    <t>6082942MV5-000</t>
  </si>
  <si>
    <t>8905407017-000</t>
  </si>
  <si>
    <t>9001140359-000</t>
  </si>
  <si>
    <t>9617081833-000</t>
  </si>
  <si>
    <t>9617082301-000</t>
  </si>
  <si>
    <t>9617085009-000</t>
  </si>
  <si>
    <t>9617089023-000</t>
  </si>
  <si>
    <t>9618081152-000</t>
  </si>
  <si>
    <t>9618081153-000</t>
  </si>
  <si>
    <t>9618081154-000</t>
  </si>
  <si>
    <t>9618081155-000</t>
  </si>
  <si>
    <t>9618081156-000</t>
  </si>
  <si>
    <t>9618081157-000</t>
  </si>
  <si>
    <t>9618081435-000</t>
  </si>
  <si>
    <t>9618081438-000</t>
  </si>
  <si>
    <t>9618081493-000</t>
  </si>
  <si>
    <t>9618081500-000</t>
  </si>
  <si>
    <t>9618081548-000</t>
  </si>
  <si>
    <t>9618081601-000</t>
  </si>
  <si>
    <t>9618081606-000</t>
  </si>
  <si>
    <t>9618081609-000</t>
  </si>
  <si>
    <t>9618081678-000</t>
  </si>
  <si>
    <t>9618081679-000</t>
  </si>
  <si>
    <t>9618081680-000</t>
  </si>
  <si>
    <t>9618081681-000</t>
  </si>
  <si>
    <t>9618081682-000</t>
  </si>
  <si>
    <t>9618081702-000</t>
  </si>
  <si>
    <t>9618081777-000</t>
  </si>
  <si>
    <t>9618081841-000</t>
  </si>
  <si>
    <t>9618081842-000</t>
  </si>
  <si>
    <t>9618081910-000</t>
  </si>
  <si>
    <t>9618081947-000</t>
  </si>
  <si>
    <t>9618081955-000</t>
  </si>
  <si>
    <t>9618082081-000</t>
  </si>
  <si>
    <t>9618082084-000</t>
  </si>
  <si>
    <t>9618082090-000</t>
  </si>
  <si>
    <t>9618082091-000</t>
  </si>
  <si>
    <t>9618082112-000</t>
  </si>
  <si>
    <t>9618082114-000</t>
  </si>
  <si>
    <t>9618082115-000</t>
  </si>
  <si>
    <t>9618082139-000</t>
  </si>
  <si>
    <t>9618082142-000</t>
  </si>
  <si>
    <t>9618082154-000</t>
  </si>
  <si>
    <t>9618082170-000</t>
  </si>
  <si>
    <t>9618082243-000</t>
  </si>
  <si>
    <t>9618082244-000</t>
  </si>
  <si>
    <t>9618082254-000</t>
  </si>
  <si>
    <t>9618082256-000</t>
  </si>
  <si>
    <t>9618082260-000</t>
  </si>
  <si>
    <t>9618082261-000</t>
  </si>
  <si>
    <t>9618082268-000</t>
  </si>
  <si>
    <t>9618082269-000</t>
  </si>
  <si>
    <t>9618082270-000</t>
  </si>
  <si>
    <t>9618082278-000</t>
  </si>
  <si>
    <t>9618082285-000</t>
  </si>
  <si>
    <t>9618082287-000</t>
  </si>
  <si>
    <t>9618082288-000</t>
  </si>
  <si>
    <t>9618082289-000</t>
  </si>
  <si>
    <t>9618082290-000</t>
  </si>
  <si>
    <t>9618082296-000</t>
  </si>
  <si>
    <t>9618082305-000</t>
  </si>
  <si>
    <t>9618082456-000</t>
  </si>
  <si>
    <t>9618082765-000</t>
  </si>
  <si>
    <t>9618082810-000</t>
  </si>
  <si>
    <t>9618082970-000</t>
  </si>
  <si>
    <t>9618083026-000</t>
  </si>
  <si>
    <t>9618083146-000</t>
  </si>
  <si>
    <t>9618083154-000</t>
  </si>
  <si>
    <t>9618083176-000</t>
  </si>
  <si>
    <t>9618083182-000</t>
  </si>
  <si>
    <t>9618083183-000</t>
  </si>
  <si>
    <t>9618083184-000</t>
  </si>
  <si>
    <t>9618083185-000</t>
  </si>
  <si>
    <t>9618083190-000</t>
  </si>
  <si>
    <t>9618083206-000</t>
  </si>
  <si>
    <t>9618083209-000</t>
  </si>
  <si>
    <t>9618083212-000</t>
  </si>
  <si>
    <t>9618083219-000</t>
  </si>
  <si>
    <t>9618083349-000</t>
  </si>
  <si>
    <t>9618083350-000</t>
  </si>
  <si>
    <t>9618083417-000</t>
  </si>
  <si>
    <t>9618083430-000</t>
  </si>
  <si>
    <t>9618083437-000</t>
  </si>
  <si>
    <t>9618083506-000</t>
  </si>
  <si>
    <t>9618083525-000</t>
  </si>
  <si>
    <t>9618083581-000</t>
  </si>
  <si>
    <t>9618083593-000</t>
  </si>
  <si>
    <t>9618083600-000</t>
  </si>
  <si>
    <t>9618083800-000</t>
  </si>
  <si>
    <t>9618083808-000</t>
  </si>
  <si>
    <t>9618083869-000</t>
  </si>
  <si>
    <t>9618083899-000</t>
  </si>
  <si>
    <t>9618084341-000</t>
  </si>
  <si>
    <t>9618084376-000</t>
  </si>
  <si>
    <t>9618084983-000</t>
  </si>
  <si>
    <t>9618085010-000</t>
  </si>
  <si>
    <t>9618085220-000</t>
  </si>
  <si>
    <t>9618085228-000</t>
  </si>
  <si>
    <t>9618085250-000</t>
  </si>
  <si>
    <t>9618085451-000</t>
  </si>
  <si>
    <t>9618085475-000</t>
  </si>
  <si>
    <t>9618085479-000</t>
  </si>
  <si>
    <t>9618085617-000</t>
  </si>
  <si>
    <t>9618085665-000</t>
  </si>
  <si>
    <t>9618085672-000</t>
  </si>
  <si>
    <t>9618085689-000</t>
  </si>
  <si>
    <t>9618085745-000</t>
  </si>
  <si>
    <t>9618085748-000</t>
  </si>
  <si>
    <t>9618085758-000</t>
  </si>
  <si>
    <t>9618085763-000</t>
  </si>
  <si>
    <t>9618085796-000</t>
  </si>
  <si>
    <t>9618085800-000</t>
  </si>
  <si>
    <t>9618085825-000</t>
  </si>
  <si>
    <t>9618085850-000</t>
  </si>
  <si>
    <t>9618085859-000</t>
  </si>
  <si>
    <t>9618085861-000</t>
  </si>
  <si>
    <t>9618085863-000</t>
  </si>
  <si>
    <t>9618085950-000</t>
  </si>
  <si>
    <t>9618086104-000</t>
  </si>
  <si>
    <t>9618086121-000</t>
  </si>
  <si>
    <t>9618086125-000</t>
  </si>
  <si>
    <t>9618086131-000</t>
  </si>
  <si>
    <t>9618086222-000</t>
  </si>
  <si>
    <t>9618086363-000</t>
  </si>
  <si>
    <t>9618086512-000</t>
  </si>
  <si>
    <t>9618086521-000</t>
  </si>
  <si>
    <t>9618086561-000</t>
  </si>
  <si>
    <t>9618086565-000</t>
  </si>
  <si>
    <t>9618086570-000</t>
  </si>
  <si>
    <t>9618086575-000</t>
  </si>
  <si>
    <t>9618086597-000</t>
  </si>
  <si>
    <t>9618086600-000</t>
  </si>
  <si>
    <t>9618086601-000</t>
  </si>
  <si>
    <t>9618086603-000</t>
  </si>
  <si>
    <t>9618086615-000</t>
  </si>
  <si>
    <t>9618086616-000</t>
  </si>
  <si>
    <t>9618086632-000</t>
  </si>
  <si>
    <t>9618086638-000</t>
  </si>
  <si>
    <t>9618086661-000</t>
  </si>
  <si>
    <t>9618086677-000</t>
  </si>
  <si>
    <t>9618086678-000</t>
  </si>
  <si>
    <t>9618086679-000</t>
  </si>
  <si>
    <t>9618086680-000</t>
  </si>
  <si>
    <t>9618086692-000</t>
  </si>
  <si>
    <t>9618086693-000</t>
  </si>
  <si>
    <t>9618086695-000</t>
  </si>
  <si>
    <t>9618086704-000</t>
  </si>
  <si>
    <t>9618086705-000</t>
  </si>
  <si>
    <t>9618086713-000</t>
  </si>
  <si>
    <t>9618086718-000</t>
  </si>
  <si>
    <t>9618086773-000</t>
  </si>
  <si>
    <t>9618086775-000</t>
  </si>
  <si>
    <t>9618086782-000</t>
  </si>
  <si>
    <t>9618086790-000</t>
  </si>
  <si>
    <t>9618086793-000</t>
  </si>
  <si>
    <t>9618086800-000</t>
  </si>
  <si>
    <t>9618086801-000</t>
  </si>
  <si>
    <t>9618086807-000</t>
  </si>
  <si>
    <t>9618086810-000</t>
  </si>
  <si>
    <t>9618086818-000</t>
  </si>
  <si>
    <t>9618086819-000</t>
  </si>
  <si>
    <t>9618086821-000</t>
  </si>
  <si>
    <t>9618086823-000</t>
  </si>
  <si>
    <t>9618086828-000</t>
  </si>
  <si>
    <t>9618086830-000</t>
  </si>
  <si>
    <t>9618086831-000</t>
  </si>
  <si>
    <t>9618086832-000</t>
  </si>
  <si>
    <t>9618086833-000</t>
  </si>
  <si>
    <t>9618086836-000</t>
  </si>
  <si>
    <t>9618086844-000</t>
  </si>
  <si>
    <t>9618086845-000</t>
  </si>
  <si>
    <t>9618086852-000</t>
  </si>
  <si>
    <t>9618086853-000</t>
  </si>
  <si>
    <t>9618086854-000</t>
  </si>
  <si>
    <t>9618086855-000</t>
  </si>
  <si>
    <t>9618086856-000</t>
  </si>
  <si>
    <t>9618086857-000</t>
  </si>
  <si>
    <t>9618086865-000</t>
  </si>
  <si>
    <t>9618086872-000</t>
  </si>
  <si>
    <t>9618086873-000</t>
  </si>
  <si>
    <t>9618086876-000</t>
  </si>
  <si>
    <t>9618086877-000</t>
  </si>
  <si>
    <t>9618086959-000</t>
  </si>
  <si>
    <t>9618086968-000</t>
  </si>
  <si>
    <t>9618086981-000</t>
  </si>
  <si>
    <t>9618086993-000</t>
  </si>
  <si>
    <t>9618086994-000</t>
  </si>
  <si>
    <t>9618086996-000</t>
  </si>
  <si>
    <t>9618086999-000</t>
  </si>
  <si>
    <t>9618087096-000</t>
  </si>
  <si>
    <t>9618087099-000</t>
  </si>
  <si>
    <t>9618087100-000</t>
  </si>
  <si>
    <t>9618087101-000</t>
  </si>
  <si>
    <t>9618087122-000</t>
  </si>
  <si>
    <t>9618087123-000</t>
  </si>
  <si>
    <t>9618087127-000</t>
  </si>
  <si>
    <t>9618087131-000</t>
  </si>
  <si>
    <t>9618087135-000</t>
  </si>
  <si>
    <t>9618087141-000</t>
  </si>
  <si>
    <t>9618087160-000</t>
  </si>
  <si>
    <t>9618087166-000</t>
  </si>
  <si>
    <t>9618087172-000</t>
  </si>
  <si>
    <t>9618087174-000</t>
  </si>
  <si>
    <t>9618087177-000</t>
  </si>
  <si>
    <t>9618087183-000</t>
  </si>
  <si>
    <t>9618087187-000</t>
  </si>
  <si>
    <t>9618087192-000</t>
  </si>
  <si>
    <t>9618087601-000</t>
  </si>
  <si>
    <t>9618087622-000</t>
  </si>
  <si>
    <t>9618088946-000</t>
  </si>
  <si>
    <t>9618088953-000</t>
  </si>
  <si>
    <t>9618088954-000</t>
  </si>
  <si>
    <t>9618088955-000</t>
  </si>
  <si>
    <t>9618089010-000</t>
  </si>
  <si>
    <t>9618089017-000</t>
  </si>
  <si>
    <t>9618089058-000</t>
  </si>
  <si>
    <t>9618089083-000</t>
  </si>
  <si>
    <t>9618089085-000</t>
  </si>
  <si>
    <t>9618089087-000</t>
  </si>
  <si>
    <t>9618089090-000</t>
  </si>
  <si>
    <t>9618089095-000</t>
  </si>
  <si>
    <t>9618089096-000</t>
  </si>
  <si>
    <t>9618089195-000</t>
  </si>
  <si>
    <t>9618089207-000</t>
  </si>
  <si>
    <t>9618089269-000</t>
  </si>
  <si>
    <t>9618089281-000</t>
  </si>
  <si>
    <t>9618089284-000</t>
  </si>
  <si>
    <t>9618089289-000</t>
  </si>
  <si>
    <t>9618089302-000</t>
  </si>
  <si>
    <t>9618089307-000</t>
  </si>
  <si>
    <t>9618089308-000</t>
  </si>
  <si>
    <t>9618089316-000</t>
  </si>
  <si>
    <t>9618089362-000</t>
  </si>
  <si>
    <t>9618089364-000</t>
  </si>
  <si>
    <t>9618089367-000</t>
  </si>
  <si>
    <t>9618089405-000</t>
  </si>
  <si>
    <t>9618089448-000</t>
  </si>
  <si>
    <t>9618089453-000</t>
  </si>
  <si>
    <t>9618089467-000</t>
  </si>
  <si>
    <t>9618089469-000</t>
  </si>
  <si>
    <t>9618089470-000</t>
  </si>
  <si>
    <t>9618089480-000</t>
  </si>
  <si>
    <t>9618089498-000</t>
  </si>
  <si>
    <t>9618089504-000</t>
  </si>
  <si>
    <t>9618089508-000</t>
  </si>
  <si>
    <t>9618089509-000</t>
  </si>
  <si>
    <t>9618089517-000</t>
  </si>
  <si>
    <t>9618089522-000</t>
  </si>
  <si>
    <t>9618089532-000</t>
  </si>
  <si>
    <t>9618089539-000</t>
  </si>
  <si>
    <t>9618089540-000</t>
  </si>
  <si>
    <t>9618089542-000</t>
  </si>
  <si>
    <t>9618089544-000</t>
  </si>
  <si>
    <t>9618089547-000</t>
  </si>
  <si>
    <t>9618089552-000</t>
  </si>
  <si>
    <t>9618089553-000</t>
  </si>
  <si>
    <t>9618089563-000</t>
  </si>
  <si>
    <t>9618089567-000</t>
  </si>
  <si>
    <t>9618089568-000</t>
  </si>
  <si>
    <t>9618089569-000</t>
  </si>
  <si>
    <t>9618089570-000</t>
  </si>
  <si>
    <t>9618089586-000</t>
  </si>
  <si>
    <t>9618089589-000</t>
  </si>
  <si>
    <t>9618089590-000</t>
  </si>
  <si>
    <t>9618089593-000</t>
  </si>
  <si>
    <t>9618089596-000</t>
  </si>
  <si>
    <t>9618089601-000</t>
  </si>
  <si>
    <t>9618089606-000</t>
  </si>
  <si>
    <t>9618089616-000</t>
  </si>
  <si>
    <t>9618089621-000</t>
  </si>
  <si>
    <t>9618089623-000</t>
  </si>
  <si>
    <t>9618089630-000</t>
  </si>
  <si>
    <t>9618089637-000</t>
  </si>
  <si>
    <t>9618089644-000</t>
  </si>
  <si>
    <t>9618089650-000</t>
  </si>
  <si>
    <t>9618089651-000</t>
  </si>
  <si>
    <t>9618089662-000</t>
  </si>
  <si>
    <t>9618089663-000</t>
  </si>
  <si>
    <t>9618089665-000</t>
  </si>
  <si>
    <t>9618089686-000</t>
  </si>
  <si>
    <t>9618089687-000</t>
  </si>
  <si>
    <t>9618089688-000</t>
  </si>
  <si>
    <t>9618089699-000</t>
  </si>
  <si>
    <t>9618089700-000</t>
  </si>
  <si>
    <t>9618089756-000</t>
  </si>
  <si>
    <t>9618089760-000</t>
  </si>
  <si>
    <t>9618089766-000</t>
  </si>
  <si>
    <t>9618089770-000</t>
  </si>
  <si>
    <t>9618089875-000</t>
  </si>
  <si>
    <t>9618089880-000</t>
  </si>
  <si>
    <t>9618089881-000</t>
  </si>
  <si>
    <t>9618089885-000</t>
  </si>
  <si>
    <t>9618089890-000</t>
  </si>
  <si>
    <t>9618089903-000</t>
  </si>
  <si>
    <t>9618089904-000</t>
  </si>
  <si>
    <t>9618089908-000</t>
  </si>
  <si>
    <t>9618089939-000</t>
  </si>
  <si>
    <t>9618089968-000</t>
  </si>
  <si>
    <t>9618089973-000</t>
  </si>
  <si>
    <t>9618089982-000</t>
  </si>
  <si>
    <t>9618089985-000</t>
  </si>
  <si>
    <t>9618089999-000</t>
  </si>
  <si>
    <t>9903082004-000</t>
  </si>
  <si>
    <t>9903083004-000</t>
  </si>
  <si>
    <t>F000600041-000</t>
  </si>
  <si>
    <t>F000600044-000</t>
  </si>
  <si>
    <t>F000600060-000</t>
  </si>
  <si>
    <t>F000600061-000</t>
  </si>
  <si>
    <t>F000600076-000</t>
  </si>
  <si>
    <t>F000600079-000</t>
  </si>
  <si>
    <t>F000600080-000</t>
  </si>
  <si>
    <t>F000600101-000</t>
  </si>
  <si>
    <t>F000600102-000</t>
  </si>
  <si>
    <t>F000600112-000</t>
  </si>
  <si>
    <t>F000600113-000</t>
  </si>
  <si>
    <t>F000600121-000</t>
  </si>
  <si>
    <t>F000600133-000</t>
  </si>
  <si>
    <t>F000600146-000</t>
  </si>
  <si>
    <t>F000600150-000</t>
  </si>
  <si>
    <t>F000600209-000</t>
  </si>
  <si>
    <t>F000600215-000</t>
  </si>
  <si>
    <t>F000600216-000</t>
  </si>
  <si>
    <t>F000600217-000</t>
  </si>
  <si>
    <t>F000600218-000</t>
  </si>
  <si>
    <t>F000600221-000</t>
  </si>
  <si>
    <t>F000600222-000</t>
  </si>
  <si>
    <t>F000600223-000</t>
  </si>
  <si>
    <t>F000600238-000</t>
  </si>
  <si>
    <t>F000600239-000</t>
  </si>
  <si>
    <t>F000600241-000</t>
  </si>
  <si>
    <t>F000600242-000</t>
  </si>
  <si>
    <t>F000600243-000</t>
  </si>
  <si>
    <t>F000600251-000</t>
  </si>
  <si>
    <t>F000600259-000</t>
  </si>
  <si>
    <t>F000600260-000</t>
  </si>
  <si>
    <t>F000600262-000</t>
  </si>
  <si>
    <t>F000600268-000</t>
  </si>
  <si>
    <t>F000600270-000</t>
  </si>
  <si>
    <t>F000600273-000</t>
  </si>
  <si>
    <t>F000600274-000</t>
  </si>
  <si>
    <t>F000600280-000</t>
  </si>
  <si>
    <t>F000600290-000</t>
  </si>
  <si>
    <t>F000600297-000</t>
  </si>
  <si>
    <t>F000600298-000</t>
  </si>
  <si>
    <t>F000600302-000</t>
  </si>
  <si>
    <t>F000600308-000</t>
  </si>
  <si>
    <t>F000600314-000</t>
  </si>
  <si>
    <t>F000600315-000</t>
  </si>
  <si>
    <t>F000600320-000</t>
  </si>
  <si>
    <t>F000600323-000</t>
  </si>
  <si>
    <t>F000600326-000</t>
  </si>
  <si>
    <t>F000600329-000</t>
  </si>
  <si>
    <t>F000600340-000</t>
  </si>
  <si>
    <t>F000600343-000</t>
  </si>
  <si>
    <t>F000600348-000</t>
  </si>
  <si>
    <t>F000600352-000</t>
  </si>
  <si>
    <t>F000600353-000</t>
  </si>
  <si>
    <t>F000600354-000</t>
  </si>
  <si>
    <t>F000600355-000</t>
  </si>
  <si>
    <t>F000600369-000</t>
  </si>
  <si>
    <t>F000600379-000</t>
  </si>
  <si>
    <t>F000600497-000</t>
  </si>
  <si>
    <t>F000600528-000</t>
  </si>
  <si>
    <t>F000600544-000</t>
  </si>
  <si>
    <t>F000600545-000</t>
  </si>
  <si>
    <t>F000600546-000</t>
  </si>
  <si>
    <t>F000600547-000</t>
  </si>
  <si>
    <t>F000600566-000</t>
  </si>
  <si>
    <t>F000600568-000</t>
  </si>
  <si>
    <t>F000600570-000</t>
  </si>
  <si>
    <t>F000600576-000</t>
  </si>
  <si>
    <t>F000600579-000</t>
  </si>
  <si>
    <t>F000600580-000</t>
  </si>
  <si>
    <t>F000600581-000</t>
  </si>
  <si>
    <t>F000600585-000</t>
  </si>
  <si>
    <t>F000600586-000</t>
  </si>
  <si>
    <t>F000600588-000</t>
  </si>
  <si>
    <t>F000600591-000</t>
  </si>
  <si>
    <t>F000600904-000</t>
  </si>
  <si>
    <t>F000600989-000</t>
  </si>
  <si>
    <t>F000600995-000</t>
  </si>
  <si>
    <t>F000600996-000</t>
  </si>
  <si>
    <t>F000601002-000</t>
  </si>
  <si>
    <t>F000601005-000</t>
  </si>
  <si>
    <t>F000601061-000</t>
  </si>
  <si>
    <t>F000601065-000</t>
  </si>
  <si>
    <t>F000601067-000</t>
  </si>
  <si>
    <t>F000601070-000</t>
  </si>
  <si>
    <t>F000601076-000</t>
  </si>
  <si>
    <t>F000601084-000</t>
  </si>
  <si>
    <t>F000601090-000</t>
  </si>
  <si>
    <t>F000601091-000</t>
  </si>
  <si>
    <t>F000601094-000</t>
  </si>
  <si>
    <t>F000601098-000</t>
  </si>
  <si>
    <t>F000601103-000</t>
  </si>
  <si>
    <t>F000601107-000</t>
  </si>
  <si>
    <t>F000601108-000</t>
  </si>
  <si>
    <t>F000601109-000</t>
  </si>
  <si>
    <t>F000601111-000</t>
  </si>
  <si>
    <t>F000601112-000</t>
  </si>
  <si>
    <t>F000601120-000</t>
  </si>
  <si>
    <t>F000601122-000</t>
  </si>
  <si>
    <t>F000601123-000</t>
  </si>
  <si>
    <t>F000601124-000</t>
  </si>
  <si>
    <t>F000601129-000</t>
  </si>
  <si>
    <t>F000601130-000</t>
  </si>
  <si>
    <t>F000601131-000</t>
  </si>
  <si>
    <t>F000601136-000</t>
  </si>
  <si>
    <t>F000601140-000</t>
  </si>
  <si>
    <t>F000601143-000</t>
  </si>
  <si>
    <t>F000601144-000</t>
  </si>
  <si>
    <t>F000601145-000</t>
  </si>
  <si>
    <t>F000601148-000</t>
  </si>
  <si>
    <t>F000601149-000</t>
  </si>
  <si>
    <t>F000601160-000</t>
  </si>
  <si>
    <t>F000601242-000</t>
  </si>
  <si>
    <t>F000601243-000</t>
  </si>
  <si>
    <t>F000601244-000</t>
  </si>
  <si>
    <t>F000601248-000</t>
  </si>
  <si>
    <t>F000601249-000</t>
  </si>
  <si>
    <t>F000601250-000</t>
  </si>
  <si>
    <t>F000601251-000</t>
  </si>
  <si>
    <t>F000601263-000</t>
  </si>
  <si>
    <t>F000601264-000</t>
  </si>
  <si>
    <t>F000601265-000</t>
  </si>
  <si>
    <t>F000601269-000</t>
  </si>
  <si>
    <t>F000601272-000</t>
  </si>
  <si>
    <t>F000601274-000</t>
  </si>
  <si>
    <t>F000601276-000</t>
  </si>
  <si>
    <t>F000601280-000</t>
  </si>
  <si>
    <t>F000601282-000</t>
  </si>
  <si>
    <t>F000601283-000</t>
  </si>
  <si>
    <t>F000601284-000</t>
  </si>
  <si>
    <t>F000601285-000</t>
  </si>
  <si>
    <t>F000601286-000</t>
  </si>
  <si>
    <t>F000601288-000</t>
  </si>
  <si>
    <t>F000601290-000</t>
  </si>
  <si>
    <t>F000601293-000</t>
  </si>
  <si>
    <t>F000601296-000</t>
  </si>
  <si>
    <t>F000601301-000</t>
  </si>
  <si>
    <t>F000601302-000</t>
  </si>
  <si>
    <t>F000601303-000</t>
  </si>
  <si>
    <t>F000601304-000</t>
  </si>
  <si>
    <t>F000601306-000</t>
  </si>
  <si>
    <t>F000601309-000</t>
  </si>
  <si>
    <t>F000601311-000</t>
  </si>
  <si>
    <t>F000601312-000</t>
  </si>
  <si>
    <t>F000601314-000</t>
  </si>
  <si>
    <t>F000601316-000</t>
  </si>
  <si>
    <t>F000601319-000</t>
  </si>
  <si>
    <t>F000601320-000</t>
  </si>
  <si>
    <t>F000601322-000</t>
  </si>
  <si>
    <t>F000601324-000</t>
  </si>
  <si>
    <t>F000601438-000</t>
  </si>
  <si>
    <t>F000601599-000</t>
  </si>
  <si>
    <t>F000601600-000</t>
  </si>
  <si>
    <t>F000601604-000</t>
  </si>
  <si>
    <t>F000601607-000</t>
  </si>
  <si>
    <t>F000601610-000</t>
  </si>
  <si>
    <t>F000601611-000</t>
  </si>
  <si>
    <t>F000601612-000</t>
  </si>
  <si>
    <t>F000601615-000</t>
  </si>
  <si>
    <t>F000601616-000</t>
  </si>
  <si>
    <t>F000601619-000</t>
  </si>
  <si>
    <t>F000601624-000</t>
  </si>
  <si>
    <t>F000601750-000</t>
  </si>
  <si>
    <t>F000601754-000</t>
  </si>
  <si>
    <t>F000601755-000</t>
  </si>
  <si>
    <t>F000601759-000</t>
  </si>
  <si>
    <t>F000601765-000</t>
  </si>
  <si>
    <t>F000601773-000</t>
  </si>
  <si>
    <t>F000601775-000</t>
  </si>
  <si>
    <t>F000601777-000</t>
  </si>
  <si>
    <t>F000602001-000</t>
  </si>
  <si>
    <t>F000602007-000</t>
  </si>
  <si>
    <t>F000602008-000</t>
  </si>
  <si>
    <t>F000602009-000</t>
  </si>
  <si>
    <t>F000602010-000</t>
  </si>
  <si>
    <t>F000602011-000</t>
  </si>
  <si>
    <t>F000602012-000</t>
  </si>
  <si>
    <t>F000602013-000</t>
  </si>
  <si>
    <t>F000602014-000</t>
  </si>
  <si>
    <t>F000602016-000</t>
  </si>
  <si>
    <t>F000602166-000</t>
  </si>
  <si>
    <t>F000602170-000</t>
  </si>
  <si>
    <t>F000602173-000</t>
  </si>
  <si>
    <t>F000602175-000</t>
  </si>
  <si>
    <t>F000602179-000</t>
  </si>
  <si>
    <t>F000603002-000</t>
  </si>
  <si>
    <t>F000603009-000</t>
  </si>
  <si>
    <t>F000603010-000</t>
  </si>
  <si>
    <t>F000603018-000</t>
  </si>
  <si>
    <t>F000603020-000</t>
  </si>
  <si>
    <t>F000603021-000</t>
  </si>
  <si>
    <t>F000603024-000</t>
  </si>
  <si>
    <t>F000603025-000</t>
  </si>
  <si>
    <t>F000603027-000</t>
  </si>
  <si>
    <t>F000603029-000</t>
  </si>
  <si>
    <t>F000603033-000</t>
  </si>
  <si>
    <t>F000603034-000</t>
  </si>
  <si>
    <t>F000603035-000</t>
  </si>
  <si>
    <t>F000603038-000</t>
  </si>
  <si>
    <t>F000603043-000</t>
  </si>
  <si>
    <t>F000603044-000</t>
  </si>
  <si>
    <t>F000603050-000</t>
  </si>
  <si>
    <t>F000603051-000</t>
  </si>
  <si>
    <t>F000603054-000</t>
  </si>
  <si>
    <t>F000603055-000</t>
  </si>
  <si>
    <t>F000603056-000</t>
  </si>
  <si>
    <t>F000603057-000</t>
  </si>
  <si>
    <t>F000603058-000</t>
  </si>
  <si>
    <t>F000603059-000</t>
  </si>
  <si>
    <t>F000603060-000</t>
  </si>
  <si>
    <t>F000603061-000</t>
  </si>
  <si>
    <t>F000603064-000</t>
  </si>
  <si>
    <t>F000603065-000</t>
  </si>
  <si>
    <t>F000603068-000</t>
  </si>
  <si>
    <t>F000603069-000</t>
  </si>
  <si>
    <t>F000603070-000</t>
  </si>
  <si>
    <t>F000603071-000</t>
  </si>
  <si>
    <t>F000603072-000</t>
  </si>
  <si>
    <t>F000603073-000</t>
  </si>
  <si>
    <t>F000603075-000</t>
  </si>
  <si>
    <t>F000603076-000</t>
  </si>
  <si>
    <t>F000603077-000</t>
  </si>
  <si>
    <t>F000603078-000</t>
  </si>
  <si>
    <t>F000603079-000</t>
  </si>
  <si>
    <t>F000603080-000</t>
  </si>
  <si>
    <t>F000603081-000</t>
  </si>
  <si>
    <t>F000603082-000</t>
  </si>
  <si>
    <t>F000603083-000</t>
  </si>
  <si>
    <t>F000603085-000</t>
  </si>
  <si>
    <t>F000603086-000</t>
  </si>
  <si>
    <t>F000603087-000</t>
  </si>
  <si>
    <t>F000603088-000</t>
  </si>
  <si>
    <t>F000603090-000</t>
  </si>
  <si>
    <t>F000603092-000</t>
  </si>
  <si>
    <t>F000603094-000</t>
  </si>
  <si>
    <t>F000603097-000</t>
  </si>
  <si>
    <t>F000603098-000</t>
  </si>
  <si>
    <t>F000603099-000</t>
  </si>
  <si>
    <t>F000603100-000</t>
  </si>
  <si>
    <t>F000603101-000</t>
  </si>
  <si>
    <t>F000603102-000</t>
  </si>
  <si>
    <t>F000603103-000</t>
  </si>
  <si>
    <t>F000603105-000</t>
  </si>
  <si>
    <t>F000603106-000</t>
  </si>
  <si>
    <t>F000603107-000</t>
  </si>
  <si>
    <t>F000603108-000</t>
  </si>
  <si>
    <t>F000603109-000</t>
  </si>
  <si>
    <t>F000603110-000</t>
  </si>
  <si>
    <t>F000603111-000</t>
  </si>
  <si>
    <t>F000603112-000</t>
  </si>
  <si>
    <t>F000603113-000</t>
  </si>
  <si>
    <t>F000603114-000</t>
  </si>
  <si>
    <t>F000603115-000</t>
  </si>
  <si>
    <t>F000603116-000</t>
  </si>
  <si>
    <t>F000603117-000</t>
  </si>
  <si>
    <t>F000603118-000</t>
  </si>
  <si>
    <t>F000603120-000</t>
  </si>
  <si>
    <t>F000603121-000</t>
  </si>
  <si>
    <t>F000603122-000</t>
  </si>
  <si>
    <t>F000603125-000</t>
  </si>
  <si>
    <t>F000603126-000</t>
  </si>
  <si>
    <t>F000603127-000</t>
  </si>
  <si>
    <t>F000603128-000</t>
  </si>
  <si>
    <t>F000603129-000</t>
  </si>
  <si>
    <t>F000603131-000</t>
  </si>
  <si>
    <t>F000603132-000</t>
  </si>
  <si>
    <t>F000603135-000</t>
  </si>
  <si>
    <t>F000603136-000</t>
  </si>
  <si>
    <t>F000603149-000</t>
  </si>
  <si>
    <t>F000603150-000</t>
  </si>
  <si>
    <t>F000603151-000</t>
  </si>
  <si>
    <t>F000603152-000</t>
  </si>
  <si>
    <t>F000603161-000</t>
  </si>
  <si>
    <t>F000603166-000</t>
  </si>
  <si>
    <t>F000603169-000</t>
  </si>
  <si>
    <t>F000603171-000</t>
  </si>
  <si>
    <t>F000604000-000</t>
  </si>
  <si>
    <t>F000604001-000</t>
  </si>
  <si>
    <t>F000604003-000</t>
  </si>
  <si>
    <t>F000604004-000</t>
  </si>
  <si>
    <t>F000604005-000</t>
  </si>
  <si>
    <t>F000604006-000</t>
  </si>
  <si>
    <t>F000604010-000</t>
  </si>
  <si>
    <t>F000604011-000</t>
  </si>
  <si>
    <t>F000604012-000</t>
  </si>
  <si>
    <t>F000604013-000</t>
  </si>
  <si>
    <t>F000604014-000</t>
  </si>
  <si>
    <t>F000604016-000</t>
  </si>
  <si>
    <t>F000604018-000</t>
  </si>
  <si>
    <t>F000605007-000</t>
  </si>
  <si>
    <t>F000605016-000</t>
  </si>
  <si>
    <t>F000605020-000</t>
  </si>
  <si>
    <t>F000605024-000</t>
  </si>
  <si>
    <t>F000605035-000</t>
  </si>
  <si>
    <t>F000605041-000</t>
  </si>
  <si>
    <t>F000605043-000</t>
  </si>
  <si>
    <t>F000605048-000</t>
  </si>
  <si>
    <t>F000605051-000</t>
  </si>
  <si>
    <t>F000605059-000</t>
  </si>
  <si>
    <t>F000605060-000</t>
  </si>
  <si>
    <t>F000605062-000</t>
  </si>
  <si>
    <t>F000605064-000</t>
  </si>
  <si>
    <t>F000605067-000</t>
  </si>
  <si>
    <t>F000605077-000</t>
  </si>
  <si>
    <t>F000605079-000</t>
  </si>
  <si>
    <t>F000605082-000</t>
  </si>
  <si>
    <t>F000605085-000</t>
  </si>
  <si>
    <t>F000605086-000</t>
  </si>
  <si>
    <t>F000605089-000</t>
  </si>
  <si>
    <t>F000605092-000</t>
  </si>
  <si>
    <t>F000605094-000</t>
  </si>
  <si>
    <t>F000605098-000</t>
  </si>
  <si>
    <t>F000605101-000</t>
  </si>
  <si>
    <t>F000605108-000</t>
  </si>
  <si>
    <t>F000605110-000</t>
  </si>
  <si>
    <t>F000605116-000</t>
  </si>
  <si>
    <t>F000605118-000</t>
  </si>
  <si>
    <t>F000605122-000</t>
  </si>
  <si>
    <t>F000605123-000</t>
  </si>
  <si>
    <t>F000605126-000</t>
  </si>
  <si>
    <t>F000605128-000</t>
  </si>
  <si>
    <t>F000605133-000</t>
  </si>
  <si>
    <t>F000605135-000</t>
  </si>
  <si>
    <t>F000605136-000</t>
  </si>
  <si>
    <t>F000605138-000</t>
  </si>
  <si>
    <t>F000605140-000</t>
  </si>
  <si>
    <t>F000605143-000</t>
  </si>
  <si>
    <t>F000605146-000</t>
  </si>
  <si>
    <t>F000605150-000</t>
  </si>
  <si>
    <t>F000605152-000</t>
  </si>
  <si>
    <t>F000605156-000</t>
  </si>
  <si>
    <t>F000605160-000</t>
  </si>
  <si>
    <t>F000605162-000</t>
  </si>
  <si>
    <t>F000605164-000</t>
  </si>
  <si>
    <t>F000605165-000</t>
  </si>
  <si>
    <t>F000605166-000</t>
  </si>
  <si>
    <t>F000605169-000</t>
  </si>
  <si>
    <t>F000605172-000</t>
  </si>
  <si>
    <t>F000605177-000</t>
  </si>
  <si>
    <t>F000605179-000</t>
  </si>
  <si>
    <t>F000605184-000</t>
  </si>
  <si>
    <t>F000605186-000</t>
  </si>
  <si>
    <t>F000605188-000</t>
  </si>
  <si>
    <t>F000605192-000</t>
  </si>
  <si>
    <t>F000605193-000</t>
  </si>
  <si>
    <t>F000605200-000</t>
  </si>
  <si>
    <t>F000605206-000</t>
  </si>
  <si>
    <t>F000605211-000</t>
  </si>
  <si>
    <t>F000605217-000</t>
  </si>
  <si>
    <t>F000605222-000</t>
  </si>
  <si>
    <t>F000605232-000</t>
  </si>
  <si>
    <t>F000605235-000</t>
  </si>
  <si>
    <t>F000605236-000</t>
  </si>
  <si>
    <t>F000605245-000</t>
  </si>
  <si>
    <t>F000605247-000</t>
  </si>
  <si>
    <t>F000605255-000</t>
  </si>
  <si>
    <t>F000607006-000</t>
  </si>
  <si>
    <t>F000607013-000</t>
  </si>
  <si>
    <t>F000607018-000</t>
  </si>
  <si>
    <t>F000607022-000</t>
  </si>
  <si>
    <t>F000607024-000</t>
  </si>
  <si>
    <t>F000607026-000</t>
  </si>
  <si>
    <t>F000607028-000</t>
  </si>
  <si>
    <t>F000607032-000</t>
  </si>
  <si>
    <t>F000607037-000</t>
  </si>
  <si>
    <t>F000607040-000</t>
  </si>
  <si>
    <t>F000607042-000</t>
  </si>
  <si>
    <t>F000607047-000</t>
  </si>
  <si>
    <t>F000607049-000</t>
  </si>
  <si>
    <t>F000607050-000</t>
  </si>
  <si>
    <t>F000607053-000</t>
  </si>
  <si>
    <t>F000607055-000</t>
  </si>
  <si>
    <t>F000607057-000</t>
  </si>
  <si>
    <t>F000607060-000</t>
  </si>
  <si>
    <t>F000607063-000</t>
  </si>
  <si>
    <t>F000607064-000</t>
  </si>
  <si>
    <t>F000607065-000</t>
  </si>
  <si>
    <t>F000607070-000</t>
  </si>
  <si>
    <t>F000607072-000</t>
  </si>
  <si>
    <t>F000607075-000</t>
  </si>
  <si>
    <t>F000607078-000</t>
  </si>
  <si>
    <t>F000607082-000</t>
  </si>
  <si>
    <t>F000607085-000</t>
  </si>
  <si>
    <t>F000607088-000</t>
  </si>
  <si>
    <t>F000607090-000</t>
  </si>
  <si>
    <t>F000607092-000</t>
  </si>
  <si>
    <t>F000607097-000</t>
  </si>
  <si>
    <t>F000607102-000</t>
  </si>
  <si>
    <t>F000607103-000</t>
  </si>
  <si>
    <t>F000607106-000</t>
  </si>
  <si>
    <t>F000607110-000</t>
  </si>
  <si>
    <t>F000607112-000</t>
  </si>
  <si>
    <t>F000607113-000</t>
  </si>
  <si>
    <t>F000607114-000</t>
  </si>
  <si>
    <t>F000607117-000</t>
  </si>
  <si>
    <t>F000607118-000</t>
  </si>
  <si>
    <t>F000607124-000</t>
  </si>
  <si>
    <t>F000607126-000</t>
  </si>
  <si>
    <t>F000607130-000</t>
  </si>
  <si>
    <t>F000607139-000</t>
  </si>
  <si>
    <t>F000607140-000</t>
  </si>
  <si>
    <t>F000607148-000</t>
  </si>
  <si>
    <t>F000607151-000</t>
  </si>
  <si>
    <t>F000607155-000</t>
  </si>
  <si>
    <t>F000607163-000</t>
  </si>
  <si>
    <t>F000607166-000</t>
  </si>
  <si>
    <t>F000607174-000</t>
  </si>
  <si>
    <t>F000607178-000</t>
  </si>
  <si>
    <t>F000607184-000</t>
  </si>
  <si>
    <t>F000608006-000</t>
  </si>
  <si>
    <t>F000608014-000</t>
  </si>
  <si>
    <t>F000608015-000</t>
  </si>
  <si>
    <t>F000608016-000</t>
  </si>
  <si>
    <t>F000608019-000</t>
  </si>
  <si>
    <t>F000608023-000</t>
  </si>
  <si>
    <t>F000608027-000</t>
  </si>
  <si>
    <t>F000608029-000</t>
  </si>
  <si>
    <t>F000608036-000</t>
  </si>
  <si>
    <t>F000608037-000</t>
  </si>
  <si>
    <t>F000608051-000</t>
  </si>
  <si>
    <t>F000608052-000</t>
  </si>
  <si>
    <t>F000608057-000</t>
  </si>
  <si>
    <t>F000608058-000</t>
  </si>
  <si>
    <t>F000608059-000</t>
  </si>
  <si>
    <t>F000608060-000</t>
  </si>
  <si>
    <t>F000608061-000</t>
  </si>
  <si>
    <t>F000608062-000</t>
  </si>
  <si>
    <t>F000608067-000</t>
  </si>
  <si>
    <t>F000608071-000</t>
  </si>
  <si>
    <t>F000608075-000</t>
  </si>
  <si>
    <t>F000608086-000</t>
  </si>
  <si>
    <t>F000608088-000</t>
  </si>
  <si>
    <t>F000608090-000</t>
  </si>
  <si>
    <t>F000608092-000</t>
  </si>
  <si>
    <t>F000608094-000</t>
  </si>
  <si>
    <t>F000608095-000</t>
  </si>
  <si>
    <t>F000608097-000</t>
  </si>
  <si>
    <t>F000608099-000</t>
  </si>
  <si>
    <t>F000608100-000</t>
  </si>
  <si>
    <t>F000608102-000</t>
  </si>
  <si>
    <t>F000608103-000</t>
  </si>
  <si>
    <t>F000608105-000</t>
  </si>
  <si>
    <t>F000608106-000</t>
  </si>
  <si>
    <t>F000608109-000</t>
  </si>
  <si>
    <t>F000608111-000</t>
  </si>
  <si>
    <t>F000608112-000</t>
  </si>
  <si>
    <t>F000608117-000</t>
  </si>
  <si>
    <t>F000608331-000</t>
  </si>
  <si>
    <t>F000608332-000</t>
  </si>
  <si>
    <t>F000608333-000</t>
  </si>
  <si>
    <t>F000608334-000</t>
  </si>
  <si>
    <t>F000608335-000</t>
  </si>
  <si>
    <t>F000608336-000</t>
  </si>
  <si>
    <t>F000608338-000</t>
  </si>
  <si>
    <t>F000608339-000</t>
  </si>
  <si>
    <t>F000608341-000</t>
  </si>
  <si>
    <t>F000608344-000</t>
  </si>
  <si>
    <t>F000608347-000</t>
  </si>
  <si>
    <t>F000608353-000</t>
  </si>
  <si>
    <t>F000608354-000</t>
  </si>
  <si>
    <t>F000608358-000</t>
  </si>
  <si>
    <t>F000608361-000</t>
  </si>
  <si>
    <t>F000608378-000</t>
  </si>
  <si>
    <t>F000608381-000</t>
  </si>
  <si>
    <t>F000608386-000</t>
  </si>
  <si>
    <t>F000608389-000</t>
  </si>
  <si>
    <t>F000608401-000</t>
  </si>
  <si>
    <t>F000608402-000</t>
  </si>
  <si>
    <t>F000608405-000</t>
  </si>
  <si>
    <t>F000608407-000</t>
  </si>
  <si>
    <t>F000608413-000</t>
  </si>
  <si>
    <t>F000608418-000</t>
  </si>
  <si>
    <t>F000608420-000</t>
  </si>
  <si>
    <t>F000608422-000</t>
  </si>
  <si>
    <t>F000608424-000</t>
  </si>
  <si>
    <t>F000608426-000</t>
  </si>
  <si>
    <t>F000608428-000</t>
  </si>
  <si>
    <t>F000609011-000</t>
  </si>
  <si>
    <t>F000609017-000</t>
  </si>
  <si>
    <t>F000609023-000</t>
  </si>
  <si>
    <t>F000609166-000</t>
  </si>
  <si>
    <t>F000609189-000</t>
  </si>
  <si>
    <t>F000609239-000</t>
  </si>
  <si>
    <t>F000609270-000</t>
  </si>
  <si>
    <t>F000609282-000</t>
  </si>
  <si>
    <t>F000609285-000</t>
  </si>
  <si>
    <t>F000609286-000</t>
  </si>
  <si>
    <t>F000609287-000</t>
  </si>
  <si>
    <t>F000609334-000</t>
  </si>
  <si>
    <t>F000609381-000</t>
  </si>
  <si>
    <t>F000609415-000</t>
  </si>
  <si>
    <t>F000609426-000</t>
  </si>
  <si>
    <t>F000609429-000</t>
  </si>
  <si>
    <t>F000609435-000</t>
  </si>
  <si>
    <t>F000609443-000</t>
  </si>
  <si>
    <t>F000609456-000</t>
  </si>
  <si>
    <t>F000609466-000</t>
  </si>
  <si>
    <t>F000609476-000</t>
  </si>
  <si>
    <t>F000610015-000</t>
  </si>
  <si>
    <t>F000610025-000</t>
  </si>
  <si>
    <t>F000610026-000</t>
  </si>
  <si>
    <t>F000610027-000</t>
  </si>
  <si>
    <t>F000610028-000</t>
  </si>
  <si>
    <t>F000610031-000</t>
  </si>
  <si>
    <t>F000610037-000</t>
  </si>
  <si>
    <t>F000610038-000</t>
  </si>
  <si>
    <t>F000610041-000</t>
  </si>
  <si>
    <t>F000610043-000</t>
  </si>
  <si>
    <t>F000610047-000</t>
  </si>
  <si>
    <t>F000610048-000</t>
  </si>
  <si>
    <t>F000610056-000</t>
  </si>
  <si>
    <t>F000611018-000</t>
  </si>
  <si>
    <t>F000611030-000</t>
  </si>
  <si>
    <t>F000611036-000</t>
  </si>
  <si>
    <t>F000611056-000</t>
  </si>
  <si>
    <t>F000611057-000</t>
  </si>
  <si>
    <t>F000611059-000</t>
  </si>
  <si>
    <t>F000611061-000</t>
  </si>
  <si>
    <t>F000611064-000</t>
  </si>
  <si>
    <t>F000611068-000</t>
  </si>
  <si>
    <t>F000611069-000</t>
  </si>
  <si>
    <t>F000611073-000</t>
  </si>
  <si>
    <t>F000611083-000</t>
  </si>
  <si>
    <t>F000611087-000</t>
  </si>
  <si>
    <t>F000611091-000</t>
  </si>
  <si>
    <t>F000611095-000</t>
  </si>
  <si>
    <t>F000611100-000</t>
  </si>
  <si>
    <t>F000611101-000</t>
  </si>
  <si>
    <t>F000612014-000</t>
  </si>
  <si>
    <t>F000612019-000</t>
  </si>
  <si>
    <t>F000612020-000</t>
  </si>
  <si>
    <t>F000612021-000</t>
  </si>
  <si>
    <t>F000612022-000</t>
  </si>
  <si>
    <t>F000612037-000</t>
  </si>
  <si>
    <t>F000612038-000</t>
  </si>
  <si>
    <t>F000612041-000</t>
  </si>
  <si>
    <t>F000612043-000</t>
  </si>
  <si>
    <t>F000612051-000</t>
  </si>
  <si>
    <t>F000612053-000</t>
  </si>
  <si>
    <t>F000612054-000</t>
  </si>
  <si>
    <t>F000612056-000</t>
  </si>
  <si>
    <t>F000612057-000</t>
  </si>
  <si>
    <t>F000612059-000</t>
  </si>
  <si>
    <t>F000612060-000</t>
  </si>
  <si>
    <t>F000612061-000</t>
  </si>
  <si>
    <t>F000612062-000</t>
  </si>
  <si>
    <t>F000612063-000</t>
  </si>
  <si>
    <t>F000612069-000</t>
  </si>
  <si>
    <t>F000612072-000</t>
  </si>
  <si>
    <t>F000612074-000</t>
  </si>
  <si>
    <t>F000612076-000</t>
  </si>
  <si>
    <t>F000612080-000</t>
  </si>
  <si>
    <t>F000612082-000</t>
  </si>
  <si>
    <t>F000612090-000</t>
  </si>
  <si>
    <t>F000612092-000</t>
  </si>
  <si>
    <t>F000612094-000</t>
  </si>
  <si>
    <t>F000612100-000</t>
  </si>
  <si>
    <t>F000612102-000</t>
  </si>
  <si>
    <t>F000613000-000</t>
  </si>
  <si>
    <t>F000613006-000</t>
  </si>
  <si>
    <t>F000613010-000</t>
  </si>
  <si>
    <t>F000613018-000</t>
  </si>
  <si>
    <t>F000613022-000</t>
  </si>
  <si>
    <t>F000613023-000</t>
  </si>
  <si>
    <t>F000613024-000</t>
  </si>
  <si>
    <t>F000613027-000</t>
  </si>
  <si>
    <t>F000613029-000</t>
  </si>
  <si>
    <t>F000613034-000</t>
  </si>
  <si>
    <t>F000613035-000</t>
  </si>
  <si>
    <t>F000613036-000</t>
  </si>
  <si>
    <t>F000613037-000</t>
  </si>
  <si>
    <t>F000613041-000</t>
  </si>
  <si>
    <t>F000613042-000</t>
  </si>
  <si>
    <t>F000613043-000</t>
  </si>
  <si>
    <t>F000613048-000</t>
  </si>
  <si>
    <t>F000613050-000</t>
  </si>
  <si>
    <t>F000613051-000</t>
  </si>
  <si>
    <t>F000613053-000</t>
  </si>
  <si>
    <t>F000613055-000</t>
  </si>
  <si>
    <t>F000613056-000</t>
  </si>
  <si>
    <t>F000613058-000</t>
  </si>
  <si>
    <t>F000613059-000</t>
  </si>
  <si>
    <t>F000613062-000</t>
  </si>
  <si>
    <t>F000613063-000</t>
  </si>
  <si>
    <t>F000613064-000</t>
  </si>
  <si>
    <t>F000613069-000</t>
  </si>
  <si>
    <t>F000613070-000</t>
  </si>
  <si>
    <t>F000613071-000</t>
  </si>
  <si>
    <t>F000613072-000</t>
  </si>
  <si>
    <t>F000613073-000</t>
  </si>
  <si>
    <t>F000613074-000</t>
  </si>
  <si>
    <t>F000613075-000</t>
  </si>
  <si>
    <t>F000613076-000</t>
  </si>
  <si>
    <t>F000613077-000</t>
  </si>
  <si>
    <t>F000613078-000</t>
  </si>
  <si>
    <t>F000613079-000</t>
  </si>
  <si>
    <t>F000613080-000</t>
  </si>
  <si>
    <t>F000613090-000</t>
  </si>
  <si>
    <t>F000613092-000</t>
  </si>
  <si>
    <t>F000613097-000</t>
  </si>
  <si>
    <t>F000613099-000</t>
  </si>
  <si>
    <t>F000613100-000</t>
  </si>
  <si>
    <t>F000614002-000</t>
  </si>
  <si>
    <t>F000614005-000</t>
  </si>
  <si>
    <t>F000614006-000</t>
  </si>
  <si>
    <t>F000614007-000</t>
  </si>
  <si>
    <t>F000614014-000</t>
  </si>
  <si>
    <t>F000615000-000</t>
  </si>
  <si>
    <t>F000615003-000</t>
  </si>
  <si>
    <t>F000615004-000</t>
  </si>
  <si>
    <t>F000615005-000</t>
  </si>
  <si>
    <t>F000615006-000</t>
  </si>
  <si>
    <t>F000615008-000</t>
  </si>
  <si>
    <t>F000615010-000</t>
  </si>
  <si>
    <t>F000615011-000</t>
  </si>
  <si>
    <t>F000615026-000</t>
  </si>
  <si>
    <t>F000615027-000</t>
  </si>
  <si>
    <t>F000615028-000</t>
  </si>
  <si>
    <t>F000615029-000</t>
  </si>
  <si>
    <t>F000615030-000</t>
  </si>
  <si>
    <t>F000615032-000</t>
  </si>
  <si>
    <t>F000615033-000</t>
  </si>
  <si>
    <t>F000615034-000</t>
  </si>
  <si>
    <t>F000615036-000</t>
  </si>
  <si>
    <t>F000615037-000</t>
  </si>
  <si>
    <t>F000615039-000</t>
  </si>
  <si>
    <t>F000615040-000</t>
  </si>
  <si>
    <t>F000615041-000</t>
  </si>
  <si>
    <t>F000615042-000</t>
  </si>
  <si>
    <t>F000615043-000</t>
  </si>
  <si>
    <t>F000615044-000</t>
  </si>
  <si>
    <t>F000615045-000</t>
  </si>
  <si>
    <t>F000615046-000</t>
  </si>
  <si>
    <t>F000615047-000</t>
  </si>
  <si>
    <t>F000615048-000</t>
  </si>
  <si>
    <t>F000615050-000</t>
  </si>
  <si>
    <t>F000615051-000</t>
  </si>
  <si>
    <t>F000615052-000</t>
  </si>
  <si>
    <t>F000615053-000</t>
  </si>
  <si>
    <t>F000615056-000</t>
  </si>
  <si>
    <t>F000615057-000</t>
  </si>
  <si>
    <t>F000615058-000</t>
  </si>
  <si>
    <t>F000615059-000</t>
  </si>
  <si>
    <t>F000615061-000</t>
  </si>
  <si>
    <t>F000615062-000</t>
  </si>
  <si>
    <t>F000615063-000</t>
  </si>
  <si>
    <t>F000615064-000</t>
  </si>
  <si>
    <t>F000615065-000</t>
  </si>
  <si>
    <t>F000615066-000</t>
  </si>
  <si>
    <t>F000615067-000</t>
  </si>
  <si>
    <t>F000615068-000</t>
  </si>
  <si>
    <t>F000615069-000</t>
  </si>
  <si>
    <t>F000615070-000</t>
  </si>
  <si>
    <t>F000615071-000</t>
  </si>
  <si>
    <t>F000615074-000</t>
  </si>
  <si>
    <t>F000615075-000</t>
  </si>
  <si>
    <t>F000615076-000</t>
  </si>
  <si>
    <t>F000615077-000</t>
  </si>
  <si>
    <t>F000615078-000</t>
  </si>
  <si>
    <t>F000615079-000</t>
  </si>
  <si>
    <t>F000615080-000</t>
  </si>
  <si>
    <t>F000615081-000</t>
  </si>
  <si>
    <t>F000615082-000</t>
  </si>
  <si>
    <t>F000615083-000</t>
  </si>
  <si>
    <t>F000615084-000</t>
  </si>
  <si>
    <t>F000615085-000</t>
  </si>
  <si>
    <t>F000615086-000</t>
  </si>
  <si>
    <t>F000615087-000</t>
  </si>
  <si>
    <t>F000615088-000</t>
  </si>
  <si>
    <t>F000615089-000</t>
  </si>
  <si>
    <t>F000615090-000</t>
  </si>
  <si>
    <t>F000615091-000</t>
  </si>
  <si>
    <t>F000615092-000</t>
  </si>
  <si>
    <t>F000615095-000</t>
  </si>
  <si>
    <t>F000615096-000</t>
  </si>
  <si>
    <t>F000615102-000</t>
  </si>
  <si>
    <t>F000615103-000</t>
  </si>
  <si>
    <t>F000615110-000</t>
  </si>
  <si>
    <t>F000615128-000</t>
  </si>
  <si>
    <t>F000615129-000</t>
  </si>
  <si>
    <t>F000615172-000</t>
  </si>
  <si>
    <t>F000615173-000</t>
  </si>
  <si>
    <t>F000615175-000</t>
  </si>
  <si>
    <t>F000616006-000</t>
  </si>
  <si>
    <t>F000616012-000</t>
  </si>
  <si>
    <t>F000616022-000</t>
  </si>
  <si>
    <t>F000616024-000</t>
  </si>
  <si>
    <t>F000616025-000</t>
  </si>
  <si>
    <t>F000616026-000</t>
  </si>
  <si>
    <t>F000616027-000</t>
  </si>
  <si>
    <t>F000616029-000</t>
  </si>
  <si>
    <t>F000616030-000</t>
  </si>
  <si>
    <t>F000616031-000</t>
  </si>
  <si>
    <t>F000616032-000</t>
  </si>
  <si>
    <t>F000616033-000</t>
  </si>
  <si>
    <t>F000616035-000</t>
  </si>
  <si>
    <t>F000616036-000</t>
  </si>
  <si>
    <t>F000616038-000</t>
  </si>
  <si>
    <t>F000616039-000</t>
  </si>
  <si>
    <t>F000616040-000</t>
  </si>
  <si>
    <t>F000616041-000</t>
  </si>
  <si>
    <t>F000616042-000</t>
  </si>
  <si>
    <t>F000616043-000</t>
  </si>
  <si>
    <t>F000616044-000</t>
  </si>
  <si>
    <t>F000616045-000</t>
  </si>
  <si>
    <t>F000616049-000</t>
  </si>
  <si>
    <t>F000616052-000</t>
  </si>
  <si>
    <t>F000616054-000</t>
  </si>
  <si>
    <t>F000616055-000</t>
  </si>
  <si>
    <t>F000616057-000</t>
  </si>
  <si>
    <t>F000616062-000</t>
  </si>
  <si>
    <t>F000616063-000</t>
  </si>
  <si>
    <t>F000616065-000</t>
  </si>
  <si>
    <t>F000616066-000</t>
  </si>
  <si>
    <t>F000616067-000</t>
  </si>
  <si>
    <t>F000616068-000</t>
  </si>
  <si>
    <t>F000616076-000</t>
  </si>
  <si>
    <t>F000616080-000</t>
  </si>
  <si>
    <t>F000616081-000</t>
  </si>
  <si>
    <t>F000616082-000</t>
  </si>
  <si>
    <t>F000616083-000</t>
  </si>
  <si>
    <t>F000616084-000</t>
  </si>
  <si>
    <t>F000616086-000</t>
  </si>
  <si>
    <t>F000616087-000</t>
  </si>
  <si>
    <t>F000616092-000</t>
  </si>
  <si>
    <t>F000616096-000</t>
  </si>
  <si>
    <t>F000616101-000</t>
  </si>
  <si>
    <t>F000616103-000</t>
  </si>
  <si>
    <t>F000616104-000</t>
  </si>
  <si>
    <t>F000616105-000</t>
  </si>
  <si>
    <t>F000616106-000</t>
  </si>
  <si>
    <t>F000616107-000</t>
  </si>
  <si>
    <t>F000616108-000</t>
  </si>
  <si>
    <t>F000616109-000</t>
  </si>
  <si>
    <t>F000616110-000</t>
  </si>
  <si>
    <t>F000616111-000</t>
  </si>
  <si>
    <t>F000616113-000</t>
  </si>
  <si>
    <t>F000616114-000</t>
  </si>
  <si>
    <t>F000616115-000</t>
  </si>
  <si>
    <t>F000616116-000</t>
  </si>
  <si>
    <t>F000616117-000</t>
  </si>
  <si>
    <t>F000616120-000</t>
  </si>
  <si>
    <t>F000616122-000</t>
  </si>
  <si>
    <t>F000616130-000</t>
  </si>
  <si>
    <t>F000616131-000</t>
  </si>
  <si>
    <t>F000616136-000</t>
  </si>
  <si>
    <t>F000616137-000</t>
  </si>
  <si>
    <t>F000616138-000</t>
  </si>
  <si>
    <t>F000616139-000</t>
  </si>
  <si>
    <t>F000616142-000</t>
  </si>
  <si>
    <t>F000616144-000</t>
  </si>
  <si>
    <t>F000616145-000</t>
  </si>
  <si>
    <t>F000616149-000</t>
  </si>
  <si>
    <t>F000616150-000</t>
  </si>
  <si>
    <t>F000616151-000</t>
  </si>
  <si>
    <t>F000616152-000</t>
  </si>
  <si>
    <t>F000616153-000</t>
  </si>
  <si>
    <t>F000616154-000</t>
  </si>
  <si>
    <t>F000616162-000</t>
  </si>
  <si>
    <t>F000616164-000</t>
  </si>
  <si>
    <t>F000616165-000</t>
  </si>
  <si>
    <t>F000616166-000</t>
  </si>
  <si>
    <t>F000616169-000</t>
  </si>
  <si>
    <t>F000616170-000</t>
  </si>
  <si>
    <t>F000616172-000</t>
  </si>
  <si>
    <t>F000616173-000</t>
  </si>
  <si>
    <t>F000616174-000</t>
  </si>
  <si>
    <t>F000616175-000</t>
  </si>
  <si>
    <t>F000616176-000</t>
  </si>
  <si>
    <t>F000616177-000</t>
  </si>
  <si>
    <t>F000616178-000</t>
  </si>
  <si>
    <t>F000616179-000</t>
  </si>
  <si>
    <t>F000616181-000</t>
  </si>
  <si>
    <t>F000616182-000</t>
  </si>
  <si>
    <t>F000616183-000</t>
  </si>
  <si>
    <t>F000616186-000</t>
  </si>
  <si>
    <t>F000616210-000</t>
  </si>
  <si>
    <t>F000616211-000</t>
  </si>
  <si>
    <t>F000616212-000</t>
  </si>
  <si>
    <t>F000616213-000</t>
  </si>
  <si>
    <t>F000616214-000</t>
  </si>
  <si>
    <t>F000616215-000</t>
  </si>
  <si>
    <t>F000616217-000</t>
  </si>
  <si>
    <t>F000616218-000</t>
  </si>
  <si>
    <t>F000616219-000</t>
  </si>
  <si>
    <t>F000616221-000</t>
  </si>
  <si>
    <t>F000616222-000</t>
  </si>
  <si>
    <t>F000616223-000</t>
  </si>
  <si>
    <t>F000616229-000</t>
  </si>
  <si>
    <t>F000616233-000</t>
  </si>
  <si>
    <t>F000616235-000</t>
  </si>
  <si>
    <t>F000616236-000</t>
  </si>
  <si>
    <t>F000616237-000</t>
  </si>
  <si>
    <t>F000616275-000</t>
  </si>
  <si>
    <t>F000616276-000</t>
  </si>
  <si>
    <t>F000616278-000</t>
  </si>
  <si>
    <t>F000616279-000</t>
  </si>
  <si>
    <t>F000616287-000</t>
  </si>
  <si>
    <t>F000616293-000</t>
  </si>
  <si>
    <t>F000616310-000</t>
  </si>
  <si>
    <t>F000616311-000</t>
  </si>
  <si>
    <t>F000616312-000</t>
  </si>
  <si>
    <t>F000616313-000</t>
  </si>
  <si>
    <t>F000616314-000</t>
  </si>
  <si>
    <t>F000616316-000</t>
  </si>
  <si>
    <t>F000616318-000</t>
  </si>
  <si>
    <t>F000616319-000</t>
  </si>
  <si>
    <t>F000616324-000</t>
  </si>
  <si>
    <t>F000616328-000</t>
  </si>
  <si>
    <t>F000616330-000</t>
  </si>
  <si>
    <t>F000616331-000</t>
  </si>
  <si>
    <t>F000616332-000</t>
  </si>
  <si>
    <t>F000616333-000</t>
  </si>
  <si>
    <t>F000616334-000</t>
  </si>
  <si>
    <t>F000616335-000</t>
  </si>
  <si>
    <t>F000616336-000</t>
  </si>
  <si>
    <t>F000616337-000</t>
  </si>
  <si>
    <t>F000616338-000</t>
  </si>
  <si>
    <t>F000616339-000</t>
  </si>
  <si>
    <t>F000616340-000</t>
  </si>
  <si>
    <t>F000616341-000</t>
  </si>
  <si>
    <t>F000616343-000</t>
  </si>
  <si>
    <t>F000616344-000</t>
  </si>
  <si>
    <t>F000616345-000</t>
  </si>
  <si>
    <t>F000616346-000</t>
  </si>
  <si>
    <t>F000616347-000</t>
  </si>
  <si>
    <t>F000616348-000</t>
  </si>
  <si>
    <t>F000616349-000</t>
  </si>
  <si>
    <t>F000616350-000</t>
  </si>
  <si>
    <t>F000616351-000</t>
  </si>
  <si>
    <t>F000616352-000</t>
  </si>
  <si>
    <t>F000616353-000</t>
  </si>
  <si>
    <t>F000616356-000</t>
  </si>
  <si>
    <t>F000616358-000</t>
  </si>
  <si>
    <t>F000616359-000</t>
  </si>
  <si>
    <t>F000616366-000</t>
  </si>
  <si>
    <t>F000616371-000</t>
  </si>
  <si>
    <t>F000616374-000</t>
  </si>
  <si>
    <t>F000616381-000</t>
  </si>
  <si>
    <t>F000616412-000</t>
  </si>
  <si>
    <t>F000616416-000</t>
  </si>
  <si>
    <t>F000616417-000</t>
  </si>
  <si>
    <t>F000616418-000</t>
  </si>
  <si>
    <t>F000616419-000</t>
  </si>
  <si>
    <t>F000616433-000</t>
  </si>
  <si>
    <t>F000616434-000</t>
  </si>
  <si>
    <t>F000616486-000</t>
  </si>
  <si>
    <t>F000616487-000</t>
  </si>
  <si>
    <t>F000617011-000</t>
  </si>
  <si>
    <t>F000617014-000</t>
  </si>
  <si>
    <t>F000617017-000</t>
  </si>
  <si>
    <t>F000617019-000</t>
  </si>
  <si>
    <t>F000617020-000</t>
  </si>
  <si>
    <t>F000617029-000</t>
  </si>
  <si>
    <t>F000617032-000</t>
  </si>
  <si>
    <t>F000617033-000</t>
  </si>
  <si>
    <t>F000617035-000</t>
  </si>
  <si>
    <t>F000617036-000</t>
  </si>
  <si>
    <t>F000617037-000</t>
  </si>
  <si>
    <t>F000617038-000</t>
  </si>
  <si>
    <t>F000617039-000</t>
  </si>
  <si>
    <t>F000617040-000</t>
  </si>
  <si>
    <t>F000617041-000</t>
  </si>
  <si>
    <t>F000617044-000</t>
  </si>
  <si>
    <t>F000617045-000</t>
  </si>
  <si>
    <t>F000617046-000</t>
  </si>
  <si>
    <t>F000617048-000</t>
  </si>
  <si>
    <t>F000617049-000</t>
  </si>
  <si>
    <t>F000617050-000</t>
  </si>
  <si>
    <t>F000617053-000</t>
  </si>
  <si>
    <t>F000617056-000</t>
  </si>
  <si>
    <t>F000617060-000</t>
  </si>
  <si>
    <t>F000617061-000</t>
  </si>
  <si>
    <t>F000617064-000</t>
  </si>
  <si>
    <t>F000617066-000</t>
  </si>
  <si>
    <t>F000617067-000</t>
  </si>
  <si>
    <t>F000617068-000</t>
  </si>
  <si>
    <t>F000617074-000</t>
  </si>
  <si>
    <t>F000617075-000</t>
  </si>
  <si>
    <t>F000617076-000</t>
  </si>
  <si>
    <t>F000618002-000</t>
  </si>
  <si>
    <t>F000618003-000</t>
  </si>
  <si>
    <t>F000619002-000</t>
  </si>
  <si>
    <t>F000619013-000</t>
  </si>
  <si>
    <t>F000619014-000</t>
  </si>
  <si>
    <t>F000619018-000</t>
  </si>
  <si>
    <t>F000619022-000</t>
  </si>
  <si>
    <t>F000619026-000</t>
  </si>
  <si>
    <t>F000619030-000</t>
  </si>
  <si>
    <t>F000619032-000</t>
  </si>
  <si>
    <t>F000619034-000</t>
  </si>
  <si>
    <t>F000619048-000</t>
  </si>
  <si>
    <t>F000619050-000</t>
  </si>
  <si>
    <t>F000619052-000</t>
  </si>
  <si>
    <t>F000619061-000</t>
  </si>
  <si>
    <t>F000619064-000</t>
  </si>
  <si>
    <t>F000619065-000</t>
  </si>
  <si>
    <t>F000619066-000</t>
  </si>
  <si>
    <t>F000619067-000</t>
  </si>
  <si>
    <t>F000619068-000</t>
  </si>
  <si>
    <t>F000619069-000</t>
  </si>
  <si>
    <t>F000619076-000</t>
  </si>
  <si>
    <t>F000619083-000</t>
  </si>
  <si>
    <t>F000619093-000</t>
  </si>
  <si>
    <t>F000619094-000</t>
  </si>
  <si>
    <t>F000619096-000</t>
  </si>
  <si>
    <t>F000620001-000</t>
  </si>
  <si>
    <t>F000620002-000</t>
  </si>
  <si>
    <t>F000620003-000</t>
  </si>
  <si>
    <t>F000620006-000</t>
  </si>
  <si>
    <t>F000620007-000</t>
  </si>
  <si>
    <t>F000620008-000</t>
  </si>
  <si>
    <t>F000620010-000</t>
  </si>
  <si>
    <t>F000620012-000</t>
  </si>
  <si>
    <t>F000620013-000</t>
  </si>
  <si>
    <t>F000620014-000</t>
  </si>
  <si>
    <t>F000620015-000</t>
  </si>
  <si>
    <t>F000620017-000</t>
  </si>
  <si>
    <t>F000620018-000</t>
  </si>
  <si>
    <t>F000620019-000</t>
  </si>
  <si>
    <t>F000620020-000</t>
  </si>
  <si>
    <t>F000620021-000</t>
  </si>
  <si>
    <t>F000620022-000</t>
  </si>
  <si>
    <t>F000620023-000</t>
  </si>
  <si>
    <t>F000620024-000</t>
  </si>
  <si>
    <t>F000620026-000</t>
  </si>
  <si>
    <t>F000620027-000</t>
  </si>
  <si>
    <t>F00062100V-000</t>
  </si>
  <si>
    <t>F00062101U-000</t>
  </si>
  <si>
    <t>F00062101Z-000</t>
  </si>
  <si>
    <t>F00062102G-000</t>
  </si>
  <si>
    <t>F000621984-000</t>
  </si>
  <si>
    <t>F000621992-000</t>
  </si>
  <si>
    <t>F000623004-000</t>
  </si>
  <si>
    <t>F000623005-000</t>
  </si>
  <si>
    <t>F000623007-000</t>
  </si>
  <si>
    <t>F000623009-000</t>
  </si>
  <si>
    <t>F000623015-000</t>
  </si>
  <si>
    <t>F000623019-000</t>
  </si>
  <si>
    <t>F000623020-000</t>
  </si>
  <si>
    <t>F000623028-000</t>
  </si>
  <si>
    <t>F000623030-000</t>
  </si>
  <si>
    <t>F000623031-000</t>
  </si>
  <si>
    <t>F000623032-000</t>
  </si>
  <si>
    <t>F000623033-000</t>
  </si>
  <si>
    <t>F000623035-000</t>
  </si>
  <si>
    <t>F000623037-000</t>
  </si>
  <si>
    <t>F000623039-000</t>
  </si>
  <si>
    <t>F000623041-000</t>
  </si>
  <si>
    <t>F000623042-000</t>
  </si>
  <si>
    <t>F000623045-000</t>
  </si>
  <si>
    <t>F000623049-000</t>
  </si>
  <si>
    <t>F000623051-000</t>
  </si>
  <si>
    <t>F000623054-000</t>
  </si>
  <si>
    <t>F000623061-000</t>
  </si>
  <si>
    <t>F000623062-000</t>
  </si>
  <si>
    <t>F000623064-000</t>
  </si>
  <si>
    <t>F000623067-000</t>
  </si>
  <si>
    <t>F000623068-000</t>
  </si>
  <si>
    <t>F000623069-000</t>
  </si>
  <si>
    <t>F000623074-000</t>
  </si>
  <si>
    <t>F000623075-000</t>
  </si>
  <si>
    <t>F000623076-000</t>
  </si>
  <si>
    <t>F000623077-000</t>
  </si>
  <si>
    <t>F000624008-000</t>
  </si>
  <si>
    <t>F000624014-000</t>
  </si>
  <si>
    <t>F000624015-000</t>
  </si>
  <si>
    <t>F000624018-000</t>
  </si>
  <si>
    <t>F000624025-000</t>
  </si>
  <si>
    <t>F000624026-000</t>
  </si>
  <si>
    <t>F000624044-000</t>
  </si>
  <si>
    <t>F000624048-000</t>
  </si>
  <si>
    <t>F000624050-000</t>
  </si>
  <si>
    <t>F000624051-000</t>
  </si>
  <si>
    <t>F000624052-000</t>
  </si>
  <si>
    <t>F000624053-000</t>
  </si>
  <si>
    <t>F000624058-000</t>
  </si>
  <si>
    <t>F000624059-000</t>
  </si>
  <si>
    <t>F000624066-000</t>
  </si>
  <si>
    <t>F000624067-000</t>
  </si>
  <si>
    <t>F000631071-000</t>
  </si>
  <si>
    <t>F000631072-000</t>
  </si>
  <si>
    <t>F000631078-000</t>
  </si>
  <si>
    <t>F000632031-000</t>
  </si>
  <si>
    <t>F000632057-000</t>
  </si>
  <si>
    <t>F000632059-000</t>
  </si>
  <si>
    <t>F000632293-000</t>
  </si>
  <si>
    <t>F000632296-000</t>
  </si>
  <si>
    <t>F000632297-000</t>
  </si>
  <si>
    <t>F000633006-000</t>
  </si>
  <si>
    <t>F000633012-000</t>
  </si>
  <si>
    <t>F000633016-000</t>
  </si>
  <si>
    <t>F000633029-000</t>
  </si>
  <si>
    <t>F000633030-000</t>
  </si>
  <si>
    <t>F000633038-000</t>
  </si>
  <si>
    <t>F000633039-000</t>
  </si>
  <si>
    <t>F000633040-000</t>
  </si>
  <si>
    <t>F000633041-000</t>
  </si>
  <si>
    <t>F000633044-000</t>
  </si>
  <si>
    <t>F000633055-000</t>
  </si>
  <si>
    <t>F000633057-000</t>
  </si>
  <si>
    <t>F000634050-000</t>
  </si>
  <si>
    <t>F000634145-000</t>
  </si>
  <si>
    <t>F000634146-000</t>
  </si>
  <si>
    <t>F000635045-000</t>
  </si>
  <si>
    <t>F000635074-000</t>
  </si>
  <si>
    <t>F000635092-000</t>
  </si>
  <si>
    <t>F000635095-000</t>
  </si>
  <si>
    <t>F000635117-000</t>
  </si>
  <si>
    <t>F000635118-000</t>
  </si>
  <si>
    <t>F000635152-000</t>
  </si>
  <si>
    <t>F000635161-000</t>
  </si>
  <si>
    <t>F000635165-000</t>
  </si>
  <si>
    <t>F000635180-000</t>
  </si>
  <si>
    <t>F000635186-000</t>
  </si>
  <si>
    <t>F000635207-000</t>
  </si>
  <si>
    <t>F000635217-000</t>
  </si>
  <si>
    <t>F000635232-000</t>
  </si>
  <si>
    <t>F000635236-000</t>
  </si>
  <si>
    <t>F000635239-000</t>
  </si>
  <si>
    <t>F000635240-000</t>
  </si>
  <si>
    <t>F000635242-000</t>
  </si>
  <si>
    <t>F000635245-000</t>
  </si>
  <si>
    <t>F000635246-000</t>
  </si>
  <si>
    <t>F000635252-000</t>
  </si>
  <si>
    <t>F000635263-000</t>
  </si>
  <si>
    <t>F000635264-000</t>
  </si>
  <si>
    <t>F000635276-000</t>
  </si>
  <si>
    <t>F000635317-000</t>
  </si>
  <si>
    <t>F000635394-000</t>
  </si>
  <si>
    <t>F000635416-000</t>
  </si>
  <si>
    <t>F000635453-000</t>
  </si>
  <si>
    <t>F000635459-000</t>
  </si>
  <si>
    <t>F000635461-000</t>
  </si>
  <si>
    <t>F000635463-000</t>
  </si>
  <si>
    <t>F000635465-000</t>
  </si>
  <si>
    <t>F000635702-000</t>
  </si>
  <si>
    <t>F000635712-000</t>
  </si>
  <si>
    <t>F000635713-000</t>
  </si>
  <si>
    <t>F000640007-000</t>
  </si>
  <si>
    <t>F000640008-000</t>
  </si>
  <si>
    <t>F002G31025-000</t>
  </si>
  <si>
    <t>F002G31065-000</t>
  </si>
  <si>
    <t>F002G31245-000</t>
  </si>
  <si>
    <t>F012200000-000</t>
  </si>
  <si>
    <t>F0122100BA-000</t>
  </si>
  <si>
    <t>F0122100IN-000</t>
  </si>
  <si>
    <t>F012224856-000</t>
  </si>
  <si>
    <t>F0122248CA-000</t>
  </si>
  <si>
    <t>F0122248IN-000</t>
  </si>
  <si>
    <t>F012225500-000</t>
  </si>
  <si>
    <t>F0122255CR-000</t>
  </si>
  <si>
    <t>F0122330BA-000</t>
  </si>
  <si>
    <t>F0122330CA-000</t>
  </si>
  <si>
    <t>F0122330CR-000</t>
  </si>
  <si>
    <t>F0122330CT-000</t>
  </si>
  <si>
    <t>F0122330IN-000</t>
  </si>
  <si>
    <t>F0122330MO-000</t>
  </si>
  <si>
    <t>F0122335CR-000</t>
  </si>
  <si>
    <t>F0122335IN-000</t>
  </si>
  <si>
    <t>F0122335MO-000</t>
  </si>
  <si>
    <t>F012235500-000</t>
  </si>
  <si>
    <t>F0122355BA-000</t>
  </si>
  <si>
    <t>F0122355CR-000</t>
  </si>
  <si>
    <t>F0122355CT-000</t>
  </si>
  <si>
    <t>F0122355IN-000</t>
  </si>
  <si>
    <t>F012245500-000</t>
  </si>
  <si>
    <t>F0122455BA-000</t>
  </si>
  <si>
    <t>F0122455CR-000</t>
  </si>
  <si>
    <t>F0122455IN-000</t>
  </si>
  <si>
    <t>F0128003CA-000</t>
  </si>
  <si>
    <t>F0128003MO-000</t>
  </si>
  <si>
    <t>F016102096-000</t>
  </si>
  <si>
    <t>F016102289-000</t>
  </si>
  <si>
    <t>F016102328-000</t>
  </si>
  <si>
    <t>F016102356-000</t>
  </si>
  <si>
    <t>F016102357-000</t>
  </si>
  <si>
    <t>F016102358-000</t>
  </si>
  <si>
    <t>F016102365-000</t>
  </si>
  <si>
    <t>F016102390-000</t>
  </si>
  <si>
    <t>F016102403-000</t>
  </si>
  <si>
    <t>F016102407-000</t>
  </si>
  <si>
    <t>F016102409-000</t>
  </si>
  <si>
    <t>F016102414-000</t>
  </si>
  <si>
    <t>F016102417-000</t>
  </si>
  <si>
    <t>F016102418-000</t>
  </si>
  <si>
    <t>F016102419-000</t>
  </si>
  <si>
    <t>F016102420-000</t>
  </si>
  <si>
    <t>F016102421-000</t>
  </si>
  <si>
    <t>F016102422-000</t>
  </si>
  <si>
    <t>F016102423-000</t>
  </si>
  <si>
    <t>F016102424-000</t>
  </si>
  <si>
    <t>F016102425-000</t>
  </si>
  <si>
    <t>F016102427-000</t>
  </si>
  <si>
    <t>F016102428-000</t>
  </si>
  <si>
    <t>F016102429-000</t>
  </si>
  <si>
    <t>F016102430-000</t>
  </si>
  <si>
    <t>F016102431-000</t>
  </si>
  <si>
    <t>F016102432-000</t>
  </si>
  <si>
    <t>F016102433-000</t>
  </si>
  <si>
    <t>F016102435-000</t>
  </si>
  <si>
    <t>F016102436-000</t>
  </si>
  <si>
    <t>F016102437-000</t>
  </si>
  <si>
    <t>F016102439-000</t>
  </si>
  <si>
    <t>F016102454-000</t>
  </si>
  <si>
    <t>F016102455-000</t>
  </si>
  <si>
    <t>F016102456-000</t>
  </si>
  <si>
    <t>F016102471-000</t>
  </si>
  <si>
    <t>F016102474-000</t>
  </si>
  <si>
    <t>F016102477-000</t>
  </si>
  <si>
    <t>F016102483-000</t>
  </si>
  <si>
    <t>F016102490-000</t>
  </si>
  <si>
    <t>F016102496-000</t>
  </si>
  <si>
    <t>F016102511-000</t>
  </si>
  <si>
    <t>F016102514-000</t>
  </si>
  <si>
    <t>F016102519-000</t>
  </si>
  <si>
    <t>F016102530-000</t>
  </si>
  <si>
    <t>F016102642-000</t>
  </si>
  <si>
    <t>F016102658-000</t>
  </si>
  <si>
    <t>F016102666-000</t>
  </si>
  <si>
    <t>F016102667-000</t>
  </si>
  <si>
    <t>F016102703-000</t>
  </si>
  <si>
    <t>F016102751-000</t>
  </si>
  <si>
    <t>F016102772-000</t>
  </si>
  <si>
    <t>F016102782-000</t>
  </si>
  <si>
    <t>F016102795-000</t>
  </si>
  <si>
    <t>F016103136-000</t>
  </si>
  <si>
    <t>F016800012-000</t>
  </si>
  <si>
    <t>F016L37433-000</t>
  </si>
  <si>
    <t>F016L59335-000</t>
  </si>
  <si>
    <t>F016L61536-000</t>
  </si>
  <si>
    <t>F016L61773-000</t>
  </si>
  <si>
    <t>F016L62216-000</t>
  </si>
  <si>
    <t>F016L62217-000</t>
  </si>
  <si>
    <t>F016L62270-000</t>
  </si>
  <si>
    <t>F016L62280-000</t>
  </si>
  <si>
    <t>F016L62282-000</t>
  </si>
  <si>
    <t>F016L62292-000</t>
  </si>
  <si>
    <t>F016L62299-000</t>
  </si>
  <si>
    <t>F016L62300-000</t>
  </si>
  <si>
    <t>F016L62352-000</t>
  </si>
  <si>
    <t>F016L62356-000</t>
  </si>
  <si>
    <t>F016L62466-000</t>
  </si>
  <si>
    <t>F016L62486-000</t>
  </si>
  <si>
    <t>F016L62699-000</t>
  </si>
  <si>
    <t>F016L62806-000</t>
  </si>
  <si>
    <t>F016L65676-000</t>
  </si>
  <si>
    <t>F016L80968-000</t>
  </si>
  <si>
    <t>F016T49902-000</t>
  </si>
  <si>
    <t xml:space="preserve">1604010BK7-000 </t>
  </si>
  <si>
    <t>LINTERNA METALICA LED COMPACTA ROVMLHV32H INCLUYE PILAS</t>
  </si>
  <si>
    <t>SALVACAIDAS PROLONGACION PARA T4 ESLINGAR</t>
  </si>
  <si>
    <t>AMOLADORA DEWALT 7" DWE497 2600 W</t>
  </si>
  <si>
    <t>LANZA PARA HIDROLAVADORA MMQ HD2200</t>
  </si>
  <si>
    <t xml:space="preserve">SEPARADOR CUÑA CERAMICA 1 A 7 MM x 200 U </t>
  </si>
  <si>
    <t>ELECTRODOS ESAB OK 2,0 MM (46,13) BP0620 / 303999</t>
  </si>
  <si>
    <t>20 36 104</t>
  </si>
  <si>
    <t>MANGUERA RIEGO 1/2" X 15 MTS ANTI COLAPSO SOLYTAC HEFER SLY011215 / ESY1215</t>
  </si>
  <si>
    <t>MANGUERA RIEGO 1/2" X 25 MTS ANTI COLAPSO SOLYTAC HEFER SLY011225 / ESY1225</t>
  </si>
  <si>
    <t>101 104</t>
  </si>
  <si>
    <t>MANGUERA RIEGO 3/4" X 25 MTS ANTI COLAPSO SOLYTAC HEFER SLY011925 / ESY1925</t>
  </si>
  <si>
    <t>MANGUERA RIEGO 3/4" X 50 MTS ANTI COLAPSO SOLYTAC HEFER SLY011950 / ESY1950</t>
  </si>
  <si>
    <t>MANGUERA RIEGO 1" X 25 MTS ANTI COLAPSO SOLYTAC HEFER SLY012525 / ESY2525</t>
  </si>
  <si>
    <t>BAHCO PINZA UNIVERSAL 205 2678G200</t>
  </si>
  <si>
    <t>CANDADO 50 MM ECO 50ECOEX</t>
  </si>
  <si>
    <t>CANDADO 60 MM ECO 60ECOEX</t>
  </si>
  <si>
    <t>PINCELETA BREMEN N° 40 BR7766</t>
  </si>
  <si>
    <t>PROTECTOR PARA HIERRO P8/25 x 400 UNIDADES reiner ($ 220 C/U)</t>
  </si>
  <si>
    <t>12377 iturria 15/2</t>
  </si>
  <si>
    <t>16041 iturria 15/2</t>
  </si>
  <si>
    <t>NIVEL LASER DEWALT DW089 CG</t>
  </si>
  <si>
    <t>FICHA HEMBRA TRIFASICA IP44 C/PASACABLE 32A 62941 - 60464</t>
  </si>
  <si>
    <t>SOLDADORA SHIMURA INVERTER SDSI205LD 160 AMP</t>
  </si>
  <si>
    <t>SOLDADORA SHIMURA INVERTER SDSI255LD 250 AMP</t>
  </si>
  <si>
    <t>MARTILLO PERF. SHIMURA SH-RH36K 1800 W</t>
  </si>
  <si>
    <t>SILICONA MULTIUSO TRANSPARENTE TEKBOND 280 ML 326982 / FISCHER</t>
  </si>
  <si>
    <t>12 21 36</t>
  </si>
  <si>
    <t>ALICATE OBLICUO INECO 7" HHDCP28180</t>
  </si>
  <si>
    <t>HOJA DE SIERRA ISARD 9" x 36 D 080405</t>
  </si>
  <si>
    <t>DISCO BREMEN 4 1/2" CORTE HIERRO BR7418</t>
  </si>
  <si>
    <t>ALICATE OBLICUO INECO 8" HMFCP28200</t>
  </si>
  <si>
    <t>CUTTER INECO PLASTICO HKNS16001</t>
  </si>
  <si>
    <t>MARTILLO GALPONERO INECO HBPHS8016</t>
  </si>
  <si>
    <t>REMACHADORA INECO 10,5" HRS108</t>
  </si>
  <si>
    <t>SIERRA CALADORA CAT DX54 750 w</t>
  </si>
  <si>
    <t>HACHA CAZADOR 800 GR KLD200 KLD201</t>
  </si>
  <si>
    <t>SOPLASPIRADORA STAYER SYRSP700 700 W</t>
  </si>
  <si>
    <t>FICHA HEMBRA MONOFASICA KALOP 16 AMP KL48041 / 2813</t>
  </si>
  <si>
    <t>FICHA MACHO MONOFASICA KALOP 16 AMP KL48001 / 2802</t>
  </si>
  <si>
    <t>BATERIA CAT 18V 2,0 AH LI-ION DXB2</t>
  </si>
  <si>
    <t>DESTORNILLADOR INECO 13 EN 1 AKISD1208</t>
  </si>
  <si>
    <t>DESTORNILLADOR PHILLIPS INECO 2X125 HSDSPH2125</t>
  </si>
  <si>
    <t>DESTORNILLADOR INECO 24 PCS HKSDB0248</t>
  </si>
  <si>
    <t>DISCO BREMEN 4 1/2" DIAM. SEGMENTADO BR4526</t>
  </si>
  <si>
    <t>DISCO BREMEN 7" DIAM. SEGMENTADO BR4529</t>
  </si>
  <si>
    <t>DISCO BREMEN 9" DIAM. SEGMENTADO BR4531</t>
  </si>
  <si>
    <t>MECHA EZETA ACERO RAPIDO 4 MM EZ0400</t>
  </si>
  <si>
    <t>MECHA EZETA ACERO RAPIDO 8 MM EZ0800</t>
  </si>
  <si>
    <t>MECHA EZETA ACERO RAPIDO 10 MM EZ1000</t>
  </si>
  <si>
    <t>MECHA EZETA ACERO RAPIDO 12 MM EZ1200</t>
  </si>
  <si>
    <t>PINCEL TUCAN N° 25 TUC30025</t>
  </si>
  <si>
    <t>ESTRIBERA DOBLADORA H/20 MM A RODILLOS CORTRIFIL 16 A 20 MM</t>
  </si>
  <si>
    <t>AMOLADORA DOWEN PAGIO 4 1/2" 1050 WATTS 9993220</t>
  </si>
  <si>
    <t>50 motores</t>
  </si>
  <si>
    <t>HACHA DE MANO BREMEN 7064</t>
  </si>
  <si>
    <t>CARBON XSE 118 MARTILLO EINHELL 10 KG - SIERRA CIRCULAR</t>
  </si>
  <si>
    <t>CARBON XSE 120 A/B AMOLADORA MAKITA 7" Y 9"</t>
  </si>
  <si>
    <t>DISPOSITIVO ANTITRAUMA HA203</t>
  </si>
  <si>
    <t>FAJA LUMBAR OMBU</t>
  </si>
  <si>
    <t>MUELLE DE COMPRESION 1130A 1614614009</t>
  </si>
  <si>
    <t>MANGUERA RIEGO 3/4" X 25 MTS VANESA 10015</t>
  </si>
  <si>
    <t>MANGUERA RIEGO 1/2" X 25 MTS VANESA 10007 / 10003</t>
  </si>
  <si>
    <t>REPUESTOS DEWALT (VIEJO WATT)</t>
  </si>
  <si>
    <t>INTERRUPTOR DEWALT 4557/59/77/79/97/99 N142959</t>
  </si>
  <si>
    <t>INDUCIDO 25980 T4 N500466</t>
  </si>
  <si>
    <t>INDUCIDO 28490/91/DWE490/91 N467980</t>
  </si>
  <si>
    <t>INDUCIDO DWE560 N178804</t>
  </si>
  <si>
    <t>CARBON DWE560 KIT N179043</t>
  </si>
  <si>
    <t>CARBON KIT DWE4557/59/99/DWE490/91/96/99 N253999</t>
  </si>
  <si>
    <t>CARBON KIT D25899/90/940960/980 588698-00</t>
  </si>
  <si>
    <t>INTERRUPTOR D25899/900 N485853</t>
  </si>
  <si>
    <t>INDUCIDO D25899RPL1007541-00 N253999</t>
  </si>
  <si>
    <t>PISTON KIT D25900/901/899 579779-01</t>
  </si>
  <si>
    <t>CARRETILLA TRAMONTINA EXTRAFUL 65 L 77714235</t>
  </si>
  <si>
    <t>PALA ANCHA KLD ESTAMPADA KLDPA 4550</t>
  </si>
  <si>
    <t>RODAMIENTO 4902 JAPONES</t>
  </si>
  <si>
    <t>RODAMIENTO 4904 JAPONES</t>
  </si>
  <si>
    <t>ZAPATILLA ATT SANTA FE</t>
  </si>
  <si>
    <t>GUANTES LATEX INDUSTRIAL ZC 300950720497 / 300950720045</t>
  </si>
  <si>
    <t>MARTILLO GOMA Y PLASTICO INECO HRPH8140</t>
  </si>
  <si>
    <t>DETECTOR DE VOLTAJE VD10003</t>
  </si>
  <si>
    <t>CAJA DE HERRAMIENTAS MANUALES 120 PIEZAS HKTHP21201</t>
  </si>
  <si>
    <t>MAZA 2000 GRS LyL LYL2000</t>
  </si>
  <si>
    <t>HORMIGONERA VOLTEO 250 LTS IMER MOTOR MONOFASICO</t>
  </si>
  <si>
    <t>SEPARADOR 8/15 x 2500 (6 / 8 / 10 / 12) reiner ($ 25 C/U)</t>
  </si>
  <si>
    <t>SEPARADOR 8/25 x 1000 (6 / 8 / 10 / 12) reiner ($ 50 C/U)</t>
  </si>
  <si>
    <t>SEPARADOR RAPI 20 x 1500 U (6 a 12) reiner ($ 45 C/U)</t>
  </si>
  <si>
    <t>BARBIJO TAPABOCA BLANCO CONICO</t>
  </si>
  <si>
    <t>REGLA DE ALUMINIO 3 MTS 50X50" PERFIMET</t>
  </si>
  <si>
    <t>COLA DE AMARRE CV21 EA</t>
  </si>
  <si>
    <t>ESPUMA DE POLIURETANO FISCHER 500 ML 947272</t>
  </si>
  <si>
    <t>CARBON XSE 267 - TALADRO MAKITA 1640</t>
  </si>
  <si>
    <t>MANGUERA RIEGO 1" X 25 MTS REF VANESA 10025 / 10198</t>
  </si>
  <si>
    <t>MECHA TWILL ACERO RAPIDO 11,50 MM 111443</t>
  </si>
  <si>
    <t>MECHA TWILL ACERO RAPIDO 7,50 MM 111427</t>
  </si>
  <si>
    <t>MECHA TWILL ACERO RAPIDO 5 MM 111417</t>
  </si>
  <si>
    <t>MECHA TWILL ACERO RAPIDO 5,50 MM 111419</t>
  </si>
  <si>
    <t>MECHA TWILL ACERO RAPIDO 4,50 MM 111415</t>
  </si>
  <si>
    <t>MECHA TWILL ACERO RAPIDO 3 MM 111409</t>
  </si>
  <si>
    <t>SIERRA CIRCULAR BOSCH GKS 18V-57 GC INALAMBRICA SIN BATERIA 06016A22E0</t>
  </si>
  <si>
    <t>HORMIGONERA 130 LTS "MAQUIOBRAS-POLO" C/MOTOR 1HP RUEDA RAYOS</t>
  </si>
  <si>
    <t>RODILLO PARA PINTAR LANA 22 CM ANT0022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</si>
</sst>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_ &quot;$&quot;\ * #,##0.00_ ;_ &quot;$&quot;\ * \-#,##0.00_ ;_ &quot;$&quot;\ * &quot;-&quot;??_ ;_ @_ "/>
    <numFmt numFmtId="168" formatCode="dd/mm/yyyy;@"/>
    <numFmt numFmtId="169" formatCode="_ * #,##0.00_ ;_ * \-#,##0.00_ ;_ * &quot;-&quot;??_ ;_ @_ "/>
    <numFmt numFmtId="170" formatCode="*0##\-###"/>
    <numFmt numFmtId="171" formatCode="0.0%"/>
    <numFmt numFmtId="172" formatCode="_-* #,##0.0000_-;\-* #,##0.0000_-;_-* &quot;-&quot;??_-;_-@_-"/>
    <numFmt numFmtId="173" formatCode="_-* #,##0.00\ _€_-;\-* #,##0.00\ _€_-;_-* &quot;-&quot;??\ _€_-;_-@_-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color indexed="60"/>
      <name val="Arial"/>
      <family val="2"/>
    </font>
    <font>
      <b/>
      <sz val="8"/>
      <color indexed="16"/>
      <name val="Arial"/>
      <family val="2"/>
    </font>
    <font>
      <b/>
      <sz val="8"/>
      <color indexed="56"/>
      <name val="Arial"/>
      <family val="2"/>
    </font>
    <font>
      <sz val="8"/>
      <color theme="1"/>
      <name val="Calibri"/>
      <family val="2"/>
      <scheme val="minor"/>
    </font>
    <font>
      <b/>
      <sz val="12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2"/>
      <color indexed="8"/>
      <name val="Arial"/>
      <family val="2"/>
    </font>
    <font>
      <sz val="12"/>
      <color indexed="10"/>
      <name val="Arial"/>
      <family val="2"/>
    </font>
    <font>
      <b/>
      <sz val="10"/>
      <color rgb="FFFF000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0"/>
      <color indexed="10"/>
      <name val="Arial"/>
      <family val="2"/>
    </font>
    <font>
      <sz val="10"/>
      <color rgb="FF00B050"/>
      <name val="Arial"/>
      <family val="2"/>
    </font>
    <font>
      <u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2"/>
      <color rgb="FF00B050"/>
      <name val="Arial"/>
      <family val="2"/>
    </font>
    <font>
      <sz val="10"/>
      <color theme="0"/>
      <name val="Arial"/>
      <family val="2"/>
    </font>
    <font>
      <sz val="10"/>
      <color indexed="12"/>
      <name val="Arial"/>
      <family val="2"/>
    </font>
    <font>
      <b/>
      <sz val="12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Arial"/>
      <family val="2"/>
    </font>
    <font>
      <sz val="8"/>
      <name val="Arial 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7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indexed="9"/>
      <name val="Arial"/>
      <family val="2"/>
    </font>
    <font>
      <b/>
      <sz val="8"/>
      <name val="Arial"/>
      <family val="2"/>
    </font>
    <font>
      <b/>
      <sz val="8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theme="0"/>
      <name val="Arial"/>
      <family val="2"/>
    </font>
    <font>
      <b/>
      <sz val="8"/>
      <color indexed="9"/>
      <name val="Arial"/>
      <family val="2"/>
    </font>
    <font>
      <sz val="10"/>
      <name val="Arial"/>
      <family val="2"/>
      <charset val="177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theme="0"/>
      <name val="Arial"/>
      <family val="2"/>
    </font>
    <font>
      <b/>
      <sz val="18"/>
      <color theme="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65"/>
        <bgColor theme="0"/>
      </patternFill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theme="0"/>
      </patternFill>
    </fill>
    <fill>
      <patternFill patternType="solid">
        <fgColor theme="5" tint="0.79998168889431442"/>
        <bgColor theme="0"/>
      </patternFill>
    </fill>
    <fill>
      <patternFill patternType="solid">
        <fgColor theme="1"/>
        <bgColor theme="0"/>
      </patternFill>
    </fill>
    <fill>
      <patternFill patternType="solid">
        <fgColor theme="0" tint="-0.249977111117893"/>
        <bgColor theme="0"/>
      </patternFill>
    </fill>
    <fill>
      <patternFill patternType="solid">
        <fgColor rgb="FFFF0000"/>
        <bgColor theme="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2060"/>
        <bgColor indexed="64"/>
      </patternFill>
    </fill>
    <fill>
      <patternFill patternType="solid">
        <fgColor rgb="FFE20015"/>
        <bgColor indexed="64"/>
      </patternFill>
    </fill>
    <fill>
      <patternFill patternType="solid">
        <fgColor rgb="FF00569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3" fillId="0" borderId="0"/>
    <xf numFmtId="0" fontId="1" fillId="0" borderId="0"/>
    <xf numFmtId="0" fontId="3" fillId="0" borderId="0"/>
    <xf numFmtId="0" fontId="3" fillId="0" borderId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55" fillId="0" borderId="0"/>
    <xf numFmtId="0" fontId="56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23" fillId="0" borderId="0"/>
    <xf numFmtId="9" fontId="23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</cellStyleXfs>
  <cellXfs count="348">
    <xf numFmtId="0" fontId="0" fillId="0" borderId="0" xfId="0"/>
    <xf numFmtId="1" fontId="4" fillId="2" borderId="0" xfId="1" applyNumberFormat="1" applyFont="1" applyFill="1" applyAlignment="1">
      <alignment horizontal="left" vertical="center"/>
    </xf>
    <xf numFmtId="1" fontId="4" fillId="2" borderId="0" xfId="4" applyNumberFormat="1" applyFont="1" applyFill="1" applyAlignment="1">
      <alignment horizontal="left" vertical="center"/>
    </xf>
    <xf numFmtId="1" fontId="4" fillId="2" borderId="0" xfId="3" applyNumberFormat="1" applyFont="1" applyFill="1" applyAlignment="1">
      <alignment horizontal="left" vertical="center"/>
    </xf>
    <xf numFmtId="1" fontId="4" fillId="3" borderId="0" xfId="3" applyNumberFormat="1" applyFont="1" applyFill="1" applyAlignment="1">
      <alignment horizontal="left" vertical="center"/>
    </xf>
    <xf numFmtId="1" fontId="5" fillId="5" borderId="1" xfId="1" applyNumberFormat="1" applyFont="1" applyFill="1" applyBorder="1" applyAlignment="1">
      <alignment horizontal="center" vertical="center"/>
    </xf>
    <xf numFmtId="168" fontId="3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169" fontId="0" fillId="0" borderId="0" xfId="0" applyNumberFormat="1"/>
    <xf numFmtId="168" fontId="0" fillId="0" borderId="0" xfId="0" applyNumberFormat="1"/>
    <xf numFmtId="165" fontId="3" fillId="7" borderId="0" xfId="6" applyFont="1" applyFill="1"/>
    <xf numFmtId="165" fontId="0" fillId="0" borderId="0" xfId="6" applyFont="1"/>
    <xf numFmtId="49" fontId="12" fillId="8" borderId="6" xfId="0" applyNumberFormat="1" applyFont="1" applyFill="1" applyBorder="1" applyAlignment="1">
      <alignment horizontal="center"/>
    </xf>
    <xf numFmtId="169" fontId="13" fillId="8" borderId="7" xfId="0" applyNumberFormat="1" applyFont="1" applyFill="1" applyBorder="1" applyAlignment="1">
      <alignment horizontal="right"/>
    </xf>
    <xf numFmtId="169" fontId="0" fillId="8" borderId="6" xfId="0" applyNumberFormat="1" applyFill="1" applyBorder="1"/>
    <xf numFmtId="169" fontId="12" fillId="8" borderId="6" xfId="0" applyNumberFormat="1" applyFont="1" applyFill="1" applyBorder="1"/>
    <xf numFmtId="168" fontId="0" fillId="8" borderId="6" xfId="0" applyNumberFormat="1" applyFill="1" applyBorder="1"/>
    <xf numFmtId="169" fontId="12" fillId="8" borderId="7" xfId="0" applyNumberFormat="1" applyFont="1" applyFill="1" applyBorder="1" applyAlignment="1">
      <alignment horizontal="right"/>
    </xf>
    <xf numFmtId="169" fontId="12" fillId="8" borderId="6" xfId="0" applyNumberFormat="1" applyFont="1" applyFill="1" applyBorder="1" applyAlignment="1">
      <alignment horizontal="center"/>
    </xf>
    <xf numFmtId="169" fontId="13" fillId="8" borderId="6" xfId="0" applyNumberFormat="1" applyFont="1" applyFill="1" applyBorder="1" applyAlignment="1">
      <alignment horizontal="center"/>
    </xf>
    <xf numFmtId="49" fontId="14" fillId="0" borderId="6" xfId="0" applyNumberFormat="1" applyFont="1" applyBorder="1" applyAlignment="1">
      <alignment horizontal="left"/>
    </xf>
    <xf numFmtId="169" fontId="10" fillId="0" borderId="6" xfId="0" applyNumberFormat="1" applyFont="1" applyBorder="1"/>
    <xf numFmtId="169" fontId="15" fillId="0" borderId="6" xfId="0" applyNumberFormat="1" applyFont="1" applyBorder="1" applyAlignment="1">
      <alignment horizontal="center"/>
    </xf>
    <xf numFmtId="168" fontId="16" fillId="0" borderId="6" xfId="0" applyNumberFormat="1" applyFont="1" applyBorder="1" applyAlignment="1">
      <alignment horizontal="center"/>
    </xf>
    <xf numFmtId="165" fontId="17" fillId="7" borderId="0" xfId="6" applyFont="1" applyFill="1"/>
    <xf numFmtId="165" fontId="0" fillId="0" borderId="0" xfId="6" applyFont="1" applyFill="1"/>
    <xf numFmtId="165" fontId="12" fillId="0" borderId="0" xfId="6" applyFont="1" applyFill="1"/>
    <xf numFmtId="169" fontId="18" fillId="0" borderId="6" xfId="6" applyNumberFormat="1" applyFont="1" applyFill="1" applyBorder="1" applyAlignment="1">
      <alignment horizontal="center"/>
    </xf>
    <xf numFmtId="49" fontId="14" fillId="0" borderId="6" xfId="0" applyNumberFormat="1" applyFont="1" applyBorder="1"/>
    <xf numFmtId="169" fontId="19" fillId="0" borderId="6" xfId="0" applyNumberFormat="1" applyFont="1" applyBorder="1"/>
    <xf numFmtId="165" fontId="12" fillId="0" borderId="0" xfId="6" applyFont="1"/>
    <xf numFmtId="165" fontId="21" fillId="0" borderId="0" xfId="6" applyFont="1"/>
    <xf numFmtId="165" fontId="3" fillId="0" borderId="0" xfId="6" applyFont="1"/>
    <xf numFmtId="169" fontId="22" fillId="0" borderId="6" xfId="0" applyNumberFormat="1" applyFont="1" applyBorder="1"/>
    <xf numFmtId="165" fontId="17" fillId="0" borderId="0" xfId="6" applyFont="1"/>
    <xf numFmtId="0" fontId="22" fillId="0" borderId="6" xfId="0" applyFont="1" applyBorder="1"/>
    <xf numFmtId="49" fontId="14" fillId="4" borderId="6" xfId="0" applyNumberFormat="1" applyFont="1" applyFill="1" applyBorder="1"/>
    <xf numFmtId="165" fontId="20" fillId="0" borderId="0" xfId="6" applyFont="1"/>
    <xf numFmtId="165" fontId="20" fillId="7" borderId="0" xfId="6" applyFont="1" applyFill="1"/>
    <xf numFmtId="165" fontId="23" fillId="4" borderId="0" xfId="6" applyFont="1" applyFill="1"/>
    <xf numFmtId="168" fontId="3" fillId="0" borderId="6" xfId="0" applyNumberFormat="1" applyFont="1" applyBorder="1" applyAlignment="1">
      <alignment horizontal="center"/>
    </xf>
    <xf numFmtId="169" fontId="10" fillId="11" borderId="7" xfId="0" applyNumberFormat="1" applyFont="1" applyFill="1" applyBorder="1" applyAlignment="1">
      <alignment horizontal="right"/>
    </xf>
    <xf numFmtId="165" fontId="23" fillId="0" borderId="0" xfId="6" applyFont="1"/>
    <xf numFmtId="165" fontId="3" fillId="11" borderId="0" xfId="6" applyFont="1" applyFill="1"/>
    <xf numFmtId="169" fontId="14" fillId="0" borderId="6" xfId="0" applyNumberFormat="1" applyFont="1" applyBorder="1"/>
    <xf numFmtId="165" fontId="12" fillId="0" borderId="0" xfId="6" applyFont="1" applyAlignment="1">
      <alignment horizontal="center"/>
    </xf>
    <xf numFmtId="165" fontId="3" fillId="0" borderId="0" xfId="6" applyFont="1" applyAlignment="1">
      <alignment horizontal="center"/>
    </xf>
    <xf numFmtId="165" fontId="12" fillId="7" borderId="0" xfId="6" applyFont="1" applyFill="1"/>
    <xf numFmtId="169" fontId="14" fillId="0" borderId="0" xfId="0" applyNumberFormat="1" applyFont="1"/>
    <xf numFmtId="169" fontId="10" fillId="0" borderId="6" xfId="6" applyNumberFormat="1" applyFont="1" applyBorder="1" applyAlignment="1">
      <alignment horizontal="center"/>
    </xf>
    <xf numFmtId="165" fontId="25" fillId="0" borderId="0" xfId="6" applyFont="1"/>
    <xf numFmtId="169" fontId="12" fillId="0" borderId="6" xfId="0" applyNumberFormat="1" applyFont="1" applyBorder="1"/>
    <xf numFmtId="165" fontId="26" fillId="0" borderId="0" xfId="6" applyFont="1"/>
    <xf numFmtId="165" fontId="3" fillId="4" borderId="0" xfId="6" applyFont="1" applyFill="1"/>
    <xf numFmtId="165" fontId="20" fillId="4" borderId="0" xfId="6" applyFont="1" applyFill="1"/>
    <xf numFmtId="14" fontId="0" fillId="0" borderId="6" xfId="0" applyNumberFormat="1" applyBorder="1"/>
    <xf numFmtId="165" fontId="0" fillId="0" borderId="6" xfId="6" applyFont="1" applyBorder="1"/>
    <xf numFmtId="165" fontId="27" fillId="0" borderId="0" xfId="6" applyFont="1"/>
    <xf numFmtId="49" fontId="15" fillId="0" borderId="6" xfId="0" applyNumberFormat="1" applyFont="1" applyBorder="1"/>
    <xf numFmtId="169" fontId="18" fillId="0" borderId="6" xfId="0" applyNumberFormat="1" applyFont="1" applyBorder="1"/>
    <xf numFmtId="169" fontId="15" fillId="0" borderId="6" xfId="0" applyNumberFormat="1" applyFont="1" applyBorder="1"/>
    <xf numFmtId="169" fontId="28" fillId="0" borderId="6" xfId="0" applyNumberFormat="1" applyFont="1" applyBorder="1"/>
    <xf numFmtId="165" fontId="3" fillId="0" borderId="0" xfId="6" applyFont="1" applyFill="1"/>
    <xf numFmtId="169" fontId="0" fillId="0" borderId="0" xfId="6" applyNumberFormat="1" applyFont="1"/>
    <xf numFmtId="169" fontId="29" fillId="0" borderId="6" xfId="0" applyNumberFormat="1" applyFont="1" applyBorder="1"/>
    <xf numFmtId="165" fontId="30" fillId="4" borderId="0" xfId="6" applyFont="1" applyFill="1" applyBorder="1"/>
    <xf numFmtId="14" fontId="10" fillId="0" borderId="6" xfId="0" applyNumberFormat="1" applyFont="1" applyBorder="1"/>
    <xf numFmtId="0" fontId="10" fillId="0" borderId="6" xfId="0" applyFont="1" applyBorder="1"/>
    <xf numFmtId="165" fontId="17" fillId="0" borderId="0" xfId="6" applyFont="1" applyFill="1"/>
    <xf numFmtId="165" fontId="3" fillId="12" borderId="0" xfId="6" applyFont="1" applyFill="1"/>
    <xf numFmtId="169" fontId="0" fillId="0" borderId="6" xfId="0" applyNumberFormat="1" applyBorder="1"/>
    <xf numFmtId="169" fontId="10" fillId="11" borderId="6" xfId="0" applyNumberFormat="1" applyFont="1" applyFill="1" applyBorder="1" applyAlignment="1">
      <alignment horizontal="right"/>
    </xf>
    <xf numFmtId="169" fontId="10" fillId="4" borderId="6" xfId="0" applyNumberFormat="1" applyFont="1" applyFill="1" applyBorder="1"/>
    <xf numFmtId="165" fontId="16" fillId="7" borderId="0" xfId="6" applyFont="1" applyFill="1"/>
    <xf numFmtId="165" fontId="31" fillId="0" borderId="0" xfId="6" applyFont="1"/>
    <xf numFmtId="169" fontId="0" fillId="0" borderId="6" xfId="6" applyNumberFormat="1" applyFont="1" applyBorder="1" applyAlignment="1">
      <alignment horizontal="center"/>
    </xf>
    <xf numFmtId="169" fontId="32" fillId="0" borderId="6" xfId="0" applyNumberFormat="1" applyFont="1" applyBorder="1"/>
    <xf numFmtId="169" fontId="10" fillId="0" borderId="7" xfId="0" applyNumberFormat="1" applyFont="1" applyBorder="1"/>
    <xf numFmtId="169" fontId="10" fillId="0" borderId="9" xfId="0" applyNumberFormat="1" applyFont="1" applyBorder="1"/>
    <xf numFmtId="169" fontId="10" fillId="0" borderId="10" xfId="0" applyNumberFormat="1" applyFont="1" applyBorder="1"/>
    <xf numFmtId="49" fontId="14" fillId="0" borderId="9" xfId="0" applyNumberFormat="1" applyFont="1" applyBorder="1"/>
    <xf numFmtId="49" fontId="0" fillId="0" borderId="0" xfId="0" applyNumberFormat="1"/>
    <xf numFmtId="49" fontId="3" fillId="0" borderId="0" xfId="0" applyNumberFormat="1" applyFont="1"/>
    <xf numFmtId="169" fontId="12" fillId="11" borderId="3" xfId="0" applyNumberFormat="1" applyFont="1" applyFill="1" applyBorder="1" applyAlignment="1">
      <alignment horizontal="right"/>
    </xf>
    <xf numFmtId="169" fontId="12" fillId="11" borderId="11" xfId="0" applyNumberFormat="1" applyFont="1" applyFill="1" applyBorder="1"/>
    <xf numFmtId="165" fontId="12" fillId="11" borderId="4" xfId="6" applyFont="1" applyFill="1" applyBorder="1"/>
    <xf numFmtId="169" fontId="0" fillId="4" borderId="0" xfId="0" applyNumberFormat="1" applyFill="1"/>
    <xf numFmtId="169" fontId="12" fillId="4" borderId="0" xfId="0" applyNumberFormat="1" applyFont="1" applyFill="1"/>
    <xf numFmtId="169" fontId="12" fillId="8" borderId="6" xfId="0" applyNumberFormat="1" applyFont="1" applyFill="1" applyBorder="1" applyAlignment="1">
      <alignment horizontal="right"/>
    </xf>
    <xf numFmtId="169" fontId="13" fillId="4" borderId="0" xfId="0" applyNumberFormat="1" applyFont="1" applyFill="1" applyAlignment="1">
      <alignment horizontal="center"/>
    </xf>
    <xf numFmtId="168" fontId="12" fillId="8" borderId="6" xfId="0" applyNumberFormat="1" applyFont="1" applyFill="1" applyBorder="1" applyAlignment="1">
      <alignment horizontal="center"/>
    </xf>
    <xf numFmtId="169" fontId="14" fillId="9" borderId="7" xfId="0" applyNumberFormat="1" applyFont="1" applyFill="1" applyBorder="1" applyAlignment="1">
      <alignment horizontal="right"/>
    </xf>
    <xf numFmtId="169" fontId="18" fillId="0" borderId="6" xfId="0" applyNumberFormat="1" applyFont="1" applyBorder="1" applyAlignment="1">
      <alignment horizontal="center"/>
    </xf>
    <xf numFmtId="169" fontId="15" fillId="4" borderId="0" xfId="0" applyNumberFormat="1" applyFont="1" applyFill="1" applyAlignment="1">
      <alignment horizontal="center"/>
    </xf>
    <xf numFmtId="165" fontId="16" fillId="0" borderId="6" xfId="6" applyFont="1" applyFill="1" applyBorder="1" applyAlignment="1">
      <alignment horizontal="center"/>
    </xf>
    <xf numFmtId="168" fontId="16" fillId="0" borderId="6" xfId="6" applyNumberFormat="1" applyFont="1" applyFill="1" applyBorder="1" applyAlignment="1">
      <alignment horizontal="center"/>
    </xf>
    <xf numFmtId="169" fontId="14" fillId="9" borderId="6" xfId="0" applyNumberFormat="1" applyFont="1" applyFill="1" applyBorder="1" applyAlignment="1">
      <alignment horizontal="right"/>
    </xf>
    <xf numFmtId="165" fontId="35" fillId="0" borderId="0" xfId="6" applyFont="1"/>
    <xf numFmtId="0" fontId="2" fillId="0" borderId="0" xfId="0" applyFont="1"/>
    <xf numFmtId="165" fontId="2" fillId="0" borderId="0" xfId="6" applyFont="1"/>
    <xf numFmtId="165" fontId="11" fillId="0" borderId="0" xfId="6" applyFont="1"/>
    <xf numFmtId="165" fontId="0" fillId="12" borderId="0" xfId="6" applyFont="1" applyFill="1"/>
    <xf numFmtId="165" fontId="0" fillId="11" borderId="0" xfId="6" applyFont="1" applyFill="1"/>
    <xf numFmtId="165" fontId="12" fillId="4" borderId="0" xfId="6" applyFont="1" applyFill="1"/>
    <xf numFmtId="165" fontId="20" fillId="13" borderId="0" xfId="6" applyFont="1" applyFill="1"/>
    <xf numFmtId="165" fontId="0" fillId="15" borderId="0" xfId="6" applyFont="1" applyFill="1"/>
    <xf numFmtId="165" fontId="23" fillId="12" borderId="0" xfId="6" applyFont="1" applyFill="1"/>
    <xf numFmtId="165" fontId="17" fillId="4" borderId="0" xfId="6" applyFont="1" applyFill="1"/>
    <xf numFmtId="165" fontId="0" fillId="0" borderId="0" xfId="6" applyFont="1" applyAlignment="1">
      <alignment horizontal="center"/>
    </xf>
    <xf numFmtId="165" fontId="10" fillId="9" borderId="6" xfId="0" applyNumberFormat="1" applyFont="1" applyFill="1" applyBorder="1" applyProtection="1">
      <protection locked="0"/>
    </xf>
    <xf numFmtId="165" fontId="3" fillId="7" borderId="0" xfId="6" applyFont="1" applyFill="1" applyAlignment="1">
      <alignment horizontal="center"/>
    </xf>
    <xf numFmtId="165" fontId="11" fillId="0" borderId="0" xfId="6" applyFont="1" applyAlignment="1">
      <alignment horizontal="center"/>
    </xf>
    <xf numFmtId="0" fontId="12" fillId="0" borderId="6" xfId="0" applyFont="1" applyBorder="1"/>
    <xf numFmtId="0" fontId="12" fillId="12" borderId="6" xfId="0" applyFont="1" applyFill="1" applyBorder="1"/>
    <xf numFmtId="0" fontId="12" fillId="11" borderId="6" xfId="0" applyFont="1" applyFill="1" applyBorder="1"/>
    <xf numFmtId="0" fontId="12" fillId="17" borderId="6" xfId="0" applyFont="1" applyFill="1" applyBorder="1"/>
    <xf numFmtId="0" fontId="12" fillId="18" borderId="6" xfId="0" applyFont="1" applyFill="1" applyBorder="1"/>
    <xf numFmtId="0" fontId="12" fillId="16" borderId="6" xfId="0" applyFont="1" applyFill="1" applyBorder="1"/>
    <xf numFmtId="0" fontId="12" fillId="14" borderId="6" xfId="0" applyFont="1" applyFill="1" applyBorder="1"/>
    <xf numFmtId="0" fontId="12" fillId="19" borderId="6" xfId="0" applyFont="1" applyFill="1" applyBorder="1"/>
    <xf numFmtId="0" fontId="12" fillId="6" borderId="6" xfId="0" applyFont="1" applyFill="1" applyBorder="1"/>
    <xf numFmtId="0" fontId="12" fillId="21" borderId="6" xfId="0" applyFont="1" applyFill="1" applyBorder="1"/>
    <xf numFmtId="0" fontId="12" fillId="20" borderId="6" xfId="0" applyFont="1" applyFill="1" applyBorder="1"/>
    <xf numFmtId="0" fontId="1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12" fillId="0" borderId="9" xfId="0" applyFont="1" applyBorder="1"/>
    <xf numFmtId="0" fontId="2" fillId="0" borderId="5" xfId="0" applyFont="1" applyBorder="1" applyAlignment="1">
      <alignment horizontal="center"/>
    </xf>
    <xf numFmtId="165" fontId="2" fillId="0" borderId="3" xfId="6" applyFont="1" applyBorder="1" applyAlignment="1">
      <alignment horizontal="center"/>
    </xf>
    <xf numFmtId="165" fontId="2" fillId="0" borderId="4" xfId="6" applyFont="1" applyBorder="1"/>
    <xf numFmtId="165" fontId="2" fillId="0" borderId="5" xfId="6" applyFont="1" applyBorder="1" applyAlignment="1">
      <alignment horizontal="center"/>
    </xf>
    <xf numFmtId="165" fontId="10" fillId="9" borderId="6" xfId="0" applyNumberFormat="1" applyFont="1" applyFill="1" applyBorder="1"/>
    <xf numFmtId="165" fontId="10" fillId="11" borderId="6" xfId="0" applyNumberFormat="1" applyFont="1" applyFill="1" applyBorder="1"/>
    <xf numFmtId="165" fontId="3" fillId="0" borderId="0" xfId="6" applyFont="1" applyFill="1" applyBorder="1" applyAlignment="1" applyProtection="1">
      <protection locked="0"/>
    </xf>
    <xf numFmtId="165" fontId="23" fillId="7" borderId="0" xfId="6" applyFont="1" applyFill="1"/>
    <xf numFmtId="165" fontId="32" fillId="4" borderId="6" xfId="0" applyNumberFormat="1" applyFont="1" applyFill="1" applyBorder="1"/>
    <xf numFmtId="165" fontId="35" fillId="0" borderId="0" xfId="0" applyNumberFormat="1" applyFont="1"/>
    <xf numFmtId="165" fontId="11" fillId="0" borderId="0" xfId="6" applyFont="1" applyFill="1"/>
    <xf numFmtId="165" fontId="11" fillId="4" borderId="0" xfId="6" applyFont="1" applyFill="1"/>
    <xf numFmtId="165" fontId="10" fillId="4" borderId="6" xfId="0" applyNumberFormat="1" applyFont="1" applyFill="1" applyBorder="1"/>
    <xf numFmtId="165" fontId="10" fillId="13" borderId="6" xfId="0" applyNumberFormat="1" applyFont="1" applyFill="1" applyBorder="1"/>
    <xf numFmtId="165" fontId="24" fillId="11" borderId="6" xfId="0" applyNumberFormat="1" applyFont="1" applyFill="1" applyBorder="1"/>
    <xf numFmtId="169" fontId="14" fillId="11" borderId="6" xfId="6" applyNumberFormat="1" applyFont="1" applyFill="1" applyBorder="1" applyAlignment="1">
      <alignment horizontal="right"/>
    </xf>
    <xf numFmtId="165" fontId="1" fillId="0" borderId="0" xfId="6" applyFont="1"/>
    <xf numFmtId="165" fontId="1" fillId="7" borderId="0" xfId="6" applyFont="1" applyFill="1"/>
    <xf numFmtId="165" fontId="1" fillId="4" borderId="0" xfId="6" applyFont="1" applyFill="1"/>
    <xf numFmtId="165" fontId="39" fillId="0" borderId="0" xfId="6" applyFont="1" applyAlignment="1">
      <alignment horizontal="center"/>
    </xf>
    <xf numFmtId="165" fontId="24" fillId="9" borderId="6" xfId="0" applyNumberFormat="1" applyFont="1" applyFill="1" applyBorder="1"/>
    <xf numFmtId="12" fontId="0" fillId="0" borderId="0" xfId="6" applyNumberFormat="1" applyFont="1"/>
    <xf numFmtId="0" fontId="0" fillId="4" borderId="0" xfId="0" applyFill="1" applyAlignment="1">
      <alignment horizontal="center"/>
    </xf>
    <xf numFmtId="0" fontId="3" fillId="4" borderId="0" xfId="0" applyFont="1" applyFill="1" applyAlignment="1">
      <alignment horizontal="center"/>
    </xf>
    <xf numFmtId="169" fontId="40" fillId="19" borderId="6" xfId="0" applyNumberFormat="1" applyFont="1" applyFill="1" applyBorder="1" applyAlignment="1">
      <alignment horizontal="center"/>
    </xf>
    <xf numFmtId="49" fontId="40" fillId="19" borderId="6" xfId="0" applyNumberFormat="1" applyFont="1" applyFill="1" applyBorder="1" applyAlignment="1">
      <alignment horizontal="center"/>
    </xf>
    <xf numFmtId="169" fontId="41" fillId="19" borderId="6" xfId="0" applyNumberFormat="1" applyFont="1" applyFill="1" applyBorder="1" applyAlignment="1">
      <alignment horizontal="center"/>
    </xf>
    <xf numFmtId="169" fontId="42" fillId="19" borderId="6" xfId="0" applyNumberFormat="1" applyFont="1" applyFill="1" applyBorder="1" applyAlignment="1">
      <alignment horizontal="center"/>
    </xf>
    <xf numFmtId="165" fontId="10" fillId="11" borderId="6" xfId="0" applyNumberFormat="1" applyFont="1" applyFill="1" applyBorder="1" applyProtection="1">
      <protection locked="0"/>
    </xf>
    <xf numFmtId="169" fontId="36" fillId="11" borderId="7" xfId="6" applyNumberFormat="1" applyFont="1" applyFill="1" applyBorder="1" applyAlignment="1">
      <alignment horizontal="right"/>
    </xf>
    <xf numFmtId="169" fontId="10" fillId="11" borderId="0" xfId="0" applyNumberFormat="1" applyFont="1" applyFill="1" applyAlignment="1">
      <alignment horizontal="right"/>
    </xf>
    <xf numFmtId="169" fontId="14" fillId="11" borderId="7" xfId="6" applyNumberFormat="1" applyFont="1" applyFill="1" applyBorder="1" applyAlignment="1">
      <alignment horizontal="right"/>
    </xf>
    <xf numFmtId="169" fontId="14" fillId="11" borderId="6" xfId="0" applyNumberFormat="1" applyFont="1" applyFill="1" applyBorder="1" applyAlignment="1">
      <alignment horizontal="right"/>
    </xf>
    <xf numFmtId="169" fontId="24" fillId="11" borderId="7" xfId="0" applyNumberFormat="1" applyFont="1" applyFill="1" applyBorder="1" applyAlignment="1">
      <alignment horizontal="right"/>
    </xf>
    <xf numFmtId="169" fontId="10" fillId="11" borderId="8" xfId="0" applyNumberFormat="1" applyFont="1" applyFill="1" applyBorder="1" applyAlignment="1">
      <alignment horizontal="right"/>
    </xf>
    <xf numFmtId="169" fontId="36" fillId="11" borderId="6" xfId="6" applyNumberFormat="1" applyFont="1" applyFill="1" applyBorder="1" applyAlignment="1">
      <alignment horizontal="right"/>
    </xf>
    <xf numFmtId="169" fontId="10" fillId="11" borderId="7" xfId="6" applyNumberFormat="1" applyFont="1" applyFill="1" applyBorder="1" applyAlignment="1">
      <alignment horizontal="right"/>
    </xf>
    <xf numFmtId="169" fontId="15" fillId="11" borderId="7" xfId="0" applyNumberFormat="1" applyFont="1" applyFill="1" applyBorder="1" applyAlignment="1">
      <alignment horizontal="right"/>
    </xf>
    <xf numFmtId="169" fontId="18" fillId="11" borderId="6" xfId="0" applyNumberFormat="1" applyFont="1" applyFill="1" applyBorder="1" applyAlignment="1">
      <alignment horizontal="right"/>
    </xf>
    <xf numFmtId="169" fontId="24" fillId="11" borderId="6" xfId="0" applyNumberFormat="1" applyFont="1" applyFill="1" applyBorder="1" applyAlignment="1">
      <alignment horizontal="right"/>
    </xf>
    <xf numFmtId="169" fontId="10" fillId="11" borderId="6" xfId="0" applyNumberFormat="1" applyFont="1" applyFill="1" applyBorder="1"/>
    <xf numFmtId="169" fontId="10" fillId="11" borderId="6" xfId="6" applyNumberFormat="1" applyFont="1" applyFill="1" applyBorder="1" applyAlignment="1">
      <alignment horizontal="right"/>
    </xf>
    <xf numFmtId="169" fontId="37" fillId="11" borderId="6" xfId="6" applyNumberFormat="1" applyFont="1" applyFill="1" applyBorder="1" applyAlignment="1">
      <alignment horizontal="right"/>
    </xf>
    <xf numFmtId="169" fontId="24" fillId="11" borderId="6" xfId="6" applyNumberFormat="1" applyFont="1" applyFill="1" applyBorder="1" applyAlignment="1">
      <alignment horizontal="right"/>
    </xf>
    <xf numFmtId="165" fontId="0" fillId="4" borderId="0" xfId="6" applyFont="1" applyFill="1"/>
    <xf numFmtId="13" fontId="3" fillId="7" borderId="0" xfId="6" applyNumberFormat="1" applyFont="1" applyFill="1"/>
    <xf numFmtId="169" fontId="32" fillId="11" borderId="7" xfId="0" applyNumberFormat="1" applyFont="1" applyFill="1" applyBorder="1"/>
    <xf numFmtId="0" fontId="1" fillId="2" borderId="0" xfId="2" applyFill="1"/>
    <xf numFmtId="0" fontId="0" fillId="2" borderId="0" xfId="2" applyFont="1" applyFill="1"/>
    <xf numFmtId="2" fontId="5" fillId="2" borderId="0" xfId="1" applyNumberFormat="1" applyFont="1" applyFill="1"/>
    <xf numFmtId="2" fontId="5" fillId="2" borderId="0" xfId="4" applyNumberFormat="1" applyFont="1" applyFill="1"/>
    <xf numFmtId="2" fontId="5" fillId="2" borderId="0" xfId="4" applyNumberFormat="1" applyFont="1" applyFill="1" applyAlignment="1">
      <alignment vertical="center"/>
    </xf>
    <xf numFmtId="2" fontId="5" fillId="2" borderId="0" xfId="3" applyNumberFormat="1" applyFont="1" applyFill="1"/>
    <xf numFmtId="2" fontId="5" fillId="3" borderId="0" xfId="3" applyNumberFormat="1" applyFont="1" applyFill="1"/>
    <xf numFmtId="0" fontId="4" fillId="2" borderId="0" xfId="3" applyFont="1" applyFill="1" applyAlignment="1">
      <alignment horizontal="left" vertical="center"/>
    </xf>
    <xf numFmtId="0" fontId="44" fillId="2" borderId="0" xfId="3" applyFont="1" applyFill="1"/>
    <xf numFmtId="0" fontId="5" fillId="2" borderId="0" xfId="3" applyFont="1" applyFill="1"/>
    <xf numFmtId="0" fontId="0" fillId="3" borderId="0" xfId="2" applyFont="1" applyFill="1"/>
    <xf numFmtId="0" fontId="45" fillId="4" borderId="0" xfId="3" applyFont="1" applyFill="1" applyAlignment="1">
      <alignment horizontal="left" vertical="center"/>
    </xf>
    <xf numFmtId="0" fontId="43" fillId="4" borderId="0" xfId="3" applyFont="1" applyFill="1"/>
    <xf numFmtId="170" fontId="4" fillId="2" borderId="0" xfId="3" applyNumberFormat="1" applyFont="1" applyFill="1" applyAlignment="1">
      <alignment horizontal="left" vertical="center"/>
    </xf>
    <xf numFmtId="0" fontId="5" fillId="2" borderId="0" xfId="1" applyFont="1" applyFill="1"/>
    <xf numFmtId="0" fontId="45" fillId="0" borderId="0" xfId="0" applyFont="1"/>
    <xf numFmtId="0" fontId="45" fillId="4" borderId="0" xfId="0" applyFont="1" applyFill="1"/>
    <xf numFmtId="1" fontId="5" fillId="2" borderId="0" xfId="3" applyNumberFormat="1" applyFont="1" applyFill="1" applyAlignment="1">
      <alignment horizontal="left" vertical="center"/>
    </xf>
    <xf numFmtId="0" fontId="46" fillId="2" borderId="0" xfId="2" applyFont="1" applyFill="1"/>
    <xf numFmtId="0" fontId="9" fillId="2" borderId="0" xfId="2" applyFont="1" applyFill="1"/>
    <xf numFmtId="1" fontId="9" fillId="2" borderId="0" xfId="2" applyNumberFormat="1" applyFont="1" applyFill="1"/>
    <xf numFmtId="0" fontId="2" fillId="4" borderId="0" xfId="0" applyFont="1" applyFill="1" applyAlignment="1">
      <alignment horizontal="center"/>
    </xf>
    <xf numFmtId="13" fontId="0" fillId="0" borderId="0" xfId="6" applyNumberFormat="1" applyFont="1"/>
    <xf numFmtId="13" fontId="20" fillId="0" borderId="0" xfId="6" applyNumberFormat="1" applyFont="1"/>
    <xf numFmtId="165" fontId="12" fillId="0" borderId="0" xfId="6" applyFont="1" applyBorder="1"/>
    <xf numFmtId="165" fontId="10" fillId="10" borderId="6" xfId="0" applyNumberFormat="1" applyFont="1" applyFill="1" applyBorder="1"/>
    <xf numFmtId="169" fontId="32" fillId="0" borderId="6" xfId="0" applyNumberFormat="1" applyFont="1" applyBorder="1" applyAlignment="1">
      <alignment horizontal="center"/>
    </xf>
    <xf numFmtId="0" fontId="11" fillId="2" borderId="0" xfId="2" applyFont="1" applyFill="1"/>
    <xf numFmtId="2" fontId="10" fillId="3" borderId="0" xfId="1" applyNumberFormat="1" applyFont="1" applyFill="1" applyAlignment="1">
      <alignment vertical="center"/>
    </xf>
    <xf numFmtId="2" fontId="49" fillId="22" borderId="5" xfId="1" applyNumberFormat="1" applyFont="1" applyFill="1" applyBorder="1" applyAlignment="1">
      <alignment horizontal="center" vertical="center" wrapText="1"/>
    </xf>
    <xf numFmtId="2" fontId="50" fillId="5" borderId="12" xfId="1" applyNumberFormat="1" applyFont="1" applyFill="1" applyBorder="1" applyAlignment="1">
      <alignment horizontal="center" vertical="center"/>
    </xf>
    <xf numFmtId="1" fontId="51" fillId="2" borderId="0" xfId="2" applyNumberFormat="1" applyFont="1" applyFill="1"/>
    <xf numFmtId="0" fontId="1" fillId="2" borderId="0" xfId="2" applyFill="1" applyAlignment="1">
      <alignment horizontal="left"/>
    </xf>
    <xf numFmtId="0" fontId="35" fillId="2" borderId="0" xfId="2" applyFont="1" applyFill="1"/>
    <xf numFmtId="0" fontId="48" fillId="24" borderId="6" xfId="2" applyFont="1" applyFill="1" applyBorder="1" applyAlignment="1">
      <alignment horizontal="center" vertical="center" wrapText="1"/>
    </xf>
    <xf numFmtId="0" fontId="1" fillId="3" borderId="0" xfId="2" applyFill="1"/>
    <xf numFmtId="2" fontId="10" fillId="3" borderId="0" xfId="1" applyNumberFormat="1" applyFont="1" applyFill="1" applyAlignment="1">
      <alignment horizontal="center" vertical="center"/>
    </xf>
    <xf numFmtId="1" fontId="49" fillId="26" borderId="0" xfId="1" applyNumberFormat="1" applyFont="1" applyFill="1" applyAlignment="1">
      <alignment horizontal="center" vertical="center" wrapText="1"/>
    </xf>
    <xf numFmtId="2" fontId="54" fillId="26" borderId="0" xfId="1" applyNumberFormat="1" applyFont="1" applyFill="1" applyAlignment="1">
      <alignment horizontal="center" vertical="center" wrapText="1"/>
    </xf>
    <xf numFmtId="1" fontId="54" fillId="26" borderId="0" xfId="1" applyNumberFormat="1" applyFont="1" applyFill="1" applyAlignment="1">
      <alignment horizontal="center" vertical="center" wrapText="1"/>
    </xf>
    <xf numFmtId="2" fontId="54" fillId="26" borderId="3" xfId="1" applyNumberFormat="1" applyFont="1" applyFill="1" applyBorder="1" applyAlignment="1">
      <alignment vertical="center" wrapText="1"/>
    </xf>
    <xf numFmtId="2" fontId="54" fillId="26" borderId="5" xfId="1" applyNumberFormat="1" applyFont="1" applyFill="1" applyBorder="1" applyAlignment="1">
      <alignment horizontal="center" vertical="center" wrapText="1"/>
    </xf>
    <xf numFmtId="1" fontId="5" fillId="2" borderId="0" xfId="1" applyNumberFormat="1" applyFont="1" applyFill="1" applyAlignment="1">
      <alignment horizontal="center" vertical="center"/>
    </xf>
    <xf numFmtId="164" fontId="43" fillId="2" borderId="1" xfId="2" applyNumberFormat="1" applyFont="1" applyFill="1" applyBorder="1"/>
    <xf numFmtId="1" fontId="5" fillId="2" borderId="0" xfId="4" applyNumberFormat="1" applyFont="1" applyFill="1" applyAlignment="1">
      <alignment horizontal="center" vertical="center"/>
    </xf>
    <xf numFmtId="1" fontId="4" fillId="3" borderId="0" xfId="1" applyNumberFormat="1" applyFont="1" applyFill="1" applyAlignment="1">
      <alignment horizontal="left" vertical="center"/>
    </xf>
    <xf numFmtId="2" fontId="5" fillId="3" borderId="0" xfId="1" applyNumberFormat="1" applyFont="1" applyFill="1" applyAlignment="1">
      <alignment horizontal="left" vertical="center"/>
    </xf>
    <xf numFmtId="1" fontId="5" fillId="2" borderId="0" xfId="3" applyNumberFormat="1" applyFont="1" applyFill="1" applyAlignment="1">
      <alignment horizontal="center" vertical="center"/>
    </xf>
    <xf numFmtId="1" fontId="5" fillId="3" borderId="0" xfId="3" applyNumberFormat="1" applyFont="1" applyFill="1" applyAlignment="1">
      <alignment horizontal="center" vertical="center"/>
    </xf>
    <xf numFmtId="1" fontId="5" fillId="3" borderId="0" xfId="1" applyNumberFormat="1" applyFont="1" applyFill="1" applyAlignment="1">
      <alignment horizontal="center" vertical="center"/>
    </xf>
    <xf numFmtId="0" fontId="0" fillId="23" borderId="0" xfId="2" applyFont="1" applyFill="1"/>
    <xf numFmtId="1" fontId="4" fillId="23" borderId="0" xfId="3" applyNumberFormat="1" applyFont="1" applyFill="1" applyAlignment="1">
      <alignment horizontal="left" vertical="center"/>
    </xf>
    <xf numFmtId="1" fontId="5" fillId="23" borderId="0" xfId="3" applyNumberFormat="1" applyFont="1" applyFill="1" applyAlignment="1">
      <alignment horizontal="center" vertical="center"/>
    </xf>
    <xf numFmtId="1" fontId="5" fillId="23" borderId="1" xfId="1" applyNumberFormat="1" applyFont="1" applyFill="1" applyBorder="1" applyAlignment="1">
      <alignment horizontal="center" vertical="center"/>
    </xf>
    <xf numFmtId="2" fontId="5" fillId="23" borderId="0" xfId="3" applyNumberFormat="1" applyFont="1" applyFill="1"/>
    <xf numFmtId="1" fontId="5" fillId="3" borderId="1" xfId="1" applyNumberFormat="1" applyFont="1" applyFill="1" applyBorder="1" applyAlignment="1">
      <alignment horizontal="center" vertical="center"/>
    </xf>
    <xf numFmtId="0" fontId="43" fillId="4" borderId="0" xfId="0" applyFont="1" applyFill="1"/>
    <xf numFmtId="0" fontId="4" fillId="4" borderId="0" xfId="0" applyFont="1" applyFill="1"/>
    <xf numFmtId="0" fontId="5" fillId="4" borderId="0" xfId="0" applyFont="1" applyFill="1" applyAlignment="1">
      <alignment horizontal="left" vertical="center"/>
    </xf>
    <xf numFmtId="49" fontId="4" fillId="4" borderId="0" xfId="8" applyNumberFormat="1" applyFont="1" applyFill="1" applyAlignment="1">
      <alignment horizontal="left" vertical="center"/>
    </xf>
    <xf numFmtId="49" fontId="4" fillId="4" borderId="0" xfId="8" applyNumberFormat="1" applyFont="1" applyFill="1" applyAlignment="1">
      <alignment horizontal="left" vertical="center" wrapText="1"/>
    </xf>
    <xf numFmtId="49" fontId="4" fillId="4" borderId="0" xfId="0" applyNumberFormat="1" applyFont="1" applyFill="1" applyAlignment="1">
      <alignment horizontal="left" vertical="center"/>
    </xf>
    <xf numFmtId="13" fontId="11" fillId="0" borderId="0" xfId="6" applyNumberFormat="1" applyFont="1"/>
    <xf numFmtId="13" fontId="11" fillId="0" borderId="0" xfId="6" applyNumberFormat="1" applyFont="1" applyFill="1"/>
    <xf numFmtId="12" fontId="0" fillId="0" borderId="0" xfId="6" applyNumberFormat="1" applyFont="1" applyFill="1"/>
    <xf numFmtId="12" fontId="11" fillId="0" borderId="0" xfId="6" applyNumberFormat="1" applyFont="1"/>
    <xf numFmtId="17" fontId="0" fillId="4" borderId="0" xfId="0" applyNumberFormat="1" applyFill="1" applyAlignment="1">
      <alignment horizontal="center"/>
    </xf>
    <xf numFmtId="0" fontId="23" fillId="0" borderId="6" xfId="0" applyFont="1" applyBorder="1" applyAlignment="1">
      <alignment horizontal="center"/>
    </xf>
    <xf numFmtId="49" fontId="14" fillId="27" borderId="6" xfId="0" applyNumberFormat="1" applyFont="1" applyFill="1" applyBorder="1"/>
    <xf numFmtId="0" fontId="2" fillId="4" borderId="0" xfId="0" applyFont="1" applyFill="1" applyAlignment="1">
      <alignment horizontal="left" vertical="center"/>
    </xf>
    <xf numFmtId="0" fontId="43" fillId="2" borderId="0" xfId="2" applyFont="1" applyFill="1"/>
    <xf numFmtId="13" fontId="1" fillId="0" borderId="6" xfId="6" applyNumberFormat="1" applyFont="1" applyBorder="1"/>
    <xf numFmtId="12" fontId="12" fillId="0" borderId="0" xfId="6" applyNumberFormat="1" applyFont="1" applyAlignment="1">
      <alignment horizontal="center"/>
    </xf>
    <xf numFmtId="12" fontId="3" fillId="0" borderId="0" xfId="6" applyNumberFormat="1" applyFont="1"/>
    <xf numFmtId="49" fontId="14" fillId="9" borderId="6" xfId="0" applyNumberFormat="1" applyFont="1" applyFill="1" applyBorder="1"/>
    <xf numFmtId="0" fontId="3" fillId="7" borderId="0" xfId="6" applyNumberFormat="1" applyFont="1" applyFill="1"/>
    <xf numFmtId="13" fontId="12" fillId="0" borderId="0" xfId="6" applyNumberFormat="1" applyFont="1" applyAlignment="1">
      <alignment horizontal="center"/>
    </xf>
    <xf numFmtId="169" fontId="15" fillId="4" borderId="6" xfId="0" applyNumberFormat="1" applyFont="1" applyFill="1" applyBorder="1" applyAlignment="1">
      <alignment horizontal="center"/>
    </xf>
    <xf numFmtId="12" fontId="3" fillId="7" borderId="0" xfId="6" applyNumberFormat="1" applyFont="1" applyFill="1"/>
    <xf numFmtId="165" fontId="10" fillId="0" borderId="6" xfId="6" applyFont="1" applyBorder="1"/>
    <xf numFmtId="0" fontId="2" fillId="4" borderId="0" xfId="0" applyFont="1" applyFill="1"/>
    <xf numFmtId="0" fontId="0" fillId="4" borderId="0" xfId="0" applyFill="1"/>
    <xf numFmtId="169" fontId="24" fillId="0" borderId="6" xfId="0" applyNumberFormat="1" applyFont="1" applyBorder="1"/>
    <xf numFmtId="10" fontId="11" fillId="2" borderId="0" xfId="2" applyNumberFormat="1" applyFont="1" applyFill="1"/>
    <xf numFmtId="10" fontId="10" fillId="3" borderId="0" xfId="1" applyNumberFormat="1" applyFont="1" applyFill="1" applyAlignment="1">
      <alignment vertical="center"/>
    </xf>
    <xf numFmtId="10" fontId="54" fillId="26" borderId="11" xfId="1" applyNumberFormat="1" applyFont="1" applyFill="1" applyBorder="1" applyAlignment="1">
      <alignment horizontal="center" vertical="center" wrapText="1" shrinkToFit="1"/>
    </xf>
    <xf numFmtId="171" fontId="50" fillId="5" borderId="0" xfId="1" applyNumberFormat="1" applyFont="1" applyFill="1" applyAlignment="1">
      <alignment horizontal="center" vertical="center"/>
    </xf>
    <xf numFmtId="0" fontId="45" fillId="2" borderId="0" xfId="0" applyFont="1" applyFill="1"/>
    <xf numFmtId="0" fontId="43" fillId="2" borderId="0" xfId="3" applyFont="1" applyFill="1"/>
    <xf numFmtId="1" fontId="43" fillId="4" borderId="0" xfId="0" applyNumberFormat="1" applyFont="1" applyFill="1" applyAlignment="1">
      <alignment horizontal="center"/>
    </xf>
    <xf numFmtId="1" fontId="43" fillId="4" borderId="0" xfId="0" applyNumberFormat="1" applyFont="1" applyFill="1" applyAlignment="1">
      <alignment horizontal="center" vertical="center"/>
    </xf>
    <xf numFmtId="1" fontId="43" fillId="2" borderId="0" xfId="2" applyNumberFormat="1" applyFont="1" applyFill="1" applyAlignment="1">
      <alignment horizontal="center" vertical="center"/>
    </xf>
    <xf numFmtId="10" fontId="51" fillId="2" borderId="0" xfId="2" applyNumberFormat="1" applyFont="1" applyFill="1"/>
    <xf numFmtId="0" fontId="57" fillId="2" borderId="0" xfId="2" applyFont="1" applyFill="1"/>
    <xf numFmtId="0" fontId="39" fillId="2" borderId="0" xfId="2" applyFont="1" applyFill="1"/>
    <xf numFmtId="0" fontId="52" fillId="2" borderId="0" xfId="2" applyFont="1" applyFill="1"/>
    <xf numFmtId="2" fontId="49" fillId="26" borderId="5" xfId="1" applyNumberFormat="1" applyFont="1" applyFill="1" applyBorder="1" applyAlignment="1">
      <alignment horizontal="center" vertical="center" wrapText="1"/>
    </xf>
    <xf numFmtId="164" fontId="46" fillId="2" borderId="12" xfId="2" applyNumberFormat="1" applyFont="1" applyFill="1" applyBorder="1"/>
    <xf numFmtId="165" fontId="40" fillId="19" borderId="6" xfId="6" applyFont="1" applyFill="1" applyBorder="1" applyAlignment="1">
      <alignment horizontal="center"/>
    </xf>
    <xf numFmtId="165" fontId="2" fillId="18" borderId="6" xfId="6" applyFont="1" applyFill="1" applyBorder="1" applyAlignment="1">
      <alignment horizontal="center"/>
    </xf>
    <xf numFmtId="49" fontId="14" fillId="0" borderId="0" xfId="0" applyNumberFormat="1" applyFont="1" applyAlignment="1">
      <alignment horizontal="left"/>
    </xf>
    <xf numFmtId="165" fontId="10" fillId="11" borderId="7" xfId="0" applyNumberFormat="1" applyFont="1" applyFill="1" applyBorder="1"/>
    <xf numFmtId="165" fontId="10" fillId="9" borderId="7" xfId="0" applyNumberFormat="1" applyFont="1" applyFill="1" applyBorder="1"/>
    <xf numFmtId="169" fontId="10" fillId="0" borderId="0" xfId="0" applyNumberFormat="1" applyFont="1"/>
    <xf numFmtId="0" fontId="47" fillId="0" borderId="6" xfId="0" applyFont="1" applyBorder="1" applyAlignment="1">
      <alignment horizontal="left" vertical="center" wrapText="1" indent="1"/>
    </xf>
    <xf numFmtId="165" fontId="1" fillId="0" borderId="6" xfId="6" applyFont="1" applyBorder="1"/>
    <xf numFmtId="165" fontId="12" fillId="18" borderId="6" xfId="6" applyFont="1" applyFill="1" applyBorder="1" applyAlignment="1">
      <alignment horizontal="center"/>
    </xf>
    <xf numFmtId="169" fontId="42" fillId="4" borderId="7" xfId="0" applyNumberFormat="1" applyFont="1" applyFill="1" applyBorder="1" applyAlignment="1">
      <alignment horizontal="center"/>
    </xf>
    <xf numFmtId="169" fontId="22" fillId="0" borderId="0" xfId="0" applyNumberFormat="1" applyFont="1"/>
    <xf numFmtId="165" fontId="10" fillId="11" borderId="0" xfId="0" applyNumberFormat="1" applyFont="1" applyFill="1" applyProtection="1">
      <protection locked="0"/>
    </xf>
    <xf numFmtId="165" fontId="10" fillId="11" borderId="7" xfId="0" applyNumberFormat="1" applyFont="1" applyFill="1" applyBorder="1" applyProtection="1">
      <protection locked="0"/>
    </xf>
    <xf numFmtId="49" fontId="14" fillId="11" borderId="6" xfId="0" applyNumberFormat="1" applyFont="1" applyFill="1" applyBorder="1"/>
    <xf numFmtId="165" fontId="1" fillId="18" borderId="6" xfId="6" applyFont="1" applyFill="1" applyBorder="1" applyAlignment="1">
      <alignment horizontal="center"/>
    </xf>
    <xf numFmtId="169" fontId="58" fillId="19" borderId="0" xfId="0" applyNumberFormat="1" applyFont="1" applyFill="1" applyAlignment="1">
      <alignment horizontal="center"/>
    </xf>
    <xf numFmtId="165" fontId="1" fillId="2" borderId="0" xfId="6" applyFill="1" applyProtection="1"/>
    <xf numFmtId="165" fontId="3" fillId="0" borderId="0" xfId="6" applyFont="1" applyFill="1" applyAlignment="1">
      <alignment horizontal="center"/>
    </xf>
    <xf numFmtId="14" fontId="0" fillId="0" borderId="0" xfId="0" applyNumberFormat="1"/>
    <xf numFmtId="49" fontId="14" fillId="13" borderId="6" xfId="0" applyNumberFormat="1" applyFont="1" applyFill="1" applyBorder="1"/>
    <xf numFmtId="166" fontId="11" fillId="28" borderId="6" xfId="7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8" fontId="23" fillId="0" borderId="6" xfId="0" applyNumberFormat="1" applyFont="1" applyBorder="1" applyAlignment="1">
      <alignment horizontal="center"/>
    </xf>
    <xf numFmtId="168" fontId="23" fillId="0" borderId="6" xfId="0" applyNumberFormat="1" applyFont="1" applyBorder="1"/>
    <xf numFmtId="168" fontId="12" fillId="19" borderId="6" xfId="0" applyNumberFormat="1" applyFont="1" applyFill="1" applyBorder="1" applyAlignment="1">
      <alignment horizontal="center"/>
    </xf>
    <xf numFmtId="0" fontId="23" fillId="0" borderId="0" xfId="0" applyFont="1"/>
    <xf numFmtId="14" fontId="23" fillId="0" borderId="6" xfId="0" applyNumberFormat="1" applyFont="1" applyBorder="1"/>
    <xf numFmtId="168" fontId="23" fillId="0" borderId="6" xfId="6" applyNumberFormat="1" applyFont="1" applyBorder="1"/>
    <xf numFmtId="168" fontId="60" fillId="0" borderId="6" xfId="0" applyNumberFormat="1" applyFont="1" applyBorder="1" applyAlignment="1">
      <alignment horizontal="center"/>
    </xf>
    <xf numFmtId="168" fontId="23" fillId="0" borderId="6" xfId="6" applyNumberFormat="1" applyFont="1" applyBorder="1" applyAlignment="1">
      <alignment horizontal="center"/>
    </xf>
    <xf numFmtId="165" fontId="2" fillId="11" borderId="6" xfId="6" applyFont="1" applyFill="1" applyBorder="1" applyAlignment="1">
      <alignment horizontal="center"/>
    </xf>
    <xf numFmtId="0" fontId="11" fillId="0" borderId="0" xfId="0" applyFont="1"/>
    <xf numFmtId="165" fontId="0" fillId="18" borderId="6" xfId="6" applyFont="1" applyFill="1" applyBorder="1" applyAlignment="1">
      <alignment horizontal="center"/>
    </xf>
    <xf numFmtId="165" fontId="24" fillId="4" borderId="6" xfId="0" applyNumberFormat="1" applyFont="1" applyFill="1" applyBorder="1"/>
    <xf numFmtId="0" fontId="32" fillId="4" borderId="6" xfId="0" applyFont="1" applyFill="1" applyBorder="1"/>
    <xf numFmtId="0" fontId="16" fillId="0" borderId="6" xfId="0" applyFont="1" applyBorder="1"/>
    <xf numFmtId="169" fontId="14" fillId="4" borderId="6" xfId="0" applyNumberFormat="1" applyFont="1" applyFill="1" applyBorder="1"/>
    <xf numFmtId="49" fontId="14" fillId="11" borderId="6" xfId="0" applyNumberFormat="1" applyFont="1" applyFill="1" applyBorder="1" applyAlignment="1">
      <alignment horizontal="left"/>
    </xf>
    <xf numFmtId="0" fontId="1" fillId="29" borderId="0" xfId="12" applyFill="1" applyAlignment="1">
      <alignment horizontal="center"/>
    </xf>
    <xf numFmtId="0" fontId="61" fillId="29" borderId="0" xfId="12" applyFont="1" applyFill="1" applyAlignment="1">
      <alignment vertical="center"/>
    </xf>
    <xf numFmtId="0" fontId="1" fillId="29" borderId="0" xfId="12" applyFill="1"/>
    <xf numFmtId="0" fontId="61" fillId="30" borderId="0" xfId="12" applyFont="1" applyFill="1" applyAlignment="1">
      <alignment horizontal="center" vertical="center"/>
    </xf>
    <xf numFmtId="0" fontId="1" fillId="0" borderId="0" xfId="12"/>
    <xf numFmtId="0" fontId="30" fillId="31" borderId="0" xfId="12" applyFont="1" applyFill="1" applyAlignment="1">
      <alignment horizontal="center" vertical="center"/>
    </xf>
    <xf numFmtId="0" fontId="30" fillId="31" borderId="0" xfId="12" applyFont="1" applyFill="1" applyAlignment="1">
      <alignment horizontal="center" vertical="center" wrapText="1"/>
    </xf>
    <xf numFmtId="0" fontId="1" fillId="0" borderId="0" xfId="12" applyAlignment="1">
      <alignment horizontal="center"/>
    </xf>
    <xf numFmtId="11" fontId="1" fillId="0" borderId="0" xfId="12" applyNumberFormat="1" applyAlignment="1">
      <alignment horizontal="center"/>
    </xf>
    <xf numFmtId="13" fontId="1" fillId="0" borderId="0" xfId="6" applyNumberFormat="1" applyFont="1"/>
    <xf numFmtId="169" fontId="37" fillId="0" borderId="6" xfId="0" applyNumberFormat="1" applyFont="1" applyBorder="1"/>
    <xf numFmtId="2" fontId="50" fillId="23" borderId="12" xfId="1" applyNumberFormat="1" applyFont="1" applyFill="1" applyBorder="1" applyAlignment="1">
      <alignment horizontal="center" vertical="center"/>
    </xf>
    <xf numFmtId="165" fontId="11" fillId="2" borderId="6" xfId="6" applyFont="1" applyFill="1" applyBorder="1" applyAlignment="1" applyProtection="1">
      <alignment horizontal="center" vertical="center"/>
      <protection locked="0"/>
    </xf>
    <xf numFmtId="165" fontId="1" fillId="2" borderId="0" xfId="6" applyFont="1" applyFill="1" applyProtection="1"/>
    <xf numFmtId="172" fontId="11" fillId="2" borderId="6" xfId="6" applyNumberFormat="1" applyFont="1" applyFill="1" applyBorder="1" applyAlignment="1" applyProtection="1">
      <alignment horizontal="center" vertical="center"/>
      <protection locked="0"/>
    </xf>
    <xf numFmtId="165" fontId="39" fillId="2" borderId="15" xfId="6" applyFont="1" applyFill="1" applyBorder="1" applyProtection="1"/>
    <xf numFmtId="165" fontId="39" fillId="2" borderId="12" xfId="6" applyFont="1" applyFill="1" applyBorder="1" applyProtection="1"/>
    <xf numFmtId="165" fontId="39" fillId="2" borderId="16" xfId="6" applyFont="1" applyFill="1" applyBorder="1" applyProtection="1"/>
    <xf numFmtId="164" fontId="46" fillId="2" borderId="15" xfId="2" applyNumberFormat="1" applyFont="1" applyFill="1" applyBorder="1"/>
    <xf numFmtId="164" fontId="46" fillId="2" borderId="16" xfId="2" applyNumberFormat="1" applyFont="1" applyFill="1" applyBorder="1"/>
    <xf numFmtId="0" fontId="1" fillId="0" borderId="0" xfId="18" applyFont="1"/>
    <xf numFmtId="9" fontId="1" fillId="0" borderId="0" xfId="19" applyFont="1"/>
    <xf numFmtId="164" fontId="1" fillId="0" borderId="0" xfId="15" applyFont="1"/>
    <xf numFmtId="164" fontId="1" fillId="0" borderId="0" xfId="18" applyNumberFormat="1" applyFont="1"/>
    <xf numFmtId="173" fontId="1" fillId="0" borderId="0" xfId="12" applyNumberFormat="1"/>
    <xf numFmtId="9" fontId="1" fillId="0" borderId="0" xfId="19" applyFont="1" applyFill="1"/>
    <xf numFmtId="164" fontId="1" fillId="0" borderId="0" xfId="15" applyFont="1" applyFill="1"/>
    <xf numFmtId="0" fontId="62" fillId="29" borderId="0" xfId="12" applyFont="1" applyFill="1"/>
    <xf numFmtId="13" fontId="1" fillId="2" borderId="0" xfId="6" applyNumberFormat="1" applyFill="1" applyProtection="1"/>
    <xf numFmtId="0" fontId="52" fillId="2" borderId="0" xfId="2" applyFont="1" applyFill="1" applyAlignment="1">
      <alignment horizontal="center"/>
    </xf>
    <xf numFmtId="2" fontId="12" fillId="5" borderId="0" xfId="1" applyNumberFormat="1" applyFont="1" applyFill="1" applyAlignment="1">
      <alignment horizontal="left"/>
    </xf>
    <xf numFmtId="2" fontId="12" fillId="5" borderId="14" xfId="1" applyNumberFormat="1" applyFont="1" applyFill="1" applyBorder="1" applyAlignment="1">
      <alignment horizontal="left"/>
    </xf>
    <xf numFmtId="2" fontId="53" fillId="25" borderId="13" xfId="1" applyNumberFormat="1" applyFont="1" applyFill="1" applyBorder="1" applyAlignment="1">
      <alignment horizontal="center" vertical="center"/>
    </xf>
    <xf numFmtId="2" fontId="53" fillId="3" borderId="13" xfId="1" applyNumberFormat="1" applyFont="1" applyFill="1" applyBorder="1" applyAlignment="1">
      <alignment horizontal="center" vertical="center"/>
    </xf>
    <xf numFmtId="168" fontId="12" fillId="0" borderId="0" xfId="0" applyNumberFormat="1" applyFont="1" applyAlignment="1">
      <alignment horizontal="center"/>
    </xf>
    <xf numFmtId="168" fontId="12" fillId="0" borderId="2" xfId="0" applyNumberFormat="1" applyFont="1" applyBorder="1" applyAlignment="1">
      <alignment horizontal="center"/>
    </xf>
    <xf numFmtId="165" fontId="12" fillId="7" borderId="3" xfId="6" applyFont="1" applyFill="1" applyBorder="1" applyAlignment="1">
      <alignment horizontal="center"/>
    </xf>
    <xf numFmtId="165" fontId="12" fillId="7" borderId="4" xfId="6" applyFont="1" applyFill="1" applyBorder="1" applyAlignment="1">
      <alignment horizontal="center"/>
    </xf>
  </cellXfs>
  <cellStyles count="20">
    <cellStyle name="0,0_x000d__x000a_NA_x000d__x000a_" xfId="8" xr:uid="{00000000-0005-0000-0000-000000000000}"/>
    <cellStyle name="Comma" xfId="6" builtinId="3"/>
    <cellStyle name="Currency" xfId="7" builtinId="4"/>
    <cellStyle name="Moneda 2" xfId="5" xr:uid="{00000000-0005-0000-0000-000003000000}"/>
    <cellStyle name="Moneda 3" xfId="11" xr:uid="{00000000-0005-0000-0000-000004000000}"/>
    <cellStyle name="Moneda 3 2" xfId="15" xr:uid="{00000000-0005-0000-0000-000005000000}"/>
    <cellStyle name="Normal" xfId="0" builtinId="0"/>
    <cellStyle name="Normal 2" xfId="9" xr:uid="{00000000-0005-0000-0000-000007000000}"/>
    <cellStyle name="Normal 2 2" xfId="4" xr:uid="{00000000-0005-0000-0000-000008000000}"/>
    <cellStyle name="Normal 3" xfId="3" xr:uid="{00000000-0005-0000-0000-000009000000}"/>
    <cellStyle name="Normal 4" xfId="2" xr:uid="{00000000-0005-0000-0000-00000A000000}"/>
    <cellStyle name="Normal 4 2" xfId="12" xr:uid="{00000000-0005-0000-0000-00000B000000}"/>
    <cellStyle name="Normal 5" xfId="1" xr:uid="{00000000-0005-0000-0000-00000C000000}"/>
    <cellStyle name="Normal 5 2" xfId="13" xr:uid="{00000000-0005-0000-0000-00000D000000}"/>
    <cellStyle name="Normal 5 2 2" xfId="16" xr:uid="{00000000-0005-0000-0000-00000E000000}"/>
    <cellStyle name="Normal 5 2 3" xfId="18" xr:uid="{00000000-0005-0000-0000-00000F000000}"/>
    <cellStyle name="Porcentaje 3 2" xfId="14" xr:uid="{00000000-0005-0000-0000-000010000000}"/>
    <cellStyle name="Porcentaje 3 2 3" xfId="17" xr:uid="{00000000-0005-0000-0000-000011000000}"/>
    <cellStyle name="Porcentaje 3 2 4" xfId="19" xr:uid="{00000000-0005-0000-0000-000012000000}"/>
    <cellStyle name="Porcentaje 4" xfId="10" xr:uid="{00000000-0005-0000-0000-000013000000}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27214</xdr:colOff>
      <xdr:row>1</xdr:row>
      <xdr:rowOff>9616</xdr:rowOff>
    </xdr:from>
    <xdr:to>
      <xdr:col>4</xdr:col>
      <xdr:colOff>235934</xdr:colOff>
      <xdr:row>3</xdr:row>
      <xdr:rowOff>26313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589" y="200116"/>
          <a:ext cx="1027870" cy="3881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47301</xdr:colOff>
      <xdr:row>0</xdr:row>
      <xdr:rowOff>47301</xdr:rowOff>
    </xdr:from>
    <xdr:ext cx="2020509" cy="838200"/>
    <xdr:pic>
      <xdr:nvPicPr>
        <xdr:cNvPr id="2" name="Imagen 1">
          <a:extLst>
            <a:ext uri="{FF2B5EF4-FFF2-40B4-BE49-F238E27FC236}">
              <a16:creationId xmlns:a16="http://schemas.microsoft.com/office/drawing/2014/main" id="{FDA6A2C6-53A9-4027-96E1-7C4EFEAB9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01" y="47301"/>
          <a:ext cx="2020509" cy="8382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2887"/>
  <sheetViews>
    <sheetView showGridLines="0" tabSelected="1" zoomScale="90" zoomScaleNormal="90" workbookViewId="0">
      <selection activeCell="C7" sqref="C7"/>
    </sheetView>
  </sheetViews>
  <sheetFormatPr baseColWidth="10" defaultRowHeight="15"/>
  <cols>
    <col min="1" max="1" width="8.5" customWidth="1"/>
    <col min="2" max="2" width="13.83203125" style="99" bestFit="1" customWidth="1"/>
    <col min="3" max="3" width="71" customWidth="1"/>
    <col min="4" max="4" width="9" hidden="1" customWidth="1"/>
    <col min="5" max="5" width="17.33203125" customWidth="1"/>
    <col min="6" max="6" width="16.1640625" customWidth="1"/>
    <col min="7" max="8" width="16.5" customWidth="1"/>
    <col min="9" max="9" width="11.5" style="297" bestFit="1" customWidth="1"/>
    <col min="10" max="10" width="11.83203125" style="297" bestFit="1" customWidth="1"/>
    <col min="11" max="11" width="18.83203125" bestFit="1" customWidth="1"/>
    <col min="12" max="12" width="17.83203125" customWidth="1"/>
    <col min="13" max="13" width="15.83203125" customWidth="1"/>
    <col min="14" max="14" width="14.1640625" customWidth="1"/>
    <col min="15" max="15" width="1.6640625" customWidth="1"/>
    <col min="16" max="16" width="18" customWidth="1"/>
    <col min="17" max="17" width="10" bestFit="1" customWidth="1"/>
    <col min="18" max="18" width="13.83203125" bestFit="1" customWidth="1"/>
    <col min="20" max="20" width="15" bestFit="1" customWidth="1"/>
  </cols>
  <sheetData>
    <row r="1" spans="1:20">
      <c r="A1" s="287" t="s">
        <v>2383</v>
      </c>
      <c r="B1" s="272" t="s">
        <v>4054</v>
      </c>
      <c r="C1" s="152" t="s">
        <v>1201</v>
      </c>
      <c r="D1" s="281" t="s">
        <v>2559</v>
      </c>
      <c r="E1" s="151" t="s">
        <v>2503</v>
      </c>
      <c r="F1" s="153" t="s">
        <v>1202</v>
      </c>
      <c r="G1" s="153" t="s">
        <v>1203</v>
      </c>
      <c r="H1" s="154" t="s">
        <v>2395</v>
      </c>
      <c r="I1" s="296" t="s">
        <v>2502</v>
      </c>
      <c r="J1" s="296" t="s">
        <v>1204</v>
      </c>
      <c r="K1" s="110" t="s">
        <v>2291</v>
      </c>
      <c r="L1" s="110" t="s">
        <v>2290</v>
      </c>
      <c r="M1" s="110" t="s">
        <v>2292</v>
      </c>
      <c r="N1" s="111" t="s">
        <v>2293</v>
      </c>
      <c r="O1" s="11" t="s">
        <v>2385</v>
      </c>
      <c r="P1" s="11" t="s">
        <v>2385</v>
      </c>
      <c r="Q1" s="108" t="s">
        <v>2295</v>
      </c>
      <c r="R1" s="108" t="s">
        <v>2294</v>
      </c>
      <c r="S1" s="11"/>
      <c r="T1" s="136" t="s">
        <v>2394</v>
      </c>
    </row>
    <row r="2" spans="1:20" ht="15.75" customHeight="1">
      <c r="A2" s="149" t="s">
        <v>2403</v>
      </c>
      <c r="B2" s="273"/>
      <c r="C2" s="20" t="s">
        <v>2486</v>
      </c>
      <c r="D2" s="284">
        <v>70</v>
      </c>
      <c r="E2" s="109">
        <f t="shared" ref="E2:E33" si="0">ROUNDUP(R2,-1)</f>
        <v>1000</v>
      </c>
      <c r="F2" s="21">
        <f t="shared" ref="F2:F16" si="1">+E2*1.21</f>
        <v>1210</v>
      </c>
      <c r="G2" s="22"/>
      <c r="H2" s="135">
        <f t="shared" ref="H2:H33" si="2">ROUNDUP(T2,-1)</f>
        <v>0</v>
      </c>
      <c r="I2" s="23">
        <v>45217</v>
      </c>
      <c r="J2" s="23">
        <v>45271</v>
      </c>
      <c r="K2" s="10"/>
      <c r="L2" s="10">
        <f>PROVEEDORES!$D$15*0.6*0.933</f>
        <v>495.423</v>
      </c>
      <c r="M2" s="11"/>
      <c r="N2" s="100"/>
      <c r="O2" s="11">
        <f t="shared" ref="O2:O69" si="3">MIN(K2:M2)</f>
        <v>495.423</v>
      </c>
      <c r="P2" s="11">
        <f>+O2</f>
        <v>495.423</v>
      </c>
      <c r="Q2" s="11">
        <v>2</v>
      </c>
      <c r="R2" s="11">
        <f>+P2*Q2</f>
        <v>990.846</v>
      </c>
      <c r="S2" s="11"/>
      <c r="T2" s="136">
        <f t="shared" ref="T2:T33" si="4">+N2*Q2</f>
        <v>0</v>
      </c>
    </row>
    <row r="3" spans="1:20" ht="15.75" customHeight="1">
      <c r="A3" s="149" t="s">
        <v>2403</v>
      </c>
      <c r="B3" s="273"/>
      <c r="C3" s="274" t="s">
        <v>2487</v>
      </c>
      <c r="D3" s="283">
        <v>160</v>
      </c>
      <c r="E3" s="109">
        <f t="shared" si="0"/>
        <v>2370</v>
      </c>
      <c r="F3" s="21">
        <f t="shared" si="1"/>
        <v>2867.7</v>
      </c>
      <c r="G3" s="22"/>
      <c r="H3" s="135">
        <f t="shared" si="2"/>
        <v>0</v>
      </c>
      <c r="I3" s="23">
        <v>45217</v>
      </c>
      <c r="J3" s="23">
        <v>45271</v>
      </c>
      <c r="K3" s="10"/>
      <c r="L3" s="10">
        <f>PROVEEDORES!$D$15*0.6*2.23</f>
        <v>1184.1299999999999</v>
      </c>
      <c r="M3" s="11"/>
      <c r="N3" s="100"/>
      <c r="O3" s="11">
        <f t="shared" si="3"/>
        <v>1184.1299999999999</v>
      </c>
      <c r="P3" s="11">
        <f t="shared" ref="P3:P52" si="5">+O3</f>
        <v>1184.1299999999999</v>
      </c>
      <c r="Q3" s="11">
        <v>2</v>
      </c>
      <c r="R3" s="11">
        <f t="shared" ref="R3:R67" si="6">+P3*Q3</f>
        <v>2368.2599999999998</v>
      </c>
      <c r="S3" s="11"/>
      <c r="T3" s="136">
        <f t="shared" si="4"/>
        <v>0</v>
      </c>
    </row>
    <row r="4" spans="1:20" ht="15.75" customHeight="1">
      <c r="A4" s="149">
        <v>12</v>
      </c>
      <c r="B4" s="273"/>
      <c r="C4" s="20" t="s">
        <v>44358</v>
      </c>
      <c r="D4" s="284">
        <v>300</v>
      </c>
      <c r="E4" s="109">
        <f t="shared" si="0"/>
        <v>5170</v>
      </c>
      <c r="F4" s="21">
        <f t="shared" si="1"/>
        <v>6255.7</v>
      </c>
      <c r="G4" s="22"/>
      <c r="H4" s="135">
        <f t="shared" si="2"/>
        <v>0</v>
      </c>
      <c r="I4" s="23">
        <v>45314</v>
      </c>
      <c r="J4" s="23"/>
      <c r="K4" s="10">
        <v>2585</v>
      </c>
      <c r="L4" s="10"/>
      <c r="M4" s="11"/>
      <c r="N4" s="100"/>
      <c r="O4" s="11">
        <f t="shared" si="3"/>
        <v>2585</v>
      </c>
      <c r="P4" s="11">
        <f t="shared" si="5"/>
        <v>2585</v>
      </c>
      <c r="Q4" s="11">
        <v>2</v>
      </c>
      <c r="R4" s="11">
        <f t="shared" si="6"/>
        <v>5170</v>
      </c>
      <c r="S4" s="11"/>
      <c r="T4" s="136">
        <f t="shared" si="4"/>
        <v>0</v>
      </c>
    </row>
    <row r="5" spans="1:20" ht="15.75" customHeight="1">
      <c r="A5" s="149" t="s">
        <v>4207</v>
      </c>
      <c r="B5" s="273"/>
      <c r="C5" s="20" t="s">
        <v>44359</v>
      </c>
      <c r="D5" s="284">
        <v>300</v>
      </c>
      <c r="E5" s="109">
        <f t="shared" si="0"/>
        <v>6800</v>
      </c>
      <c r="F5" s="21">
        <f t="shared" si="1"/>
        <v>8228</v>
      </c>
      <c r="G5" s="22"/>
      <c r="H5" s="135">
        <f t="shared" si="2"/>
        <v>0</v>
      </c>
      <c r="I5" s="23">
        <v>45314</v>
      </c>
      <c r="J5" s="23"/>
      <c r="K5" s="10">
        <v>3399</v>
      </c>
      <c r="L5" s="10"/>
      <c r="M5" s="10"/>
      <c r="N5" s="100"/>
      <c r="O5" s="11">
        <f t="shared" si="3"/>
        <v>3399</v>
      </c>
      <c r="P5" s="11">
        <f t="shared" si="5"/>
        <v>3399</v>
      </c>
      <c r="Q5" s="11">
        <v>2</v>
      </c>
      <c r="R5" s="11">
        <f t="shared" si="6"/>
        <v>6798</v>
      </c>
      <c r="S5" s="11"/>
      <c r="T5" s="136">
        <f t="shared" si="4"/>
        <v>0</v>
      </c>
    </row>
    <row r="6" spans="1:20" ht="15.75" customHeight="1">
      <c r="A6" s="149" t="s">
        <v>2403</v>
      </c>
      <c r="B6" s="273"/>
      <c r="C6" s="20" t="s">
        <v>3486</v>
      </c>
      <c r="D6" s="155">
        <v>360</v>
      </c>
      <c r="E6" s="109">
        <f t="shared" si="0"/>
        <v>6590</v>
      </c>
      <c r="F6" s="21">
        <f t="shared" si="1"/>
        <v>7973.9</v>
      </c>
      <c r="G6" s="22"/>
      <c r="H6" s="135">
        <f t="shared" si="2"/>
        <v>0</v>
      </c>
      <c r="I6" s="23">
        <v>45217</v>
      </c>
      <c r="J6" s="23">
        <v>45271</v>
      </c>
      <c r="K6" s="10"/>
      <c r="L6" s="10">
        <f>PROVEEDORES!$D$15*0.6*6.2</f>
        <v>3292.2000000000003</v>
      </c>
      <c r="M6" s="11"/>
      <c r="N6" s="100"/>
      <c r="O6" s="11">
        <f t="shared" si="3"/>
        <v>3292.2000000000003</v>
      </c>
      <c r="P6" s="11">
        <f t="shared" si="5"/>
        <v>3292.2000000000003</v>
      </c>
      <c r="Q6" s="11">
        <v>2</v>
      </c>
      <c r="R6" s="11">
        <f t="shared" si="6"/>
        <v>6584.4000000000005</v>
      </c>
      <c r="S6" s="11"/>
      <c r="T6" s="136">
        <f t="shared" si="4"/>
        <v>0</v>
      </c>
    </row>
    <row r="7" spans="1:20" ht="15.75" customHeight="1">
      <c r="A7" s="149" t="s">
        <v>4207</v>
      </c>
      <c r="B7" s="273"/>
      <c r="C7" s="20" t="s">
        <v>3525</v>
      </c>
      <c r="D7" s="132">
        <v>860</v>
      </c>
      <c r="E7" s="131">
        <f t="shared" si="0"/>
        <v>6360</v>
      </c>
      <c r="F7" s="21">
        <f t="shared" si="1"/>
        <v>7695.5999999999995</v>
      </c>
      <c r="G7" s="22"/>
      <c r="H7" s="135">
        <f t="shared" si="2"/>
        <v>0</v>
      </c>
      <c r="I7" s="23">
        <v>45217</v>
      </c>
      <c r="J7" s="23">
        <v>45271</v>
      </c>
      <c r="K7" s="10"/>
      <c r="L7" s="10">
        <f>+PROVEEDORES!$D$15*0.6*5.98</f>
        <v>3175.38</v>
      </c>
      <c r="M7" s="10"/>
      <c r="N7" s="100"/>
      <c r="O7" s="11">
        <f t="shared" si="3"/>
        <v>3175.38</v>
      </c>
      <c r="P7" s="11">
        <f t="shared" si="5"/>
        <v>3175.38</v>
      </c>
      <c r="Q7" s="11">
        <v>2</v>
      </c>
      <c r="R7" s="11">
        <f t="shared" si="6"/>
        <v>6350.76</v>
      </c>
      <c r="S7" s="11"/>
      <c r="T7" s="136">
        <f t="shared" si="4"/>
        <v>0</v>
      </c>
    </row>
    <row r="8" spans="1:20" ht="15.75" customHeight="1">
      <c r="A8" s="149"/>
      <c r="B8" s="273"/>
      <c r="C8" s="20" t="s">
        <v>3649</v>
      </c>
      <c r="D8" s="132">
        <v>300</v>
      </c>
      <c r="E8" s="131">
        <f t="shared" si="0"/>
        <v>5880</v>
      </c>
      <c r="F8" s="21">
        <f t="shared" si="1"/>
        <v>7114.8</v>
      </c>
      <c r="G8" s="22"/>
      <c r="H8" s="135">
        <f t="shared" si="2"/>
        <v>0</v>
      </c>
      <c r="I8" s="23">
        <v>45157</v>
      </c>
      <c r="J8" s="23"/>
      <c r="K8" s="10">
        <v>3456.48</v>
      </c>
      <c r="L8" s="133"/>
      <c r="M8" s="11"/>
      <c r="N8" s="100"/>
      <c r="O8" s="11">
        <f t="shared" si="3"/>
        <v>3456.48</v>
      </c>
      <c r="P8" s="11">
        <f t="shared" si="5"/>
        <v>3456.48</v>
      </c>
      <c r="Q8" s="11">
        <v>1.7</v>
      </c>
      <c r="R8" s="11">
        <f t="shared" si="6"/>
        <v>5876.0159999999996</v>
      </c>
      <c r="S8" s="11"/>
      <c r="T8" s="136">
        <f t="shared" si="4"/>
        <v>0</v>
      </c>
    </row>
    <row r="9" spans="1:20" ht="15.75" customHeight="1">
      <c r="A9" s="149">
        <v>52</v>
      </c>
      <c r="B9" s="273"/>
      <c r="C9" s="20" t="s">
        <v>1205</v>
      </c>
      <c r="D9" s="132">
        <v>300</v>
      </c>
      <c r="E9" s="131">
        <f t="shared" si="0"/>
        <v>7820</v>
      </c>
      <c r="F9" s="21">
        <f t="shared" si="1"/>
        <v>9462.1999999999989</v>
      </c>
      <c r="G9" s="22"/>
      <c r="H9" s="135">
        <f t="shared" si="2"/>
        <v>0</v>
      </c>
      <c r="I9" s="23">
        <v>44385</v>
      </c>
      <c r="J9" s="23">
        <v>45338</v>
      </c>
      <c r="K9" s="10">
        <f>+PROVEEDORES!D46*0.85*0.95*0.97*37.99/6</f>
        <v>5207.4080187500003</v>
      </c>
      <c r="L9" s="133"/>
      <c r="M9" s="11"/>
      <c r="N9" s="100"/>
      <c r="O9" s="11">
        <f t="shared" si="3"/>
        <v>5207.4080187500003</v>
      </c>
      <c r="P9" s="11">
        <f t="shared" si="5"/>
        <v>5207.4080187500003</v>
      </c>
      <c r="Q9" s="11">
        <v>1.5</v>
      </c>
      <c r="R9" s="11">
        <f t="shared" si="6"/>
        <v>7811.1120281250005</v>
      </c>
      <c r="S9" s="11"/>
      <c r="T9" s="136">
        <f t="shared" si="4"/>
        <v>0</v>
      </c>
    </row>
    <row r="10" spans="1:20" ht="15.75" customHeight="1">
      <c r="A10" s="149">
        <v>16</v>
      </c>
      <c r="B10" s="273"/>
      <c r="C10" s="20" t="s">
        <v>2098</v>
      </c>
      <c r="D10" s="132">
        <v>880</v>
      </c>
      <c r="E10" s="147">
        <f t="shared" si="0"/>
        <v>52950</v>
      </c>
      <c r="F10" s="21">
        <f t="shared" si="1"/>
        <v>64069.5</v>
      </c>
      <c r="G10" s="251"/>
      <c r="H10" s="135">
        <f t="shared" si="2"/>
        <v>0</v>
      </c>
      <c r="I10" s="294"/>
      <c r="J10" s="23">
        <v>45345</v>
      </c>
      <c r="K10" s="10">
        <f>35000+300</f>
        <v>35300</v>
      </c>
      <c r="L10" s="133"/>
      <c r="M10" s="11"/>
      <c r="N10" s="100"/>
      <c r="O10" s="11">
        <f t="shared" si="3"/>
        <v>35300</v>
      </c>
      <c r="P10" s="11">
        <f t="shared" si="5"/>
        <v>35300</v>
      </c>
      <c r="Q10" s="11">
        <v>1.5</v>
      </c>
      <c r="R10" s="11">
        <f t="shared" si="6"/>
        <v>52950</v>
      </c>
      <c r="S10" s="11"/>
      <c r="T10" s="136">
        <f t="shared" si="4"/>
        <v>0</v>
      </c>
    </row>
    <row r="11" spans="1:20" ht="15.75" customHeight="1">
      <c r="A11" s="149">
        <v>41</v>
      </c>
      <c r="B11" s="273"/>
      <c r="C11" s="20" t="s">
        <v>1206</v>
      </c>
      <c r="D11" s="132">
        <v>1040</v>
      </c>
      <c r="E11" s="132">
        <f t="shared" si="0"/>
        <v>19010</v>
      </c>
      <c r="F11" s="21">
        <f t="shared" si="1"/>
        <v>23002.1</v>
      </c>
      <c r="G11" s="251"/>
      <c r="H11" s="135">
        <f t="shared" si="2"/>
        <v>0</v>
      </c>
      <c r="I11" s="23"/>
      <c r="J11" s="23">
        <v>45350</v>
      </c>
      <c r="K11" s="10">
        <f>+PROVEEDORES!D35*11.1</f>
        <v>11877</v>
      </c>
      <c r="L11" s="133"/>
      <c r="M11" s="11"/>
      <c r="N11" s="100"/>
      <c r="O11" s="11">
        <f t="shared" si="3"/>
        <v>11877</v>
      </c>
      <c r="P11" s="11">
        <f t="shared" si="5"/>
        <v>11877</v>
      </c>
      <c r="Q11" s="11">
        <v>1.6</v>
      </c>
      <c r="R11" s="11">
        <f t="shared" si="6"/>
        <v>19003.2</v>
      </c>
      <c r="S11" s="11"/>
      <c r="T11" s="136">
        <f t="shared" si="4"/>
        <v>0</v>
      </c>
    </row>
    <row r="12" spans="1:20" ht="15.75" customHeight="1">
      <c r="A12" s="149">
        <v>16</v>
      </c>
      <c r="B12" s="273"/>
      <c r="C12" s="20" t="s">
        <v>2849</v>
      </c>
      <c r="D12" s="132">
        <v>760</v>
      </c>
      <c r="E12" s="147">
        <f t="shared" si="0"/>
        <v>0</v>
      </c>
      <c r="F12" s="21">
        <f t="shared" si="1"/>
        <v>0</v>
      </c>
      <c r="G12" s="251"/>
      <c r="H12" s="135">
        <f t="shared" si="2"/>
        <v>0</v>
      </c>
      <c r="I12" s="294">
        <v>45054</v>
      </c>
      <c r="J12" s="23"/>
      <c r="K12" s="10">
        <f>0.9*3670*1.1*1.35*1.1*1.15*1.2</f>
        <v>7445.7216900000021</v>
      </c>
      <c r="L12" s="11"/>
      <c r="M12" s="11"/>
      <c r="N12" s="100"/>
      <c r="O12" s="11">
        <f t="shared" si="3"/>
        <v>7445.7216900000021</v>
      </c>
      <c r="P12" s="11">
        <f t="shared" si="5"/>
        <v>7445.7216900000021</v>
      </c>
      <c r="Q12" s="11"/>
      <c r="R12" s="11">
        <f t="shared" si="6"/>
        <v>0</v>
      </c>
      <c r="S12" s="11"/>
      <c r="T12" s="136">
        <f t="shared" si="4"/>
        <v>0</v>
      </c>
    </row>
    <row r="13" spans="1:20" ht="15.75" customHeight="1">
      <c r="A13" s="149">
        <v>41</v>
      </c>
      <c r="B13" s="273"/>
      <c r="C13" s="20" t="s">
        <v>2177</v>
      </c>
      <c r="D13" s="132">
        <v>870</v>
      </c>
      <c r="E13" s="132">
        <f t="shared" si="0"/>
        <v>16950</v>
      </c>
      <c r="F13" s="21">
        <f t="shared" si="1"/>
        <v>20509.5</v>
      </c>
      <c r="G13" s="251"/>
      <c r="H13" s="135">
        <f t="shared" si="2"/>
        <v>0</v>
      </c>
      <c r="I13" s="23"/>
      <c r="J13" s="23">
        <v>45350</v>
      </c>
      <c r="K13" s="10">
        <f>0.9*PROVEEDORES!D35*11</f>
        <v>10593</v>
      </c>
      <c r="L13" s="133"/>
      <c r="M13" s="11"/>
      <c r="N13" s="100"/>
      <c r="O13" s="11">
        <f t="shared" si="3"/>
        <v>10593</v>
      </c>
      <c r="P13" s="11">
        <f t="shared" si="5"/>
        <v>10593</v>
      </c>
      <c r="Q13" s="11">
        <v>1.6</v>
      </c>
      <c r="R13" s="11">
        <f t="shared" si="6"/>
        <v>16948.8</v>
      </c>
      <c r="S13" s="11"/>
      <c r="T13" s="136">
        <f t="shared" si="4"/>
        <v>0</v>
      </c>
    </row>
    <row r="14" spans="1:20" ht="15.75" customHeight="1">
      <c r="A14" s="149">
        <v>24</v>
      </c>
      <c r="B14" s="273"/>
      <c r="C14" s="20" t="s">
        <v>4547</v>
      </c>
      <c r="D14" s="132"/>
      <c r="E14" s="131">
        <f t="shared" si="0"/>
        <v>1790</v>
      </c>
      <c r="F14" s="21">
        <f t="shared" si="1"/>
        <v>2165.9</v>
      </c>
      <c r="G14" s="22"/>
      <c r="H14" s="135">
        <f t="shared" si="2"/>
        <v>0</v>
      </c>
      <c r="I14" s="294">
        <v>45175</v>
      </c>
      <c r="J14" s="23"/>
      <c r="K14" s="10">
        <f>+PROVEEDORES!D18*0.5*2.24</f>
        <v>1187.2</v>
      </c>
      <c r="L14" s="148"/>
      <c r="M14" s="11"/>
      <c r="N14" s="100"/>
      <c r="O14" s="11">
        <f t="shared" si="3"/>
        <v>1187.2</v>
      </c>
      <c r="P14" s="11">
        <f t="shared" si="5"/>
        <v>1187.2</v>
      </c>
      <c r="Q14" s="11">
        <v>1.5</v>
      </c>
      <c r="R14" s="11">
        <f t="shared" si="6"/>
        <v>1780.8000000000002</v>
      </c>
      <c r="S14" s="11"/>
      <c r="T14" s="136">
        <f t="shared" si="4"/>
        <v>0</v>
      </c>
    </row>
    <row r="15" spans="1:20" ht="15.75" customHeight="1">
      <c r="A15" s="149">
        <v>38</v>
      </c>
      <c r="B15" s="273"/>
      <c r="C15" s="20" t="s">
        <v>4220</v>
      </c>
      <c r="D15" s="132"/>
      <c r="E15" s="131">
        <f>ROUNDUP(R15,-1)</f>
        <v>850</v>
      </c>
      <c r="F15" s="21">
        <f>+E15*1.21</f>
        <v>1028.5</v>
      </c>
      <c r="G15" s="22"/>
      <c r="H15" s="135">
        <f>ROUNDUP(T15,-1)</f>
        <v>0</v>
      </c>
      <c r="I15" s="294">
        <v>45173</v>
      </c>
      <c r="J15" s="23"/>
      <c r="K15" s="10">
        <v>528</v>
      </c>
      <c r="L15" s="148"/>
      <c r="M15" s="11"/>
      <c r="N15" s="100"/>
      <c r="O15" s="11">
        <f>MIN(K15:M15)</f>
        <v>528</v>
      </c>
      <c r="P15" s="11">
        <f t="shared" si="5"/>
        <v>528</v>
      </c>
      <c r="Q15" s="11">
        <v>1.6</v>
      </c>
      <c r="R15" s="11">
        <f t="shared" si="6"/>
        <v>844.80000000000007</v>
      </c>
      <c r="S15" s="11"/>
      <c r="T15" s="136">
        <f>+N15*Q15</f>
        <v>0</v>
      </c>
    </row>
    <row r="16" spans="1:20" ht="15.75" customHeight="1">
      <c r="A16" s="149">
        <v>38</v>
      </c>
      <c r="B16" s="273"/>
      <c r="C16" s="20" t="s">
        <v>2579</v>
      </c>
      <c r="D16" s="132">
        <v>90</v>
      </c>
      <c r="E16" s="131">
        <f t="shared" si="0"/>
        <v>1980</v>
      </c>
      <c r="F16" s="21">
        <f t="shared" si="1"/>
        <v>2395.7999999999997</v>
      </c>
      <c r="G16" s="251"/>
      <c r="H16" s="135">
        <f t="shared" si="2"/>
        <v>0</v>
      </c>
      <c r="I16" s="294">
        <v>45173</v>
      </c>
      <c r="J16" s="23"/>
      <c r="K16" s="10">
        <v>1314</v>
      </c>
      <c r="L16" s="148"/>
      <c r="M16" s="11"/>
      <c r="N16" s="100"/>
      <c r="O16" s="11">
        <f>MIN(K16:M16)*'AUMENTOS %'!B9</f>
        <v>1314</v>
      </c>
      <c r="P16" s="11">
        <f t="shared" si="5"/>
        <v>1314</v>
      </c>
      <c r="Q16" s="11">
        <v>1.5</v>
      </c>
      <c r="R16" s="11">
        <f t="shared" si="6"/>
        <v>1971</v>
      </c>
      <c r="S16" s="11"/>
      <c r="T16" s="136">
        <f t="shared" si="4"/>
        <v>0</v>
      </c>
    </row>
    <row r="17" spans="1:20" ht="15.75" customHeight="1">
      <c r="A17" s="195"/>
      <c r="B17" s="273">
        <f>ROUNDUP(E17*1.06,-1)</f>
        <v>500710</v>
      </c>
      <c r="C17" s="20" t="s">
        <v>3817</v>
      </c>
      <c r="D17" s="132">
        <v>19880</v>
      </c>
      <c r="E17" s="131">
        <f t="shared" si="0"/>
        <v>472360</v>
      </c>
      <c r="F17" s="21" t="s">
        <v>1248</v>
      </c>
      <c r="G17" s="21">
        <f>+E17*1.105</f>
        <v>521957.8</v>
      </c>
      <c r="H17" s="135">
        <f t="shared" si="2"/>
        <v>0</v>
      </c>
      <c r="I17" s="23">
        <v>45358</v>
      </c>
      <c r="J17" s="23"/>
      <c r="K17" s="10">
        <v>337397</v>
      </c>
      <c r="L17" s="11"/>
      <c r="M17" s="11"/>
      <c r="N17" s="100"/>
      <c r="O17" s="11">
        <f t="shared" si="3"/>
        <v>337397</v>
      </c>
      <c r="P17" s="11">
        <f t="shared" si="5"/>
        <v>337397</v>
      </c>
      <c r="Q17" s="11">
        <v>1.4</v>
      </c>
      <c r="R17" s="11">
        <f t="shared" si="6"/>
        <v>472355.8</v>
      </c>
      <c r="S17" s="11"/>
      <c r="T17" s="136">
        <f t="shared" si="4"/>
        <v>0</v>
      </c>
    </row>
    <row r="18" spans="1:20" ht="15.75" customHeight="1">
      <c r="A18" s="149"/>
      <c r="B18" s="273">
        <f>ROUNDUP(E18*1.06,-1)</f>
        <v>688890</v>
      </c>
      <c r="C18" s="20" t="s">
        <v>4402</v>
      </c>
      <c r="D18" s="132">
        <v>19880</v>
      </c>
      <c r="E18" s="131">
        <f t="shared" si="0"/>
        <v>649890</v>
      </c>
      <c r="F18" s="21" t="s">
        <v>1248</v>
      </c>
      <c r="G18" s="21">
        <f>+E18*1.105</f>
        <v>718128.45</v>
      </c>
      <c r="H18" s="135">
        <f t="shared" si="2"/>
        <v>0</v>
      </c>
      <c r="I18" s="23">
        <v>45358</v>
      </c>
      <c r="J18" s="23"/>
      <c r="K18" s="10">
        <v>464202</v>
      </c>
      <c r="L18" s="11"/>
      <c r="M18" s="11"/>
      <c r="N18" s="100"/>
      <c r="O18" s="11">
        <f t="shared" si="3"/>
        <v>464202</v>
      </c>
      <c r="P18" s="11">
        <f t="shared" si="5"/>
        <v>464202</v>
      </c>
      <c r="Q18" s="11">
        <v>1.4</v>
      </c>
      <c r="R18" s="11">
        <f t="shared" si="6"/>
        <v>649882.79999999993</v>
      </c>
      <c r="S18" s="11"/>
      <c r="T18" s="136">
        <f t="shared" si="4"/>
        <v>0</v>
      </c>
    </row>
    <row r="19" spans="1:20" ht="15.75" customHeight="1">
      <c r="A19" s="149">
        <v>87</v>
      </c>
      <c r="B19" s="273"/>
      <c r="C19" s="20" t="s">
        <v>1207</v>
      </c>
      <c r="D19" s="132">
        <v>190</v>
      </c>
      <c r="E19" s="131">
        <f t="shared" si="0"/>
        <v>1400</v>
      </c>
      <c r="F19" s="21">
        <f>+E19*1.21</f>
        <v>1694</v>
      </c>
      <c r="G19" s="22"/>
      <c r="H19" s="135">
        <f t="shared" si="2"/>
        <v>0</v>
      </c>
      <c r="I19" s="23">
        <v>45377</v>
      </c>
      <c r="J19" s="23"/>
      <c r="K19" s="10">
        <v>700</v>
      </c>
      <c r="L19" s="11"/>
      <c r="M19" s="11"/>
      <c r="N19" s="100"/>
      <c r="O19" s="11">
        <f t="shared" si="3"/>
        <v>700</v>
      </c>
      <c r="P19" s="11">
        <f t="shared" si="5"/>
        <v>700</v>
      </c>
      <c r="Q19" s="11">
        <v>2</v>
      </c>
      <c r="R19" s="11">
        <f t="shared" si="6"/>
        <v>1400</v>
      </c>
      <c r="S19" s="11"/>
      <c r="T19" s="136">
        <f t="shared" si="4"/>
        <v>0</v>
      </c>
    </row>
    <row r="20" spans="1:20" ht="15.75" customHeight="1">
      <c r="A20" s="149">
        <v>87</v>
      </c>
      <c r="B20" s="273"/>
      <c r="C20" s="20" t="s">
        <v>1208</v>
      </c>
      <c r="D20" s="132">
        <v>170</v>
      </c>
      <c r="E20" s="131">
        <f t="shared" si="0"/>
        <v>1300</v>
      </c>
      <c r="F20" s="21">
        <f>+E20*1.21</f>
        <v>1573</v>
      </c>
      <c r="G20" s="92"/>
      <c r="H20" s="135">
        <f t="shared" si="2"/>
        <v>0</v>
      </c>
      <c r="I20" s="23">
        <v>45377</v>
      </c>
      <c r="J20" s="23"/>
      <c r="K20" s="10">
        <v>650</v>
      </c>
      <c r="L20" s="25"/>
      <c r="M20" s="11"/>
      <c r="N20" s="100"/>
      <c r="O20" s="11">
        <f t="shared" si="3"/>
        <v>650</v>
      </c>
      <c r="P20" s="11">
        <f t="shared" si="5"/>
        <v>650</v>
      </c>
      <c r="Q20" s="11">
        <v>2</v>
      </c>
      <c r="R20" s="11">
        <f t="shared" si="6"/>
        <v>1300</v>
      </c>
      <c r="S20" s="11"/>
      <c r="T20" s="136">
        <f t="shared" si="4"/>
        <v>0</v>
      </c>
    </row>
    <row r="21" spans="1:20" ht="15.75" customHeight="1">
      <c r="A21" s="149">
        <v>87</v>
      </c>
      <c r="B21" s="273"/>
      <c r="C21" s="20" t="s">
        <v>2873</v>
      </c>
      <c r="D21" s="132"/>
      <c r="E21" s="131">
        <f t="shared" si="0"/>
        <v>0</v>
      </c>
      <c r="F21" s="21"/>
      <c r="G21" s="21"/>
      <c r="H21" s="135">
        <f t="shared" si="2"/>
        <v>0</v>
      </c>
      <c r="I21" s="23"/>
      <c r="J21" s="23"/>
      <c r="K21" s="10">
        <v>190</v>
      </c>
      <c r="L21" s="11"/>
      <c r="M21" s="11"/>
      <c r="N21" s="100"/>
      <c r="O21" s="11">
        <f t="shared" si="3"/>
        <v>190</v>
      </c>
      <c r="P21" s="11">
        <f t="shared" si="5"/>
        <v>190</v>
      </c>
      <c r="Q21" s="11"/>
      <c r="R21" s="11">
        <f t="shared" si="6"/>
        <v>0</v>
      </c>
      <c r="S21" s="11"/>
      <c r="T21" s="136">
        <f t="shared" si="4"/>
        <v>0</v>
      </c>
    </row>
    <row r="22" spans="1:20" ht="15.75" customHeight="1">
      <c r="A22" s="149">
        <v>10</v>
      </c>
      <c r="B22" s="273">
        <f>ROUNDUP(E22*1.105,-1)</f>
        <v>0</v>
      </c>
      <c r="C22" s="20" t="s">
        <v>3474</v>
      </c>
      <c r="D22" s="132"/>
      <c r="E22" s="131">
        <f t="shared" si="0"/>
        <v>0</v>
      </c>
      <c r="F22" s="21">
        <f t="shared" ref="F22:F59" si="7">+E22*1.21</f>
        <v>0</v>
      </c>
      <c r="G22" s="22"/>
      <c r="H22" s="135">
        <f t="shared" si="2"/>
        <v>0</v>
      </c>
      <c r="I22" s="23">
        <v>44721</v>
      </c>
      <c r="J22" s="23">
        <v>44768</v>
      </c>
      <c r="K22" s="25">
        <f>65*0.86*510</f>
        <v>28509</v>
      </c>
      <c r="L22" s="25"/>
      <c r="M22" s="11"/>
      <c r="N22" s="100"/>
      <c r="O22" s="11">
        <f t="shared" si="3"/>
        <v>28509</v>
      </c>
      <c r="P22" s="11">
        <f t="shared" si="5"/>
        <v>28509</v>
      </c>
      <c r="Q22" s="25"/>
      <c r="R22" s="11">
        <f t="shared" si="6"/>
        <v>0</v>
      </c>
      <c r="S22" s="11"/>
      <c r="T22" s="136">
        <f t="shared" si="4"/>
        <v>0</v>
      </c>
    </row>
    <row r="23" spans="1:20" ht="15.75" customHeight="1">
      <c r="A23" s="149" t="s">
        <v>2389</v>
      </c>
      <c r="B23" s="273">
        <f t="shared" ref="B23:B90" si="8">ROUNDUP(E23*1.105,-1)</f>
        <v>0</v>
      </c>
      <c r="C23" s="20" t="s">
        <v>2753</v>
      </c>
      <c r="D23" s="132">
        <v>11350</v>
      </c>
      <c r="E23" s="131">
        <f t="shared" si="0"/>
        <v>0</v>
      </c>
      <c r="F23" s="21">
        <f t="shared" si="7"/>
        <v>0</v>
      </c>
      <c r="G23" s="22"/>
      <c r="H23" s="135">
        <f t="shared" si="2"/>
        <v>0</v>
      </c>
      <c r="I23" s="23">
        <v>44721</v>
      </c>
      <c r="J23" s="23">
        <v>44768</v>
      </c>
      <c r="K23" s="25">
        <f>65*0.86*533</f>
        <v>29794.7</v>
      </c>
      <c r="L23" s="25"/>
      <c r="M23" s="11"/>
      <c r="N23" s="100"/>
      <c r="O23" s="11">
        <f t="shared" si="3"/>
        <v>29794.7</v>
      </c>
      <c r="P23" s="11">
        <f t="shared" si="5"/>
        <v>29794.7</v>
      </c>
      <c r="Q23" s="25"/>
      <c r="R23" s="11">
        <f t="shared" si="6"/>
        <v>0</v>
      </c>
      <c r="S23" s="11"/>
      <c r="T23" s="136">
        <f t="shared" si="4"/>
        <v>0</v>
      </c>
    </row>
    <row r="24" spans="1:20" ht="15.75" customHeight="1">
      <c r="A24" s="149">
        <v>103</v>
      </c>
      <c r="B24" s="273">
        <f t="shared" si="8"/>
        <v>262450</v>
      </c>
      <c r="C24" s="20" t="s">
        <v>3827</v>
      </c>
      <c r="D24" s="132"/>
      <c r="E24" s="131">
        <f t="shared" si="0"/>
        <v>237510</v>
      </c>
      <c r="F24" s="21">
        <f t="shared" si="7"/>
        <v>287387.09999999998</v>
      </c>
      <c r="G24" s="22"/>
      <c r="H24" s="135">
        <f t="shared" si="2"/>
        <v>214330</v>
      </c>
      <c r="I24" s="23"/>
      <c r="J24" s="23">
        <v>45345</v>
      </c>
      <c r="K24" s="25">
        <f>65*2520</f>
        <v>163800</v>
      </c>
      <c r="L24" s="238"/>
      <c r="M24" s="11"/>
      <c r="N24" s="100">
        <f>2274*65</f>
        <v>147810</v>
      </c>
      <c r="O24" s="11">
        <f t="shared" si="3"/>
        <v>163800</v>
      </c>
      <c r="P24" s="11">
        <f t="shared" si="5"/>
        <v>163800</v>
      </c>
      <c r="Q24" s="25">
        <v>1.45</v>
      </c>
      <c r="R24" s="11">
        <f t="shared" si="6"/>
        <v>237510</v>
      </c>
      <c r="S24" s="11"/>
      <c r="T24" s="136">
        <f t="shared" si="4"/>
        <v>214324.5</v>
      </c>
    </row>
    <row r="25" spans="1:20" ht="15.75" customHeight="1">
      <c r="A25" s="149">
        <v>103</v>
      </c>
      <c r="B25" s="273">
        <f t="shared" si="8"/>
        <v>0</v>
      </c>
      <c r="C25" s="20" t="s">
        <v>3773</v>
      </c>
      <c r="D25" s="132"/>
      <c r="E25" s="131">
        <f t="shared" si="0"/>
        <v>0</v>
      </c>
      <c r="F25" s="21">
        <f t="shared" si="7"/>
        <v>0</v>
      </c>
      <c r="G25" s="22"/>
      <c r="H25" s="135">
        <f t="shared" si="2"/>
        <v>0</v>
      </c>
      <c r="I25" s="23"/>
      <c r="J25" s="23">
        <v>44935</v>
      </c>
      <c r="K25" s="25">
        <f>50*514</f>
        <v>25700</v>
      </c>
      <c r="L25" s="238"/>
      <c r="M25" s="11"/>
      <c r="N25" s="100"/>
      <c r="O25" s="11">
        <f t="shared" si="3"/>
        <v>25700</v>
      </c>
      <c r="P25" s="11">
        <f t="shared" si="5"/>
        <v>25700</v>
      </c>
      <c r="Q25" s="25"/>
      <c r="R25" s="11">
        <f t="shared" si="6"/>
        <v>0</v>
      </c>
      <c r="S25" s="11"/>
      <c r="T25" s="136">
        <f t="shared" si="4"/>
        <v>0</v>
      </c>
    </row>
    <row r="26" spans="1:20" ht="15.75" customHeight="1">
      <c r="A26" s="149">
        <v>10</v>
      </c>
      <c r="B26" s="273">
        <f t="shared" si="8"/>
        <v>0</v>
      </c>
      <c r="C26" s="20" t="s">
        <v>3758</v>
      </c>
      <c r="D26" s="132"/>
      <c r="E26" s="131">
        <f t="shared" si="0"/>
        <v>0</v>
      </c>
      <c r="F26" s="21">
        <f t="shared" si="7"/>
        <v>0</v>
      </c>
      <c r="G26" s="22"/>
      <c r="H26" s="135">
        <f t="shared" si="2"/>
        <v>0</v>
      </c>
      <c r="I26" s="23">
        <v>44721</v>
      </c>
      <c r="J26" s="23">
        <v>44768</v>
      </c>
      <c r="K26" s="25">
        <f>65*0.86*568</f>
        <v>31751.200000000001</v>
      </c>
      <c r="L26" s="25"/>
      <c r="M26" s="11"/>
      <c r="N26" s="100"/>
      <c r="O26" s="11">
        <f t="shared" si="3"/>
        <v>31751.200000000001</v>
      </c>
      <c r="P26" s="11">
        <f t="shared" si="5"/>
        <v>31751.200000000001</v>
      </c>
      <c r="Q26" s="25"/>
      <c r="R26" s="11">
        <f t="shared" si="6"/>
        <v>0</v>
      </c>
      <c r="S26" s="11"/>
      <c r="T26" s="136">
        <f t="shared" si="4"/>
        <v>0</v>
      </c>
    </row>
    <row r="27" spans="1:20" ht="15.75" customHeight="1">
      <c r="A27" s="149" t="s">
        <v>2403</v>
      </c>
      <c r="B27" s="273">
        <f t="shared" si="8"/>
        <v>4570</v>
      </c>
      <c r="C27" s="20" t="s">
        <v>44277</v>
      </c>
      <c r="D27" s="132">
        <v>200</v>
      </c>
      <c r="E27" s="131">
        <f t="shared" si="0"/>
        <v>4130</v>
      </c>
      <c r="F27" s="21">
        <f t="shared" si="7"/>
        <v>4997.3</v>
      </c>
      <c r="G27" s="22"/>
      <c r="H27" s="135">
        <f t="shared" si="2"/>
        <v>3750</v>
      </c>
      <c r="I27" s="23">
        <v>45217</v>
      </c>
      <c r="J27" s="23">
        <v>45376</v>
      </c>
      <c r="K27" s="25">
        <f>+PROVEEDORES!$D$15*0.6*5.18</f>
        <v>2750.58</v>
      </c>
      <c r="L27" s="25"/>
      <c r="M27" s="25"/>
      <c r="N27" s="25">
        <f>+PROVEEDORES!$D$15*0.6*4.7</f>
        <v>2495.7000000000003</v>
      </c>
      <c r="O27" s="11">
        <f t="shared" si="3"/>
        <v>2750.58</v>
      </c>
      <c r="P27" s="11">
        <f t="shared" si="5"/>
        <v>2750.58</v>
      </c>
      <c r="Q27" s="11">
        <v>1.5</v>
      </c>
      <c r="R27" s="11">
        <f t="shared" si="6"/>
        <v>4125.87</v>
      </c>
      <c r="S27" s="11"/>
      <c r="T27" s="136">
        <f t="shared" si="4"/>
        <v>3743.55</v>
      </c>
    </row>
    <row r="28" spans="1:20" ht="15.75" customHeight="1">
      <c r="A28" s="149" t="s">
        <v>2389</v>
      </c>
      <c r="B28" s="273">
        <f t="shared" si="8"/>
        <v>0</v>
      </c>
      <c r="C28" s="20" t="s">
        <v>3628</v>
      </c>
      <c r="D28" s="132">
        <v>10960</v>
      </c>
      <c r="E28" s="131">
        <f t="shared" si="0"/>
        <v>0</v>
      </c>
      <c r="F28" s="21">
        <f t="shared" si="7"/>
        <v>0</v>
      </c>
      <c r="G28" s="22"/>
      <c r="H28" s="135">
        <f t="shared" si="2"/>
        <v>0</v>
      </c>
      <c r="I28" s="23">
        <v>44721</v>
      </c>
      <c r="J28" s="23">
        <v>44768</v>
      </c>
      <c r="K28" s="25">
        <f>65*0.86*477</f>
        <v>26664.3</v>
      </c>
      <c r="L28" s="25">
        <f>+PROVEEDORES!$D$15*0.6*65*2.99*1.1*2</f>
        <v>227039.67000000004</v>
      </c>
      <c r="M28" s="238"/>
      <c r="N28" s="100"/>
      <c r="O28" s="11">
        <f t="shared" si="3"/>
        <v>26664.3</v>
      </c>
      <c r="P28" s="11">
        <f t="shared" si="5"/>
        <v>26664.3</v>
      </c>
      <c r="Q28" s="11"/>
      <c r="R28" s="11">
        <f t="shared" si="6"/>
        <v>0</v>
      </c>
      <c r="S28" s="11"/>
      <c r="T28" s="136">
        <f t="shared" si="4"/>
        <v>0</v>
      </c>
    </row>
    <row r="29" spans="1:20" ht="15.75" customHeight="1">
      <c r="A29" s="149">
        <v>103</v>
      </c>
      <c r="B29" s="273">
        <f t="shared" si="8"/>
        <v>238910</v>
      </c>
      <c r="C29" s="20" t="s">
        <v>3826</v>
      </c>
      <c r="D29" s="132"/>
      <c r="E29" s="131">
        <f t="shared" si="0"/>
        <v>216200</v>
      </c>
      <c r="F29" s="21">
        <f t="shared" si="7"/>
        <v>261602</v>
      </c>
      <c r="G29" s="22"/>
      <c r="H29" s="135">
        <f t="shared" si="2"/>
        <v>195150</v>
      </c>
      <c r="I29" s="23"/>
      <c r="J29" s="23">
        <v>45345</v>
      </c>
      <c r="K29" s="25">
        <f>60*2485</f>
        <v>149100</v>
      </c>
      <c r="L29" s="25"/>
      <c r="M29" s="25"/>
      <c r="N29" s="100">
        <f>2243*60</f>
        <v>134580</v>
      </c>
      <c r="O29" s="11">
        <f t="shared" si="3"/>
        <v>149100</v>
      </c>
      <c r="P29" s="11">
        <f t="shared" si="5"/>
        <v>149100</v>
      </c>
      <c r="Q29" s="11">
        <v>1.45</v>
      </c>
      <c r="R29" s="11">
        <f t="shared" si="6"/>
        <v>216195</v>
      </c>
      <c r="S29" s="11"/>
      <c r="T29" s="136">
        <f t="shared" si="4"/>
        <v>195141</v>
      </c>
    </row>
    <row r="30" spans="1:20" ht="15.75" customHeight="1">
      <c r="A30" s="149">
        <v>103</v>
      </c>
      <c r="B30" s="273">
        <f t="shared" si="8"/>
        <v>128270</v>
      </c>
      <c r="C30" s="20" t="s">
        <v>2909</v>
      </c>
      <c r="D30" s="132"/>
      <c r="E30" s="131">
        <f t="shared" si="0"/>
        <v>116080</v>
      </c>
      <c r="F30" s="21">
        <f t="shared" si="7"/>
        <v>140456.79999999999</v>
      </c>
      <c r="G30" s="200">
        <f>+H30*1.21</f>
        <v>127642.9</v>
      </c>
      <c r="H30" s="135">
        <f t="shared" si="2"/>
        <v>105490</v>
      </c>
      <c r="I30" s="23"/>
      <c r="J30" s="23">
        <v>45345</v>
      </c>
      <c r="K30" s="25">
        <f>50*1601</f>
        <v>80050</v>
      </c>
      <c r="L30" s="25"/>
      <c r="M30" s="25"/>
      <c r="N30" s="100">
        <f>1455*50</f>
        <v>72750</v>
      </c>
      <c r="O30" s="11">
        <f t="shared" si="3"/>
        <v>80050</v>
      </c>
      <c r="P30" s="11">
        <f t="shared" si="5"/>
        <v>80050</v>
      </c>
      <c r="Q30" s="11">
        <v>1.45</v>
      </c>
      <c r="R30" s="11">
        <f t="shared" si="6"/>
        <v>116072.5</v>
      </c>
      <c r="S30" s="11"/>
      <c r="T30" s="136">
        <f t="shared" si="4"/>
        <v>105487.5</v>
      </c>
    </row>
    <row r="31" spans="1:20" ht="15.75" customHeight="1">
      <c r="A31" s="149">
        <v>103</v>
      </c>
      <c r="B31" s="273">
        <f>ROUNDUP(E31*1.105,-1)</f>
        <v>256530</v>
      </c>
      <c r="C31" s="20" t="s">
        <v>3483</v>
      </c>
      <c r="D31" s="132"/>
      <c r="E31" s="131">
        <f>ROUNDUP(R31,-1)</f>
        <v>232150</v>
      </c>
      <c r="F31" s="21">
        <f>+E31*1.21</f>
        <v>280901.5</v>
      </c>
      <c r="G31" s="22"/>
      <c r="H31" s="135">
        <f>ROUNDUP(T31,-1)</f>
        <v>210980</v>
      </c>
      <c r="I31" s="23"/>
      <c r="J31" s="23">
        <v>45345</v>
      </c>
      <c r="K31" s="25">
        <f>100*1601</f>
        <v>160100</v>
      </c>
      <c r="L31" s="25"/>
      <c r="M31" s="25"/>
      <c r="N31" s="100">
        <f>1455*100</f>
        <v>145500</v>
      </c>
      <c r="O31" s="11">
        <f>MIN(K31:M31)</f>
        <v>160100</v>
      </c>
      <c r="P31" s="11">
        <f t="shared" si="5"/>
        <v>160100</v>
      </c>
      <c r="Q31" s="11">
        <v>1.45</v>
      </c>
      <c r="R31" s="11">
        <f t="shared" si="6"/>
        <v>232145</v>
      </c>
      <c r="S31" s="11"/>
      <c r="T31" s="136">
        <f>+N31*Q31</f>
        <v>210975</v>
      </c>
    </row>
    <row r="32" spans="1:20" ht="15.75" customHeight="1">
      <c r="A32" s="149">
        <v>10</v>
      </c>
      <c r="B32" s="273">
        <f t="shared" si="8"/>
        <v>0</v>
      </c>
      <c r="C32" s="20" t="s">
        <v>3629</v>
      </c>
      <c r="D32" s="132">
        <v>8110</v>
      </c>
      <c r="E32" s="131">
        <f t="shared" si="0"/>
        <v>0</v>
      </c>
      <c r="F32" s="21">
        <f t="shared" si="7"/>
        <v>0</v>
      </c>
      <c r="G32" s="200">
        <f>98800*1.06</f>
        <v>104728</v>
      </c>
      <c r="H32" s="135">
        <f t="shared" si="2"/>
        <v>0</v>
      </c>
      <c r="I32" s="23">
        <v>44721</v>
      </c>
      <c r="J32" s="23">
        <v>44768</v>
      </c>
      <c r="K32" s="25"/>
      <c r="L32" s="10"/>
      <c r="M32" s="25"/>
      <c r="N32" s="100"/>
      <c r="O32" s="11">
        <f t="shared" si="3"/>
        <v>0</v>
      </c>
      <c r="P32" s="11">
        <f t="shared" si="5"/>
        <v>0</v>
      </c>
      <c r="Q32" s="11"/>
      <c r="R32" s="11">
        <f t="shared" si="6"/>
        <v>0</v>
      </c>
      <c r="S32" s="11"/>
      <c r="T32" s="136">
        <f t="shared" si="4"/>
        <v>0</v>
      </c>
    </row>
    <row r="33" spans="1:20" ht="15.75" customHeight="1">
      <c r="A33" s="149">
        <v>36</v>
      </c>
      <c r="B33" s="273"/>
      <c r="C33" s="20" t="s">
        <v>2536</v>
      </c>
      <c r="D33" s="132">
        <v>230</v>
      </c>
      <c r="E33" s="131">
        <f t="shared" si="0"/>
        <v>0</v>
      </c>
      <c r="F33" s="21">
        <f t="shared" si="7"/>
        <v>0</v>
      </c>
      <c r="G33" s="22">
        <f>104700+5*900+7320+1850</f>
        <v>118370</v>
      </c>
      <c r="H33" s="135">
        <f t="shared" si="2"/>
        <v>0</v>
      </c>
      <c r="I33" s="23"/>
      <c r="J33" s="23">
        <v>44308</v>
      </c>
      <c r="K33" s="11">
        <f>0.8*0.94*203</f>
        <v>152.65600000000001</v>
      </c>
      <c r="L33" s="10"/>
      <c r="M33" s="25"/>
      <c r="N33" s="236"/>
      <c r="O33" s="11">
        <f t="shared" si="3"/>
        <v>152.65600000000001</v>
      </c>
      <c r="P33" s="11">
        <f t="shared" si="5"/>
        <v>152.65600000000001</v>
      </c>
      <c r="Q33" s="11"/>
      <c r="R33" s="11">
        <f t="shared" si="6"/>
        <v>0</v>
      </c>
      <c r="S33" s="11"/>
      <c r="T33" s="136">
        <f t="shared" si="4"/>
        <v>0</v>
      </c>
    </row>
    <row r="34" spans="1:20" ht="15.75" customHeight="1">
      <c r="A34" s="149">
        <v>36</v>
      </c>
      <c r="B34" s="273"/>
      <c r="C34" s="20" t="s">
        <v>2838</v>
      </c>
      <c r="D34" s="132">
        <v>2800</v>
      </c>
      <c r="E34" s="131">
        <f t="shared" ref="E34:E65" si="9">ROUNDUP(R34,-1)</f>
        <v>0</v>
      </c>
      <c r="F34" s="21">
        <f t="shared" si="7"/>
        <v>0</v>
      </c>
      <c r="G34" s="22">
        <f>+G33*1.21</f>
        <v>143227.69999999998</v>
      </c>
      <c r="H34" s="135">
        <f t="shared" ref="H34:H69" si="10">ROUNDUP(T34,-1)</f>
        <v>0</v>
      </c>
      <c r="I34" s="23">
        <v>44907</v>
      </c>
      <c r="J34" s="23"/>
      <c r="K34" s="11">
        <f>0.8*0.94*1328*3</f>
        <v>2995.9679999999998</v>
      </c>
      <c r="L34" s="172"/>
      <c r="M34" s="172"/>
      <c r="N34" s="100">
        <v>1500</v>
      </c>
      <c r="O34" s="11">
        <f t="shared" si="3"/>
        <v>2995.9679999999998</v>
      </c>
      <c r="P34" s="11">
        <f t="shared" si="5"/>
        <v>2995.9679999999998</v>
      </c>
      <c r="Q34" s="11"/>
      <c r="R34" s="11">
        <f t="shared" si="6"/>
        <v>0</v>
      </c>
      <c r="S34" s="11"/>
      <c r="T34" s="136">
        <f t="shared" ref="T34:T69" si="11">+N34*Q34</f>
        <v>0</v>
      </c>
    </row>
    <row r="35" spans="1:20" ht="15.75" customHeight="1">
      <c r="A35" s="149"/>
      <c r="B35" s="273"/>
      <c r="C35" s="20" t="s">
        <v>3626</v>
      </c>
      <c r="D35" s="132"/>
      <c r="E35" s="131">
        <f t="shared" si="9"/>
        <v>0</v>
      </c>
      <c r="F35" s="21">
        <f t="shared" si="7"/>
        <v>0</v>
      </c>
      <c r="G35" s="22"/>
      <c r="H35" s="135">
        <f t="shared" si="10"/>
        <v>0</v>
      </c>
      <c r="I35" s="23">
        <v>44677</v>
      </c>
      <c r="J35" s="23"/>
      <c r="K35" s="11">
        <v>100</v>
      </c>
      <c r="L35" s="10"/>
      <c r="M35" s="239"/>
      <c r="N35" s="100"/>
      <c r="O35" s="11">
        <f t="shared" si="3"/>
        <v>100</v>
      </c>
      <c r="P35" s="11">
        <f t="shared" si="5"/>
        <v>100</v>
      </c>
      <c r="Q35" s="11"/>
      <c r="R35" s="11">
        <f t="shared" si="6"/>
        <v>0</v>
      </c>
      <c r="S35" s="11"/>
      <c r="T35" s="136">
        <f t="shared" si="11"/>
        <v>0</v>
      </c>
    </row>
    <row r="36" spans="1:20" ht="15.75" customHeight="1">
      <c r="A36" s="149">
        <v>36</v>
      </c>
      <c r="B36" s="273"/>
      <c r="C36" s="20" t="s">
        <v>2839</v>
      </c>
      <c r="D36" s="132">
        <v>1890</v>
      </c>
      <c r="E36" s="131">
        <f t="shared" si="9"/>
        <v>0</v>
      </c>
      <c r="F36" s="21">
        <f t="shared" si="7"/>
        <v>0</v>
      </c>
      <c r="G36" s="22"/>
      <c r="H36" s="135">
        <f t="shared" si="10"/>
        <v>0</v>
      </c>
      <c r="I36" s="23">
        <v>44907</v>
      </c>
      <c r="J36" s="23"/>
      <c r="K36" s="11">
        <f>0.8*0.94*1157*3</f>
        <v>2610.192</v>
      </c>
      <c r="L36" s="172"/>
      <c r="M36" s="239"/>
      <c r="N36" s="100">
        <v>1400</v>
      </c>
      <c r="O36" s="11">
        <f t="shared" si="3"/>
        <v>2610.192</v>
      </c>
      <c r="P36" s="11">
        <f t="shared" si="5"/>
        <v>2610.192</v>
      </c>
      <c r="Q36" s="11"/>
      <c r="R36" s="11">
        <f t="shared" si="6"/>
        <v>0</v>
      </c>
      <c r="S36" s="11"/>
      <c r="T36" s="136">
        <f t="shared" si="11"/>
        <v>0</v>
      </c>
    </row>
    <row r="37" spans="1:20" ht="15.75" customHeight="1">
      <c r="A37" s="149" t="s">
        <v>2402</v>
      </c>
      <c r="B37" s="273"/>
      <c r="C37" s="20" t="s">
        <v>4548</v>
      </c>
      <c r="D37" s="132"/>
      <c r="E37" s="131">
        <f t="shared" si="9"/>
        <v>14250</v>
      </c>
      <c r="F37" s="21">
        <f t="shared" si="7"/>
        <v>17242.5</v>
      </c>
      <c r="G37" s="22"/>
      <c r="H37" s="135">
        <f t="shared" si="10"/>
        <v>0</v>
      </c>
      <c r="I37" s="294">
        <v>45217</v>
      </c>
      <c r="J37" s="23">
        <v>45329</v>
      </c>
      <c r="K37" s="10">
        <f>0.6*15823</f>
        <v>9493.7999999999993</v>
      </c>
      <c r="L37" s="25">
        <f>10730*0.5*2</f>
        <v>10730</v>
      </c>
      <c r="M37" s="10"/>
      <c r="N37" s="237"/>
      <c r="O37" s="11">
        <f t="shared" si="3"/>
        <v>9493.7999999999993</v>
      </c>
      <c r="P37" s="11">
        <f t="shared" si="5"/>
        <v>9493.7999999999993</v>
      </c>
      <c r="Q37" s="25">
        <v>1.5</v>
      </c>
      <c r="R37" s="11">
        <f t="shared" si="6"/>
        <v>14240.699999999999</v>
      </c>
      <c r="S37" s="11"/>
      <c r="T37" s="136">
        <f t="shared" si="11"/>
        <v>0</v>
      </c>
    </row>
    <row r="38" spans="1:20" ht="15.75" customHeight="1">
      <c r="A38" s="149">
        <v>38</v>
      </c>
      <c r="B38" s="273"/>
      <c r="C38" s="20" t="s">
        <v>4092</v>
      </c>
      <c r="D38" s="132">
        <v>1060</v>
      </c>
      <c r="E38" s="131">
        <f>ROUNDUP(R38,-1)</f>
        <v>6370</v>
      </c>
      <c r="F38" s="21">
        <f>+E38*1.21</f>
        <v>7707.7</v>
      </c>
      <c r="G38" s="22"/>
      <c r="H38" s="135">
        <f>ROUNDUP(T38,-1)</f>
        <v>5520</v>
      </c>
      <c r="I38" s="294">
        <v>45274</v>
      </c>
      <c r="J38" s="23">
        <v>45293</v>
      </c>
      <c r="K38" s="10">
        <f>+PROVEEDORES!$D$32*4.18</f>
        <v>4389</v>
      </c>
      <c r="L38" s="25"/>
      <c r="M38" s="25"/>
      <c r="N38" s="38">
        <v>3804</v>
      </c>
      <c r="O38" s="11">
        <f>MIN(K38:M38)</f>
        <v>4389</v>
      </c>
      <c r="P38" s="11">
        <f t="shared" si="5"/>
        <v>4389</v>
      </c>
      <c r="Q38" s="25">
        <v>1.45</v>
      </c>
      <c r="R38" s="11">
        <f t="shared" si="6"/>
        <v>6364.05</v>
      </c>
      <c r="S38" s="11"/>
      <c r="T38" s="136">
        <f>+N38*Q38</f>
        <v>5515.8</v>
      </c>
    </row>
    <row r="39" spans="1:20" ht="15.75" customHeight="1">
      <c r="A39" s="149">
        <v>24</v>
      </c>
      <c r="B39" s="273"/>
      <c r="C39" s="20" t="s">
        <v>4478</v>
      </c>
      <c r="D39" s="132">
        <v>600</v>
      </c>
      <c r="E39" s="131">
        <f t="shared" si="9"/>
        <v>24650</v>
      </c>
      <c r="F39" s="21">
        <f t="shared" si="7"/>
        <v>29826.5</v>
      </c>
      <c r="G39" s="22"/>
      <c r="H39" s="135">
        <f t="shared" si="10"/>
        <v>0</v>
      </c>
      <c r="I39" s="23"/>
      <c r="J39" s="23">
        <v>45175</v>
      </c>
      <c r="K39" s="25">
        <f>+PROVEEDORES!$D$18*0.5*31</f>
        <v>16430</v>
      </c>
      <c r="L39" s="25"/>
      <c r="M39" s="10"/>
      <c r="N39" s="137"/>
      <c r="O39" s="11">
        <f t="shared" si="3"/>
        <v>16430</v>
      </c>
      <c r="P39" s="11">
        <f t="shared" si="5"/>
        <v>16430</v>
      </c>
      <c r="Q39" s="25">
        <v>1.5</v>
      </c>
      <c r="R39" s="11">
        <f t="shared" si="6"/>
        <v>24645</v>
      </c>
      <c r="S39" s="11"/>
      <c r="T39" s="136">
        <f t="shared" si="11"/>
        <v>0</v>
      </c>
    </row>
    <row r="40" spans="1:20" ht="15.75" customHeight="1">
      <c r="A40" s="149">
        <v>12</v>
      </c>
      <c r="B40" s="273"/>
      <c r="C40" s="20" t="s">
        <v>62624</v>
      </c>
      <c r="D40" s="132"/>
      <c r="E40" s="131">
        <f t="shared" si="9"/>
        <v>10490</v>
      </c>
      <c r="F40" s="21">
        <f t="shared" si="7"/>
        <v>12692.9</v>
      </c>
      <c r="G40" s="22"/>
      <c r="H40" s="135">
        <f t="shared" si="10"/>
        <v>0</v>
      </c>
      <c r="I40" s="294">
        <v>45274</v>
      </c>
      <c r="J40" s="23">
        <v>45338</v>
      </c>
      <c r="K40" s="25">
        <v>6988</v>
      </c>
      <c r="L40" s="25"/>
      <c r="M40" s="10"/>
      <c r="N40" s="137"/>
      <c r="O40" s="11">
        <f t="shared" si="3"/>
        <v>6988</v>
      </c>
      <c r="P40" s="11">
        <f t="shared" si="5"/>
        <v>6988</v>
      </c>
      <c r="Q40" s="25">
        <v>1.5</v>
      </c>
      <c r="R40" s="11">
        <f t="shared" si="6"/>
        <v>10482</v>
      </c>
      <c r="S40" s="11"/>
      <c r="T40" s="136">
        <f t="shared" si="11"/>
        <v>0</v>
      </c>
    </row>
    <row r="41" spans="1:20" ht="15.75" customHeight="1">
      <c r="A41" s="149">
        <v>12</v>
      </c>
      <c r="B41" s="273"/>
      <c r="C41" s="20" t="s">
        <v>3671</v>
      </c>
      <c r="D41" s="132"/>
      <c r="E41" s="131">
        <f>ROUNDUP(R41,-1)</f>
        <v>11490</v>
      </c>
      <c r="F41" s="21">
        <f>+E41*1.21</f>
        <v>13902.9</v>
      </c>
      <c r="G41" s="22"/>
      <c r="H41" s="135">
        <f>ROUNDUP(T41,-1)</f>
        <v>0</v>
      </c>
      <c r="I41" s="294">
        <v>45274</v>
      </c>
      <c r="J41" s="23">
        <v>45338</v>
      </c>
      <c r="K41" s="25">
        <v>7659</v>
      </c>
      <c r="L41" s="25"/>
      <c r="M41" s="10"/>
      <c r="N41" s="137"/>
      <c r="O41" s="11">
        <f>MIN(K41:M41)</f>
        <v>7659</v>
      </c>
      <c r="P41" s="11">
        <f>+O41</f>
        <v>7659</v>
      </c>
      <c r="Q41" s="25">
        <v>1.5</v>
      </c>
      <c r="R41" s="11">
        <f>+P41*Q41</f>
        <v>11488.5</v>
      </c>
      <c r="S41" s="11"/>
      <c r="T41" s="136">
        <f>+N41*Q41</f>
        <v>0</v>
      </c>
    </row>
    <row r="42" spans="1:20" ht="15.75" customHeight="1">
      <c r="A42" s="149">
        <v>12</v>
      </c>
      <c r="B42" s="273"/>
      <c r="C42" s="20" t="s">
        <v>62627</v>
      </c>
      <c r="D42" s="132"/>
      <c r="E42" s="131">
        <f>ROUNDUP(R42,-1)</f>
        <v>12640</v>
      </c>
      <c r="F42" s="21">
        <f>+E42*1.21</f>
        <v>15294.4</v>
      </c>
      <c r="G42" s="22"/>
      <c r="H42" s="135">
        <f>ROUNDUP(T42,-1)</f>
        <v>0</v>
      </c>
      <c r="I42" s="294">
        <v>45274</v>
      </c>
      <c r="J42" s="23">
        <v>45348</v>
      </c>
      <c r="K42" s="25">
        <v>8424</v>
      </c>
      <c r="L42" s="25"/>
      <c r="M42" s="10"/>
      <c r="N42" s="137"/>
      <c r="O42" s="11">
        <f>MIN(K42:M42)</f>
        <v>8424</v>
      </c>
      <c r="P42" s="11">
        <f>+O42</f>
        <v>8424</v>
      </c>
      <c r="Q42" s="25">
        <v>1.5</v>
      </c>
      <c r="R42" s="11">
        <f>+P42*Q42</f>
        <v>12636</v>
      </c>
      <c r="S42" s="11"/>
      <c r="T42" s="136">
        <f>+N42*Q42</f>
        <v>0</v>
      </c>
    </row>
    <row r="43" spans="1:20" ht="15.75" customHeight="1">
      <c r="A43" s="149">
        <v>19</v>
      </c>
      <c r="B43" s="273"/>
      <c r="C43" s="20" t="s">
        <v>4583</v>
      </c>
      <c r="D43" s="132"/>
      <c r="E43" s="131">
        <f t="shared" si="9"/>
        <v>5940</v>
      </c>
      <c r="F43" s="21">
        <f t="shared" si="7"/>
        <v>7187.4</v>
      </c>
      <c r="G43" s="22"/>
      <c r="H43" s="135">
        <f t="shared" si="10"/>
        <v>0</v>
      </c>
      <c r="I43" s="294">
        <v>44991</v>
      </c>
      <c r="J43" s="23">
        <v>45170</v>
      </c>
      <c r="K43" s="25"/>
      <c r="L43" s="25">
        <f>0.65*6083</f>
        <v>3953.9500000000003</v>
      </c>
      <c r="M43" s="10"/>
      <c r="N43" s="137"/>
      <c r="O43" s="11">
        <f t="shared" si="3"/>
        <v>3953.9500000000003</v>
      </c>
      <c r="P43" s="11">
        <f t="shared" si="5"/>
        <v>3953.9500000000003</v>
      </c>
      <c r="Q43" s="25">
        <v>1.5</v>
      </c>
      <c r="R43" s="11">
        <f t="shared" si="6"/>
        <v>5930.9250000000002</v>
      </c>
      <c r="S43" s="11"/>
      <c r="T43" s="136">
        <f t="shared" si="11"/>
        <v>0</v>
      </c>
    </row>
    <row r="44" spans="1:20" ht="15.75" customHeight="1">
      <c r="A44" s="149">
        <v>101</v>
      </c>
      <c r="B44" s="273"/>
      <c r="C44" s="20" t="s">
        <v>3916</v>
      </c>
      <c r="D44" s="132"/>
      <c r="E44" s="131">
        <f t="shared" si="9"/>
        <v>7550</v>
      </c>
      <c r="F44" s="21">
        <f t="shared" si="7"/>
        <v>9135.5</v>
      </c>
      <c r="G44" s="22"/>
      <c r="H44" s="135">
        <f t="shared" si="10"/>
        <v>0</v>
      </c>
      <c r="I44" s="294">
        <v>45254</v>
      </c>
      <c r="J44" s="23">
        <v>45324</v>
      </c>
      <c r="K44" s="25">
        <f>0.7*0.9*7731</f>
        <v>4870.53</v>
      </c>
      <c r="L44" s="25"/>
      <c r="M44" s="10"/>
      <c r="N44" s="137"/>
      <c r="O44" s="11">
        <f t="shared" si="3"/>
        <v>4870.53</v>
      </c>
      <c r="P44" s="11">
        <f t="shared" si="5"/>
        <v>4870.53</v>
      </c>
      <c r="Q44" s="25">
        <v>1.55</v>
      </c>
      <c r="R44" s="11">
        <f t="shared" si="6"/>
        <v>7549.3215</v>
      </c>
      <c r="S44" s="11"/>
      <c r="T44" s="136">
        <f t="shared" si="11"/>
        <v>0</v>
      </c>
    </row>
    <row r="45" spans="1:20" ht="15.75" customHeight="1">
      <c r="A45" s="149" t="s">
        <v>2387</v>
      </c>
      <c r="B45" s="273"/>
      <c r="C45" s="20" t="s">
        <v>1209</v>
      </c>
      <c r="D45" s="132">
        <v>850</v>
      </c>
      <c r="E45" s="131">
        <f t="shared" si="9"/>
        <v>13540</v>
      </c>
      <c r="F45" s="21">
        <f t="shared" si="7"/>
        <v>16383.4</v>
      </c>
      <c r="G45" s="22"/>
      <c r="H45" s="135">
        <f t="shared" si="10"/>
        <v>0</v>
      </c>
      <c r="I45" s="294">
        <v>45173</v>
      </c>
      <c r="J45" s="23">
        <v>45175</v>
      </c>
      <c r="K45" s="25">
        <f>+PROVEEDORES!$D$18*0.5*17.61</f>
        <v>9333.2999999999993</v>
      </c>
      <c r="L45" s="10">
        <f>5021*2</f>
        <v>10042</v>
      </c>
      <c r="M45" s="10"/>
      <c r="N45" s="137"/>
      <c r="O45" s="11">
        <f t="shared" si="3"/>
        <v>9333.2999999999993</v>
      </c>
      <c r="P45" s="11">
        <f t="shared" si="5"/>
        <v>9333.2999999999993</v>
      </c>
      <c r="Q45" s="25">
        <v>1.45</v>
      </c>
      <c r="R45" s="11">
        <f t="shared" si="6"/>
        <v>13533.284999999998</v>
      </c>
      <c r="S45" s="11"/>
      <c r="T45" s="136">
        <f t="shared" si="11"/>
        <v>0</v>
      </c>
    </row>
    <row r="46" spans="1:20" ht="15.75" customHeight="1">
      <c r="A46" s="149" t="s">
        <v>2387</v>
      </c>
      <c r="B46" s="273"/>
      <c r="C46" s="20" t="s">
        <v>1210</v>
      </c>
      <c r="D46" s="132">
        <v>1030</v>
      </c>
      <c r="E46" s="131">
        <f t="shared" si="9"/>
        <v>7720</v>
      </c>
      <c r="F46" s="21">
        <f t="shared" si="7"/>
        <v>9341.1999999999989</v>
      </c>
      <c r="G46" s="22"/>
      <c r="H46" s="135">
        <f t="shared" si="10"/>
        <v>0</v>
      </c>
      <c r="I46" s="294">
        <v>45173</v>
      </c>
      <c r="J46" s="23"/>
      <c r="K46" s="25"/>
      <c r="L46" s="10">
        <v>5321</v>
      </c>
      <c r="M46" s="25"/>
      <c r="N46" s="137"/>
      <c r="O46" s="11">
        <f t="shared" si="3"/>
        <v>5321</v>
      </c>
      <c r="P46" s="11">
        <f t="shared" si="5"/>
        <v>5321</v>
      </c>
      <c r="Q46" s="25">
        <v>1.45</v>
      </c>
      <c r="R46" s="11">
        <f t="shared" si="6"/>
        <v>7715.45</v>
      </c>
      <c r="S46" s="11"/>
      <c r="T46" s="136">
        <f t="shared" si="11"/>
        <v>0</v>
      </c>
    </row>
    <row r="47" spans="1:20" ht="15.75" customHeight="1">
      <c r="A47" s="149" t="s">
        <v>2387</v>
      </c>
      <c r="B47" s="273"/>
      <c r="C47" s="20" t="s">
        <v>2390</v>
      </c>
      <c r="D47" s="132">
        <v>1390</v>
      </c>
      <c r="E47" s="131">
        <f t="shared" si="9"/>
        <v>21780</v>
      </c>
      <c r="F47" s="21">
        <f t="shared" si="7"/>
        <v>26353.8</v>
      </c>
      <c r="G47" s="22"/>
      <c r="H47" s="135">
        <f t="shared" si="10"/>
        <v>0</v>
      </c>
      <c r="I47" s="294">
        <v>45173</v>
      </c>
      <c r="J47" s="23">
        <v>45175</v>
      </c>
      <c r="K47" s="25">
        <f>+PROVEEDORES!$D$18*0.5*28.34</f>
        <v>15020.2</v>
      </c>
      <c r="L47" s="25">
        <f>8085*2</f>
        <v>16170</v>
      </c>
      <c r="M47" s="25"/>
      <c r="N47" s="137"/>
      <c r="O47" s="11">
        <f t="shared" si="3"/>
        <v>15020.2</v>
      </c>
      <c r="P47" s="11">
        <f t="shared" si="5"/>
        <v>15020.2</v>
      </c>
      <c r="Q47" s="25">
        <v>1.45</v>
      </c>
      <c r="R47" s="11">
        <f t="shared" si="6"/>
        <v>21779.29</v>
      </c>
      <c r="S47" s="11"/>
      <c r="T47" s="136">
        <f t="shared" si="11"/>
        <v>0</v>
      </c>
    </row>
    <row r="48" spans="1:20" ht="15.75" customHeight="1">
      <c r="A48" s="149">
        <v>38</v>
      </c>
      <c r="B48" s="273"/>
      <c r="C48" s="20" t="s">
        <v>2391</v>
      </c>
      <c r="D48" s="132">
        <v>1060</v>
      </c>
      <c r="E48" s="131">
        <f t="shared" si="9"/>
        <v>14300</v>
      </c>
      <c r="F48" s="21">
        <f t="shared" si="7"/>
        <v>17303</v>
      </c>
      <c r="G48" s="22"/>
      <c r="H48" s="135">
        <f t="shared" si="10"/>
        <v>12400</v>
      </c>
      <c r="I48" s="294">
        <v>45173</v>
      </c>
      <c r="J48" s="23">
        <v>45274</v>
      </c>
      <c r="K48" s="10">
        <f>+PROVEEDORES!$D$32*9.39</f>
        <v>9859.5</v>
      </c>
      <c r="L48" s="25"/>
      <c r="M48" s="25"/>
      <c r="N48" s="38">
        <v>8545</v>
      </c>
      <c r="O48" s="11">
        <f t="shared" si="3"/>
        <v>9859.5</v>
      </c>
      <c r="P48" s="11">
        <f t="shared" si="5"/>
        <v>9859.5</v>
      </c>
      <c r="Q48" s="25">
        <v>1.45</v>
      </c>
      <c r="R48" s="11">
        <f t="shared" si="6"/>
        <v>14296.275</v>
      </c>
      <c r="S48" s="11"/>
      <c r="T48" s="136">
        <f t="shared" si="11"/>
        <v>12390.25</v>
      </c>
    </row>
    <row r="49" spans="1:20" ht="15.75" customHeight="1">
      <c r="A49" s="149">
        <v>38</v>
      </c>
      <c r="B49" s="273"/>
      <c r="C49" s="20" t="s">
        <v>2392</v>
      </c>
      <c r="D49" s="132">
        <v>1560</v>
      </c>
      <c r="E49" s="131">
        <f t="shared" si="9"/>
        <v>22540</v>
      </c>
      <c r="F49" s="21">
        <f t="shared" si="7"/>
        <v>27273.399999999998</v>
      </c>
      <c r="G49" s="22"/>
      <c r="H49" s="135">
        <f t="shared" si="10"/>
        <v>19540</v>
      </c>
      <c r="I49" s="294">
        <v>45173</v>
      </c>
      <c r="J49" s="23">
        <v>45274</v>
      </c>
      <c r="K49" s="10">
        <f>+PROVEEDORES!$D$32*14.8</f>
        <v>15540</v>
      </c>
      <c r="L49" s="25"/>
      <c r="M49" s="25"/>
      <c r="N49" s="38">
        <v>13472</v>
      </c>
      <c r="O49" s="11">
        <f t="shared" si="3"/>
        <v>15540</v>
      </c>
      <c r="P49" s="11">
        <f t="shared" si="5"/>
        <v>15540</v>
      </c>
      <c r="Q49" s="25">
        <v>1.45</v>
      </c>
      <c r="R49" s="11">
        <f t="shared" si="6"/>
        <v>22533</v>
      </c>
      <c r="S49" s="11"/>
      <c r="T49" s="136">
        <f t="shared" si="11"/>
        <v>19534.399999999998</v>
      </c>
    </row>
    <row r="50" spans="1:20" ht="15.75" customHeight="1">
      <c r="A50" s="149" t="s">
        <v>2387</v>
      </c>
      <c r="B50" s="273"/>
      <c r="C50" s="20" t="s">
        <v>2393</v>
      </c>
      <c r="D50" s="132">
        <v>790</v>
      </c>
      <c r="E50" s="131">
        <f t="shared" si="9"/>
        <v>12380</v>
      </c>
      <c r="F50" s="21">
        <f t="shared" si="7"/>
        <v>14979.8</v>
      </c>
      <c r="G50" s="22"/>
      <c r="H50" s="135">
        <f t="shared" si="10"/>
        <v>0</v>
      </c>
      <c r="I50" s="294">
        <v>45173</v>
      </c>
      <c r="J50" s="23">
        <v>45175</v>
      </c>
      <c r="K50" s="25">
        <f>+PROVEEDORES!$D$18*0.5*16.1</f>
        <v>8533</v>
      </c>
      <c r="L50" s="25">
        <f>4667*2</f>
        <v>9334</v>
      </c>
      <c r="M50" s="25"/>
      <c r="N50" s="137"/>
      <c r="O50" s="11">
        <f t="shared" si="3"/>
        <v>8533</v>
      </c>
      <c r="P50" s="11">
        <f t="shared" si="5"/>
        <v>8533</v>
      </c>
      <c r="Q50" s="25">
        <v>1.45</v>
      </c>
      <c r="R50" s="11">
        <f t="shared" si="6"/>
        <v>12372.85</v>
      </c>
      <c r="S50" s="11"/>
      <c r="T50" s="136">
        <f t="shared" si="11"/>
        <v>0</v>
      </c>
    </row>
    <row r="51" spans="1:20" ht="15.75" customHeight="1">
      <c r="A51" s="149">
        <v>38</v>
      </c>
      <c r="B51" s="273"/>
      <c r="C51" s="20" t="s">
        <v>4093</v>
      </c>
      <c r="D51" s="132">
        <v>1060</v>
      </c>
      <c r="E51" s="131">
        <f t="shared" si="9"/>
        <v>6250</v>
      </c>
      <c r="F51" s="21">
        <f t="shared" si="7"/>
        <v>7562.5</v>
      </c>
      <c r="G51" s="22"/>
      <c r="H51" s="135">
        <f t="shared" si="10"/>
        <v>5420</v>
      </c>
      <c r="I51" s="294">
        <v>45173</v>
      </c>
      <c r="J51" s="23">
        <v>45274</v>
      </c>
      <c r="K51" s="10">
        <f>+PROVEEDORES!$D$32*4.1</f>
        <v>4305</v>
      </c>
      <c r="L51" s="25"/>
      <c r="M51" s="25"/>
      <c r="N51" s="38">
        <v>3735</v>
      </c>
      <c r="O51" s="11">
        <f t="shared" si="3"/>
        <v>4305</v>
      </c>
      <c r="P51" s="11">
        <f t="shared" si="5"/>
        <v>4305</v>
      </c>
      <c r="Q51" s="25">
        <v>1.45</v>
      </c>
      <c r="R51" s="11">
        <f t="shared" si="6"/>
        <v>6242.25</v>
      </c>
      <c r="S51" s="11"/>
      <c r="T51" s="136">
        <f t="shared" si="11"/>
        <v>5415.75</v>
      </c>
    </row>
    <row r="52" spans="1:20" ht="15.75" customHeight="1">
      <c r="A52" s="149" t="s">
        <v>2387</v>
      </c>
      <c r="B52" s="273"/>
      <c r="C52" s="20" t="s">
        <v>3394</v>
      </c>
      <c r="D52" s="132">
        <v>4180</v>
      </c>
      <c r="E52" s="131">
        <f t="shared" si="9"/>
        <v>72740</v>
      </c>
      <c r="F52" s="21">
        <f t="shared" si="7"/>
        <v>88015.4</v>
      </c>
      <c r="G52" s="27"/>
      <c r="H52" s="135">
        <f t="shared" si="10"/>
        <v>0</v>
      </c>
      <c r="I52" s="294">
        <v>45329</v>
      </c>
      <c r="J52" s="23"/>
      <c r="K52" s="10">
        <f>0.5*100320</f>
        <v>50160</v>
      </c>
      <c r="L52" s="25"/>
      <c r="M52" s="26"/>
      <c r="N52" s="137"/>
      <c r="O52" s="11">
        <f t="shared" si="3"/>
        <v>50160</v>
      </c>
      <c r="P52" s="11">
        <f t="shared" si="5"/>
        <v>50160</v>
      </c>
      <c r="Q52" s="11">
        <v>1.45</v>
      </c>
      <c r="R52" s="11">
        <f t="shared" si="6"/>
        <v>72732</v>
      </c>
      <c r="S52" s="11"/>
      <c r="T52" s="136">
        <f t="shared" si="11"/>
        <v>0</v>
      </c>
    </row>
    <row r="53" spans="1:20" ht="15.75" customHeight="1">
      <c r="A53" s="149" t="s">
        <v>2386</v>
      </c>
      <c r="B53" s="273">
        <f t="shared" si="8"/>
        <v>144970</v>
      </c>
      <c r="C53" s="36" t="s">
        <v>1211</v>
      </c>
      <c r="D53" s="132">
        <v>7180</v>
      </c>
      <c r="E53" s="131">
        <f t="shared" si="9"/>
        <v>131190</v>
      </c>
      <c r="F53" s="21">
        <f t="shared" si="7"/>
        <v>158739.9</v>
      </c>
      <c r="G53" s="29"/>
      <c r="H53" s="135">
        <f t="shared" si="10"/>
        <v>0</v>
      </c>
      <c r="I53" s="23">
        <v>45323</v>
      </c>
      <c r="J53" s="23"/>
      <c r="K53" s="11">
        <f>0.8*0.98*0.94*0.95*138797</f>
        <v>97173.445263999994</v>
      </c>
      <c r="L53" s="107"/>
      <c r="M53" s="30"/>
      <c r="N53" s="100"/>
      <c r="O53" s="11">
        <f t="shared" si="3"/>
        <v>97173.445263999994</v>
      </c>
      <c r="P53" s="11">
        <f>+O53*'AUMENTOS %'!$B$5</f>
        <v>97173.445263999994</v>
      </c>
      <c r="Q53" s="11">
        <v>1.35</v>
      </c>
      <c r="R53" s="11">
        <f t="shared" si="6"/>
        <v>131184.15110640001</v>
      </c>
      <c r="S53" s="11"/>
      <c r="T53" s="136">
        <f t="shared" si="11"/>
        <v>0</v>
      </c>
    </row>
    <row r="54" spans="1:20" ht="15.75" customHeight="1">
      <c r="A54" s="149" t="s">
        <v>2386</v>
      </c>
      <c r="B54" s="273">
        <f>ROUNDUP(E54*1.105,-1)</f>
        <v>199860</v>
      </c>
      <c r="C54" s="28" t="s">
        <v>1212</v>
      </c>
      <c r="D54" s="132">
        <v>8180</v>
      </c>
      <c r="E54" s="131">
        <f>ROUNDUP(R54,-1)</f>
        <v>180860</v>
      </c>
      <c r="F54" s="21">
        <f>+E54*1.21</f>
        <v>218840.6</v>
      </c>
      <c r="G54" s="29"/>
      <c r="H54" s="135">
        <f>ROUNDUP(T54,-1)</f>
        <v>0</v>
      </c>
      <c r="I54" s="23">
        <v>45323</v>
      </c>
      <c r="J54" s="23"/>
      <c r="K54" s="11">
        <f>0.8*0.98*0.94*0.95*191352</f>
        <v>133967.831424</v>
      </c>
      <c r="L54" s="107"/>
      <c r="M54" s="30"/>
      <c r="N54" s="100"/>
      <c r="O54" s="11">
        <f>MIN(K54:M54)</f>
        <v>133967.831424</v>
      </c>
      <c r="P54" s="11">
        <f>+O54*'AUMENTOS %'!$B$5</f>
        <v>133967.831424</v>
      </c>
      <c r="Q54" s="11">
        <v>1.35</v>
      </c>
      <c r="R54" s="11">
        <f t="shared" si="6"/>
        <v>180856.57242240003</v>
      </c>
      <c r="S54" s="11"/>
      <c r="T54" s="136">
        <f>+N54*Q54</f>
        <v>0</v>
      </c>
    </row>
    <row r="55" spans="1:20" ht="15.75" customHeight="1">
      <c r="A55" s="149">
        <v>18</v>
      </c>
      <c r="B55" s="273">
        <f>ROUNDUP(E55*1.105,-1)</f>
        <v>222330</v>
      </c>
      <c r="C55" s="28" t="s">
        <v>2851</v>
      </c>
      <c r="D55" s="132"/>
      <c r="E55" s="131">
        <f>ROUNDUP(R55,-1)</f>
        <v>201200</v>
      </c>
      <c r="F55" s="21">
        <f>+E55*1.21</f>
        <v>243452</v>
      </c>
      <c r="G55" s="33"/>
      <c r="H55" s="135">
        <f>ROUNDUP(T55,-1)</f>
        <v>0</v>
      </c>
      <c r="I55" s="23">
        <v>45323</v>
      </c>
      <c r="J55" s="23"/>
      <c r="K55" s="11">
        <f>0.8*0.98*0.94*0.95*212869</f>
        <v>149032.141328</v>
      </c>
      <c r="L55" s="107"/>
      <c r="M55" s="30"/>
      <c r="N55" s="100"/>
      <c r="O55" s="11">
        <f>MIN(K55:M55)</f>
        <v>149032.141328</v>
      </c>
      <c r="P55" s="11">
        <f>+O55*'AUMENTOS %'!$B$5</f>
        <v>149032.141328</v>
      </c>
      <c r="Q55" s="11">
        <v>1.35</v>
      </c>
      <c r="R55" s="11">
        <f t="shared" si="6"/>
        <v>201193.3907928</v>
      </c>
      <c r="S55" s="11"/>
      <c r="T55" s="136">
        <f>+N55*Q55</f>
        <v>0</v>
      </c>
    </row>
    <row r="56" spans="1:20" ht="15.75" customHeight="1">
      <c r="A56" s="149" t="s">
        <v>2386</v>
      </c>
      <c r="B56" s="273">
        <f>ROUNDUP(E56*1.105,-1)</f>
        <v>232070</v>
      </c>
      <c r="C56" s="28" t="s">
        <v>1213</v>
      </c>
      <c r="D56" s="132">
        <v>9330</v>
      </c>
      <c r="E56" s="131">
        <f>ROUNDUP(R56,-1)</f>
        <v>210010</v>
      </c>
      <c r="F56" s="21">
        <f>+E56*1.21</f>
        <v>254112.1</v>
      </c>
      <c r="G56" s="29"/>
      <c r="H56" s="135">
        <f>ROUNDUP(T56,-1)</f>
        <v>0</v>
      </c>
      <c r="I56" s="23">
        <v>45323</v>
      </c>
      <c r="J56" s="23"/>
      <c r="K56" s="11">
        <f>0.8*0.98*0.94*0.95*222190</f>
        <v>155557.88527999999</v>
      </c>
      <c r="L56" s="107"/>
      <c r="M56" s="30"/>
      <c r="N56" s="100"/>
      <c r="O56" s="11">
        <f>MIN(K56:M56)</f>
        <v>155557.88527999999</v>
      </c>
      <c r="P56" s="11">
        <f>+O56*'AUMENTOS %'!$B$5</f>
        <v>155557.88527999999</v>
      </c>
      <c r="Q56" s="11">
        <v>1.35</v>
      </c>
      <c r="R56" s="11">
        <f t="shared" si="6"/>
        <v>210003.145128</v>
      </c>
      <c r="S56" s="11"/>
      <c r="T56" s="136">
        <f>+N56*Q56</f>
        <v>0</v>
      </c>
    </row>
    <row r="57" spans="1:20" ht="15.75" customHeight="1">
      <c r="A57" s="149" t="s">
        <v>2386</v>
      </c>
      <c r="B57" s="273">
        <f t="shared" si="8"/>
        <v>262350</v>
      </c>
      <c r="C57" s="28" t="s">
        <v>1214</v>
      </c>
      <c r="D57" s="132">
        <v>10070</v>
      </c>
      <c r="E57" s="131">
        <f t="shared" si="9"/>
        <v>237420</v>
      </c>
      <c r="F57" s="21">
        <f t="shared" si="7"/>
        <v>287278.2</v>
      </c>
      <c r="G57" s="29"/>
      <c r="H57" s="135">
        <f t="shared" si="10"/>
        <v>0</v>
      </c>
      <c r="I57" s="23">
        <v>45323</v>
      </c>
      <c r="J57" s="23">
        <v>45345</v>
      </c>
      <c r="K57" s="11">
        <f>0.8*0.98*0.94*0.95*251196</f>
        <v>175865.33395199999</v>
      </c>
      <c r="L57" s="107"/>
      <c r="M57" s="30"/>
      <c r="N57" s="100"/>
      <c r="O57" s="11">
        <f t="shared" si="3"/>
        <v>175865.33395199999</v>
      </c>
      <c r="P57" s="11">
        <f>+O57*'AUMENTOS %'!$B$5</f>
        <v>175865.33395199999</v>
      </c>
      <c r="Q57" s="11">
        <v>1.35</v>
      </c>
      <c r="R57" s="11">
        <f t="shared" si="6"/>
        <v>237418.2008352</v>
      </c>
      <c r="S57" s="11"/>
      <c r="T57" s="136">
        <f t="shared" si="11"/>
        <v>0</v>
      </c>
    </row>
    <row r="58" spans="1:20" ht="15.75" customHeight="1">
      <c r="A58" s="149" t="s">
        <v>2386</v>
      </c>
      <c r="B58" s="273">
        <f>ROUNDUP(E58*1.105,-1)</f>
        <v>285400</v>
      </c>
      <c r="C58" s="28" t="s">
        <v>4575</v>
      </c>
      <c r="D58" s="132">
        <v>10070</v>
      </c>
      <c r="E58" s="131">
        <f>ROUNDUP(R58,-1)</f>
        <v>258280</v>
      </c>
      <c r="F58" s="21">
        <f>+E58*1.21</f>
        <v>312518.8</v>
      </c>
      <c r="G58" s="29"/>
      <c r="H58" s="135">
        <f>ROUNDUP(T58,-1)</f>
        <v>0</v>
      </c>
      <c r="I58" s="23">
        <v>45323</v>
      </c>
      <c r="J58" s="23"/>
      <c r="K58" s="11">
        <f>0.8*0.98*0.94*0.95*273267</f>
        <v>191317.50590399999</v>
      </c>
      <c r="L58" s="11"/>
      <c r="M58" s="30"/>
      <c r="N58" s="100"/>
      <c r="O58" s="11">
        <f>MIN(K58:M58)</f>
        <v>191317.50590399999</v>
      </c>
      <c r="P58" s="11">
        <f>+O58*'AUMENTOS %'!$B$5</f>
        <v>191317.50590399999</v>
      </c>
      <c r="Q58" s="11">
        <v>1.35</v>
      </c>
      <c r="R58" s="11">
        <f>+P58*Q58</f>
        <v>258278.63297040001</v>
      </c>
      <c r="S58" s="11"/>
      <c r="T58" s="136">
        <f>+N58*Q58</f>
        <v>0</v>
      </c>
    </row>
    <row r="59" spans="1:20" ht="15.75" customHeight="1">
      <c r="A59" s="149" t="s">
        <v>2386</v>
      </c>
      <c r="B59" s="273">
        <f t="shared" si="8"/>
        <v>366590</v>
      </c>
      <c r="C59" s="28" t="s">
        <v>4101</v>
      </c>
      <c r="D59" s="132">
        <v>13960</v>
      </c>
      <c r="E59" s="131">
        <f t="shared" si="9"/>
        <v>331750</v>
      </c>
      <c r="F59" s="21">
        <f t="shared" si="7"/>
        <v>401417.5</v>
      </c>
      <c r="G59" s="29"/>
      <c r="H59" s="135">
        <f t="shared" si="10"/>
        <v>0</v>
      </c>
      <c r="I59" s="23">
        <v>45323</v>
      </c>
      <c r="J59" s="23"/>
      <c r="K59" s="11">
        <f>0.8*0.98*0.94*0.95*351000</f>
        <v>245739.31199999998</v>
      </c>
      <c r="L59" s="107"/>
      <c r="M59" s="30"/>
      <c r="N59" s="100"/>
      <c r="O59" s="11">
        <f t="shared" si="3"/>
        <v>245739.31199999998</v>
      </c>
      <c r="P59" s="11">
        <f>+O59*'AUMENTOS %'!$B$5</f>
        <v>245739.31199999998</v>
      </c>
      <c r="Q59" s="11">
        <v>1.35</v>
      </c>
      <c r="R59" s="11">
        <f t="shared" si="6"/>
        <v>331748.07120000001</v>
      </c>
      <c r="S59" s="11"/>
      <c r="T59" s="136">
        <f t="shared" si="11"/>
        <v>0</v>
      </c>
    </row>
    <row r="60" spans="1:20" ht="15.75" customHeight="1">
      <c r="A60" s="149" t="s">
        <v>2386</v>
      </c>
      <c r="B60" s="273">
        <f t="shared" si="8"/>
        <v>0</v>
      </c>
      <c r="C60" s="28" t="s">
        <v>1215</v>
      </c>
      <c r="D60" s="132"/>
      <c r="E60" s="131">
        <f t="shared" si="9"/>
        <v>0</v>
      </c>
      <c r="F60" s="21">
        <f t="shared" ref="F60:F89" si="12">+E60*1.21</f>
        <v>0</v>
      </c>
      <c r="G60" s="29"/>
      <c r="H60" s="135">
        <f t="shared" si="10"/>
        <v>0</v>
      </c>
      <c r="I60" s="23">
        <v>45275</v>
      </c>
      <c r="J60" s="23"/>
      <c r="K60" s="11"/>
      <c r="L60" s="107"/>
      <c r="M60" s="30"/>
      <c r="N60" s="100"/>
      <c r="O60" s="11">
        <f t="shared" si="3"/>
        <v>0</v>
      </c>
      <c r="P60" s="11">
        <f>+O60*'AUMENTOS %'!$B$5</f>
        <v>0</v>
      </c>
      <c r="Q60" s="11">
        <v>1.35</v>
      </c>
      <c r="R60" s="11">
        <f t="shared" si="6"/>
        <v>0</v>
      </c>
      <c r="S60" s="11"/>
      <c r="T60" s="136">
        <f t="shared" si="11"/>
        <v>0</v>
      </c>
    </row>
    <row r="61" spans="1:20" ht="15.75" customHeight="1">
      <c r="A61" s="149">
        <v>18</v>
      </c>
      <c r="B61" s="273">
        <f t="shared" si="8"/>
        <v>442480</v>
      </c>
      <c r="C61" s="28" t="s">
        <v>4102</v>
      </c>
      <c r="D61" s="132"/>
      <c r="E61" s="131">
        <f t="shared" si="9"/>
        <v>400430</v>
      </c>
      <c r="F61" s="21">
        <f t="shared" si="12"/>
        <v>484520.3</v>
      </c>
      <c r="G61" s="29"/>
      <c r="H61" s="135">
        <f t="shared" si="10"/>
        <v>0</v>
      </c>
      <c r="I61" s="23">
        <v>45323</v>
      </c>
      <c r="J61" s="23"/>
      <c r="K61" s="11">
        <f>0.8*0.98*0.94*0.95*423659</f>
        <v>296608.74980799999</v>
      </c>
      <c r="L61" s="107"/>
      <c r="M61" s="30"/>
      <c r="N61" s="100"/>
      <c r="O61" s="11">
        <f t="shared" si="3"/>
        <v>296608.74980799999</v>
      </c>
      <c r="P61" s="11">
        <f>+O61*'AUMENTOS %'!$B$5</f>
        <v>296608.74980799999</v>
      </c>
      <c r="Q61" s="11">
        <v>1.35</v>
      </c>
      <c r="R61" s="11">
        <f t="shared" si="6"/>
        <v>400421.81224080001</v>
      </c>
      <c r="S61" s="11"/>
      <c r="T61" s="136">
        <f t="shared" si="11"/>
        <v>0</v>
      </c>
    </row>
    <row r="62" spans="1:20" ht="15.75" customHeight="1">
      <c r="A62" s="149">
        <v>18</v>
      </c>
      <c r="B62" s="273">
        <f t="shared" si="8"/>
        <v>448250</v>
      </c>
      <c r="C62" s="28" t="s">
        <v>44351</v>
      </c>
      <c r="D62" s="132"/>
      <c r="E62" s="131">
        <f t="shared" si="9"/>
        <v>405650</v>
      </c>
      <c r="F62" s="21">
        <f t="shared" si="12"/>
        <v>490836.5</v>
      </c>
      <c r="G62" s="29"/>
      <c r="H62" s="135">
        <f t="shared" si="10"/>
        <v>0</v>
      </c>
      <c r="I62" s="23">
        <v>45323</v>
      </c>
      <c r="J62" s="23"/>
      <c r="K62" s="11">
        <f>0.8*0.98*0.94*0.95*429190</f>
        <v>300481.06928</v>
      </c>
      <c r="L62" s="107"/>
      <c r="M62" s="30"/>
      <c r="N62" s="100"/>
      <c r="O62" s="11">
        <f t="shared" si="3"/>
        <v>300481.06928</v>
      </c>
      <c r="P62" s="11">
        <f>+O62*'AUMENTOS %'!$B$5</f>
        <v>300481.06928</v>
      </c>
      <c r="Q62" s="11">
        <v>1.35</v>
      </c>
      <c r="R62" s="11">
        <f t="shared" si="6"/>
        <v>405649.44352800003</v>
      </c>
      <c r="S62" s="11"/>
      <c r="T62" s="136">
        <f t="shared" si="11"/>
        <v>0</v>
      </c>
    </row>
    <row r="63" spans="1:20" ht="15.75" customHeight="1">
      <c r="A63" s="149">
        <v>18</v>
      </c>
      <c r="B63" s="273">
        <f>ROUNDUP(E63*1.105,-1)</f>
        <v>338000</v>
      </c>
      <c r="C63" s="28" t="s">
        <v>44231</v>
      </c>
      <c r="D63" s="132"/>
      <c r="E63" s="131">
        <f>ROUNDUP(R63,-1)</f>
        <v>305880</v>
      </c>
      <c r="F63" s="21">
        <f>+E63*1.21</f>
        <v>370114.8</v>
      </c>
      <c r="G63" s="29"/>
      <c r="H63" s="135">
        <f>ROUNDUP(T63,-1)</f>
        <v>0</v>
      </c>
      <c r="I63" s="23">
        <v>45323</v>
      </c>
      <c r="J63" s="23"/>
      <c r="K63" s="11">
        <f>0.8*0.98*0.94*0.95*323624</f>
        <v>226573.04588799999</v>
      </c>
      <c r="L63" s="107"/>
      <c r="M63" s="30"/>
      <c r="N63" s="100"/>
      <c r="O63" s="11">
        <f>MIN(K63:M63)</f>
        <v>226573.04588799999</v>
      </c>
      <c r="P63" s="11">
        <f>+O63*'AUMENTOS %'!$B$5</f>
        <v>226573.04588799999</v>
      </c>
      <c r="Q63" s="11">
        <v>1.35</v>
      </c>
      <c r="R63" s="11">
        <f>+P63*Q63</f>
        <v>305873.61194879998</v>
      </c>
      <c r="S63" s="11"/>
      <c r="T63" s="136">
        <f>+N63*Q63</f>
        <v>0</v>
      </c>
    </row>
    <row r="64" spans="1:20" ht="15.75" customHeight="1">
      <c r="A64" s="149" t="s">
        <v>2386</v>
      </c>
      <c r="B64" s="273">
        <f t="shared" si="8"/>
        <v>0</v>
      </c>
      <c r="C64" s="28" t="s">
        <v>1216</v>
      </c>
      <c r="D64" s="132">
        <v>12780</v>
      </c>
      <c r="E64" s="131">
        <f t="shared" si="9"/>
        <v>0</v>
      </c>
      <c r="F64" s="21">
        <f t="shared" si="12"/>
        <v>0</v>
      </c>
      <c r="G64" s="29"/>
      <c r="H64" s="135">
        <f t="shared" si="10"/>
        <v>0</v>
      </c>
      <c r="I64" s="23">
        <v>45275</v>
      </c>
      <c r="J64" s="23"/>
      <c r="K64" s="32">
        <f>0.8*0.98*0.94*0.95*27863*1.15*1.45</f>
        <v>32528.290443879992</v>
      </c>
      <c r="L64" s="107"/>
      <c r="M64" s="11"/>
      <c r="N64" s="100"/>
      <c r="O64" s="11">
        <f t="shared" si="3"/>
        <v>32528.290443879992</v>
      </c>
      <c r="P64" s="11">
        <f>+O64*'AUMENTOS %'!$B$5</f>
        <v>32528.290443879992</v>
      </c>
      <c r="Q64" s="11"/>
      <c r="R64" s="11">
        <f t="shared" si="6"/>
        <v>0</v>
      </c>
      <c r="S64" s="11"/>
      <c r="T64" s="136">
        <f t="shared" si="11"/>
        <v>0</v>
      </c>
    </row>
    <row r="65" spans="1:20" ht="15.75" customHeight="1">
      <c r="A65" s="149" t="s">
        <v>2386</v>
      </c>
      <c r="B65" s="273">
        <f t="shared" si="8"/>
        <v>366260</v>
      </c>
      <c r="C65" s="28" t="s">
        <v>3606</v>
      </c>
      <c r="D65" s="132">
        <v>14340</v>
      </c>
      <c r="E65" s="131">
        <f t="shared" si="9"/>
        <v>331450</v>
      </c>
      <c r="F65" s="21">
        <f t="shared" si="12"/>
        <v>401054.5</v>
      </c>
      <c r="G65" s="33"/>
      <c r="H65" s="135">
        <f t="shared" si="10"/>
        <v>0</v>
      </c>
      <c r="I65" s="23">
        <v>45323</v>
      </c>
      <c r="J65" s="23"/>
      <c r="K65" s="32">
        <f>0.8*0.98*0.94*0.95*350678</f>
        <v>245513.875936</v>
      </c>
      <c r="L65" s="107"/>
      <c r="M65" s="11"/>
      <c r="N65" s="100"/>
      <c r="O65" s="11">
        <f t="shared" si="3"/>
        <v>245513.875936</v>
      </c>
      <c r="P65" s="11">
        <f>+O65*'AUMENTOS %'!$B$5</f>
        <v>245513.875936</v>
      </c>
      <c r="Q65" s="11">
        <v>1.35</v>
      </c>
      <c r="R65" s="11">
        <f t="shared" si="6"/>
        <v>331443.73251360003</v>
      </c>
      <c r="S65" s="11"/>
      <c r="T65" s="136">
        <f t="shared" si="11"/>
        <v>0</v>
      </c>
    </row>
    <row r="66" spans="1:20" ht="15.75" customHeight="1">
      <c r="A66" s="149" t="s">
        <v>2386</v>
      </c>
      <c r="B66" s="273">
        <f t="shared" si="8"/>
        <v>0</v>
      </c>
      <c r="C66" s="36" t="s">
        <v>1217</v>
      </c>
      <c r="D66" s="132"/>
      <c r="E66" s="131"/>
      <c r="F66" s="21">
        <f t="shared" si="12"/>
        <v>0</v>
      </c>
      <c r="G66" s="33"/>
      <c r="H66" s="135">
        <f t="shared" si="10"/>
        <v>0</v>
      </c>
      <c r="I66" s="23">
        <v>45275</v>
      </c>
      <c r="J66" s="23"/>
      <c r="K66" s="10">
        <f>7956*0.8*0.98*0.94*1.35*1.12*0.95</f>
        <v>8421.9777008640012</v>
      </c>
      <c r="L66" s="11"/>
      <c r="M66" s="11"/>
      <c r="N66" s="100"/>
      <c r="O66" s="11">
        <f t="shared" si="3"/>
        <v>8421.9777008640012</v>
      </c>
      <c r="P66" s="11">
        <f>+O66*'AUMENTOS %'!$B$5</f>
        <v>8421.9777008640012</v>
      </c>
      <c r="Q66" s="11">
        <v>1.35</v>
      </c>
      <c r="R66" s="11">
        <f t="shared" si="6"/>
        <v>11369.669896166402</v>
      </c>
      <c r="S66" s="11"/>
      <c r="T66" s="136">
        <f t="shared" si="11"/>
        <v>0</v>
      </c>
    </row>
    <row r="67" spans="1:20" ht="15.75" customHeight="1">
      <c r="A67" s="149" t="s">
        <v>2386</v>
      </c>
      <c r="B67" s="273">
        <f t="shared" si="8"/>
        <v>0</v>
      </c>
      <c r="C67" s="28" t="s">
        <v>1218</v>
      </c>
      <c r="D67" s="132">
        <v>16390</v>
      </c>
      <c r="E67" s="131">
        <f>ROUNDUP(R67,-1)</f>
        <v>0</v>
      </c>
      <c r="F67" s="21">
        <f t="shared" si="12"/>
        <v>0</v>
      </c>
      <c r="G67" s="33"/>
      <c r="H67" s="135">
        <f t="shared" si="10"/>
        <v>0</v>
      </c>
      <c r="I67" s="23">
        <v>45275</v>
      </c>
      <c r="J67" s="23"/>
      <c r="K67" s="42">
        <f>0.8*0.98*0.94*0.95*35724*1.15</f>
        <v>28762.421251199998</v>
      </c>
      <c r="L67" s="42"/>
      <c r="M67" s="10"/>
      <c r="N67" s="100"/>
      <c r="O67" s="11">
        <f t="shared" si="3"/>
        <v>28762.421251199998</v>
      </c>
      <c r="P67" s="11">
        <f>+O67*'AUMENTOS %'!$B$5</f>
        <v>28762.421251199998</v>
      </c>
      <c r="Q67" s="11"/>
      <c r="R67" s="11">
        <f t="shared" si="6"/>
        <v>0</v>
      </c>
      <c r="S67" s="11"/>
      <c r="T67" s="136">
        <f t="shared" si="11"/>
        <v>0</v>
      </c>
    </row>
    <row r="68" spans="1:20" ht="15.75" customHeight="1">
      <c r="A68" s="149" t="s">
        <v>2386</v>
      </c>
      <c r="B68" s="273">
        <f t="shared" si="8"/>
        <v>0</v>
      </c>
      <c r="C68" s="28" t="s">
        <v>1219</v>
      </c>
      <c r="D68" s="132">
        <v>21490</v>
      </c>
      <c r="E68" s="131">
        <f>ROUNDUP(R68,-1)</f>
        <v>0</v>
      </c>
      <c r="F68" s="21">
        <f t="shared" si="12"/>
        <v>0</v>
      </c>
      <c r="G68" s="33"/>
      <c r="H68" s="135">
        <f t="shared" si="10"/>
        <v>0</v>
      </c>
      <c r="I68" s="23">
        <v>45275</v>
      </c>
      <c r="J68" s="23"/>
      <c r="K68" s="10">
        <f>0.8*0.98*0.94*0.95*46863*1.15</f>
        <v>37730.750954399991</v>
      </c>
      <c r="L68" s="11"/>
      <c r="M68" s="11"/>
      <c r="N68" s="100"/>
      <c r="O68" s="11">
        <f t="shared" si="3"/>
        <v>37730.750954399991</v>
      </c>
      <c r="P68" s="11">
        <f>+O68*'AUMENTOS %'!$B$5</f>
        <v>37730.750954399991</v>
      </c>
      <c r="Q68" s="11"/>
      <c r="R68" s="11">
        <f t="shared" ref="R68:R132" si="13">+P68*Q68</f>
        <v>0</v>
      </c>
      <c r="S68" s="11"/>
      <c r="T68" s="136">
        <f t="shared" si="11"/>
        <v>0</v>
      </c>
    </row>
    <row r="69" spans="1:20" ht="15.75" customHeight="1">
      <c r="A69" s="149">
        <v>18</v>
      </c>
      <c r="B69" s="273">
        <f t="shared" si="8"/>
        <v>473830</v>
      </c>
      <c r="C69" s="28" t="s">
        <v>2932</v>
      </c>
      <c r="D69" s="132">
        <v>17630</v>
      </c>
      <c r="E69" s="131">
        <f>ROUNDUP(R69,-1)</f>
        <v>428800</v>
      </c>
      <c r="F69" s="21">
        <f t="shared" si="12"/>
        <v>518848</v>
      </c>
      <c r="G69" s="33"/>
      <c r="H69" s="135">
        <f t="shared" si="10"/>
        <v>0</v>
      </c>
      <c r="I69" s="23">
        <v>45323</v>
      </c>
      <c r="J69" s="23"/>
      <c r="K69" s="10">
        <f>0.8*0.98*0.94*0.95*453684</f>
        <v>317629.612608</v>
      </c>
      <c r="L69" s="11"/>
      <c r="M69" s="11"/>
      <c r="N69" s="100"/>
      <c r="O69" s="11">
        <f t="shared" si="3"/>
        <v>317629.612608</v>
      </c>
      <c r="P69" s="11">
        <f>+O69*'AUMENTOS %'!$B$5</f>
        <v>317629.612608</v>
      </c>
      <c r="Q69" s="11">
        <v>1.35</v>
      </c>
      <c r="R69" s="11">
        <f t="shared" si="13"/>
        <v>428799.9770208</v>
      </c>
      <c r="S69" s="11"/>
      <c r="T69" s="136">
        <f t="shared" si="11"/>
        <v>0</v>
      </c>
    </row>
    <row r="70" spans="1:20" ht="15.75" customHeight="1">
      <c r="A70" s="149" t="s">
        <v>2386</v>
      </c>
      <c r="B70" s="273">
        <f t="shared" si="8"/>
        <v>0</v>
      </c>
      <c r="C70" s="28" t="s">
        <v>1220</v>
      </c>
      <c r="D70" s="132">
        <v>17950</v>
      </c>
      <c r="E70" s="131">
        <f>ROUNDUP(R70,-1)</f>
        <v>0</v>
      </c>
      <c r="F70" s="21">
        <f t="shared" si="12"/>
        <v>0</v>
      </c>
      <c r="G70" s="33"/>
      <c r="H70" s="135">
        <f t="shared" ref="H70:H104" si="14">ROUNDUP(T70,-1)</f>
        <v>0</v>
      </c>
      <c r="I70" s="23">
        <v>45275</v>
      </c>
      <c r="J70" s="23"/>
      <c r="K70" s="10">
        <f>0.8*0.98*0.94*0.95*27613*1.12*1.1*1.15*1.15</f>
        <v>31498.328138273922</v>
      </c>
      <c r="L70" s="31"/>
      <c r="M70" s="31"/>
      <c r="N70" s="100"/>
      <c r="O70" s="11">
        <f t="shared" ref="O70:O135" si="15">MIN(K70:M70)</f>
        <v>31498.328138273922</v>
      </c>
      <c r="P70" s="11">
        <f>+O70*'AUMENTOS %'!$B$5</f>
        <v>31498.328138273922</v>
      </c>
      <c r="Q70" s="11"/>
      <c r="R70" s="11">
        <f t="shared" si="13"/>
        <v>0</v>
      </c>
      <c r="S70" s="11"/>
      <c r="T70" s="136">
        <f t="shared" ref="T70:T104" si="16">+N70*Q70</f>
        <v>0</v>
      </c>
    </row>
    <row r="71" spans="1:20" ht="15.75" customHeight="1">
      <c r="A71" s="149" t="s">
        <v>2386</v>
      </c>
      <c r="B71" s="273">
        <f t="shared" si="8"/>
        <v>0</v>
      </c>
      <c r="C71" s="28" t="s">
        <v>1221</v>
      </c>
      <c r="D71" s="132"/>
      <c r="E71" s="131">
        <f>+E70*1.15</f>
        <v>0</v>
      </c>
      <c r="F71" s="21">
        <f t="shared" si="12"/>
        <v>0</v>
      </c>
      <c r="G71" s="35"/>
      <c r="H71" s="135">
        <f t="shared" si="14"/>
        <v>0</v>
      </c>
      <c r="I71" s="23">
        <v>45275</v>
      </c>
      <c r="J71" s="23"/>
      <c r="K71" s="10">
        <f>11091*0.8*0.98*0.94*1.35*1.12*1.24*1.15*1.12*1.1*1.15*1.15</f>
        <v>28713.90947002262</v>
      </c>
      <c r="L71" s="11"/>
      <c r="M71" s="11"/>
      <c r="N71" s="100"/>
      <c r="O71" s="11">
        <f t="shared" si="15"/>
        <v>28713.90947002262</v>
      </c>
      <c r="P71" s="11">
        <f>+O71*'AUMENTOS %'!$B$5</f>
        <v>28713.90947002262</v>
      </c>
      <c r="Q71" s="11">
        <v>1.35</v>
      </c>
      <c r="R71" s="11">
        <f t="shared" si="13"/>
        <v>38763.777784530539</v>
      </c>
      <c r="S71" s="11"/>
      <c r="T71" s="136">
        <f t="shared" si="16"/>
        <v>0</v>
      </c>
    </row>
    <row r="72" spans="1:20" ht="15.75" customHeight="1">
      <c r="A72" s="149" t="s">
        <v>2386</v>
      </c>
      <c r="B72" s="273">
        <f t="shared" si="8"/>
        <v>511750</v>
      </c>
      <c r="C72" s="28" t="s">
        <v>3506</v>
      </c>
      <c r="D72" s="132"/>
      <c r="E72" s="131">
        <f>ROUNDUP(R72,-1)</f>
        <v>463120</v>
      </c>
      <c r="F72" s="21">
        <f t="shared" si="12"/>
        <v>560375.19999999995</v>
      </c>
      <c r="G72" s="35"/>
      <c r="H72" s="135">
        <f t="shared" si="14"/>
        <v>0</v>
      </c>
      <c r="I72" s="23">
        <v>45323</v>
      </c>
      <c r="J72" s="23"/>
      <c r="K72" s="10">
        <f>0.8*0.98*0.94*0.95*489986</f>
        <v>343045.07843199995</v>
      </c>
      <c r="L72" s="11"/>
      <c r="M72" s="11"/>
      <c r="N72" s="100"/>
      <c r="O72" s="11">
        <f t="shared" si="15"/>
        <v>343045.07843199995</v>
      </c>
      <c r="P72" s="11">
        <f>+O72*'AUMENTOS %'!$B$5</f>
        <v>343045.07843199995</v>
      </c>
      <c r="Q72" s="11">
        <v>1.35</v>
      </c>
      <c r="R72" s="11">
        <f t="shared" si="13"/>
        <v>463110.85588319995</v>
      </c>
      <c r="S72" s="11"/>
      <c r="T72" s="136">
        <f t="shared" si="16"/>
        <v>0</v>
      </c>
    </row>
    <row r="73" spans="1:20" ht="15.75" customHeight="1">
      <c r="A73" s="149" t="s">
        <v>2386</v>
      </c>
      <c r="B73" s="273">
        <f t="shared" si="8"/>
        <v>0</v>
      </c>
      <c r="C73" s="28" t="s">
        <v>1222</v>
      </c>
      <c r="D73" s="132">
        <v>12780</v>
      </c>
      <c r="E73" s="131">
        <f>ROUNDUP(R73,-1)</f>
        <v>0</v>
      </c>
      <c r="F73" s="21">
        <f t="shared" si="12"/>
        <v>0</v>
      </c>
      <c r="G73" s="29"/>
      <c r="H73" s="135">
        <f t="shared" si="14"/>
        <v>0</v>
      </c>
      <c r="I73" s="23">
        <v>45275</v>
      </c>
      <c r="J73" s="23"/>
      <c r="K73" s="32">
        <f>0.8*0.98*0.94*0.95*27863*1.15</f>
        <v>22433.303754399996</v>
      </c>
      <c r="L73" s="11"/>
      <c r="M73" s="11"/>
      <c r="N73" s="100"/>
      <c r="O73" s="11">
        <f t="shared" si="15"/>
        <v>22433.303754399996</v>
      </c>
      <c r="P73" s="11">
        <f>+O73*'AUMENTOS %'!$B$5</f>
        <v>22433.303754399996</v>
      </c>
      <c r="Q73" s="11"/>
      <c r="R73" s="11">
        <f t="shared" si="13"/>
        <v>0</v>
      </c>
      <c r="S73" s="11"/>
      <c r="T73" s="136">
        <f t="shared" si="16"/>
        <v>0</v>
      </c>
    </row>
    <row r="74" spans="1:20" ht="15.75" customHeight="1">
      <c r="A74" s="149" t="s">
        <v>2386</v>
      </c>
      <c r="B74" s="273">
        <f t="shared" si="8"/>
        <v>366260</v>
      </c>
      <c r="C74" s="28" t="s">
        <v>3607</v>
      </c>
      <c r="D74" s="132">
        <v>14340</v>
      </c>
      <c r="E74" s="131">
        <f>ROUNDUP(R74,-1)</f>
        <v>331450</v>
      </c>
      <c r="F74" s="21">
        <f t="shared" si="12"/>
        <v>401054.5</v>
      </c>
      <c r="G74" s="33"/>
      <c r="H74" s="135">
        <f t="shared" si="14"/>
        <v>0</v>
      </c>
      <c r="I74" s="23">
        <v>45323</v>
      </c>
      <c r="J74" s="23"/>
      <c r="K74" s="32">
        <f>0.8*0.98*0.94*0.95*350678</f>
        <v>245513.875936</v>
      </c>
      <c r="L74" s="11"/>
      <c r="M74" s="11"/>
      <c r="N74" s="100"/>
      <c r="O74" s="11">
        <f t="shared" si="15"/>
        <v>245513.875936</v>
      </c>
      <c r="P74" s="11">
        <f>+O74*'AUMENTOS %'!$B$5</f>
        <v>245513.875936</v>
      </c>
      <c r="Q74" s="11">
        <v>1.35</v>
      </c>
      <c r="R74" s="11">
        <f t="shared" si="13"/>
        <v>331443.73251360003</v>
      </c>
      <c r="S74" s="11"/>
      <c r="T74" s="136">
        <f t="shared" si="16"/>
        <v>0</v>
      </c>
    </row>
    <row r="75" spans="1:20" ht="15.75" customHeight="1">
      <c r="A75" s="195" t="s">
        <v>2386</v>
      </c>
      <c r="B75" s="273">
        <f t="shared" si="8"/>
        <v>0</v>
      </c>
      <c r="C75" s="36" t="s">
        <v>1223</v>
      </c>
      <c r="D75" s="132"/>
      <c r="E75" s="131"/>
      <c r="F75" s="21">
        <f t="shared" si="12"/>
        <v>0</v>
      </c>
      <c r="G75" s="33"/>
      <c r="H75" s="135">
        <f t="shared" si="14"/>
        <v>0</v>
      </c>
      <c r="I75" s="23">
        <v>45275</v>
      </c>
      <c r="J75" s="23"/>
      <c r="K75" s="10">
        <f>7956*0.85*0.94*0.94*1.35*1.12*1.43*1.24</f>
        <v>16020.605312135425</v>
      </c>
      <c r="L75" s="10"/>
      <c r="M75" s="11"/>
      <c r="N75" s="100"/>
      <c r="O75" s="11">
        <f t="shared" si="15"/>
        <v>16020.605312135425</v>
      </c>
      <c r="P75" s="11">
        <f>+O75*'AUMENTOS %'!$B$5</f>
        <v>16020.605312135425</v>
      </c>
      <c r="Q75" s="11">
        <v>1.35</v>
      </c>
      <c r="R75" s="11">
        <f t="shared" si="13"/>
        <v>21627.817171382827</v>
      </c>
      <c r="S75" s="11"/>
      <c r="T75" s="136">
        <f t="shared" si="16"/>
        <v>0</v>
      </c>
    </row>
    <row r="76" spans="1:20" ht="15.75" customHeight="1">
      <c r="A76" s="149" t="s">
        <v>2386</v>
      </c>
      <c r="B76" s="273">
        <f t="shared" si="8"/>
        <v>0</v>
      </c>
      <c r="C76" s="28" t="s">
        <v>1224</v>
      </c>
      <c r="D76" s="132">
        <v>16390</v>
      </c>
      <c r="E76" s="131">
        <f t="shared" ref="E76:E112" si="17">ROUNDUP(R76,-1)</f>
        <v>0</v>
      </c>
      <c r="F76" s="21">
        <f t="shared" si="12"/>
        <v>0</v>
      </c>
      <c r="G76" s="33"/>
      <c r="H76" s="135">
        <f t="shared" si="14"/>
        <v>0</v>
      </c>
      <c r="I76" s="23">
        <v>45275</v>
      </c>
      <c r="J76" s="23"/>
      <c r="K76" s="42">
        <f>0.8*0.98*0.94*0.95*25213*1.12*1.1*1.15*1.15</f>
        <v>28760.632577057913</v>
      </c>
      <c r="L76" s="11"/>
      <c r="M76" s="10"/>
      <c r="N76" s="100"/>
      <c r="O76" s="11">
        <f t="shared" si="15"/>
        <v>28760.632577057913</v>
      </c>
      <c r="P76" s="11">
        <f>+O76*'AUMENTOS %'!$B$5</f>
        <v>28760.632577057913</v>
      </c>
      <c r="Q76" s="11"/>
      <c r="R76" s="11">
        <f t="shared" si="13"/>
        <v>0</v>
      </c>
      <c r="S76" s="11"/>
      <c r="T76" s="136">
        <f t="shared" si="16"/>
        <v>0</v>
      </c>
    </row>
    <row r="77" spans="1:20" ht="15.75" customHeight="1">
      <c r="A77" s="149" t="s">
        <v>2386</v>
      </c>
      <c r="B77" s="273">
        <f t="shared" si="8"/>
        <v>529200</v>
      </c>
      <c r="C77" s="28" t="s">
        <v>4200</v>
      </c>
      <c r="D77" s="132">
        <v>20300</v>
      </c>
      <c r="E77" s="131">
        <f t="shared" si="17"/>
        <v>478910</v>
      </c>
      <c r="F77" s="21">
        <f t="shared" si="12"/>
        <v>579481.1</v>
      </c>
      <c r="G77" s="33"/>
      <c r="H77" s="135">
        <f t="shared" si="14"/>
        <v>0</v>
      </c>
      <c r="I77" s="23">
        <v>45323</v>
      </c>
      <c r="J77" s="23"/>
      <c r="K77" s="10">
        <f>0.8*0.98*0.94*0.95*506694</f>
        <v>354742.54972799995</v>
      </c>
      <c r="L77" s="10"/>
      <c r="M77" s="10"/>
      <c r="N77" s="100"/>
      <c r="O77" s="11">
        <f t="shared" si="15"/>
        <v>354742.54972799995</v>
      </c>
      <c r="P77" s="11">
        <f>+O77*'AUMENTOS %'!$B$5</f>
        <v>354742.54972799995</v>
      </c>
      <c r="Q77" s="11">
        <v>1.35</v>
      </c>
      <c r="R77" s="11">
        <f t="shared" si="13"/>
        <v>478902.44213279994</v>
      </c>
      <c r="S77" s="11"/>
      <c r="T77" s="136">
        <f t="shared" si="16"/>
        <v>0</v>
      </c>
    </row>
    <row r="78" spans="1:20" ht="15.75" customHeight="1">
      <c r="A78" s="149">
        <v>18</v>
      </c>
      <c r="B78" s="273">
        <f t="shared" si="8"/>
        <v>473830</v>
      </c>
      <c r="C78" s="28" t="s">
        <v>2931</v>
      </c>
      <c r="D78" s="132">
        <v>17630</v>
      </c>
      <c r="E78" s="131">
        <f t="shared" si="17"/>
        <v>428800</v>
      </c>
      <c r="F78" s="21">
        <f t="shared" si="12"/>
        <v>518848</v>
      </c>
      <c r="G78" s="33"/>
      <c r="H78" s="135">
        <f t="shared" si="14"/>
        <v>0</v>
      </c>
      <c r="I78" s="23">
        <v>45323</v>
      </c>
      <c r="J78" s="23"/>
      <c r="K78" s="10">
        <f>0.8*0.98*0.94*0.95*453684</f>
        <v>317629.612608</v>
      </c>
      <c r="L78" s="11"/>
      <c r="M78" s="11"/>
      <c r="N78" s="100"/>
      <c r="O78" s="11">
        <f t="shared" si="15"/>
        <v>317629.612608</v>
      </c>
      <c r="P78" s="11">
        <f>+O78*'AUMENTOS %'!$B$5</f>
        <v>317629.612608</v>
      </c>
      <c r="Q78" s="11">
        <v>1.35</v>
      </c>
      <c r="R78" s="11">
        <f t="shared" si="13"/>
        <v>428799.9770208</v>
      </c>
      <c r="S78" s="11"/>
      <c r="T78" s="136">
        <f t="shared" si="16"/>
        <v>0</v>
      </c>
    </row>
    <row r="79" spans="1:20" ht="15.75" customHeight="1">
      <c r="A79" s="149" t="s">
        <v>2386</v>
      </c>
      <c r="B79" s="273">
        <f t="shared" si="8"/>
        <v>0</v>
      </c>
      <c r="C79" s="28" t="s">
        <v>1225</v>
      </c>
      <c r="D79" s="132">
        <v>17630</v>
      </c>
      <c r="E79" s="131">
        <f t="shared" si="17"/>
        <v>0</v>
      </c>
      <c r="F79" s="21">
        <f t="shared" si="12"/>
        <v>0</v>
      </c>
      <c r="G79" s="33"/>
      <c r="H79" s="135">
        <f t="shared" si="14"/>
        <v>0</v>
      </c>
      <c r="I79" s="23">
        <v>45275</v>
      </c>
      <c r="J79" s="23"/>
      <c r="K79" s="10">
        <f>0.8*0.98*0.94*0.95*27613*1.12*1.1*1.15*1.15*1.3</f>
        <v>40947.826579756103</v>
      </c>
      <c r="L79" s="11"/>
      <c r="M79" s="11"/>
      <c r="N79" s="100"/>
      <c r="O79" s="11">
        <f t="shared" si="15"/>
        <v>40947.826579756103</v>
      </c>
      <c r="P79" s="11">
        <f>+O79*'AUMENTOS %'!$B$5</f>
        <v>40947.826579756103</v>
      </c>
      <c r="Q79" s="11"/>
      <c r="R79" s="11">
        <f t="shared" si="13"/>
        <v>0</v>
      </c>
      <c r="S79" s="11"/>
      <c r="T79" s="136">
        <f t="shared" si="16"/>
        <v>0</v>
      </c>
    </row>
    <row r="80" spans="1:20" ht="15.75" customHeight="1">
      <c r="A80" s="149" t="s">
        <v>2386</v>
      </c>
      <c r="B80" s="273">
        <f t="shared" si="8"/>
        <v>511750</v>
      </c>
      <c r="C80" s="28" t="s">
        <v>2855</v>
      </c>
      <c r="D80" s="132"/>
      <c r="E80" s="131">
        <f t="shared" si="17"/>
        <v>463120</v>
      </c>
      <c r="F80" s="21">
        <f t="shared" si="12"/>
        <v>560375.19999999995</v>
      </c>
      <c r="G80" s="33"/>
      <c r="H80" s="135">
        <f t="shared" si="14"/>
        <v>0</v>
      </c>
      <c r="I80" s="23">
        <v>45323</v>
      </c>
      <c r="J80" s="23"/>
      <c r="K80" s="10">
        <f>0.8*0.98*0.94*0.95*489986</f>
        <v>343045.07843199995</v>
      </c>
      <c r="L80" s="10"/>
      <c r="M80" s="11"/>
      <c r="N80" s="100"/>
      <c r="O80" s="11">
        <f t="shared" si="15"/>
        <v>343045.07843199995</v>
      </c>
      <c r="P80" s="11">
        <f>+O80*'AUMENTOS %'!$B$5</f>
        <v>343045.07843199995</v>
      </c>
      <c r="Q80" s="11">
        <v>1.35</v>
      </c>
      <c r="R80" s="11">
        <f t="shared" si="13"/>
        <v>463110.85588319995</v>
      </c>
      <c r="S80" s="11"/>
      <c r="T80" s="136">
        <f t="shared" si="16"/>
        <v>0</v>
      </c>
    </row>
    <row r="81" spans="1:20" ht="15.75" customHeight="1">
      <c r="A81" s="149">
        <v>38</v>
      </c>
      <c r="B81" s="273">
        <f t="shared" si="8"/>
        <v>87420</v>
      </c>
      <c r="C81" s="28" t="s">
        <v>3703</v>
      </c>
      <c r="D81" s="132"/>
      <c r="E81" s="131">
        <f t="shared" si="17"/>
        <v>79110</v>
      </c>
      <c r="F81" s="21">
        <f t="shared" si="12"/>
        <v>95723.099999999991</v>
      </c>
      <c r="G81" s="33">
        <f>+H81*1.21</f>
        <v>89975.599999999991</v>
      </c>
      <c r="H81" s="135">
        <f t="shared" si="14"/>
        <v>74360</v>
      </c>
      <c r="I81" s="294">
        <v>45274</v>
      </c>
      <c r="J81" s="23">
        <v>45348</v>
      </c>
      <c r="K81" s="10">
        <f>+PROVEEDORES!$D$32*54.59</f>
        <v>57319.5</v>
      </c>
      <c r="L81" s="11"/>
      <c r="M81" s="11"/>
      <c r="N81" s="100">
        <f>+K81*0.94</f>
        <v>53880.329999999994</v>
      </c>
      <c r="O81" s="11">
        <f t="shared" si="15"/>
        <v>57319.5</v>
      </c>
      <c r="P81" s="11">
        <f t="shared" ref="P81:P132" si="18">+O81</f>
        <v>57319.5</v>
      </c>
      <c r="Q81" s="11">
        <v>1.38</v>
      </c>
      <c r="R81" s="11">
        <f t="shared" si="13"/>
        <v>79100.909999999989</v>
      </c>
      <c r="S81" s="11"/>
      <c r="T81" s="136">
        <f t="shared" si="16"/>
        <v>74354.855399999986</v>
      </c>
    </row>
    <row r="82" spans="1:20" ht="15.75" customHeight="1">
      <c r="A82" s="149">
        <v>38</v>
      </c>
      <c r="B82" s="273">
        <f>ROUNDUP(E82*1.105,-1)</f>
        <v>232680</v>
      </c>
      <c r="C82" s="28" t="s">
        <v>3623</v>
      </c>
      <c r="D82" s="132"/>
      <c r="E82" s="131">
        <f>ROUNDUP(R82,-1)</f>
        <v>210570</v>
      </c>
      <c r="F82" s="21">
        <f>+E82*1.21</f>
        <v>254789.69999999998</v>
      </c>
      <c r="G82" s="33">
        <f>+H82*1.21</f>
        <v>239507.4</v>
      </c>
      <c r="H82" s="135">
        <f>ROUNDUP(T82,-1)</f>
        <v>197940</v>
      </c>
      <c r="I82" s="294">
        <v>45274</v>
      </c>
      <c r="J82" s="23">
        <v>45322</v>
      </c>
      <c r="K82" s="10">
        <f>+PROVEEDORES!$D$32*145.32</f>
        <v>152586</v>
      </c>
      <c r="L82" s="11"/>
      <c r="M82" s="11"/>
      <c r="N82" s="100">
        <f>+K82*0.94</f>
        <v>143430.84</v>
      </c>
      <c r="O82" s="11">
        <f>MIN(K82:M82)</f>
        <v>152586</v>
      </c>
      <c r="P82" s="11">
        <f t="shared" si="18"/>
        <v>152586</v>
      </c>
      <c r="Q82" s="11">
        <v>1.38</v>
      </c>
      <c r="R82" s="11">
        <f t="shared" si="13"/>
        <v>210568.68</v>
      </c>
      <c r="S82" s="11"/>
      <c r="T82" s="136">
        <f>+N82*Q82</f>
        <v>197934.55919999999</v>
      </c>
    </row>
    <row r="83" spans="1:20" ht="15.75" customHeight="1">
      <c r="A83" s="149">
        <v>38</v>
      </c>
      <c r="B83" s="273">
        <f t="shared" si="8"/>
        <v>303240</v>
      </c>
      <c r="C83" s="28" t="s">
        <v>3749</v>
      </c>
      <c r="D83" s="132"/>
      <c r="E83" s="131">
        <f t="shared" si="17"/>
        <v>274420</v>
      </c>
      <c r="F83" s="21">
        <f t="shared" si="12"/>
        <v>332048.2</v>
      </c>
      <c r="G83" s="33">
        <f>+H83*1.21</f>
        <v>312131.59999999998</v>
      </c>
      <c r="H83" s="135">
        <f t="shared" si="14"/>
        <v>257960</v>
      </c>
      <c r="I83" s="294">
        <v>45274</v>
      </c>
      <c r="J83" s="23">
        <v>45322</v>
      </c>
      <c r="K83" s="10">
        <f>+PROVEEDORES!$D$32*186.68</f>
        <v>196014</v>
      </c>
      <c r="L83" s="11"/>
      <c r="M83" s="11"/>
      <c r="N83" s="100">
        <f>+K83*0.94</f>
        <v>184253.16</v>
      </c>
      <c r="O83" s="11">
        <f t="shared" si="15"/>
        <v>196014</v>
      </c>
      <c r="P83" s="11">
        <f t="shared" si="18"/>
        <v>196014</v>
      </c>
      <c r="Q83" s="11">
        <v>1.4</v>
      </c>
      <c r="R83" s="11">
        <f t="shared" si="13"/>
        <v>274419.59999999998</v>
      </c>
      <c r="S83" s="11"/>
      <c r="T83" s="136">
        <f t="shared" si="16"/>
        <v>257954.424</v>
      </c>
    </row>
    <row r="84" spans="1:20" ht="15.75" customHeight="1">
      <c r="A84" s="149">
        <v>38</v>
      </c>
      <c r="B84" s="273">
        <f t="shared" si="8"/>
        <v>303240</v>
      </c>
      <c r="C84" s="248" t="s">
        <v>3669</v>
      </c>
      <c r="D84" s="132"/>
      <c r="E84" s="131">
        <f t="shared" si="17"/>
        <v>274420</v>
      </c>
      <c r="F84" s="21">
        <f t="shared" si="12"/>
        <v>332048.2</v>
      </c>
      <c r="G84" s="33">
        <f>+H84*1.21</f>
        <v>312131.59999999998</v>
      </c>
      <c r="H84" s="135">
        <f t="shared" si="14"/>
        <v>257960</v>
      </c>
      <c r="I84" s="294">
        <v>45274</v>
      </c>
      <c r="J84" s="23">
        <v>45300</v>
      </c>
      <c r="K84" s="10">
        <f>+PROVEEDORES!$D$32*186.68</f>
        <v>196014</v>
      </c>
      <c r="L84" s="11"/>
      <c r="M84" s="11"/>
      <c r="N84" s="100">
        <f>+K84*0.94</f>
        <v>184253.16</v>
      </c>
      <c r="O84" s="11">
        <f t="shared" si="15"/>
        <v>196014</v>
      </c>
      <c r="P84" s="11">
        <f t="shared" si="18"/>
        <v>196014</v>
      </c>
      <c r="Q84" s="11">
        <v>1.4</v>
      </c>
      <c r="R84" s="11">
        <f t="shared" si="13"/>
        <v>274419.59999999998</v>
      </c>
      <c r="S84" s="11"/>
      <c r="T84" s="136">
        <f t="shared" si="16"/>
        <v>257954.424</v>
      </c>
    </row>
    <row r="85" spans="1:20" ht="15.75" customHeight="1">
      <c r="A85" s="149" t="s">
        <v>2387</v>
      </c>
      <c r="B85" s="273">
        <f>ROUNDUP(E85*1.105,-1)</f>
        <v>129720</v>
      </c>
      <c r="C85" s="28" t="s">
        <v>4353</v>
      </c>
      <c r="D85" s="132">
        <v>6730</v>
      </c>
      <c r="E85" s="131">
        <f>ROUNDUP(R85,-1)</f>
        <v>117390</v>
      </c>
      <c r="F85" s="21">
        <f>+E85*1.21</f>
        <v>142041.9</v>
      </c>
      <c r="G85" s="33"/>
      <c r="H85" s="135">
        <f>ROUNDUP(T85,-1)</f>
        <v>0</v>
      </c>
      <c r="I85" s="23">
        <v>45329</v>
      </c>
      <c r="J85" s="23"/>
      <c r="K85" s="10">
        <f>+'AUMENTOS %'!D12*0.5*173910</f>
        <v>86955</v>
      </c>
      <c r="L85" s="69">
        <f>+'AUMENTOS %'!C12*54009*2</f>
        <v>108018</v>
      </c>
      <c r="M85" s="11"/>
      <c r="N85" s="100"/>
      <c r="O85" s="11">
        <f>MIN(K85:M85)</f>
        <v>86955</v>
      </c>
      <c r="P85" s="11">
        <f>+O85*'AUMENTOS %'!$D$12</f>
        <v>86955</v>
      </c>
      <c r="Q85" s="11">
        <v>1.35</v>
      </c>
      <c r="R85" s="11">
        <f t="shared" si="13"/>
        <v>117389.25000000001</v>
      </c>
      <c r="S85" s="11"/>
      <c r="T85" s="136">
        <f>+N85*Q85</f>
        <v>0</v>
      </c>
    </row>
    <row r="86" spans="1:20" ht="15.75" customHeight="1">
      <c r="A86" s="149" t="s">
        <v>2387</v>
      </c>
      <c r="B86" s="273">
        <f t="shared" si="8"/>
        <v>152950</v>
      </c>
      <c r="C86" s="28" t="s">
        <v>2755</v>
      </c>
      <c r="D86" s="132">
        <v>10200</v>
      </c>
      <c r="E86" s="131">
        <f t="shared" si="17"/>
        <v>138410</v>
      </c>
      <c r="F86" s="21">
        <f t="shared" si="12"/>
        <v>167476.1</v>
      </c>
      <c r="G86" s="33"/>
      <c r="H86" s="135">
        <f t="shared" si="14"/>
        <v>135010</v>
      </c>
      <c r="I86" s="23">
        <v>45329</v>
      </c>
      <c r="J86" s="23">
        <v>45348</v>
      </c>
      <c r="K86" s="10">
        <f>+'AUMENTOS %'!$D$12*0.5*205040</f>
        <v>102520</v>
      </c>
      <c r="L86" s="69">
        <f>+'AUMENTOS %'!$C$12*66062*2</f>
        <v>132124</v>
      </c>
      <c r="M86" s="10"/>
      <c r="N86" s="100">
        <f>105268.6*0.95</f>
        <v>100005.17</v>
      </c>
      <c r="O86" s="11">
        <f t="shared" si="15"/>
        <v>102520</v>
      </c>
      <c r="P86" s="11">
        <f>+O86*'AUMENTOS %'!$D$12</f>
        <v>102520</v>
      </c>
      <c r="Q86" s="11">
        <v>1.35</v>
      </c>
      <c r="R86" s="11">
        <f t="shared" si="13"/>
        <v>138402</v>
      </c>
      <c r="S86" s="11"/>
      <c r="T86" s="136">
        <f t="shared" si="16"/>
        <v>135006.97950000002</v>
      </c>
    </row>
    <row r="87" spans="1:20" ht="15.75" customHeight="1">
      <c r="A87" s="149" t="s">
        <v>2387</v>
      </c>
      <c r="B87" s="273">
        <f t="shared" si="8"/>
        <v>187030</v>
      </c>
      <c r="C87" s="28" t="s">
        <v>2814</v>
      </c>
      <c r="D87" s="132">
        <v>11860</v>
      </c>
      <c r="E87" s="131">
        <f t="shared" si="17"/>
        <v>169250</v>
      </c>
      <c r="F87" s="21">
        <f t="shared" si="12"/>
        <v>204792.5</v>
      </c>
      <c r="G87" s="33">
        <f>+H87*1.21</f>
        <v>199807.3</v>
      </c>
      <c r="H87" s="135">
        <f t="shared" si="14"/>
        <v>165130</v>
      </c>
      <c r="I87" s="23">
        <v>45329</v>
      </c>
      <c r="J87" s="23">
        <v>45348</v>
      </c>
      <c r="K87" s="10">
        <f>+'AUMENTOS %'!$D$12*0.5*241780</f>
        <v>120890</v>
      </c>
      <c r="L87" s="69">
        <f>+'AUMENTOS %'!$C$12*55417*3</f>
        <v>166251</v>
      </c>
      <c r="M87" s="11"/>
      <c r="N87" s="100">
        <f>124156.25*0.95</f>
        <v>117948.4375</v>
      </c>
      <c r="O87" s="11">
        <f t="shared" si="15"/>
        <v>120890</v>
      </c>
      <c r="P87" s="11">
        <f>+O87*'AUMENTOS %'!$D$12</f>
        <v>120890</v>
      </c>
      <c r="Q87" s="11">
        <v>1.4</v>
      </c>
      <c r="R87" s="11">
        <f t="shared" si="13"/>
        <v>169246</v>
      </c>
      <c r="S87" s="11"/>
      <c r="T87" s="136">
        <f t="shared" si="16"/>
        <v>165127.8125</v>
      </c>
    </row>
    <row r="88" spans="1:20" ht="15.75" customHeight="1">
      <c r="A88" s="149" t="s">
        <v>2387</v>
      </c>
      <c r="B88" s="273">
        <f>ROUNDUP(E88*1.105,-1)</f>
        <v>0</v>
      </c>
      <c r="C88" s="28" t="s">
        <v>2813</v>
      </c>
      <c r="D88" s="132">
        <v>11860</v>
      </c>
      <c r="E88" s="131">
        <f>ROUNDUP(R88,-1)</f>
        <v>0</v>
      </c>
      <c r="F88" s="21">
        <f>+E88*1.21</f>
        <v>0</v>
      </c>
      <c r="G88" s="33"/>
      <c r="H88" s="135">
        <f>ROUNDUP(T88,-1)</f>
        <v>0</v>
      </c>
      <c r="I88" s="23">
        <v>45173</v>
      </c>
      <c r="J88" s="23"/>
      <c r="K88" s="10"/>
      <c r="L88" s="69">
        <f>+'AUMENTOS %'!$C$12*56038</f>
        <v>56038</v>
      </c>
      <c r="M88" s="11"/>
      <c r="N88" s="100"/>
      <c r="O88" s="11">
        <f>MIN(K88:M88)</f>
        <v>56038</v>
      </c>
      <c r="P88" s="11">
        <f>+O88*'AUMENTOS %'!$D$12</f>
        <v>56038</v>
      </c>
      <c r="Q88" s="11"/>
      <c r="R88" s="11">
        <f t="shared" si="13"/>
        <v>0</v>
      </c>
      <c r="S88" s="11"/>
      <c r="T88" s="136">
        <f>+N88*Q88</f>
        <v>0</v>
      </c>
    </row>
    <row r="89" spans="1:20" ht="15.75" customHeight="1">
      <c r="A89" s="149" t="s">
        <v>2387</v>
      </c>
      <c r="B89" s="273">
        <f t="shared" si="8"/>
        <v>0</v>
      </c>
      <c r="C89" s="28" t="s">
        <v>3395</v>
      </c>
      <c r="D89" s="132">
        <v>13780</v>
      </c>
      <c r="E89" s="131">
        <f t="shared" si="17"/>
        <v>0</v>
      </c>
      <c r="F89" s="21">
        <f t="shared" si="12"/>
        <v>0</v>
      </c>
      <c r="G89" s="33"/>
      <c r="H89" s="135">
        <f t="shared" si="14"/>
        <v>0</v>
      </c>
      <c r="I89" s="23">
        <v>45173</v>
      </c>
      <c r="J89" s="23"/>
      <c r="K89" s="11"/>
      <c r="L89" s="69">
        <f>+'AUMENTOS %'!$C$12*64273</f>
        <v>64273</v>
      </c>
      <c r="M89" s="11"/>
      <c r="N89" s="100"/>
      <c r="O89" s="11">
        <f t="shared" si="15"/>
        <v>64273</v>
      </c>
      <c r="P89" s="11">
        <f>+O89*'AUMENTOS %'!$D$12</f>
        <v>64273</v>
      </c>
      <c r="Q89" s="11"/>
      <c r="R89" s="11">
        <f t="shared" si="13"/>
        <v>0</v>
      </c>
      <c r="S89" s="11"/>
      <c r="T89" s="136">
        <f t="shared" si="16"/>
        <v>0</v>
      </c>
    </row>
    <row r="90" spans="1:20" ht="15.75" customHeight="1">
      <c r="A90" s="149" t="s">
        <v>2387</v>
      </c>
      <c r="B90" s="273">
        <f t="shared" si="8"/>
        <v>250990</v>
      </c>
      <c r="C90" s="28" t="s">
        <v>1226</v>
      </c>
      <c r="D90" s="132">
        <v>13780</v>
      </c>
      <c r="E90" s="131">
        <f t="shared" si="17"/>
        <v>227140</v>
      </c>
      <c r="F90" s="21">
        <f t="shared" ref="F90:F126" si="19">+E90*1.21</f>
        <v>274839.39999999997</v>
      </c>
      <c r="G90" s="33"/>
      <c r="H90" s="135">
        <f t="shared" si="14"/>
        <v>218090</v>
      </c>
      <c r="I90" s="23">
        <v>45329</v>
      </c>
      <c r="J90" s="23">
        <v>45348</v>
      </c>
      <c r="K90" s="10">
        <f>+'AUMENTOS %'!$D$12*0.5*336490</f>
        <v>168245</v>
      </c>
      <c r="L90" s="69">
        <v>170046</v>
      </c>
      <c r="M90" s="11"/>
      <c r="N90" s="100">
        <f>170046*0.95</f>
        <v>161543.69999999998</v>
      </c>
      <c r="O90" s="11">
        <f t="shared" si="15"/>
        <v>168245</v>
      </c>
      <c r="P90" s="11">
        <f>+O90*'AUMENTOS %'!$D$12</f>
        <v>168245</v>
      </c>
      <c r="Q90" s="11">
        <v>1.35</v>
      </c>
      <c r="R90" s="11">
        <f t="shared" si="13"/>
        <v>227130.75000000003</v>
      </c>
      <c r="S90" s="11"/>
      <c r="T90" s="136">
        <f t="shared" si="16"/>
        <v>218083.995</v>
      </c>
    </row>
    <row r="91" spans="1:20" ht="15.75" customHeight="1">
      <c r="A91" s="149" t="s">
        <v>2387</v>
      </c>
      <c r="B91" s="273">
        <f>ROUNDUP(E91*1.105,-1)</f>
        <v>0</v>
      </c>
      <c r="C91" s="28" t="s">
        <v>4352</v>
      </c>
      <c r="D91" s="132">
        <v>22770</v>
      </c>
      <c r="E91" s="131">
        <f>ROUNDUP(R91,-1)</f>
        <v>0</v>
      </c>
      <c r="F91" s="21">
        <f>+E91*1.21</f>
        <v>0</v>
      </c>
      <c r="G91" s="33"/>
      <c r="H91" s="135">
        <f>ROUNDUP(T91,-1)</f>
        <v>0</v>
      </c>
      <c r="I91" s="23">
        <v>45173</v>
      </c>
      <c r="J91" s="23">
        <v>45175</v>
      </c>
      <c r="K91" s="10">
        <f>+'AUMENTOS %'!$D$12*0.5*253750</f>
        <v>126875</v>
      </c>
      <c r="L91" s="69">
        <f>+'AUMENTOS %'!$C$12*99087*2</f>
        <v>198174</v>
      </c>
      <c r="M91" s="11"/>
      <c r="N91" s="100"/>
      <c r="O91" s="11">
        <f>MIN(K91:M91)</f>
        <v>126875</v>
      </c>
      <c r="P91" s="11">
        <f>+O91*'AUMENTOS %'!$D$12</f>
        <v>126875</v>
      </c>
      <c r="Q91" s="11"/>
      <c r="R91" s="11">
        <f t="shared" si="13"/>
        <v>0</v>
      </c>
      <c r="S91" s="11"/>
      <c r="T91" s="136">
        <f>+N91*Q91</f>
        <v>0</v>
      </c>
    </row>
    <row r="92" spans="1:20" ht="15.75" customHeight="1">
      <c r="A92" s="149" t="s">
        <v>2387</v>
      </c>
      <c r="B92" s="273">
        <f t="shared" ref="B92:B129" si="20">ROUNDUP(E92*1.105,-1)</f>
        <v>0</v>
      </c>
      <c r="C92" s="28" t="s">
        <v>1228</v>
      </c>
      <c r="D92" s="132">
        <v>17090</v>
      </c>
      <c r="E92" s="131">
        <f t="shared" si="17"/>
        <v>0</v>
      </c>
      <c r="F92" s="21">
        <f t="shared" si="19"/>
        <v>0</v>
      </c>
      <c r="G92" s="33"/>
      <c r="H92" s="135">
        <f t="shared" si="14"/>
        <v>0</v>
      </c>
      <c r="I92" s="23">
        <v>45173</v>
      </c>
      <c r="J92" s="23"/>
      <c r="K92" s="10"/>
      <c r="L92" s="69">
        <f>+'AUMENTOS %'!C12*98164</f>
        <v>98164</v>
      </c>
      <c r="M92" s="11"/>
      <c r="N92" s="100"/>
      <c r="O92" s="11">
        <f t="shared" si="15"/>
        <v>98164</v>
      </c>
      <c r="P92" s="11">
        <f>+O92*'AUMENTOS %'!$D$12</f>
        <v>98164</v>
      </c>
      <c r="Q92" s="11"/>
      <c r="R92" s="11">
        <f t="shared" si="13"/>
        <v>0</v>
      </c>
      <c r="S92" s="11"/>
      <c r="T92" s="136">
        <f t="shared" si="16"/>
        <v>0</v>
      </c>
    </row>
    <row r="93" spans="1:20" ht="15.75" customHeight="1">
      <c r="A93" s="149" t="s">
        <v>2387</v>
      </c>
      <c r="B93" s="273">
        <f>ROUNDUP(E93*1.105,-1)</f>
        <v>336730</v>
      </c>
      <c r="C93" s="28" t="s">
        <v>1227</v>
      </c>
      <c r="D93" s="132">
        <v>19190</v>
      </c>
      <c r="E93" s="131">
        <f>ROUNDUP(R93,-1)</f>
        <v>304730</v>
      </c>
      <c r="F93" s="21">
        <f>+E93*1.21</f>
        <v>368723.3</v>
      </c>
      <c r="G93" s="33"/>
      <c r="H93" s="135">
        <f>ROUNDUP(T93,-1)</f>
        <v>0</v>
      </c>
      <c r="I93" s="23">
        <v>45329</v>
      </c>
      <c r="J93" s="23"/>
      <c r="K93" s="10">
        <f>+'AUMENTOS %'!$D$12*0.5*451440</f>
        <v>225720</v>
      </c>
      <c r="L93" s="69">
        <f>+'AUMENTOS %'!C12*143168*2</f>
        <v>286336</v>
      </c>
      <c r="M93" s="11"/>
      <c r="N93" s="100"/>
      <c r="O93" s="11">
        <f>MIN(K93:M93)</f>
        <v>225720</v>
      </c>
      <c r="P93" s="11">
        <f>+O93*'AUMENTOS %'!$D$12</f>
        <v>225720</v>
      </c>
      <c r="Q93" s="11">
        <v>1.35</v>
      </c>
      <c r="R93" s="11">
        <f t="shared" si="13"/>
        <v>304722</v>
      </c>
      <c r="S93" s="11"/>
      <c r="T93" s="136">
        <f>+N93*Q93</f>
        <v>0</v>
      </c>
    </row>
    <row r="94" spans="1:20" ht="15.75" customHeight="1">
      <c r="A94" s="149" t="s">
        <v>2387</v>
      </c>
      <c r="B94" s="273">
        <f t="shared" si="20"/>
        <v>408930</v>
      </c>
      <c r="C94" s="28" t="s">
        <v>1229</v>
      </c>
      <c r="D94" s="132">
        <v>23520</v>
      </c>
      <c r="E94" s="131">
        <f t="shared" si="17"/>
        <v>370070</v>
      </c>
      <c r="F94" s="21">
        <f t="shared" si="19"/>
        <v>447784.7</v>
      </c>
      <c r="G94" s="33"/>
      <c r="H94" s="135">
        <f t="shared" si="14"/>
        <v>0</v>
      </c>
      <c r="I94" s="23">
        <v>45329</v>
      </c>
      <c r="J94" s="23"/>
      <c r="K94" s="10">
        <f>+'AUMENTOS %'!$D$12*0.5*548240</f>
        <v>274120</v>
      </c>
      <c r="L94" s="69">
        <f>+'AUMENTOS %'!C12*105836*3</f>
        <v>317508</v>
      </c>
      <c r="M94" s="11"/>
      <c r="N94" s="100"/>
      <c r="O94" s="11">
        <f t="shared" si="15"/>
        <v>274120</v>
      </c>
      <c r="P94" s="11">
        <f>+O94*'AUMENTOS %'!$D$12</f>
        <v>274120</v>
      </c>
      <c r="Q94" s="11">
        <v>1.35</v>
      </c>
      <c r="R94" s="11">
        <f t="shared" si="13"/>
        <v>370062</v>
      </c>
      <c r="S94" s="11"/>
      <c r="T94" s="136">
        <f t="shared" si="16"/>
        <v>0</v>
      </c>
    </row>
    <row r="95" spans="1:20" ht="15.75" customHeight="1">
      <c r="A95" s="149" t="s">
        <v>2387</v>
      </c>
      <c r="B95" s="273">
        <f>ROUNDUP(E95*1.105,-1)</f>
        <v>404670</v>
      </c>
      <c r="C95" s="28" t="s">
        <v>62599</v>
      </c>
      <c r="D95" s="132">
        <v>23400</v>
      </c>
      <c r="E95" s="131">
        <f>ROUNDUP(R95,-1)</f>
        <v>366210</v>
      </c>
      <c r="F95" s="21">
        <f>+E95*1.21</f>
        <v>443114.1</v>
      </c>
      <c r="G95" s="33"/>
      <c r="H95" s="135">
        <f>ROUNDUP(T95,-1)</f>
        <v>0</v>
      </c>
      <c r="I95" s="23">
        <v>45329</v>
      </c>
      <c r="J95" s="23"/>
      <c r="K95" s="10">
        <f>+'AUMENTOS %'!$D$12*0.5*542520</f>
        <v>271260</v>
      </c>
      <c r="L95" s="69"/>
      <c r="M95" s="11"/>
      <c r="N95" s="100"/>
      <c r="O95" s="11">
        <f>MIN(K95:M95)</f>
        <v>271260</v>
      </c>
      <c r="P95" s="11">
        <f>+O95*'AUMENTOS %'!$D$12</f>
        <v>271260</v>
      </c>
      <c r="Q95" s="11">
        <v>1.35</v>
      </c>
      <c r="R95" s="11">
        <f t="shared" ref="R95" si="21">+P95*Q95</f>
        <v>366201</v>
      </c>
      <c r="S95" s="11"/>
      <c r="T95" s="136">
        <f>+N95*Q95</f>
        <v>0</v>
      </c>
    </row>
    <row r="96" spans="1:20" ht="15.75" customHeight="1">
      <c r="A96" s="149" t="s">
        <v>2387</v>
      </c>
      <c r="B96" s="273">
        <f t="shared" si="20"/>
        <v>488180</v>
      </c>
      <c r="C96" s="28" t="s">
        <v>1230</v>
      </c>
      <c r="D96" s="132">
        <v>27660</v>
      </c>
      <c r="E96" s="131">
        <f t="shared" si="17"/>
        <v>441790</v>
      </c>
      <c r="F96" s="21">
        <f t="shared" si="19"/>
        <v>534565.9</v>
      </c>
      <c r="G96" s="33"/>
      <c r="H96" s="135">
        <f t="shared" si="14"/>
        <v>0</v>
      </c>
      <c r="I96" s="23">
        <v>45329</v>
      </c>
      <c r="J96" s="23"/>
      <c r="K96" s="10">
        <f>+'AUMENTOS %'!$D$12*0.5*654500</f>
        <v>327250</v>
      </c>
      <c r="L96" s="69">
        <f>+'AUMENTOS %'!C12*135523*3</f>
        <v>406569</v>
      </c>
      <c r="M96" s="11"/>
      <c r="N96" s="100"/>
      <c r="O96" s="11">
        <f t="shared" si="15"/>
        <v>327250</v>
      </c>
      <c r="P96" s="11">
        <f>+O96*'AUMENTOS %'!$D$12</f>
        <v>327250</v>
      </c>
      <c r="Q96" s="11">
        <v>1.35</v>
      </c>
      <c r="R96" s="11">
        <f t="shared" si="13"/>
        <v>441787.5</v>
      </c>
      <c r="S96" s="11"/>
      <c r="T96" s="136">
        <f t="shared" si="16"/>
        <v>0</v>
      </c>
    </row>
    <row r="97" spans="1:20" ht="15.75" customHeight="1">
      <c r="A97" s="149" t="s">
        <v>2387</v>
      </c>
      <c r="B97" s="273">
        <f t="shared" si="20"/>
        <v>0</v>
      </c>
      <c r="C97" s="28" t="s">
        <v>2145</v>
      </c>
      <c r="D97" s="132">
        <v>15910</v>
      </c>
      <c r="E97" s="131">
        <f t="shared" si="17"/>
        <v>0</v>
      </c>
      <c r="F97" s="21">
        <f t="shared" si="19"/>
        <v>0</v>
      </c>
      <c r="G97" s="33"/>
      <c r="H97" s="135">
        <f t="shared" si="14"/>
        <v>0</v>
      </c>
      <c r="I97" s="23">
        <v>45173</v>
      </c>
      <c r="J97" s="23"/>
      <c r="K97" s="10"/>
      <c r="L97" s="69">
        <f>+'AUMENTOS %'!C12*91388</f>
        <v>91388</v>
      </c>
      <c r="M97" s="11"/>
      <c r="N97" s="100"/>
      <c r="O97" s="11">
        <f t="shared" si="15"/>
        <v>91388</v>
      </c>
      <c r="P97" s="11">
        <f>+O97*'AUMENTOS %'!$D$12</f>
        <v>91388</v>
      </c>
      <c r="Q97" s="11"/>
      <c r="R97" s="11">
        <f t="shared" si="13"/>
        <v>0</v>
      </c>
      <c r="S97" s="11"/>
      <c r="T97" s="136">
        <f t="shared" si="16"/>
        <v>0</v>
      </c>
    </row>
    <row r="98" spans="1:20" ht="15.75" customHeight="1">
      <c r="A98" s="149" t="s">
        <v>2387</v>
      </c>
      <c r="B98" s="273">
        <f>ROUNDUP(E98*1.105,-1)</f>
        <v>336730</v>
      </c>
      <c r="C98" s="285" t="s">
        <v>2144</v>
      </c>
      <c r="D98" s="132">
        <v>19190</v>
      </c>
      <c r="E98" s="131">
        <f>ROUNDUP(R98,-1)</f>
        <v>304730</v>
      </c>
      <c r="F98" s="21">
        <f>+E98*1.21</f>
        <v>368723.3</v>
      </c>
      <c r="G98" s="33"/>
      <c r="H98" s="135">
        <f>ROUNDUP(T98,-1)</f>
        <v>297360</v>
      </c>
      <c r="I98" s="23">
        <v>45329</v>
      </c>
      <c r="J98" s="23">
        <v>45348</v>
      </c>
      <c r="K98" s="10">
        <f>+'AUMENTOS %'!$D$12*0.5*451440</f>
        <v>225720</v>
      </c>
      <c r="L98" s="69"/>
      <c r="M98" s="11"/>
      <c r="N98" s="100">
        <f>231853.8*0.95</f>
        <v>220261.11</v>
      </c>
      <c r="O98" s="11">
        <f>MIN(K98:M98)</f>
        <v>225720</v>
      </c>
      <c r="P98" s="11">
        <f>+O98*'AUMENTOS %'!$D$12</f>
        <v>225720</v>
      </c>
      <c r="Q98" s="11">
        <v>1.35</v>
      </c>
      <c r="R98" s="11">
        <f t="shared" si="13"/>
        <v>304722</v>
      </c>
      <c r="S98" s="11"/>
      <c r="T98" s="136">
        <f>+N98*Q98</f>
        <v>297352.49849999999</v>
      </c>
    </row>
    <row r="99" spans="1:20" ht="15.75" customHeight="1">
      <c r="A99" s="149" t="s">
        <v>2387</v>
      </c>
      <c r="B99" s="273">
        <f t="shared" si="20"/>
        <v>408930</v>
      </c>
      <c r="C99" s="285" t="s">
        <v>4355</v>
      </c>
      <c r="D99" s="132">
        <v>23520</v>
      </c>
      <c r="E99" s="131">
        <f t="shared" si="17"/>
        <v>370070</v>
      </c>
      <c r="F99" s="21">
        <f t="shared" si="19"/>
        <v>447784.7</v>
      </c>
      <c r="G99" s="33"/>
      <c r="H99" s="135">
        <f t="shared" si="14"/>
        <v>0</v>
      </c>
      <c r="I99" s="23">
        <v>45329</v>
      </c>
      <c r="J99" s="23">
        <v>45378</v>
      </c>
      <c r="K99" s="10">
        <f>0.5*548250</f>
        <v>274125</v>
      </c>
      <c r="L99" s="69"/>
      <c r="M99" s="11"/>
      <c r="N99" s="100"/>
      <c r="O99" s="11">
        <f t="shared" si="15"/>
        <v>274125</v>
      </c>
      <c r="P99" s="11">
        <f>+O99*'AUMENTOS %'!$D$12</f>
        <v>274125</v>
      </c>
      <c r="Q99" s="11">
        <v>1.35</v>
      </c>
      <c r="R99" s="11">
        <f t="shared" si="13"/>
        <v>370068.75</v>
      </c>
      <c r="S99" s="11"/>
      <c r="T99" s="136">
        <f t="shared" si="16"/>
        <v>0</v>
      </c>
    </row>
    <row r="100" spans="1:20" ht="15.75" customHeight="1">
      <c r="A100" s="149" t="s">
        <v>2387</v>
      </c>
      <c r="B100" s="273">
        <f>ROUNDUP(E100*1.105,-1)</f>
        <v>404670</v>
      </c>
      <c r="C100" s="285" t="s">
        <v>2208</v>
      </c>
      <c r="D100" s="132">
        <v>23400</v>
      </c>
      <c r="E100" s="131">
        <f>ROUNDUP(R100,-1)</f>
        <v>366210</v>
      </c>
      <c r="F100" s="21">
        <f>+E100*1.21</f>
        <v>443114.1</v>
      </c>
      <c r="G100" s="33"/>
      <c r="H100" s="135">
        <f>ROUNDUP(T100,-1)</f>
        <v>0</v>
      </c>
      <c r="I100" s="23">
        <v>45329</v>
      </c>
      <c r="J100" s="23"/>
      <c r="K100" s="10">
        <f>+'AUMENTOS %'!$D$12*0.5*542520</f>
        <v>271260</v>
      </c>
      <c r="L100" s="69">
        <f>+'AUMENTOS %'!C12*106408*3</f>
        <v>319224</v>
      </c>
      <c r="M100" s="11"/>
      <c r="N100" s="100"/>
      <c r="O100" s="11">
        <f>MIN(K100:M100)</f>
        <v>271260</v>
      </c>
      <c r="P100" s="11">
        <f>+O100*'AUMENTOS %'!$D$12</f>
        <v>271260</v>
      </c>
      <c r="Q100" s="11">
        <v>1.35</v>
      </c>
      <c r="R100" s="11">
        <f t="shared" si="13"/>
        <v>366201</v>
      </c>
      <c r="S100" s="11"/>
      <c r="T100" s="136">
        <f>+N100*Q100</f>
        <v>0</v>
      </c>
    </row>
    <row r="101" spans="1:20" ht="15.75" customHeight="1">
      <c r="A101" s="149" t="s">
        <v>2387</v>
      </c>
      <c r="B101" s="273">
        <f t="shared" si="20"/>
        <v>488180</v>
      </c>
      <c r="C101" s="28" t="s">
        <v>4354</v>
      </c>
      <c r="D101" s="132">
        <v>27660</v>
      </c>
      <c r="E101" s="131">
        <f t="shared" si="17"/>
        <v>441790</v>
      </c>
      <c r="F101" s="21">
        <f t="shared" si="19"/>
        <v>534565.9</v>
      </c>
      <c r="G101" s="33"/>
      <c r="H101" s="135">
        <f t="shared" si="14"/>
        <v>0</v>
      </c>
      <c r="I101" s="23">
        <v>45329</v>
      </c>
      <c r="J101" s="23"/>
      <c r="K101" s="10">
        <f>+'AUMENTOS %'!$D$12*0.5*654500</f>
        <v>327250</v>
      </c>
      <c r="L101" s="69">
        <f>+'AUMENTOS %'!C12*135523*3</f>
        <v>406569</v>
      </c>
      <c r="M101" s="11"/>
      <c r="N101" s="100"/>
      <c r="O101" s="11">
        <f t="shared" si="15"/>
        <v>327250</v>
      </c>
      <c r="P101" s="11">
        <f>+O101*'AUMENTOS %'!$D$12</f>
        <v>327250</v>
      </c>
      <c r="Q101" s="11">
        <v>1.35</v>
      </c>
      <c r="R101" s="11">
        <f t="shared" si="13"/>
        <v>441787.5</v>
      </c>
      <c r="S101" s="11"/>
      <c r="T101" s="136">
        <f t="shared" si="16"/>
        <v>0</v>
      </c>
    </row>
    <row r="102" spans="1:20" ht="15.75" customHeight="1">
      <c r="A102" s="149">
        <v>109</v>
      </c>
      <c r="B102" s="273">
        <f t="shared" si="20"/>
        <v>80560</v>
      </c>
      <c r="C102" s="309" t="s">
        <v>62649</v>
      </c>
      <c r="D102" s="132"/>
      <c r="E102" s="131">
        <f t="shared" si="17"/>
        <v>72900</v>
      </c>
      <c r="F102" s="21">
        <f t="shared" si="19"/>
        <v>88209</v>
      </c>
      <c r="G102" s="22"/>
      <c r="H102" s="135">
        <f t="shared" si="14"/>
        <v>0</v>
      </c>
      <c r="I102" s="294">
        <v>45385</v>
      </c>
      <c r="J102" s="23"/>
      <c r="K102" s="25">
        <f>1.038*50164</f>
        <v>52070.232000000004</v>
      </c>
      <c r="L102" s="25"/>
      <c r="M102" s="10"/>
      <c r="N102" s="137"/>
      <c r="O102" s="11">
        <f t="shared" si="15"/>
        <v>52070.232000000004</v>
      </c>
      <c r="P102" s="11">
        <f>+O102</f>
        <v>52070.232000000004</v>
      </c>
      <c r="Q102" s="25">
        <v>1.4</v>
      </c>
      <c r="R102" s="11">
        <f t="shared" si="13"/>
        <v>72898.324800000002</v>
      </c>
      <c r="S102" s="11"/>
      <c r="T102" s="136">
        <f t="shared" si="16"/>
        <v>0</v>
      </c>
    </row>
    <row r="103" spans="1:20" ht="15.75" customHeight="1">
      <c r="A103" s="149">
        <v>12</v>
      </c>
      <c r="B103" s="273">
        <f t="shared" ref="B103" si="22">ROUNDUP(E103*1.105,-1)</f>
        <v>68150</v>
      </c>
      <c r="C103" s="20" t="s">
        <v>44333</v>
      </c>
      <c r="D103" s="132"/>
      <c r="E103" s="131">
        <f t="shared" ref="E103" si="23">ROUNDUP(R103,-1)</f>
        <v>61670</v>
      </c>
      <c r="F103" s="21">
        <f t="shared" ref="F103" si="24">+E103*1.21</f>
        <v>74620.7</v>
      </c>
      <c r="G103" s="22"/>
      <c r="H103" s="135">
        <f t="shared" ref="H103" si="25">ROUNDUP(T103,-1)</f>
        <v>0</v>
      </c>
      <c r="I103" s="294">
        <v>45288</v>
      </c>
      <c r="J103" s="23">
        <v>45338</v>
      </c>
      <c r="K103" s="25">
        <v>44045</v>
      </c>
      <c r="L103" s="25"/>
      <c r="M103" s="10"/>
      <c r="N103" s="137"/>
      <c r="O103" s="11">
        <f t="shared" ref="O103" si="26">MIN(K103:M103)</f>
        <v>44045</v>
      </c>
      <c r="P103" s="11">
        <f>+O103</f>
        <v>44045</v>
      </c>
      <c r="Q103" s="25">
        <v>1.4</v>
      </c>
      <c r="R103" s="11">
        <f t="shared" ref="R103" si="27">+P103*Q103</f>
        <v>61662.999999999993</v>
      </c>
      <c r="S103" s="11"/>
      <c r="T103" s="136">
        <f t="shared" ref="T103" si="28">+N103*Q103</f>
        <v>0</v>
      </c>
    </row>
    <row r="104" spans="1:20" ht="15.75" customHeight="1">
      <c r="A104" s="149">
        <v>12</v>
      </c>
      <c r="B104" s="273">
        <f t="shared" si="20"/>
        <v>186810</v>
      </c>
      <c r="C104" s="20" t="s">
        <v>44240</v>
      </c>
      <c r="D104" s="132"/>
      <c r="E104" s="131">
        <f t="shared" si="17"/>
        <v>169050</v>
      </c>
      <c r="F104" s="21">
        <f t="shared" si="19"/>
        <v>204550.5</v>
      </c>
      <c r="G104" s="22"/>
      <c r="H104" s="135">
        <f t="shared" si="14"/>
        <v>0</v>
      </c>
      <c r="I104" s="294">
        <v>45274</v>
      </c>
      <c r="J104" s="23">
        <v>45338</v>
      </c>
      <c r="K104" s="25">
        <v>120744</v>
      </c>
      <c r="L104" s="25"/>
      <c r="M104" s="10"/>
      <c r="N104" s="137"/>
      <c r="O104" s="11">
        <f t="shared" si="15"/>
        <v>120744</v>
      </c>
      <c r="P104" s="11">
        <f>+O104</f>
        <v>120744</v>
      </c>
      <c r="Q104" s="25">
        <v>1.4</v>
      </c>
      <c r="R104" s="11">
        <f t="shared" si="13"/>
        <v>169041.59999999998</v>
      </c>
      <c r="S104" s="11"/>
      <c r="T104" s="136">
        <f t="shared" si="16"/>
        <v>0</v>
      </c>
    </row>
    <row r="105" spans="1:20" ht="15.75" customHeight="1">
      <c r="A105" s="149">
        <v>12</v>
      </c>
      <c r="B105" s="273">
        <f t="shared" si="20"/>
        <v>186810</v>
      </c>
      <c r="C105" s="20" t="s">
        <v>44241</v>
      </c>
      <c r="D105" s="132"/>
      <c r="E105" s="131">
        <f>ROUNDUP(R105,-1)</f>
        <v>169050</v>
      </c>
      <c r="F105" s="21">
        <f>+E105*1.21</f>
        <v>204550.5</v>
      </c>
      <c r="G105" s="22"/>
      <c r="H105" s="135">
        <f>ROUNDUP(T105,-1)</f>
        <v>0</v>
      </c>
      <c r="I105" s="294">
        <v>45274</v>
      </c>
      <c r="J105" s="23">
        <v>45338</v>
      </c>
      <c r="K105" s="25">
        <v>120744</v>
      </c>
      <c r="L105" s="25"/>
      <c r="M105" s="10"/>
      <c r="N105" s="137"/>
      <c r="O105" s="11">
        <f>MIN(K105:M105)</f>
        <v>120744</v>
      </c>
      <c r="P105" s="11">
        <f>+O105</f>
        <v>120744</v>
      </c>
      <c r="Q105" s="25">
        <v>1.4</v>
      </c>
      <c r="R105" s="11">
        <f>+P105*Q105</f>
        <v>169041.59999999998</v>
      </c>
      <c r="S105" s="11"/>
      <c r="T105" s="136">
        <f>+N105*Q105</f>
        <v>0</v>
      </c>
    </row>
    <row r="106" spans="1:20" ht="15.75" customHeight="1">
      <c r="A106" s="149">
        <v>38</v>
      </c>
      <c r="B106" s="273">
        <f t="shared" si="20"/>
        <v>64840</v>
      </c>
      <c r="C106" s="28" t="s">
        <v>3991</v>
      </c>
      <c r="D106" s="132"/>
      <c r="E106" s="131">
        <f t="shared" si="17"/>
        <v>58670</v>
      </c>
      <c r="F106" s="21">
        <f t="shared" si="19"/>
        <v>70990.7</v>
      </c>
      <c r="G106" s="33"/>
      <c r="H106" s="135">
        <f t="shared" ref="H106:H135" si="29">ROUNDUP(T106,-1)</f>
        <v>0</v>
      </c>
      <c r="I106" s="294">
        <v>45173</v>
      </c>
      <c r="J106" s="23"/>
      <c r="K106" s="10">
        <f>+'AUMENTOS %'!B10*43454</f>
        <v>43454</v>
      </c>
      <c r="L106" s="148"/>
      <c r="M106" s="11"/>
      <c r="N106" s="100"/>
      <c r="O106" s="11">
        <f>MIN(K106:M106)*'AUMENTOS %'!$B$10</f>
        <v>43454</v>
      </c>
      <c r="P106" s="11">
        <f t="shared" si="18"/>
        <v>43454</v>
      </c>
      <c r="Q106" s="11">
        <v>1.35</v>
      </c>
      <c r="R106" s="11">
        <f t="shared" si="13"/>
        <v>58662.9</v>
      </c>
      <c r="S106" s="11"/>
      <c r="T106" s="136">
        <f t="shared" ref="T106:T135" si="30">+N106*Q106</f>
        <v>0</v>
      </c>
    </row>
    <row r="107" spans="1:20" ht="15.75" customHeight="1">
      <c r="A107" s="149">
        <v>38</v>
      </c>
      <c r="B107" s="273">
        <f t="shared" si="20"/>
        <v>61410</v>
      </c>
      <c r="C107" s="28" t="s">
        <v>1231</v>
      </c>
      <c r="D107" s="132">
        <v>9080</v>
      </c>
      <c r="E107" s="131">
        <f t="shared" si="17"/>
        <v>55570</v>
      </c>
      <c r="F107" s="21">
        <f t="shared" si="19"/>
        <v>67239.7</v>
      </c>
      <c r="G107" s="278"/>
      <c r="H107" s="135">
        <f t="shared" si="29"/>
        <v>0</v>
      </c>
      <c r="I107" s="294">
        <v>45173</v>
      </c>
      <c r="J107" s="23"/>
      <c r="K107" s="10">
        <f>+'AUMENTOS %'!B10*41162</f>
        <v>41162</v>
      </c>
      <c r="L107" s="10"/>
      <c r="M107" s="11"/>
      <c r="N107" s="100"/>
      <c r="O107" s="11">
        <f>MIN(K107:M107)*'AUMENTOS %'!$B$10</f>
        <v>41162</v>
      </c>
      <c r="P107" s="11">
        <f t="shared" si="18"/>
        <v>41162</v>
      </c>
      <c r="Q107" s="11">
        <v>1.35</v>
      </c>
      <c r="R107" s="11">
        <f t="shared" si="13"/>
        <v>55568.700000000004</v>
      </c>
      <c r="S107" s="11"/>
      <c r="T107" s="136">
        <f t="shared" si="30"/>
        <v>0</v>
      </c>
    </row>
    <row r="108" spans="1:20" ht="15.75" customHeight="1">
      <c r="A108" s="149">
        <v>38</v>
      </c>
      <c r="B108" s="273">
        <f t="shared" si="20"/>
        <v>75940</v>
      </c>
      <c r="C108" s="28" t="s">
        <v>3517</v>
      </c>
      <c r="D108" s="132">
        <v>9080</v>
      </c>
      <c r="E108" s="131">
        <f t="shared" si="17"/>
        <v>68720</v>
      </c>
      <c r="F108" s="21">
        <f t="shared" si="19"/>
        <v>83151.199999999997</v>
      </c>
      <c r="G108" s="33"/>
      <c r="H108" s="135">
        <f t="shared" si="29"/>
        <v>0</v>
      </c>
      <c r="I108" s="294">
        <v>45173</v>
      </c>
      <c r="J108" s="23"/>
      <c r="K108" s="10">
        <f>+'AUMENTOS %'!B10*50903</f>
        <v>50903</v>
      </c>
      <c r="L108" s="10"/>
      <c r="M108" s="11"/>
      <c r="N108" s="100"/>
      <c r="O108" s="11">
        <f>MIN(K108:M108)*'AUMENTOS %'!$B$10</f>
        <v>50903</v>
      </c>
      <c r="P108" s="11">
        <f t="shared" si="18"/>
        <v>50903</v>
      </c>
      <c r="Q108" s="11">
        <v>1.35</v>
      </c>
      <c r="R108" s="11">
        <f t="shared" si="13"/>
        <v>68719.05</v>
      </c>
      <c r="S108" s="11"/>
      <c r="T108" s="136">
        <f t="shared" si="30"/>
        <v>0</v>
      </c>
    </row>
    <row r="109" spans="1:20" ht="15.75" customHeight="1">
      <c r="A109" s="149">
        <v>38</v>
      </c>
      <c r="B109" s="273">
        <f>ROUNDUP(E109*1.105,-1)</f>
        <v>171060</v>
      </c>
      <c r="C109" s="248" t="s">
        <v>1232</v>
      </c>
      <c r="D109" s="132">
        <v>12210</v>
      </c>
      <c r="E109" s="131">
        <f>ROUNDUP(R109,-1)</f>
        <v>154800</v>
      </c>
      <c r="F109" s="21">
        <f>+E109*1.21</f>
        <v>187308</v>
      </c>
      <c r="G109" s="33"/>
      <c r="H109" s="135">
        <f>ROUNDUP(T109,-1)</f>
        <v>0</v>
      </c>
      <c r="I109" s="294">
        <v>45173</v>
      </c>
      <c r="J109" s="23"/>
      <c r="K109" s="10">
        <f>+'AUMENTOS %'!B10*88961*1.2</f>
        <v>106753.2</v>
      </c>
      <c r="L109" s="10"/>
      <c r="M109" s="11"/>
      <c r="N109" s="100"/>
      <c r="O109" s="11">
        <f>MIN(K109:M109)*'AUMENTOS %'!$B$10</f>
        <v>106753.2</v>
      </c>
      <c r="P109" s="11">
        <f t="shared" si="18"/>
        <v>106753.2</v>
      </c>
      <c r="Q109" s="11">
        <v>1.45</v>
      </c>
      <c r="R109" s="11">
        <f t="shared" si="13"/>
        <v>154792.13999999998</v>
      </c>
      <c r="S109" s="11"/>
      <c r="T109" s="136"/>
    </row>
    <row r="110" spans="1:20" ht="15" customHeight="1">
      <c r="A110" s="149">
        <v>38</v>
      </c>
      <c r="B110" s="273">
        <f t="shared" si="20"/>
        <v>65900</v>
      </c>
      <c r="C110" s="28" t="s">
        <v>2086</v>
      </c>
      <c r="D110" s="132">
        <v>9750</v>
      </c>
      <c r="E110" s="131">
        <f t="shared" si="17"/>
        <v>59630</v>
      </c>
      <c r="F110" s="21">
        <f t="shared" si="19"/>
        <v>72152.3</v>
      </c>
      <c r="G110" s="33"/>
      <c r="H110" s="135">
        <f t="shared" si="29"/>
        <v>0</v>
      </c>
      <c r="I110" s="294">
        <v>45173</v>
      </c>
      <c r="J110" s="23"/>
      <c r="K110" s="11">
        <f>+'AUMENTOS %'!B10*44170</f>
        <v>44170</v>
      </c>
      <c r="L110" s="11"/>
      <c r="M110" s="11"/>
      <c r="N110" s="100"/>
      <c r="O110" s="11">
        <f>MIN(K110:M110)*'AUMENTOS %'!$B$10</f>
        <v>44170</v>
      </c>
      <c r="P110" s="11">
        <f t="shared" si="18"/>
        <v>44170</v>
      </c>
      <c r="Q110" s="11">
        <v>1.35</v>
      </c>
      <c r="R110" s="11">
        <f t="shared" si="13"/>
        <v>59629.500000000007</v>
      </c>
      <c r="S110" s="11"/>
      <c r="T110" s="136">
        <f t="shared" si="30"/>
        <v>0</v>
      </c>
    </row>
    <row r="111" spans="1:20" ht="15.75" customHeight="1">
      <c r="A111" s="149">
        <v>38</v>
      </c>
      <c r="B111" s="273">
        <f t="shared" si="20"/>
        <v>96050</v>
      </c>
      <c r="C111" s="36" t="s">
        <v>1233</v>
      </c>
      <c r="D111" s="132">
        <v>14200</v>
      </c>
      <c r="E111" s="131">
        <f t="shared" si="17"/>
        <v>86920</v>
      </c>
      <c r="F111" s="21">
        <f t="shared" si="19"/>
        <v>105173.2</v>
      </c>
      <c r="G111" s="282"/>
      <c r="H111" s="135">
        <f t="shared" si="29"/>
        <v>0</v>
      </c>
      <c r="I111" s="294">
        <v>45173</v>
      </c>
      <c r="J111" s="23"/>
      <c r="K111" s="39">
        <f>+'AUMENTOS %'!B10*64383</f>
        <v>64383</v>
      </c>
      <c r="L111" s="11"/>
      <c r="M111" s="11"/>
      <c r="N111" s="100"/>
      <c r="O111" s="11">
        <f>MIN(K111:M111)*'AUMENTOS %'!$B$10</f>
        <v>64383</v>
      </c>
      <c r="P111" s="11">
        <f t="shared" si="18"/>
        <v>64383</v>
      </c>
      <c r="Q111" s="11">
        <v>1.35</v>
      </c>
      <c r="R111" s="11">
        <f t="shared" si="13"/>
        <v>86917.05</v>
      </c>
      <c r="S111" s="11"/>
      <c r="T111" s="136">
        <f t="shared" si="30"/>
        <v>0</v>
      </c>
    </row>
    <row r="112" spans="1:20" ht="15.75" customHeight="1">
      <c r="A112" s="149">
        <v>38</v>
      </c>
      <c r="B112" s="273">
        <f t="shared" si="20"/>
        <v>93330</v>
      </c>
      <c r="C112" s="28" t="s">
        <v>3396</v>
      </c>
      <c r="D112" s="132">
        <v>12840</v>
      </c>
      <c r="E112" s="131">
        <f t="shared" si="17"/>
        <v>84460</v>
      </c>
      <c r="F112" s="21">
        <f t="shared" si="19"/>
        <v>102196.59999999999</v>
      </c>
      <c r="G112" s="33"/>
      <c r="H112" s="135">
        <f t="shared" si="29"/>
        <v>0</v>
      </c>
      <c r="I112" s="294">
        <v>45173</v>
      </c>
      <c r="J112" s="23"/>
      <c r="K112" s="39">
        <f>+'AUMENTOS %'!B10*62561</f>
        <v>62561</v>
      </c>
      <c r="L112" s="10"/>
      <c r="M112" s="10"/>
      <c r="N112" s="100"/>
      <c r="O112" s="11">
        <f>MIN(K112:M112)*'AUMENTOS %'!$B$10</f>
        <v>62561</v>
      </c>
      <c r="P112" s="11">
        <f t="shared" si="18"/>
        <v>62561</v>
      </c>
      <c r="Q112" s="11">
        <v>1.35</v>
      </c>
      <c r="R112" s="11">
        <f t="shared" si="13"/>
        <v>84457.35</v>
      </c>
      <c r="S112" s="11"/>
      <c r="T112" s="136">
        <f t="shared" si="30"/>
        <v>0</v>
      </c>
    </row>
    <row r="113" spans="1:20" ht="15.75" customHeight="1">
      <c r="A113" s="149">
        <v>38</v>
      </c>
      <c r="B113" s="273">
        <f t="shared" si="20"/>
        <v>129640</v>
      </c>
      <c r="C113" s="28" t="s">
        <v>1234</v>
      </c>
      <c r="D113" s="132">
        <v>14640</v>
      </c>
      <c r="E113" s="131">
        <f t="shared" ref="E113:E145" si="31">ROUNDUP(R113,-1)</f>
        <v>117320</v>
      </c>
      <c r="F113" s="21">
        <f t="shared" si="19"/>
        <v>141957.19999999998</v>
      </c>
      <c r="G113" s="33"/>
      <c r="H113" s="135">
        <f t="shared" si="29"/>
        <v>0</v>
      </c>
      <c r="I113" s="294">
        <v>45173</v>
      </c>
      <c r="J113" s="23"/>
      <c r="K113" s="39">
        <f>+'AUMENTOS %'!B10*86900</f>
        <v>86900</v>
      </c>
      <c r="L113" s="10"/>
      <c r="M113" s="10"/>
      <c r="N113" s="100"/>
      <c r="O113" s="11">
        <f>MIN(K113:M113)*'AUMENTOS %'!$B$10</f>
        <v>86900</v>
      </c>
      <c r="P113" s="11">
        <f t="shared" si="18"/>
        <v>86900</v>
      </c>
      <c r="Q113" s="11">
        <v>1.35</v>
      </c>
      <c r="R113" s="11">
        <f t="shared" si="13"/>
        <v>117315.00000000001</v>
      </c>
      <c r="S113" s="11"/>
      <c r="T113" s="136">
        <f t="shared" si="30"/>
        <v>0</v>
      </c>
    </row>
    <row r="114" spans="1:20" ht="15.75" customHeight="1">
      <c r="A114" s="149">
        <v>38</v>
      </c>
      <c r="B114" s="273">
        <f t="shared" si="20"/>
        <v>316950</v>
      </c>
      <c r="C114" s="28" t="s">
        <v>1235</v>
      </c>
      <c r="D114" s="132">
        <v>14640</v>
      </c>
      <c r="E114" s="131">
        <f t="shared" si="31"/>
        <v>286830</v>
      </c>
      <c r="F114" s="21">
        <f t="shared" si="19"/>
        <v>347064.3</v>
      </c>
      <c r="G114" s="33"/>
      <c r="H114" s="135">
        <f t="shared" si="29"/>
        <v>0</v>
      </c>
      <c r="I114" s="294">
        <v>45173</v>
      </c>
      <c r="J114" s="23">
        <v>45323</v>
      </c>
      <c r="K114" s="39">
        <f>+'AUMENTOS %'!B10*212461</f>
        <v>212461</v>
      </c>
      <c r="L114" s="11"/>
      <c r="M114" s="10"/>
      <c r="N114" s="100"/>
      <c r="O114" s="11">
        <f>MIN(K114:M114)*'AUMENTOS %'!$B$10</f>
        <v>212461</v>
      </c>
      <c r="P114" s="11">
        <f t="shared" si="18"/>
        <v>212461</v>
      </c>
      <c r="Q114" s="11">
        <v>1.35</v>
      </c>
      <c r="R114" s="11">
        <f t="shared" si="13"/>
        <v>286822.35000000003</v>
      </c>
      <c r="S114" s="11"/>
      <c r="T114" s="136">
        <f t="shared" si="30"/>
        <v>0</v>
      </c>
    </row>
    <row r="115" spans="1:20" ht="15.75" customHeight="1">
      <c r="A115" s="149">
        <v>38</v>
      </c>
      <c r="B115" s="273">
        <f t="shared" si="20"/>
        <v>576210</v>
      </c>
      <c r="C115" s="28" t="s">
        <v>1236</v>
      </c>
      <c r="D115" s="132">
        <v>19030</v>
      </c>
      <c r="E115" s="131">
        <f t="shared" si="31"/>
        <v>521450</v>
      </c>
      <c r="F115" s="21">
        <f t="shared" si="19"/>
        <v>630954.5</v>
      </c>
      <c r="G115" s="33"/>
      <c r="H115" s="135">
        <f t="shared" si="29"/>
        <v>0</v>
      </c>
      <c r="I115" s="294">
        <v>45296</v>
      </c>
      <c r="J115" s="23"/>
      <c r="K115" s="39">
        <v>386253</v>
      </c>
      <c r="L115" s="10"/>
      <c r="M115" s="10"/>
      <c r="N115" s="100"/>
      <c r="O115" s="11">
        <f>MIN(K115:M115)*'AUMENTOS %'!$B$10</f>
        <v>386253</v>
      </c>
      <c r="P115" s="11">
        <f t="shared" si="18"/>
        <v>386253</v>
      </c>
      <c r="Q115" s="11">
        <v>1.35</v>
      </c>
      <c r="R115" s="11">
        <f t="shared" si="13"/>
        <v>521441.55000000005</v>
      </c>
      <c r="S115" s="11"/>
      <c r="T115" s="136">
        <f t="shared" si="30"/>
        <v>0</v>
      </c>
    </row>
    <row r="116" spans="1:20" ht="15.75" customHeight="1">
      <c r="A116" s="149">
        <v>38</v>
      </c>
      <c r="B116" s="273">
        <f t="shared" si="20"/>
        <v>633820</v>
      </c>
      <c r="C116" s="28" t="s">
        <v>1237</v>
      </c>
      <c r="D116" s="132">
        <v>21430</v>
      </c>
      <c r="E116" s="131">
        <f t="shared" si="31"/>
        <v>573590</v>
      </c>
      <c r="F116" s="21">
        <f t="shared" si="19"/>
        <v>694043.9</v>
      </c>
      <c r="G116" s="33"/>
      <c r="H116" s="135">
        <f t="shared" si="29"/>
        <v>0</v>
      </c>
      <c r="I116" s="294">
        <v>45173</v>
      </c>
      <c r="J116" s="23"/>
      <c r="K116" s="39">
        <f>+K115*1.1</f>
        <v>424878.30000000005</v>
      </c>
      <c r="L116" s="39"/>
      <c r="M116" s="10"/>
      <c r="N116" s="100"/>
      <c r="O116" s="11">
        <f>MIN(K116:M116)*'AUMENTOS %'!$B$10</f>
        <v>424878.30000000005</v>
      </c>
      <c r="P116" s="11">
        <f t="shared" si="18"/>
        <v>424878.30000000005</v>
      </c>
      <c r="Q116" s="11">
        <v>1.35</v>
      </c>
      <c r="R116" s="11">
        <f t="shared" si="13"/>
        <v>573585.70500000007</v>
      </c>
      <c r="S116" s="11"/>
      <c r="T116" s="136">
        <f t="shared" si="30"/>
        <v>0</v>
      </c>
    </row>
    <row r="117" spans="1:20" ht="15.75" customHeight="1">
      <c r="A117" s="149">
        <v>38</v>
      </c>
      <c r="B117" s="273">
        <f t="shared" si="20"/>
        <v>87210</v>
      </c>
      <c r="C117" s="28" t="s">
        <v>3397</v>
      </c>
      <c r="D117" s="132">
        <v>12900</v>
      </c>
      <c r="E117" s="131">
        <f t="shared" si="31"/>
        <v>78920</v>
      </c>
      <c r="F117" s="21">
        <f t="shared" si="19"/>
        <v>95493.2</v>
      </c>
      <c r="G117" s="33"/>
      <c r="H117" s="135">
        <f t="shared" si="29"/>
        <v>0</v>
      </c>
      <c r="I117" s="294">
        <v>45173</v>
      </c>
      <c r="J117" s="23"/>
      <c r="K117" s="39">
        <f>+'AUMENTOS %'!B10*58456</f>
        <v>58456</v>
      </c>
      <c r="L117" s="10"/>
      <c r="M117" s="10"/>
      <c r="N117" s="100"/>
      <c r="O117" s="11">
        <f>MIN(K117:M117)*'AUMENTOS %'!$B$10</f>
        <v>58456</v>
      </c>
      <c r="P117" s="11">
        <f t="shared" si="18"/>
        <v>58456</v>
      </c>
      <c r="Q117" s="11">
        <v>1.35</v>
      </c>
      <c r="R117" s="11">
        <f t="shared" si="13"/>
        <v>78915.600000000006</v>
      </c>
      <c r="S117" s="11"/>
      <c r="T117" s="136">
        <f t="shared" si="30"/>
        <v>0</v>
      </c>
    </row>
    <row r="118" spans="1:20" ht="15.75" customHeight="1">
      <c r="A118" s="149">
        <v>38</v>
      </c>
      <c r="B118" s="273">
        <f t="shared" si="20"/>
        <v>131730</v>
      </c>
      <c r="C118" s="28" t="s">
        <v>1238</v>
      </c>
      <c r="D118" s="132">
        <v>14640</v>
      </c>
      <c r="E118" s="131">
        <f t="shared" si="31"/>
        <v>119210</v>
      </c>
      <c r="F118" s="21">
        <f t="shared" si="19"/>
        <v>144244.1</v>
      </c>
      <c r="G118" s="33"/>
      <c r="H118" s="135">
        <f t="shared" si="29"/>
        <v>0</v>
      </c>
      <c r="I118" s="294">
        <v>45173</v>
      </c>
      <c r="J118" s="23"/>
      <c r="K118" s="39">
        <f>+'AUMENTOS %'!B10*88301</f>
        <v>88301</v>
      </c>
      <c r="L118" s="10"/>
      <c r="M118" s="10"/>
      <c r="N118" s="100"/>
      <c r="O118" s="11">
        <f>MIN(K118:M118)*'AUMENTOS %'!$B$10</f>
        <v>88301</v>
      </c>
      <c r="P118" s="11">
        <f t="shared" si="18"/>
        <v>88301</v>
      </c>
      <c r="Q118" s="11">
        <v>1.35</v>
      </c>
      <c r="R118" s="11">
        <f t="shared" si="13"/>
        <v>119206.35</v>
      </c>
      <c r="S118" s="11"/>
      <c r="T118" s="136">
        <f t="shared" si="30"/>
        <v>0</v>
      </c>
    </row>
    <row r="119" spans="1:20" ht="15.75" customHeight="1">
      <c r="A119" s="149">
        <v>38</v>
      </c>
      <c r="B119" s="273">
        <f t="shared" si="20"/>
        <v>99040</v>
      </c>
      <c r="C119" s="28" t="s">
        <v>2836</v>
      </c>
      <c r="D119" s="132">
        <v>14641</v>
      </c>
      <c r="E119" s="131">
        <f t="shared" si="31"/>
        <v>89620</v>
      </c>
      <c r="F119" s="21">
        <f t="shared" si="19"/>
        <v>108440.2</v>
      </c>
      <c r="G119" s="33"/>
      <c r="H119" s="135">
        <f t="shared" si="29"/>
        <v>0</v>
      </c>
      <c r="I119" s="294">
        <v>45173</v>
      </c>
      <c r="J119" s="23"/>
      <c r="K119" s="39">
        <f>+'AUMENTOS %'!B10*66385</f>
        <v>66385</v>
      </c>
      <c r="L119" s="10"/>
      <c r="M119" s="10"/>
      <c r="N119" s="100"/>
      <c r="O119" s="11">
        <f>MIN(K119:M119)*'AUMENTOS %'!$B$10</f>
        <v>66385</v>
      </c>
      <c r="P119" s="11">
        <f t="shared" si="18"/>
        <v>66385</v>
      </c>
      <c r="Q119" s="11">
        <v>1.35</v>
      </c>
      <c r="R119" s="11">
        <f t="shared" si="13"/>
        <v>89619.75</v>
      </c>
      <c r="S119" s="11"/>
      <c r="T119" s="136">
        <f t="shared" si="30"/>
        <v>0</v>
      </c>
    </row>
    <row r="120" spans="1:20" ht="15.75" customHeight="1">
      <c r="A120" s="149">
        <v>38</v>
      </c>
      <c r="B120" s="273">
        <f t="shared" si="20"/>
        <v>97610</v>
      </c>
      <c r="C120" s="28" t="s">
        <v>3398</v>
      </c>
      <c r="D120" s="132">
        <v>12840</v>
      </c>
      <c r="E120" s="131">
        <f t="shared" si="31"/>
        <v>88330</v>
      </c>
      <c r="F120" s="21">
        <f t="shared" si="19"/>
        <v>106879.3</v>
      </c>
      <c r="G120" s="33"/>
      <c r="H120" s="135">
        <f t="shared" si="29"/>
        <v>0</v>
      </c>
      <c r="I120" s="294">
        <v>45173</v>
      </c>
      <c r="J120" s="23"/>
      <c r="K120" s="39">
        <f>+'AUMENTOS %'!B10*65426</f>
        <v>65426</v>
      </c>
      <c r="L120" s="10"/>
      <c r="M120" s="10"/>
      <c r="N120" s="100"/>
      <c r="O120" s="11">
        <f>MIN(K120:M120)*'AUMENTOS %'!$B$10</f>
        <v>65426</v>
      </c>
      <c r="P120" s="11">
        <f t="shared" si="18"/>
        <v>65426</v>
      </c>
      <c r="Q120" s="11">
        <v>1.35</v>
      </c>
      <c r="R120" s="11">
        <f t="shared" si="13"/>
        <v>88325.1</v>
      </c>
      <c r="S120" s="11"/>
      <c r="T120" s="136">
        <f t="shared" si="30"/>
        <v>0</v>
      </c>
    </row>
    <row r="121" spans="1:20" ht="15.75" customHeight="1">
      <c r="A121" s="149">
        <v>38</v>
      </c>
      <c r="B121" s="273">
        <f t="shared" si="20"/>
        <v>576200</v>
      </c>
      <c r="C121" s="28" t="s">
        <v>1239</v>
      </c>
      <c r="D121" s="132">
        <v>19030</v>
      </c>
      <c r="E121" s="131">
        <f t="shared" si="31"/>
        <v>521440</v>
      </c>
      <c r="F121" s="21">
        <f t="shared" si="19"/>
        <v>630942.4</v>
      </c>
      <c r="G121" s="33"/>
      <c r="H121" s="135">
        <f t="shared" si="29"/>
        <v>0</v>
      </c>
      <c r="I121" s="294">
        <v>45296</v>
      </c>
      <c r="J121" s="23"/>
      <c r="K121" s="39">
        <v>386250</v>
      </c>
      <c r="L121" s="10"/>
      <c r="M121" s="10"/>
      <c r="N121" s="100"/>
      <c r="O121" s="11">
        <f>MIN(K121:M121)*'AUMENTOS %'!$B$10</f>
        <v>386250</v>
      </c>
      <c r="P121" s="11">
        <f t="shared" si="18"/>
        <v>386250</v>
      </c>
      <c r="Q121" s="11">
        <v>1.35</v>
      </c>
      <c r="R121" s="11">
        <f t="shared" si="13"/>
        <v>521437.50000000006</v>
      </c>
      <c r="S121" s="11"/>
      <c r="T121" s="136">
        <f t="shared" si="30"/>
        <v>0</v>
      </c>
    </row>
    <row r="122" spans="1:20" ht="15.75" customHeight="1">
      <c r="A122" s="149">
        <v>38</v>
      </c>
      <c r="B122" s="273">
        <f t="shared" si="20"/>
        <v>199340</v>
      </c>
      <c r="C122" s="28" t="s">
        <v>1240</v>
      </c>
      <c r="D122" s="132">
        <v>21430</v>
      </c>
      <c r="E122" s="131">
        <f t="shared" si="31"/>
        <v>180390</v>
      </c>
      <c r="F122" s="21">
        <f t="shared" si="19"/>
        <v>218271.9</v>
      </c>
      <c r="G122" s="33"/>
      <c r="H122" s="135">
        <f t="shared" si="29"/>
        <v>0</v>
      </c>
      <c r="I122" s="294">
        <v>45173</v>
      </c>
      <c r="J122" s="23"/>
      <c r="K122" s="39">
        <f>+'AUMENTOS %'!B10*133618</f>
        <v>133618</v>
      </c>
      <c r="L122" s="11"/>
      <c r="M122" s="11"/>
      <c r="N122" s="100"/>
      <c r="O122" s="11">
        <f>MIN(K122:M122)*'AUMENTOS %'!$B$10</f>
        <v>133618</v>
      </c>
      <c r="P122" s="11">
        <f t="shared" si="18"/>
        <v>133618</v>
      </c>
      <c r="Q122" s="11">
        <v>1.35</v>
      </c>
      <c r="R122" s="11">
        <f t="shared" si="13"/>
        <v>180384.30000000002</v>
      </c>
      <c r="S122" s="11"/>
      <c r="T122" s="136">
        <f t="shared" si="30"/>
        <v>0</v>
      </c>
    </row>
    <row r="123" spans="1:20" ht="15.75" customHeight="1">
      <c r="A123" s="149" t="s">
        <v>2386</v>
      </c>
      <c r="B123" s="273">
        <f t="shared" si="20"/>
        <v>69970</v>
      </c>
      <c r="C123" s="36" t="s">
        <v>2616</v>
      </c>
      <c r="D123" s="132"/>
      <c r="E123" s="131">
        <f t="shared" si="31"/>
        <v>63320</v>
      </c>
      <c r="F123" s="21">
        <f t="shared" si="19"/>
        <v>76617.2</v>
      </c>
      <c r="G123" s="33"/>
      <c r="H123" s="135">
        <f t="shared" si="29"/>
        <v>0</v>
      </c>
      <c r="I123" s="23">
        <v>45323</v>
      </c>
      <c r="J123" s="23"/>
      <c r="K123" s="11">
        <f>0.8*0.98*0.94*0.95*66989</f>
        <v>46899.802767999994</v>
      </c>
      <c r="L123" s="11"/>
      <c r="M123" s="11"/>
      <c r="N123" s="100"/>
      <c r="O123" s="11">
        <f t="shared" si="15"/>
        <v>46899.802767999994</v>
      </c>
      <c r="P123" s="11">
        <f>+O123*'AUMENTOS %'!$B$5</f>
        <v>46899.802767999994</v>
      </c>
      <c r="Q123" s="11">
        <v>1.35</v>
      </c>
      <c r="R123" s="11">
        <f t="shared" si="13"/>
        <v>63314.733736799993</v>
      </c>
      <c r="S123" s="11"/>
      <c r="T123" s="136">
        <f t="shared" si="30"/>
        <v>0</v>
      </c>
    </row>
    <row r="124" spans="1:20" ht="15.75" customHeight="1">
      <c r="A124" s="149" t="s">
        <v>2386</v>
      </c>
      <c r="B124" s="273">
        <f t="shared" si="20"/>
        <v>83180</v>
      </c>
      <c r="C124" s="36" t="s">
        <v>1241</v>
      </c>
      <c r="D124" s="132">
        <v>4640</v>
      </c>
      <c r="E124" s="131">
        <f t="shared" si="31"/>
        <v>75270</v>
      </c>
      <c r="F124" s="21">
        <f t="shared" si="19"/>
        <v>91076.7</v>
      </c>
      <c r="G124" s="21"/>
      <c r="H124" s="135">
        <f t="shared" si="29"/>
        <v>0</v>
      </c>
      <c r="I124" s="23">
        <v>45323</v>
      </c>
      <c r="J124" s="294">
        <v>45345</v>
      </c>
      <c r="K124" s="11">
        <f>0.8*0.94*0.95*78041</f>
        <v>55752.490399999995</v>
      </c>
      <c r="L124" s="100"/>
      <c r="M124" s="11"/>
      <c r="N124" s="100"/>
      <c r="O124" s="11">
        <f t="shared" si="15"/>
        <v>55752.490399999995</v>
      </c>
      <c r="P124" s="11">
        <f>+O124*'AUMENTOS %'!$B$5</f>
        <v>55752.490399999995</v>
      </c>
      <c r="Q124" s="11">
        <v>1.35</v>
      </c>
      <c r="R124" s="11">
        <f t="shared" si="13"/>
        <v>75265.862039999993</v>
      </c>
      <c r="S124" s="11"/>
      <c r="T124" s="136">
        <f t="shared" si="30"/>
        <v>0</v>
      </c>
    </row>
    <row r="125" spans="1:20" ht="15.75" customHeight="1">
      <c r="A125" s="149" t="s">
        <v>2387</v>
      </c>
      <c r="B125" s="273">
        <f t="shared" si="20"/>
        <v>143350</v>
      </c>
      <c r="C125" s="291" t="s">
        <v>1244</v>
      </c>
      <c r="D125" s="132">
        <v>7440</v>
      </c>
      <c r="E125" s="131">
        <f t="shared" si="31"/>
        <v>129720</v>
      </c>
      <c r="F125" s="21">
        <f t="shared" si="19"/>
        <v>156961.19999999998</v>
      </c>
      <c r="G125" s="33"/>
      <c r="H125" s="135">
        <f t="shared" si="29"/>
        <v>0</v>
      </c>
      <c r="I125" s="294">
        <v>45329</v>
      </c>
      <c r="J125" s="23"/>
      <c r="K125" s="11">
        <f>'AUMENTOS %'!D13*0.5*192170</f>
        <v>96085</v>
      </c>
      <c r="L125" s="11">
        <f>+'AUMENTOS %'!C13*63956*2</f>
        <v>127912</v>
      </c>
      <c r="M125" s="11"/>
      <c r="N125" s="100"/>
      <c r="O125" s="11">
        <f t="shared" si="15"/>
        <v>96085</v>
      </c>
      <c r="P125" s="11">
        <f t="shared" si="18"/>
        <v>96085</v>
      </c>
      <c r="Q125" s="11">
        <v>1.35</v>
      </c>
      <c r="R125" s="11">
        <f t="shared" si="13"/>
        <v>129714.75000000001</v>
      </c>
      <c r="S125" s="11"/>
      <c r="T125" s="136">
        <f t="shared" si="30"/>
        <v>0</v>
      </c>
    </row>
    <row r="126" spans="1:20" ht="15.75" customHeight="1">
      <c r="A126" s="149" t="s">
        <v>2387</v>
      </c>
      <c r="B126" s="273">
        <f t="shared" si="20"/>
        <v>49840</v>
      </c>
      <c r="C126" s="28" t="s">
        <v>1242</v>
      </c>
      <c r="D126" s="132">
        <v>6020</v>
      </c>
      <c r="E126" s="131">
        <f t="shared" si="31"/>
        <v>45100</v>
      </c>
      <c r="F126" s="21">
        <f t="shared" si="19"/>
        <v>54571</v>
      </c>
      <c r="G126" s="33"/>
      <c r="H126" s="135">
        <f t="shared" si="29"/>
        <v>0</v>
      </c>
      <c r="I126" s="294">
        <v>45173</v>
      </c>
      <c r="J126" s="23"/>
      <c r="K126" s="10"/>
      <c r="L126" s="11">
        <f>+'AUMENTOS %'!$C$13*33404</f>
        <v>33404</v>
      </c>
      <c r="M126" s="11"/>
      <c r="N126" s="100"/>
      <c r="O126" s="11">
        <f t="shared" si="15"/>
        <v>33404</v>
      </c>
      <c r="P126" s="11">
        <f t="shared" si="18"/>
        <v>33404</v>
      </c>
      <c r="Q126" s="11">
        <v>1.35</v>
      </c>
      <c r="R126" s="11">
        <f t="shared" si="13"/>
        <v>45095.4</v>
      </c>
      <c r="S126" s="11"/>
      <c r="T126" s="136">
        <f t="shared" si="30"/>
        <v>0</v>
      </c>
    </row>
    <row r="127" spans="1:20" ht="15.75" customHeight="1">
      <c r="A127" s="149" t="s">
        <v>2387</v>
      </c>
      <c r="B127" s="273">
        <f t="shared" si="20"/>
        <v>108470</v>
      </c>
      <c r="C127" s="28" t="s">
        <v>1243</v>
      </c>
      <c r="D127" s="132">
        <v>5480</v>
      </c>
      <c r="E127" s="131">
        <f t="shared" si="31"/>
        <v>98160</v>
      </c>
      <c r="F127" s="21">
        <f t="shared" ref="F127:F153" si="32">+E127*1.21</f>
        <v>118773.59999999999</v>
      </c>
      <c r="G127" s="33"/>
      <c r="H127" s="135">
        <f t="shared" si="29"/>
        <v>0</v>
      </c>
      <c r="I127" s="294">
        <v>45329</v>
      </c>
      <c r="J127" s="23"/>
      <c r="K127" s="11">
        <f>'AUMENTOS %'!D13*0.5*145420</f>
        <v>72710</v>
      </c>
      <c r="L127" s="11">
        <f>+L126*1.1*3</f>
        <v>110233.20000000001</v>
      </c>
      <c r="M127" s="11"/>
      <c r="N127" s="100"/>
      <c r="O127" s="11">
        <f t="shared" si="15"/>
        <v>72710</v>
      </c>
      <c r="P127" s="11">
        <f t="shared" si="18"/>
        <v>72710</v>
      </c>
      <c r="Q127" s="11">
        <v>1.35</v>
      </c>
      <c r="R127" s="11">
        <f t="shared" si="13"/>
        <v>98158.5</v>
      </c>
      <c r="S127" s="11"/>
      <c r="T127" s="136">
        <f t="shared" si="30"/>
        <v>0</v>
      </c>
    </row>
    <row r="128" spans="1:20" ht="15.75" customHeight="1">
      <c r="A128" s="149" t="s">
        <v>2387</v>
      </c>
      <c r="B128" s="273">
        <f t="shared" si="20"/>
        <v>140850</v>
      </c>
      <c r="C128" s="28" t="s">
        <v>2396</v>
      </c>
      <c r="D128" s="132">
        <v>16900</v>
      </c>
      <c r="E128" s="131">
        <f t="shared" si="31"/>
        <v>127460</v>
      </c>
      <c r="F128" s="21">
        <f t="shared" si="32"/>
        <v>154226.6</v>
      </c>
      <c r="G128" s="33"/>
      <c r="H128" s="135">
        <f t="shared" si="29"/>
        <v>0</v>
      </c>
      <c r="I128" s="294">
        <v>45173</v>
      </c>
      <c r="J128" s="23"/>
      <c r="K128" s="10"/>
      <c r="L128" s="11">
        <f>+'AUMENTOS %'!$C$13*94413</f>
        <v>94413</v>
      </c>
      <c r="M128" s="11"/>
      <c r="N128" s="100"/>
      <c r="O128" s="11">
        <f t="shared" si="15"/>
        <v>94413</v>
      </c>
      <c r="P128" s="11">
        <f t="shared" si="18"/>
        <v>94413</v>
      </c>
      <c r="Q128" s="11">
        <v>1.35</v>
      </c>
      <c r="R128" s="11">
        <f t="shared" si="13"/>
        <v>127457.55</v>
      </c>
      <c r="S128" s="11"/>
      <c r="T128" s="136">
        <f t="shared" si="30"/>
        <v>0</v>
      </c>
    </row>
    <row r="129" spans="1:20" ht="15.75" customHeight="1">
      <c r="A129" s="149" t="s">
        <v>2387</v>
      </c>
      <c r="B129" s="273">
        <f t="shared" si="20"/>
        <v>140850</v>
      </c>
      <c r="C129" s="28" t="s">
        <v>1245</v>
      </c>
      <c r="D129" s="132">
        <v>16900</v>
      </c>
      <c r="E129" s="131">
        <f t="shared" si="31"/>
        <v>127460</v>
      </c>
      <c r="F129" s="21">
        <f t="shared" si="32"/>
        <v>154226.6</v>
      </c>
      <c r="G129" s="33"/>
      <c r="H129" s="135">
        <f t="shared" si="29"/>
        <v>0</v>
      </c>
      <c r="I129" s="294">
        <v>45173</v>
      </c>
      <c r="J129" s="23"/>
      <c r="K129" s="10"/>
      <c r="L129" s="11">
        <f>+'AUMENTOS %'!$C$13*94413</f>
        <v>94413</v>
      </c>
      <c r="M129" s="11"/>
      <c r="N129" s="100"/>
      <c r="O129" s="11">
        <f t="shared" si="15"/>
        <v>94413</v>
      </c>
      <c r="P129" s="11">
        <f t="shared" si="18"/>
        <v>94413</v>
      </c>
      <c r="Q129" s="11">
        <v>1.35</v>
      </c>
      <c r="R129" s="11">
        <f t="shared" si="13"/>
        <v>127457.55</v>
      </c>
      <c r="S129" s="11"/>
      <c r="T129" s="136">
        <f t="shared" si="30"/>
        <v>0</v>
      </c>
    </row>
    <row r="130" spans="1:20" ht="15.75" customHeight="1">
      <c r="A130" s="149">
        <v>38</v>
      </c>
      <c r="B130" s="273"/>
      <c r="C130" s="28" t="s">
        <v>4382</v>
      </c>
      <c r="D130" s="132"/>
      <c r="E130" s="131">
        <f t="shared" si="31"/>
        <v>66750</v>
      </c>
      <c r="F130" s="21">
        <f t="shared" si="32"/>
        <v>80767.5</v>
      </c>
      <c r="G130" s="33"/>
      <c r="H130" s="135">
        <f t="shared" si="29"/>
        <v>0</v>
      </c>
      <c r="I130" s="294">
        <v>45173</v>
      </c>
      <c r="J130" s="23"/>
      <c r="K130" s="10">
        <f>0.75*39024*1.07*1.1*1.25</f>
        <v>43060.544999999998</v>
      </c>
      <c r="L130" s="11"/>
      <c r="M130" s="11"/>
      <c r="N130" s="100"/>
      <c r="O130" s="11">
        <f t="shared" si="15"/>
        <v>43060.544999999998</v>
      </c>
      <c r="P130" s="11">
        <f t="shared" si="18"/>
        <v>43060.544999999998</v>
      </c>
      <c r="Q130" s="11">
        <v>1.55</v>
      </c>
      <c r="R130" s="11">
        <f t="shared" si="13"/>
        <v>66743.844750000004</v>
      </c>
      <c r="S130" s="11"/>
      <c r="T130" s="136">
        <f t="shared" si="30"/>
        <v>0</v>
      </c>
    </row>
    <row r="131" spans="1:20" ht="15.75" customHeight="1">
      <c r="A131" s="149"/>
      <c r="B131" s="273"/>
      <c r="C131" s="28" t="s">
        <v>2279</v>
      </c>
      <c r="D131" s="132">
        <v>290</v>
      </c>
      <c r="E131" s="131">
        <f t="shared" si="31"/>
        <v>0</v>
      </c>
      <c r="F131" s="21">
        <f t="shared" si="32"/>
        <v>0</v>
      </c>
      <c r="G131" s="33"/>
      <c r="H131" s="135">
        <f t="shared" si="29"/>
        <v>750</v>
      </c>
      <c r="I131" s="23">
        <v>44677</v>
      </c>
      <c r="J131" s="23"/>
      <c r="K131" s="10"/>
      <c r="L131" s="11"/>
      <c r="M131" s="11"/>
      <c r="N131" s="100">
        <v>468</v>
      </c>
      <c r="O131" s="11">
        <f t="shared" si="15"/>
        <v>0</v>
      </c>
      <c r="P131" s="11">
        <f t="shared" si="18"/>
        <v>0</v>
      </c>
      <c r="Q131" s="11">
        <v>1.6</v>
      </c>
      <c r="R131" s="11">
        <f t="shared" si="13"/>
        <v>0</v>
      </c>
      <c r="S131" s="11"/>
      <c r="T131" s="136">
        <f t="shared" si="30"/>
        <v>748.80000000000007</v>
      </c>
    </row>
    <row r="132" spans="1:20" ht="15.75" customHeight="1">
      <c r="A132" s="149">
        <v>12</v>
      </c>
      <c r="B132" s="273"/>
      <c r="C132" s="28" t="s">
        <v>44225</v>
      </c>
      <c r="D132" s="41">
        <v>220</v>
      </c>
      <c r="E132" s="131">
        <f>ROUNDUP(R132,-1)</f>
        <v>0</v>
      </c>
      <c r="F132" s="21">
        <f>+E132*1.21</f>
        <v>0</v>
      </c>
      <c r="G132" s="21"/>
      <c r="H132" s="135">
        <f t="shared" si="29"/>
        <v>0</v>
      </c>
      <c r="I132" s="294"/>
      <c r="J132" s="294">
        <v>45257</v>
      </c>
      <c r="K132" s="10">
        <v>1420</v>
      </c>
      <c r="L132" s="11"/>
      <c r="M132" s="11"/>
      <c r="N132" s="100"/>
      <c r="O132" s="11">
        <f t="shared" si="15"/>
        <v>1420</v>
      </c>
      <c r="P132" s="11">
        <f t="shared" si="18"/>
        <v>1420</v>
      </c>
      <c r="Q132" s="11"/>
      <c r="R132" s="11">
        <f t="shared" si="13"/>
        <v>0</v>
      </c>
      <c r="S132" s="11"/>
      <c r="T132" s="136">
        <f t="shared" si="30"/>
        <v>0</v>
      </c>
    </row>
    <row r="133" spans="1:20" ht="15.75" customHeight="1">
      <c r="A133" s="149">
        <v>77</v>
      </c>
      <c r="B133" s="273"/>
      <c r="C133" s="28" t="s">
        <v>2282</v>
      </c>
      <c r="D133" s="71">
        <v>130</v>
      </c>
      <c r="E133" s="131">
        <f t="shared" si="31"/>
        <v>0</v>
      </c>
      <c r="F133" s="21">
        <f t="shared" si="32"/>
        <v>0</v>
      </c>
      <c r="G133" s="21"/>
      <c r="H133" s="135">
        <f t="shared" si="29"/>
        <v>0</v>
      </c>
      <c r="I133" s="294">
        <v>44029</v>
      </c>
      <c r="J133" s="294">
        <v>44159</v>
      </c>
      <c r="K133" s="10">
        <v>87.5</v>
      </c>
      <c r="L133" s="10"/>
      <c r="M133" s="11"/>
      <c r="N133" s="100"/>
      <c r="O133" s="11">
        <f t="shared" si="15"/>
        <v>87.5</v>
      </c>
      <c r="P133" s="11">
        <f t="shared" ref="P133:P185" si="33">+O133</f>
        <v>87.5</v>
      </c>
      <c r="Q133" s="11"/>
      <c r="R133" s="11">
        <f t="shared" ref="R133:R196" si="34">+P133*Q133</f>
        <v>0</v>
      </c>
      <c r="S133" s="11"/>
      <c r="T133" s="136">
        <f t="shared" si="30"/>
        <v>0</v>
      </c>
    </row>
    <row r="134" spans="1:20" ht="15.75" customHeight="1">
      <c r="A134" s="149" t="s">
        <v>44213</v>
      </c>
      <c r="B134" s="273"/>
      <c r="C134" s="28" t="s">
        <v>44245</v>
      </c>
      <c r="D134" s="71">
        <v>160</v>
      </c>
      <c r="E134" s="131">
        <f t="shared" si="31"/>
        <v>2440</v>
      </c>
      <c r="F134" s="21">
        <f t="shared" si="32"/>
        <v>2952.4</v>
      </c>
      <c r="G134" s="21"/>
      <c r="H134" s="135">
        <f t="shared" si="29"/>
        <v>2610</v>
      </c>
      <c r="I134" s="294">
        <v>45161</v>
      </c>
      <c r="J134" s="294">
        <v>45329</v>
      </c>
      <c r="K134" s="11">
        <f>+PROVEEDORES!D8*1.75</f>
        <v>1548.75</v>
      </c>
      <c r="L134" s="11">
        <f>1690*0.9</f>
        <v>1521</v>
      </c>
      <c r="M134" s="11"/>
      <c r="N134" s="100">
        <f>1.84*PROVEEDORES!D23</f>
        <v>1628.4</v>
      </c>
      <c r="O134" s="11">
        <f t="shared" si="15"/>
        <v>1521</v>
      </c>
      <c r="P134" s="11">
        <f t="shared" si="33"/>
        <v>1521</v>
      </c>
      <c r="Q134" s="11">
        <v>1.6</v>
      </c>
      <c r="R134" s="11">
        <f t="shared" si="34"/>
        <v>2433.6</v>
      </c>
      <c r="S134" s="11"/>
      <c r="T134" s="136">
        <f t="shared" si="30"/>
        <v>2605.4400000000005</v>
      </c>
    </row>
    <row r="135" spans="1:20" ht="15.75" customHeight="1">
      <c r="A135" s="149"/>
      <c r="B135" s="273"/>
      <c r="C135" s="28" t="s">
        <v>2249</v>
      </c>
      <c r="D135" s="71">
        <v>480</v>
      </c>
      <c r="E135" s="131">
        <f t="shared" si="31"/>
        <v>0</v>
      </c>
      <c r="F135" s="21">
        <f t="shared" si="32"/>
        <v>0</v>
      </c>
      <c r="G135" s="21">
        <f>12*970</f>
        <v>11640</v>
      </c>
      <c r="H135" s="135">
        <f t="shared" si="29"/>
        <v>0</v>
      </c>
      <c r="I135" s="294">
        <v>43966</v>
      </c>
      <c r="J135" s="294">
        <v>0</v>
      </c>
      <c r="K135" s="10">
        <f>320*1.5</f>
        <v>480</v>
      </c>
      <c r="L135" s="11">
        <f>320*1.5</f>
        <v>480</v>
      </c>
      <c r="M135" s="11"/>
      <c r="N135" s="100"/>
      <c r="O135" s="11">
        <f t="shared" si="15"/>
        <v>480</v>
      </c>
      <c r="P135" s="11">
        <f t="shared" si="33"/>
        <v>480</v>
      </c>
      <c r="Q135" s="11"/>
      <c r="R135" s="11">
        <f t="shared" si="34"/>
        <v>0</v>
      </c>
      <c r="S135" s="11"/>
      <c r="T135" s="136">
        <f t="shared" si="30"/>
        <v>0</v>
      </c>
    </row>
    <row r="136" spans="1:20" ht="15.75" customHeight="1">
      <c r="A136" s="149"/>
      <c r="B136" s="273"/>
      <c r="C136" s="28" t="s">
        <v>2110</v>
      </c>
      <c r="D136" s="41">
        <v>180</v>
      </c>
      <c r="E136" s="131">
        <f t="shared" si="31"/>
        <v>0</v>
      </c>
      <c r="F136" s="21">
        <f t="shared" si="32"/>
        <v>0</v>
      </c>
      <c r="G136" s="21"/>
      <c r="H136" s="135">
        <f t="shared" ref="H136:H166" si="35">ROUNDUP(T136,-1)</f>
        <v>0</v>
      </c>
      <c r="I136" s="294">
        <v>44137</v>
      </c>
      <c r="J136" s="294"/>
      <c r="K136" s="10">
        <f>0.8*168</f>
        <v>134.4</v>
      </c>
      <c r="L136" s="11"/>
      <c r="M136" s="11"/>
      <c r="N136" s="100"/>
      <c r="O136" s="11">
        <f t="shared" ref="O136:O207" si="36">MIN(K136:M136)</f>
        <v>134.4</v>
      </c>
      <c r="P136" s="11">
        <f t="shared" si="33"/>
        <v>134.4</v>
      </c>
      <c r="Q136" s="11"/>
      <c r="R136" s="11">
        <f t="shared" si="34"/>
        <v>0</v>
      </c>
      <c r="S136" s="11"/>
      <c r="T136" s="136">
        <f t="shared" ref="T136:T167" si="37">+N136*Q136</f>
        <v>0</v>
      </c>
    </row>
    <row r="137" spans="1:20" ht="15.75" customHeight="1">
      <c r="A137" s="149">
        <v>12</v>
      </c>
      <c r="B137" s="273"/>
      <c r="C137" s="28" t="s">
        <v>4372</v>
      </c>
      <c r="D137" s="41"/>
      <c r="E137" s="131">
        <f>ROUNDUP(R137,-1)</f>
        <v>0</v>
      </c>
      <c r="F137" s="21">
        <f>+E137*1.21</f>
        <v>0</v>
      </c>
      <c r="G137" s="21" t="s">
        <v>37207</v>
      </c>
      <c r="H137" s="135">
        <f>ROUNDUP(T137,-1)</f>
        <v>0</v>
      </c>
      <c r="I137" s="294">
        <v>45222</v>
      </c>
      <c r="J137" s="294">
        <v>45257</v>
      </c>
      <c r="K137" s="10">
        <f>1177*1.75</f>
        <v>2059.75</v>
      </c>
      <c r="L137" s="11"/>
      <c r="M137" s="11"/>
      <c r="N137" s="100"/>
      <c r="O137" s="11">
        <f>MIN(K137:M137)</f>
        <v>2059.75</v>
      </c>
      <c r="P137" s="11">
        <f t="shared" si="33"/>
        <v>2059.75</v>
      </c>
      <c r="Q137" s="11"/>
      <c r="R137" s="11">
        <f t="shared" si="34"/>
        <v>0</v>
      </c>
      <c r="S137" s="11"/>
      <c r="T137" s="136">
        <f>+N137*Q137</f>
        <v>0</v>
      </c>
    </row>
    <row r="138" spans="1:20" ht="15.75" customHeight="1">
      <c r="A138" s="149" t="s">
        <v>2398</v>
      </c>
      <c r="B138" s="273"/>
      <c r="C138" s="28" t="s">
        <v>4103</v>
      </c>
      <c r="D138" s="41">
        <v>570</v>
      </c>
      <c r="E138" s="131">
        <f t="shared" si="31"/>
        <v>12930</v>
      </c>
      <c r="F138" s="21">
        <f t="shared" si="32"/>
        <v>15645.3</v>
      </c>
      <c r="G138" s="21"/>
      <c r="H138" s="135">
        <f t="shared" si="35"/>
        <v>0</v>
      </c>
      <c r="I138" s="23">
        <v>45323</v>
      </c>
      <c r="J138" s="294"/>
      <c r="K138" s="10">
        <f>0.8*0.94*0.98*0.95*12307</f>
        <v>8616.2783839999993</v>
      </c>
      <c r="L138" s="11"/>
      <c r="M138" s="11"/>
      <c r="N138" s="100"/>
      <c r="O138" s="11">
        <f t="shared" si="36"/>
        <v>8616.2783839999993</v>
      </c>
      <c r="P138" s="11">
        <f>+O138*'AUMENTOS %'!$B$5</f>
        <v>8616.2783839999993</v>
      </c>
      <c r="Q138" s="11">
        <v>1.5</v>
      </c>
      <c r="R138" s="11">
        <f t="shared" si="34"/>
        <v>12924.417576</v>
      </c>
      <c r="S138" s="11"/>
      <c r="T138" s="136">
        <f t="shared" si="37"/>
        <v>0</v>
      </c>
    </row>
    <row r="139" spans="1:20" ht="15.75" customHeight="1">
      <c r="A139" s="149" t="s">
        <v>2398</v>
      </c>
      <c r="B139" s="273"/>
      <c r="C139" s="28" t="s">
        <v>4435</v>
      </c>
      <c r="D139" s="41">
        <v>570</v>
      </c>
      <c r="E139" s="131">
        <f>ROUNDUP(R139,-1)</f>
        <v>14490</v>
      </c>
      <c r="F139" s="21">
        <f>+E139*1.21</f>
        <v>17532.899999999998</v>
      </c>
      <c r="G139" s="21"/>
      <c r="H139" s="135">
        <f>ROUNDUP(T139,-1)</f>
        <v>0</v>
      </c>
      <c r="I139" s="23">
        <v>45323</v>
      </c>
      <c r="J139" s="294"/>
      <c r="K139" s="10">
        <f>0.8*0.97*0.94*13242</f>
        <v>9659.2444799999994</v>
      </c>
      <c r="L139" s="11"/>
      <c r="M139" s="11"/>
      <c r="N139" s="100"/>
      <c r="O139" s="11">
        <f>MIN(K139:M139)</f>
        <v>9659.2444799999994</v>
      </c>
      <c r="P139" s="11">
        <f>+O139*'AUMENTOS %'!$B$5</f>
        <v>9659.2444799999994</v>
      </c>
      <c r="Q139" s="11">
        <v>1.5</v>
      </c>
      <c r="R139" s="11">
        <f t="shared" si="34"/>
        <v>14488.866719999998</v>
      </c>
      <c r="S139" s="11"/>
      <c r="T139" s="136">
        <f>+N139*Q139</f>
        <v>0</v>
      </c>
    </row>
    <row r="140" spans="1:20" ht="15.75" customHeight="1">
      <c r="A140" s="149">
        <v>12</v>
      </c>
      <c r="B140" s="273"/>
      <c r="C140" s="28" t="s">
        <v>2750</v>
      </c>
      <c r="D140" s="41">
        <v>480</v>
      </c>
      <c r="E140" s="131">
        <f t="shared" si="31"/>
        <v>0</v>
      </c>
      <c r="F140" s="21">
        <f t="shared" si="32"/>
        <v>0</v>
      </c>
      <c r="G140" s="21"/>
      <c r="H140" s="135">
        <f t="shared" si="35"/>
        <v>0</v>
      </c>
      <c r="I140" s="294">
        <v>44805</v>
      </c>
      <c r="J140" s="294"/>
      <c r="K140" s="10">
        <f>829*1.06</f>
        <v>878.74</v>
      </c>
      <c r="L140" s="11"/>
      <c r="M140" s="11"/>
      <c r="N140" s="100"/>
      <c r="O140" s="11">
        <f t="shared" si="36"/>
        <v>878.74</v>
      </c>
      <c r="P140" s="11">
        <f t="shared" si="33"/>
        <v>878.74</v>
      </c>
      <c r="Q140" s="11"/>
      <c r="R140" s="11">
        <f t="shared" si="34"/>
        <v>0</v>
      </c>
      <c r="S140" s="11"/>
      <c r="T140" s="136">
        <f t="shared" si="37"/>
        <v>0</v>
      </c>
    </row>
    <row r="141" spans="1:20" ht="15.75" customHeight="1">
      <c r="A141" s="149">
        <v>12</v>
      </c>
      <c r="B141" s="273"/>
      <c r="C141" s="28" t="s">
        <v>2223</v>
      </c>
      <c r="D141" s="41">
        <v>220</v>
      </c>
      <c r="E141" s="131">
        <f t="shared" si="31"/>
        <v>7620</v>
      </c>
      <c r="F141" s="21">
        <f t="shared" si="32"/>
        <v>9220.1999999999989</v>
      </c>
      <c r="G141" s="21"/>
      <c r="H141" s="135">
        <f t="shared" si="35"/>
        <v>0</v>
      </c>
      <c r="I141" s="294">
        <v>45274</v>
      </c>
      <c r="J141" s="294">
        <v>45338</v>
      </c>
      <c r="K141" s="10">
        <v>4479</v>
      </c>
      <c r="L141" s="11"/>
      <c r="M141" s="11"/>
      <c r="N141" s="100"/>
      <c r="O141" s="11">
        <f t="shared" si="36"/>
        <v>4479</v>
      </c>
      <c r="P141" s="11">
        <f t="shared" si="33"/>
        <v>4479</v>
      </c>
      <c r="Q141" s="11">
        <v>1.7</v>
      </c>
      <c r="R141" s="11">
        <f t="shared" si="34"/>
        <v>7614.3</v>
      </c>
      <c r="S141" s="11"/>
      <c r="T141" s="136">
        <f t="shared" si="37"/>
        <v>0</v>
      </c>
    </row>
    <row r="142" spans="1:20" ht="15.75" customHeight="1">
      <c r="A142" s="149">
        <v>12</v>
      </c>
      <c r="B142" s="273"/>
      <c r="C142" s="28" t="s">
        <v>3504</v>
      </c>
      <c r="D142" s="41">
        <v>220</v>
      </c>
      <c r="E142" s="131">
        <f t="shared" si="31"/>
        <v>7620</v>
      </c>
      <c r="F142" s="21">
        <f t="shared" si="32"/>
        <v>9220.1999999999989</v>
      </c>
      <c r="G142" s="21"/>
      <c r="H142" s="135">
        <f t="shared" si="35"/>
        <v>0</v>
      </c>
      <c r="I142" s="294">
        <v>45274</v>
      </c>
      <c r="J142" s="294">
        <v>45338</v>
      </c>
      <c r="K142" s="10">
        <v>4479</v>
      </c>
      <c r="L142" s="11"/>
      <c r="M142" s="11"/>
      <c r="N142" s="100"/>
      <c r="O142" s="11">
        <f t="shared" si="36"/>
        <v>4479</v>
      </c>
      <c r="P142" s="11">
        <f t="shared" si="33"/>
        <v>4479</v>
      </c>
      <c r="Q142" s="11">
        <v>1.7</v>
      </c>
      <c r="R142" s="11">
        <f t="shared" si="34"/>
        <v>7614.3</v>
      </c>
      <c r="S142" s="11"/>
      <c r="T142" s="136">
        <f t="shared" si="37"/>
        <v>0</v>
      </c>
    </row>
    <row r="143" spans="1:20" ht="15.75" customHeight="1">
      <c r="A143" s="149">
        <v>12</v>
      </c>
      <c r="B143" s="273"/>
      <c r="C143" s="28" t="s">
        <v>3505</v>
      </c>
      <c r="D143" s="41">
        <v>220</v>
      </c>
      <c r="E143" s="131">
        <f t="shared" si="31"/>
        <v>7620</v>
      </c>
      <c r="F143" s="21">
        <f t="shared" si="32"/>
        <v>9220.1999999999989</v>
      </c>
      <c r="G143" s="21"/>
      <c r="H143" s="135">
        <f t="shared" si="35"/>
        <v>0</v>
      </c>
      <c r="I143" s="294">
        <v>45274</v>
      </c>
      <c r="J143" s="294">
        <v>45338</v>
      </c>
      <c r="K143" s="10">
        <v>4479</v>
      </c>
      <c r="L143" s="11"/>
      <c r="M143" s="11"/>
      <c r="N143" s="100"/>
      <c r="O143" s="11">
        <f t="shared" si="36"/>
        <v>4479</v>
      </c>
      <c r="P143" s="11">
        <f t="shared" si="33"/>
        <v>4479</v>
      </c>
      <c r="Q143" s="11">
        <v>1.7</v>
      </c>
      <c r="R143" s="11">
        <f t="shared" si="34"/>
        <v>7614.3</v>
      </c>
      <c r="S143" s="11"/>
      <c r="T143" s="136">
        <f t="shared" si="37"/>
        <v>0</v>
      </c>
    </row>
    <row r="144" spans="1:20" ht="15.75" customHeight="1">
      <c r="A144" s="149">
        <v>12</v>
      </c>
      <c r="B144" s="273"/>
      <c r="C144" s="28" t="s">
        <v>44227</v>
      </c>
      <c r="D144" s="41">
        <v>380</v>
      </c>
      <c r="E144" s="131">
        <f t="shared" si="31"/>
        <v>4830</v>
      </c>
      <c r="F144" s="21">
        <f t="shared" si="32"/>
        <v>5844.3</v>
      </c>
      <c r="G144" s="21"/>
      <c r="H144" s="135">
        <f t="shared" si="35"/>
        <v>0</v>
      </c>
      <c r="I144" s="294">
        <v>45274</v>
      </c>
      <c r="J144" s="294">
        <v>45338</v>
      </c>
      <c r="K144" s="10">
        <v>2840</v>
      </c>
      <c r="L144" s="11"/>
      <c r="M144" s="11"/>
      <c r="N144" s="100"/>
      <c r="O144" s="11">
        <f t="shared" si="36"/>
        <v>2840</v>
      </c>
      <c r="P144" s="11">
        <f t="shared" si="33"/>
        <v>2840</v>
      </c>
      <c r="Q144" s="11">
        <v>1.7</v>
      </c>
      <c r="R144" s="11">
        <f t="shared" si="34"/>
        <v>4828</v>
      </c>
      <c r="S144" s="11"/>
      <c r="T144" s="136">
        <f t="shared" si="37"/>
        <v>0</v>
      </c>
    </row>
    <row r="145" spans="1:20" ht="15.75" customHeight="1">
      <c r="A145" s="149">
        <v>12</v>
      </c>
      <c r="B145" s="273"/>
      <c r="C145" s="28" t="s">
        <v>3488</v>
      </c>
      <c r="D145" s="41"/>
      <c r="E145" s="131">
        <f t="shared" si="31"/>
        <v>0</v>
      </c>
      <c r="F145" s="21">
        <f t="shared" si="32"/>
        <v>0</v>
      </c>
      <c r="G145" s="21"/>
      <c r="H145" s="135">
        <f t="shared" si="35"/>
        <v>0</v>
      </c>
      <c r="I145" s="294">
        <v>45108</v>
      </c>
      <c r="J145" s="294">
        <v>45222</v>
      </c>
      <c r="K145" s="10">
        <f>+PROVEEDORES!D6*2.541*1.2</f>
        <v>2729.0339999999997</v>
      </c>
      <c r="L145" s="11"/>
      <c r="M145" s="11"/>
      <c r="N145" s="100"/>
      <c r="O145" s="11">
        <f t="shared" si="36"/>
        <v>2729.0339999999997</v>
      </c>
      <c r="P145" s="11">
        <f t="shared" si="33"/>
        <v>2729.0339999999997</v>
      </c>
      <c r="Q145" s="11"/>
      <c r="R145" s="11">
        <f t="shared" si="34"/>
        <v>0</v>
      </c>
      <c r="S145" s="11"/>
      <c r="T145" s="136">
        <f t="shared" si="37"/>
        <v>0</v>
      </c>
    </row>
    <row r="146" spans="1:20" ht="15.75" customHeight="1">
      <c r="A146" s="149">
        <v>12</v>
      </c>
      <c r="B146" s="273"/>
      <c r="C146" s="28" t="s">
        <v>2751</v>
      </c>
      <c r="D146" s="41"/>
      <c r="E146" s="131">
        <f t="shared" ref="E146:E159" si="38">ROUNDUP(R146,-1)</f>
        <v>12360</v>
      </c>
      <c r="F146" s="21">
        <f t="shared" si="32"/>
        <v>14955.6</v>
      </c>
      <c r="G146" s="21"/>
      <c r="H146" s="135">
        <f t="shared" si="35"/>
        <v>0</v>
      </c>
      <c r="I146" s="294">
        <v>45274</v>
      </c>
      <c r="J146" s="294">
        <v>45338</v>
      </c>
      <c r="K146" s="10">
        <v>7265</v>
      </c>
      <c r="L146" s="11"/>
      <c r="M146" s="11"/>
      <c r="N146" s="100"/>
      <c r="O146" s="11">
        <f t="shared" si="36"/>
        <v>7265</v>
      </c>
      <c r="P146" s="11">
        <f t="shared" si="33"/>
        <v>7265</v>
      </c>
      <c r="Q146" s="11">
        <v>1.7</v>
      </c>
      <c r="R146" s="11">
        <f t="shared" si="34"/>
        <v>12350.5</v>
      </c>
      <c r="S146" s="11"/>
      <c r="T146" s="136">
        <f t="shared" si="37"/>
        <v>0</v>
      </c>
    </row>
    <row r="147" spans="1:20" ht="15.75" customHeight="1">
      <c r="A147" s="149">
        <v>12</v>
      </c>
      <c r="B147" s="273"/>
      <c r="C147" s="28" t="s">
        <v>4539</v>
      </c>
      <c r="D147" s="41">
        <v>260</v>
      </c>
      <c r="E147" s="131">
        <f t="shared" si="38"/>
        <v>5290</v>
      </c>
      <c r="F147" s="21">
        <f t="shared" si="32"/>
        <v>6400.9</v>
      </c>
      <c r="G147" s="21"/>
      <c r="H147" s="135">
        <f t="shared" si="35"/>
        <v>0</v>
      </c>
      <c r="I147" s="294">
        <v>45274</v>
      </c>
      <c r="J147" s="294">
        <v>45338</v>
      </c>
      <c r="K147" s="10">
        <v>3107</v>
      </c>
      <c r="L147" s="11"/>
      <c r="M147" s="11"/>
      <c r="N147" s="100"/>
      <c r="O147" s="11">
        <f t="shared" si="36"/>
        <v>3107</v>
      </c>
      <c r="P147" s="11">
        <f t="shared" si="33"/>
        <v>3107</v>
      </c>
      <c r="Q147" s="11">
        <v>1.7</v>
      </c>
      <c r="R147" s="11">
        <f t="shared" si="34"/>
        <v>5281.9</v>
      </c>
      <c r="S147" s="11"/>
      <c r="T147" s="136">
        <f t="shared" si="37"/>
        <v>0</v>
      </c>
    </row>
    <row r="148" spans="1:20" ht="15.75" customHeight="1">
      <c r="A148" s="149">
        <v>29</v>
      </c>
      <c r="B148" s="273"/>
      <c r="C148" s="28" t="s">
        <v>1246</v>
      </c>
      <c r="D148" s="41">
        <v>60</v>
      </c>
      <c r="E148" s="131">
        <f t="shared" si="38"/>
        <v>0</v>
      </c>
      <c r="F148" s="21">
        <f t="shared" si="32"/>
        <v>0</v>
      </c>
      <c r="G148" s="21"/>
      <c r="H148" s="135">
        <f t="shared" si="35"/>
        <v>0</v>
      </c>
      <c r="I148" s="294"/>
      <c r="J148" s="294"/>
      <c r="K148" s="10">
        <f>8*95</f>
        <v>760</v>
      </c>
      <c r="L148" s="11"/>
      <c r="M148" s="11"/>
      <c r="N148" s="100"/>
      <c r="O148" s="11">
        <f t="shared" si="36"/>
        <v>760</v>
      </c>
      <c r="P148" s="11">
        <f t="shared" si="33"/>
        <v>760</v>
      </c>
      <c r="Q148" s="11"/>
      <c r="R148" s="11">
        <f t="shared" si="34"/>
        <v>0</v>
      </c>
      <c r="S148" s="11"/>
      <c r="T148" s="136">
        <f t="shared" si="37"/>
        <v>0</v>
      </c>
    </row>
    <row r="149" spans="1:20" ht="15.75" customHeight="1">
      <c r="A149" s="149">
        <v>12</v>
      </c>
      <c r="B149" s="273"/>
      <c r="C149" s="28" t="s">
        <v>3902</v>
      </c>
      <c r="D149" s="41">
        <v>80</v>
      </c>
      <c r="E149" s="131">
        <f t="shared" si="38"/>
        <v>14580</v>
      </c>
      <c r="F149" s="21">
        <f t="shared" si="32"/>
        <v>17641.8</v>
      </c>
      <c r="G149" s="21"/>
      <c r="H149" s="135">
        <f t="shared" si="35"/>
        <v>0</v>
      </c>
      <c r="I149" s="294">
        <v>45274</v>
      </c>
      <c r="J149" s="294">
        <v>45338</v>
      </c>
      <c r="K149" s="10">
        <v>9715</v>
      </c>
      <c r="L149" s="11"/>
      <c r="M149" s="11"/>
      <c r="N149" s="100"/>
      <c r="O149" s="11">
        <f t="shared" si="36"/>
        <v>9715</v>
      </c>
      <c r="P149" s="11">
        <f t="shared" si="33"/>
        <v>9715</v>
      </c>
      <c r="Q149" s="11">
        <v>1.5</v>
      </c>
      <c r="R149" s="11">
        <f t="shared" si="34"/>
        <v>14572.5</v>
      </c>
      <c r="S149" s="11"/>
      <c r="T149" s="136">
        <f t="shared" si="37"/>
        <v>0</v>
      </c>
    </row>
    <row r="150" spans="1:20" ht="15.75" customHeight="1">
      <c r="A150" s="149">
        <v>12</v>
      </c>
      <c r="B150" s="273"/>
      <c r="C150" s="28" t="s">
        <v>37236</v>
      </c>
      <c r="D150" s="41">
        <v>80</v>
      </c>
      <c r="E150" s="131">
        <f>ROUNDUP(R150,-1)</f>
        <v>10550</v>
      </c>
      <c r="F150" s="21">
        <f>+E150*1.21</f>
        <v>12765.5</v>
      </c>
      <c r="G150" s="21"/>
      <c r="H150" s="135">
        <f>ROUNDUP(T150,-1)</f>
        <v>0</v>
      </c>
      <c r="I150" s="294">
        <v>45274</v>
      </c>
      <c r="J150" s="294">
        <v>45338</v>
      </c>
      <c r="K150" s="10">
        <v>6202</v>
      </c>
      <c r="L150" s="11"/>
      <c r="M150" s="11"/>
      <c r="N150" s="100"/>
      <c r="O150" s="11">
        <f>MIN(K150:M150)</f>
        <v>6202</v>
      </c>
      <c r="P150" s="11">
        <f>+O150</f>
        <v>6202</v>
      </c>
      <c r="Q150" s="11">
        <v>1.7</v>
      </c>
      <c r="R150" s="11">
        <f>+P150*Q150</f>
        <v>10543.4</v>
      </c>
      <c r="S150" s="11"/>
      <c r="T150" s="136">
        <f>+N150*Q150</f>
        <v>0</v>
      </c>
    </row>
    <row r="151" spans="1:20" ht="15.75" customHeight="1">
      <c r="A151" s="149">
        <v>29</v>
      </c>
      <c r="B151" s="273"/>
      <c r="C151" s="28" t="s">
        <v>1247</v>
      </c>
      <c r="D151" s="41">
        <v>180</v>
      </c>
      <c r="E151" s="131">
        <f t="shared" si="38"/>
        <v>0</v>
      </c>
      <c r="F151" s="21">
        <f t="shared" si="32"/>
        <v>0</v>
      </c>
      <c r="G151" s="21"/>
      <c r="H151" s="135">
        <f t="shared" si="35"/>
        <v>0</v>
      </c>
      <c r="I151" s="294"/>
      <c r="J151" s="294"/>
      <c r="K151" s="10">
        <f>110*1.45</f>
        <v>159.5</v>
      </c>
      <c r="L151" s="11"/>
      <c r="M151" s="11"/>
      <c r="N151" s="100"/>
      <c r="O151" s="11">
        <f t="shared" si="36"/>
        <v>159.5</v>
      </c>
      <c r="P151" s="11">
        <f t="shared" si="33"/>
        <v>159.5</v>
      </c>
      <c r="Q151" s="11"/>
      <c r="R151" s="11">
        <f t="shared" si="34"/>
        <v>0</v>
      </c>
      <c r="S151" s="11"/>
      <c r="T151" s="136">
        <f t="shared" si="37"/>
        <v>0</v>
      </c>
    </row>
    <row r="152" spans="1:20" ht="15.75" customHeight="1">
      <c r="A152" s="149">
        <v>38</v>
      </c>
      <c r="B152" s="273"/>
      <c r="C152" s="28" t="s">
        <v>3666</v>
      </c>
      <c r="D152" s="41">
        <v>150</v>
      </c>
      <c r="E152" s="131">
        <f t="shared" si="38"/>
        <v>80220</v>
      </c>
      <c r="F152" s="21">
        <f t="shared" si="32"/>
        <v>97066.2</v>
      </c>
      <c r="G152" s="21"/>
      <c r="H152" s="135">
        <f t="shared" si="35"/>
        <v>69520</v>
      </c>
      <c r="I152" s="294">
        <v>45173</v>
      </c>
      <c r="J152" s="294">
        <v>45274</v>
      </c>
      <c r="K152" s="11">
        <f>+PROVEEDORES!$D$32*50.93</f>
        <v>53476.5</v>
      </c>
      <c r="L152" s="11"/>
      <c r="M152" s="11"/>
      <c r="N152" s="100">
        <v>46344</v>
      </c>
      <c r="O152" s="11">
        <f t="shared" si="36"/>
        <v>53476.5</v>
      </c>
      <c r="P152" s="11">
        <f t="shared" si="33"/>
        <v>53476.5</v>
      </c>
      <c r="Q152" s="11">
        <v>1.5</v>
      </c>
      <c r="R152" s="11">
        <f t="shared" si="34"/>
        <v>80214.75</v>
      </c>
      <c r="S152" s="11"/>
      <c r="T152" s="136">
        <f t="shared" si="37"/>
        <v>69516</v>
      </c>
    </row>
    <row r="153" spans="1:20" ht="15.75" customHeight="1">
      <c r="A153" s="149">
        <v>38</v>
      </c>
      <c r="B153" s="273"/>
      <c r="C153" s="28" t="s">
        <v>3667</v>
      </c>
      <c r="D153" s="41">
        <v>150</v>
      </c>
      <c r="E153" s="131">
        <f t="shared" si="38"/>
        <v>93640</v>
      </c>
      <c r="F153" s="21">
        <f t="shared" si="32"/>
        <v>113304.4</v>
      </c>
      <c r="G153" s="21"/>
      <c r="H153" s="135">
        <f t="shared" si="35"/>
        <v>81150</v>
      </c>
      <c r="I153" s="294">
        <v>45173</v>
      </c>
      <c r="J153" s="294">
        <v>45274</v>
      </c>
      <c r="K153" s="11">
        <f>+PROVEEDORES!$D$32*59.45</f>
        <v>62422.5</v>
      </c>
      <c r="L153" s="11"/>
      <c r="M153" s="11"/>
      <c r="N153" s="100">
        <v>54100</v>
      </c>
      <c r="O153" s="11">
        <f t="shared" si="36"/>
        <v>62422.5</v>
      </c>
      <c r="P153" s="11">
        <f t="shared" si="33"/>
        <v>62422.5</v>
      </c>
      <c r="Q153" s="11">
        <v>1.5</v>
      </c>
      <c r="R153" s="11">
        <f t="shared" si="34"/>
        <v>93633.75</v>
      </c>
      <c r="S153" s="11"/>
      <c r="T153" s="136">
        <f t="shared" si="37"/>
        <v>81150</v>
      </c>
    </row>
    <row r="154" spans="1:20" ht="15.75" customHeight="1">
      <c r="A154" s="149"/>
      <c r="B154" s="273"/>
      <c r="C154" s="28" t="s">
        <v>2550</v>
      </c>
      <c r="D154" s="41">
        <v>20020</v>
      </c>
      <c r="E154" s="131">
        <f t="shared" si="38"/>
        <v>82940</v>
      </c>
      <c r="F154" s="21" t="s">
        <v>1248</v>
      </c>
      <c r="G154" s="21">
        <f t="shared" ref="G154:G161" si="39">+E154*1.105</f>
        <v>91648.7</v>
      </c>
      <c r="H154" s="135">
        <f t="shared" si="35"/>
        <v>0</v>
      </c>
      <c r="I154" s="294">
        <v>44046</v>
      </c>
      <c r="J154" s="294"/>
      <c r="K154" s="10">
        <f>1500+55700</f>
        <v>57200</v>
      </c>
      <c r="L154" s="11"/>
      <c r="M154" s="11"/>
      <c r="N154" s="100"/>
      <c r="O154" s="11">
        <f t="shared" si="36"/>
        <v>57200</v>
      </c>
      <c r="P154" s="11">
        <f t="shared" si="33"/>
        <v>57200</v>
      </c>
      <c r="Q154" s="11">
        <v>1.45</v>
      </c>
      <c r="R154" s="11">
        <f t="shared" si="34"/>
        <v>82940</v>
      </c>
      <c r="S154" s="11"/>
      <c r="T154" s="136">
        <f t="shared" si="37"/>
        <v>0</v>
      </c>
    </row>
    <row r="155" spans="1:20" ht="15.75" customHeight="1">
      <c r="A155" s="149">
        <v>31</v>
      </c>
      <c r="B155" s="273"/>
      <c r="C155" s="28" t="s">
        <v>3759</v>
      </c>
      <c r="D155" s="41">
        <v>20020</v>
      </c>
      <c r="E155" s="131">
        <f t="shared" si="38"/>
        <v>536650</v>
      </c>
      <c r="F155" s="21" t="s">
        <v>1248</v>
      </c>
      <c r="G155" s="21">
        <f t="shared" si="39"/>
        <v>592998.25</v>
      </c>
      <c r="H155" s="135">
        <f t="shared" si="35"/>
        <v>0</v>
      </c>
      <c r="I155" s="294">
        <v>45078</v>
      </c>
      <c r="J155" s="294"/>
      <c r="K155" s="10">
        <f>355000+15100</f>
        <v>370100</v>
      </c>
      <c r="L155" s="11"/>
      <c r="M155" s="11"/>
      <c r="N155" s="100"/>
      <c r="O155" s="11">
        <f t="shared" si="36"/>
        <v>370100</v>
      </c>
      <c r="P155" s="11">
        <f t="shared" si="33"/>
        <v>370100</v>
      </c>
      <c r="Q155" s="11">
        <v>1.45</v>
      </c>
      <c r="R155" s="11">
        <f t="shared" si="34"/>
        <v>536645</v>
      </c>
      <c r="S155" s="11"/>
      <c r="T155" s="136">
        <f t="shared" si="37"/>
        <v>0</v>
      </c>
    </row>
    <row r="156" spans="1:20" ht="15.75" customHeight="1">
      <c r="A156" s="149">
        <v>31</v>
      </c>
      <c r="B156" s="273"/>
      <c r="C156" s="28" t="s">
        <v>2551</v>
      </c>
      <c r="D156" s="41">
        <v>23650</v>
      </c>
      <c r="E156" s="131">
        <f t="shared" si="38"/>
        <v>587400</v>
      </c>
      <c r="F156" s="21" t="s">
        <v>1248</v>
      </c>
      <c r="G156" s="21">
        <f t="shared" si="39"/>
        <v>649077</v>
      </c>
      <c r="H156" s="135">
        <f t="shared" si="35"/>
        <v>0</v>
      </c>
      <c r="I156" s="294">
        <v>45078</v>
      </c>
      <c r="J156" s="294"/>
      <c r="K156" s="10">
        <f>15100+390000</f>
        <v>405100</v>
      </c>
      <c r="L156" s="11"/>
      <c r="M156" s="11"/>
      <c r="N156" s="100"/>
      <c r="O156" s="11">
        <f t="shared" si="36"/>
        <v>405100</v>
      </c>
      <c r="P156" s="11">
        <f t="shared" si="33"/>
        <v>405100</v>
      </c>
      <c r="Q156" s="11">
        <v>1.45</v>
      </c>
      <c r="R156" s="11">
        <f t="shared" si="34"/>
        <v>587395</v>
      </c>
      <c r="S156" s="11"/>
      <c r="T156" s="136">
        <f t="shared" si="37"/>
        <v>0</v>
      </c>
    </row>
    <row r="157" spans="1:20" ht="15.75" customHeight="1">
      <c r="A157" s="149">
        <v>31</v>
      </c>
      <c r="B157" s="273"/>
      <c r="C157" s="28" t="s">
        <v>2549</v>
      </c>
      <c r="D157" s="41">
        <v>18080</v>
      </c>
      <c r="E157" s="131">
        <f>ROUNDUP(R157,-1)</f>
        <v>522150</v>
      </c>
      <c r="F157" s="21" t="s">
        <v>1248</v>
      </c>
      <c r="G157" s="21">
        <f>+E157*1.105</f>
        <v>576975.75</v>
      </c>
      <c r="H157" s="135">
        <f>ROUNDUP(T157,-1)</f>
        <v>0</v>
      </c>
      <c r="I157" s="294">
        <v>45078</v>
      </c>
      <c r="J157" s="294"/>
      <c r="K157" s="10">
        <f>15100+345000</f>
        <v>360100</v>
      </c>
      <c r="L157" s="11"/>
      <c r="M157" s="11"/>
      <c r="N157" s="100"/>
      <c r="O157" s="11">
        <f>MIN(K157:M157)</f>
        <v>360100</v>
      </c>
      <c r="P157" s="11">
        <f t="shared" si="33"/>
        <v>360100</v>
      </c>
      <c r="Q157" s="11">
        <v>1.45</v>
      </c>
      <c r="R157" s="11">
        <f t="shared" si="34"/>
        <v>522145</v>
      </c>
      <c r="S157" s="11"/>
      <c r="T157" s="136">
        <f>+N157*Q157</f>
        <v>0</v>
      </c>
    </row>
    <row r="158" spans="1:20" ht="15.75" customHeight="1">
      <c r="A158" s="149">
        <v>38</v>
      </c>
      <c r="B158" s="273">
        <f>ROUNDUP(+E158*1.06,-1)</f>
        <v>250980</v>
      </c>
      <c r="C158" s="28" t="s">
        <v>2787</v>
      </c>
      <c r="D158" s="41"/>
      <c r="E158" s="131">
        <f t="shared" si="38"/>
        <v>236770</v>
      </c>
      <c r="F158" s="21" t="s">
        <v>1248</v>
      </c>
      <c r="G158" s="21">
        <f t="shared" si="39"/>
        <v>261630.85</v>
      </c>
      <c r="H158" s="135">
        <f t="shared" si="35"/>
        <v>205210</v>
      </c>
      <c r="I158" s="294">
        <v>45173</v>
      </c>
      <c r="J158" s="294">
        <v>45274</v>
      </c>
      <c r="K158" s="11">
        <f>+PROVEEDORES!$D$32*167.03</f>
        <v>175381.5</v>
      </c>
      <c r="L158" s="11"/>
      <c r="M158" s="11"/>
      <c r="N158" s="100">
        <v>152004</v>
      </c>
      <c r="O158" s="11">
        <f t="shared" si="36"/>
        <v>175381.5</v>
      </c>
      <c r="P158" s="11">
        <f t="shared" si="33"/>
        <v>175381.5</v>
      </c>
      <c r="Q158" s="11">
        <v>1.35</v>
      </c>
      <c r="R158" s="11">
        <f t="shared" si="34"/>
        <v>236765.02500000002</v>
      </c>
      <c r="S158" s="11"/>
      <c r="T158" s="136">
        <f t="shared" si="37"/>
        <v>205205.40000000002</v>
      </c>
    </row>
    <row r="159" spans="1:20" ht="15.75" customHeight="1">
      <c r="A159" s="149">
        <v>41</v>
      </c>
      <c r="B159" s="273"/>
      <c r="C159" s="28" t="s">
        <v>4285</v>
      </c>
      <c r="D159" s="41">
        <v>17760</v>
      </c>
      <c r="E159" s="132">
        <f t="shared" si="38"/>
        <v>403020</v>
      </c>
      <c r="F159" s="21" t="s">
        <v>1248</v>
      </c>
      <c r="G159" s="21">
        <f t="shared" si="39"/>
        <v>445337.1</v>
      </c>
      <c r="H159" s="135">
        <f t="shared" si="35"/>
        <v>380140</v>
      </c>
      <c r="I159" s="294">
        <v>45311</v>
      </c>
      <c r="J159" s="294"/>
      <c r="K159" s="11">
        <f>PROVEEDORES!$D$35*0.9*0.9*310</f>
        <v>268677</v>
      </c>
      <c r="L159" s="11"/>
      <c r="M159" s="11"/>
      <c r="N159" s="100">
        <f>0.9*0.95*0.95*312000</f>
        <v>253421.99999999997</v>
      </c>
      <c r="O159" s="11">
        <f t="shared" si="36"/>
        <v>268677</v>
      </c>
      <c r="P159" s="11">
        <f t="shared" si="33"/>
        <v>268677</v>
      </c>
      <c r="Q159" s="11">
        <v>1.5</v>
      </c>
      <c r="R159" s="11">
        <f t="shared" si="34"/>
        <v>403015.5</v>
      </c>
      <c r="S159" s="11"/>
      <c r="T159" s="136">
        <f t="shared" si="37"/>
        <v>380132.99999999994</v>
      </c>
    </row>
    <row r="160" spans="1:20" ht="15.75" customHeight="1">
      <c r="A160" s="149">
        <v>53</v>
      </c>
      <c r="B160" s="273"/>
      <c r="C160" s="28" t="s">
        <v>1249</v>
      </c>
      <c r="D160" s="41"/>
      <c r="E160" s="131"/>
      <c r="F160" s="21" t="s">
        <v>1248</v>
      </c>
      <c r="G160" s="21">
        <f t="shared" si="39"/>
        <v>0</v>
      </c>
      <c r="H160" s="135">
        <f t="shared" si="35"/>
        <v>0</v>
      </c>
      <c r="I160" s="40"/>
      <c r="J160" s="294">
        <v>43524</v>
      </c>
      <c r="K160" s="32">
        <f>14085*0.75*1.45</f>
        <v>15317.4375</v>
      </c>
      <c r="L160" s="11"/>
      <c r="M160" s="11"/>
      <c r="N160" s="100"/>
      <c r="O160" s="11">
        <f t="shared" si="36"/>
        <v>15317.4375</v>
      </c>
      <c r="P160" s="11">
        <f t="shared" si="33"/>
        <v>15317.4375</v>
      </c>
      <c r="Q160" s="11"/>
      <c r="R160" s="11">
        <f t="shared" si="34"/>
        <v>0</v>
      </c>
      <c r="S160" s="11"/>
      <c r="T160" s="136">
        <f t="shared" si="37"/>
        <v>0</v>
      </c>
    </row>
    <row r="161" spans="1:20" ht="15.75" customHeight="1">
      <c r="A161" s="149">
        <v>41</v>
      </c>
      <c r="B161" s="273"/>
      <c r="C161" s="28" t="s">
        <v>4284</v>
      </c>
      <c r="D161" s="41">
        <v>27360</v>
      </c>
      <c r="E161" s="132">
        <f t="shared" ref="E161:E232" si="40">ROUNDUP(R161,-1)</f>
        <v>547280</v>
      </c>
      <c r="F161" s="21" t="s">
        <v>1248</v>
      </c>
      <c r="G161" s="21">
        <f t="shared" si="39"/>
        <v>604744.4</v>
      </c>
      <c r="H161" s="135">
        <f t="shared" si="35"/>
        <v>570200</v>
      </c>
      <c r="I161" s="294">
        <v>45311</v>
      </c>
      <c r="J161" s="294"/>
      <c r="K161" s="11">
        <f>PROVEEDORES!$D$35*0.9*0.9*484</f>
        <v>419482.80000000005</v>
      </c>
      <c r="L161" s="11">
        <f>175747*1.038*2</f>
        <v>364850.772</v>
      </c>
      <c r="M161" s="11"/>
      <c r="N161" s="100">
        <f>0.9*0.95*0.95*468000</f>
        <v>380132.99999999994</v>
      </c>
      <c r="O161" s="11">
        <f t="shared" si="36"/>
        <v>364850.772</v>
      </c>
      <c r="P161" s="11">
        <f t="shared" si="33"/>
        <v>364850.772</v>
      </c>
      <c r="Q161" s="11">
        <v>1.5</v>
      </c>
      <c r="R161" s="11">
        <f t="shared" si="34"/>
        <v>547276.15800000005</v>
      </c>
      <c r="S161" s="11"/>
      <c r="T161" s="136">
        <f t="shared" si="37"/>
        <v>570199.49999999988</v>
      </c>
    </row>
    <row r="162" spans="1:20" ht="15.75" customHeight="1">
      <c r="A162" s="149">
        <v>109</v>
      </c>
      <c r="B162" s="273"/>
      <c r="C162" s="28" t="s">
        <v>4572</v>
      </c>
      <c r="D162" s="41">
        <v>27360</v>
      </c>
      <c r="E162" s="132">
        <f>ROUNDUP(R162,-1)</f>
        <v>555700</v>
      </c>
      <c r="F162" s="21" t="s">
        <v>1248</v>
      </c>
      <c r="G162" s="21">
        <f>+E162*1.105</f>
        <v>614048.5</v>
      </c>
      <c r="H162" s="135">
        <f>ROUNDUP(T162,-1)</f>
        <v>0</v>
      </c>
      <c r="I162" s="294">
        <v>45313</v>
      </c>
      <c r="J162" s="294"/>
      <c r="K162" s="11">
        <f>1.038*356903</f>
        <v>370465.31400000001</v>
      </c>
      <c r="L162" s="11"/>
      <c r="M162" s="11"/>
      <c r="N162" s="100"/>
      <c r="O162" s="11">
        <f>MIN(K162:M162)</f>
        <v>370465.31400000001</v>
      </c>
      <c r="P162" s="11">
        <f>+O162</f>
        <v>370465.31400000001</v>
      </c>
      <c r="Q162" s="11">
        <v>1.5</v>
      </c>
      <c r="R162" s="11">
        <f>+P162*Q162</f>
        <v>555697.97100000002</v>
      </c>
      <c r="S162" s="11"/>
      <c r="T162" s="136">
        <f>+N162*Q162</f>
        <v>0</v>
      </c>
    </row>
    <row r="163" spans="1:20" ht="15.75" customHeight="1">
      <c r="A163" s="149">
        <v>38</v>
      </c>
      <c r="B163" s="273"/>
      <c r="C163" s="28" t="s">
        <v>44233</v>
      </c>
      <c r="D163" s="41">
        <v>27360</v>
      </c>
      <c r="E163" s="132">
        <f>ROUNDUP(R163,-1)</f>
        <v>1362260</v>
      </c>
      <c r="F163" s="21" t="s">
        <v>1248</v>
      </c>
      <c r="G163" s="21">
        <f>+E163*1.105</f>
        <v>1505297.3</v>
      </c>
      <c r="H163" s="135">
        <f>ROUNDUP(T163,-1)</f>
        <v>1180610</v>
      </c>
      <c r="I163" s="294">
        <v>45251</v>
      </c>
      <c r="J163" s="294">
        <v>45274</v>
      </c>
      <c r="K163" s="11">
        <f>+PROVEEDORES!D32*894.75</f>
        <v>939487.5</v>
      </c>
      <c r="L163" s="11"/>
      <c r="M163" s="11"/>
      <c r="N163" s="100">
        <v>814207</v>
      </c>
      <c r="O163" s="11">
        <f>MIN(K163:M163)</f>
        <v>939487.5</v>
      </c>
      <c r="P163" s="11">
        <f>+O163</f>
        <v>939487.5</v>
      </c>
      <c r="Q163" s="11">
        <v>1.45</v>
      </c>
      <c r="R163" s="11">
        <f>+P163*Q163</f>
        <v>1362256.875</v>
      </c>
      <c r="S163" s="11"/>
      <c r="T163" s="136">
        <f>+N163*Q163</f>
        <v>1180600.1499999999</v>
      </c>
    </row>
    <row r="164" spans="1:20" ht="15.75" customHeight="1">
      <c r="A164" s="149">
        <v>44</v>
      </c>
      <c r="B164" s="273"/>
      <c r="C164" s="28" t="s">
        <v>4151</v>
      </c>
      <c r="D164" s="41">
        <v>16150</v>
      </c>
      <c r="E164" s="140">
        <f t="shared" si="40"/>
        <v>200</v>
      </c>
      <c r="F164" s="21">
        <f>+E164*1.21</f>
        <v>242</v>
      </c>
      <c r="G164" s="21"/>
      <c r="H164" s="135">
        <f t="shared" si="35"/>
        <v>0</v>
      </c>
      <c r="I164" s="294">
        <v>45254</v>
      </c>
      <c r="J164" s="40"/>
      <c r="K164" s="11">
        <f>80*1.05*1.1*1.3</f>
        <v>120.12</v>
      </c>
      <c r="L164" s="11"/>
      <c r="M164" s="11"/>
      <c r="N164" s="100"/>
      <c r="O164" s="11">
        <f t="shared" si="36"/>
        <v>120.12</v>
      </c>
      <c r="P164" s="11">
        <f t="shared" si="33"/>
        <v>120.12</v>
      </c>
      <c r="Q164" s="11">
        <v>1.6</v>
      </c>
      <c r="R164" s="11">
        <f t="shared" si="34"/>
        <v>192.19200000000001</v>
      </c>
      <c r="S164" s="11"/>
      <c r="T164" s="136">
        <f t="shared" si="37"/>
        <v>0</v>
      </c>
    </row>
    <row r="165" spans="1:20" ht="15.75" customHeight="1">
      <c r="A165" s="149">
        <v>38</v>
      </c>
      <c r="B165" s="273"/>
      <c r="C165" s="28" t="s">
        <v>2869</v>
      </c>
      <c r="D165" s="41">
        <v>150</v>
      </c>
      <c r="E165" s="131">
        <f t="shared" si="40"/>
        <v>9300</v>
      </c>
      <c r="F165" s="21">
        <f t="shared" ref="F165:F175" si="41">+E165*1.21</f>
        <v>11253</v>
      </c>
      <c r="G165" s="21"/>
      <c r="H165" s="135">
        <f t="shared" si="35"/>
        <v>8060</v>
      </c>
      <c r="I165" s="294">
        <v>45173</v>
      </c>
      <c r="J165" s="294">
        <v>45293</v>
      </c>
      <c r="K165" s="11">
        <f>+PROVEEDORES!$D$32*5.9</f>
        <v>6195</v>
      </c>
      <c r="L165" s="11"/>
      <c r="M165" s="11"/>
      <c r="N165" s="100">
        <v>5370</v>
      </c>
      <c r="O165" s="11">
        <f t="shared" si="36"/>
        <v>6195</v>
      </c>
      <c r="P165" s="11">
        <f t="shared" si="33"/>
        <v>6195</v>
      </c>
      <c r="Q165" s="11">
        <v>1.5</v>
      </c>
      <c r="R165" s="11">
        <f t="shared" si="34"/>
        <v>9292.5</v>
      </c>
      <c r="S165" s="11"/>
      <c r="T165" s="136">
        <f t="shared" si="37"/>
        <v>8055</v>
      </c>
    </row>
    <row r="166" spans="1:20" ht="15.75" customHeight="1">
      <c r="A166" s="149" t="s">
        <v>2387</v>
      </c>
      <c r="B166" s="273"/>
      <c r="C166" s="28" t="s">
        <v>1250</v>
      </c>
      <c r="D166" s="41">
        <v>800</v>
      </c>
      <c r="E166" s="131">
        <f t="shared" si="40"/>
        <v>13150</v>
      </c>
      <c r="F166" s="21">
        <f t="shared" si="41"/>
        <v>15911.5</v>
      </c>
      <c r="G166" s="21"/>
      <c r="H166" s="135">
        <f t="shared" si="35"/>
        <v>0</v>
      </c>
      <c r="I166" s="294">
        <v>45173</v>
      </c>
      <c r="J166" s="294">
        <v>45175</v>
      </c>
      <c r="K166" s="11">
        <f>+'AUMENTOS %'!D14*PROVEEDORES!D18*0.5*17.11</f>
        <v>9068.2999999999993</v>
      </c>
      <c r="L166" s="11">
        <f>+'AUMENTOS %'!C14*4851*2</f>
        <v>9702</v>
      </c>
      <c r="M166" s="11"/>
      <c r="N166" s="100"/>
      <c r="O166" s="11">
        <f t="shared" si="36"/>
        <v>9068.2999999999993</v>
      </c>
      <c r="P166" s="11">
        <f t="shared" si="33"/>
        <v>9068.2999999999993</v>
      </c>
      <c r="Q166" s="11">
        <v>1.45</v>
      </c>
      <c r="R166" s="11">
        <f t="shared" si="34"/>
        <v>13149.034999999998</v>
      </c>
      <c r="S166" s="11"/>
      <c r="T166" s="136">
        <f t="shared" si="37"/>
        <v>0</v>
      </c>
    </row>
    <row r="167" spans="1:20" ht="15.75" customHeight="1">
      <c r="A167" s="149">
        <v>21</v>
      </c>
      <c r="B167" s="273"/>
      <c r="C167" s="28" t="s">
        <v>2567</v>
      </c>
      <c r="D167" s="41"/>
      <c r="E167" s="131">
        <f t="shared" si="40"/>
        <v>6960</v>
      </c>
      <c r="F167" s="21">
        <f t="shared" si="41"/>
        <v>8421.6</v>
      </c>
      <c r="G167" s="21"/>
      <c r="H167" s="135"/>
      <c r="I167" s="294">
        <v>45217</v>
      </c>
      <c r="J167" s="294">
        <v>45323</v>
      </c>
      <c r="K167" s="11">
        <f>0.6*7728</f>
        <v>4636.8</v>
      </c>
      <c r="L167" s="11"/>
      <c r="M167" s="11"/>
      <c r="N167" s="100"/>
      <c r="O167" s="11">
        <f t="shared" si="36"/>
        <v>4636.8</v>
      </c>
      <c r="P167" s="11">
        <f t="shared" si="33"/>
        <v>4636.8</v>
      </c>
      <c r="Q167" s="11">
        <v>1.5</v>
      </c>
      <c r="R167" s="11">
        <f t="shared" si="34"/>
        <v>6955.2000000000007</v>
      </c>
      <c r="S167" s="11"/>
      <c r="T167" s="136">
        <f t="shared" si="37"/>
        <v>0</v>
      </c>
    </row>
    <row r="168" spans="1:20" ht="15.75" customHeight="1">
      <c r="A168" s="149" t="s">
        <v>4421</v>
      </c>
      <c r="B168" s="273"/>
      <c r="C168" s="28" t="s">
        <v>4070</v>
      </c>
      <c r="D168" s="41">
        <v>260</v>
      </c>
      <c r="E168" s="131">
        <f t="shared" si="40"/>
        <v>5990</v>
      </c>
      <c r="F168" s="21">
        <f t="shared" si="41"/>
        <v>7247.9</v>
      </c>
      <c r="G168" s="44"/>
      <c r="H168" s="135">
        <f t="shared" ref="H168:H240" si="42">ROUNDUP(T168,-1)</f>
        <v>0</v>
      </c>
      <c r="I168" s="294">
        <v>45286</v>
      </c>
      <c r="J168" s="294">
        <v>45330</v>
      </c>
      <c r="K168" s="10"/>
      <c r="L168" s="11"/>
      <c r="M168" s="11">
        <v>3740</v>
      </c>
      <c r="N168" s="100"/>
      <c r="O168" s="11">
        <f t="shared" si="36"/>
        <v>3740</v>
      </c>
      <c r="P168" s="11">
        <f t="shared" si="33"/>
        <v>3740</v>
      </c>
      <c r="Q168" s="11">
        <v>1.6</v>
      </c>
      <c r="R168" s="11">
        <f t="shared" si="34"/>
        <v>5984</v>
      </c>
      <c r="S168" s="11"/>
      <c r="T168" s="136">
        <f t="shared" ref="T168:T207" si="43">+N168*Q168</f>
        <v>0</v>
      </c>
    </row>
    <row r="169" spans="1:20" ht="15.75" customHeight="1">
      <c r="A169" s="149">
        <v>107</v>
      </c>
      <c r="B169" s="273"/>
      <c r="C169" s="28" t="s">
        <v>4519</v>
      </c>
      <c r="D169" s="41">
        <v>260</v>
      </c>
      <c r="E169" s="131">
        <f>ROUNDUP(R169,-1)</f>
        <v>0</v>
      </c>
      <c r="F169" s="21">
        <f>+E169*1.21</f>
        <v>0</v>
      </c>
      <c r="G169" s="44"/>
      <c r="H169" s="135">
        <f>ROUNDUP(T169,-1)</f>
        <v>0</v>
      </c>
      <c r="I169" s="294"/>
      <c r="J169" s="294">
        <v>45131</v>
      </c>
      <c r="K169" s="10">
        <f>0.75*2692*1.2</f>
        <v>2422.7999999999997</v>
      </c>
      <c r="L169" s="11"/>
      <c r="M169" s="11"/>
      <c r="N169" s="11"/>
      <c r="O169" s="11">
        <f>MIN(K169:M169)</f>
        <v>2422.7999999999997</v>
      </c>
      <c r="P169" s="11">
        <f>+O169</f>
        <v>2422.7999999999997</v>
      </c>
      <c r="Q169" s="11"/>
      <c r="R169" s="11">
        <f>+P169*Q169</f>
        <v>0</v>
      </c>
      <c r="S169" s="11"/>
      <c r="T169" s="136">
        <f>+N169*Q169</f>
        <v>0</v>
      </c>
    </row>
    <row r="170" spans="1:20" ht="15.75" customHeight="1">
      <c r="A170" s="149">
        <v>51</v>
      </c>
      <c r="B170" s="273"/>
      <c r="C170" s="28" t="s">
        <v>4577</v>
      </c>
      <c r="D170" s="41">
        <v>2580</v>
      </c>
      <c r="E170" s="199">
        <f>ROUNDUP(R170,-1)</f>
        <v>43090</v>
      </c>
      <c r="F170" s="21">
        <f>+E170*1.21</f>
        <v>52138.9</v>
      </c>
      <c r="G170" s="21"/>
      <c r="H170" s="135">
        <f>ROUNDUP(T170,-1)</f>
        <v>0</v>
      </c>
      <c r="I170" s="294">
        <v>45383</v>
      </c>
      <c r="J170" s="294"/>
      <c r="K170" s="10">
        <f>0.85*33790</f>
        <v>28721.5</v>
      </c>
      <c r="L170" s="11"/>
      <c r="M170" s="11"/>
      <c r="N170" s="100"/>
      <c r="O170" s="11">
        <f>MIN(K170:M170)</f>
        <v>28721.5</v>
      </c>
      <c r="P170" s="11">
        <f t="shared" si="33"/>
        <v>28721.5</v>
      </c>
      <c r="Q170" s="11">
        <v>1.5</v>
      </c>
      <c r="R170" s="11">
        <f t="shared" si="34"/>
        <v>43082.25</v>
      </c>
      <c r="S170" s="11"/>
      <c r="T170" s="136">
        <f>+N170*Q170</f>
        <v>0</v>
      </c>
    </row>
    <row r="171" spans="1:20" ht="15.75" customHeight="1">
      <c r="A171" s="149"/>
      <c r="B171" s="273"/>
      <c r="C171" s="28" t="s">
        <v>1251</v>
      </c>
      <c r="D171" s="41">
        <v>40</v>
      </c>
      <c r="E171" s="131">
        <f t="shared" si="40"/>
        <v>0</v>
      </c>
      <c r="F171" s="21">
        <f t="shared" si="41"/>
        <v>0</v>
      </c>
      <c r="G171" s="21"/>
      <c r="H171" s="135">
        <f t="shared" si="42"/>
        <v>0</v>
      </c>
      <c r="I171" s="294"/>
      <c r="J171" s="294">
        <v>42786</v>
      </c>
      <c r="K171" s="10">
        <f>3.65*65*0.6*1.35</f>
        <v>192.17250000000001</v>
      </c>
      <c r="L171" s="11"/>
      <c r="M171" s="11"/>
      <c r="N171" s="100"/>
      <c r="O171" s="11">
        <f t="shared" si="36"/>
        <v>192.17250000000001</v>
      </c>
      <c r="P171" s="11">
        <f t="shared" si="33"/>
        <v>192.17250000000001</v>
      </c>
      <c r="Q171" s="11"/>
      <c r="R171" s="11">
        <f t="shared" si="34"/>
        <v>0</v>
      </c>
      <c r="S171" s="11"/>
      <c r="T171" s="136">
        <f t="shared" si="43"/>
        <v>0</v>
      </c>
    </row>
    <row r="172" spans="1:20" ht="15.75" customHeight="1">
      <c r="A172" s="149">
        <v>21</v>
      </c>
      <c r="B172" s="273"/>
      <c r="C172" s="28" t="s">
        <v>44278</v>
      </c>
      <c r="D172" s="41">
        <v>25</v>
      </c>
      <c r="E172" s="131">
        <f t="shared" si="40"/>
        <v>2920</v>
      </c>
      <c r="F172" s="21">
        <f t="shared" si="41"/>
        <v>3533.2</v>
      </c>
      <c r="G172" s="21"/>
      <c r="H172" s="135">
        <f t="shared" si="42"/>
        <v>0</v>
      </c>
      <c r="I172" s="294">
        <v>45217</v>
      </c>
      <c r="J172" s="294">
        <v>45338</v>
      </c>
      <c r="K172" s="10">
        <f>+PROVEEDORES!$D$15*0.6*3.79</f>
        <v>2012.49</v>
      </c>
      <c r="L172" s="10"/>
      <c r="M172" s="11"/>
      <c r="N172" s="100"/>
      <c r="O172" s="11">
        <f t="shared" si="36"/>
        <v>2012.49</v>
      </c>
      <c r="P172" s="11">
        <f t="shared" si="33"/>
        <v>2012.49</v>
      </c>
      <c r="Q172" s="11">
        <v>1.45</v>
      </c>
      <c r="R172" s="11">
        <f t="shared" si="34"/>
        <v>2918.1104999999998</v>
      </c>
      <c r="S172" s="11"/>
      <c r="T172" s="136">
        <f t="shared" si="43"/>
        <v>0</v>
      </c>
    </row>
    <row r="173" spans="1:20" ht="15.75" customHeight="1">
      <c r="A173" s="149"/>
      <c r="B173" s="273"/>
      <c r="C173" s="28" t="s">
        <v>2094</v>
      </c>
      <c r="D173" s="41">
        <v>1320</v>
      </c>
      <c r="E173" s="131">
        <f t="shared" si="40"/>
        <v>1680</v>
      </c>
      <c r="F173" s="21">
        <f t="shared" si="41"/>
        <v>2032.8</v>
      </c>
      <c r="G173" s="21"/>
      <c r="H173" s="135">
        <f t="shared" si="42"/>
        <v>0</v>
      </c>
      <c r="I173" s="294">
        <v>44118</v>
      </c>
      <c r="J173" s="294"/>
      <c r="K173" s="10">
        <f>0.8*0.98*0.96*1486</f>
        <v>1118.4230399999999</v>
      </c>
      <c r="L173" s="10"/>
      <c r="M173" s="11"/>
      <c r="N173" s="100"/>
      <c r="O173" s="11">
        <f t="shared" si="36"/>
        <v>1118.4230399999999</v>
      </c>
      <c r="P173" s="11">
        <f t="shared" si="33"/>
        <v>1118.4230399999999</v>
      </c>
      <c r="Q173" s="11">
        <v>1.5</v>
      </c>
      <c r="R173" s="11">
        <f t="shared" si="34"/>
        <v>1677.63456</v>
      </c>
      <c r="S173" s="11"/>
      <c r="T173" s="136">
        <f t="shared" si="43"/>
        <v>0</v>
      </c>
    </row>
    <row r="174" spans="1:20" ht="15.75" customHeight="1">
      <c r="A174" s="149"/>
      <c r="B174" s="273"/>
      <c r="C174" s="28" t="s">
        <v>2082</v>
      </c>
      <c r="D174" s="41">
        <v>2210</v>
      </c>
      <c r="E174" s="131">
        <f t="shared" si="40"/>
        <v>0</v>
      </c>
      <c r="F174" s="21">
        <f t="shared" si="41"/>
        <v>0</v>
      </c>
      <c r="G174" s="21"/>
      <c r="H174" s="135">
        <f t="shared" si="42"/>
        <v>0</v>
      </c>
      <c r="I174" s="294">
        <v>43714</v>
      </c>
      <c r="J174" s="294"/>
      <c r="K174" s="10">
        <f>1475*1.5</f>
        <v>2212.5</v>
      </c>
      <c r="L174" s="10"/>
      <c r="M174" s="11"/>
      <c r="N174" s="100"/>
      <c r="O174" s="11">
        <f t="shared" si="36"/>
        <v>2212.5</v>
      </c>
      <c r="P174" s="11">
        <f t="shared" si="33"/>
        <v>2212.5</v>
      </c>
      <c r="Q174" s="11"/>
      <c r="R174" s="11">
        <f t="shared" si="34"/>
        <v>0</v>
      </c>
      <c r="S174" s="11"/>
      <c r="T174" s="136">
        <f t="shared" si="43"/>
        <v>0</v>
      </c>
    </row>
    <row r="175" spans="1:20" ht="15.75" customHeight="1">
      <c r="A175" s="149"/>
      <c r="B175" s="273"/>
      <c r="C175" s="28" t="s">
        <v>2083</v>
      </c>
      <c r="D175" s="41">
        <v>2600</v>
      </c>
      <c r="E175" s="131">
        <f t="shared" si="40"/>
        <v>0</v>
      </c>
      <c r="F175" s="21">
        <f t="shared" si="41"/>
        <v>0</v>
      </c>
      <c r="G175" s="21"/>
      <c r="H175" s="135">
        <f t="shared" si="42"/>
        <v>0</v>
      </c>
      <c r="I175" s="294">
        <v>43714</v>
      </c>
      <c r="J175" s="294"/>
      <c r="K175" s="10">
        <f>1711*1.5</f>
        <v>2566.5</v>
      </c>
      <c r="L175" s="10"/>
      <c r="M175" s="11"/>
      <c r="N175" s="100"/>
      <c r="O175" s="11">
        <f t="shared" si="36"/>
        <v>2566.5</v>
      </c>
      <c r="P175" s="11">
        <f t="shared" si="33"/>
        <v>2566.5</v>
      </c>
      <c r="Q175" s="11"/>
      <c r="R175" s="11">
        <f t="shared" si="34"/>
        <v>0</v>
      </c>
      <c r="S175" s="11"/>
      <c r="T175" s="136">
        <f t="shared" si="43"/>
        <v>0</v>
      </c>
    </row>
    <row r="176" spans="1:20" ht="15.75" customHeight="1">
      <c r="A176" s="149">
        <v>41</v>
      </c>
      <c r="B176" s="273">
        <f t="shared" ref="B176:B185" si="44">ROUNDUP(+E176*1.06,-1)</f>
        <v>1085220</v>
      </c>
      <c r="C176" s="28" t="s">
        <v>4268</v>
      </c>
      <c r="D176" s="41">
        <v>55670</v>
      </c>
      <c r="E176" s="132">
        <f t="shared" si="40"/>
        <v>1023790</v>
      </c>
      <c r="F176" s="21" t="s">
        <v>1248</v>
      </c>
      <c r="G176" s="21">
        <f t="shared" ref="G176:G182" si="45">+E176*1.105</f>
        <v>1131287.95</v>
      </c>
      <c r="H176" s="135">
        <f t="shared" si="42"/>
        <v>893790</v>
      </c>
      <c r="I176" s="294">
        <v>45311</v>
      </c>
      <c r="J176" s="294"/>
      <c r="K176" s="11">
        <f>PROVEEDORES!$D$35*0.9*0.9*875</f>
        <v>758362.5</v>
      </c>
      <c r="L176" s="11"/>
      <c r="M176" s="11"/>
      <c r="N176" s="100">
        <f>0.9*0.95*0.95*815100</f>
        <v>662064.97499999998</v>
      </c>
      <c r="O176" s="11">
        <f t="shared" si="36"/>
        <v>758362.5</v>
      </c>
      <c r="P176" s="11">
        <f t="shared" si="33"/>
        <v>758362.5</v>
      </c>
      <c r="Q176" s="11">
        <v>1.35</v>
      </c>
      <c r="R176" s="11">
        <f t="shared" si="34"/>
        <v>1023789.3750000001</v>
      </c>
      <c r="S176" s="11"/>
      <c r="T176" s="136">
        <f t="shared" si="43"/>
        <v>893787.71625000006</v>
      </c>
    </row>
    <row r="177" spans="1:20" ht="15.75" customHeight="1">
      <c r="A177" s="149">
        <v>41</v>
      </c>
      <c r="B177" s="273">
        <f t="shared" si="44"/>
        <v>0</v>
      </c>
      <c r="C177" s="28" t="s">
        <v>4269</v>
      </c>
      <c r="D177" s="41">
        <v>126770</v>
      </c>
      <c r="E177" s="132">
        <f t="shared" si="40"/>
        <v>0</v>
      </c>
      <c r="F177" s="21" t="s">
        <v>1248</v>
      </c>
      <c r="G177" s="21">
        <f t="shared" si="45"/>
        <v>0</v>
      </c>
      <c r="H177" s="135">
        <f t="shared" si="42"/>
        <v>0</v>
      </c>
      <c r="I177" s="294"/>
      <c r="J177" s="294">
        <v>45059</v>
      </c>
      <c r="K177" s="11">
        <f>PROVEEDORES!$D$35*0.9*0.9*1609</f>
        <v>1394520.3</v>
      </c>
      <c r="L177" s="11"/>
      <c r="M177" s="11"/>
      <c r="N177" s="100"/>
      <c r="O177" s="11">
        <f t="shared" si="36"/>
        <v>1394520.3</v>
      </c>
      <c r="P177" s="11">
        <f t="shared" si="33"/>
        <v>1394520.3</v>
      </c>
      <c r="Q177" s="11"/>
      <c r="R177" s="11">
        <f t="shared" si="34"/>
        <v>0</v>
      </c>
      <c r="S177" s="11"/>
      <c r="T177" s="136">
        <f t="shared" si="43"/>
        <v>0</v>
      </c>
    </row>
    <row r="178" spans="1:20" ht="15.75" customHeight="1">
      <c r="A178" s="149">
        <v>41</v>
      </c>
      <c r="B178" s="273">
        <f t="shared" si="44"/>
        <v>1555280</v>
      </c>
      <c r="C178" s="28" t="s">
        <v>4270</v>
      </c>
      <c r="D178" s="41">
        <v>81860</v>
      </c>
      <c r="E178" s="132">
        <f t="shared" si="40"/>
        <v>1467240</v>
      </c>
      <c r="F178" s="21" t="s">
        <v>1248</v>
      </c>
      <c r="G178" s="21">
        <f t="shared" si="45"/>
        <v>1621300.2</v>
      </c>
      <c r="H178" s="135">
        <f t="shared" si="42"/>
        <v>1173190</v>
      </c>
      <c r="I178" s="294">
        <v>45311</v>
      </c>
      <c r="J178" s="294"/>
      <c r="K178" s="11">
        <f>PROVEEDORES!$D$35*0.9*0.9*1254</f>
        <v>1086841.8</v>
      </c>
      <c r="L178" s="11"/>
      <c r="M178" s="11"/>
      <c r="N178" s="100">
        <f>0.9*0.95*0.95*1069900</f>
        <v>869026.27499999991</v>
      </c>
      <c r="O178" s="11">
        <f t="shared" si="36"/>
        <v>1086841.8</v>
      </c>
      <c r="P178" s="11">
        <f t="shared" si="33"/>
        <v>1086841.8</v>
      </c>
      <c r="Q178" s="11">
        <v>1.35</v>
      </c>
      <c r="R178" s="11">
        <f t="shared" si="34"/>
        <v>1467236.4300000002</v>
      </c>
      <c r="S178" s="11"/>
      <c r="T178" s="136">
        <f t="shared" si="43"/>
        <v>1173185.4712499999</v>
      </c>
    </row>
    <row r="179" spans="1:20" ht="15.75" customHeight="1">
      <c r="A179" s="149">
        <v>41</v>
      </c>
      <c r="B179" s="273">
        <f t="shared" si="44"/>
        <v>2471820</v>
      </c>
      <c r="C179" s="28" t="s">
        <v>4273</v>
      </c>
      <c r="D179" s="41">
        <v>128360</v>
      </c>
      <c r="E179" s="132">
        <f t="shared" si="40"/>
        <v>2331900</v>
      </c>
      <c r="F179" s="21" t="s">
        <v>1248</v>
      </c>
      <c r="G179" s="21">
        <f t="shared" si="45"/>
        <v>2576749.5</v>
      </c>
      <c r="H179" s="135">
        <f t="shared" si="42"/>
        <v>1972900</v>
      </c>
      <c r="I179" s="294">
        <v>45106</v>
      </c>
      <c r="J179" s="294"/>
      <c r="K179" s="11">
        <f>PROVEEDORES!$D$35*0.9*0.9*1993</f>
        <v>1727333.1</v>
      </c>
      <c r="L179" s="11"/>
      <c r="M179" s="11"/>
      <c r="N179" s="100">
        <f>0.95*0.95*0.9*1799200</f>
        <v>1461400.2</v>
      </c>
      <c r="O179" s="11">
        <f t="shared" si="36"/>
        <v>1727333.1</v>
      </c>
      <c r="P179" s="11">
        <f t="shared" si="33"/>
        <v>1727333.1</v>
      </c>
      <c r="Q179" s="11">
        <v>1.35</v>
      </c>
      <c r="R179" s="11">
        <f t="shared" si="34"/>
        <v>2331899.6850000001</v>
      </c>
      <c r="S179" s="11"/>
      <c r="T179" s="136">
        <f t="shared" si="43"/>
        <v>1972890.27</v>
      </c>
    </row>
    <row r="180" spans="1:20" ht="15.75" customHeight="1">
      <c r="A180" s="149">
        <v>41</v>
      </c>
      <c r="B180" s="273">
        <f t="shared" si="44"/>
        <v>1633410</v>
      </c>
      <c r="C180" s="28" t="s">
        <v>4272</v>
      </c>
      <c r="D180" s="41">
        <v>84950</v>
      </c>
      <c r="E180" s="132">
        <f t="shared" si="40"/>
        <v>1540950</v>
      </c>
      <c r="F180" s="21" t="s">
        <v>1248</v>
      </c>
      <c r="G180" s="21">
        <f t="shared" si="45"/>
        <v>1702749.75</v>
      </c>
      <c r="H180" s="135">
        <f t="shared" si="42"/>
        <v>1357080</v>
      </c>
      <c r="I180" s="294">
        <v>45311</v>
      </c>
      <c r="J180" s="294"/>
      <c r="K180" s="11">
        <f>PROVEEDORES!$D$35*0.9*0.9*1317</f>
        <v>1141443.9000000001</v>
      </c>
      <c r="L180" s="11"/>
      <c r="M180" s="11"/>
      <c r="N180" s="100">
        <f>0.9*0.95*0.95*1237600</f>
        <v>1005240.5999999999</v>
      </c>
      <c r="O180" s="11">
        <f t="shared" si="36"/>
        <v>1141443.9000000001</v>
      </c>
      <c r="P180" s="11">
        <f t="shared" si="33"/>
        <v>1141443.9000000001</v>
      </c>
      <c r="Q180" s="11">
        <v>1.35</v>
      </c>
      <c r="R180" s="11">
        <f t="shared" si="34"/>
        <v>1540949.2650000004</v>
      </c>
      <c r="S180" s="11"/>
      <c r="T180" s="136">
        <f t="shared" si="43"/>
        <v>1357074.8099999998</v>
      </c>
    </row>
    <row r="181" spans="1:20" ht="15.75" customHeight="1">
      <c r="A181" s="149">
        <v>41</v>
      </c>
      <c r="B181" s="273">
        <f t="shared" si="44"/>
        <v>1639280</v>
      </c>
      <c r="C181" s="28" t="s">
        <v>4271</v>
      </c>
      <c r="D181" s="41">
        <v>83460</v>
      </c>
      <c r="E181" s="132">
        <f t="shared" si="40"/>
        <v>1546490</v>
      </c>
      <c r="F181" s="21" t="s">
        <v>1248</v>
      </c>
      <c r="G181" s="21">
        <f t="shared" si="45"/>
        <v>1708871.45</v>
      </c>
      <c r="H181" s="135">
        <f t="shared" si="42"/>
        <v>1206550</v>
      </c>
      <c r="I181" s="294">
        <v>45311</v>
      </c>
      <c r="J181" s="294"/>
      <c r="K181" s="11">
        <f>PROVEEDORES!$D$35*0.9*0.9*1293</f>
        <v>1120643.1000000001</v>
      </c>
      <c r="L181" s="11"/>
      <c r="M181" s="11"/>
      <c r="N181" s="100">
        <f>0.9*0.95*0.95*1076400</f>
        <v>874305.89999999991</v>
      </c>
      <c r="O181" s="11">
        <f t="shared" si="36"/>
        <v>1120643.1000000001</v>
      </c>
      <c r="P181" s="11">
        <f t="shared" si="33"/>
        <v>1120643.1000000001</v>
      </c>
      <c r="Q181" s="11">
        <v>1.38</v>
      </c>
      <c r="R181" s="11">
        <f t="shared" si="34"/>
        <v>1546487.4780000001</v>
      </c>
      <c r="S181" s="11"/>
      <c r="T181" s="136">
        <f t="shared" si="43"/>
        <v>1206542.1419999998</v>
      </c>
    </row>
    <row r="182" spans="1:20" ht="15.75" customHeight="1">
      <c r="A182" s="149">
        <v>41</v>
      </c>
      <c r="B182" s="273">
        <f t="shared" si="44"/>
        <v>2232460</v>
      </c>
      <c r="C182" s="28" t="s">
        <v>4274</v>
      </c>
      <c r="D182" s="41">
        <v>107220</v>
      </c>
      <c r="E182" s="132">
        <f t="shared" si="40"/>
        <v>2106090</v>
      </c>
      <c r="F182" s="21" t="s">
        <v>1248</v>
      </c>
      <c r="G182" s="21">
        <f t="shared" si="45"/>
        <v>2327229.4500000002</v>
      </c>
      <c r="H182" s="135">
        <f t="shared" si="42"/>
        <v>1850300</v>
      </c>
      <c r="I182" s="294">
        <v>45311</v>
      </c>
      <c r="J182" s="294"/>
      <c r="K182" s="11">
        <f>PROVEEDORES!$D$35*0.9*0.9*1800</f>
        <v>1560060</v>
      </c>
      <c r="L182" s="11"/>
      <c r="M182" s="11"/>
      <c r="N182" s="100">
        <f>0.9*0.95*0.95*1687400</f>
        <v>1370590.65</v>
      </c>
      <c r="O182" s="11">
        <f t="shared" si="36"/>
        <v>1560060</v>
      </c>
      <c r="P182" s="11">
        <f t="shared" si="33"/>
        <v>1560060</v>
      </c>
      <c r="Q182" s="11">
        <v>1.35</v>
      </c>
      <c r="R182" s="11">
        <f t="shared" si="34"/>
        <v>2106081</v>
      </c>
      <c r="S182" s="11"/>
      <c r="T182" s="136">
        <f t="shared" si="43"/>
        <v>1850297.3774999999</v>
      </c>
    </row>
    <row r="183" spans="1:20" ht="15.75" customHeight="1">
      <c r="A183" s="149" t="s">
        <v>2401</v>
      </c>
      <c r="B183" s="273">
        <f t="shared" si="44"/>
        <v>0</v>
      </c>
      <c r="C183" s="28" t="s">
        <v>2560</v>
      </c>
      <c r="D183" s="41">
        <v>5000</v>
      </c>
      <c r="E183" s="131">
        <f t="shared" si="40"/>
        <v>0</v>
      </c>
      <c r="F183" s="21">
        <f t="shared" ref="F183:F254" si="46">+E183*1.21</f>
        <v>0</v>
      </c>
      <c r="G183" s="21"/>
      <c r="H183" s="135">
        <f t="shared" si="42"/>
        <v>0</v>
      </c>
      <c r="I183" s="294">
        <v>44747</v>
      </c>
      <c r="J183" s="294">
        <v>44840</v>
      </c>
      <c r="K183" s="8">
        <f>0.8*0.94*33662*3</f>
        <v>75941.472000000009</v>
      </c>
      <c r="L183" s="11">
        <v>80808</v>
      </c>
      <c r="M183" s="11"/>
      <c r="N183" s="100"/>
      <c r="O183" s="11">
        <f t="shared" si="36"/>
        <v>75941.472000000009</v>
      </c>
      <c r="P183" s="11">
        <f t="shared" si="33"/>
        <v>75941.472000000009</v>
      </c>
      <c r="Q183" s="11"/>
      <c r="R183" s="11">
        <f t="shared" si="34"/>
        <v>0</v>
      </c>
      <c r="S183" s="11"/>
      <c r="T183" s="136">
        <f t="shared" si="43"/>
        <v>0</v>
      </c>
    </row>
    <row r="184" spans="1:20" ht="15.75" customHeight="1">
      <c r="A184" s="149">
        <v>38</v>
      </c>
      <c r="B184" s="273">
        <f>+E184*1.105</f>
        <v>216359</v>
      </c>
      <c r="C184" s="28" t="s">
        <v>4468</v>
      </c>
      <c r="D184" s="41"/>
      <c r="E184" s="131">
        <f>ROUNDUP(R184,-1)</f>
        <v>195800</v>
      </c>
      <c r="F184" s="21">
        <f>+E184*1.21</f>
        <v>236918</v>
      </c>
      <c r="G184" s="21"/>
      <c r="H184" s="135">
        <f>ROUNDUP(T184,-1)</f>
        <v>0</v>
      </c>
      <c r="I184" s="294">
        <v>45173</v>
      </c>
      <c r="J184" s="294"/>
      <c r="K184" s="8">
        <f>+PROVEEDORES!D32*138.13</f>
        <v>145036.5</v>
      </c>
      <c r="L184" s="11"/>
      <c r="M184" s="11"/>
      <c r="N184" s="100"/>
      <c r="O184" s="11">
        <f>MIN(K184:M184)</f>
        <v>145036.5</v>
      </c>
      <c r="P184" s="11">
        <f t="shared" si="33"/>
        <v>145036.5</v>
      </c>
      <c r="Q184" s="11">
        <v>1.35</v>
      </c>
      <c r="R184" s="11">
        <f t="shared" si="34"/>
        <v>195799.27500000002</v>
      </c>
      <c r="S184" s="11"/>
      <c r="T184" s="136">
        <f>+N184*Q184</f>
        <v>0</v>
      </c>
    </row>
    <row r="185" spans="1:20" ht="15.75" customHeight="1">
      <c r="A185" s="149">
        <v>52</v>
      </c>
      <c r="B185" s="273">
        <f t="shared" si="44"/>
        <v>0</v>
      </c>
      <c r="C185" s="28" t="s">
        <v>2213</v>
      </c>
      <c r="D185" s="41">
        <v>24660</v>
      </c>
      <c r="E185" s="131">
        <f t="shared" si="40"/>
        <v>0</v>
      </c>
      <c r="F185" s="21">
        <f t="shared" si="46"/>
        <v>0</v>
      </c>
      <c r="G185" s="21"/>
      <c r="H185" s="135">
        <f t="shared" si="42"/>
        <v>0</v>
      </c>
      <c r="I185" s="294">
        <v>43881</v>
      </c>
      <c r="J185" s="294"/>
      <c r="K185" s="8">
        <f>18266*1.35</f>
        <v>24659.100000000002</v>
      </c>
      <c r="L185" s="11"/>
      <c r="M185" s="11"/>
      <c r="N185" s="100"/>
      <c r="O185" s="11">
        <f t="shared" si="36"/>
        <v>24659.100000000002</v>
      </c>
      <c r="P185" s="11">
        <f t="shared" si="33"/>
        <v>24659.100000000002</v>
      </c>
      <c r="Q185" s="11"/>
      <c r="R185" s="11">
        <f t="shared" si="34"/>
        <v>0</v>
      </c>
      <c r="S185" s="11"/>
      <c r="T185" s="136">
        <f t="shared" si="43"/>
        <v>0</v>
      </c>
    </row>
    <row r="186" spans="1:20" ht="15.75" customHeight="1">
      <c r="A186" s="149" t="s">
        <v>2398</v>
      </c>
      <c r="B186" s="273">
        <f>ROUNDUP(+E186*1.105,-1)</f>
        <v>544320</v>
      </c>
      <c r="C186" s="28" t="s">
        <v>37122</v>
      </c>
      <c r="D186" s="41">
        <v>20190</v>
      </c>
      <c r="E186" s="131">
        <f t="shared" si="40"/>
        <v>492590</v>
      </c>
      <c r="F186" s="21">
        <f t="shared" si="46"/>
        <v>596033.9</v>
      </c>
      <c r="G186" s="21"/>
      <c r="H186" s="135">
        <f t="shared" si="42"/>
        <v>0</v>
      </c>
      <c r="I186" s="23">
        <v>45323</v>
      </c>
      <c r="J186" s="294"/>
      <c r="K186" s="8">
        <f>0.8*0.94*0.98*0.95*509842</f>
        <v>356946.50230399997</v>
      </c>
      <c r="L186" s="8"/>
      <c r="M186" s="11"/>
      <c r="N186" s="100"/>
      <c r="O186" s="11">
        <f t="shared" si="36"/>
        <v>356946.50230399997</v>
      </c>
      <c r="P186" s="11">
        <f>+O186*'AUMENTOS %'!$B$5</f>
        <v>356946.50230399997</v>
      </c>
      <c r="Q186" s="11">
        <v>1.38</v>
      </c>
      <c r="R186" s="11">
        <f t="shared" si="34"/>
        <v>492586.17317951989</v>
      </c>
      <c r="S186" s="11"/>
      <c r="T186" s="136">
        <f t="shared" si="43"/>
        <v>0</v>
      </c>
    </row>
    <row r="187" spans="1:20" ht="15.75" customHeight="1">
      <c r="A187" s="149" t="s">
        <v>2398</v>
      </c>
      <c r="B187" s="273">
        <f t="shared" ref="B187:B219" si="47">ROUNDUP(+E187*1.105,-1)</f>
        <v>433560</v>
      </c>
      <c r="C187" s="36" t="s">
        <v>37125</v>
      </c>
      <c r="D187" s="41">
        <v>17900</v>
      </c>
      <c r="E187" s="131">
        <f t="shared" si="40"/>
        <v>392360</v>
      </c>
      <c r="F187" s="21">
        <f t="shared" si="46"/>
        <v>474755.6</v>
      </c>
      <c r="G187" s="21"/>
      <c r="H187" s="135">
        <f t="shared" si="42"/>
        <v>0</v>
      </c>
      <c r="I187" s="23">
        <v>45323</v>
      </c>
      <c r="J187" s="294"/>
      <c r="K187" s="11">
        <f>0.8*0.98*0.94*0.95*406096</f>
        <v>284312.68275199999</v>
      </c>
      <c r="L187" s="11"/>
      <c r="M187" s="11"/>
      <c r="N187" s="100"/>
      <c r="O187" s="11">
        <f t="shared" si="36"/>
        <v>284312.68275199999</v>
      </c>
      <c r="P187" s="11">
        <f>+O187*'AUMENTOS %'!$B$5</f>
        <v>284312.68275199999</v>
      </c>
      <c r="Q187" s="11">
        <v>1.38</v>
      </c>
      <c r="R187" s="11">
        <f t="shared" si="34"/>
        <v>392351.50219775998</v>
      </c>
      <c r="S187" s="11"/>
      <c r="T187" s="136">
        <f t="shared" si="43"/>
        <v>0</v>
      </c>
    </row>
    <row r="188" spans="1:20" ht="15.75" customHeight="1">
      <c r="A188" s="149" t="s">
        <v>2398</v>
      </c>
      <c r="B188" s="273">
        <f t="shared" si="47"/>
        <v>474370</v>
      </c>
      <c r="C188" s="36" t="s">
        <v>37123</v>
      </c>
      <c r="D188" s="41"/>
      <c r="E188" s="131">
        <f t="shared" si="40"/>
        <v>429290</v>
      </c>
      <c r="F188" s="21">
        <f t="shared" si="46"/>
        <v>519440.89999999997</v>
      </c>
      <c r="G188" s="21"/>
      <c r="H188" s="135">
        <f t="shared" si="42"/>
        <v>0</v>
      </c>
      <c r="I188" s="23">
        <v>45323</v>
      </c>
      <c r="J188" s="294"/>
      <c r="K188" s="10">
        <f>0.8*0.98*0.94*0.95*444320</f>
        <v>311073.76383999997</v>
      </c>
      <c r="L188" s="10"/>
      <c r="M188" s="11"/>
      <c r="N188" s="100"/>
      <c r="O188" s="11">
        <f t="shared" si="36"/>
        <v>311073.76383999997</v>
      </c>
      <c r="P188" s="11">
        <f>+O188*'AUMENTOS %'!$B$5</f>
        <v>311073.76383999997</v>
      </c>
      <c r="Q188" s="11">
        <v>1.38</v>
      </c>
      <c r="R188" s="11">
        <f t="shared" si="34"/>
        <v>429281.79409919993</v>
      </c>
      <c r="S188" s="11"/>
      <c r="T188" s="136">
        <f t="shared" si="43"/>
        <v>0</v>
      </c>
    </row>
    <row r="189" spans="1:20" ht="15.75" customHeight="1">
      <c r="A189" s="149" t="s">
        <v>2398</v>
      </c>
      <c r="B189" s="273">
        <f t="shared" si="47"/>
        <v>535020</v>
      </c>
      <c r="C189" s="28" t="s">
        <v>37124</v>
      </c>
      <c r="D189" s="41">
        <v>24190</v>
      </c>
      <c r="E189" s="131">
        <f t="shared" si="40"/>
        <v>484180</v>
      </c>
      <c r="F189" s="21">
        <f t="shared" si="46"/>
        <v>585857.79999999993</v>
      </c>
      <c r="G189" s="21"/>
      <c r="H189" s="135">
        <f t="shared" si="42"/>
        <v>0</v>
      </c>
      <c r="I189" s="23">
        <v>45323</v>
      </c>
      <c r="J189" s="294"/>
      <c r="K189" s="10">
        <f>0.8*0.98*0.94*0.95*501141</f>
        <v>350854.82779199997</v>
      </c>
      <c r="L189" s="10"/>
      <c r="M189" s="11"/>
      <c r="N189" s="100"/>
      <c r="O189" s="11">
        <f t="shared" si="36"/>
        <v>350854.82779199997</v>
      </c>
      <c r="P189" s="11">
        <f>+O189*'AUMENTOS %'!$B$5</f>
        <v>350854.82779199997</v>
      </c>
      <c r="Q189" s="11">
        <v>1.38</v>
      </c>
      <c r="R189" s="11">
        <f t="shared" si="34"/>
        <v>484179.66235295992</v>
      </c>
      <c r="S189" s="11"/>
      <c r="T189" s="136">
        <f t="shared" si="43"/>
        <v>0</v>
      </c>
    </row>
    <row r="190" spans="1:20" ht="15.75" customHeight="1">
      <c r="A190" s="149" t="s">
        <v>2398</v>
      </c>
      <c r="B190" s="273">
        <f t="shared" si="47"/>
        <v>417960</v>
      </c>
      <c r="C190" s="36" t="s">
        <v>37126</v>
      </c>
      <c r="D190" s="41">
        <v>17900</v>
      </c>
      <c r="E190" s="131">
        <f t="shared" si="40"/>
        <v>378240</v>
      </c>
      <c r="F190" s="21">
        <f t="shared" si="46"/>
        <v>457670.39999999997</v>
      </c>
      <c r="G190" s="21"/>
      <c r="H190" s="135">
        <f t="shared" si="42"/>
        <v>0</v>
      </c>
      <c r="I190" s="23">
        <v>45323</v>
      </c>
      <c r="J190" s="294"/>
      <c r="K190" s="8">
        <f>0.8*0.94*0.98*0.95*391487</f>
        <v>274084.74654399999</v>
      </c>
      <c r="L190" s="11"/>
      <c r="M190" s="11"/>
      <c r="N190" s="100"/>
      <c r="O190" s="11">
        <f t="shared" si="36"/>
        <v>274084.74654399999</v>
      </c>
      <c r="P190" s="11">
        <f>+O190*'AUMENTOS %'!$B$5</f>
        <v>274084.74654399999</v>
      </c>
      <c r="Q190" s="11">
        <v>1.38</v>
      </c>
      <c r="R190" s="11">
        <f t="shared" si="34"/>
        <v>378236.95023071999</v>
      </c>
      <c r="S190" s="11"/>
      <c r="T190" s="136">
        <f t="shared" si="43"/>
        <v>0</v>
      </c>
    </row>
    <row r="191" spans="1:20" ht="15.75" customHeight="1">
      <c r="A191" s="149" t="s">
        <v>2398</v>
      </c>
      <c r="B191" s="273">
        <f>ROUNDUP(+E191*1.105,-1)</f>
        <v>743260</v>
      </c>
      <c r="C191" s="36" t="s">
        <v>37264</v>
      </c>
      <c r="D191" s="41">
        <v>17900</v>
      </c>
      <c r="E191" s="131">
        <f>ROUNDUP(R191,-1)</f>
        <v>672630</v>
      </c>
      <c r="F191" s="21">
        <f>+E191*1.21</f>
        <v>813882.29999999993</v>
      </c>
      <c r="G191" s="21"/>
      <c r="H191" s="135">
        <f>ROUNDUP(T191,-1)</f>
        <v>0</v>
      </c>
      <c r="I191" s="23">
        <v>45323</v>
      </c>
      <c r="J191" s="294"/>
      <c r="K191" s="8">
        <f>0.8*0.94*0.98*0.95*696190</f>
        <v>487410.97327999998</v>
      </c>
      <c r="L191" s="11">
        <v>672630</v>
      </c>
      <c r="M191" s="11"/>
      <c r="N191" s="100"/>
      <c r="O191" s="11">
        <f>MIN(K191:M191)</f>
        <v>487410.97327999998</v>
      </c>
      <c r="P191" s="11">
        <f>+O191*'AUMENTOS %'!$B$5</f>
        <v>487410.97327999998</v>
      </c>
      <c r="Q191" s="11">
        <v>1.38</v>
      </c>
      <c r="R191" s="11">
        <f>+P191*Q191</f>
        <v>672627.14312639995</v>
      </c>
      <c r="S191" s="11"/>
      <c r="T191" s="136">
        <f>+N191*Q191</f>
        <v>0</v>
      </c>
    </row>
    <row r="192" spans="1:20" ht="15.75" customHeight="1">
      <c r="A192" s="149" t="s">
        <v>2398</v>
      </c>
      <c r="B192" s="273">
        <f t="shared" si="47"/>
        <v>166040</v>
      </c>
      <c r="C192" s="36" t="s">
        <v>37127</v>
      </c>
      <c r="D192" s="41">
        <v>7510</v>
      </c>
      <c r="E192" s="131">
        <f t="shared" si="40"/>
        <v>150260</v>
      </c>
      <c r="F192" s="21">
        <f t="shared" si="46"/>
        <v>181814.6</v>
      </c>
      <c r="G192" s="21"/>
      <c r="H192" s="135">
        <f t="shared" si="42"/>
        <v>0</v>
      </c>
      <c r="I192" s="23">
        <v>45323</v>
      </c>
      <c r="J192" s="294"/>
      <c r="K192" s="10">
        <f>0.8*0.98*0.94*0.95*155519</f>
        <v>108880.71812799999</v>
      </c>
      <c r="L192" s="11"/>
      <c r="M192" s="10"/>
      <c r="N192" s="100"/>
      <c r="O192" s="11">
        <f t="shared" si="36"/>
        <v>108880.71812799999</v>
      </c>
      <c r="P192" s="11">
        <f>+O192*'AUMENTOS %'!$B$5</f>
        <v>108880.71812799999</v>
      </c>
      <c r="Q192" s="11">
        <v>1.38</v>
      </c>
      <c r="R192" s="11">
        <f t="shared" si="34"/>
        <v>150255.39101663997</v>
      </c>
      <c r="S192" s="11"/>
      <c r="T192" s="136">
        <f t="shared" si="43"/>
        <v>0</v>
      </c>
    </row>
    <row r="193" spans="1:20" ht="15.75" customHeight="1">
      <c r="A193" s="149" t="s">
        <v>2398</v>
      </c>
      <c r="B193" s="273">
        <f t="shared" si="47"/>
        <v>378480</v>
      </c>
      <c r="C193" s="36" t="s">
        <v>37128</v>
      </c>
      <c r="D193" s="41"/>
      <c r="E193" s="131">
        <f t="shared" si="40"/>
        <v>342510</v>
      </c>
      <c r="F193" s="21">
        <f t="shared" si="46"/>
        <v>414437.1</v>
      </c>
      <c r="G193" s="21"/>
      <c r="H193" s="135">
        <f t="shared" si="42"/>
        <v>0</v>
      </c>
      <c r="I193" s="23">
        <v>45323</v>
      </c>
      <c r="J193" s="294"/>
      <c r="K193" s="11">
        <f>0.8*0.98*0.94*0.95*354505</f>
        <v>248193.20455999998</v>
      </c>
      <c r="L193" s="11"/>
      <c r="M193" s="11"/>
      <c r="N193" s="100"/>
      <c r="O193" s="11">
        <f t="shared" si="36"/>
        <v>248193.20455999998</v>
      </c>
      <c r="P193" s="11">
        <f>+O193*'AUMENTOS %'!$B$5</f>
        <v>248193.20455999998</v>
      </c>
      <c r="Q193" s="11">
        <v>1.38</v>
      </c>
      <c r="R193" s="11">
        <f t="shared" si="34"/>
        <v>342506.62229279993</v>
      </c>
      <c r="S193" s="11"/>
      <c r="T193" s="136">
        <f t="shared" si="43"/>
        <v>0</v>
      </c>
    </row>
    <row r="194" spans="1:20" ht="15.75" customHeight="1">
      <c r="A194" s="149" t="s">
        <v>2415</v>
      </c>
      <c r="B194" s="273">
        <f t="shared" si="47"/>
        <v>473760</v>
      </c>
      <c r="C194" s="28" t="s">
        <v>37129</v>
      </c>
      <c r="D194" s="41"/>
      <c r="E194" s="131">
        <f t="shared" si="40"/>
        <v>428740</v>
      </c>
      <c r="F194" s="21">
        <f t="shared" si="46"/>
        <v>518775.39999999997</v>
      </c>
      <c r="G194" s="21"/>
      <c r="H194" s="135">
        <f t="shared" si="42"/>
        <v>0</v>
      </c>
      <c r="I194" s="23">
        <v>45323</v>
      </c>
      <c r="J194" s="294"/>
      <c r="K194" s="10">
        <f>0.8*0.98*0.94*0.95*443750</f>
        <v>310674.69999999995</v>
      </c>
      <c r="L194" s="11"/>
      <c r="M194" s="11"/>
      <c r="N194" s="100"/>
      <c r="O194" s="11">
        <f t="shared" si="36"/>
        <v>310674.69999999995</v>
      </c>
      <c r="P194" s="11">
        <f>+O194*'AUMENTOS %'!$B$6</f>
        <v>310674.69999999995</v>
      </c>
      <c r="Q194" s="11">
        <v>1.38</v>
      </c>
      <c r="R194" s="11">
        <f t="shared" si="34"/>
        <v>428731.08599999989</v>
      </c>
      <c r="S194" s="11"/>
      <c r="T194" s="136">
        <f t="shared" si="43"/>
        <v>0</v>
      </c>
    </row>
    <row r="195" spans="1:20" ht="15.75" customHeight="1">
      <c r="A195" s="149" t="s">
        <v>2398</v>
      </c>
      <c r="B195" s="273">
        <f t="shared" si="47"/>
        <v>0</v>
      </c>
      <c r="C195" s="28" t="s">
        <v>1252</v>
      </c>
      <c r="D195" s="41">
        <v>18510</v>
      </c>
      <c r="E195" s="131">
        <f t="shared" si="40"/>
        <v>0</v>
      </c>
      <c r="F195" s="21">
        <f t="shared" si="46"/>
        <v>0</v>
      </c>
      <c r="G195" s="21"/>
      <c r="H195" s="135">
        <f t="shared" si="42"/>
        <v>0</v>
      </c>
      <c r="I195" s="23">
        <v>45275</v>
      </c>
      <c r="J195" s="294"/>
      <c r="K195" s="10">
        <f>0.8*0.98*0.94*0.95*28489*1.12*1.1*1.15*1.15*1.2*1.15*1.3</f>
        <v>58300.671110503252</v>
      </c>
      <c r="L195" s="10"/>
      <c r="M195" s="11"/>
      <c r="N195" s="100"/>
      <c r="O195" s="11">
        <f t="shared" si="36"/>
        <v>58300.671110503252</v>
      </c>
      <c r="P195" s="11">
        <f>+O195*'AUMENTOS %'!$B$5</f>
        <v>58300.671110503252</v>
      </c>
      <c r="Q195" s="11"/>
      <c r="R195" s="11">
        <f t="shared" si="34"/>
        <v>0</v>
      </c>
      <c r="S195" s="11"/>
      <c r="T195" s="136">
        <f t="shared" si="43"/>
        <v>0</v>
      </c>
    </row>
    <row r="196" spans="1:20" ht="15.75" customHeight="1">
      <c r="A196" s="149" t="s">
        <v>2398</v>
      </c>
      <c r="B196" s="273">
        <f t="shared" si="47"/>
        <v>187250</v>
      </c>
      <c r="C196" s="28" t="s">
        <v>44199</v>
      </c>
      <c r="D196" s="41">
        <v>7510</v>
      </c>
      <c r="E196" s="131">
        <f t="shared" si="40"/>
        <v>169450</v>
      </c>
      <c r="F196" s="21">
        <f t="shared" si="46"/>
        <v>205034.5</v>
      </c>
      <c r="G196" s="21"/>
      <c r="H196" s="135">
        <f t="shared" si="42"/>
        <v>0</v>
      </c>
      <c r="I196" s="23">
        <v>45323</v>
      </c>
      <c r="J196" s="294"/>
      <c r="K196" s="10">
        <f>0.8*0.98*0.94*0.95*175377</f>
        <v>122783.54222399999</v>
      </c>
      <c r="L196" s="11"/>
      <c r="M196" s="11"/>
      <c r="N196" s="100"/>
      <c r="O196" s="11">
        <f t="shared" si="36"/>
        <v>122783.54222399999</v>
      </c>
      <c r="P196" s="11">
        <f>+O196*'AUMENTOS %'!$B$5</f>
        <v>122783.54222399999</v>
      </c>
      <c r="Q196" s="11">
        <v>1.38</v>
      </c>
      <c r="R196" s="11">
        <f t="shared" si="34"/>
        <v>169441.28826911998</v>
      </c>
      <c r="S196" s="11"/>
      <c r="T196" s="136">
        <f t="shared" si="43"/>
        <v>0</v>
      </c>
    </row>
    <row r="197" spans="1:20" ht="15.75" customHeight="1">
      <c r="A197" s="149" t="s">
        <v>2398</v>
      </c>
      <c r="B197" s="273">
        <f>ROUNDUP(+E197*1.105,-1)</f>
        <v>595210</v>
      </c>
      <c r="C197" s="36" t="s">
        <v>44132</v>
      </c>
      <c r="D197" s="41">
        <v>17900</v>
      </c>
      <c r="E197" s="131">
        <f>ROUNDUP(R197,-1)</f>
        <v>538650</v>
      </c>
      <c r="F197" s="21">
        <f>+E197*1.21</f>
        <v>651766.5</v>
      </c>
      <c r="G197" s="21"/>
      <c r="H197" s="135">
        <f>ROUNDUP(T197,-1)</f>
        <v>0</v>
      </c>
      <c r="I197" s="23">
        <v>45323</v>
      </c>
      <c r="J197" s="294"/>
      <c r="K197" s="8">
        <f>0.8*0.94*0.98*0.95*557517</f>
        <v>390324.34190399997</v>
      </c>
      <c r="L197" s="11"/>
      <c r="M197" s="11"/>
      <c r="N197" s="100"/>
      <c r="O197" s="11">
        <f>MIN(K197:M197)</f>
        <v>390324.34190399997</v>
      </c>
      <c r="P197" s="11">
        <f>+O197*'AUMENTOS %'!$B$5</f>
        <v>390324.34190399997</v>
      </c>
      <c r="Q197" s="11">
        <v>1.38</v>
      </c>
      <c r="R197" s="11">
        <f>+P197*Q197</f>
        <v>538647.59182751994</v>
      </c>
      <c r="S197" s="11"/>
      <c r="T197" s="136">
        <f>+N197*Q197</f>
        <v>0</v>
      </c>
    </row>
    <row r="198" spans="1:20" ht="15.75" customHeight="1">
      <c r="A198" s="149">
        <v>38</v>
      </c>
      <c r="B198" s="273">
        <f>ROUNDUP(+E198*1.105,-1)</f>
        <v>456540</v>
      </c>
      <c r="C198" s="28" t="s">
        <v>37221</v>
      </c>
      <c r="D198" s="41">
        <v>16890</v>
      </c>
      <c r="E198" s="131">
        <f>ROUNDUP(R198,-1)</f>
        <v>413150</v>
      </c>
      <c r="F198" s="21">
        <f>+E198*1.21</f>
        <v>499911.5</v>
      </c>
      <c r="G198" s="21"/>
      <c r="H198" s="135">
        <f>ROUNDUP(T198,-1)</f>
        <v>388360</v>
      </c>
      <c r="I198" s="294">
        <v>45173</v>
      </c>
      <c r="J198" s="294">
        <v>45274</v>
      </c>
      <c r="K198" s="10">
        <f>+PROVEEDORES!$D$32*291.46</f>
        <v>306033</v>
      </c>
      <c r="L198" s="11"/>
      <c r="M198" s="11"/>
      <c r="N198" s="100">
        <f>+K198*0.94</f>
        <v>287671.01999999996</v>
      </c>
      <c r="O198" s="11">
        <f>MIN(K198:M198)*'AUMENTOS %'!$B$10</f>
        <v>306033</v>
      </c>
      <c r="P198" s="11">
        <f>+O198</f>
        <v>306033</v>
      </c>
      <c r="Q198" s="11">
        <v>1.35</v>
      </c>
      <c r="R198" s="11">
        <f>+P198*Q198</f>
        <v>413144.55000000005</v>
      </c>
      <c r="S198" s="11"/>
      <c r="T198" s="136">
        <f t="shared" si="43"/>
        <v>388355.87699999998</v>
      </c>
    </row>
    <row r="199" spans="1:20" ht="15.75" customHeight="1">
      <c r="A199" s="149">
        <v>38</v>
      </c>
      <c r="B199" s="273">
        <f>ROUNDUP(+E199*1.105,-1)</f>
        <v>197110</v>
      </c>
      <c r="C199" s="28" t="s">
        <v>37220</v>
      </c>
      <c r="D199" s="41">
        <v>16890</v>
      </c>
      <c r="E199" s="131">
        <f>ROUNDUP(R199,-1)</f>
        <v>178380</v>
      </c>
      <c r="F199" s="21">
        <f>+E199*1.21</f>
        <v>215839.8</v>
      </c>
      <c r="G199" s="21"/>
      <c r="H199" s="135">
        <f>ROUNDUP(T199,-1)</f>
        <v>167680</v>
      </c>
      <c r="I199" s="294">
        <v>45173</v>
      </c>
      <c r="J199" s="294">
        <v>45274</v>
      </c>
      <c r="K199" s="10">
        <f>+PROVEEDORES!$D$32*125.84</f>
        <v>132132</v>
      </c>
      <c r="L199" s="11"/>
      <c r="M199" s="11"/>
      <c r="N199" s="100">
        <f>+K199*0.94</f>
        <v>124204.07999999999</v>
      </c>
      <c r="O199" s="11">
        <f>MIN(K199:M199)*'AUMENTOS %'!$B$10</f>
        <v>132132</v>
      </c>
      <c r="P199" s="11">
        <f>+O199</f>
        <v>132132</v>
      </c>
      <c r="Q199" s="11">
        <v>1.35</v>
      </c>
      <c r="R199" s="11">
        <f>+P199*Q199</f>
        <v>178378.2</v>
      </c>
      <c r="S199" s="11"/>
      <c r="T199" s="136">
        <f>+N199*Q199</f>
        <v>167675.508</v>
      </c>
    </row>
    <row r="200" spans="1:20" ht="15.75" customHeight="1">
      <c r="A200" s="149" t="s">
        <v>2387</v>
      </c>
      <c r="B200" s="273">
        <f t="shared" si="47"/>
        <v>363880</v>
      </c>
      <c r="C200" s="291" t="s">
        <v>1253</v>
      </c>
      <c r="D200" s="41">
        <v>20790</v>
      </c>
      <c r="E200" s="131">
        <f t="shared" si="40"/>
        <v>329300</v>
      </c>
      <c r="F200" s="21">
        <f t="shared" si="46"/>
        <v>398453</v>
      </c>
      <c r="G200" s="21"/>
      <c r="H200" s="135">
        <f t="shared" si="42"/>
        <v>0</v>
      </c>
      <c r="I200" s="294">
        <v>45329</v>
      </c>
      <c r="J200" s="294"/>
      <c r="K200" s="10">
        <f>+'AUMENTOS %'!$D$12*0.5*487850</f>
        <v>243925</v>
      </c>
      <c r="L200" s="69">
        <f>+'AUMENTOS %'!$C$12*243511*2</f>
        <v>487022</v>
      </c>
      <c r="M200" s="11"/>
      <c r="N200" s="100"/>
      <c r="O200" s="11">
        <f t="shared" si="36"/>
        <v>243925</v>
      </c>
      <c r="P200" s="11">
        <f>+O200*'AUMENTOS %'!$D$12</f>
        <v>243925</v>
      </c>
      <c r="Q200" s="11">
        <v>1.35</v>
      </c>
      <c r="R200" s="11">
        <f t="shared" ref="R200:R264" si="48">+P200*Q200</f>
        <v>329298.75</v>
      </c>
      <c r="S200" s="11"/>
      <c r="T200" s="136">
        <f t="shared" si="43"/>
        <v>0</v>
      </c>
    </row>
    <row r="201" spans="1:20" ht="15.75" customHeight="1">
      <c r="A201" s="149" t="s">
        <v>2387</v>
      </c>
      <c r="B201" s="273">
        <f t="shared" si="47"/>
        <v>1058320</v>
      </c>
      <c r="C201" s="28" t="s">
        <v>1254</v>
      </c>
      <c r="D201" s="41">
        <v>30500</v>
      </c>
      <c r="E201" s="131">
        <f t="shared" si="40"/>
        <v>957750</v>
      </c>
      <c r="F201" s="21">
        <f t="shared" si="46"/>
        <v>1158877.5</v>
      </c>
      <c r="G201" s="21"/>
      <c r="H201" s="135">
        <f t="shared" si="42"/>
        <v>0</v>
      </c>
      <c r="I201" s="294">
        <v>45173</v>
      </c>
      <c r="J201" s="294"/>
      <c r="K201" s="11"/>
      <c r="L201" s="69">
        <f>+'AUMENTOS %'!$C$12*709438</f>
        <v>709438</v>
      </c>
      <c r="M201" s="10"/>
      <c r="N201" s="100"/>
      <c r="O201" s="11">
        <f t="shared" si="36"/>
        <v>709438</v>
      </c>
      <c r="P201" s="11">
        <f>+O201*'AUMENTOS %'!$D$12</f>
        <v>709438</v>
      </c>
      <c r="Q201" s="11">
        <v>1.35</v>
      </c>
      <c r="R201" s="11">
        <f t="shared" si="48"/>
        <v>957741.3</v>
      </c>
      <c r="S201" s="11"/>
      <c r="T201" s="136">
        <f t="shared" si="43"/>
        <v>0</v>
      </c>
    </row>
    <row r="202" spans="1:20" ht="15.75" customHeight="1">
      <c r="A202" s="149" t="s">
        <v>2387</v>
      </c>
      <c r="B202" s="273">
        <f t="shared" si="47"/>
        <v>266880</v>
      </c>
      <c r="C202" s="28" t="s">
        <v>1255</v>
      </c>
      <c r="D202" s="41"/>
      <c r="E202" s="131">
        <f t="shared" si="40"/>
        <v>241520</v>
      </c>
      <c r="F202" s="21">
        <f t="shared" si="46"/>
        <v>292239.2</v>
      </c>
      <c r="G202" s="21"/>
      <c r="H202" s="135">
        <f t="shared" si="42"/>
        <v>0</v>
      </c>
      <c r="I202" s="294">
        <v>45173</v>
      </c>
      <c r="J202" s="294">
        <v>45205</v>
      </c>
      <c r="K202" s="10"/>
      <c r="L202" s="69">
        <v>178901</v>
      </c>
      <c r="M202" s="11"/>
      <c r="N202" s="100"/>
      <c r="O202" s="11">
        <f t="shared" si="36"/>
        <v>178901</v>
      </c>
      <c r="P202" s="11">
        <f>+O202*'AUMENTOS %'!$D$12</f>
        <v>178901</v>
      </c>
      <c r="Q202" s="11">
        <v>1.35</v>
      </c>
      <c r="R202" s="11">
        <f t="shared" si="48"/>
        <v>241516.35</v>
      </c>
      <c r="S202" s="11"/>
      <c r="T202" s="136">
        <f t="shared" si="43"/>
        <v>0</v>
      </c>
    </row>
    <row r="203" spans="1:20" ht="15.75" customHeight="1">
      <c r="A203" s="149" t="s">
        <v>2387</v>
      </c>
      <c r="B203" s="273">
        <f t="shared" si="47"/>
        <v>338940</v>
      </c>
      <c r="C203" s="291" t="s">
        <v>3399</v>
      </c>
      <c r="D203" s="41">
        <v>20890</v>
      </c>
      <c r="E203" s="131">
        <f t="shared" si="40"/>
        <v>306730</v>
      </c>
      <c r="F203" s="21">
        <f t="shared" si="46"/>
        <v>371143.3</v>
      </c>
      <c r="G203" s="21"/>
      <c r="H203" s="135">
        <f t="shared" si="42"/>
        <v>0</v>
      </c>
      <c r="I203" s="294">
        <v>45173</v>
      </c>
      <c r="J203" s="294">
        <v>45175</v>
      </c>
      <c r="K203" s="10">
        <f>+'AUMENTOS %'!$D$12*0.5*218880*3</f>
        <v>328320</v>
      </c>
      <c r="L203" s="69">
        <v>219087</v>
      </c>
      <c r="M203" s="11"/>
      <c r="N203" s="100"/>
      <c r="O203" s="11">
        <f t="shared" si="36"/>
        <v>219087</v>
      </c>
      <c r="P203" s="11">
        <f>+O203*'AUMENTOS %'!$D$12</f>
        <v>219087</v>
      </c>
      <c r="Q203" s="11">
        <v>1.4</v>
      </c>
      <c r="R203" s="11">
        <f t="shared" si="48"/>
        <v>306721.8</v>
      </c>
      <c r="S203" s="11"/>
      <c r="T203" s="136">
        <f t="shared" si="43"/>
        <v>0</v>
      </c>
    </row>
    <row r="204" spans="1:20" ht="15.75" customHeight="1">
      <c r="A204" s="149" t="s">
        <v>2387</v>
      </c>
      <c r="B204" s="273">
        <f t="shared" si="47"/>
        <v>296690</v>
      </c>
      <c r="C204" s="28" t="s">
        <v>3400</v>
      </c>
      <c r="D204" s="41">
        <v>18460</v>
      </c>
      <c r="E204" s="131">
        <f t="shared" si="40"/>
        <v>268490</v>
      </c>
      <c r="F204" s="21">
        <f t="shared" si="46"/>
        <v>324872.89999999997</v>
      </c>
      <c r="G204" s="21"/>
      <c r="H204" s="135">
        <f t="shared" si="42"/>
        <v>0</v>
      </c>
      <c r="I204" s="294">
        <v>45329</v>
      </c>
      <c r="J204" s="40"/>
      <c r="K204" s="10">
        <f>+'AUMENTOS %'!$D$12*0.5*397760</f>
        <v>198880</v>
      </c>
      <c r="L204" s="69">
        <f>+'AUMENTOS %'!$C$12*76806*3</f>
        <v>230418</v>
      </c>
      <c r="M204" s="10"/>
      <c r="N204" s="100"/>
      <c r="O204" s="11">
        <f t="shared" si="36"/>
        <v>198880</v>
      </c>
      <c r="P204" s="11">
        <f>+O204*'AUMENTOS %'!$D$12</f>
        <v>198880</v>
      </c>
      <c r="Q204" s="11">
        <v>1.35</v>
      </c>
      <c r="R204" s="11">
        <f t="shared" si="48"/>
        <v>268488</v>
      </c>
      <c r="S204" s="11"/>
      <c r="T204" s="136">
        <f t="shared" si="43"/>
        <v>0</v>
      </c>
    </row>
    <row r="205" spans="1:20" ht="15.75" customHeight="1">
      <c r="A205" s="149" t="s">
        <v>2387</v>
      </c>
      <c r="B205" s="273">
        <f t="shared" si="47"/>
        <v>400560</v>
      </c>
      <c r="C205" s="291" t="s">
        <v>3401</v>
      </c>
      <c r="D205" s="41">
        <v>24800</v>
      </c>
      <c r="E205" s="131">
        <f t="shared" si="40"/>
        <v>362490</v>
      </c>
      <c r="F205" s="21">
        <f t="shared" si="46"/>
        <v>438612.89999999997</v>
      </c>
      <c r="G205" s="21"/>
      <c r="H205" s="135">
        <f t="shared" si="42"/>
        <v>0</v>
      </c>
      <c r="I205" s="294">
        <v>45329</v>
      </c>
      <c r="J205" s="40"/>
      <c r="K205" s="10">
        <f>+'AUMENTOS %'!$D$12*0.5*537020</f>
        <v>268510</v>
      </c>
      <c r="L205" s="69">
        <f>+'AUMENTOS %'!$C$12*103586*3</f>
        <v>310758</v>
      </c>
      <c r="M205" s="11"/>
      <c r="N205" s="100"/>
      <c r="O205" s="11">
        <f t="shared" si="36"/>
        <v>268510</v>
      </c>
      <c r="P205" s="11">
        <f>+O205*'AUMENTOS %'!$D$12</f>
        <v>268510</v>
      </c>
      <c r="Q205" s="11">
        <v>1.35</v>
      </c>
      <c r="R205" s="11">
        <f t="shared" si="48"/>
        <v>362488.5</v>
      </c>
      <c r="S205" s="11"/>
      <c r="T205" s="136">
        <f t="shared" si="43"/>
        <v>0</v>
      </c>
    </row>
    <row r="206" spans="1:20" ht="15.75" customHeight="1">
      <c r="A206" s="149">
        <v>109</v>
      </c>
      <c r="B206" s="273"/>
      <c r="C206" s="28" t="s">
        <v>44238</v>
      </c>
      <c r="D206" s="41">
        <v>10350</v>
      </c>
      <c r="E206" s="131">
        <f t="shared" si="40"/>
        <v>104030</v>
      </c>
      <c r="F206" s="21">
        <f t="shared" si="46"/>
        <v>125876.3</v>
      </c>
      <c r="G206" s="21"/>
      <c r="H206" s="135">
        <f t="shared" si="42"/>
        <v>0</v>
      </c>
      <c r="I206" s="294">
        <v>45313</v>
      </c>
      <c r="J206" s="294"/>
      <c r="K206" s="11">
        <f>1.038*62637</f>
        <v>65017.206000000006</v>
      </c>
      <c r="L206" s="11"/>
      <c r="M206" s="10"/>
      <c r="N206" s="100"/>
      <c r="O206" s="11">
        <f t="shared" si="36"/>
        <v>65017.206000000006</v>
      </c>
      <c r="P206" s="11">
        <f>+O206</f>
        <v>65017.206000000006</v>
      </c>
      <c r="Q206" s="11">
        <v>1.6</v>
      </c>
      <c r="R206" s="11">
        <f t="shared" si="48"/>
        <v>104027.52960000001</v>
      </c>
      <c r="S206" s="11"/>
      <c r="T206" s="136">
        <f t="shared" si="43"/>
        <v>0</v>
      </c>
    </row>
    <row r="207" spans="1:20" ht="15.75" customHeight="1">
      <c r="A207" s="149">
        <v>12</v>
      </c>
      <c r="B207" s="273">
        <f>+E207*1.105</f>
        <v>242602.75</v>
      </c>
      <c r="C207" s="28" t="s">
        <v>44336</v>
      </c>
      <c r="D207" s="41"/>
      <c r="E207" s="131">
        <f t="shared" si="40"/>
        <v>219550</v>
      </c>
      <c r="F207" s="21">
        <f t="shared" si="46"/>
        <v>265655.5</v>
      </c>
      <c r="G207" s="21"/>
      <c r="H207" s="135">
        <f t="shared" si="42"/>
        <v>186600</v>
      </c>
      <c r="I207" s="294">
        <v>45295</v>
      </c>
      <c r="J207" s="40">
        <v>45338</v>
      </c>
      <c r="K207" s="10">
        <v>156820</v>
      </c>
      <c r="L207" s="11"/>
      <c r="M207" s="11"/>
      <c r="N207" s="100">
        <v>133280</v>
      </c>
      <c r="O207" s="11">
        <f t="shared" si="36"/>
        <v>156820</v>
      </c>
      <c r="P207" s="11">
        <f t="shared" ref="P207:P264" si="49">+O207</f>
        <v>156820</v>
      </c>
      <c r="Q207" s="11">
        <v>1.4</v>
      </c>
      <c r="R207" s="11">
        <f t="shared" si="48"/>
        <v>219548</v>
      </c>
      <c r="S207" s="11"/>
      <c r="T207" s="136">
        <f t="shared" si="43"/>
        <v>186592</v>
      </c>
    </row>
    <row r="208" spans="1:20" ht="15.75" customHeight="1">
      <c r="A208" s="149">
        <v>38</v>
      </c>
      <c r="B208" s="273">
        <f t="shared" si="47"/>
        <v>22580</v>
      </c>
      <c r="C208" s="28" t="s">
        <v>4365</v>
      </c>
      <c r="D208" s="41">
        <v>5580</v>
      </c>
      <c r="E208" s="131">
        <f t="shared" si="40"/>
        <v>20430</v>
      </c>
      <c r="F208" s="21">
        <f t="shared" si="46"/>
        <v>24720.3</v>
      </c>
      <c r="G208" s="21"/>
      <c r="H208" s="135">
        <f t="shared" si="42"/>
        <v>0</v>
      </c>
      <c r="I208" s="294">
        <v>45138</v>
      </c>
      <c r="J208" s="294"/>
      <c r="K208" s="10">
        <f>+'AUMENTOS %'!$B$10*15130</f>
        <v>15130</v>
      </c>
      <c r="L208" s="11"/>
      <c r="M208" s="11"/>
      <c r="N208" s="100"/>
      <c r="O208" s="11">
        <f>MIN(K208:M208)*'AUMENTOS %'!$B$10</f>
        <v>15130</v>
      </c>
      <c r="P208" s="11">
        <f t="shared" si="49"/>
        <v>15130</v>
      </c>
      <c r="Q208" s="11">
        <v>1.35</v>
      </c>
      <c r="R208" s="11">
        <f t="shared" si="48"/>
        <v>20425.5</v>
      </c>
      <c r="S208" s="11"/>
      <c r="T208" s="136">
        <f t="shared" ref="T208:T240" si="50">+N208*Q208</f>
        <v>0</v>
      </c>
    </row>
    <row r="209" spans="1:20" ht="15.75" customHeight="1">
      <c r="A209" s="149">
        <v>38</v>
      </c>
      <c r="B209" s="273">
        <f t="shared" si="47"/>
        <v>37590</v>
      </c>
      <c r="C209" s="28" t="s">
        <v>1256</v>
      </c>
      <c r="D209" s="41">
        <v>6540</v>
      </c>
      <c r="E209" s="131">
        <f t="shared" si="40"/>
        <v>34010</v>
      </c>
      <c r="F209" s="21">
        <f t="shared" si="46"/>
        <v>41152.1</v>
      </c>
      <c r="G209" s="21"/>
      <c r="H209" s="135">
        <f t="shared" si="42"/>
        <v>0</v>
      </c>
      <c r="I209" s="294">
        <v>45138</v>
      </c>
      <c r="J209" s="294"/>
      <c r="K209" s="10">
        <f>+'AUMENTOS %'!$B$10*25186</f>
        <v>25186</v>
      </c>
      <c r="L209" s="11"/>
      <c r="M209" s="11"/>
      <c r="N209" s="100"/>
      <c r="O209" s="11">
        <f>MIN(K209:M209)*'AUMENTOS %'!$B$10</f>
        <v>25186</v>
      </c>
      <c r="P209" s="11">
        <f t="shared" si="49"/>
        <v>25186</v>
      </c>
      <c r="Q209" s="11">
        <v>1.35</v>
      </c>
      <c r="R209" s="11">
        <f t="shared" si="48"/>
        <v>34001.100000000006</v>
      </c>
      <c r="S209" s="11"/>
      <c r="T209" s="136">
        <f t="shared" si="50"/>
        <v>0</v>
      </c>
    </row>
    <row r="210" spans="1:20" ht="15.75" customHeight="1">
      <c r="A210" s="149">
        <v>38</v>
      </c>
      <c r="B210" s="273">
        <f t="shared" si="47"/>
        <v>68350</v>
      </c>
      <c r="C210" s="28" t="s">
        <v>1257</v>
      </c>
      <c r="D210" s="41">
        <v>16890</v>
      </c>
      <c r="E210" s="131">
        <f t="shared" si="40"/>
        <v>61850</v>
      </c>
      <c r="F210" s="21">
        <f t="shared" si="46"/>
        <v>74838.5</v>
      </c>
      <c r="G210" s="21"/>
      <c r="H210" s="135">
        <f t="shared" si="42"/>
        <v>0</v>
      </c>
      <c r="I210" s="294">
        <v>45138</v>
      </c>
      <c r="J210" s="294"/>
      <c r="K210" s="10">
        <f>+'AUMENTOS %'!$B$10*45812</f>
        <v>45812</v>
      </c>
      <c r="L210" s="11"/>
      <c r="M210" s="11"/>
      <c r="N210" s="100"/>
      <c r="O210" s="11">
        <f>MIN(K210:M210)*'AUMENTOS %'!$B$10</f>
        <v>45812</v>
      </c>
      <c r="P210" s="11">
        <f t="shared" si="49"/>
        <v>45812</v>
      </c>
      <c r="Q210" s="11">
        <v>1.35</v>
      </c>
      <c r="R210" s="11">
        <f t="shared" si="48"/>
        <v>61846.200000000004</v>
      </c>
      <c r="S210" s="11"/>
      <c r="T210" s="136">
        <f t="shared" si="50"/>
        <v>0</v>
      </c>
    </row>
    <row r="211" spans="1:20" ht="15.75" customHeight="1">
      <c r="A211" s="149">
        <v>38</v>
      </c>
      <c r="B211" s="273">
        <f t="shared" si="47"/>
        <v>67310</v>
      </c>
      <c r="C211" s="28" t="s">
        <v>3455</v>
      </c>
      <c r="D211" s="41">
        <v>16890</v>
      </c>
      <c r="E211" s="131">
        <f t="shared" si="40"/>
        <v>60910</v>
      </c>
      <c r="F211" s="21">
        <f t="shared" si="46"/>
        <v>73701.099999999991</v>
      </c>
      <c r="G211" s="21"/>
      <c r="H211" s="135">
        <f t="shared" si="42"/>
        <v>0</v>
      </c>
      <c r="I211" s="294">
        <v>45138</v>
      </c>
      <c r="J211" s="294"/>
      <c r="K211" s="10">
        <f>+'AUMENTOS %'!$B$10*45116</f>
        <v>45116</v>
      </c>
      <c r="L211" s="11"/>
      <c r="M211" s="11"/>
      <c r="N211" s="100"/>
      <c r="O211" s="11">
        <f>MIN(K211:M211)*'AUMENTOS %'!$B$10</f>
        <v>45116</v>
      </c>
      <c r="P211" s="11">
        <f t="shared" si="49"/>
        <v>45116</v>
      </c>
      <c r="Q211" s="11">
        <v>1.35</v>
      </c>
      <c r="R211" s="11">
        <f t="shared" si="48"/>
        <v>60906.600000000006</v>
      </c>
      <c r="S211" s="11"/>
      <c r="T211" s="136">
        <f t="shared" si="50"/>
        <v>0</v>
      </c>
    </row>
    <row r="212" spans="1:20" ht="15.75" customHeight="1">
      <c r="A212" s="149">
        <v>38</v>
      </c>
      <c r="B212" s="273">
        <f t="shared" si="47"/>
        <v>66010</v>
      </c>
      <c r="C212" s="28" t="s">
        <v>1258</v>
      </c>
      <c r="D212" s="41">
        <v>14950</v>
      </c>
      <c r="E212" s="131">
        <f t="shared" si="40"/>
        <v>59730</v>
      </c>
      <c r="F212" s="21">
        <f t="shared" si="46"/>
        <v>72273.3</v>
      </c>
      <c r="G212" s="21"/>
      <c r="H212" s="135">
        <f t="shared" si="42"/>
        <v>0</v>
      </c>
      <c r="I212" s="294">
        <v>45138</v>
      </c>
      <c r="J212" s="294"/>
      <c r="K212" s="10">
        <f>+'AUMENTOS %'!$B$10*44244</f>
        <v>44244</v>
      </c>
      <c r="L212" s="11"/>
      <c r="M212" s="11"/>
      <c r="N212" s="100"/>
      <c r="O212" s="11">
        <f>MIN(K212:M212)*'AUMENTOS %'!$B$10</f>
        <v>44244</v>
      </c>
      <c r="P212" s="11">
        <f t="shared" si="49"/>
        <v>44244</v>
      </c>
      <c r="Q212" s="11">
        <v>1.35</v>
      </c>
      <c r="R212" s="11">
        <f t="shared" si="48"/>
        <v>59729.4</v>
      </c>
      <c r="S212" s="11"/>
      <c r="T212" s="136">
        <f t="shared" si="50"/>
        <v>0</v>
      </c>
    </row>
    <row r="213" spans="1:20" ht="15.75" customHeight="1">
      <c r="A213" s="149" t="s">
        <v>2386</v>
      </c>
      <c r="B213" s="273">
        <f t="shared" si="47"/>
        <v>205950</v>
      </c>
      <c r="C213" s="36" t="s">
        <v>1259</v>
      </c>
      <c r="D213" s="41">
        <v>8360</v>
      </c>
      <c r="E213" s="131">
        <f t="shared" si="40"/>
        <v>186380</v>
      </c>
      <c r="F213" s="21">
        <f t="shared" si="46"/>
        <v>225519.8</v>
      </c>
      <c r="G213" s="21"/>
      <c r="H213" s="135">
        <f t="shared" si="42"/>
        <v>0</v>
      </c>
      <c r="I213" s="294">
        <v>45323</v>
      </c>
      <c r="J213" s="294"/>
      <c r="K213" s="42">
        <f>0.8*0.98*0.94*0.95*192902</f>
        <v>135053.00502399998</v>
      </c>
      <c r="L213" s="10"/>
      <c r="M213" s="10"/>
      <c r="N213" s="100"/>
      <c r="O213" s="11">
        <f t="shared" ref="O213:O274" si="51">MIN(K213:M213)</f>
        <v>135053.00502399998</v>
      </c>
      <c r="P213" s="11">
        <f>+O213*'AUMENTOS %'!$B$5</f>
        <v>135053.00502399998</v>
      </c>
      <c r="Q213" s="11">
        <v>1.38</v>
      </c>
      <c r="R213" s="11">
        <f t="shared" si="48"/>
        <v>186373.14693311998</v>
      </c>
      <c r="S213" s="11"/>
      <c r="T213" s="136">
        <f t="shared" si="50"/>
        <v>0</v>
      </c>
    </row>
    <row r="214" spans="1:20" ht="15.75" customHeight="1">
      <c r="A214" s="149" t="s">
        <v>2386</v>
      </c>
      <c r="B214" s="273">
        <f t="shared" si="47"/>
        <v>0</v>
      </c>
      <c r="C214" s="36" t="s">
        <v>1260</v>
      </c>
      <c r="D214" s="41">
        <v>10010</v>
      </c>
      <c r="E214" s="131">
        <f t="shared" si="40"/>
        <v>0</v>
      </c>
      <c r="F214" s="21">
        <f t="shared" si="46"/>
        <v>0</v>
      </c>
      <c r="G214" s="21"/>
      <c r="H214" s="135">
        <f t="shared" si="42"/>
        <v>0</v>
      </c>
      <c r="I214" s="294">
        <v>44778</v>
      </c>
      <c r="J214" s="294"/>
      <c r="K214" s="10">
        <f>0.8*0.98*0.94*0.95*21821*1.15</f>
        <v>17568.715544799998</v>
      </c>
      <c r="L214" s="11"/>
      <c r="M214" s="11"/>
      <c r="N214" s="100"/>
      <c r="O214" s="11">
        <f t="shared" si="51"/>
        <v>17568.715544799998</v>
      </c>
      <c r="P214" s="11">
        <f>+O214*'AUMENTOS %'!$B$5</f>
        <v>17568.715544799998</v>
      </c>
      <c r="Q214" s="11"/>
      <c r="R214" s="11">
        <f t="shared" si="48"/>
        <v>0</v>
      </c>
      <c r="S214" s="11"/>
      <c r="T214" s="136">
        <f t="shared" si="50"/>
        <v>0</v>
      </c>
    </row>
    <row r="215" spans="1:20" ht="15.75" customHeight="1">
      <c r="A215" s="149" t="s">
        <v>2387</v>
      </c>
      <c r="B215" s="273">
        <f t="shared" si="47"/>
        <v>0</v>
      </c>
      <c r="C215" s="28" t="s">
        <v>1261</v>
      </c>
      <c r="D215" s="41">
        <v>13950</v>
      </c>
      <c r="E215" s="131">
        <f t="shared" si="40"/>
        <v>0</v>
      </c>
      <c r="F215" s="21">
        <f t="shared" si="46"/>
        <v>0</v>
      </c>
      <c r="G215" s="21"/>
      <c r="H215" s="135">
        <f t="shared" si="42"/>
        <v>0</v>
      </c>
      <c r="I215" s="294">
        <v>44840</v>
      </c>
      <c r="J215" s="294"/>
      <c r="K215" s="11">
        <f>+'AUMENTOS %'!D13*0.5*52000</f>
        <v>26000</v>
      </c>
      <c r="L215" s="11">
        <f>+'AUMENTOS %'!$C$13*69628</f>
        <v>69628</v>
      </c>
      <c r="M215" s="11"/>
      <c r="N215" s="100"/>
      <c r="O215" s="11">
        <f t="shared" si="51"/>
        <v>26000</v>
      </c>
      <c r="P215" s="11">
        <f t="shared" si="49"/>
        <v>26000</v>
      </c>
      <c r="Q215" s="11"/>
      <c r="R215" s="11">
        <f t="shared" si="48"/>
        <v>0</v>
      </c>
      <c r="S215" s="11"/>
      <c r="T215" s="136">
        <f t="shared" si="50"/>
        <v>0</v>
      </c>
    </row>
    <row r="216" spans="1:20" ht="15.75" customHeight="1">
      <c r="A216" s="149" t="s">
        <v>2387</v>
      </c>
      <c r="B216" s="273">
        <f t="shared" si="47"/>
        <v>180540</v>
      </c>
      <c r="C216" s="28" t="s">
        <v>2561</v>
      </c>
      <c r="D216" s="41">
        <v>21510</v>
      </c>
      <c r="E216" s="131">
        <f t="shared" si="40"/>
        <v>163380</v>
      </c>
      <c r="F216" s="21">
        <f t="shared" si="46"/>
        <v>197689.8</v>
      </c>
      <c r="G216" s="21"/>
      <c r="H216" s="135">
        <f t="shared" si="42"/>
        <v>0</v>
      </c>
      <c r="I216" s="294">
        <v>45138</v>
      </c>
      <c r="J216" s="294"/>
      <c r="K216" s="11"/>
      <c r="L216" s="11">
        <f>+'AUMENTOS %'!$C$13*121018</f>
        <v>121018</v>
      </c>
      <c r="M216" s="11"/>
      <c r="N216" s="100"/>
      <c r="O216" s="11">
        <f t="shared" si="51"/>
        <v>121018</v>
      </c>
      <c r="P216" s="11">
        <f>+O216*'AUMENTOS %'!$D$13</f>
        <v>121018</v>
      </c>
      <c r="Q216" s="11">
        <v>1.35</v>
      </c>
      <c r="R216" s="11">
        <f t="shared" si="48"/>
        <v>163374.30000000002</v>
      </c>
      <c r="S216" s="11"/>
      <c r="T216" s="136">
        <f t="shared" si="50"/>
        <v>0</v>
      </c>
    </row>
    <row r="217" spans="1:20" ht="15.75" customHeight="1">
      <c r="A217" s="149" t="s">
        <v>2387</v>
      </c>
      <c r="B217" s="273">
        <f t="shared" si="47"/>
        <v>88020</v>
      </c>
      <c r="C217" s="291" t="s">
        <v>1262</v>
      </c>
      <c r="D217" s="41">
        <v>9860</v>
      </c>
      <c r="E217" s="131">
        <f t="shared" si="40"/>
        <v>79650</v>
      </c>
      <c r="F217" s="21">
        <f t="shared" si="46"/>
        <v>96376.5</v>
      </c>
      <c r="G217" s="21"/>
      <c r="H217" s="135">
        <f t="shared" si="42"/>
        <v>0</v>
      </c>
      <c r="I217" s="294">
        <v>45173</v>
      </c>
      <c r="J217" s="294">
        <v>45175</v>
      </c>
      <c r="K217" s="11">
        <f>+'AUMENTOS %'!D13*0.5*118000</f>
        <v>59000</v>
      </c>
      <c r="L217" s="11">
        <f>+'AUMENTOS %'!$C$13*93800</f>
        <v>93800</v>
      </c>
      <c r="M217" s="11"/>
      <c r="N217" s="100"/>
      <c r="O217" s="11">
        <f t="shared" si="51"/>
        <v>59000</v>
      </c>
      <c r="P217" s="11">
        <f>+O217*'AUMENTOS %'!$D$13</f>
        <v>59000</v>
      </c>
      <c r="Q217" s="11">
        <v>1.35</v>
      </c>
      <c r="R217" s="11">
        <f t="shared" si="48"/>
        <v>79650</v>
      </c>
      <c r="S217" s="11"/>
      <c r="T217" s="136">
        <f t="shared" si="50"/>
        <v>0</v>
      </c>
    </row>
    <row r="218" spans="1:20" ht="15.75" customHeight="1">
      <c r="A218" s="149">
        <v>38</v>
      </c>
      <c r="B218" s="273">
        <f>ROUNDUP(+E218*1.105,-1)</f>
        <v>199150</v>
      </c>
      <c r="C218" s="291" t="s">
        <v>4405</v>
      </c>
      <c r="D218" s="41">
        <v>9860</v>
      </c>
      <c r="E218" s="131">
        <f>ROUNDUP(R218,-1)</f>
        <v>180220</v>
      </c>
      <c r="F218" s="21">
        <f>+E218*1.21</f>
        <v>218066.19999999998</v>
      </c>
      <c r="G218" s="21"/>
      <c r="H218" s="135">
        <f>ROUNDUP(T218,-1)</f>
        <v>156200</v>
      </c>
      <c r="I218" s="294">
        <v>45138</v>
      </c>
      <c r="J218" s="294">
        <v>45274</v>
      </c>
      <c r="K218" s="11">
        <f>+PROVEEDORES!D32*118.37</f>
        <v>124288.5</v>
      </c>
      <c r="L218" s="11"/>
      <c r="M218" s="11"/>
      <c r="N218" s="100">
        <v>107721</v>
      </c>
      <c r="O218" s="11">
        <f>MIN(K218:M218)</f>
        <v>124288.5</v>
      </c>
      <c r="P218" s="11">
        <f>+O218*'AUMENTOS %'!$D$13</f>
        <v>124288.5</v>
      </c>
      <c r="Q218" s="11">
        <v>1.45</v>
      </c>
      <c r="R218" s="11">
        <f>+P218*Q218</f>
        <v>180218.32499999998</v>
      </c>
      <c r="S218" s="11"/>
      <c r="T218" s="136">
        <f>+N218*Q218</f>
        <v>156195.44999999998</v>
      </c>
    </row>
    <row r="219" spans="1:20" ht="15.75" customHeight="1">
      <c r="A219" s="149" t="s">
        <v>2387</v>
      </c>
      <c r="B219" s="273">
        <f t="shared" si="47"/>
        <v>165560</v>
      </c>
      <c r="C219" s="28" t="s">
        <v>1263</v>
      </c>
      <c r="D219" s="41">
        <v>22620</v>
      </c>
      <c r="E219" s="131">
        <f t="shared" si="40"/>
        <v>149820</v>
      </c>
      <c r="F219" s="21">
        <f t="shared" si="46"/>
        <v>181282.19999999998</v>
      </c>
      <c r="G219" s="21"/>
      <c r="H219" s="135">
        <f t="shared" si="42"/>
        <v>0</v>
      </c>
      <c r="I219" s="294">
        <v>45138</v>
      </c>
      <c r="J219" s="294"/>
      <c r="K219" s="11"/>
      <c r="L219" s="11">
        <f>+'AUMENTOS %'!C13*110971</f>
        <v>110971</v>
      </c>
      <c r="M219" s="11"/>
      <c r="N219" s="100"/>
      <c r="O219" s="11">
        <f t="shared" si="51"/>
        <v>110971</v>
      </c>
      <c r="P219" s="11">
        <f>+O219*'AUMENTOS %'!$D$13</f>
        <v>110971</v>
      </c>
      <c r="Q219" s="11">
        <v>1.35</v>
      </c>
      <c r="R219" s="11">
        <f t="shared" si="48"/>
        <v>149810.85</v>
      </c>
      <c r="S219" s="11"/>
      <c r="T219" s="136">
        <f t="shared" si="50"/>
        <v>0</v>
      </c>
    </row>
    <row r="220" spans="1:20" ht="15.75" customHeight="1">
      <c r="A220" s="149">
        <v>38</v>
      </c>
      <c r="B220" s="273">
        <f>ROUNDUP(+E220*1.105,-1)</f>
        <v>312910</v>
      </c>
      <c r="C220" s="28" t="s">
        <v>4108</v>
      </c>
      <c r="D220" s="41">
        <v>22620</v>
      </c>
      <c r="E220" s="131">
        <f>ROUNDUP(R220,-1)</f>
        <v>283170</v>
      </c>
      <c r="F220" s="21">
        <f>+E220*1.21</f>
        <v>342635.7</v>
      </c>
      <c r="G220" s="21"/>
      <c r="H220" s="135">
        <f>ROUNDUP(T220,-1)</f>
        <v>180440</v>
      </c>
      <c r="I220" s="294">
        <v>45138</v>
      </c>
      <c r="J220" s="294">
        <v>45300</v>
      </c>
      <c r="K220" s="11">
        <f>+PROVEEDORES!D32*179.79</f>
        <v>188779.5</v>
      </c>
      <c r="L220" s="11"/>
      <c r="M220" s="11"/>
      <c r="N220" s="100">
        <v>120290</v>
      </c>
      <c r="O220" s="11">
        <f>MIN(K220:M220)</f>
        <v>188779.5</v>
      </c>
      <c r="P220" s="11">
        <f t="shared" si="49"/>
        <v>188779.5</v>
      </c>
      <c r="Q220" s="11">
        <v>1.5</v>
      </c>
      <c r="R220" s="11">
        <f t="shared" si="48"/>
        <v>283169.25</v>
      </c>
      <c r="S220" s="11"/>
      <c r="T220" s="136">
        <f>+N220*Q220</f>
        <v>180435</v>
      </c>
    </row>
    <row r="221" spans="1:20" ht="15.75" customHeight="1">
      <c r="A221" s="149"/>
      <c r="B221" s="273"/>
      <c r="C221" s="28" t="s">
        <v>3620</v>
      </c>
      <c r="D221" s="41"/>
      <c r="E221" s="131">
        <f t="shared" si="40"/>
        <v>6300</v>
      </c>
      <c r="F221" s="21">
        <f t="shared" si="46"/>
        <v>7623</v>
      </c>
      <c r="G221" s="21"/>
      <c r="H221" s="135">
        <f t="shared" si="42"/>
        <v>0</v>
      </c>
      <c r="I221" s="294">
        <v>44557</v>
      </c>
      <c r="J221" s="294"/>
      <c r="K221" s="11">
        <v>4500</v>
      </c>
      <c r="L221" s="11" t="s">
        <v>3621</v>
      </c>
      <c r="M221" s="11"/>
      <c r="N221" s="100"/>
      <c r="O221" s="11">
        <f t="shared" si="51"/>
        <v>4500</v>
      </c>
      <c r="P221" s="11">
        <f t="shared" si="49"/>
        <v>4500</v>
      </c>
      <c r="Q221" s="11">
        <v>1.4</v>
      </c>
      <c r="R221" s="11">
        <f t="shared" si="48"/>
        <v>6300</v>
      </c>
      <c r="S221" s="11"/>
      <c r="T221" s="136">
        <f t="shared" si="50"/>
        <v>0</v>
      </c>
    </row>
    <row r="222" spans="1:20" ht="15.75" customHeight="1">
      <c r="A222" s="149" t="s">
        <v>44322</v>
      </c>
      <c r="B222" s="273"/>
      <c r="C222" s="28" t="s">
        <v>4333</v>
      </c>
      <c r="D222" s="41">
        <v>640</v>
      </c>
      <c r="E222" s="131">
        <f t="shared" si="40"/>
        <v>27570</v>
      </c>
      <c r="F222" s="21">
        <f t="shared" si="46"/>
        <v>33359.699999999997</v>
      </c>
      <c r="G222" s="21"/>
      <c r="H222" s="135">
        <f t="shared" si="42"/>
        <v>0</v>
      </c>
      <c r="I222" s="294">
        <v>45059</v>
      </c>
      <c r="J222" s="294">
        <v>45332</v>
      </c>
      <c r="K222" s="42">
        <f>0.8*0.94*25279</f>
        <v>19009.808000000001</v>
      </c>
      <c r="L222" s="42"/>
      <c r="M222" s="42"/>
      <c r="N222" s="37"/>
      <c r="O222" s="11">
        <f t="shared" si="51"/>
        <v>19009.808000000001</v>
      </c>
      <c r="P222" s="11">
        <f t="shared" si="49"/>
        <v>19009.808000000001</v>
      </c>
      <c r="Q222" s="11">
        <v>1.45</v>
      </c>
      <c r="R222" s="11">
        <f t="shared" si="48"/>
        <v>27564.221600000001</v>
      </c>
      <c r="S222" s="11"/>
      <c r="T222" s="136">
        <f t="shared" si="50"/>
        <v>0</v>
      </c>
    </row>
    <row r="223" spans="1:20" ht="15.75" customHeight="1">
      <c r="A223" s="149" t="s">
        <v>44322</v>
      </c>
      <c r="B223" s="273"/>
      <c r="C223" s="28" t="s">
        <v>4332</v>
      </c>
      <c r="D223" s="41">
        <v>1050</v>
      </c>
      <c r="E223" s="131">
        <f t="shared" si="40"/>
        <v>26060</v>
      </c>
      <c r="F223" s="21">
        <f t="shared" si="46"/>
        <v>31532.6</v>
      </c>
      <c r="G223" s="21"/>
      <c r="H223" s="135">
        <f t="shared" si="42"/>
        <v>0</v>
      </c>
      <c r="I223" s="294">
        <v>45059</v>
      </c>
      <c r="J223" s="294">
        <v>45332</v>
      </c>
      <c r="K223" s="42">
        <f>0.8*0.94*23896</f>
        <v>17969.792000000001</v>
      </c>
      <c r="L223" s="42"/>
      <c r="M223" s="42"/>
      <c r="N223" s="37"/>
      <c r="O223" s="11">
        <f t="shared" si="51"/>
        <v>17969.792000000001</v>
      </c>
      <c r="P223" s="11">
        <f t="shared" si="49"/>
        <v>17969.792000000001</v>
      </c>
      <c r="Q223" s="11">
        <v>1.45</v>
      </c>
      <c r="R223" s="11">
        <f t="shared" si="48"/>
        <v>26056.198400000001</v>
      </c>
      <c r="S223" s="11"/>
      <c r="T223" s="136">
        <f t="shared" si="50"/>
        <v>0</v>
      </c>
    </row>
    <row r="224" spans="1:20" ht="15.75" customHeight="1">
      <c r="A224" s="149" t="s">
        <v>44322</v>
      </c>
      <c r="B224" s="273"/>
      <c r="C224" s="28" t="s">
        <v>4334</v>
      </c>
      <c r="D224" s="41">
        <v>740</v>
      </c>
      <c r="E224" s="131">
        <f t="shared" si="40"/>
        <v>32280</v>
      </c>
      <c r="F224" s="21">
        <f t="shared" si="46"/>
        <v>39058.799999999996</v>
      </c>
      <c r="G224" s="21"/>
      <c r="H224" s="135">
        <f t="shared" si="42"/>
        <v>0</v>
      </c>
      <c r="I224" s="294">
        <v>45059</v>
      </c>
      <c r="J224" s="294">
        <v>45332</v>
      </c>
      <c r="K224" s="42">
        <f>0.8*0.94*29598</f>
        <v>22257.696</v>
      </c>
      <c r="L224" s="42"/>
      <c r="M224" s="42"/>
      <c r="N224" s="37"/>
      <c r="O224" s="11">
        <f t="shared" si="51"/>
        <v>22257.696</v>
      </c>
      <c r="P224" s="11">
        <f t="shared" si="49"/>
        <v>22257.696</v>
      </c>
      <c r="Q224" s="11">
        <v>1.45</v>
      </c>
      <c r="R224" s="11">
        <f t="shared" si="48"/>
        <v>32273.659199999998</v>
      </c>
      <c r="S224" s="11"/>
      <c r="T224" s="136">
        <f t="shared" si="50"/>
        <v>0</v>
      </c>
    </row>
    <row r="225" spans="1:20" ht="15.75" customHeight="1">
      <c r="A225" s="149" t="s">
        <v>44322</v>
      </c>
      <c r="B225" s="273"/>
      <c r="C225" s="28" t="s">
        <v>3634</v>
      </c>
      <c r="D225" s="41">
        <v>3590</v>
      </c>
      <c r="E225" s="131">
        <f t="shared" si="40"/>
        <v>0</v>
      </c>
      <c r="F225" s="21">
        <f t="shared" si="46"/>
        <v>0</v>
      </c>
      <c r="G225" s="21"/>
      <c r="H225" s="135">
        <f t="shared" si="42"/>
        <v>0</v>
      </c>
      <c r="I225" s="294">
        <v>45059</v>
      </c>
      <c r="J225" s="294">
        <v>45118</v>
      </c>
      <c r="K225" s="42">
        <f>0.8*0.94*24596</f>
        <v>18496.191999999999</v>
      </c>
      <c r="L225" s="42"/>
      <c r="M225" s="42"/>
      <c r="N225" s="37"/>
      <c r="O225" s="11">
        <f t="shared" si="51"/>
        <v>18496.191999999999</v>
      </c>
      <c r="P225" s="11">
        <f t="shared" si="49"/>
        <v>18496.191999999999</v>
      </c>
      <c r="Q225" s="11"/>
      <c r="R225" s="11">
        <f t="shared" si="48"/>
        <v>0</v>
      </c>
      <c r="S225" s="11"/>
      <c r="T225" s="136">
        <f t="shared" si="50"/>
        <v>0</v>
      </c>
    </row>
    <row r="226" spans="1:20" ht="15.75" customHeight="1">
      <c r="A226" s="149" t="s">
        <v>44322</v>
      </c>
      <c r="B226" s="273"/>
      <c r="C226" s="28" t="s">
        <v>1271</v>
      </c>
      <c r="D226" s="41">
        <v>5070</v>
      </c>
      <c r="E226" s="131">
        <f t="shared" si="40"/>
        <v>0</v>
      </c>
      <c r="F226" s="21">
        <f t="shared" si="46"/>
        <v>0</v>
      </c>
      <c r="G226" s="21"/>
      <c r="H226" s="135">
        <f t="shared" si="42"/>
        <v>0</v>
      </c>
      <c r="I226" s="294">
        <v>45059</v>
      </c>
      <c r="J226" s="294"/>
      <c r="K226" s="42">
        <f>0.8*0.94*21940</f>
        <v>16498.88</v>
      </c>
      <c r="L226" s="42"/>
      <c r="M226" s="42"/>
      <c r="N226" s="37"/>
      <c r="O226" s="11">
        <f t="shared" si="51"/>
        <v>16498.88</v>
      </c>
      <c r="P226" s="11">
        <f t="shared" si="49"/>
        <v>16498.88</v>
      </c>
      <c r="Q226" s="11"/>
      <c r="R226" s="11">
        <f t="shared" si="48"/>
        <v>0</v>
      </c>
      <c r="S226" s="11"/>
      <c r="T226" s="136">
        <f t="shared" si="50"/>
        <v>0</v>
      </c>
    </row>
    <row r="227" spans="1:20" ht="15.75" customHeight="1">
      <c r="A227" s="149" t="s">
        <v>44322</v>
      </c>
      <c r="B227" s="273"/>
      <c r="C227" s="28" t="s">
        <v>3387</v>
      </c>
      <c r="D227" s="41">
        <v>1770</v>
      </c>
      <c r="E227" s="131">
        <f t="shared" si="40"/>
        <v>37860</v>
      </c>
      <c r="F227" s="21">
        <f t="shared" si="46"/>
        <v>45810.6</v>
      </c>
      <c r="G227" s="21"/>
      <c r="H227" s="135">
        <f t="shared" si="42"/>
        <v>0</v>
      </c>
      <c r="I227" s="294">
        <v>45059</v>
      </c>
      <c r="J227" s="294">
        <v>45332</v>
      </c>
      <c r="K227" s="42">
        <f>0.8*0.94*34716</f>
        <v>26106.432000000001</v>
      </c>
      <c r="L227" s="42">
        <f>0.82*24650*2</f>
        <v>40426</v>
      </c>
      <c r="M227" s="42"/>
      <c r="N227" s="37"/>
      <c r="O227" s="11">
        <f t="shared" si="51"/>
        <v>26106.432000000001</v>
      </c>
      <c r="P227" s="11">
        <f t="shared" si="49"/>
        <v>26106.432000000001</v>
      </c>
      <c r="Q227" s="11">
        <v>1.45</v>
      </c>
      <c r="R227" s="11">
        <f t="shared" si="48"/>
        <v>37854.326399999998</v>
      </c>
      <c r="S227" s="11"/>
      <c r="T227" s="136">
        <f t="shared" si="50"/>
        <v>0</v>
      </c>
    </row>
    <row r="228" spans="1:20" ht="15.75" customHeight="1">
      <c r="A228" s="149" t="s">
        <v>44322</v>
      </c>
      <c r="B228" s="273"/>
      <c r="C228" s="28" t="s">
        <v>3698</v>
      </c>
      <c r="D228" s="41">
        <v>1980</v>
      </c>
      <c r="E228" s="131">
        <f t="shared" si="40"/>
        <v>38200</v>
      </c>
      <c r="F228" s="21">
        <f t="shared" si="46"/>
        <v>46222</v>
      </c>
      <c r="G228" s="21"/>
      <c r="H228" s="135">
        <f t="shared" si="42"/>
        <v>0</v>
      </c>
      <c r="I228" s="294">
        <v>45059</v>
      </c>
      <c r="J228" s="294">
        <v>45332</v>
      </c>
      <c r="K228" s="42">
        <f>0.8*0.94*35025</f>
        <v>26338.799999999999</v>
      </c>
      <c r="L228" s="42">
        <f>0.82*24870*2</f>
        <v>40786.799999999996</v>
      </c>
      <c r="M228" s="42"/>
      <c r="N228" s="37"/>
      <c r="O228" s="11">
        <f t="shared" si="51"/>
        <v>26338.799999999999</v>
      </c>
      <c r="P228" s="11">
        <f t="shared" si="49"/>
        <v>26338.799999999999</v>
      </c>
      <c r="Q228" s="11">
        <v>1.45</v>
      </c>
      <c r="R228" s="11">
        <f t="shared" si="48"/>
        <v>38191.259999999995</v>
      </c>
      <c r="S228" s="11"/>
      <c r="T228" s="136">
        <f t="shared" si="50"/>
        <v>0</v>
      </c>
    </row>
    <row r="229" spans="1:20" ht="15.75" customHeight="1">
      <c r="A229" s="149" t="s">
        <v>44322</v>
      </c>
      <c r="B229" s="273"/>
      <c r="C229" s="28" t="s">
        <v>1268</v>
      </c>
      <c r="D229" s="41">
        <v>2310</v>
      </c>
      <c r="E229" s="131">
        <f t="shared" si="40"/>
        <v>44660</v>
      </c>
      <c r="F229" s="21">
        <f t="shared" si="46"/>
        <v>54038.6</v>
      </c>
      <c r="G229" s="21"/>
      <c r="H229" s="135">
        <f t="shared" si="42"/>
        <v>0</v>
      </c>
      <c r="I229" s="294">
        <v>45059</v>
      </c>
      <c r="J229" s="294">
        <v>45332</v>
      </c>
      <c r="K229" s="42">
        <f>0.8*0.94*40949</f>
        <v>30793.648000000001</v>
      </c>
      <c r="L229" s="42">
        <f>0.82*29076*2</f>
        <v>47684.639999999999</v>
      </c>
      <c r="M229" s="42"/>
      <c r="N229" s="37"/>
      <c r="O229" s="11">
        <f t="shared" si="51"/>
        <v>30793.648000000001</v>
      </c>
      <c r="P229" s="11">
        <f t="shared" si="49"/>
        <v>30793.648000000001</v>
      </c>
      <c r="Q229" s="11">
        <v>1.45</v>
      </c>
      <c r="R229" s="11">
        <f t="shared" si="48"/>
        <v>44650.789600000004</v>
      </c>
      <c r="S229" s="11"/>
      <c r="T229" s="136">
        <f t="shared" si="50"/>
        <v>0</v>
      </c>
    </row>
    <row r="230" spans="1:20" ht="15.75" customHeight="1">
      <c r="A230" s="149" t="s">
        <v>44322</v>
      </c>
      <c r="B230" s="273"/>
      <c r="C230" s="28" t="s">
        <v>3699</v>
      </c>
      <c r="D230" s="41">
        <v>2500</v>
      </c>
      <c r="E230" s="131">
        <f t="shared" si="40"/>
        <v>48410</v>
      </c>
      <c r="F230" s="21">
        <f t="shared" si="46"/>
        <v>58576.1</v>
      </c>
      <c r="G230" s="21"/>
      <c r="H230" s="135">
        <f t="shared" si="42"/>
        <v>0</v>
      </c>
      <c r="I230" s="294">
        <v>45059</v>
      </c>
      <c r="J230" s="294">
        <v>45332</v>
      </c>
      <c r="K230" s="42">
        <f>0.8*0.94*44392</f>
        <v>33382.784</v>
      </c>
      <c r="L230" s="42">
        <f>0.82*31522*2</f>
        <v>51696.079999999994</v>
      </c>
      <c r="M230" s="42"/>
      <c r="N230" s="37"/>
      <c r="O230" s="11">
        <f t="shared" si="51"/>
        <v>33382.784</v>
      </c>
      <c r="P230" s="11">
        <f t="shared" si="49"/>
        <v>33382.784</v>
      </c>
      <c r="Q230" s="11">
        <v>1.45</v>
      </c>
      <c r="R230" s="11">
        <f t="shared" si="48"/>
        <v>48405.036799999994</v>
      </c>
      <c r="S230" s="11"/>
      <c r="T230" s="136">
        <f t="shared" si="50"/>
        <v>0</v>
      </c>
    </row>
    <row r="231" spans="1:20" ht="15.75" customHeight="1">
      <c r="A231" s="149" t="s">
        <v>44322</v>
      </c>
      <c r="B231" s="273"/>
      <c r="C231" s="28" t="s">
        <v>3700</v>
      </c>
      <c r="D231" s="41">
        <v>3310</v>
      </c>
      <c r="E231" s="131">
        <f t="shared" si="40"/>
        <v>61100</v>
      </c>
      <c r="F231" s="21">
        <f t="shared" si="46"/>
        <v>73931</v>
      </c>
      <c r="G231" s="21"/>
      <c r="H231" s="135">
        <f t="shared" si="42"/>
        <v>0</v>
      </c>
      <c r="I231" s="294">
        <v>45059</v>
      </c>
      <c r="J231" s="294">
        <v>45332</v>
      </c>
      <c r="K231" s="42">
        <f>0.8*0.94*56030</f>
        <v>42134.559999999998</v>
      </c>
      <c r="L231" s="42">
        <f>0.82*39785*2</f>
        <v>65247.399999999994</v>
      </c>
      <c r="M231" s="42"/>
      <c r="N231" s="37"/>
      <c r="O231" s="11">
        <f t="shared" si="51"/>
        <v>42134.559999999998</v>
      </c>
      <c r="P231" s="11">
        <f t="shared" si="49"/>
        <v>42134.559999999998</v>
      </c>
      <c r="Q231" s="11">
        <v>1.45</v>
      </c>
      <c r="R231" s="11">
        <f t="shared" si="48"/>
        <v>61095.111999999994</v>
      </c>
      <c r="S231" s="11"/>
      <c r="T231" s="136">
        <f t="shared" si="50"/>
        <v>0</v>
      </c>
    </row>
    <row r="232" spans="1:20" ht="15.75" customHeight="1">
      <c r="A232" s="149" t="s">
        <v>44322</v>
      </c>
      <c r="B232" s="273"/>
      <c r="C232" s="28" t="s">
        <v>3701</v>
      </c>
      <c r="D232" s="41">
        <v>6060</v>
      </c>
      <c r="E232" s="131">
        <f t="shared" si="40"/>
        <v>181850</v>
      </c>
      <c r="F232" s="21">
        <f t="shared" si="46"/>
        <v>220038.5</v>
      </c>
      <c r="G232" s="21"/>
      <c r="H232" s="135">
        <f t="shared" si="42"/>
        <v>0</v>
      </c>
      <c r="I232" s="294">
        <v>45059</v>
      </c>
      <c r="J232" s="294">
        <v>45332</v>
      </c>
      <c r="K232" s="42">
        <f>0.8*0.94*1070697</f>
        <v>805164.14399999997</v>
      </c>
      <c r="L232" s="42">
        <f>0.82*76470*2</f>
        <v>125410.79999999999</v>
      </c>
      <c r="M232" s="42"/>
      <c r="N232" s="37"/>
      <c r="O232" s="11">
        <f t="shared" si="51"/>
        <v>125410.79999999999</v>
      </c>
      <c r="P232" s="11">
        <f t="shared" si="49"/>
        <v>125410.79999999999</v>
      </c>
      <c r="Q232" s="11">
        <v>1.45</v>
      </c>
      <c r="R232" s="11">
        <f t="shared" si="48"/>
        <v>181845.65999999997</v>
      </c>
      <c r="S232" s="11"/>
      <c r="T232" s="136">
        <f t="shared" si="50"/>
        <v>0</v>
      </c>
    </row>
    <row r="233" spans="1:20" ht="15.75" customHeight="1">
      <c r="A233" s="149" t="s">
        <v>44322</v>
      </c>
      <c r="B233" s="273"/>
      <c r="C233" s="28" t="s">
        <v>3702</v>
      </c>
      <c r="D233" s="41">
        <v>8350</v>
      </c>
      <c r="E233" s="131">
        <f t="shared" ref="E233:E294" si="52">ROUNDUP(R233,-1)</f>
        <v>151660</v>
      </c>
      <c r="F233" s="21">
        <f t="shared" si="46"/>
        <v>183508.6</v>
      </c>
      <c r="G233" s="21"/>
      <c r="H233" s="135">
        <f t="shared" si="42"/>
        <v>0</v>
      </c>
      <c r="I233" s="294">
        <v>45059</v>
      </c>
      <c r="J233" s="294">
        <v>45332</v>
      </c>
      <c r="K233" s="42">
        <f>0.8*0.94*139086</f>
        <v>104592.67200000001</v>
      </c>
      <c r="L233" s="42">
        <f>0.82*98759*2</f>
        <v>161964.75999999998</v>
      </c>
      <c r="M233" s="42"/>
      <c r="N233" s="37"/>
      <c r="O233" s="11">
        <f t="shared" si="51"/>
        <v>104592.67200000001</v>
      </c>
      <c r="P233" s="11">
        <f t="shared" si="49"/>
        <v>104592.67200000001</v>
      </c>
      <c r="Q233" s="11">
        <v>1.45</v>
      </c>
      <c r="R233" s="11">
        <f t="shared" si="48"/>
        <v>151659.3744</v>
      </c>
      <c r="S233" s="11"/>
      <c r="T233" s="136">
        <f t="shared" si="50"/>
        <v>0</v>
      </c>
    </row>
    <row r="234" spans="1:20" ht="15.75" customHeight="1">
      <c r="A234" s="149" t="s">
        <v>44322</v>
      </c>
      <c r="B234" s="273"/>
      <c r="C234" s="28" t="s">
        <v>1264</v>
      </c>
      <c r="D234" s="41">
        <v>2020</v>
      </c>
      <c r="E234" s="131">
        <f t="shared" si="52"/>
        <v>38730</v>
      </c>
      <c r="F234" s="21">
        <f t="shared" si="46"/>
        <v>46863.299999999996</v>
      </c>
      <c r="G234" s="21"/>
      <c r="H234" s="135">
        <f t="shared" si="42"/>
        <v>33060</v>
      </c>
      <c r="I234" s="294">
        <v>45059</v>
      </c>
      <c r="J234" s="294">
        <v>45332</v>
      </c>
      <c r="K234" s="42">
        <f>0.8*0.94*35513</f>
        <v>26705.776000000002</v>
      </c>
      <c r="L234" s="42">
        <f>0.82*25973*2</f>
        <v>42595.719999999994</v>
      </c>
      <c r="M234" s="42"/>
      <c r="N234" s="10">
        <f>0.8*0.94*30318</f>
        <v>22799.135999999999</v>
      </c>
      <c r="O234" s="11">
        <f t="shared" si="51"/>
        <v>26705.776000000002</v>
      </c>
      <c r="P234" s="11">
        <f t="shared" si="49"/>
        <v>26705.776000000002</v>
      </c>
      <c r="Q234" s="11">
        <v>1.45</v>
      </c>
      <c r="R234" s="11">
        <f t="shared" si="48"/>
        <v>38723.375200000002</v>
      </c>
      <c r="S234" s="11"/>
      <c r="T234" s="136">
        <f t="shared" si="50"/>
        <v>33058.747199999998</v>
      </c>
    </row>
    <row r="235" spans="1:20" ht="15.75" customHeight="1">
      <c r="A235" s="149" t="s">
        <v>44322</v>
      </c>
      <c r="B235" s="273"/>
      <c r="C235" s="28" t="s">
        <v>1265</v>
      </c>
      <c r="D235" s="41">
        <v>2000</v>
      </c>
      <c r="E235" s="131">
        <f t="shared" si="52"/>
        <v>39260</v>
      </c>
      <c r="F235" s="21">
        <f t="shared" si="46"/>
        <v>47504.6</v>
      </c>
      <c r="G235" s="21"/>
      <c r="H235" s="135">
        <f t="shared" si="42"/>
        <v>31650</v>
      </c>
      <c r="I235" s="294">
        <v>45059</v>
      </c>
      <c r="J235" s="294">
        <v>45332</v>
      </c>
      <c r="K235" s="10">
        <f>0.8*0.94*36000</f>
        <v>27072</v>
      </c>
      <c r="L235" s="42">
        <f>0.82*26329*2</f>
        <v>43179.56</v>
      </c>
      <c r="M235" s="42"/>
      <c r="N235" s="10">
        <f>0.8*0.94*29025</f>
        <v>21826.799999999999</v>
      </c>
      <c r="O235" s="11">
        <f t="shared" si="51"/>
        <v>27072</v>
      </c>
      <c r="P235" s="11">
        <f t="shared" si="49"/>
        <v>27072</v>
      </c>
      <c r="Q235" s="11">
        <v>1.45</v>
      </c>
      <c r="R235" s="11">
        <f t="shared" si="48"/>
        <v>39254.400000000001</v>
      </c>
      <c r="S235" s="11"/>
      <c r="T235" s="136">
        <f t="shared" si="50"/>
        <v>31648.859999999997</v>
      </c>
    </row>
    <row r="236" spans="1:20" ht="15.75" customHeight="1">
      <c r="A236" s="149" t="s">
        <v>44322</v>
      </c>
      <c r="B236" s="273"/>
      <c r="C236" s="28" t="s">
        <v>3444</v>
      </c>
      <c r="D236" s="41">
        <v>2540</v>
      </c>
      <c r="E236" s="131">
        <f t="shared" si="52"/>
        <v>50890</v>
      </c>
      <c r="F236" s="21">
        <f t="shared" si="46"/>
        <v>61576.9</v>
      </c>
      <c r="G236" s="21"/>
      <c r="H236" s="135">
        <f t="shared" si="42"/>
        <v>41030</v>
      </c>
      <c r="I236" s="294">
        <v>45059</v>
      </c>
      <c r="J236" s="294">
        <v>45332</v>
      </c>
      <c r="K236" s="10">
        <f>0.8*0.94*46662</f>
        <v>35089.824000000001</v>
      </c>
      <c r="L236" s="42">
        <f>0.82*34127*2</f>
        <v>55968.28</v>
      </c>
      <c r="M236" s="42"/>
      <c r="N236" s="10">
        <f>0.8*0.94*37622</f>
        <v>28291.743999999999</v>
      </c>
      <c r="O236" s="11">
        <f t="shared" si="51"/>
        <v>35089.824000000001</v>
      </c>
      <c r="P236" s="11">
        <f t="shared" si="49"/>
        <v>35089.824000000001</v>
      </c>
      <c r="Q236" s="11">
        <v>1.45</v>
      </c>
      <c r="R236" s="11">
        <f t="shared" si="48"/>
        <v>50880.2448</v>
      </c>
      <c r="S236" s="11"/>
      <c r="T236" s="136">
        <f t="shared" si="50"/>
        <v>41023.0288</v>
      </c>
    </row>
    <row r="237" spans="1:20" ht="15.75" customHeight="1">
      <c r="A237" s="149" t="s">
        <v>44322</v>
      </c>
      <c r="B237" s="273"/>
      <c r="C237" s="28" t="s">
        <v>1266</v>
      </c>
      <c r="D237" s="41">
        <v>5540</v>
      </c>
      <c r="E237" s="131">
        <f t="shared" si="52"/>
        <v>106220</v>
      </c>
      <c r="F237" s="21">
        <f t="shared" si="46"/>
        <v>128526.2</v>
      </c>
      <c r="G237" s="21"/>
      <c r="H237" s="135">
        <f t="shared" si="42"/>
        <v>90680</v>
      </c>
      <c r="I237" s="294">
        <v>45059</v>
      </c>
      <c r="J237" s="294">
        <v>45332</v>
      </c>
      <c r="K237" s="42">
        <f>0.8*0.94*97409</f>
        <v>73251.567999999999</v>
      </c>
      <c r="L237" s="42">
        <f>0.82*71240*2</f>
        <v>116833.59999999999</v>
      </c>
      <c r="M237" s="42"/>
      <c r="N237" s="10">
        <f>0.8*0.94*83158</f>
        <v>62534.815999999999</v>
      </c>
      <c r="O237" s="11">
        <f t="shared" si="51"/>
        <v>73251.567999999999</v>
      </c>
      <c r="P237" s="11">
        <f t="shared" si="49"/>
        <v>73251.567999999999</v>
      </c>
      <c r="Q237" s="11">
        <v>1.45</v>
      </c>
      <c r="R237" s="11">
        <f t="shared" si="48"/>
        <v>106214.7736</v>
      </c>
      <c r="S237" s="11"/>
      <c r="T237" s="136">
        <f t="shared" si="50"/>
        <v>90675.483200000002</v>
      </c>
    </row>
    <row r="238" spans="1:20" ht="15.75" customHeight="1">
      <c r="A238" s="149" t="s">
        <v>44322</v>
      </c>
      <c r="B238" s="273"/>
      <c r="C238" s="28" t="s">
        <v>1267</v>
      </c>
      <c r="D238" s="41">
        <v>7650</v>
      </c>
      <c r="E238" s="131">
        <f t="shared" si="52"/>
        <v>146820</v>
      </c>
      <c r="F238" s="21">
        <f t="shared" si="46"/>
        <v>177652.19999999998</v>
      </c>
      <c r="G238" s="21"/>
      <c r="H238" s="135">
        <f t="shared" si="42"/>
        <v>0</v>
      </c>
      <c r="I238" s="294">
        <v>45059</v>
      </c>
      <c r="J238" s="294">
        <v>45332</v>
      </c>
      <c r="K238" s="42">
        <f>0.8*0.94*134641</f>
        <v>101250.03200000001</v>
      </c>
      <c r="L238" s="42"/>
      <c r="M238" s="42"/>
      <c r="N238" s="42"/>
      <c r="O238" s="11">
        <f t="shared" si="51"/>
        <v>101250.03200000001</v>
      </c>
      <c r="P238" s="11">
        <f t="shared" si="49"/>
        <v>101250.03200000001</v>
      </c>
      <c r="Q238" s="11">
        <v>1.45</v>
      </c>
      <c r="R238" s="11">
        <f t="shared" si="48"/>
        <v>146812.54639999999</v>
      </c>
      <c r="S238" s="11"/>
      <c r="T238" s="136">
        <f t="shared" si="50"/>
        <v>0</v>
      </c>
    </row>
    <row r="239" spans="1:20" ht="15.75" customHeight="1">
      <c r="A239" s="149" t="s">
        <v>44322</v>
      </c>
      <c r="B239" s="273"/>
      <c r="C239" s="28" t="s">
        <v>1270</v>
      </c>
      <c r="D239" s="41">
        <v>1680</v>
      </c>
      <c r="E239" s="131">
        <f t="shared" si="52"/>
        <v>35330</v>
      </c>
      <c r="F239" s="21">
        <f t="shared" si="46"/>
        <v>42749.299999999996</v>
      </c>
      <c r="G239" s="21"/>
      <c r="H239" s="135">
        <f t="shared" si="42"/>
        <v>0</v>
      </c>
      <c r="I239" s="294">
        <v>45059</v>
      </c>
      <c r="J239" s="294">
        <v>45332</v>
      </c>
      <c r="K239" s="42">
        <f>0.8*0.94*32399</f>
        <v>24364.047999999999</v>
      </c>
      <c r="L239" s="42"/>
      <c r="M239" s="42"/>
      <c r="N239" s="37"/>
      <c r="O239" s="11">
        <f t="shared" si="51"/>
        <v>24364.047999999999</v>
      </c>
      <c r="P239" s="11">
        <f t="shared" si="49"/>
        <v>24364.047999999999</v>
      </c>
      <c r="Q239" s="11">
        <v>1.45</v>
      </c>
      <c r="R239" s="11">
        <f t="shared" si="48"/>
        <v>35327.869599999998</v>
      </c>
      <c r="S239" s="11"/>
      <c r="T239" s="136">
        <f t="shared" si="50"/>
        <v>0</v>
      </c>
    </row>
    <row r="240" spans="1:20" ht="15.75" customHeight="1">
      <c r="A240" s="149" t="s">
        <v>44322</v>
      </c>
      <c r="B240" s="273"/>
      <c r="C240" s="28" t="s">
        <v>4457</v>
      </c>
      <c r="D240" s="41">
        <v>2050</v>
      </c>
      <c r="E240" s="131">
        <f t="shared" si="52"/>
        <v>43330</v>
      </c>
      <c r="F240" s="21">
        <f t="shared" si="46"/>
        <v>52429.299999999996</v>
      </c>
      <c r="G240" s="21"/>
      <c r="H240" s="135">
        <f t="shared" si="42"/>
        <v>0</v>
      </c>
      <c r="I240" s="294">
        <v>45059</v>
      </c>
      <c r="J240" s="294">
        <v>45332</v>
      </c>
      <c r="K240" s="42">
        <f>0.8*0.94*39737</f>
        <v>29882.223999999998</v>
      </c>
      <c r="L240" s="42"/>
      <c r="M240" s="42"/>
      <c r="N240" s="37"/>
      <c r="O240" s="11">
        <f t="shared" si="51"/>
        <v>29882.223999999998</v>
      </c>
      <c r="P240" s="11">
        <f t="shared" si="49"/>
        <v>29882.223999999998</v>
      </c>
      <c r="Q240" s="11">
        <v>1.45</v>
      </c>
      <c r="R240" s="11">
        <f t="shared" si="48"/>
        <v>43329.224799999996</v>
      </c>
      <c r="S240" s="11"/>
      <c r="T240" s="136">
        <f t="shared" si="50"/>
        <v>0</v>
      </c>
    </row>
    <row r="241" spans="1:20" ht="15.75" customHeight="1">
      <c r="A241" s="149" t="s">
        <v>44322</v>
      </c>
      <c r="B241" s="273"/>
      <c r="C241" s="28" t="s">
        <v>1269</v>
      </c>
      <c r="D241" s="41">
        <v>640</v>
      </c>
      <c r="E241" s="131">
        <f t="shared" si="52"/>
        <v>22920</v>
      </c>
      <c r="F241" s="21">
        <f t="shared" si="46"/>
        <v>27733.200000000001</v>
      </c>
      <c r="G241" s="21"/>
      <c r="H241" s="135">
        <f t="shared" ref="H241:H303" si="53">ROUNDUP(T241,-1)</f>
        <v>0</v>
      </c>
      <c r="I241" s="294">
        <v>45059</v>
      </c>
      <c r="J241" s="294">
        <v>45332</v>
      </c>
      <c r="K241" s="42">
        <f>0.8*0.94*21011</f>
        <v>15800.272000000001</v>
      </c>
      <c r="L241" s="42"/>
      <c r="M241" s="42"/>
      <c r="N241" s="37"/>
      <c r="O241" s="11">
        <f t="shared" si="51"/>
        <v>15800.272000000001</v>
      </c>
      <c r="P241" s="11">
        <f t="shared" si="49"/>
        <v>15800.272000000001</v>
      </c>
      <c r="Q241" s="11">
        <v>1.45</v>
      </c>
      <c r="R241" s="11">
        <f t="shared" si="48"/>
        <v>22910.394400000001</v>
      </c>
      <c r="S241" s="11"/>
      <c r="T241" s="136">
        <f t="shared" ref="T241:T251" si="54">+N241*Q241</f>
        <v>0</v>
      </c>
    </row>
    <row r="242" spans="1:20" ht="15.75" customHeight="1">
      <c r="A242" s="149" t="s">
        <v>44322</v>
      </c>
      <c r="B242" s="273"/>
      <c r="C242" s="28" t="s">
        <v>4335</v>
      </c>
      <c r="D242" s="41"/>
      <c r="E242" s="131">
        <f t="shared" si="52"/>
        <v>28790</v>
      </c>
      <c r="F242" s="21">
        <f t="shared" si="46"/>
        <v>34835.9</v>
      </c>
      <c r="G242" s="21"/>
      <c r="H242" s="135">
        <f t="shared" si="53"/>
        <v>0</v>
      </c>
      <c r="I242" s="294">
        <v>45059</v>
      </c>
      <c r="J242" s="294">
        <v>45332</v>
      </c>
      <c r="K242" s="42">
        <f>0.8*0.94*26397</f>
        <v>19850.544000000002</v>
      </c>
      <c r="L242" s="42"/>
      <c r="M242" s="42"/>
      <c r="N242" s="37"/>
      <c r="O242" s="11">
        <f t="shared" si="51"/>
        <v>19850.544000000002</v>
      </c>
      <c r="P242" s="11">
        <f t="shared" si="49"/>
        <v>19850.544000000002</v>
      </c>
      <c r="Q242" s="11">
        <v>1.45</v>
      </c>
      <c r="R242" s="11">
        <f t="shared" si="48"/>
        <v>28783.288800000002</v>
      </c>
      <c r="S242" s="11"/>
      <c r="T242" s="136">
        <f t="shared" si="54"/>
        <v>0</v>
      </c>
    </row>
    <row r="243" spans="1:20" ht="15.75" customHeight="1">
      <c r="A243" s="149" t="s">
        <v>44322</v>
      </c>
      <c r="B243" s="273"/>
      <c r="C243" s="28" t="s">
        <v>62610</v>
      </c>
      <c r="D243" s="41"/>
      <c r="E243" s="131">
        <f t="shared" si="52"/>
        <v>33580</v>
      </c>
      <c r="F243" s="21">
        <f t="shared" si="46"/>
        <v>40631.799999999996</v>
      </c>
      <c r="G243" s="21"/>
      <c r="H243" s="135">
        <f t="shared" si="53"/>
        <v>0</v>
      </c>
      <c r="I243" s="294">
        <v>45059</v>
      </c>
      <c r="J243" s="294">
        <v>45332</v>
      </c>
      <c r="K243" s="42">
        <f>0.8*0.94*30791</f>
        <v>23154.831999999999</v>
      </c>
      <c r="L243" s="42"/>
      <c r="M243" s="42"/>
      <c r="N243" s="37"/>
      <c r="O243" s="11">
        <f t="shared" si="51"/>
        <v>23154.831999999999</v>
      </c>
      <c r="P243" s="11">
        <f t="shared" si="49"/>
        <v>23154.831999999999</v>
      </c>
      <c r="Q243" s="11">
        <v>1.45</v>
      </c>
      <c r="R243" s="11">
        <f t="shared" si="48"/>
        <v>33574.506399999998</v>
      </c>
      <c r="S243" s="11"/>
      <c r="T243" s="136">
        <f t="shared" si="54"/>
        <v>0</v>
      </c>
    </row>
    <row r="244" spans="1:20" ht="15.75" customHeight="1">
      <c r="A244" s="149" t="s">
        <v>44322</v>
      </c>
      <c r="B244" s="273"/>
      <c r="C244" s="28" t="s">
        <v>4458</v>
      </c>
      <c r="D244" s="41">
        <v>910</v>
      </c>
      <c r="E244" s="131">
        <f t="shared" si="52"/>
        <v>19540</v>
      </c>
      <c r="F244" s="21">
        <f t="shared" si="46"/>
        <v>23643.399999999998</v>
      </c>
      <c r="G244" s="21"/>
      <c r="H244" s="135">
        <f t="shared" si="53"/>
        <v>0</v>
      </c>
      <c r="I244" s="294">
        <v>45075</v>
      </c>
      <c r="J244" s="294">
        <v>45332</v>
      </c>
      <c r="K244" s="42">
        <f>0.8*0.94*17914</f>
        <v>13471.328</v>
      </c>
      <c r="L244" s="42"/>
      <c r="M244" s="42"/>
      <c r="N244" s="37"/>
      <c r="O244" s="11">
        <f t="shared" si="51"/>
        <v>13471.328</v>
      </c>
      <c r="P244" s="11">
        <f t="shared" si="49"/>
        <v>13471.328</v>
      </c>
      <c r="Q244" s="11">
        <v>1.45</v>
      </c>
      <c r="R244" s="11">
        <f t="shared" si="48"/>
        <v>19533.425599999999</v>
      </c>
      <c r="S244" s="11"/>
      <c r="T244" s="136">
        <f t="shared" si="54"/>
        <v>0</v>
      </c>
    </row>
    <row r="245" spans="1:20" ht="15.75" customHeight="1">
      <c r="A245" s="149" t="s">
        <v>44322</v>
      </c>
      <c r="B245" s="273"/>
      <c r="C245" s="28" t="s">
        <v>4459</v>
      </c>
      <c r="D245" s="41">
        <v>830</v>
      </c>
      <c r="E245" s="131">
        <f t="shared" si="52"/>
        <v>17740</v>
      </c>
      <c r="F245" s="21">
        <f t="shared" si="46"/>
        <v>21465.399999999998</v>
      </c>
      <c r="G245" s="21"/>
      <c r="H245" s="135">
        <f t="shared" si="53"/>
        <v>0</v>
      </c>
      <c r="I245" s="294">
        <v>45059</v>
      </c>
      <c r="J245" s="294">
        <v>45332</v>
      </c>
      <c r="K245" s="42">
        <f>0.8*0.94*16267</f>
        <v>12232.784</v>
      </c>
      <c r="L245" s="42"/>
      <c r="M245" s="42"/>
      <c r="N245" s="37"/>
      <c r="O245" s="11">
        <f t="shared" si="51"/>
        <v>12232.784</v>
      </c>
      <c r="P245" s="11">
        <f t="shared" si="49"/>
        <v>12232.784</v>
      </c>
      <c r="Q245" s="11">
        <v>1.45</v>
      </c>
      <c r="R245" s="11">
        <f t="shared" si="48"/>
        <v>17737.536799999998</v>
      </c>
      <c r="S245" s="11"/>
      <c r="T245" s="136">
        <f t="shared" si="54"/>
        <v>0</v>
      </c>
    </row>
    <row r="246" spans="1:20" ht="15.75" customHeight="1">
      <c r="A246" s="149">
        <v>50</v>
      </c>
      <c r="B246" s="273">
        <f>ROUNDUP(+E246*1.105,-1)</f>
        <v>10780</v>
      </c>
      <c r="C246" s="28" t="s">
        <v>1272</v>
      </c>
      <c r="D246" s="156">
        <v>340</v>
      </c>
      <c r="E246" s="139">
        <f t="shared" si="52"/>
        <v>9750</v>
      </c>
      <c r="F246" s="21">
        <f t="shared" si="46"/>
        <v>11797.5</v>
      </c>
      <c r="G246" s="21">
        <f>8700*6+46300</f>
        <v>98500</v>
      </c>
      <c r="H246" s="135">
        <f t="shared" si="53"/>
        <v>8640</v>
      </c>
      <c r="I246" s="294">
        <v>45385</v>
      </c>
      <c r="J246" s="40"/>
      <c r="K246" s="102">
        <f>PROVEEDORES!$D$44*0.58/12*162.68</f>
        <v>6958.6369999999997</v>
      </c>
      <c r="L246" s="196"/>
      <c r="M246" s="11"/>
      <c r="N246" s="171">
        <f>PROVEEDORES!$D$44*0.5985/12*139.7</f>
        <v>6166.2706874999994</v>
      </c>
      <c r="O246" s="11">
        <f t="shared" si="51"/>
        <v>6958.6369999999997</v>
      </c>
      <c r="P246" s="11">
        <f t="shared" si="49"/>
        <v>6958.6369999999997</v>
      </c>
      <c r="Q246" s="11">
        <v>1.4</v>
      </c>
      <c r="R246" s="11">
        <f t="shared" si="48"/>
        <v>9742.0917999999983</v>
      </c>
      <c r="S246" s="11"/>
      <c r="T246" s="136">
        <f t="shared" si="54"/>
        <v>8632.7789624999987</v>
      </c>
    </row>
    <row r="247" spans="1:20" ht="15.75" customHeight="1">
      <c r="A247" s="149">
        <v>50</v>
      </c>
      <c r="B247" s="273">
        <f>ROUNDUP(+E247*1.105,-1)</f>
        <v>8500</v>
      </c>
      <c r="C247" s="28" t="s">
        <v>1273</v>
      </c>
      <c r="D247" s="156">
        <v>280</v>
      </c>
      <c r="E247" s="139">
        <f t="shared" si="52"/>
        <v>7690</v>
      </c>
      <c r="F247" s="21">
        <f t="shared" si="46"/>
        <v>9304.9</v>
      </c>
      <c r="G247" s="21"/>
      <c r="H247" s="135">
        <f t="shared" si="53"/>
        <v>7140</v>
      </c>
      <c r="I247" s="294">
        <v>45385</v>
      </c>
      <c r="J247" s="294"/>
      <c r="K247" s="102">
        <f>PROVEEDORES!$D$44*0.58/12*128.38</f>
        <v>5491.4544999999998</v>
      </c>
      <c r="L247" s="196"/>
      <c r="M247" s="11"/>
      <c r="N247" s="171">
        <f>PROVEEDORES!$D$44*0.5985/12*115.5</f>
        <v>5098.0978125000001</v>
      </c>
      <c r="O247" s="11">
        <f t="shared" si="51"/>
        <v>5491.4544999999998</v>
      </c>
      <c r="P247" s="11">
        <f t="shared" si="49"/>
        <v>5491.4544999999998</v>
      </c>
      <c r="Q247" s="11">
        <v>1.4</v>
      </c>
      <c r="R247" s="11">
        <f t="shared" si="48"/>
        <v>7688.0362999999988</v>
      </c>
      <c r="S247" s="11"/>
      <c r="T247" s="136">
        <f t="shared" si="54"/>
        <v>7137.3369375000002</v>
      </c>
    </row>
    <row r="248" spans="1:20" ht="15.75" customHeight="1">
      <c r="A248" s="149">
        <v>50</v>
      </c>
      <c r="B248" s="273"/>
      <c r="C248" s="28" t="s">
        <v>2151</v>
      </c>
      <c r="D248" s="156">
        <v>220</v>
      </c>
      <c r="E248" s="139">
        <f t="shared" si="52"/>
        <v>0</v>
      </c>
      <c r="F248" s="21">
        <f t="shared" si="46"/>
        <v>0</v>
      </c>
      <c r="G248" s="21"/>
      <c r="H248" s="135">
        <f t="shared" si="53"/>
        <v>0</v>
      </c>
      <c r="I248" s="294"/>
      <c r="J248" s="294"/>
      <c r="K248" s="102">
        <f>PROVEEDORES!$D$44*0.58/12*47</f>
        <v>2010.425</v>
      </c>
      <c r="L248" s="196"/>
      <c r="M248" s="11"/>
      <c r="N248" s="100"/>
      <c r="O248" s="11">
        <f t="shared" si="51"/>
        <v>2010.425</v>
      </c>
      <c r="P248" s="11">
        <f t="shared" si="49"/>
        <v>2010.425</v>
      </c>
      <c r="Q248" s="11"/>
      <c r="R248" s="11">
        <f t="shared" si="48"/>
        <v>0</v>
      </c>
      <c r="S248" s="11"/>
      <c r="T248" s="136">
        <f t="shared" si="54"/>
        <v>0</v>
      </c>
    </row>
    <row r="249" spans="1:20" ht="15.75" customHeight="1">
      <c r="A249" s="149" t="s">
        <v>2403</v>
      </c>
      <c r="B249" s="273"/>
      <c r="C249" s="28" t="s">
        <v>3392</v>
      </c>
      <c r="D249" s="41">
        <v>75</v>
      </c>
      <c r="E249" s="131">
        <f t="shared" si="52"/>
        <v>1250</v>
      </c>
      <c r="F249" s="21">
        <f t="shared" si="46"/>
        <v>1512.5</v>
      </c>
      <c r="G249" s="76" t="s">
        <v>37246</v>
      </c>
      <c r="H249" s="135">
        <f t="shared" si="53"/>
        <v>0</v>
      </c>
      <c r="I249" s="294">
        <v>45217</v>
      </c>
      <c r="J249" s="294">
        <v>45335</v>
      </c>
      <c r="K249" s="10">
        <f>0.6*1300</f>
        <v>780</v>
      </c>
      <c r="L249" s="172"/>
      <c r="M249" s="11"/>
      <c r="N249" s="100"/>
      <c r="O249" s="11">
        <f t="shared" si="51"/>
        <v>780</v>
      </c>
      <c r="P249" s="11">
        <f t="shared" si="49"/>
        <v>780</v>
      </c>
      <c r="Q249" s="11">
        <v>1.6</v>
      </c>
      <c r="R249" s="11">
        <f t="shared" si="48"/>
        <v>1248</v>
      </c>
      <c r="S249" s="11"/>
      <c r="T249" s="136">
        <f t="shared" si="54"/>
        <v>0</v>
      </c>
    </row>
    <row r="250" spans="1:20" ht="15.75" customHeight="1">
      <c r="A250" s="149">
        <v>21</v>
      </c>
      <c r="B250" s="273"/>
      <c r="C250" s="28" t="s">
        <v>1274</v>
      </c>
      <c r="D250" s="41">
        <v>840</v>
      </c>
      <c r="E250" s="131">
        <f t="shared" si="52"/>
        <v>14040</v>
      </c>
      <c r="F250" s="21">
        <f t="shared" si="46"/>
        <v>16988.399999999998</v>
      </c>
      <c r="G250" s="21"/>
      <c r="H250" s="135">
        <f t="shared" si="53"/>
        <v>0</v>
      </c>
      <c r="I250" s="294">
        <v>45217</v>
      </c>
      <c r="J250" s="40">
        <v>45335</v>
      </c>
      <c r="K250" s="10">
        <f>0.6*12*1300</f>
        <v>9359.9999999999982</v>
      </c>
      <c r="L250" s="11">
        <f>635*12*2</f>
        <v>15240</v>
      </c>
      <c r="M250" s="11"/>
      <c r="N250" s="100"/>
      <c r="O250" s="11">
        <f t="shared" si="51"/>
        <v>9359.9999999999982</v>
      </c>
      <c r="P250" s="11">
        <f t="shared" si="49"/>
        <v>9359.9999999999982</v>
      </c>
      <c r="Q250" s="11">
        <v>1.5</v>
      </c>
      <c r="R250" s="11">
        <f t="shared" si="48"/>
        <v>14039.999999999996</v>
      </c>
      <c r="S250" s="11"/>
      <c r="T250" s="136">
        <f t="shared" si="54"/>
        <v>0</v>
      </c>
    </row>
    <row r="251" spans="1:20" ht="15.75" customHeight="1">
      <c r="A251" s="149">
        <v>41</v>
      </c>
      <c r="B251" s="273"/>
      <c r="C251" s="28" t="s">
        <v>3793</v>
      </c>
      <c r="D251" s="41">
        <v>120</v>
      </c>
      <c r="E251" s="131">
        <f t="shared" si="52"/>
        <v>265500</v>
      </c>
      <c r="F251" s="21">
        <f t="shared" si="46"/>
        <v>321255</v>
      </c>
      <c r="G251" s="21"/>
      <c r="H251" s="135">
        <f t="shared" si="53"/>
        <v>0</v>
      </c>
      <c r="I251" s="294"/>
      <c r="J251" s="40">
        <v>44739</v>
      </c>
      <c r="K251" s="10">
        <f>0.9*PROVEEDORES!D35*172.31</f>
        <v>165934.53</v>
      </c>
      <c r="L251" s="11"/>
      <c r="M251" s="11"/>
      <c r="N251" s="100"/>
      <c r="O251" s="11">
        <f t="shared" si="51"/>
        <v>165934.53</v>
      </c>
      <c r="P251" s="11">
        <f t="shared" si="49"/>
        <v>165934.53</v>
      </c>
      <c r="Q251" s="11">
        <v>1.6</v>
      </c>
      <c r="R251" s="11">
        <f t="shared" si="48"/>
        <v>265495.24800000002</v>
      </c>
      <c r="S251" s="11"/>
      <c r="T251" s="136">
        <f t="shared" si="54"/>
        <v>0</v>
      </c>
    </row>
    <row r="252" spans="1:20" ht="15.75" customHeight="1">
      <c r="A252" s="149" t="s">
        <v>2438</v>
      </c>
      <c r="B252" s="273"/>
      <c r="C252" s="28" t="s">
        <v>1275</v>
      </c>
      <c r="D252" s="41">
        <v>120</v>
      </c>
      <c r="E252" s="131">
        <f t="shared" si="52"/>
        <v>2240</v>
      </c>
      <c r="F252" s="21">
        <f t="shared" si="46"/>
        <v>2710.4</v>
      </c>
      <c r="G252" s="21"/>
      <c r="H252" s="135">
        <f t="shared" si="53"/>
        <v>0</v>
      </c>
      <c r="I252" s="294">
        <v>45286</v>
      </c>
      <c r="J252" s="40"/>
      <c r="K252" s="10">
        <v>1487</v>
      </c>
      <c r="L252" s="11"/>
      <c r="M252" s="11"/>
      <c r="N252" s="100"/>
      <c r="O252" s="11">
        <f t="shared" si="51"/>
        <v>1487</v>
      </c>
      <c r="P252" s="11">
        <f t="shared" si="49"/>
        <v>1487</v>
      </c>
      <c r="Q252" s="11">
        <v>1.5</v>
      </c>
      <c r="R252" s="11">
        <f t="shared" si="48"/>
        <v>2230.5</v>
      </c>
      <c r="S252" s="11"/>
      <c r="T252" s="136"/>
    </row>
    <row r="253" spans="1:20" ht="15.75" customHeight="1">
      <c r="A253" s="149"/>
      <c r="B253" s="273"/>
      <c r="C253" s="28" t="s">
        <v>1276</v>
      </c>
      <c r="D253" s="41">
        <v>0</v>
      </c>
      <c r="E253" s="131">
        <f t="shared" si="52"/>
        <v>0</v>
      </c>
      <c r="F253" s="21">
        <f t="shared" si="46"/>
        <v>0</v>
      </c>
      <c r="G253" s="21"/>
      <c r="H253" s="135">
        <f t="shared" si="53"/>
        <v>0</v>
      </c>
      <c r="I253" s="294"/>
      <c r="J253" s="40">
        <v>42767</v>
      </c>
      <c r="K253" s="10">
        <f>1300*1.5</f>
        <v>1950</v>
      </c>
      <c r="L253" s="11">
        <f>1397*0.65*1.5</f>
        <v>1362.075</v>
      </c>
      <c r="M253" s="30"/>
      <c r="N253" s="100"/>
      <c r="O253" s="11">
        <f t="shared" si="51"/>
        <v>1362.075</v>
      </c>
      <c r="P253" s="11">
        <f t="shared" si="49"/>
        <v>1362.075</v>
      </c>
      <c r="Q253" s="11"/>
      <c r="R253" s="11">
        <f t="shared" si="48"/>
        <v>0</v>
      </c>
      <c r="S253" s="11"/>
      <c r="T253" s="136">
        <f t="shared" ref="T253:T284" si="55">+N253*Q253</f>
        <v>0</v>
      </c>
    </row>
    <row r="254" spans="1:20" ht="15.75" customHeight="1">
      <c r="A254" s="149"/>
      <c r="B254" s="273"/>
      <c r="C254" s="28" t="s">
        <v>1277</v>
      </c>
      <c r="D254" s="41">
        <v>3000</v>
      </c>
      <c r="E254" s="131">
        <f t="shared" si="52"/>
        <v>0</v>
      </c>
      <c r="F254" s="21">
        <f t="shared" si="46"/>
        <v>0</v>
      </c>
      <c r="G254" s="21"/>
      <c r="H254" s="135">
        <f t="shared" si="53"/>
        <v>0</v>
      </c>
      <c r="I254" s="294">
        <v>43637</v>
      </c>
      <c r="J254" s="294"/>
      <c r="K254" s="10">
        <f>2000*1.5</f>
        <v>3000</v>
      </c>
      <c r="L254" s="11"/>
      <c r="M254" s="11"/>
      <c r="N254" s="100"/>
      <c r="O254" s="11">
        <f t="shared" si="51"/>
        <v>3000</v>
      </c>
      <c r="P254" s="11">
        <f t="shared" si="49"/>
        <v>3000</v>
      </c>
      <c r="Q254" s="11"/>
      <c r="R254" s="11">
        <f t="shared" si="48"/>
        <v>0</v>
      </c>
      <c r="S254" s="11"/>
      <c r="T254" s="136">
        <f t="shared" si="55"/>
        <v>0</v>
      </c>
    </row>
    <row r="255" spans="1:20" ht="15.75" customHeight="1">
      <c r="A255" s="149">
        <v>30</v>
      </c>
      <c r="B255" s="273"/>
      <c r="C255" s="28" t="s">
        <v>2763</v>
      </c>
      <c r="D255" s="41">
        <v>4270</v>
      </c>
      <c r="E255" s="131">
        <f t="shared" si="52"/>
        <v>105540</v>
      </c>
      <c r="F255" s="21">
        <f t="shared" ref="F255:F317" si="56">+E255*1.21</f>
        <v>127703.4</v>
      </c>
      <c r="G255" s="21"/>
      <c r="H255" s="135">
        <f t="shared" si="53"/>
        <v>0</v>
      </c>
      <c r="I255" s="294">
        <v>45278</v>
      </c>
      <c r="J255" s="40">
        <v>45376</v>
      </c>
      <c r="K255" s="11">
        <f>0.67*PROVEEDORES!$D$24*122.75</f>
        <v>72784.612500000003</v>
      </c>
      <c r="L255" s="11"/>
      <c r="M255" s="11"/>
      <c r="N255" s="100"/>
      <c r="O255" s="11">
        <f t="shared" si="51"/>
        <v>72784.612500000003</v>
      </c>
      <c r="P255" s="11">
        <f t="shared" si="49"/>
        <v>72784.612500000003</v>
      </c>
      <c r="Q255" s="11">
        <v>1.45</v>
      </c>
      <c r="R255" s="11">
        <f t="shared" si="48"/>
        <v>105537.688125</v>
      </c>
      <c r="S255" s="11"/>
      <c r="T255" s="136">
        <f t="shared" si="55"/>
        <v>0</v>
      </c>
    </row>
    <row r="256" spans="1:20" ht="15.75" customHeight="1">
      <c r="A256" s="149">
        <v>30</v>
      </c>
      <c r="B256" s="273"/>
      <c r="C256" s="28" t="s">
        <v>2762</v>
      </c>
      <c r="D256" s="41">
        <v>3650</v>
      </c>
      <c r="E256" s="131">
        <f t="shared" si="52"/>
        <v>119940</v>
      </c>
      <c r="F256" s="21">
        <f t="shared" si="56"/>
        <v>145127.4</v>
      </c>
      <c r="G256" s="21"/>
      <c r="H256" s="135">
        <f t="shared" si="53"/>
        <v>0</v>
      </c>
      <c r="I256" s="294">
        <v>45278</v>
      </c>
      <c r="J256" s="40">
        <v>45323</v>
      </c>
      <c r="K256" s="11">
        <f>0.67*PROVEEDORES!$D$24*139.49</f>
        <v>82710.59550000001</v>
      </c>
      <c r="L256" s="11"/>
      <c r="M256" s="11"/>
      <c r="N256" s="100"/>
      <c r="O256" s="11">
        <f t="shared" si="51"/>
        <v>82710.59550000001</v>
      </c>
      <c r="P256" s="11">
        <f t="shared" si="49"/>
        <v>82710.59550000001</v>
      </c>
      <c r="Q256" s="11">
        <v>1.45</v>
      </c>
      <c r="R256" s="11">
        <f t="shared" si="48"/>
        <v>119930.36347500001</v>
      </c>
      <c r="S256" s="11"/>
      <c r="T256" s="136">
        <f t="shared" si="55"/>
        <v>0</v>
      </c>
    </row>
    <row r="257" spans="1:20" ht="15.75" customHeight="1">
      <c r="A257" s="149"/>
      <c r="B257" s="273"/>
      <c r="C257" s="28" t="s">
        <v>1279</v>
      </c>
      <c r="D257" s="41">
        <v>0</v>
      </c>
      <c r="E257" s="131">
        <f t="shared" si="52"/>
        <v>0</v>
      </c>
      <c r="F257" s="21">
        <f t="shared" si="56"/>
        <v>0</v>
      </c>
      <c r="G257" s="21"/>
      <c r="H257" s="135">
        <f t="shared" si="53"/>
        <v>0</v>
      </c>
      <c r="I257" s="294">
        <v>43181</v>
      </c>
      <c r="J257" s="40"/>
      <c r="K257" s="10">
        <f>822*1.5</f>
        <v>1233</v>
      </c>
      <c r="L257" s="11"/>
      <c r="M257" s="11"/>
      <c r="N257" s="100"/>
      <c r="O257" s="11">
        <f t="shared" si="51"/>
        <v>1233</v>
      </c>
      <c r="P257" s="11">
        <f t="shared" si="49"/>
        <v>1233</v>
      </c>
      <c r="Q257" s="11"/>
      <c r="R257" s="11">
        <f t="shared" si="48"/>
        <v>0</v>
      </c>
      <c r="S257" s="11"/>
      <c r="T257" s="136">
        <f t="shared" si="55"/>
        <v>0</v>
      </c>
    </row>
    <row r="258" spans="1:20" ht="15.75" customHeight="1">
      <c r="A258" s="149">
        <v>21</v>
      </c>
      <c r="B258" s="273"/>
      <c r="C258" s="28" t="s">
        <v>1278</v>
      </c>
      <c r="D258" s="41">
        <v>2970</v>
      </c>
      <c r="E258" s="131">
        <f t="shared" si="52"/>
        <v>0</v>
      </c>
      <c r="F258" s="21">
        <f t="shared" si="56"/>
        <v>0</v>
      </c>
      <c r="G258" s="21"/>
      <c r="H258" s="135">
        <f t="shared" si="53"/>
        <v>0</v>
      </c>
      <c r="I258" s="294">
        <v>44209</v>
      </c>
      <c r="J258" s="40"/>
      <c r="K258" s="10">
        <f>0.6*5350</f>
        <v>3210</v>
      </c>
      <c r="L258" s="10">
        <f>2900*0.65*1.5*1.05*2</f>
        <v>5937.75</v>
      </c>
      <c r="M258" s="11"/>
      <c r="N258" s="100"/>
      <c r="O258" s="11">
        <f t="shared" si="51"/>
        <v>3210</v>
      </c>
      <c r="P258" s="11">
        <f t="shared" si="49"/>
        <v>3210</v>
      </c>
      <c r="Q258" s="11"/>
      <c r="R258" s="11">
        <f t="shared" si="48"/>
        <v>0</v>
      </c>
      <c r="S258" s="11"/>
      <c r="T258" s="136">
        <f t="shared" si="55"/>
        <v>0</v>
      </c>
    </row>
    <row r="259" spans="1:20" ht="15.75" customHeight="1">
      <c r="A259" s="149">
        <v>21</v>
      </c>
      <c r="B259" s="273"/>
      <c r="C259" s="28" t="s">
        <v>1280</v>
      </c>
      <c r="D259" s="41">
        <v>100</v>
      </c>
      <c r="E259" s="131">
        <f t="shared" si="52"/>
        <v>0</v>
      </c>
      <c r="F259" s="21">
        <f t="shared" si="56"/>
        <v>0</v>
      </c>
      <c r="G259" s="21"/>
      <c r="H259" s="135">
        <f t="shared" si="53"/>
        <v>0</v>
      </c>
      <c r="I259" s="294">
        <v>3</v>
      </c>
      <c r="J259" s="294">
        <v>43889</v>
      </c>
      <c r="K259" s="10">
        <f>105*0.6*1.5</f>
        <v>94.5</v>
      </c>
      <c r="L259" s="11"/>
      <c r="M259" s="11"/>
      <c r="N259" s="100"/>
      <c r="O259" s="11">
        <f t="shared" si="51"/>
        <v>94.5</v>
      </c>
      <c r="P259" s="11">
        <f t="shared" si="49"/>
        <v>94.5</v>
      </c>
      <c r="Q259" s="11"/>
      <c r="R259" s="11">
        <f t="shared" si="48"/>
        <v>0</v>
      </c>
      <c r="S259" s="11"/>
      <c r="T259" s="136">
        <f t="shared" si="55"/>
        <v>0</v>
      </c>
    </row>
    <row r="260" spans="1:20" ht="15.75" customHeight="1">
      <c r="A260" s="149"/>
      <c r="B260" s="273"/>
      <c r="C260" s="28" t="s">
        <v>1281</v>
      </c>
      <c r="D260" s="41"/>
      <c r="E260" s="131">
        <f t="shared" si="52"/>
        <v>0</v>
      </c>
      <c r="F260" s="21">
        <f t="shared" si="56"/>
        <v>0</v>
      </c>
      <c r="G260" s="21"/>
      <c r="H260" s="135">
        <f t="shared" si="53"/>
        <v>0</v>
      </c>
      <c r="I260" s="294">
        <v>42758</v>
      </c>
      <c r="J260" s="294"/>
      <c r="K260" s="10">
        <f>10.65*1.5</f>
        <v>15.975000000000001</v>
      </c>
      <c r="L260" s="11">
        <f>50.65*0.59*1.5</f>
        <v>44.825249999999997</v>
      </c>
      <c r="M260" s="11"/>
      <c r="N260" s="100"/>
      <c r="O260" s="11">
        <f t="shared" si="51"/>
        <v>15.975000000000001</v>
      </c>
      <c r="P260" s="11">
        <f t="shared" si="49"/>
        <v>15.975000000000001</v>
      </c>
      <c r="Q260" s="11"/>
      <c r="R260" s="11">
        <f t="shared" si="48"/>
        <v>0</v>
      </c>
      <c r="S260" s="11"/>
      <c r="T260" s="136">
        <f t="shared" si="55"/>
        <v>0</v>
      </c>
    </row>
    <row r="261" spans="1:20" ht="15.75" customHeight="1">
      <c r="A261" s="149"/>
      <c r="B261" s="273"/>
      <c r="C261" s="28" t="s">
        <v>2440</v>
      </c>
      <c r="D261" s="41">
        <v>150</v>
      </c>
      <c r="E261" s="131">
        <f t="shared" si="52"/>
        <v>290</v>
      </c>
      <c r="F261" s="21">
        <f t="shared" si="56"/>
        <v>350.9</v>
      </c>
      <c r="G261" s="21"/>
      <c r="H261" s="135">
        <f t="shared" si="53"/>
        <v>0</v>
      </c>
      <c r="I261" s="294"/>
      <c r="J261" s="294">
        <v>44000</v>
      </c>
      <c r="K261" s="10">
        <f>90*1.5*1.5</f>
        <v>202.5</v>
      </c>
      <c r="L261" s="11"/>
      <c r="M261" s="11"/>
      <c r="N261" s="100"/>
      <c r="O261" s="11">
        <f t="shared" si="51"/>
        <v>202.5</v>
      </c>
      <c r="P261" s="11">
        <f t="shared" si="49"/>
        <v>202.5</v>
      </c>
      <c r="Q261" s="11">
        <v>1.4</v>
      </c>
      <c r="R261" s="11">
        <f t="shared" si="48"/>
        <v>283.5</v>
      </c>
      <c r="S261" s="11"/>
      <c r="T261" s="136">
        <f t="shared" si="55"/>
        <v>0</v>
      </c>
    </row>
    <row r="262" spans="1:20" ht="15.75" customHeight="1">
      <c r="A262" s="149">
        <v>47</v>
      </c>
      <c r="B262" s="273"/>
      <c r="C262" s="28" t="s">
        <v>2248</v>
      </c>
      <c r="D262" s="41">
        <v>50</v>
      </c>
      <c r="E262" s="131">
        <f t="shared" si="52"/>
        <v>0</v>
      </c>
      <c r="F262" s="21">
        <f t="shared" si="56"/>
        <v>0</v>
      </c>
      <c r="G262" s="21"/>
      <c r="H262" s="135">
        <f t="shared" si="53"/>
        <v>0</v>
      </c>
      <c r="I262" s="294"/>
      <c r="J262" s="294"/>
      <c r="K262" s="10">
        <f>35*1.5</f>
        <v>52.5</v>
      </c>
      <c r="L262" s="11"/>
      <c r="M262" s="11"/>
      <c r="N262" s="100"/>
      <c r="O262" s="11">
        <f t="shared" si="51"/>
        <v>52.5</v>
      </c>
      <c r="P262" s="11">
        <f t="shared" si="49"/>
        <v>52.5</v>
      </c>
      <c r="Q262" s="11"/>
      <c r="R262" s="11">
        <f t="shared" si="48"/>
        <v>0</v>
      </c>
      <c r="S262" s="11"/>
      <c r="T262" s="136">
        <f t="shared" si="55"/>
        <v>0</v>
      </c>
    </row>
    <row r="263" spans="1:20" ht="15.75" customHeight="1">
      <c r="A263" s="149"/>
      <c r="B263" s="273"/>
      <c r="C263" s="28" t="s">
        <v>4422</v>
      </c>
      <c r="D263" s="41">
        <v>35</v>
      </c>
      <c r="E263" s="131">
        <f t="shared" si="52"/>
        <v>0</v>
      </c>
      <c r="F263" s="21">
        <f t="shared" si="56"/>
        <v>0</v>
      </c>
      <c r="G263" s="21"/>
      <c r="H263" s="135">
        <f t="shared" si="53"/>
        <v>0</v>
      </c>
      <c r="I263" s="294"/>
      <c r="J263" s="294">
        <v>45110</v>
      </c>
      <c r="K263" s="10">
        <v>30</v>
      </c>
      <c r="L263" s="11"/>
      <c r="M263" s="11"/>
      <c r="N263" s="100"/>
      <c r="O263" s="11">
        <f t="shared" si="51"/>
        <v>30</v>
      </c>
      <c r="P263" s="11">
        <f t="shared" si="49"/>
        <v>30</v>
      </c>
      <c r="Q263" s="11"/>
      <c r="R263" s="11">
        <f t="shared" si="48"/>
        <v>0</v>
      </c>
      <c r="S263" s="11"/>
      <c r="T263" s="136">
        <f t="shared" si="55"/>
        <v>0</v>
      </c>
    </row>
    <row r="264" spans="1:20" ht="15.75" customHeight="1">
      <c r="A264" s="149">
        <v>36</v>
      </c>
      <c r="B264" s="273"/>
      <c r="C264" s="28" t="s">
        <v>3716</v>
      </c>
      <c r="D264" s="41">
        <v>440</v>
      </c>
      <c r="E264" s="131">
        <f t="shared" si="52"/>
        <v>2640</v>
      </c>
      <c r="F264" s="21">
        <f t="shared" si="56"/>
        <v>3194.4</v>
      </c>
      <c r="G264" s="21"/>
      <c r="H264" s="135">
        <f t="shared" si="53"/>
        <v>0</v>
      </c>
      <c r="I264" s="294">
        <v>44879</v>
      </c>
      <c r="J264" s="294">
        <v>45331</v>
      </c>
      <c r="K264" s="42">
        <f>0.8*0.94*2334</f>
        <v>1755.1679999999999</v>
      </c>
      <c r="L264" s="11"/>
      <c r="M264" s="11"/>
      <c r="N264" s="100"/>
      <c r="O264" s="11">
        <f t="shared" si="51"/>
        <v>1755.1679999999999</v>
      </c>
      <c r="P264" s="11">
        <f t="shared" si="49"/>
        <v>1755.1679999999999</v>
      </c>
      <c r="Q264" s="11">
        <v>1.5</v>
      </c>
      <c r="R264" s="11">
        <f t="shared" si="48"/>
        <v>2632.752</v>
      </c>
      <c r="S264" s="11"/>
      <c r="T264" s="136">
        <f t="shared" si="55"/>
        <v>0</v>
      </c>
    </row>
    <row r="265" spans="1:20" ht="15.75" customHeight="1">
      <c r="A265" s="149">
        <v>12</v>
      </c>
      <c r="B265" s="273"/>
      <c r="C265" s="28" t="s">
        <v>4130</v>
      </c>
      <c r="D265" s="41">
        <v>650</v>
      </c>
      <c r="E265" s="131">
        <f t="shared" si="52"/>
        <v>0</v>
      </c>
      <c r="F265" s="21">
        <f t="shared" si="56"/>
        <v>0</v>
      </c>
      <c r="G265" s="21"/>
      <c r="H265" s="135">
        <f t="shared" si="53"/>
        <v>0</v>
      </c>
      <c r="I265" s="294">
        <v>45108</v>
      </c>
      <c r="J265" s="294">
        <v>45222</v>
      </c>
      <c r="K265" s="10">
        <f>56*1.2</f>
        <v>67.2</v>
      </c>
      <c r="L265" s="11"/>
      <c r="M265" s="11"/>
      <c r="N265" s="100"/>
      <c r="O265" s="11">
        <f t="shared" si="51"/>
        <v>67.2</v>
      </c>
      <c r="P265" s="11">
        <f t="shared" ref="P265:P327" si="57">+O265</f>
        <v>67.2</v>
      </c>
      <c r="Q265" s="11"/>
      <c r="R265" s="11">
        <f t="shared" ref="R265:R327" si="58">+P265*Q265</f>
        <v>0</v>
      </c>
      <c r="S265" s="11"/>
      <c r="T265" s="136">
        <f t="shared" si="55"/>
        <v>0</v>
      </c>
    </row>
    <row r="266" spans="1:20" ht="15.75" customHeight="1">
      <c r="A266" s="149">
        <v>21</v>
      </c>
      <c r="B266" s="273"/>
      <c r="C266" s="28" t="s">
        <v>2488</v>
      </c>
      <c r="D266" s="41">
        <v>20</v>
      </c>
      <c r="E266" s="131">
        <f t="shared" si="52"/>
        <v>0</v>
      </c>
      <c r="F266" s="21">
        <f t="shared" si="56"/>
        <v>0</v>
      </c>
      <c r="G266" s="21"/>
      <c r="H266" s="135">
        <f t="shared" si="53"/>
        <v>0</v>
      </c>
      <c r="I266" s="294">
        <v>44344</v>
      </c>
      <c r="J266" s="294"/>
      <c r="K266" s="10">
        <f>0.6/50*1687</f>
        <v>20.244</v>
      </c>
      <c r="L266" s="11"/>
      <c r="M266" s="11"/>
      <c r="N266" s="100"/>
      <c r="O266" s="11">
        <f t="shared" si="51"/>
        <v>20.244</v>
      </c>
      <c r="P266" s="11">
        <f t="shared" si="57"/>
        <v>20.244</v>
      </c>
      <c r="Q266" s="11"/>
      <c r="R266" s="11">
        <f t="shared" si="58"/>
        <v>0</v>
      </c>
      <c r="S266" s="11"/>
      <c r="T266" s="136">
        <f t="shared" si="55"/>
        <v>0</v>
      </c>
    </row>
    <row r="267" spans="1:20" ht="15.75" customHeight="1">
      <c r="A267" s="149"/>
      <c r="B267" s="273"/>
      <c r="C267" s="28" t="s">
        <v>2868</v>
      </c>
      <c r="D267" s="41"/>
      <c r="E267" s="131">
        <f t="shared" si="52"/>
        <v>140</v>
      </c>
      <c r="F267" s="21">
        <f t="shared" si="56"/>
        <v>169.4</v>
      </c>
      <c r="G267" s="21"/>
      <c r="H267" s="135">
        <f t="shared" si="53"/>
        <v>0</v>
      </c>
      <c r="I267" s="294">
        <v>44371</v>
      </c>
      <c r="J267" s="294"/>
      <c r="K267" s="10">
        <v>70</v>
      </c>
      <c r="L267" s="11"/>
      <c r="M267" s="11"/>
      <c r="N267" s="100"/>
      <c r="O267" s="11">
        <f t="shared" si="51"/>
        <v>70</v>
      </c>
      <c r="P267" s="11">
        <f t="shared" si="57"/>
        <v>70</v>
      </c>
      <c r="Q267" s="11">
        <v>2</v>
      </c>
      <c r="R267" s="11">
        <f t="shared" si="58"/>
        <v>140</v>
      </c>
      <c r="S267" s="11"/>
      <c r="T267" s="136">
        <f t="shared" si="55"/>
        <v>0</v>
      </c>
    </row>
    <row r="268" spans="1:20" ht="15.75" customHeight="1">
      <c r="A268" s="149">
        <v>55</v>
      </c>
      <c r="B268" s="273"/>
      <c r="C268" s="28" t="s">
        <v>62684</v>
      </c>
      <c r="D268" s="41">
        <v>75</v>
      </c>
      <c r="E268" s="131">
        <f t="shared" si="52"/>
        <v>140</v>
      </c>
      <c r="F268" s="21">
        <f t="shared" si="56"/>
        <v>169.4</v>
      </c>
      <c r="G268" s="21"/>
      <c r="H268" s="135">
        <f t="shared" si="53"/>
        <v>0</v>
      </c>
      <c r="I268" s="294">
        <v>45376</v>
      </c>
      <c r="J268" s="294"/>
      <c r="K268" s="10">
        <v>79</v>
      </c>
      <c r="L268" s="11"/>
      <c r="M268" s="11"/>
      <c r="N268" s="100"/>
      <c r="O268" s="11">
        <f t="shared" si="51"/>
        <v>79</v>
      </c>
      <c r="P268" s="11">
        <f t="shared" si="57"/>
        <v>79</v>
      </c>
      <c r="Q268" s="11">
        <v>1.7</v>
      </c>
      <c r="R268" s="11">
        <f t="shared" si="58"/>
        <v>134.29999999999998</v>
      </c>
      <c r="S268" s="11"/>
      <c r="T268" s="136">
        <f t="shared" si="55"/>
        <v>0</v>
      </c>
    </row>
    <row r="269" spans="1:20" ht="15.75" customHeight="1">
      <c r="A269" s="149">
        <v>87</v>
      </c>
      <c r="B269" s="273"/>
      <c r="C269" s="28" t="s">
        <v>1282</v>
      </c>
      <c r="D269" s="41">
        <v>150</v>
      </c>
      <c r="E269" s="131">
        <f>ROUNDUP(R269,-1)</f>
        <v>3960</v>
      </c>
      <c r="F269" s="21">
        <f>+E269*1.21</f>
        <v>4791.5999999999995</v>
      </c>
      <c r="G269" s="21"/>
      <c r="H269" s="135">
        <f>ROUNDUP(T269,-1)</f>
        <v>0</v>
      </c>
      <c r="I269" s="23">
        <v>45323</v>
      </c>
      <c r="J269" s="40"/>
      <c r="K269" s="10">
        <v>2200</v>
      </c>
      <c r="L269" s="11"/>
      <c r="M269" s="11"/>
      <c r="N269" s="100"/>
      <c r="O269" s="11">
        <f>MIN(K269:M269)</f>
        <v>2200</v>
      </c>
      <c r="P269" s="11">
        <f t="shared" si="57"/>
        <v>2200</v>
      </c>
      <c r="Q269" s="11">
        <v>1.8</v>
      </c>
      <c r="R269" s="11">
        <f t="shared" si="58"/>
        <v>3960</v>
      </c>
      <c r="S269" s="11"/>
      <c r="T269" s="136">
        <f>+N269*Q269</f>
        <v>0</v>
      </c>
    </row>
    <row r="270" spans="1:20" ht="15.75" customHeight="1">
      <c r="A270" s="149">
        <v>87</v>
      </c>
      <c r="B270" s="273"/>
      <c r="C270" s="28" t="s">
        <v>1283</v>
      </c>
      <c r="D270" s="41">
        <v>200</v>
      </c>
      <c r="E270" s="131">
        <f>ROUNDUP(R270,-1)</f>
        <v>4680</v>
      </c>
      <c r="F270" s="21">
        <f>+E270*1.21</f>
        <v>5662.8</v>
      </c>
      <c r="G270" s="21"/>
      <c r="H270" s="135">
        <f>ROUNDUP(T270,-1)</f>
        <v>0</v>
      </c>
      <c r="I270" s="23">
        <v>45323</v>
      </c>
      <c r="J270" s="40"/>
      <c r="K270" s="10">
        <v>2600</v>
      </c>
      <c r="L270" s="11"/>
      <c r="M270" s="11"/>
      <c r="N270" s="100"/>
      <c r="O270" s="11">
        <f>MIN(K270:M270)</f>
        <v>2600</v>
      </c>
      <c r="P270" s="11">
        <f t="shared" si="57"/>
        <v>2600</v>
      </c>
      <c r="Q270" s="11">
        <v>1.8</v>
      </c>
      <c r="R270" s="11">
        <f t="shared" si="58"/>
        <v>4680</v>
      </c>
      <c r="S270" s="11"/>
      <c r="T270" s="136">
        <f>+N270*Q270</f>
        <v>0</v>
      </c>
    </row>
    <row r="271" spans="1:20" ht="15.75" customHeight="1">
      <c r="A271" s="149">
        <v>87</v>
      </c>
      <c r="B271" s="273"/>
      <c r="C271" s="28" t="s">
        <v>1284</v>
      </c>
      <c r="D271" s="41">
        <v>270</v>
      </c>
      <c r="E271" s="131">
        <f t="shared" si="52"/>
        <v>5580</v>
      </c>
      <c r="F271" s="21">
        <f t="shared" si="56"/>
        <v>6751.8</v>
      </c>
      <c r="G271" s="21"/>
      <c r="H271" s="135">
        <f t="shared" si="53"/>
        <v>0</v>
      </c>
      <c r="I271" s="23">
        <v>45323</v>
      </c>
      <c r="J271" s="40"/>
      <c r="K271" s="10">
        <v>3100</v>
      </c>
      <c r="L271" s="31"/>
      <c r="M271" s="11"/>
      <c r="N271" s="100"/>
      <c r="O271" s="11">
        <f t="shared" si="51"/>
        <v>3100</v>
      </c>
      <c r="P271" s="11">
        <f t="shared" si="57"/>
        <v>3100</v>
      </c>
      <c r="Q271" s="11">
        <v>1.8</v>
      </c>
      <c r="R271" s="11">
        <f t="shared" si="58"/>
        <v>5580</v>
      </c>
      <c r="S271" s="11"/>
      <c r="T271" s="136">
        <f t="shared" si="55"/>
        <v>0</v>
      </c>
    </row>
    <row r="272" spans="1:20" ht="15.75" customHeight="1">
      <c r="A272" s="149">
        <v>87</v>
      </c>
      <c r="B272" s="273"/>
      <c r="C272" s="28" t="s">
        <v>1285</v>
      </c>
      <c r="D272" s="41">
        <v>630</v>
      </c>
      <c r="E272" s="131">
        <f t="shared" si="52"/>
        <v>8820</v>
      </c>
      <c r="F272" s="21">
        <f t="shared" si="56"/>
        <v>10672.199999999999</v>
      </c>
      <c r="G272" s="21"/>
      <c r="H272" s="135">
        <f t="shared" si="53"/>
        <v>0</v>
      </c>
      <c r="I272" s="23">
        <v>45323</v>
      </c>
      <c r="J272" s="40">
        <v>45377</v>
      </c>
      <c r="K272" s="10">
        <v>4900</v>
      </c>
      <c r="L272" s="11"/>
      <c r="M272" s="11"/>
      <c r="N272" s="100"/>
      <c r="O272" s="11">
        <f t="shared" si="51"/>
        <v>4900</v>
      </c>
      <c r="P272" s="11">
        <f t="shared" si="57"/>
        <v>4900</v>
      </c>
      <c r="Q272" s="11">
        <v>1.8</v>
      </c>
      <c r="R272" s="11">
        <f t="shared" si="58"/>
        <v>8820</v>
      </c>
      <c r="S272" s="11"/>
      <c r="T272" s="136">
        <f t="shared" si="55"/>
        <v>0</v>
      </c>
    </row>
    <row r="273" spans="1:20" ht="15.75" customHeight="1">
      <c r="A273" s="149">
        <v>87</v>
      </c>
      <c r="B273" s="273"/>
      <c r="C273" s="28" t="s">
        <v>1286</v>
      </c>
      <c r="D273" s="41">
        <v>810</v>
      </c>
      <c r="E273" s="131">
        <f t="shared" si="52"/>
        <v>9540</v>
      </c>
      <c r="F273" s="21">
        <f t="shared" si="56"/>
        <v>11543.4</v>
      </c>
      <c r="G273" s="21"/>
      <c r="H273" s="135">
        <f t="shared" si="53"/>
        <v>0</v>
      </c>
      <c r="I273" s="23">
        <v>45323</v>
      </c>
      <c r="J273" s="40">
        <v>45377</v>
      </c>
      <c r="K273" s="32">
        <v>5300</v>
      </c>
      <c r="L273" s="31"/>
      <c r="M273" s="11"/>
      <c r="N273" s="100"/>
      <c r="O273" s="11">
        <f t="shared" si="51"/>
        <v>5300</v>
      </c>
      <c r="P273" s="11">
        <f t="shared" si="57"/>
        <v>5300</v>
      </c>
      <c r="Q273" s="11">
        <v>1.8</v>
      </c>
      <c r="R273" s="11">
        <f t="shared" si="58"/>
        <v>9540</v>
      </c>
      <c r="S273" s="11"/>
      <c r="T273" s="136">
        <f t="shared" si="55"/>
        <v>0</v>
      </c>
    </row>
    <row r="274" spans="1:20" ht="15.75" customHeight="1">
      <c r="A274" s="149">
        <v>87</v>
      </c>
      <c r="B274" s="273"/>
      <c r="C274" s="28" t="s">
        <v>1287</v>
      </c>
      <c r="D274" s="41">
        <v>990</v>
      </c>
      <c r="E274" s="131">
        <f t="shared" si="52"/>
        <v>15840</v>
      </c>
      <c r="F274" s="21">
        <f t="shared" si="56"/>
        <v>19166.399999999998</v>
      </c>
      <c r="G274" s="21"/>
      <c r="H274" s="135">
        <f t="shared" si="53"/>
        <v>0</v>
      </c>
      <c r="I274" s="23">
        <v>45323</v>
      </c>
      <c r="J274" s="40"/>
      <c r="K274" s="10">
        <v>8800</v>
      </c>
      <c r="L274" s="11"/>
      <c r="M274" s="11"/>
      <c r="N274" s="100"/>
      <c r="O274" s="11">
        <f t="shared" si="51"/>
        <v>8800</v>
      </c>
      <c r="P274" s="11">
        <f t="shared" si="57"/>
        <v>8800</v>
      </c>
      <c r="Q274" s="11">
        <v>1.8</v>
      </c>
      <c r="R274" s="11">
        <f t="shared" si="58"/>
        <v>15840</v>
      </c>
      <c r="S274" s="11"/>
      <c r="T274" s="136">
        <f t="shared" si="55"/>
        <v>0</v>
      </c>
    </row>
    <row r="275" spans="1:20" ht="15.75" customHeight="1">
      <c r="A275" s="149">
        <v>87</v>
      </c>
      <c r="B275" s="273"/>
      <c r="C275" s="28" t="s">
        <v>1288</v>
      </c>
      <c r="D275" s="41">
        <v>650</v>
      </c>
      <c r="E275" s="131">
        <f t="shared" si="52"/>
        <v>12960</v>
      </c>
      <c r="F275" s="21">
        <f t="shared" si="56"/>
        <v>15681.6</v>
      </c>
      <c r="G275" s="21"/>
      <c r="H275" s="135">
        <f t="shared" si="53"/>
        <v>0</v>
      </c>
      <c r="I275" s="23">
        <v>45323</v>
      </c>
      <c r="J275" s="294"/>
      <c r="K275" s="10">
        <v>7200</v>
      </c>
      <c r="L275" s="11"/>
      <c r="M275" s="11"/>
      <c r="N275" s="100"/>
      <c r="O275" s="11">
        <f t="shared" ref="O275:O337" si="59">MIN(K275:M275)</f>
        <v>7200</v>
      </c>
      <c r="P275" s="11">
        <f t="shared" si="57"/>
        <v>7200</v>
      </c>
      <c r="Q275" s="11">
        <v>1.8</v>
      </c>
      <c r="R275" s="11">
        <f t="shared" si="58"/>
        <v>12960</v>
      </c>
      <c r="S275" s="11"/>
      <c r="T275" s="136">
        <f t="shared" si="55"/>
        <v>0</v>
      </c>
    </row>
    <row r="276" spans="1:20" ht="15.75" customHeight="1">
      <c r="A276" s="149">
        <v>87</v>
      </c>
      <c r="B276" s="273"/>
      <c r="C276" s="28" t="s">
        <v>3983</v>
      </c>
      <c r="D276" s="41">
        <v>180</v>
      </c>
      <c r="E276" s="131">
        <f t="shared" si="52"/>
        <v>3150</v>
      </c>
      <c r="F276" s="21">
        <f t="shared" si="56"/>
        <v>3811.5</v>
      </c>
      <c r="G276" s="21"/>
      <c r="H276" s="135">
        <f t="shared" si="53"/>
        <v>0</v>
      </c>
      <c r="I276" s="23">
        <v>45323</v>
      </c>
      <c r="J276" s="294"/>
      <c r="K276" s="10">
        <v>1750</v>
      </c>
      <c r="L276" s="11"/>
      <c r="M276" s="11"/>
      <c r="N276" s="100"/>
      <c r="O276" s="11">
        <f t="shared" si="59"/>
        <v>1750</v>
      </c>
      <c r="P276" s="11">
        <f t="shared" si="57"/>
        <v>1750</v>
      </c>
      <c r="Q276" s="11">
        <v>1.8</v>
      </c>
      <c r="R276" s="11">
        <f t="shared" si="58"/>
        <v>3150</v>
      </c>
      <c r="S276" s="11"/>
      <c r="T276" s="136">
        <f t="shared" si="55"/>
        <v>0</v>
      </c>
    </row>
    <row r="277" spans="1:20" ht="15.75" customHeight="1">
      <c r="A277" s="149">
        <v>51</v>
      </c>
      <c r="B277" s="273"/>
      <c r="C277" s="28" t="s">
        <v>1291</v>
      </c>
      <c r="D277" s="41">
        <v>2780</v>
      </c>
      <c r="E277" s="199">
        <f t="shared" si="52"/>
        <v>51640</v>
      </c>
      <c r="F277" s="21">
        <f t="shared" si="56"/>
        <v>62484.4</v>
      </c>
      <c r="G277" s="21"/>
      <c r="H277" s="135">
        <f t="shared" si="53"/>
        <v>0</v>
      </c>
      <c r="I277" s="294">
        <v>45383</v>
      </c>
      <c r="J277" s="294"/>
      <c r="K277" s="10">
        <f>0.85*40495</f>
        <v>34420.75</v>
      </c>
      <c r="L277" s="10"/>
      <c r="M277" s="10"/>
      <c r="N277" s="100"/>
      <c r="O277" s="11">
        <f t="shared" si="59"/>
        <v>34420.75</v>
      </c>
      <c r="P277" s="11">
        <f t="shared" si="57"/>
        <v>34420.75</v>
      </c>
      <c r="Q277" s="11">
        <v>1.5</v>
      </c>
      <c r="R277" s="11">
        <f t="shared" si="58"/>
        <v>51631.125</v>
      </c>
      <c r="S277" s="11"/>
      <c r="T277" s="136">
        <f t="shared" si="55"/>
        <v>0</v>
      </c>
    </row>
    <row r="278" spans="1:20" ht="15.75" customHeight="1">
      <c r="A278" s="149">
        <v>51</v>
      </c>
      <c r="B278" s="273"/>
      <c r="C278" s="28" t="s">
        <v>1290</v>
      </c>
      <c r="D278" s="41">
        <v>1450</v>
      </c>
      <c r="E278" s="199">
        <f>ROUNDUP(R278,-1)</f>
        <v>27970</v>
      </c>
      <c r="F278" s="21">
        <f>+E278*1.21</f>
        <v>33843.699999999997</v>
      </c>
      <c r="G278" s="21"/>
      <c r="H278" s="135">
        <f>ROUNDUP(T278,-1)</f>
        <v>0</v>
      </c>
      <c r="I278" s="294">
        <v>45383</v>
      </c>
      <c r="J278" s="294"/>
      <c r="K278" s="10">
        <f>0.85*21935</f>
        <v>18644.75</v>
      </c>
      <c r="L278" s="10"/>
      <c r="M278" s="10"/>
      <c r="N278" s="100"/>
      <c r="O278" s="11">
        <f>MIN(K278:M278)</f>
        <v>18644.75</v>
      </c>
      <c r="P278" s="11">
        <f t="shared" si="57"/>
        <v>18644.75</v>
      </c>
      <c r="Q278" s="11">
        <v>1.5</v>
      </c>
      <c r="R278" s="11">
        <f t="shared" si="58"/>
        <v>27967.125</v>
      </c>
      <c r="S278" s="11"/>
      <c r="T278" s="136">
        <f>+N278*Q278</f>
        <v>0</v>
      </c>
    </row>
    <row r="279" spans="1:20" ht="15.75" customHeight="1">
      <c r="A279" s="149">
        <v>44</v>
      </c>
      <c r="B279" s="273">
        <f>ROUNDUP(H279*1.105,-1)</f>
        <v>29090</v>
      </c>
      <c r="C279" s="28" t="s">
        <v>2911</v>
      </c>
      <c r="D279" s="41">
        <v>7200</v>
      </c>
      <c r="E279" s="131">
        <f t="shared" si="52"/>
        <v>50580</v>
      </c>
      <c r="F279" s="21">
        <f t="shared" si="56"/>
        <v>61201.799999999996</v>
      </c>
      <c r="G279" s="21"/>
      <c r="H279" s="135">
        <f t="shared" si="53"/>
        <v>26320</v>
      </c>
      <c r="I279" s="294">
        <v>45287</v>
      </c>
      <c r="J279" s="294">
        <v>45342</v>
      </c>
      <c r="K279" s="10">
        <f>+PROVEEDORES!$D$38*40.82</f>
        <v>36125.699999999997</v>
      </c>
      <c r="L279" s="10"/>
      <c r="M279" s="11"/>
      <c r="N279" s="100">
        <f>23500*0.8</f>
        <v>18800</v>
      </c>
      <c r="O279" s="11">
        <f t="shared" si="59"/>
        <v>36125.699999999997</v>
      </c>
      <c r="P279" s="11">
        <f t="shared" si="57"/>
        <v>36125.699999999997</v>
      </c>
      <c r="Q279" s="11">
        <v>1.4</v>
      </c>
      <c r="R279" s="11">
        <f t="shared" si="58"/>
        <v>50575.979999999996</v>
      </c>
      <c r="S279" s="11"/>
      <c r="T279" s="136">
        <f t="shared" si="55"/>
        <v>26320</v>
      </c>
    </row>
    <row r="280" spans="1:20" ht="15.75" customHeight="1">
      <c r="A280" s="149">
        <v>50</v>
      </c>
      <c r="B280" s="273">
        <f>ROUNDUP(E280*1.105,-1)</f>
        <v>176920</v>
      </c>
      <c r="C280" s="28" t="s">
        <v>1289</v>
      </c>
      <c r="D280" s="142">
        <v>5430</v>
      </c>
      <c r="E280" s="139">
        <f t="shared" si="52"/>
        <v>160100</v>
      </c>
      <c r="F280" s="21">
        <f t="shared" si="56"/>
        <v>193721</v>
      </c>
      <c r="G280" s="44"/>
      <c r="H280" s="135">
        <f t="shared" si="53"/>
        <v>151170</v>
      </c>
      <c r="I280" s="294">
        <v>45385</v>
      </c>
      <c r="J280" s="294"/>
      <c r="K280" s="102">
        <f>PROVEEDORES!$D$44*0.58*226.01</f>
        <v>116010.93299999999</v>
      </c>
      <c r="L280" s="10"/>
      <c r="M280" s="11"/>
      <c r="N280" s="171">
        <f>PROVEEDORES!$D$44*0.5985*206.8</f>
        <v>109536.27300000002</v>
      </c>
      <c r="O280" s="11">
        <f t="shared" si="59"/>
        <v>116010.93299999999</v>
      </c>
      <c r="P280" s="11">
        <f t="shared" si="57"/>
        <v>116010.93299999999</v>
      </c>
      <c r="Q280" s="11">
        <v>1.38</v>
      </c>
      <c r="R280" s="11">
        <f t="shared" si="58"/>
        <v>160095.08753999998</v>
      </c>
      <c r="S280" s="11"/>
      <c r="T280" s="136">
        <f t="shared" si="55"/>
        <v>151160.05674</v>
      </c>
    </row>
    <row r="281" spans="1:20" ht="15.75" customHeight="1">
      <c r="A281" s="149">
        <v>36</v>
      </c>
      <c r="B281" s="273"/>
      <c r="C281" s="28" t="s">
        <v>3635</v>
      </c>
      <c r="D281" s="71">
        <v>130</v>
      </c>
      <c r="E281" s="131">
        <f t="shared" si="52"/>
        <v>3750</v>
      </c>
      <c r="F281" s="21">
        <f t="shared" si="56"/>
        <v>4537.5</v>
      </c>
      <c r="G281" s="21"/>
      <c r="H281" s="135">
        <f t="shared" si="53"/>
        <v>0</v>
      </c>
      <c r="I281" s="294">
        <v>45059</v>
      </c>
      <c r="J281" s="294">
        <v>45331</v>
      </c>
      <c r="K281" s="10">
        <f>0.8*0.94*3434</f>
        <v>2582.3679999999999</v>
      </c>
      <c r="L281" s="10"/>
      <c r="M281" s="10"/>
      <c r="N281" s="100"/>
      <c r="O281" s="11">
        <f t="shared" si="59"/>
        <v>2582.3679999999999</v>
      </c>
      <c r="P281" s="11">
        <f t="shared" si="57"/>
        <v>2582.3679999999999</v>
      </c>
      <c r="Q281" s="11">
        <v>1.45</v>
      </c>
      <c r="R281" s="11">
        <f t="shared" si="58"/>
        <v>3744.4335999999998</v>
      </c>
      <c r="S281" s="11"/>
      <c r="T281" s="136">
        <f t="shared" si="55"/>
        <v>0</v>
      </c>
    </row>
    <row r="282" spans="1:20" ht="15.75" customHeight="1">
      <c r="A282" s="149" t="s">
        <v>2398</v>
      </c>
      <c r="B282" s="273"/>
      <c r="C282" s="28" t="s">
        <v>4436</v>
      </c>
      <c r="D282" s="41"/>
      <c r="E282" s="131">
        <f t="shared" si="52"/>
        <v>207760</v>
      </c>
      <c r="F282" s="21">
        <f t="shared" si="56"/>
        <v>251389.6</v>
      </c>
      <c r="G282" s="21"/>
      <c r="H282" s="135">
        <f t="shared" si="53"/>
        <v>0</v>
      </c>
      <c r="I282" s="23">
        <v>45323</v>
      </c>
      <c r="J282" s="294"/>
      <c r="K282" s="10">
        <f>0.8*0.97*0.94*206392</f>
        <v>150550.58048</v>
      </c>
      <c r="L282" s="10"/>
      <c r="M282" s="10"/>
      <c r="N282" s="100"/>
      <c r="O282" s="11">
        <f t="shared" si="59"/>
        <v>150550.58048</v>
      </c>
      <c r="P282" s="11">
        <f>+O282*'AUMENTOS %'!$B$5</f>
        <v>150550.58048</v>
      </c>
      <c r="Q282" s="11">
        <v>1.38</v>
      </c>
      <c r="R282" s="11">
        <f t="shared" si="58"/>
        <v>207759.80106239999</v>
      </c>
      <c r="S282" s="11"/>
      <c r="T282" s="136">
        <f t="shared" si="55"/>
        <v>0</v>
      </c>
    </row>
    <row r="283" spans="1:20" ht="15.75" customHeight="1">
      <c r="A283" s="149">
        <v>38</v>
      </c>
      <c r="B283" s="273"/>
      <c r="C283" s="28" t="s">
        <v>62636</v>
      </c>
      <c r="D283" s="41"/>
      <c r="E283" s="131">
        <f t="shared" ref="E283" si="60">ROUNDUP(R283,-1)</f>
        <v>81390</v>
      </c>
      <c r="F283" s="21">
        <f t="shared" ref="F283" si="61">+E283*1.21</f>
        <v>98481.9</v>
      </c>
      <c r="G283" s="21"/>
      <c r="H283" s="135">
        <f t="shared" ref="H283" si="62">ROUNDUP(T283,-1)</f>
        <v>0</v>
      </c>
      <c r="I283" s="23">
        <v>45350</v>
      </c>
      <c r="J283" s="294"/>
      <c r="K283" s="10">
        <v>56128</v>
      </c>
      <c r="L283" s="10"/>
      <c r="M283" s="10"/>
      <c r="N283" s="100"/>
      <c r="O283" s="11">
        <f t="shared" ref="O283" si="63">MIN(K283:M283)</f>
        <v>56128</v>
      </c>
      <c r="P283" s="11">
        <f>+O283*'AUMENTOS %'!$B$5</f>
        <v>56128</v>
      </c>
      <c r="Q283" s="11">
        <v>1.45</v>
      </c>
      <c r="R283" s="11">
        <f t="shared" ref="R283" si="64">+P283*Q283</f>
        <v>81385.599999999991</v>
      </c>
      <c r="S283" s="11"/>
      <c r="T283" s="136">
        <f t="shared" ref="T283" si="65">+N283*Q283</f>
        <v>0</v>
      </c>
    </row>
    <row r="284" spans="1:20" ht="15.75" customHeight="1">
      <c r="A284" s="149"/>
      <c r="B284" s="273"/>
      <c r="C284" s="28" t="s">
        <v>1292</v>
      </c>
      <c r="D284" s="41">
        <v>520</v>
      </c>
      <c r="E284" s="131">
        <f t="shared" si="52"/>
        <v>0</v>
      </c>
      <c r="F284" s="21">
        <f t="shared" si="56"/>
        <v>0</v>
      </c>
      <c r="G284" s="21"/>
      <c r="H284" s="135">
        <f t="shared" si="53"/>
        <v>0</v>
      </c>
      <c r="I284" s="294">
        <v>43109</v>
      </c>
      <c r="J284" s="294"/>
      <c r="K284" s="11">
        <f>686*0.5*1.5</f>
        <v>514.5</v>
      </c>
      <c r="L284" s="11"/>
      <c r="M284" s="11"/>
      <c r="N284" s="100"/>
      <c r="O284" s="11">
        <f t="shared" si="59"/>
        <v>514.5</v>
      </c>
      <c r="P284" s="11">
        <f t="shared" si="57"/>
        <v>514.5</v>
      </c>
      <c r="Q284" s="11"/>
      <c r="R284" s="11">
        <f t="shared" si="58"/>
        <v>0</v>
      </c>
      <c r="S284" s="11"/>
      <c r="T284" s="136">
        <f t="shared" si="55"/>
        <v>0</v>
      </c>
    </row>
    <row r="285" spans="1:20" ht="15.75" customHeight="1">
      <c r="A285" s="149"/>
      <c r="B285" s="273"/>
      <c r="C285" s="28" t="s">
        <v>1293</v>
      </c>
      <c r="D285" s="71">
        <v>1480</v>
      </c>
      <c r="E285" s="131">
        <f t="shared" si="52"/>
        <v>0</v>
      </c>
      <c r="F285" s="21">
        <f t="shared" si="56"/>
        <v>0</v>
      </c>
      <c r="G285" s="21"/>
      <c r="H285" s="135">
        <f t="shared" si="53"/>
        <v>0</v>
      </c>
      <c r="I285" s="294">
        <v>43556</v>
      </c>
      <c r="J285" s="294">
        <v>43662</v>
      </c>
      <c r="K285" s="10">
        <f>(620+370)*1.5</f>
        <v>1485</v>
      </c>
      <c r="L285" s="11"/>
      <c r="M285" s="11"/>
      <c r="N285" s="100"/>
      <c r="O285" s="11">
        <f>MIN(K285:M285)*'AUMENTOS %'!$B$9</f>
        <v>1485</v>
      </c>
      <c r="P285" s="11">
        <f t="shared" si="57"/>
        <v>1485</v>
      </c>
      <c r="Q285" s="11"/>
      <c r="R285" s="11">
        <f t="shared" si="58"/>
        <v>0</v>
      </c>
      <c r="S285" s="11"/>
      <c r="T285" s="136">
        <f t="shared" ref="T285:T316" si="66">+N285*Q285</f>
        <v>0</v>
      </c>
    </row>
    <row r="286" spans="1:20" ht="15.75" customHeight="1">
      <c r="A286" s="149"/>
      <c r="B286" s="273"/>
      <c r="C286" s="28" t="s">
        <v>3451</v>
      </c>
      <c r="D286" s="71"/>
      <c r="E286" s="131">
        <f t="shared" si="52"/>
        <v>0</v>
      </c>
      <c r="F286" s="21">
        <f t="shared" si="56"/>
        <v>0</v>
      </c>
      <c r="G286" s="21"/>
      <c r="H286" s="135">
        <f t="shared" si="53"/>
        <v>0</v>
      </c>
      <c r="I286" s="294"/>
      <c r="J286" s="294">
        <v>44418</v>
      </c>
      <c r="K286" s="10">
        <v>587</v>
      </c>
      <c r="L286" s="11"/>
      <c r="M286" s="11"/>
      <c r="N286" s="100"/>
      <c r="O286" s="11">
        <f>MIN(K286:M286)*'AUMENTOS %'!$B$9</f>
        <v>587</v>
      </c>
      <c r="P286" s="11">
        <f t="shared" si="57"/>
        <v>587</v>
      </c>
      <c r="Q286" s="11"/>
      <c r="R286" s="11">
        <f t="shared" si="58"/>
        <v>0</v>
      </c>
      <c r="S286" s="11"/>
      <c r="T286" s="136">
        <f t="shared" si="66"/>
        <v>0</v>
      </c>
    </row>
    <row r="287" spans="1:20" ht="15.75" customHeight="1">
      <c r="A287" s="149"/>
      <c r="B287" s="273"/>
      <c r="C287" s="28" t="s">
        <v>1294</v>
      </c>
      <c r="D287" s="71">
        <v>2350</v>
      </c>
      <c r="E287" s="131">
        <f t="shared" si="52"/>
        <v>0</v>
      </c>
      <c r="F287" s="21">
        <f t="shared" si="56"/>
        <v>0</v>
      </c>
      <c r="G287" s="21"/>
      <c r="H287" s="135">
        <f t="shared" si="53"/>
        <v>0</v>
      </c>
      <c r="I287" s="294">
        <v>43564</v>
      </c>
      <c r="J287" s="294"/>
      <c r="K287" s="10">
        <f>1564*1.5</f>
        <v>2346</v>
      </c>
      <c r="L287" s="11"/>
      <c r="M287" s="11"/>
      <c r="N287" s="100"/>
      <c r="O287" s="11">
        <f t="shared" si="59"/>
        <v>2346</v>
      </c>
      <c r="P287" s="11">
        <f t="shared" si="57"/>
        <v>2346</v>
      </c>
      <c r="Q287" s="11"/>
      <c r="R287" s="11">
        <f t="shared" si="58"/>
        <v>0</v>
      </c>
      <c r="S287" s="11"/>
      <c r="T287" s="136">
        <f t="shared" si="66"/>
        <v>0</v>
      </c>
    </row>
    <row r="288" spans="1:20" ht="15.75" customHeight="1">
      <c r="A288" s="149" t="s">
        <v>3918</v>
      </c>
      <c r="B288" s="273"/>
      <c r="C288" s="28" t="s">
        <v>4418</v>
      </c>
      <c r="D288" s="71">
        <v>130</v>
      </c>
      <c r="E288" s="131">
        <f t="shared" si="52"/>
        <v>2050</v>
      </c>
      <c r="F288" s="21">
        <f t="shared" si="56"/>
        <v>2480.5</v>
      </c>
      <c r="G288" s="21" t="s">
        <v>2399</v>
      </c>
      <c r="H288" s="135">
        <f t="shared" si="53"/>
        <v>0</v>
      </c>
      <c r="I288" s="294">
        <v>45254</v>
      </c>
      <c r="J288" s="294">
        <v>45324</v>
      </c>
      <c r="K288" s="10">
        <f>0.65*851*3</f>
        <v>1659.4499999999998</v>
      </c>
      <c r="L288" s="11"/>
      <c r="M288" s="11">
        <f>0.7*0.9*2097</f>
        <v>1321.11</v>
      </c>
      <c r="N288" s="100"/>
      <c r="O288" s="11">
        <f t="shared" si="59"/>
        <v>1321.11</v>
      </c>
      <c r="P288" s="11">
        <f t="shared" si="57"/>
        <v>1321.11</v>
      </c>
      <c r="Q288" s="11">
        <v>1.55</v>
      </c>
      <c r="R288" s="11">
        <f t="shared" si="58"/>
        <v>2047.7204999999999</v>
      </c>
      <c r="S288" s="11"/>
      <c r="T288" s="136">
        <f t="shared" si="66"/>
        <v>0</v>
      </c>
    </row>
    <row r="289" spans="1:20" ht="15.75" customHeight="1">
      <c r="A289" s="149" t="s">
        <v>3918</v>
      </c>
      <c r="B289" s="273"/>
      <c r="C289" s="28" t="s">
        <v>4417</v>
      </c>
      <c r="D289" s="71">
        <v>150</v>
      </c>
      <c r="E289" s="131">
        <f>ROUNDUP(R289,-1)</f>
        <v>2580</v>
      </c>
      <c r="F289" s="21">
        <f>+E289*1.21</f>
        <v>3121.7999999999997</v>
      </c>
      <c r="G289" s="21" t="s">
        <v>2399</v>
      </c>
      <c r="H289" s="135">
        <f>ROUNDUP(T289,-1)</f>
        <v>0</v>
      </c>
      <c r="I289" s="294">
        <v>45254</v>
      </c>
      <c r="J289" s="294">
        <v>45324</v>
      </c>
      <c r="K289" s="10">
        <f>0.65*1800*2</f>
        <v>2340</v>
      </c>
      <c r="L289" s="11"/>
      <c r="M289" s="11">
        <f>0.7*0.9*2641</f>
        <v>1663.83</v>
      </c>
      <c r="N289" s="100"/>
      <c r="O289" s="11">
        <f>MIN(K289:M289)</f>
        <v>1663.83</v>
      </c>
      <c r="P289" s="11">
        <f t="shared" si="57"/>
        <v>1663.83</v>
      </c>
      <c r="Q289" s="11">
        <v>1.55</v>
      </c>
      <c r="R289" s="11">
        <f t="shared" si="58"/>
        <v>2578.9364999999998</v>
      </c>
      <c r="S289" s="11"/>
      <c r="T289" s="136">
        <f>+N289*Q289</f>
        <v>0</v>
      </c>
    </row>
    <row r="290" spans="1:20" ht="15.75" customHeight="1">
      <c r="A290" s="149">
        <v>42</v>
      </c>
      <c r="B290" s="273"/>
      <c r="C290" s="28" t="s">
        <v>1295</v>
      </c>
      <c r="D290" s="71">
        <v>220</v>
      </c>
      <c r="E290" s="131">
        <f t="shared" si="52"/>
        <v>0</v>
      </c>
      <c r="F290" s="21">
        <f t="shared" si="56"/>
        <v>0</v>
      </c>
      <c r="G290" s="21"/>
      <c r="H290" s="135">
        <f t="shared" si="53"/>
        <v>0</v>
      </c>
      <c r="I290" s="294"/>
      <c r="J290" s="294">
        <v>43515</v>
      </c>
      <c r="K290" s="10">
        <f>133*1.6</f>
        <v>212.8</v>
      </c>
      <c r="L290" s="11"/>
      <c r="M290" s="11"/>
      <c r="N290" s="100"/>
      <c r="O290" s="11">
        <f t="shared" si="59"/>
        <v>212.8</v>
      </c>
      <c r="P290" s="11">
        <f t="shared" si="57"/>
        <v>212.8</v>
      </c>
      <c r="Q290" s="11"/>
      <c r="R290" s="11">
        <f t="shared" si="58"/>
        <v>0</v>
      </c>
      <c r="S290" s="11"/>
      <c r="T290" s="136">
        <f t="shared" si="66"/>
        <v>0</v>
      </c>
    </row>
    <row r="291" spans="1:20" ht="15.75" customHeight="1">
      <c r="A291" s="149">
        <v>76</v>
      </c>
      <c r="B291" s="273"/>
      <c r="C291" s="28" t="s">
        <v>3452</v>
      </c>
      <c r="D291" s="71">
        <v>5420</v>
      </c>
      <c r="E291" s="131">
        <f t="shared" si="52"/>
        <v>0</v>
      </c>
      <c r="F291" s="21">
        <f t="shared" si="56"/>
        <v>0</v>
      </c>
      <c r="G291" s="21"/>
      <c r="H291" s="135">
        <f t="shared" si="53"/>
        <v>0</v>
      </c>
      <c r="I291" s="294"/>
      <c r="J291" s="294">
        <v>43591</v>
      </c>
      <c r="K291" s="11">
        <f>4013*1.35</f>
        <v>5417.55</v>
      </c>
      <c r="L291" s="11"/>
      <c r="M291" s="11"/>
      <c r="N291" s="100"/>
      <c r="O291" s="11">
        <f t="shared" si="59"/>
        <v>5417.55</v>
      </c>
      <c r="P291" s="11">
        <f t="shared" si="57"/>
        <v>5417.55</v>
      </c>
      <c r="Q291" s="11"/>
      <c r="R291" s="11">
        <f t="shared" si="58"/>
        <v>0</v>
      </c>
      <c r="S291" s="11"/>
      <c r="T291" s="136">
        <f t="shared" si="66"/>
        <v>0</v>
      </c>
    </row>
    <row r="292" spans="1:20" ht="15.75" customHeight="1">
      <c r="A292" s="149">
        <v>37</v>
      </c>
      <c r="B292" s="273">
        <f>ROUNDUP(E292*1.105,-1)</f>
        <v>125850</v>
      </c>
      <c r="C292" s="28" t="s">
        <v>1296</v>
      </c>
      <c r="D292" s="71">
        <v>5780</v>
      </c>
      <c r="E292" s="131">
        <f t="shared" si="52"/>
        <v>113890</v>
      </c>
      <c r="F292" s="21">
        <f t="shared" si="56"/>
        <v>137806.9</v>
      </c>
      <c r="G292" s="21"/>
      <c r="H292" s="135">
        <f t="shared" si="53"/>
        <v>0</v>
      </c>
      <c r="I292" s="294">
        <v>45313</v>
      </c>
      <c r="J292" s="294"/>
      <c r="K292" s="10">
        <f>+PROVEEDORES!$D$31*88.75</f>
        <v>78543.75</v>
      </c>
      <c r="L292" s="196"/>
      <c r="M292" s="11"/>
      <c r="N292" s="100"/>
      <c r="O292" s="11">
        <f t="shared" si="59"/>
        <v>78543.75</v>
      </c>
      <c r="P292" s="11">
        <f t="shared" si="57"/>
        <v>78543.75</v>
      </c>
      <c r="Q292" s="11">
        <v>1.45</v>
      </c>
      <c r="R292" s="11">
        <f t="shared" si="58"/>
        <v>113888.4375</v>
      </c>
      <c r="S292" s="11"/>
      <c r="T292" s="136">
        <f t="shared" si="66"/>
        <v>0</v>
      </c>
    </row>
    <row r="293" spans="1:20" ht="15.75" customHeight="1">
      <c r="A293" s="149">
        <v>21</v>
      </c>
      <c r="B293" s="273"/>
      <c r="C293" s="28" t="s">
        <v>2490</v>
      </c>
      <c r="D293" s="71">
        <v>60</v>
      </c>
      <c r="E293" s="131">
        <f t="shared" si="52"/>
        <v>940</v>
      </c>
      <c r="F293" s="21">
        <f t="shared" si="56"/>
        <v>1137.3999999999999</v>
      </c>
      <c r="G293" s="21"/>
      <c r="H293" s="135">
        <f t="shared" si="53"/>
        <v>0</v>
      </c>
      <c r="I293" s="294">
        <v>45217</v>
      </c>
      <c r="J293" s="294">
        <v>45271</v>
      </c>
      <c r="K293" s="10">
        <f>0.6*869</f>
        <v>521.4</v>
      </c>
      <c r="L293" s="11"/>
      <c r="M293" s="11"/>
      <c r="N293" s="100"/>
      <c r="O293" s="11">
        <f t="shared" si="59"/>
        <v>521.4</v>
      </c>
      <c r="P293" s="11">
        <f t="shared" si="57"/>
        <v>521.4</v>
      </c>
      <c r="Q293" s="11">
        <v>1.8</v>
      </c>
      <c r="R293" s="11">
        <f t="shared" si="58"/>
        <v>938.52</v>
      </c>
      <c r="S293" s="11"/>
      <c r="T293" s="136">
        <f t="shared" si="66"/>
        <v>0</v>
      </c>
    </row>
    <row r="294" spans="1:20" ht="15.75" customHeight="1">
      <c r="A294" s="149" t="s">
        <v>3738</v>
      </c>
      <c r="B294" s="273"/>
      <c r="C294" s="28" t="s">
        <v>2489</v>
      </c>
      <c r="D294" s="71">
        <v>60</v>
      </c>
      <c r="E294" s="131">
        <f t="shared" si="52"/>
        <v>1160</v>
      </c>
      <c r="F294" s="21">
        <f t="shared" si="56"/>
        <v>1403.6</v>
      </c>
      <c r="G294" s="21" t="s">
        <v>3529</v>
      </c>
      <c r="H294" s="135">
        <f t="shared" si="53"/>
        <v>0</v>
      </c>
      <c r="I294" s="294">
        <v>45217</v>
      </c>
      <c r="J294" s="294">
        <v>45313</v>
      </c>
      <c r="K294" s="10">
        <f>0.6*1200</f>
        <v>720</v>
      </c>
      <c r="L294" s="11"/>
      <c r="M294" s="11"/>
      <c r="N294" s="100"/>
      <c r="O294" s="11">
        <f t="shared" si="59"/>
        <v>720</v>
      </c>
      <c r="P294" s="11">
        <f t="shared" si="57"/>
        <v>720</v>
      </c>
      <c r="Q294" s="11">
        <v>1.6</v>
      </c>
      <c r="R294" s="11">
        <f t="shared" si="58"/>
        <v>1152</v>
      </c>
      <c r="S294" s="11"/>
      <c r="T294" s="136">
        <f t="shared" si="66"/>
        <v>0</v>
      </c>
    </row>
    <row r="295" spans="1:20" ht="15.75" customHeight="1">
      <c r="A295" s="149"/>
      <c r="B295" s="273"/>
      <c r="C295" s="28" t="s">
        <v>3427</v>
      </c>
      <c r="D295" s="71"/>
      <c r="E295" s="131">
        <f t="shared" ref="E295:E359" si="67">ROUNDUP(R295,-1)</f>
        <v>220</v>
      </c>
      <c r="F295" s="21">
        <f t="shared" si="56"/>
        <v>266.2</v>
      </c>
      <c r="G295" s="21"/>
      <c r="H295" s="135">
        <f t="shared" si="53"/>
        <v>0</v>
      </c>
      <c r="I295" s="294"/>
      <c r="J295" s="294">
        <v>45351</v>
      </c>
      <c r="K295" s="10">
        <v>120</v>
      </c>
      <c r="L295" s="11"/>
      <c r="M295" s="11"/>
      <c r="N295" s="100"/>
      <c r="O295" s="11">
        <f t="shared" si="59"/>
        <v>120</v>
      </c>
      <c r="P295" s="11">
        <f t="shared" si="57"/>
        <v>120</v>
      </c>
      <c r="Q295" s="11">
        <v>1.8</v>
      </c>
      <c r="R295" s="11">
        <f t="shared" si="58"/>
        <v>216</v>
      </c>
      <c r="S295" s="11"/>
      <c r="T295" s="136">
        <f t="shared" si="66"/>
        <v>0</v>
      </c>
    </row>
    <row r="296" spans="1:20" ht="15.75" customHeight="1">
      <c r="A296" s="149">
        <v>46</v>
      </c>
      <c r="B296" s="273"/>
      <c r="C296" s="28" t="s">
        <v>1297</v>
      </c>
      <c r="D296" s="71"/>
      <c r="E296" s="131">
        <f t="shared" si="67"/>
        <v>178870</v>
      </c>
      <c r="F296" s="21">
        <f t="shared" si="56"/>
        <v>216432.69999999998</v>
      </c>
      <c r="G296" s="21"/>
      <c r="H296" s="135">
        <f t="shared" si="53"/>
        <v>0</v>
      </c>
      <c r="I296" s="294">
        <v>45155</v>
      </c>
      <c r="J296" s="294">
        <v>45271</v>
      </c>
      <c r="K296" s="11">
        <f>PROVEEDORES!$D$40*0.72*169</f>
        <v>121680</v>
      </c>
      <c r="L296" s="11"/>
      <c r="M296" s="32"/>
      <c r="N296" s="100"/>
      <c r="O296" s="11">
        <f t="shared" si="59"/>
        <v>121680</v>
      </c>
      <c r="P296" s="11">
        <f>+O296*'AUMENTOS %'!$B$18</f>
        <v>127764</v>
      </c>
      <c r="Q296" s="11">
        <v>1.4</v>
      </c>
      <c r="R296" s="11">
        <f t="shared" si="58"/>
        <v>178869.59999999998</v>
      </c>
      <c r="S296" s="11"/>
      <c r="T296" s="136">
        <f t="shared" si="66"/>
        <v>0</v>
      </c>
    </row>
    <row r="297" spans="1:20" ht="15.75" customHeight="1">
      <c r="A297" s="149">
        <v>46</v>
      </c>
      <c r="B297" s="273"/>
      <c r="C297" s="28" t="s">
        <v>1298</v>
      </c>
      <c r="D297" s="71"/>
      <c r="E297" s="131">
        <f t="shared" si="67"/>
        <v>0</v>
      </c>
      <c r="F297" s="21">
        <f t="shared" si="56"/>
        <v>0</v>
      </c>
      <c r="G297" s="21"/>
      <c r="H297" s="135">
        <f t="shared" si="53"/>
        <v>0</v>
      </c>
      <c r="I297" s="294"/>
      <c r="J297" s="294"/>
      <c r="K297" s="10">
        <f>2480*1.35</f>
        <v>3348</v>
      </c>
      <c r="L297" s="11">
        <f>318*20.7*0.72*1.35</f>
        <v>6398.2871999999998</v>
      </c>
      <c r="M297" s="32"/>
      <c r="N297" s="100"/>
      <c r="O297" s="11">
        <f t="shared" si="59"/>
        <v>3348</v>
      </c>
      <c r="P297" s="11">
        <f>+O297*'AUMENTOS %'!$B$18</f>
        <v>3515.4</v>
      </c>
      <c r="Q297" s="11"/>
      <c r="R297" s="11">
        <f t="shared" si="58"/>
        <v>0</v>
      </c>
      <c r="S297" s="11"/>
      <c r="T297" s="136">
        <f t="shared" si="66"/>
        <v>0</v>
      </c>
    </row>
    <row r="298" spans="1:20" ht="15.75" customHeight="1">
      <c r="A298" s="149" t="s">
        <v>2416</v>
      </c>
      <c r="B298" s="273">
        <f>ROUNDUP(E298*1.105,-1)</f>
        <v>0</v>
      </c>
      <c r="C298" s="28" t="s">
        <v>1302</v>
      </c>
      <c r="D298" s="71">
        <v>16240</v>
      </c>
      <c r="E298" s="131">
        <f t="shared" si="67"/>
        <v>0</v>
      </c>
      <c r="F298" s="21">
        <f t="shared" si="56"/>
        <v>0</v>
      </c>
      <c r="G298" s="21"/>
      <c r="H298" s="135">
        <f t="shared" si="53"/>
        <v>0</v>
      </c>
      <c r="I298" s="294">
        <v>44863</v>
      </c>
      <c r="J298" s="294"/>
      <c r="K298" s="10"/>
      <c r="L298" s="143">
        <f>0.6*88998</f>
        <v>53398.799999999996</v>
      </c>
      <c r="M298" s="32"/>
      <c r="N298" s="100"/>
      <c r="O298" s="11">
        <f t="shared" si="59"/>
        <v>53398.799999999996</v>
      </c>
      <c r="P298" s="11">
        <f t="shared" si="57"/>
        <v>53398.799999999996</v>
      </c>
      <c r="Q298" s="11"/>
      <c r="R298" s="11">
        <f t="shared" si="58"/>
        <v>0</v>
      </c>
      <c r="S298" s="11"/>
      <c r="T298" s="136">
        <f t="shared" si="66"/>
        <v>0</v>
      </c>
    </row>
    <row r="299" spans="1:20" ht="15.75" customHeight="1">
      <c r="A299" s="149" t="s">
        <v>2416</v>
      </c>
      <c r="B299" s="273">
        <f>ROUNDUP(E299*1.105,-1)</f>
        <v>0</v>
      </c>
      <c r="C299" s="28" t="s">
        <v>1301</v>
      </c>
      <c r="D299" s="71">
        <v>12180</v>
      </c>
      <c r="E299" s="131">
        <f t="shared" si="67"/>
        <v>0</v>
      </c>
      <c r="F299" s="21">
        <f t="shared" si="56"/>
        <v>0</v>
      </c>
      <c r="G299" s="21"/>
      <c r="H299" s="135">
        <f t="shared" si="53"/>
        <v>0</v>
      </c>
      <c r="I299" s="294">
        <v>44863</v>
      </c>
      <c r="J299" s="294"/>
      <c r="K299" s="10"/>
      <c r="L299" s="143">
        <f>0.6*68296</f>
        <v>40977.599999999999</v>
      </c>
      <c r="M299" s="11"/>
      <c r="N299" s="100"/>
      <c r="O299" s="11">
        <f t="shared" si="59"/>
        <v>40977.599999999999</v>
      </c>
      <c r="P299" s="11">
        <f t="shared" si="57"/>
        <v>40977.599999999999</v>
      </c>
      <c r="Q299" s="11"/>
      <c r="R299" s="11">
        <f t="shared" si="58"/>
        <v>0</v>
      </c>
      <c r="S299" s="11"/>
      <c r="T299" s="136">
        <f t="shared" si="66"/>
        <v>0</v>
      </c>
    </row>
    <row r="300" spans="1:20" ht="15.75" customHeight="1">
      <c r="A300" s="149" t="s">
        <v>2416</v>
      </c>
      <c r="B300" s="273">
        <f>ROUNDUP(E300*1.105,-1)</f>
        <v>0</v>
      </c>
      <c r="C300" s="28" t="s">
        <v>1299</v>
      </c>
      <c r="D300" s="71">
        <v>8640</v>
      </c>
      <c r="E300" s="131">
        <f t="shared" si="67"/>
        <v>0</v>
      </c>
      <c r="F300" s="21">
        <f t="shared" si="56"/>
        <v>0</v>
      </c>
      <c r="G300" s="21"/>
      <c r="H300" s="135">
        <f t="shared" si="53"/>
        <v>0</v>
      </c>
      <c r="I300" s="294">
        <v>44863</v>
      </c>
      <c r="J300" s="294"/>
      <c r="K300" s="10"/>
      <c r="L300" s="143">
        <f>0.6*46348</f>
        <v>27808.799999999999</v>
      </c>
      <c r="M300" s="32"/>
      <c r="N300" s="100"/>
      <c r="O300" s="11">
        <f t="shared" si="59"/>
        <v>27808.799999999999</v>
      </c>
      <c r="P300" s="11">
        <f t="shared" si="57"/>
        <v>27808.799999999999</v>
      </c>
      <c r="Q300" s="11"/>
      <c r="R300" s="11">
        <f t="shared" si="58"/>
        <v>0</v>
      </c>
      <c r="S300" s="11"/>
      <c r="T300" s="136">
        <f t="shared" si="66"/>
        <v>0</v>
      </c>
    </row>
    <row r="301" spans="1:20" ht="15.75" customHeight="1">
      <c r="A301" s="149" t="s">
        <v>2416</v>
      </c>
      <c r="B301" s="273">
        <f>ROUNDUP(E301*1.105,-1)</f>
        <v>0</v>
      </c>
      <c r="C301" s="28" t="s">
        <v>1300</v>
      </c>
      <c r="D301" s="157">
        <v>10780</v>
      </c>
      <c r="E301" s="131">
        <f t="shared" si="67"/>
        <v>0</v>
      </c>
      <c r="F301" s="21">
        <f t="shared" si="56"/>
        <v>0</v>
      </c>
      <c r="G301" s="21"/>
      <c r="H301" s="135">
        <f t="shared" si="53"/>
        <v>0</v>
      </c>
      <c r="I301" s="294">
        <v>44863</v>
      </c>
      <c r="J301" s="294"/>
      <c r="K301" s="10"/>
      <c r="L301" s="143">
        <f>0.6*58077</f>
        <v>34846.199999999997</v>
      </c>
      <c r="M301" s="11"/>
      <c r="N301" s="100"/>
      <c r="O301" s="11">
        <f t="shared" si="59"/>
        <v>34846.199999999997</v>
      </c>
      <c r="P301" s="11">
        <f t="shared" si="57"/>
        <v>34846.199999999997</v>
      </c>
      <c r="Q301" s="11"/>
      <c r="R301" s="11">
        <f t="shared" si="58"/>
        <v>0</v>
      </c>
      <c r="S301" s="11"/>
      <c r="T301" s="136">
        <f t="shared" si="66"/>
        <v>0</v>
      </c>
    </row>
    <row r="302" spans="1:20" ht="15.75" customHeight="1">
      <c r="A302" s="149">
        <v>52</v>
      </c>
      <c r="B302" s="273"/>
      <c r="C302" s="28" t="s">
        <v>1303</v>
      </c>
      <c r="D302" s="71">
        <v>5270</v>
      </c>
      <c r="E302" s="131">
        <f t="shared" si="67"/>
        <v>114000</v>
      </c>
      <c r="F302" s="21">
        <f t="shared" si="56"/>
        <v>137940</v>
      </c>
      <c r="G302" s="21"/>
      <c r="H302" s="135">
        <f t="shared" si="53"/>
        <v>0</v>
      </c>
      <c r="I302" s="294">
        <v>44858</v>
      </c>
      <c r="J302" s="294">
        <v>45112</v>
      </c>
      <c r="K302" s="10">
        <f>+PROVEEDORES!D46*0.85*0.95*0.97*99</f>
        <v>81421.436249999999</v>
      </c>
      <c r="L302" s="11"/>
      <c r="M302" s="32"/>
      <c r="N302" s="100"/>
      <c r="O302" s="11">
        <f t="shared" si="59"/>
        <v>81421.436249999999</v>
      </c>
      <c r="P302" s="11">
        <f t="shared" si="57"/>
        <v>81421.436249999999</v>
      </c>
      <c r="Q302" s="11">
        <v>1.4</v>
      </c>
      <c r="R302" s="11">
        <f t="shared" si="58"/>
        <v>113990.01074999999</v>
      </c>
      <c r="S302" s="11"/>
      <c r="T302" s="136">
        <f t="shared" si="66"/>
        <v>0</v>
      </c>
    </row>
    <row r="303" spans="1:20" ht="15.75" customHeight="1">
      <c r="A303" s="149">
        <v>52</v>
      </c>
      <c r="B303" s="273"/>
      <c r="C303" s="28" t="s">
        <v>1304</v>
      </c>
      <c r="D303" s="71">
        <v>6280</v>
      </c>
      <c r="E303" s="131">
        <f t="shared" si="67"/>
        <v>114000</v>
      </c>
      <c r="F303" s="21">
        <f t="shared" si="56"/>
        <v>137940</v>
      </c>
      <c r="G303" s="21"/>
      <c r="H303" s="135">
        <f t="shared" si="53"/>
        <v>0</v>
      </c>
      <c r="I303" s="294">
        <v>44858</v>
      </c>
      <c r="J303" s="294">
        <v>45338</v>
      </c>
      <c r="K303" s="10">
        <f>+PROVEEDORES!D46*0.85*0.95*0.97*99</f>
        <v>81421.436249999999</v>
      </c>
      <c r="L303" s="11"/>
      <c r="M303" s="32"/>
      <c r="N303" s="100"/>
      <c r="O303" s="11">
        <f t="shared" si="59"/>
        <v>81421.436249999999</v>
      </c>
      <c r="P303" s="11">
        <f t="shared" si="57"/>
        <v>81421.436249999999</v>
      </c>
      <c r="Q303" s="11">
        <v>1.4</v>
      </c>
      <c r="R303" s="11">
        <f t="shared" si="58"/>
        <v>113990.01074999999</v>
      </c>
      <c r="S303" s="11"/>
      <c r="T303" s="136">
        <f t="shared" si="66"/>
        <v>0</v>
      </c>
    </row>
    <row r="304" spans="1:20" ht="15.75" customHeight="1">
      <c r="A304" s="149" t="s">
        <v>2419</v>
      </c>
      <c r="B304" s="273"/>
      <c r="C304" s="28" t="s">
        <v>1305</v>
      </c>
      <c r="D304" s="71"/>
      <c r="E304" s="131">
        <f t="shared" si="67"/>
        <v>0</v>
      </c>
      <c r="F304" s="21">
        <f t="shared" si="56"/>
        <v>0</v>
      </c>
      <c r="G304" s="21"/>
      <c r="H304" s="135">
        <f t="shared" ref="H304:H367" si="68">ROUNDUP(T304,-1)</f>
        <v>0</v>
      </c>
      <c r="I304" s="294"/>
      <c r="J304" s="294">
        <v>42822</v>
      </c>
      <c r="K304" s="10">
        <f>3100*1.4</f>
        <v>4340</v>
      </c>
      <c r="L304" s="11">
        <f>1260+710</f>
        <v>1970</v>
      </c>
      <c r="M304" s="11"/>
      <c r="N304" s="100"/>
      <c r="O304" s="11">
        <f t="shared" si="59"/>
        <v>1970</v>
      </c>
      <c r="P304" s="11">
        <f t="shared" si="57"/>
        <v>1970</v>
      </c>
      <c r="Q304" s="11"/>
      <c r="R304" s="11">
        <f t="shared" si="58"/>
        <v>0</v>
      </c>
      <c r="S304" s="11"/>
      <c r="T304" s="136">
        <f t="shared" si="66"/>
        <v>0</v>
      </c>
    </row>
    <row r="305" spans="1:20" ht="15.75" customHeight="1">
      <c r="A305" s="149" t="s">
        <v>2419</v>
      </c>
      <c r="B305" s="273"/>
      <c r="C305" s="28" t="s">
        <v>1306</v>
      </c>
      <c r="D305" s="71"/>
      <c r="E305" s="131">
        <f t="shared" si="67"/>
        <v>0</v>
      </c>
      <c r="F305" s="21">
        <f t="shared" si="56"/>
        <v>0</v>
      </c>
      <c r="G305" s="21"/>
      <c r="H305" s="135">
        <f t="shared" si="68"/>
        <v>0</v>
      </c>
      <c r="I305" s="294"/>
      <c r="J305" s="294"/>
      <c r="K305" s="10">
        <f>2429*1.35</f>
        <v>3279.15</v>
      </c>
      <c r="L305" s="11"/>
      <c r="M305" s="11"/>
      <c r="N305" s="100"/>
      <c r="O305" s="11">
        <f t="shared" si="59"/>
        <v>3279.15</v>
      </c>
      <c r="P305" s="11">
        <f t="shared" si="57"/>
        <v>3279.15</v>
      </c>
      <c r="Q305" s="11"/>
      <c r="R305" s="11">
        <f t="shared" si="58"/>
        <v>0</v>
      </c>
      <c r="S305" s="11"/>
      <c r="T305" s="136">
        <f t="shared" si="66"/>
        <v>0</v>
      </c>
    </row>
    <row r="306" spans="1:20" ht="15.75" customHeight="1">
      <c r="A306" s="149" t="s">
        <v>2419</v>
      </c>
      <c r="B306" s="273"/>
      <c r="C306" s="28" t="s">
        <v>1307</v>
      </c>
      <c r="D306" s="71">
        <v>7915</v>
      </c>
      <c r="E306" s="131">
        <f t="shared" si="67"/>
        <v>0</v>
      </c>
      <c r="F306" s="21">
        <f t="shared" si="56"/>
        <v>0</v>
      </c>
      <c r="G306" s="21"/>
      <c r="H306" s="135">
        <f t="shared" si="68"/>
        <v>0</v>
      </c>
      <c r="I306" s="294">
        <v>41872</v>
      </c>
      <c r="J306" s="294"/>
      <c r="K306" s="11">
        <f>6857*0.9*0.95*1.35</f>
        <v>7914.6922500000001</v>
      </c>
      <c r="L306" s="10">
        <f>6325*1.35</f>
        <v>8538.75</v>
      </c>
      <c r="M306" s="10"/>
      <c r="N306" s="100"/>
      <c r="O306" s="11">
        <f t="shared" si="59"/>
        <v>7914.6922500000001</v>
      </c>
      <c r="P306" s="11">
        <f t="shared" si="57"/>
        <v>7914.6922500000001</v>
      </c>
      <c r="Q306" s="11"/>
      <c r="R306" s="11">
        <f t="shared" si="58"/>
        <v>0</v>
      </c>
      <c r="S306" s="11"/>
      <c r="T306" s="136">
        <f t="shared" si="66"/>
        <v>0</v>
      </c>
    </row>
    <row r="307" spans="1:20" ht="15.75" customHeight="1">
      <c r="A307" s="149" t="s">
        <v>2419</v>
      </c>
      <c r="B307" s="273"/>
      <c r="C307" s="28" t="s">
        <v>1308</v>
      </c>
      <c r="D307" s="71"/>
      <c r="E307" s="131">
        <f t="shared" si="67"/>
        <v>0</v>
      </c>
      <c r="F307" s="21">
        <f t="shared" si="56"/>
        <v>0</v>
      </c>
      <c r="G307" s="21"/>
      <c r="H307" s="135">
        <f t="shared" si="68"/>
        <v>0</v>
      </c>
      <c r="I307" s="294">
        <v>41872</v>
      </c>
      <c r="J307" s="294"/>
      <c r="K307" s="39">
        <f>5645*1.35</f>
        <v>7620.7500000000009</v>
      </c>
      <c r="L307" s="145">
        <f>6830 /1.21</f>
        <v>5644.6280991735539</v>
      </c>
      <c r="M307" s="11"/>
      <c r="N307" s="100"/>
      <c r="O307" s="11">
        <f t="shared" si="59"/>
        <v>5644.6280991735539</v>
      </c>
      <c r="P307" s="11">
        <f t="shared" si="57"/>
        <v>5644.6280991735539</v>
      </c>
      <c r="Q307" s="11"/>
      <c r="R307" s="11">
        <f t="shared" si="58"/>
        <v>0</v>
      </c>
      <c r="S307" s="11"/>
      <c r="T307" s="136">
        <f t="shared" si="66"/>
        <v>0</v>
      </c>
    </row>
    <row r="308" spans="1:20" ht="15.75" customHeight="1">
      <c r="A308" s="149" t="s">
        <v>2419</v>
      </c>
      <c r="B308" s="273"/>
      <c r="C308" s="28" t="s">
        <v>1309</v>
      </c>
      <c r="D308" s="71">
        <v>4960</v>
      </c>
      <c r="E308" s="131">
        <f t="shared" si="67"/>
        <v>0</v>
      </c>
      <c r="F308" s="21">
        <f t="shared" si="56"/>
        <v>0</v>
      </c>
      <c r="G308" s="21"/>
      <c r="H308" s="135">
        <f t="shared" si="68"/>
        <v>0</v>
      </c>
      <c r="I308" s="294"/>
      <c r="J308" s="294">
        <v>42744</v>
      </c>
      <c r="K308" s="39">
        <f>4350/1.21*1.4</f>
        <v>5033.0578512396687</v>
      </c>
      <c r="L308" s="145">
        <f>3538*1.4</f>
        <v>4953.2</v>
      </c>
      <c r="M308" s="11"/>
      <c r="N308" s="100"/>
      <c r="O308" s="11">
        <f t="shared" si="59"/>
        <v>4953.2</v>
      </c>
      <c r="P308" s="11">
        <f t="shared" si="57"/>
        <v>4953.2</v>
      </c>
      <c r="Q308" s="11"/>
      <c r="R308" s="11">
        <f t="shared" si="58"/>
        <v>0</v>
      </c>
      <c r="S308" s="11"/>
      <c r="T308" s="136">
        <f t="shared" si="66"/>
        <v>0</v>
      </c>
    </row>
    <row r="309" spans="1:20" ht="15.75" customHeight="1">
      <c r="A309" s="149">
        <v>46</v>
      </c>
      <c r="B309" s="273"/>
      <c r="C309" s="28" t="s">
        <v>1310</v>
      </c>
      <c r="D309" s="71">
        <v>19870</v>
      </c>
      <c r="E309" s="131">
        <f t="shared" si="67"/>
        <v>499570</v>
      </c>
      <c r="F309" s="21">
        <f t="shared" si="56"/>
        <v>604479.69999999995</v>
      </c>
      <c r="G309" s="21"/>
      <c r="H309" s="135">
        <f t="shared" si="68"/>
        <v>0</v>
      </c>
      <c r="I309" s="294">
        <v>45155</v>
      </c>
      <c r="J309" s="294">
        <v>45294</v>
      </c>
      <c r="K309" s="39">
        <f>PROVEEDORES!D40*0.72*472</f>
        <v>339840</v>
      </c>
      <c r="L309" s="145"/>
      <c r="M309" s="11"/>
      <c r="N309" s="100"/>
      <c r="O309" s="11">
        <f t="shared" si="59"/>
        <v>339840</v>
      </c>
      <c r="P309" s="11">
        <f>+O309*'AUMENTOS %'!$B$18</f>
        <v>356832</v>
      </c>
      <c r="Q309" s="11">
        <v>1.4</v>
      </c>
      <c r="R309" s="11">
        <f t="shared" si="58"/>
        <v>499564.79999999999</v>
      </c>
      <c r="S309" s="11"/>
      <c r="T309" s="136">
        <f t="shared" si="66"/>
        <v>0</v>
      </c>
    </row>
    <row r="310" spans="1:20" ht="15.75" customHeight="1">
      <c r="A310" s="149">
        <v>46</v>
      </c>
      <c r="B310" s="273"/>
      <c r="C310" s="28" t="s">
        <v>4132</v>
      </c>
      <c r="D310" s="71">
        <v>15580</v>
      </c>
      <c r="E310" s="131">
        <f t="shared" si="67"/>
        <v>488990</v>
      </c>
      <c r="F310" s="21">
        <f t="shared" si="56"/>
        <v>591677.9</v>
      </c>
      <c r="G310" s="21"/>
      <c r="H310" s="135">
        <f t="shared" si="68"/>
        <v>0</v>
      </c>
      <c r="I310" s="294">
        <v>45155</v>
      </c>
      <c r="J310" s="294">
        <v>45294</v>
      </c>
      <c r="K310" s="39">
        <f>PROVEEDORES!D40*0.72*462</f>
        <v>332640</v>
      </c>
      <c r="L310" s="39"/>
      <c r="M310" s="11"/>
      <c r="N310" s="100"/>
      <c r="O310" s="11">
        <f t="shared" si="59"/>
        <v>332640</v>
      </c>
      <c r="P310" s="11">
        <f>+O310*'AUMENTOS %'!$B$18</f>
        <v>349272</v>
      </c>
      <c r="Q310" s="11">
        <v>1.4</v>
      </c>
      <c r="R310" s="11">
        <f t="shared" si="58"/>
        <v>488980.8</v>
      </c>
      <c r="S310" s="11"/>
      <c r="T310" s="136">
        <f t="shared" si="66"/>
        <v>0</v>
      </c>
    </row>
    <row r="311" spans="1:20" ht="15.75" customHeight="1">
      <c r="A311" s="149">
        <v>46</v>
      </c>
      <c r="B311" s="273"/>
      <c r="C311" s="28" t="s">
        <v>3425</v>
      </c>
      <c r="D311" s="41">
        <v>21240</v>
      </c>
      <c r="E311" s="131">
        <f t="shared" si="67"/>
        <v>603290</v>
      </c>
      <c r="F311" s="21">
        <f t="shared" si="56"/>
        <v>729980.9</v>
      </c>
      <c r="G311" s="21"/>
      <c r="H311" s="135">
        <f t="shared" si="68"/>
        <v>0</v>
      </c>
      <c r="I311" s="294">
        <v>45155</v>
      </c>
      <c r="J311" s="294">
        <v>45294</v>
      </c>
      <c r="K311" s="39">
        <f>PROVEEDORES!$D$40*0.72*570</f>
        <v>410400</v>
      </c>
      <c r="L311" s="145"/>
      <c r="M311" s="11"/>
      <c r="N311" s="100"/>
      <c r="O311" s="11">
        <f t="shared" si="59"/>
        <v>410400</v>
      </c>
      <c r="P311" s="11">
        <f>+O311*'AUMENTOS %'!$B$18</f>
        <v>430920</v>
      </c>
      <c r="Q311" s="11">
        <v>1.4</v>
      </c>
      <c r="R311" s="11">
        <f t="shared" si="58"/>
        <v>603288</v>
      </c>
      <c r="S311" s="11"/>
      <c r="T311" s="136">
        <f t="shared" si="66"/>
        <v>0</v>
      </c>
    </row>
    <row r="312" spans="1:20" ht="15.75" customHeight="1">
      <c r="A312" s="149">
        <v>46</v>
      </c>
      <c r="B312" s="273"/>
      <c r="C312" s="28" t="s">
        <v>1311</v>
      </c>
      <c r="D312" s="41">
        <v>5910</v>
      </c>
      <c r="E312" s="131">
        <f t="shared" si="67"/>
        <v>0</v>
      </c>
      <c r="F312" s="21">
        <f t="shared" si="56"/>
        <v>0</v>
      </c>
      <c r="G312" s="21"/>
      <c r="H312" s="135">
        <f t="shared" si="68"/>
        <v>0</v>
      </c>
      <c r="I312" s="294"/>
      <c r="J312" s="294"/>
      <c r="K312" s="39">
        <f>PROVEEDORES!$D$40*0.72*420</f>
        <v>302400</v>
      </c>
      <c r="L312" s="145"/>
      <c r="M312" s="11"/>
      <c r="N312" s="100"/>
      <c r="O312" s="11">
        <f t="shared" si="59"/>
        <v>302400</v>
      </c>
      <c r="P312" s="11">
        <f>+O312*'AUMENTOS %'!$B$18</f>
        <v>317520</v>
      </c>
      <c r="Q312" s="11"/>
      <c r="R312" s="11">
        <f t="shared" si="58"/>
        <v>0</v>
      </c>
      <c r="S312" s="11"/>
      <c r="T312" s="136">
        <f t="shared" si="66"/>
        <v>0</v>
      </c>
    </row>
    <row r="313" spans="1:20" ht="15.75" customHeight="1">
      <c r="A313" s="149">
        <v>46</v>
      </c>
      <c r="B313" s="273"/>
      <c r="C313" s="28" t="s">
        <v>1312</v>
      </c>
      <c r="D313" s="41">
        <v>2730</v>
      </c>
      <c r="E313" s="131">
        <f t="shared" si="67"/>
        <v>0</v>
      </c>
      <c r="F313" s="21">
        <f t="shared" si="56"/>
        <v>0</v>
      </c>
      <c r="G313" s="44"/>
      <c r="H313" s="135">
        <f t="shared" si="68"/>
        <v>0</v>
      </c>
      <c r="I313" s="294">
        <v>45078</v>
      </c>
      <c r="J313" s="294"/>
      <c r="K313" s="39">
        <f>PROVEEDORES!$D$40*0.72*146*1.07</f>
        <v>112478.40000000001</v>
      </c>
      <c r="L313" s="11"/>
      <c r="M313" s="11"/>
      <c r="N313" s="37"/>
      <c r="O313" s="11">
        <f t="shared" si="59"/>
        <v>112478.40000000001</v>
      </c>
      <c r="P313" s="11">
        <f>+O313*'AUMENTOS %'!$B$18</f>
        <v>118102.32</v>
      </c>
      <c r="Q313" s="11"/>
      <c r="R313" s="11">
        <f t="shared" si="58"/>
        <v>0</v>
      </c>
      <c r="S313" s="11"/>
      <c r="T313" s="136">
        <f t="shared" si="66"/>
        <v>0</v>
      </c>
    </row>
    <row r="314" spans="1:20" ht="15.75" customHeight="1">
      <c r="A314" s="149">
        <v>46</v>
      </c>
      <c r="B314" s="273"/>
      <c r="C314" s="28" t="s">
        <v>1313</v>
      </c>
      <c r="D314" s="41">
        <v>2380</v>
      </c>
      <c r="E314" s="131">
        <f t="shared" si="67"/>
        <v>0</v>
      </c>
      <c r="F314" s="21">
        <f t="shared" si="56"/>
        <v>0</v>
      </c>
      <c r="G314" s="21"/>
      <c r="H314" s="135">
        <f t="shared" si="68"/>
        <v>0</v>
      </c>
      <c r="I314" s="294">
        <v>45078</v>
      </c>
      <c r="J314" s="294"/>
      <c r="K314" s="39">
        <f>PROVEEDORES!$D$40*0.72*123*1.07</f>
        <v>94759.200000000012</v>
      </c>
      <c r="L314" s="11"/>
      <c r="M314" s="11"/>
      <c r="N314" s="100"/>
      <c r="O314" s="11">
        <f t="shared" si="59"/>
        <v>94759.200000000012</v>
      </c>
      <c r="P314" s="11">
        <f>+O314*'AUMENTOS %'!$B$18</f>
        <v>99497.160000000018</v>
      </c>
      <c r="Q314" s="11"/>
      <c r="R314" s="11">
        <f t="shared" si="58"/>
        <v>0</v>
      </c>
      <c r="S314" s="11"/>
      <c r="T314" s="136">
        <f t="shared" si="66"/>
        <v>0</v>
      </c>
    </row>
    <row r="315" spans="1:20" ht="15.75" customHeight="1">
      <c r="A315" s="149">
        <v>52</v>
      </c>
      <c r="B315" s="273"/>
      <c r="C315" s="28" t="s">
        <v>44299</v>
      </c>
      <c r="D315" s="41">
        <v>6480</v>
      </c>
      <c r="E315" s="131">
        <f t="shared" ref="E315" si="69">ROUNDUP(R315,-1)</f>
        <v>110130</v>
      </c>
      <c r="F315" s="21">
        <f t="shared" ref="F315" si="70">+E315*1.21</f>
        <v>133257.29999999999</v>
      </c>
      <c r="G315" s="21"/>
      <c r="H315" s="135">
        <f t="shared" ref="H315" si="71">ROUNDUP(T315,-1)</f>
        <v>0</v>
      </c>
      <c r="I315" s="294">
        <v>44385</v>
      </c>
      <c r="J315" s="294">
        <v>45265</v>
      </c>
      <c r="K315" s="11">
        <f>1.038*66310</f>
        <v>68829.78</v>
      </c>
      <c r="L315" s="24"/>
      <c r="M315" s="10"/>
      <c r="N315" s="11"/>
      <c r="O315" s="11">
        <f t="shared" ref="O315" si="72">MIN(K315:M315)</f>
        <v>68829.78</v>
      </c>
      <c r="P315" s="11">
        <f t="shared" ref="P315" si="73">+O315</f>
        <v>68829.78</v>
      </c>
      <c r="Q315" s="11">
        <v>1.6</v>
      </c>
      <c r="R315" s="11">
        <f t="shared" ref="R315" si="74">+P315*Q315</f>
        <v>110127.648</v>
      </c>
      <c r="S315" s="11"/>
      <c r="T315" s="136">
        <f t="shared" ref="T315" si="75">+N315*Q315</f>
        <v>0</v>
      </c>
    </row>
    <row r="316" spans="1:20" ht="15.75" customHeight="1">
      <c r="A316" s="149">
        <v>52</v>
      </c>
      <c r="B316" s="273"/>
      <c r="C316" s="28" t="s">
        <v>1314</v>
      </c>
      <c r="D316" s="41">
        <v>6480</v>
      </c>
      <c r="E316" s="131">
        <f t="shared" si="67"/>
        <v>148680</v>
      </c>
      <c r="F316" s="21">
        <f t="shared" si="56"/>
        <v>179902.8</v>
      </c>
      <c r="G316" s="21"/>
      <c r="H316" s="135">
        <f t="shared" si="68"/>
        <v>0</v>
      </c>
      <c r="I316" s="294">
        <v>44385</v>
      </c>
      <c r="J316" s="294">
        <v>45338</v>
      </c>
      <c r="K316" s="143">
        <f>+PROVEEDORES!D46*0.75*118</f>
        <v>92925</v>
      </c>
      <c r="L316" s="24"/>
      <c r="M316" s="10"/>
      <c r="N316" s="24"/>
      <c r="O316" s="11">
        <f t="shared" si="59"/>
        <v>92925</v>
      </c>
      <c r="P316" s="11">
        <f t="shared" si="57"/>
        <v>92925</v>
      </c>
      <c r="Q316" s="11">
        <v>1.6</v>
      </c>
      <c r="R316" s="11">
        <f t="shared" si="58"/>
        <v>148680</v>
      </c>
      <c r="S316" s="11"/>
      <c r="T316" s="136">
        <f t="shared" si="66"/>
        <v>0</v>
      </c>
    </row>
    <row r="317" spans="1:20" ht="15.75" customHeight="1">
      <c r="A317" s="149">
        <v>55</v>
      </c>
      <c r="B317" s="273"/>
      <c r="C317" s="28" t="s">
        <v>1315</v>
      </c>
      <c r="D317" s="41">
        <v>290</v>
      </c>
      <c r="E317" s="131">
        <f t="shared" si="67"/>
        <v>0</v>
      </c>
      <c r="F317" s="21">
        <f t="shared" si="56"/>
        <v>0</v>
      </c>
      <c r="G317" s="21"/>
      <c r="H317" s="135">
        <f t="shared" si="68"/>
        <v>0</v>
      </c>
      <c r="I317" s="294">
        <v>45036</v>
      </c>
      <c r="J317" s="294"/>
      <c r="K317" s="10">
        <v>3615</v>
      </c>
      <c r="L317" s="11"/>
      <c r="M317" s="11"/>
      <c r="N317" s="100"/>
      <c r="O317" s="11">
        <f t="shared" si="59"/>
        <v>3615</v>
      </c>
      <c r="P317" s="11">
        <f t="shared" si="57"/>
        <v>3615</v>
      </c>
      <c r="Q317" s="11"/>
      <c r="R317" s="11">
        <f t="shared" si="58"/>
        <v>0</v>
      </c>
      <c r="S317" s="11"/>
      <c r="T317" s="136">
        <f t="shared" ref="T317:T348" si="76">+N317*Q317</f>
        <v>0</v>
      </c>
    </row>
    <row r="318" spans="1:20" ht="15.75" customHeight="1">
      <c r="A318" s="149" t="s">
        <v>2420</v>
      </c>
      <c r="B318" s="273"/>
      <c r="C318" s="28" t="s">
        <v>44137</v>
      </c>
      <c r="D318" s="41">
        <v>800</v>
      </c>
      <c r="E318" s="131">
        <f t="shared" si="67"/>
        <v>16260</v>
      </c>
      <c r="F318" s="21">
        <f t="shared" ref="F318:F382" si="77">+E318*1.21</f>
        <v>19674.599999999999</v>
      </c>
      <c r="G318" s="21"/>
      <c r="H318" s="135">
        <f t="shared" si="68"/>
        <v>0</v>
      </c>
      <c r="I318" s="294">
        <v>45287</v>
      </c>
      <c r="J318" s="294">
        <v>45329</v>
      </c>
      <c r="K318" s="11">
        <v>10160</v>
      </c>
      <c r="L318" s="11">
        <f>0.6*16500*2</f>
        <v>19800</v>
      </c>
      <c r="M318" s="11"/>
      <c r="N318" s="11"/>
      <c r="O318" s="11">
        <f t="shared" si="59"/>
        <v>10160</v>
      </c>
      <c r="P318" s="11">
        <f t="shared" si="57"/>
        <v>10160</v>
      </c>
      <c r="Q318" s="11">
        <v>1.6</v>
      </c>
      <c r="R318" s="11">
        <f t="shared" si="58"/>
        <v>16256</v>
      </c>
      <c r="S318" s="11"/>
      <c r="T318" s="136">
        <f t="shared" si="76"/>
        <v>0</v>
      </c>
    </row>
    <row r="319" spans="1:20" ht="15.75" customHeight="1">
      <c r="A319" s="149" t="s">
        <v>2420</v>
      </c>
      <c r="B319" s="273"/>
      <c r="C319" s="28" t="s">
        <v>44138</v>
      </c>
      <c r="D319" s="41">
        <v>970</v>
      </c>
      <c r="E319" s="131">
        <f>ROUNDUP(R319,-1)</f>
        <v>20210</v>
      </c>
      <c r="F319" s="21">
        <f>+E319*1.21</f>
        <v>24454.1</v>
      </c>
      <c r="G319" s="21"/>
      <c r="H319" s="135">
        <f>ROUNDUP(T319,-1)</f>
        <v>0</v>
      </c>
      <c r="I319" s="294">
        <v>45287</v>
      </c>
      <c r="J319" s="294">
        <v>45329</v>
      </c>
      <c r="K319" s="11">
        <v>13470</v>
      </c>
      <c r="L319" s="11">
        <f>0.6*20684*2</f>
        <v>24820.799999999999</v>
      </c>
      <c r="M319" s="11"/>
      <c r="N319" s="100"/>
      <c r="O319" s="11">
        <f>MIN(K319:M319)</f>
        <v>13470</v>
      </c>
      <c r="P319" s="11">
        <f t="shared" si="57"/>
        <v>13470</v>
      </c>
      <c r="Q319" s="11">
        <v>1.5</v>
      </c>
      <c r="R319" s="11">
        <f t="shared" si="58"/>
        <v>20205</v>
      </c>
      <c r="S319" s="11"/>
      <c r="T319" s="136">
        <f>+N319*Q319</f>
        <v>0</v>
      </c>
    </row>
    <row r="320" spans="1:20" ht="15.75" customHeight="1">
      <c r="A320" s="149">
        <v>89</v>
      </c>
      <c r="B320" s="273"/>
      <c r="C320" s="28" t="s">
        <v>4160</v>
      </c>
      <c r="D320" s="41"/>
      <c r="E320" s="131">
        <f>ROUNDUP(R320,-1)</f>
        <v>47690</v>
      </c>
      <c r="F320" s="21">
        <f>+E320*1.21</f>
        <v>57704.9</v>
      </c>
      <c r="G320" s="21"/>
      <c r="H320" s="135">
        <f>ROUNDUP(T320,-1)</f>
        <v>0</v>
      </c>
      <c r="I320" s="294">
        <v>45323</v>
      </c>
      <c r="J320" s="294">
        <v>45355</v>
      </c>
      <c r="K320" s="11">
        <v>31789</v>
      </c>
      <c r="L320" s="11"/>
      <c r="M320" s="10"/>
      <c r="N320" s="38"/>
      <c r="O320" s="11">
        <f>MIN(K320:M320)</f>
        <v>31789</v>
      </c>
      <c r="P320" s="11">
        <f t="shared" si="57"/>
        <v>31789</v>
      </c>
      <c r="Q320" s="11">
        <v>1.5</v>
      </c>
      <c r="R320" s="11">
        <f t="shared" si="58"/>
        <v>47683.5</v>
      </c>
      <c r="S320" s="11"/>
      <c r="T320" s="136">
        <f>+N320*Q320</f>
        <v>0</v>
      </c>
    </row>
    <row r="321" spans="1:20" ht="15.75" customHeight="1">
      <c r="A321" s="149">
        <v>89</v>
      </c>
      <c r="B321" s="273"/>
      <c r="C321" s="28" t="s">
        <v>3835</v>
      </c>
      <c r="D321" s="41"/>
      <c r="E321" s="131">
        <f t="shared" si="67"/>
        <v>56480</v>
      </c>
      <c r="F321" s="21">
        <f t="shared" si="77"/>
        <v>68340.800000000003</v>
      </c>
      <c r="G321" s="21"/>
      <c r="H321" s="135">
        <f t="shared" si="68"/>
        <v>0</v>
      </c>
      <c r="I321" s="294">
        <v>45323</v>
      </c>
      <c r="J321" s="294">
        <v>45355</v>
      </c>
      <c r="K321" s="11">
        <v>37648</v>
      </c>
      <c r="L321" s="11"/>
      <c r="M321" s="10"/>
      <c r="N321" s="38"/>
      <c r="O321" s="11">
        <f t="shared" si="59"/>
        <v>37648</v>
      </c>
      <c r="P321" s="11">
        <f t="shared" si="57"/>
        <v>37648</v>
      </c>
      <c r="Q321" s="11">
        <v>1.5</v>
      </c>
      <c r="R321" s="11">
        <f t="shared" si="58"/>
        <v>56472</v>
      </c>
      <c r="S321" s="11"/>
      <c r="T321" s="136">
        <f t="shared" si="76"/>
        <v>0</v>
      </c>
    </row>
    <row r="322" spans="1:20" ht="15.75" customHeight="1">
      <c r="A322" s="149"/>
      <c r="B322" s="273"/>
      <c r="C322" s="28" t="s">
        <v>3615</v>
      </c>
      <c r="D322" s="41">
        <v>950</v>
      </c>
      <c r="E322" s="131">
        <f t="shared" si="67"/>
        <v>28520</v>
      </c>
      <c r="F322" s="21">
        <f t="shared" si="77"/>
        <v>34509.199999999997</v>
      </c>
      <c r="G322" s="21"/>
      <c r="H322" s="135">
        <f t="shared" si="68"/>
        <v>0</v>
      </c>
      <c r="I322" s="294">
        <v>45308</v>
      </c>
      <c r="J322" s="40"/>
      <c r="K322" s="10">
        <f>16200*1.1</f>
        <v>17820</v>
      </c>
      <c r="L322" s="11"/>
      <c r="M322" s="11"/>
      <c r="N322" s="100"/>
      <c r="O322" s="11">
        <f t="shared" si="59"/>
        <v>17820</v>
      </c>
      <c r="P322" s="11">
        <f t="shared" si="57"/>
        <v>17820</v>
      </c>
      <c r="Q322" s="11">
        <v>1.6</v>
      </c>
      <c r="R322" s="11">
        <f t="shared" si="58"/>
        <v>28512</v>
      </c>
      <c r="S322" s="11"/>
      <c r="T322" s="136">
        <f t="shared" si="76"/>
        <v>0</v>
      </c>
    </row>
    <row r="323" spans="1:20" ht="15.75" customHeight="1">
      <c r="A323" s="149"/>
      <c r="B323" s="273"/>
      <c r="C323" s="28" t="s">
        <v>44303</v>
      </c>
      <c r="D323" s="41">
        <v>950</v>
      </c>
      <c r="E323" s="131">
        <f t="shared" si="67"/>
        <v>22530</v>
      </c>
      <c r="F323" s="21">
        <f t="shared" si="77"/>
        <v>27261.3</v>
      </c>
      <c r="G323" s="21"/>
      <c r="H323" s="135">
        <f t="shared" si="68"/>
        <v>0</v>
      </c>
      <c r="I323" s="294">
        <v>45308</v>
      </c>
      <c r="J323" s="40"/>
      <c r="K323" s="10">
        <f>12800*1.1</f>
        <v>14080.000000000002</v>
      </c>
      <c r="L323" s="11">
        <f>3700*2*2</f>
        <v>14800</v>
      </c>
      <c r="M323" s="11"/>
      <c r="N323" s="100"/>
      <c r="O323" s="11">
        <f t="shared" si="59"/>
        <v>14080.000000000002</v>
      </c>
      <c r="P323" s="11">
        <f t="shared" si="57"/>
        <v>14080.000000000002</v>
      </c>
      <c r="Q323" s="11">
        <v>1.6</v>
      </c>
      <c r="R323" s="11">
        <f t="shared" si="58"/>
        <v>22528.000000000004</v>
      </c>
      <c r="S323" s="11"/>
      <c r="T323" s="136">
        <f t="shared" si="76"/>
        <v>0</v>
      </c>
    </row>
    <row r="324" spans="1:20" ht="15.75" customHeight="1">
      <c r="A324" s="149" t="s">
        <v>3754</v>
      </c>
      <c r="B324" s="273"/>
      <c r="C324" s="28" t="s">
        <v>2147</v>
      </c>
      <c r="D324" s="41">
        <v>920</v>
      </c>
      <c r="E324" s="131">
        <f t="shared" si="67"/>
        <v>0</v>
      </c>
      <c r="F324" s="21">
        <f t="shared" si="77"/>
        <v>0</v>
      </c>
      <c r="G324" s="21"/>
      <c r="H324" s="135">
        <f t="shared" si="68"/>
        <v>0</v>
      </c>
      <c r="I324" s="294"/>
      <c r="J324" s="40">
        <v>44683</v>
      </c>
      <c r="K324" s="10">
        <v>1650</v>
      </c>
      <c r="L324" s="11">
        <f>2832*0.6</f>
        <v>1699.2</v>
      </c>
      <c r="M324" s="11"/>
      <c r="N324" s="100"/>
      <c r="O324" s="11">
        <f t="shared" si="59"/>
        <v>1650</v>
      </c>
      <c r="P324" s="11">
        <f t="shared" si="57"/>
        <v>1650</v>
      </c>
      <c r="Q324" s="11"/>
      <c r="R324" s="11">
        <f t="shared" si="58"/>
        <v>0</v>
      </c>
      <c r="S324" s="11"/>
      <c r="T324" s="136">
        <f t="shared" si="76"/>
        <v>0</v>
      </c>
    </row>
    <row r="325" spans="1:20" ht="15.75" customHeight="1">
      <c r="A325" s="149">
        <v>48</v>
      </c>
      <c r="B325" s="273"/>
      <c r="C325" s="28" t="s">
        <v>2767</v>
      </c>
      <c r="D325" s="41"/>
      <c r="E325" s="131">
        <f>ROUNDUP(R325,-1)</f>
        <v>0</v>
      </c>
      <c r="F325" s="21">
        <f>+E325*1.21</f>
        <v>0</v>
      </c>
      <c r="G325" s="21"/>
      <c r="H325" s="135">
        <f>ROUNDUP(T325,-1)</f>
        <v>0</v>
      </c>
      <c r="I325" s="294">
        <v>44307</v>
      </c>
      <c r="J325" s="294"/>
      <c r="K325" s="11">
        <f>PROVEEDORES!D42*25.65*1.3</f>
        <v>29510.325000000001</v>
      </c>
      <c r="L325" s="11"/>
      <c r="M325" s="11"/>
      <c r="N325" s="100"/>
      <c r="O325" s="11">
        <f>MIN(K325:M325)</f>
        <v>29510.325000000001</v>
      </c>
      <c r="P325" s="11">
        <f>+O325</f>
        <v>29510.325000000001</v>
      </c>
      <c r="Q325" s="11"/>
      <c r="R325" s="11">
        <f>+P325*Q325</f>
        <v>0</v>
      </c>
      <c r="S325" s="11"/>
      <c r="T325" s="136">
        <f>+N325*Q325</f>
        <v>0</v>
      </c>
    </row>
    <row r="326" spans="1:20" ht="15.75" customHeight="1">
      <c r="A326" s="149">
        <v>89</v>
      </c>
      <c r="B326" s="286"/>
      <c r="C326" s="28" t="s">
        <v>4381</v>
      </c>
      <c r="D326" s="41"/>
      <c r="E326" s="131">
        <f t="shared" si="67"/>
        <v>40120</v>
      </c>
      <c r="F326" s="21">
        <f t="shared" si="77"/>
        <v>48545.2</v>
      </c>
      <c r="G326" s="21"/>
      <c r="H326" s="135">
        <f t="shared" si="68"/>
        <v>0</v>
      </c>
      <c r="I326" s="294">
        <v>45293</v>
      </c>
      <c r="J326" s="294">
        <v>45355</v>
      </c>
      <c r="K326" s="11">
        <f>26741</f>
        <v>26741</v>
      </c>
      <c r="L326" s="11"/>
      <c r="M326" s="10"/>
      <c r="N326" s="38"/>
      <c r="O326" s="11">
        <f t="shared" si="59"/>
        <v>26741</v>
      </c>
      <c r="P326" s="11">
        <f t="shared" si="57"/>
        <v>26741</v>
      </c>
      <c r="Q326" s="11">
        <v>1.5</v>
      </c>
      <c r="R326" s="11">
        <f t="shared" si="58"/>
        <v>40111.5</v>
      </c>
      <c r="S326" s="11"/>
      <c r="T326" s="136">
        <f t="shared" si="76"/>
        <v>0</v>
      </c>
    </row>
    <row r="327" spans="1:20" ht="15.75" customHeight="1">
      <c r="A327" s="149">
        <v>14</v>
      </c>
      <c r="B327" s="273"/>
      <c r="C327" s="28" t="s">
        <v>2148</v>
      </c>
      <c r="D327" s="41"/>
      <c r="E327" s="131">
        <f t="shared" si="67"/>
        <v>0</v>
      </c>
      <c r="F327" s="21">
        <f t="shared" si="77"/>
        <v>0</v>
      </c>
      <c r="G327" s="21"/>
      <c r="H327" s="135">
        <f t="shared" si="68"/>
        <v>0</v>
      </c>
      <c r="I327" s="294"/>
      <c r="J327" s="294"/>
      <c r="K327" s="10">
        <v>880</v>
      </c>
      <c r="L327" s="11"/>
      <c r="M327" s="11"/>
      <c r="N327" s="100"/>
      <c r="O327" s="11">
        <f t="shared" si="59"/>
        <v>880</v>
      </c>
      <c r="P327" s="11">
        <f t="shared" si="57"/>
        <v>880</v>
      </c>
      <c r="Q327" s="11"/>
      <c r="R327" s="11">
        <f t="shared" si="58"/>
        <v>0</v>
      </c>
      <c r="S327" s="11"/>
      <c r="T327" s="136">
        <f t="shared" si="76"/>
        <v>0</v>
      </c>
    </row>
    <row r="328" spans="1:20" ht="15.75" customHeight="1">
      <c r="A328" s="149">
        <v>14</v>
      </c>
      <c r="B328" s="273"/>
      <c r="C328" s="28" t="s">
        <v>2149</v>
      </c>
      <c r="D328" s="41"/>
      <c r="E328" s="131">
        <f t="shared" si="67"/>
        <v>0</v>
      </c>
      <c r="F328" s="21">
        <f t="shared" si="77"/>
        <v>0</v>
      </c>
      <c r="G328" s="21"/>
      <c r="H328" s="135">
        <f t="shared" si="68"/>
        <v>0</v>
      </c>
      <c r="I328" s="294"/>
      <c r="J328" s="294"/>
      <c r="K328" s="11">
        <f>259*1.55</f>
        <v>401.45</v>
      </c>
      <c r="L328" s="11"/>
      <c r="M328" s="10"/>
      <c r="N328" s="38"/>
      <c r="O328" s="11">
        <f t="shared" si="59"/>
        <v>401.45</v>
      </c>
      <c r="P328" s="11">
        <f t="shared" ref="P328:P390" si="78">+O328</f>
        <v>401.45</v>
      </c>
      <c r="Q328" s="11"/>
      <c r="R328" s="11">
        <f t="shared" ref="R328:R390" si="79">+P328*Q328</f>
        <v>0</v>
      </c>
      <c r="S328" s="11"/>
      <c r="T328" s="136">
        <f t="shared" si="76"/>
        <v>0</v>
      </c>
    </row>
    <row r="329" spans="1:20" ht="15.75" customHeight="1">
      <c r="A329" s="149" t="s">
        <v>2867</v>
      </c>
      <c r="B329" s="273"/>
      <c r="C329" s="28" t="s">
        <v>4071</v>
      </c>
      <c r="D329" s="41">
        <v>1890</v>
      </c>
      <c r="E329" s="131">
        <f t="shared" si="67"/>
        <v>36600</v>
      </c>
      <c r="F329" s="21">
        <f t="shared" si="77"/>
        <v>44286</v>
      </c>
      <c r="G329" s="21"/>
      <c r="H329" s="135">
        <f t="shared" si="68"/>
        <v>0</v>
      </c>
      <c r="I329" s="294">
        <v>45217</v>
      </c>
      <c r="J329" s="40">
        <v>45271</v>
      </c>
      <c r="K329" s="11"/>
      <c r="L329" s="10">
        <f>18.35*PROVEEDORES!D42*4</f>
        <v>64959.000000000007</v>
      </c>
      <c r="M329" s="11">
        <f>0.6*35880</f>
        <v>21528</v>
      </c>
      <c r="N329" s="100"/>
      <c r="O329" s="11">
        <f t="shared" si="59"/>
        <v>21528</v>
      </c>
      <c r="P329" s="11">
        <f t="shared" si="78"/>
        <v>21528</v>
      </c>
      <c r="Q329" s="11">
        <v>1.7</v>
      </c>
      <c r="R329" s="11">
        <f t="shared" si="79"/>
        <v>36597.599999999999</v>
      </c>
      <c r="S329" s="11"/>
      <c r="T329" s="136">
        <f t="shared" si="76"/>
        <v>0</v>
      </c>
    </row>
    <row r="330" spans="1:20" ht="15.75" customHeight="1">
      <c r="A330" s="149" t="s">
        <v>2424</v>
      </c>
      <c r="B330" s="273"/>
      <c r="C330" s="28" t="s">
        <v>1317</v>
      </c>
      <c r="D330" s="41">
        <v>2500</v>
      </c>
      <c r="E330" s="131">
        <f t="shared" si="67"/>
        <v>0</v>
      </c>
      <c r="F330" s="21">
        <f t="shared" si="77"/>
        <v>0</v>
      </c>
      <c r="G330" s="21"/>
      <c r="H330" s="135">
        <f t="shared" si="68"/>
        <v>0</v>
      </c>
      <c r="I330" s="294">
        <v>44859</v>
      </c>
      <c r="J330" s="40"/>
      <c r="K330" s="11">
        <f>+PROVEEDORES!$D$8*27.6*2</f>
        <v>48852</v>
      </c>
      <c r="L330" s="11">
        <f>PROVEEDORES!D42*27.3</f>
        <v>24160.5</v>
      </c>
      <c r="M330" s="11">
        <v>2600</v>
      </c>
      <c r="N330" s="100"/>
      <c r="O330" s="11">
        <f t="shared" si="59"/>
        <v>2600</v>
      </c>
      <c r="P330" s="11">
        <f t="shared" si="78"/>
        <v>2600</v>
      </c>
      <c r="Q330" s="11"/>
      <c r="R330" s="11">
        <f t="shared" si="79"/>
        <v>0</v>
      </c>
      <c r="S330" s="11"/>
      <c r="T330" s="136">
        <f t="shared" si="76"/>
        <v>0</v>
      </c>
    </row>
    <row r="331" spans="1:20" ht="15.75" customHeight="1">
      <c r="A331" s="149"/>
      <c r="B331" s="273"/>
      <c r="C331" s="28" t="s">
        <v>1318</v>
      </c>
      <c r="D331" s="41">
        <v>650</v>
      </c>
      <c r="E331" s="131">
        <f t="shared" si="67"/>
        <v>0</v>
      </c>
      <c r="F331" s="21">
        <f t="shared" si="77"/>
        <v>0</v>
      </c>
      <c r="G331" s="21"/>
      <c r="H331" s="135">
        <f t="shared" si="68"/>
        <v>0</v>
      </c>
      <c r="I331" s="294"/>
      <c r="J331" s="40">
        <v>43256</v>
      </c>
      <c r="K331" s="10">
        <f>400*1.5</f>
        <v>600</v>
      </c>
      <c r="L331" s="11"/>
      <c r="M331" s="11"/>
      <c r="N331" s="100"/>
      <c r="O331" s="11">
        <f t="shared" si="59"/>
        <v>600</v>
      </c>
      <c r="P331" s="11">
        <f t="shared" si="78"/>
        <v>600</v>
      </c>
      <c r="Q331" s="11"/>
      <c r="R331" s="11">
        <f t="shared" si="79"/>
        <v>0</v>
      </c>
      <c r="S331" s="11"/>
      <c r="T331" s="136">
        <f t="shared" si="76"/>
        <v>0</v>
      </c>
    </row>
    <row r="332" spans="1:20" ht="15.75" customHeight="1">
      <c r="A332" s="149" t="s">
        <v>2421</v>
      </c>
      <c r="B332" s="273"/>
      <c r="C332" s="28" t="s">
        <v>1319</v>
      </c>
      <c r="D332" s="41">
        <v>2040</v>
      </c>
      <c r="E332" s="131">
        <f t="shared" si="67"/>
        <v>0</v>
      </c>
      <c r="F332" s="21">
        <f t="shared" si="77"/>
        <v>0</v>
      </c>
      <c r="G332" s="21"/>
      <c r="H332" s="135">
        <f t="shared" si="68"/>
        <v>0</v>
      </c>
      <c r="I332" s="294"/>
      <c r="J332" s="40">
        <v>43509</v>
      </c>
      <c r="K332" s="10">
        <f>1402*1.45</f>
        <v>2032.8999999999999</v>
      </c>
      <c r="L332" s="11">
        <v>1701.2</v>
      </c>
      <c r="M332" s="11"/>
      <c r="N332" s="100"/>
      <c r="O332" s="11">
        <f t="shared" si="59"/>
        <v>1701.2</v>
      </c>
      <c r="P332" s="11">
        <f t="shared" si="78"/>
        <v>1701.2</v>
      </c>
      <c r="Q332" s="11"/>
      <c r="R332" s="11">
        <f t="shared" si="79"/>
        <v>0</v>
      </c>
      <c r="S332" s="11"/>
      <c r="T332" s="136">
        <f t="shared" si="76"/>
        <v>0</v>
      </c>
    </row>
    <row r="333" spans="1:20" ht="15.75" customHeight="1">
      <c r="A333" s="149" t="s">
        <v>2421</v>
      </c>
      <c r="B333" s="273"/>
      <c r="C333" s="28" t="s">
        <v>1320</v>
      </c>
      <c r="D333" s="41">
        <v>3910</v>
      </c>
      <c r="E333" s="131">
        <f t="shared" si="67"/>
        <v>0</v>
      </c>
      <c r="F333" s="21">
        <f t="shared" si="77"/>
        <v>0</v>
      </c>
      <c r="G333" s="21"/>
      <c r="H333" s="135">
        <f t="shared" si="68"/>
        <v>0</v>
      </c>
      <c r="I333" s="294"/>
      <c r="J333" s="294">
        <v>44728</v>
      </c>
      <c r="K333" s="11">
        <v>8418</v>
      </c>
      <c r="L333" s="11"/>
      <c r="M333" s="11"/>
      <c r="N333" s="100"/>
      <c r="O333" s="11">
        <f t="shared" si="59"/>
        <v>8418</v>
      </c>
      <c r="P333" s="11">
        <f t="shared" si="78"/>
        <v>8418</v>
      </c>
      <c r="Q333" s="11"/>
      <c r="R333" s="11">
        <f t="shared" si="79"/>
        <v>0</v>
      </c>
      <c r="S333" s="11"/>
      <c r="T333" s="136">
        <f t="shared" si="76"/>
        <v>0</v>
      </c>
    </row>
    <row r="334" spans="1:20" ht="15.75" customHeight="1">
      <c r="A334" s="149">
        <v>21</v>
      </c>
      <c r="B334" s="273"/>
      <c r="C334" s="28" t="s">
        <v>3644</v>
      </c>
      <c r="D334" s="41">
        <v>2820</v>
      </c>
      <c r="E334" s="131">
        <f t="shared" si="67"/>
        <v>48970</v>
      </c>
      <c r="F334" s="21">
        <f t="shared" si="77"/>
        <v>59253.7</v>
      </c>
      <c r="G334" s="21"/>
      <c r="H334" s="135">
        <f t="shared" si="68"/>
        <v>0</v>
      </c>
      <c r="I334" s="294">
        <v>45217</v>
      </c>
      <c r="J334" s="40">
        <v>45274</v>
      </c>
      <c r="K334" s="10">
        <f>0.6*56280</f>
        <v>33768</v>
      </c>
      <c r="L334" s="10"/>
      <c r="M334" s="11"/>
      <c r="N334" s="100"/>
      <c r="O334" s="11">
        <f t="shared" si="59"/>
        <v>33768</v>
      </c>
      <c r="P334" s="11">
        <f t="shared" si="78"/>
        <v>33768</v>
      </c>
      <c r="Q334" s="11">
        <v>1.45</v>
      </c>
      <c r="R334" s="11">
        <f t="shared" si="79"/>
        <v>48963.6</v>
      </c>
      <c r="S334" s="11"/>
      <c r="T334" s="136">
        <f t="shared" si="76"/>
        <v>0</v>
      </c>
    </row>
    <row r="335" spans="1:20" ht="15.75" customHeight="1">
      <c r="A335" s="149">
        <v>21</v>
      </c>
      <c r="B335" s="273"/>
      <c r="C335" s="28" t="s">
        <v>3645</v>
      </c>
      <c r="D335" s="41">
        <v>3440</v>
      </c>
      <c r="E335" s="131">
        <f t="shared" si="67"/>
        <v>59550</v>
      </c>
      <c r="F335" s="21">
        <f t="shared" si="77"/>
        <v>72055.5</v>
      </c>
      <c r="G335" s="21"/>
      <c r="H335" s="135">
        <f t="shared" si="68"/>
        <v>0</v>
      </c>
      <c r="I335" s="40">
        <v>45217</v>
      </c>
      <c r="J335" s="294">
        <v>45274</v>
      </c>
      <c r="K335" s="10">
        <f>0.6*68444</f>
        <v>41066.400000000001</v>
      </c>
      <c r="L335" s="45"/>
      <c r="M335" s="11"/>
      <c r="N335" s="100"/>
      <c r="O335" s="11">
        <f t="shared" si="59"/>
        <v>41066.400000000001</v>
      </c>
      <c r="P335" s="11">
        <f t="shared" si="78"/>
        <v>41066.400000000001</v>
      </c>
      <c r="Q335" s="11">
        <v>1.45</v>
      </c>
      <c r="R335" s="11">
        <f t="shared" si="79"/>
        <v>59546.28</v>
      </c>
      <c r="S335" s="11"/>
      <c r="T335" s="136">
        <f t="shared" si="76"/>
        <v>0</v>
      </c>
    </row>
    <row r="336" spans="1:20" ht="15.75" customHeight="1">
      <c r="A336" s="149">
        <v>21</v>
      </c>
      <c r="B336" s="273"/>
      <c r="C336" s="28" t="s">
        <v>3646</v>
      </c>
      <c r="D336" s="41">
        <v>6450</v>
      </c>
      <c r="E336" s="131">
        <f t="shared" si="67"/>
        <v>86410</v>
      </c>
      <c r="F336" s="21">
        <f t="shared" si="77"/>
        <v>104556.09999999999</v>
      </c>
      <c r="G336" s="21"/>
      <c r="H336" s="135">
        <f t="shared" si="68"/>
        <v>0</v>
      </c>
      <c r="I336" s="294">
        <v>45217</v>
      </c>
      <c r="J336" s="294">
        <v>45274</v>
      </c>
      <c r="K336" s="10">
        <f>0.6*99313</f>
        <v>59587.799999999996</v>
      </c>
      <c r="L336" s="45"/>
      <c r="M336" s="11"/>
      <c r="N336" s="100"/>
      <c r="O336" s="11">
        <f t="shared" si="59"/>
        <v>59587.799999999996</v>
      </c>
      <c r="P336" s="11">
        <f t="shared" si="78"/>
        <v>59587.799999999996</v>
      </c>
      <c r="Q336" s="11">
        <v>1.45</v>
      </c>
      <c r="R336" s="11">
        <f t="shared" si="79"/>
        <v>86402.31</v>
      </c>
      <c r="S336" s="11"/>
      <c r="T336" s="136">
        <f t="shared" si="76"/>
        <v>0</v>
      </c>
    </row>
    <row r="337" spans="1:20" ht="15.75" customHeight="1">
      <c r="A337" s="149">
        <v>29</v>
      </c>
      <c r="B337" s="273"/>
      <c r="C337" s="28" t="s">
        <v>1321</v>
      </c>
      <c r="D337" s="41">
        <v>1500</v>
      </c>
      <c r="E337" s="131">
        <f t="shared" si="67"/>
        <v>41040</v>
      </c>
      <c r="F337" s="21">
        <f t="shared" si="77"/>
        <v>49658.400000000001</v>
      </c>
      <c r="G337" s="21"/>
      <c r="H337" s="135">
        <f t="shared" si="68"/>
        <v>0</v>
      </c>
      <c r="I337" s="294">
        <v>45286</v>
      </c>
      <c r="J337" s="294">
        <v>45341</v>
      </c>
      <c r="K337" s="46">
        <v>27355</v>
      </c>
      <c r="L337" s="45"/>
      <c r="M337" s="11"/>
      <c r="N337" s="100"/>
      <c r="O337" s="11">
        <f t="shared" si="59"/>
        <v>27355</v>
      </c>
      <c r="P337" s="11">
        <f t="shared" si="78"/>
        <v>27355</v>
      </c>
      <c r="Q337" s="11">
        <v>1.5</v>
      </c>
      <c r="R337" s="11">
        <f t="shared" si="79"/>
        <v>41032.5</v>
      </c>
      <c r="S337" s="11"/>
      <c r="T337" s="136">
        <f t="shared" si="76"/>
        <v>0</v>
      </c>
    </row>
    <row r="338" spans="1:20" ht="15.75" customHeight="1">
      <c r="A338" s="149">
        <v>41</v>
      </c>
      <c r="B338" s="273"/>
      <c r="C338" s="28" t="s">
        <v>4257</v>
      </c>
      <c r="D338" s="41"/>
      <c r="E338" s="131">
        <f t="shared" si="67"/>
        <v>47670</v>
      </c>
      <c r="F338" s="21">
        <f t="shared" si="77"/>
        <v>57680.7</v>
      </c>
      <c r="G338" s="21"/>
      <c r="H338" s="135">
        <f t="shared" si="68"/>
        <v>0</v>
      </c>
      <c r="I338" s="294"/>
      <c r="J338" s="294">
        <v>45051</v>
      </c>
      <c r="K338" s="10">
        <f>+PROVEEDORES!D35*0.9*33</f>
        <v>31779</v>
      </c>
      <c r="L338" s="45"/>
      <c r="M338" s="11"/>
      <c r="N338" s="100"/>
      <c r="O338" s="11">
        <f t="shared" ref="O338:O401" si="80">MIN(K338:M338)</f>
        <v>31779</v>
      </c>
      <c r="P338" s="11">
        <f t="shared" si="78"/>
        <v>31779</v>
      </c>
      <c r="Q338" s="11">
        <v>1.5</v>
      </c>
      <c r="R338" s="11">
        <f t="shared" si="79"/>
        <v>47668.5</v>
      </c>
      <c r="S338" s="11"/>
      <c r="T338" s="136">
        <f t="shared" si="76"/>
        <v>0</v>
      </c>
    </row>
    <row r="339" spans="1:20" ht="15.75" customHeight="1">
      <c r="A339" s="149">
        <v>41</v>
      </c>
      <c r="B339" s="273"/>
      <c r="C339" s="28" t="s">
        <v>3867</v>
      </c>
      <c r="D339" s="41">
        <v>14850</v>
      </c>
      <c r="E339" s="132">
        <f t="shared" si="67"/>
        <v>238780</v>
      </c>
      <c r="F339" s="21">
        <f t="shared" si="77"/>
        <v>288923.8</v>
      </c>
      <c r="G339" s="21"/>
      <c r="H339" s="135">
        <f t="shared" si="68"/>
        <v>0</v>
      </c>
      <c r="I339" s="294"/>
      <c r="J339" s="294">
        <v>45061</v>
      </c>
      <c r="K339" s="10">
        <f>+PROVEEDORES!D35*0.9*0.9*190</f>
        <v>164673</v>
      </c>
      <c r="L339" s="45"/>
      <c r="M339" s="11"/>
      <c r="N339" s="100"/>
      <c r="O339" s="11">
        <f t="shared" si="80"/>
        <v>164673</v>
      </c>
      <c r="P339" s="11">
        <f t="shared" si="78"/>
        <v>164673</v>
      </c>
      <c r="Q339" s="11">
        <v>1.45</v>
      </c>
      <c r="R339" s="11">
        <f t="shared" si="79"/>
        <v>238775.85</v>
      </c>
      <c r="S339" s="11"/>
      <c r="T339" s="136">
        <f t="shared" si="76"/>
        <v>0</v>
      </c>
    </row>
    <row r="340" spans="1:20" ht="15.75" customHeight="1">
      <c r="A340" s="149">
        <v>31</v>
      </c>
      <c r="B340" s="273"/>
      <c r="C340" s="28" t="s">
        <v>2226</v>
      </c>
      <c r="D340" s="41">
        <v>3880</v>
      </c>
      <c r="E340" s="131">
        <f t="shared" si="67"/>
        <v>0</v>
      </c>
      <c r="F340" s="21">
        <f t="shared" si="77"/>
        <v>0</v>
      </c>
      <c r="G340" s="21"/>
      <c r="H340" s="135">
        <f t="shared" si="68"/>
        <v>0</v>
      </c>
      <c r="I340" s="294"/>
      <c r="J340" s="294">
        <v>43900</v>
      </c>
      <c r="K340" s="10">
        <f>(1900+200)*1.5</f>
        <v>3150</v>
      </c>
      <c r="L340" s="45"/>
      <c r="M340" s="11"/>
      <c r="N340" s="100"/>
      <c r="O340" s="11">
        <f t="shared" si="80"/>
        <v>3150</v>
      </c>
      <c r="P340" s="11">
        <f t="shared" si="78"/>
        <v>3150</v>
      </c>
      <c r="Q340" s="11"/>
      <c r="R340" s="11">
        <f t="shared" si="79"/>
        <v>0</v>
      </c>
      <c r="S340" s="11"/>
      <c r="T340" s="136">
        <f t="shared" si="76"/>
        <v>0</v>
      </c>
    </row>
    <row r="341" spans="1:20" ht="15.75" customHeight="1">
      <c r="A341" s="149"/>
      <c r="B341" s="273"/>
      <c r="C341" s="28" t="s">
        <v>1322</v>
      </c>
      <c r="D341" s="41"/>
      <c r="E341" s="131">
        <f t="shared" si="67"/>
        <v>0</v>
      </c>
      <c r="F341" s="21">
        <f t="shared" si="77"/>
        <v>0</v>
      </c>
      <c r="G341" s="21"/>
      <c r="H341" s="135">
        <f t="shared" si="68"/>
        <v>0</v>
      </c>
      <c r="I341" s="294"/>
      <c r="J341" s="294">
        <v>42424</v>
      </c>
      <c r="K341" s="10">
        <f>1603*1.4</f>
        <v>2244.1999999999998</v>
      </c>
      <c r="L341" s="45"/>
      <c r="M341" s="11"/>
      <c r="N341" s="100"/>
      <c r="O341" s="11">
        <f t="shared" si="80"/>
        <v>2244.1999999999998</v>
      </c>
      <c r="P341" s="11">
        <f t="shared" si="78"/>
        <v>2244.1999999999998</v>
      </c>
      <c r="Q341" s="11"/>
      <c r="R341" s="11">
        <f t="shared" si="79"/>
        <v>0</v>
      </c>
      <c r="S341" s="11"/>
      <c r="T341" s="136">
        <f t="shared" si="76"/>
        <v>0</v>
      </c>
    </row>
    <row r="342" spans="1:20" ht="15.75" customHeight="1">
      <c r="A342" s="149">
        <v>31</v>
      </c>
      <c r="B342" s="273"/>
      <c r="C342" s="28" t="s">
        <v>1323</v>
      </c>
      <c r="D342" s="41">
        <v>6300</v>
      </c>
      <c r="E342" s="131">
        <f t="shared" si="67"/>
        <v>93500</v>
      </c>
      <c r="F342" s="21">
        <f t="shared" si="77"/>
        <v>113135</v>
      </c>
      <c r="G342" s="21"/>
      <c r="H342" s="135">
        <f t="shared" si="68"/>
        <v>0</v>
      </c>
      <c r="I342" s="294">
        <v>45139</v>
      </c>
      <c r="J342" s="294">
        <v>45372</v>
      </c>
      <c r="K342" s="10">
        <f>(45000+10000)</f>
        <v>55000</v>
      </c>
      <c r="L342" s="246" t="s">
        <v>4384</v>
      </c>
      <c r="M342" s="32"/>
      <c r="N342" s="100"/>
      <c r="O342" s="11">
        <f t="shared" si="80"/>
        <v>55000</v>
      </c>
      <c r="P342" s="11">
        <f t="shared" si="78"/>
        <v>55000</v>
      </c>
      <c r="Q342" s="11">
        <v>1.7</v>
      </c>
      <c r="R342" s="11">
        <f t="shared" si="79"/>
        <v>93500</v>
      </c>
      <c r="S342" s="11"/>
      <c r="T342" s="136">
        <f t="shared" si="76"/>
        <v>0</v>
      </c>
    </row>
    <row r="343" spans="1:20" ht="15.75" customHeight="1">
      <c r="A343" s="149">
        <v>41</v>
      </c>
      <c r="B343" s="273"/>
      <c r="C343" s="28" t="s">
        <v>3742</v>
      </c>
      <c r="D343" s="41">
        <v>1690</v>
      </c>
      <c r="E343" s="132">
        <f t="shared" si="67"/>
        <v>78590</v>
      </c>
      <c r="F343" s="21">
        <f t="shared" si="77"/>
        <v>95093.9</v>
      </c>
      <c r="G343" s="21"/>
      <c r="H343" s="135">
        <f t="shared" si="68"/>
        <v>0</v>
      </c>
      <c r="I343" s="294"/>
      <c r="J343" s="294">
        <v>44685</v>
      </c>
      <c r="K343" s="10">
        <f>+PROVEEDORES!D35*(45+3*2)*0.9</f>
        <v>49113</v>
      </c>
      <c r="L343" s="250"/>
      <c r="M343" s="11"/>
      <c r="N343" s="100"/>
      <c r="O343" s="11">
        <f t="shared" si="80"/>
        <v>49113</v>
      </c>
      <c r="P343" s="11">
        <f t="shared" si="78"/>
        <v>49113</v>
      </c>
      <c r="Q343" s="11">
        <v>1.6</v>
      </c>
      <c r="R343" s="11">
        <f t="shared" si="79"/>
        <v>78580.800000000003</v>
      </c>
      <c r="S343" s="11"/>
      <c r="T343" s="136">
        <f t="shared" si="76"/>
        <v>0</v>
      </c>
    </row>
    <row r="344" spans="1:20" ht="15.75" customHeight="1">
      <c r="A344" s="149">
        <v>41</v>
      </c>
      <c r="B344" s="273"/>
      <c r="C344" s="28" t="s">
        <v>1324</v>
      </c>
      <c r="D344" s="41">
        <v>1690</v>
      </c>
      <c r="E344" s="132">
        <f t="shared" si="67"/>
        <v>0</v>
      </c>
      <c r="F344" s="21">
        <f t="shared" si="77"/>
        <v>0</v>
      </c>
      <c r="G344" s="21"/>
      <c r="H344" s="135">
        <f t="shared" si="68"/>
        <v>0</v>
      </c>
      <c r="I344" s="294"/>
      <c r="J344" s="294">
        <v>43314</v>
      </c>
      <c r="K344" s="10">
        <f>+(1160+87)*1.35</f>
        <v>1683.45</v>
      </c>
      <c r="L344" s="45"/>
      <c r="M344" s="11"/>
      <c r="N344" s="100"/>
      <c r="O344" s="11">
        <f t="shared" si="80"/>
        <v>1683.45</v>
      </c>
      <c r="P344" s="11">
        <f t="shared" si="78"/>
        <v>1683.45</v>
      </c>
      <c r="Q344" s="11"/>
      <c r="R344" s="11">
        <f t="shared" si="79"/>
        <v>0</v>
      </c>
      <c r="S344" s="11"/>
      <c r="T344" s="136">
        <f t="shared" si="76"/>
        <v>0</v>
      </c>
    </row>
    <row r="345" spans="1:20" ht="15.75" customHeight="1">
      <c r="A345" s="149"/>
      <c r="B345" s="273"/>
      <c r="C345" s="28" t="s">
        <v>3844</v>
      </c>
      <c r="D345" s="41"/>
      <c r="E345" s="131">
        <f t="shared" si="67"/>
        <v>4770</v>
      </c>
      <c r="F345" s="21">
        <f t="shared" si="77"/>
        <v>5771.7</v>
      </c>
      <c r="G345" s="21"/>
      <c r="H345" s="135">
        <f t="shared" si="68"/>
        <v>0</v>
      </c>
      <c r="I345" s="294">
        <v>45203</v>
      </c>
      <c r="J345" s="294"/>
      <c r="K345" s="32">
        <v>3174</v>
      </c>
      <c r="L345" s="46"/>
      <c r="M345" s="11"/>
      <c r="N345" s="100"/>
      <c r="O345" s="11">
        <f t="shared" si="80"/>
        <v>3174</v>
      </c>
      <c r="P345" s="11">
        <f t="shared" si="78"/>
        <v>3174</v>
      </c>
      <c r="Q345" s="11">
        <v>1.5</v>
      </c>
      <c r="R345" s="11">
        <f t="shared" si="79"/>
        <v>4761</v>
      </c>
      <c r="S345" s="11"/>
      <c r="T345" s="136">
        <f t="shared" si="76"/>
        <v>0</v>
      </c>
    </row>
    <row r="346" spans="1:20" ht="15.75" customHeight="1">
      <c r="A346" s="149">
        <v>36</v>
      </c>
      <c r="B346" s="273"/>
      <c r="C346" s="28" t="s">
        <v>44317</v>
      </c>
      <c r="D346" s="41"/>
      <c r="E346" s="131">
        <f t="shared" si="67"/>
        <v>12830</v>
      </c>
      <c r="F346" s="21">
        <f t="shared" si="77"/>
        <v>15524.3</v>
      </c>
      <c r="G346" s="21"/>
      <c r="H346" s="135">
        <f t="shared" si="68"/>
        <v>0</v>
      </c>
      <c r="I346" s="294">
        <v>45059</v>
      </c>
      <c r="J346" s="294">
        <v>45331</v>
      </c>
      <c r="K346" s="32">
        <f>0.8*0.94*11373</f>
        <v>8552.4959999999992</v>
      </c>
      <c r="L346" s="46"/>
      <c r="M346" s="11"/>
      <c r="N346" s="100"/>
      <c r="O346" s="11">
        <f t="shared" si="80"/>
        <v>8552.4959999999992</v>
      </c>
      <c r="P346" s="11">
        <f t="shared" si="78"/>
        <v>8552.4959999999992</v>
      </c>
      <c r="Q346" s="11">
        <v>1.5</v>
      </c>
      <c r="R346" s="11">
        <f t="shared" si="79"/>
        <v>12828.743999999999</v>
      </c>
      <c r="S346" s="11"/>
      <c r="T346" s="136">
        <f t="shared" si="76"/>
        <v>0</v>
      </c>
    </row>
    <row r="347" spans="1:20" ht="15.75" customHeight="1">
      <c r="A347" s="149">
        <v>55</v>
      </c>
      <c r="B347" s="273"/>
      <c r="C347" s="28" t="s">
        <v>2268</v>
      </c>
      <c r="D347" s="41">
        <v>690</v>
      </c>
      <c r="E347" s="131">
        <f t="shared" si="67"/>
        <v>13230</v>
      </c>
      <c r="F347" s="21">
        <f t="shared" si="77"/>
        <v>16008.3</v>
      </c>
      <c r="G347" s="21"/>
      <c r="H347" s="135">
        <f t="shared" si="68"/>
        <v>0</v>
      </c>
      <c r="I347" s="294">
        <v>45344</v>
      </c>
      <c r="J347" s="294"/>
      <c r="K347" s="10">
        <v>8820</v>
      </c>
      <c r="L347" s="45"/>
      <c r="M347" s="11"/>
      <c r="N347" s="100"/>
      <c r="O347" s="11">
        <f t="shared" si="80"/>
        <v>8820</v>
      </c>
      <c r="P347" s="11">
        <f t="shared" si="78"/>
        <v>8820</v>
      </c>
      <c r="Q347" s="11">
        <v>1.5</v>
      </c>
      <c r="R347" s="11">
        <f t="shared" si="79"/>
        <v>13230</v>
      </c>
      <c r="S347" s="11"/>
      <c r="T347" s="136">
        <f t="shared" si="76"/>
        <v>0</v>
      </c>
    </row>
    <row r="348" spans="1:20" ht="15.75" customHeight="1">
      <c r="A348" s="149">
        <v>44</v>
      </c>
      <c r="B348" s="273">
        <f t="shared" ref="B348:B353" si="81">ROUNDUP(H348*1.105,-1)</f>
        <v>51400</v>
      </c>
      <c r="C348" s="28" t="s">
        <v>4099</v>
      </c>
      <c r="D348" s="41">
        <v>1240</v>
      </c>
      <c r="E348" s="140">
        <f t="shared" si="67"/>
        <v>51140</v>
      </c>
      <c r="F348" s="21">
        <f t="shared" si="77"/>
        <v>61879.4</v>
      </c>
      <c r="G348" s="21"/>
      <c r="H348" s="135">
        <f t="shared" si="68"/>
        <v>46510</v>
      </c>
      <c r="I348" s="294">
        <v>45287</v>
      </c>
      <c r="J348" s="294">
        <v>45329</v>
      </c>
      <c r="K348" s="10">
        <f>+PROVEEDORES!$D$38*41.27</f>
        <v>36523.950000000004</v>
      </c>
      <c r="L348" s="11"/>
      <c r="M348" s="11"/>
      <c r="N348" s="100">
        <v>33215</v>
      </c>
      <c r="O348" s="11">
        <f t="shared" si="80"/>
        <v>36523.950000000004</v>
      </c>
      <c r="P348" s="11">
        <f t="shared" si="78"/>
        <v>36523.950000000004</v>
      </c>
      <c r="Q348" s="11">
        <v>1.4</v>
      </c>
      <c r="R348" s="11">
        <f t="shared" si="79"/>
        <v>51133.530000000006</v>
      </c>
      <c r="S348" s="11"/>
      <c r="T348" s="136">
        <f t="shared" si="76"/>
        <v>46501</v>
      </c>
    </row>
    <row r="349" spans="1:20" ht="15.75" customHeight="1">
      <c r="A349" s="149">
        <v>44</v>
      </c>
      <c r="B349" s="273">
        <f t="shared" si="81"/>
        <v>114460</v>
      </c>
      <c r="C349" s="28" t="s">
        <v>4100</v>
      </c>
      <c r="D349" s="41">
        <v>1730</v>
      </c>
      <c r="E349" s="140">
        <f t="shared" si="67"/>
        <v>56430</v>
      </c>
      <c r="F349" s="21">
        <f t="shared" si="77"/>
        <v>68280.3</v>
      </c>
      <c r="G349" s="21"/>
      <c r="H349" s="135">
        <f t="shared" si="68"/>
        <v>103580</v>
      </c>
      <c r="I349" s="294">
        <v>45287</v>
      </c>
      <c r="J349" s="40">
        <v>45329</v>
      </c>
      <c r="K349" s="10">
        <f>+PROVEEDORES!$D$38*45.54</f>
        <v>40302.9</v>
      </c>
      <c r="L349" s="11"/>
      <c r="M349" s="11"/>
      <c r="N349" s="100">
        <v>73980</v>
      </c>
      <c r="O349" s="11">
        <f t="shared" si="80"/>
        <v>40302.9</v>
      </c>
      <c r="P349" s="11">
        <f t="shared" si="78"/>
        <v>40302.9</v>
      </c>
      <c r="Q349" s="11">
        <v>1.4</v>
      </c>
      <c r="R349" s="11">
        <f t="shared" si="79"/>
        <v>56424.06</v>
      </c>
      <c r="S349" s="11"/>
      <c r="T349" s="136">
        <f t="shared" ref="T349:T358" si="82">+N349*Q349</f>
        <v>103572</v>
      </c>
    </row>
    <row r="350" spans="1:20" ht="15.75" customHeight="1">
      <c r="A350" s="149">
        <v>44</v>
      </c>
      <c r="B350" s="273">
        <f t="shared" si="81"/>
        <v>104460</v>
      </c>
      <c r="C350" s="28" t="s">
        <v>3748</v>
      </c>
      <c r="D350" s="41">
        <v>2970</v>
      </c>
      <c r="E350" s="140">
        <f t="shared" si="67"/>
        <v>115830</v>
      </c>
      <c r="F350" s="21">
        <f t="shared" si="77"/>
        <v>140154.29999999999</v>
      </c>
      <c r="G350" s="21"/>
      <c r="H350" s="135">
        <f t="shared" si="68"/>
        <v>94530</v>
      </c>
      <c r="I350" s="294">
        <v>45287</v>
      </c>
      <c r="J350" s="294">
        <v>45329</v>
      </c>
      <c r="K350" s="10">
        <f>+PROVEEDORES!$D$38*93.48</f>
        <v>82729.8</v>
      </c>
      <c r="L350" s="45"/>
      <c r="M350" s="11"/>
      <c r="N350" s="100">
        <v>67520</v>
      </c>
      <c r="O350" s="11">
        <f t="shared" si="80"/>
        <v>82729.8</v>
      </c>
      <c r="P350" s="11">
        <f t="shared" si="78"/>
        <v>82729.8</v>
      </c>
      <c r="Q350" s="11">
        <v>1.4</v>
      </c>
      <c r="R350" s="11">
        <f t="shared" si="79"/>
        <v>115821.72</v>
      </c>
      <c r="S350" s="11"/>
      <c r="T350" s="136">
        <f t="shared" si="82"/>
        <v>94528</v>
      </c>
    </row>
    <row r="351" spans="1:20" ht="15.75" customHeight="1">
      <c r="A351" s="149">
        <v>44</v>
      </c>
      <c r="B351" s="273">
        <f t="shared" si="81"/>
        <v>106660</v>
      </c>
      <c r="C351" s="28" t="s">
        <v>1325</v>
      </c>
      <c r="D351" s="41">
        <v>2970</v>
      </c>
      <c r="E351" s="140">
        <f t="shared" si="67"/>
        <v>113620</v>
      </c>
      <c r="F351" s="21">
        <f t="shared" si="77"/>
        <v>137480.19999999998</v>
      </c>
      <c r="G351" s="21"/>
      <c r="H351" s="135">
        <f t="shared" si="68"/>
        <v>96520</v>
      </c>
      <c r="I351" s="294">
        <v>45287</v>
      </c>
      <c r="J351" s="294">
        <v>45329</v>
      </c>
      <c r="K351" s="10">
        <f>+PROVEEDORES!$D$38*91.7</f>
        <v>81154.5</v>
      </c>
      <c r="L351" s="45"/>
      <c r="M351" s="11"/>
      <c r="N351" s="100">
        <v>68940</v>
      </c>
      <c r="O351" s="11">
        <f t="shared" si="80"/>
        <v>81154.5</v>
      </c>
      <c r="P351" s="11">
        <f t="shared" si="78"/>
        <v>81154.5</v>
      </c>
      <c r="Q351" s="11">
        <v>1.4</v>
      </c>
      <c r="R351" s="11">
        <f t="shared" si="79"/>
        <v>113616.29999999999</v>
      </c>
      <c r="S351" s="11"/>
      <c r="T351" s="136">
        <f t="shared" si="82"/>
        <v>96516</v>
      </c>
    </row>
    <row r="352" spans="1:20" ht="15.75" customHeight="1">
      <c r="A352" s="149">
        <v>44</v>
      </c>
      <c r="B352" s="273">
        <f t="shared" si="81"/>
        <v>114460</v>
      </c>
      <c r="C352" s="28" t="s">
        <v>1326</v>
      </c>
      <c r="D352" s="41">
        <v>3840</v>
      </c>
      <c r="E352" s="140">
        <f t="shared" si="67"/>
        <v>144190</v>
      </c>
      <c r="F352" s="21">
        <f t="shared" si="77"/>
        <v>174469.9</v>
      </c>
      <c r="G352" s="21"/>
      <c r="H352" s="135">
        <f t="shared" si="68"/>
        <v>103580</v>
      </c>
      <c r="I352" s="294">
        <v>45287</v>
      </c>
      <c r="J352" s="294">
        <v>45329</v>
      </c>
      <c r="K352" s="10">
        <f>+PROVEEDORES!$D$38*116.37</f>
        <v>102987.45</v>
      </c>
      <c r="L352" s="45"/>
      <c r="M352" s="11"/>
      <c r="N352" s="100">
        <v>73980</v>
      </c>
      <c r="O352" s="11">
        <f t="shared" si="80"/>
        <v>102987.45</v>
      </c>
      <c r="P352" s="11">
        <f t="shared" si="78"/>
        <v>102987.45</v>
      </c>
      <c r="Q352" s="11">
        <v>1.4</v>
      </c>
      <c r="R352" s="11">
        <f t="shared" si="79"/>
        <v>144182.43</v>
      </c>
      <c r="S352" s="11"/>
      <c r="T352" s="136">
        <f t="shared" si="82"/>
        <v>103572</v>
      </c>
    </row>
    <row r="353" spans="1:20" ht="15.75" customHeight="1">
      <c r="A353" s="149">
        <v>44</v>
      </c>
      <c r="B353" s="273">
        <f t="shared" si="81"/>
        <v>499560</v>
      </c>
      <c r="C353" s="28" t="s">
        <v>1327</v>
      </c>
      <c r="D353" s="41">
        <v>16150</v>
      </c>
      <c r="E353" s="140">
        <f t="shared" si="67"/>
        <v>601960</v>
      </c>
      <c r="F353" s="21">
        <f t="shared" si="77"/>
        <v>728371.6</v>
      </c>
      <c r="G353" s="21"/>
      <c r="H353" s="135">
        <f t="shared" si="68"/>
        <v>452090</v>
      </c>
      <c r="I353" s="294">
        <v>45287</v>
      </c>
      <c r="J353" s="40">
        <v>45329</v>
      </c>
      <c r="K353" s="10">
        <f>+PROVEEDORES!$D$38*485.84</f>
        <v>429968.39999999997</v>
      </c>
      <c r="L353" s="11"/>
      <c r="M353" s="11"/>
      <c r="N353" s="100">
        <f>358800*0.9</f>
        <v>322920</v>
      </c>
      <c r="O353" s="11">
        <f t="shared" si="80"/>
        <v>429968.39999999997</v>
      </c>
      <c r="P353" s="11">
        <f t="shared" si="78"/>
        <v>429968.39999999997</v>
      </c>
      <c r="Q353" s="11">
        <v>1.4</v>
      </c>
      <c r="R353" s="11">
        <f t="shared" si="79"/>
        <v>601955.75999999989</v>
      </c>
      <c r="S353" s="11"/>
      <c r="T353" s="136">
        <f t="shared" si="82"/>
        <v>452088</v>
      </c>
    </row>
    <row r="354" spans="1:20" ht="15.75" customHeight="1">
      <c r="A354" s="149">
        <v>38</v>
      </c>
      <c r="B354" s="273"/>
      <c r="C354" s="28" t="s">
        <v>4049</v>
      </c>
      <c r="D354" s="41"/>
      <c r="E354" s="131">
        <f t="shared" si="67"/>
        <v>0</v>
      </c>
      <c r="F354" s="21">
        <f t="shared" si="77"/>
        <v>0</v>
      </c>
      <c r="G354" s="21"/>
      <c r="H354" s="135">
        <f t="shared" si="68"/>
        <v>0</v>
      </c>
      <c r="I354" s="294">
        <v>44880</v>
      </c>
      <c r="J354" s="40"/>
      <c r="K354" s="11">
        <f>34060*0.75</f>
        <v>25545</v>
      </c>
      <c r="L354" s="11"/>
      <c r="M354" s="11"/>
      <c r="N354" s="100"/>
      <c r="O354" s="11">
        <f t="shared" si="80"/>
        <v>25545</v>
      </c>
      <c r="P354" s="11">
        <f t="shared" si="78"/>
        <v>25545</v>
      </c>
      <c r="Q354" s="11"/>
      <c r="R354" s="11">
        <f t="shared" si="79"/>
        <v>0</v>
      </c>
      <c r="S354" s="11"/>
      <c r="T354" s="136">
        <f t="shared" si="82"/>
        <v>0</v>
      </c>
    </row>
    <row r="355" spans="1:20" ht="15.75" customHeight="1">
      <c r="A355" s="149">
        <v>41</v>
      </c>
      <c r="B355" s="273"/>
      <c r="C355" s="28" t="s">
        <v>2921</v>
      </c>
      <c r="D355" s="41">
        <v>3119</v>
      </c>
      <c r="E355" s="131">
        <f t="shared" si="67"/>
        <v>0</v>
      </c>
      <c r="F355" s="21">
        <f t="shared" si="77"/>
        <v>0</v>
      </c>
      <c r="G355" s="21"/>
      <c r="H355" s="135">
        <f t="shared" si="68"/>
        <v>0</v>
      </c>
      <c r="I355" s="294">
        <v>44371</v>
      </c>
      <c r="J355" s="294">
        <v>44481</v>
      </c>
      <c r="K355" s="24">
        <f>+PROVEEDORES!D35*92*0.9</f>
        <v>88596</v>
      </c>
      <c r="L355" s="11"/>
      <c r="M355" s="11"/>
      <c r="N355" s="100"/>
      <c r="O355" s="11">
        <f t="shared" si="80"/>
        <v>88596</v>
      </c>
      <c r="P355" s="11">
        <f t="shared" si="78"/>
        <v>88596</v>
      </c>
      <c r="Q355" s="11"/>
      <c r="R355" s="11">
        <f t="shared" si="79"/>
        <v>0</v>
      </c>
      <c r="S355" s="11"/>
      <c r="T355" s="136">
        <f t="shared" si="82"/>
        <v>0</v>
      </c>
    </row>
    <row r="356" spans="1:20" ht="15.75" customHeight="1">
      <c r="A356" s="149">
        <v>23</v>
      </c>
      <c r="B356" s="273"/>
      <c r="C356" s="28" t="s">
        <v>1328</v>
      </c>
      <c r="D356" s="41">
        <v>3120</v>
      </c>
      <c r="E356" s="131">
        <f t="shared" si="67"/>
        <v>82870</v>
      </c>
      <c r="F356" s="21">
        <f t="shared" si="77"/>
        <v>100272.7</v>
      </c>
      <c r="G356" s="21"/>
      <c r="H356" s="135">
        <f t="shared" si="68"/>
        <v>0</v>
      </c>
      <c r="I356" s="294">
        <v>45351</v>
      </c>
      <c r="J356" s="294"/>
      <c r="K356" s="134">
        <f>0.75*73660</f>
        <v>55245</v>
      </c>
      <c r="L356" s="11"/>
      <c r="M356" s="11"/>
      <c r="N356" s="100"/>
      <c r="O356" s="11">
        <f t="shared" si="80"/>
        <v>55245</v>
      </c>
      <c r="P356" s="11">
        <f t="shared" si="78"/>
        <v>55245</v>
      </c>
      <c r="Q356" s="11">
        <v>1.5</v>
      </c>
      <c r="R356" s="11">
        <f t="shared" si="79"/>
        <v>82867.5</v>
      </c>
      <c r="S356" s="11"/>
      <c r="T356" s="136">
        <f t="shared" si="82"/>
        <v>0</v>
      </c>
    </row>
    <row r="357" spans="1:20" ht="15.75" customHeight="1">
      <c r="A357" s="149">
        <v>23</v>
      </c>
      <c r="B357" s="273"/>
      <c r="C357" s="28" t="s">
        <v>1329</v>
      </c>
      <c r="D357" s="41">
        <v>2560</v>
      </c>
      <c r="E357" s="131">
        <f t="shared" si="67"/>
        <v>61150</v>
      </c>
      <c r="F357" s="21">
        <f t="shared" si="77"/>
        <v>73991.5</v>
      </c>
      <c r="G357" s="21"/>
      <c r="H357" s="135">
        <f t="shared" si="68"/>
        <v>0</v>
      </c>
      <c r="I357" s="294">
        <v>45351</v>
      </c>
      <c r="J357" s="294"/>
      <c r="K357" s="143">
        <f>0.75*54350</f>
        <v>40762.5</v>
      </c>
      <c r="L357" s="10"/>
      <c r="M357" s="10"/>
      <c r="N357" s="100"/>
      <c r="O357" s="11">
        <f t="shared" si="80"/>
        <v>40762.5</v>
      </c>
      <c r="P357" s="11">
        <f t="shared" si="78"/>
        <v>40762.5</v>
      </c>
      <c r="Q357" s="11">
        <v>1.5</v>
      </c>
      <c r="R357" s="11">
        <f t="shared" si="79"/>
        <v>61143.75</v>
      </c>
      <c r="S357" s="11"/>
      <c r="T357" s="136">
        <f t="shared" si="82"/>
        <v>0</v>
      </c>
    </row>
    <row r="358" spans="1:20" ht="15.75" customHeight="1">
      <c r="A358" s="149">
        <v>24</v>
      </c>
      <c r="B358" s="273"/>
      <c r="C358" s="28" t="s">
        <v>1330</v>
      </c>
      <c r="D358" s="41">
        <v>680</v>
      </c>
      <c r="E358" s="131">
        <f t="shared" si="67"/>
        <v>0</v>
      </c>
      <c r="F358" s="21">
        <f t="shared" si="77"/>
        <v>0</v>
      </c>
      <c r="G358" s="21"/>
      <c r="H358" s="135">
        <f t="shared" si="68"/>
        <v>0</v>
      </c>
      <c r="I358" s="294"/>
      <c r="J358" s="294">
        <v>42509</v>
      </c>
      <c r="K358" s="10">
        <f>848*0.5*1.5</f>
        <v>636</v>
      </c>
      <c r="L358" s="11"/>
      <c r="M358" s="11"/>
      <c r="N358" s="100"/>
      <c r="O358" s="11">
        <f t="shared" si="80"/>
        <v>636</v>
      </c>
      <c r="P358" s="11">
        <f t="shared" si="78"/>
        <v>636</v>
      </c>
      <c r="Q358" s="11"/>
      <c r="R358" s="11">
        <f t="shared" si="79"/>
        <v>0</v>
      </c>
      <c r="S358" s="11"/>
      <c r="T358" s="136">
        <f t="shared" si="82"/>
        <v>0</v>
      </c>
    </row>
    <row r="359" spans="1:20" ht="15.75" customHeight="1">
      <c r="A359" s="149">
        <v>56</v>
      </c>
      <c r="B359" s="273"/>
      <c r="C359" s="28" t="s">
        <v>3658</v>
      </c>
      <c r="D359" s="41"/>
      <c r="E359" s="131">
        <f t="shared" si="67"/>
        <v>21670</v>
      </c>
      <c r="F359" s="21">
        <f t="shared" si="77"/>
        <v>26220.7</v>
      </c>
      <c r="G359" s="21"/>
      <c r="H359" s="135">
        <f t="shared" si="68"/>
        <v>0</v>
      </c>
      <c r="I359" s="294">
        <v>44755</v>
      </c>
      <c r="J359" s="294"/>
      <c r="K359" s="10">
        <f>+PROVEEDORES!D50*14.4</f>
        <v>12744</v>
      </c>
      <c r="L359" s="11"/>
      <c r="M359" s="11"/>
      <c r="N359" s="100"/>
      <c r="O359" s="11">
        <f t="shared" si="80"/>
        <v>12744</v>
      </c>
      <c r="P359" s="11">
        <f t="shared" si="78"/>
        <v>12744</v>
      </c>
      <c r="Q359" s="11">
        <v>1.7</v>
      </c>
      <c r="R359" s="11">
        <f t="shared" si="79"/>
        <v>21664.799999999999</v>
      </c>
      <c r="S359" s="11"/>
      <c r="T359" s="136">
        <f>+N481*Q359</f>
        <v>0</v>
      </c>
    </row>
    <row r="360" spans="1:20" ht="15.75" customHeight="1">
      <c r="A360" s="149" t="s">
        <v>2422</v>
      </c>
      <c r="B360" s="273"/>
      <c r="C360" s="28" t="s">
        <v>1331</v>
      </c>
      <c r="D360" s="41">
        <v>430</v>
      </c>
      <c r="E360" s="131">
        <f t="shared" ref="E360:E428" si="83">ROUNDUP(R360,-1)</f>
        <v>4890</v>
      </c>
      <c r="F360" s="21">
        <f t="shared" si="77"/>
        <v>5916.9</v>
      </c>
      <c r="G360" s="76" t="s">
        <v>2364</v>
      </c>
      <c r="H360" s="135">
        <f t="shared" si="68"/>
        <v>3080</v>
      </c>
      <c r="I360" s="294">
        <v>45383</v>
      </c>
      <c r="J360" s="294"/>
      <c r="K360" s="11"/>
      <c r="L360" s="143">
        <f>+PROVEEDORES!J29*1.05*5.15*0.54*0.9*1.4</f>
        <v>3256.1477550000004</v>
      </c>
      <c r="M360" s="11"/>
      <c r="N360" s="97">
        <f>0.54*0.9*1.06*3979.03</f>
        <v>2049.8370948000002</v>
      </c>
      <c r="O360" s="11">
        <f t="shared" si="80"/>
        <v>3256.1477550000004</v>
      </c>
      <c r="P360" s="11">
        <f t="shared" si="78"/>
        <v>3256.1477550000004</v>
      </c>
      <c r="Q360" s="11">
        <v>1.5</v>
      </c>
      <c r="R360" s="11">
        <f t="shared" si="79"/>
        <v>4884.2216325000009</v>
      </c>
      <c r="S360" s="11"/>
      <c r="T360" s="136">
        <f t="shared" ref="T360:T392" si="84">+N360*Q360</f>
        <v>3074.7556422000002</v>
      </c>
    </row>
    <row r="361" spans="1:20" ht="15.75" customHeight="1">
      <c r="A361" s="149" t="s">
        <v>2422</v>
      </c>
      <c r="B361" s="273"/>
      <c r="C361" s="28" t="s">
        <v>1332</v>
      </c>
      <c r="D361" s="41">
        <v>540</v>
      </c>
      <c r="E361" s="131">
        <f t="shared" si="83"/>
        <v>7070</v>
      </c>
      <c r="F361" s="21">
        <f t="shared" si="77"/>
        <v>8554.6999999999989</v>
      </c>
      <c r="G361" s="21"/>
      <c r="H361" s="135">
        <f t="shared" si="68"/>
        <v>4470</v>
      </c>
      <c r="I361" s="294">
        <v>45383</v>
      </c>
      <c r="J361" s="294"/>
      <c r="K361" s="11">
        <f>PROVEEDORES!D26*5.6</f>
        <v>4956</v>
      </c>
      <c r="L361" s="143">
        <f>+PROVEEDORES!J29*1.05*7.45*0.54*0.9*1.4</f>
        <v>4710.3496650000006</v>
      </c>
      <c r="M361" s="11"/>
      <c r="N361" s="97">
        <f>0.54*0.9*1.06*5778</f>
        <v>2976.5944800000002</v>
      </c>
      <c r="O361" s="11">
        <f t="shared" si="80"/>
        <v>4710.3496650000006</v>
      </c>
      <c r="P361" s="11">
        <f t="shared" si="78"/>
        <v>4710.3496650000006</v>
      </c>
      <c r="Q361" s="11">
        <v>1.5</v>
      </c>
      <c r="R361" s="11">
        <f t="shared" si="79"/>
        <v>7065.5244975000005</v>
      </c>
      <c r="S361" s="11"/>
      <c r="T361" s="136">
        <f t="shared" si="84"/>
        <v>4464.8917200000005</v>
      </c>
    </row>
    <row r="362" spans="1:20" ht="15.75" customHeight="1">
      <c r="A362" s="149" t="s">
        <v>2422</v>
      </c>
      <c r="B362" s="273"/>
      <c r="C362" s="28" t="s">
        <v>1333</v>
      </c>
      <c r="D362" s="41">
        <v>540</v>
      </c>
      <c r="E362" s="131">
        <f t="shared" si="83"/>
        <v>10130</v>
      </c>
      <c r="F362" s="21">
        <f t="shared" si="77"/>
        <v>12257.3</v>
      </c>
      <c r="G362" s="21"/>
      <c r="H362" s="135">
        <f t="shared" si="68"/>
        <v>6650</v>
      </c>
      <c r="I362" s="294">
        <v>45383</v>
      </c>
      <c r="J362" s="294"/>
      <c r="K362" s="11">
        <f>PROVEEDORES!D26*5.9*1.4</f>
        <v>7310.0999999999995</v>
      </c>
      <c r="L362" s="143">
        <f>+PROVEEDORES!$J$29*1.05*11.1*0.54*0.9*1.4</f>
        <v>7018.1048700000001</v>
      </c>
      <c r="M362" s="11">
        <f>3536.41*0.9*1.06*2</f>
        <v>6747.4702799999995</v>
      </c>
      <c r="N362" s="97">
        <f>0.54*0.9*1.06*8596</f>
        <v>4428.3153600000005</v>
      </c>
      <c r="O362" s="11">
        <f t="shared" si="80"/>
        <v>6747.4702799999995</v>
      </c>
      <c r="P362" s="11">
        <f t="shared" si="78"/>
        <v>6747.4702799999995</v>
      </c>
      <c r="Q362" s="11">
        <v>1.5</v>
      </c>
      <c r="R362" s="11">
        <f t="shared" si="79"/>
        <v>10121.205419999998</v>
      </c>
      <c r="S362" s="11"/>
      <c r="T362" s="136">
        <f t="shared" si="84"/>
        <v>6642.4730400000008</v>
      </c>
    </row>
    <row r="363" spans="1:20" ht="15.75" customHeight="1">
      <c r="A363" s="149" t="s">
        <v>2422</v>
      </c>
      <c r="B363" s="273"/>
      <c r="C363" s="28" t="s">
        <v>1334</v>
      </c>
      <c r="D363" s="41"/>
      <c r="E363" s="131">
        <f>ROUNDUP(R363,-1)</f>
        <v>0</v>
      </c>
      <c r="F363" s="21">
        <f>+E363*1.21</f>
        <v>0</v>
      </c>
      <c r="G363" s="21"/>
      <c r="H363" s="135">
        <f>ROUNDUP(T363,-1)</f>
        <v>0</v>
      </c>
      <c r="I363" s="294"/>
      <c r="J363" s="294">
        <v>44874</v>
      </c>
      <c r="K363" s="11"/>
      <c r="L363" s="143"/>
      <c r="M363" s="11"/>
      <c r="N363" s="100"/>
      <c r="O363" s="11">
        <f>MIN(K363:M363)</f>
        <v>0</v>
      </c>
      <c r="P363" s="11">
        <f t="shared" si="78"/>
        <v>0</v>
      </c>
      <c r="Q363" s="11">
        <v>1.45</v>
      </c>
      <c r="R363" s="11">
        <f t="shared" si="79"/>
        <v>0</v>
      </c>
      <c r="S363" s="11"/>
      <c r="T363" s="136">
        <f>+N363*Q363</f>
        <v>0</v>
      </c>
    </row>
    <row r="364" spans="1:20" ht="15.75" customHeight="1">
      <c r="A364" s="149" t="s">
        <v>2422</v>
      </c>
      <c r="B364" s="273"/>
      <c r="C364" s="28" t="s">
        <v>1335</v>
      </c>
      <c r="D364" s="41"/>
      <c r="E364" s="131">
        <f>ROUNDUP(R364,-1)</f>
        <v>0</v>
      </c>
      <c r="F364" s="21">
        <f>+E364*1.21</f>
        <v>0</v>
      </c>
      <c r="G364" s="21"/>
      <c r="H364" s="135">
        <f>ROUNDUP(T364,-1)</f>
        <v>0</v>
      </c>
      <c r="I364" s="294"/>
      <c r="J364" s="294">
        <v>45030</v>
      </c>
      <c r="K364" s="11">
        <f>31143.96/100*0.59*0.95*2</f>
        <v>349.12379159999995</v>
      </c>
      <c r="L364" s="319"/>
      <c r="M364" s="11"/>
      <c r="N364" s="100"/>
      <c r="O364" s="11">
        <f>MIN(K364:M364)</f>
        <v>349.12379159999995</v>
      </c>
      <c r="P364" s="11">
        <f t="shared" si="78"/>
        <v>349.12379159999995</v>
      </c>
      <c r="Q364" s="11"/>
      <c r="R364" s="11">
        <f t="shared" si="79"/>
        <v>0</v>
      </c>
      <c r="S364" s="11"/>
      <c r="T364" s="136">
        <f>+N364*Q364</f>
        <v>0</v>
      </c>
    </row>
    <row r="365" spans="1:20" ht="15.75" customHeight="1">
      <c r="A365" s="149" t="s">
        <v>2422</v>
      </c>
      <c r="B365" s="273"/>
      <c r="C365" s="28" t="s">
        <v>1336</v>
      </c>
      <c r="D365" s="41">
        <v>70</v>
      </c>
      <c r="E365" s="131">
        <f t="shared" si="83"/>
        <v>2240</v>
      </c>
      <c r="F365" s="21">
        <f t="shared" si="77"/>
        <v>2710.4</v>
      </c>
      <c r="G365" s="76" t="s">
        <v>2364</v>
      </c>
      <c r="H365" s="135">
        <f t="shared" si="68"/>
        <v>1860</v>
      </c>
      <c r="I365" s="294">
        <v>45383</v>
      </c>
      <c r="J365" s="294"/>
      <c r="K365" s="30">
        <f>+PROVEEDORES!$D$26*0.85*2*1.2</f>
        <v>1805.3999999999999</v>
      </c>
      <c r="L365" s="143">
        <f>+PROVEEDORES!$J$29*1.05*3*0.54*0.9*2</f>
        <v>2709.6930000000002</v>
      </c>
      <c r="M365" s="11">
        <f>31143.96/100*0.59*0.95*4*2</f>
        <v>1396.4951663999998</v>
      </c>
      <c r="N365" s="100">
        <f>0.54*0.9*1.06*2247</f>
        <v>1157.5645200000001</v>
      </c>
      <c r="O365" s="11">
        <f t="shared" si="80"/>
        <v>1396.4951663999998</v>
      </c>
      <c r="P365" s="11">
        <f t="shared" si="78"/>
        <v>1396.4951663999998</v>
      </c>
      <c r="Q365" s="11">
        <v>1.6</v>
      </c>
      <c r="R365" s="11">
        <f t="shared" si="79"/>
        <v>2234.3922662399996</v>
      </c>
      <c r="S365" s="11"/>
      <c r="T365" s="136">
        <f t="shared" si="84"/>
        <v>1852.1032320000004</v>
      </c>
    </row>
    <row r="366" spans="1:20" ht="15.75" customHeight="1">
      <c r="A366" s="149" t="s">
        <v>2422</v>
      </c>
      <c r="B366" s="273"/>
      <c r="C366" s="28" t="s">
        <v>1337</v>
      </c>
      <c r="D366" s="41">
        <v>130</v>
      </c>
      <c r="E366" s="131">
        <f>ROUNDUP(R366,-1)</f>
        <v>4960</v>
      </c>
      <c r="F366" s="21">
        <f>+E366*1.21</f>
        <v>6001.5999999999995</v>
      </c>
      <c r="G366" s="21"/>
      <c r="H366" s="135">
        <f>ROUNDUP(T366,-1)</f>
        <v>3070</v>
      </c>
      <c r="I366" s="294">
        <v>45383</v>
      </c>
      <c r="J366" s="294"/>
      <c r="K366" s="30">
        <f>+PROVEEDORES!$D$26*1.4*2.5</f>
        <v>3097.5</v>
      </c>
      <c r="L366" s="143">
        <f>+PROVEEDORES!$J$29*1.05*5*0.54*0.9*2</f>
        <v>4516.1550000000007</v>
      </c>
      <c r="M366" s="11"/>
      <c r="N366" s="100">
        <f>0.54*0.9*1.06*3723</f>
        <v>1917.9406800000002</v>
      </c>
      <c r="O366" s="11">
        <f>MIN(K366:M366)</f>
        <v>3097.5</v>
      </c>
      <c r="P366" s="11">
        <f t="shared" si="78"/>
        <v>3097.5</v>
      </c>
      <c r="Q366" s="11">
        <v>1.6</v>
      </c>
      <c r="R366" s="11">
        <f t="shared" si="79"/>
        <v>4956</v>
      </c>
      <c r="S366" s="11"/>
      <c r="T366" s="136">
        <f>+N366*Q366</f>
        <v>3068.7050880000006</v>
      </c>
    </row>
    <row r="367" spans="1:20" ht="15.75" customHeight="1">
      <c r="A367" s="149" t="s">
        <v>2422</v>
      </c>
      <c r="B367" s="273"/>
      <c r="C367" s="28" t="s">
        <v>1338</v>
      </c>
      <c r="D367" s="41">
        <v>150</v>
      </c>
      <c r="E367" s="131">
        <f t="shared" si="83"/>
        <v>7370</v>
      </c>
      <c r="F367" s="21">
        <f t="shared" si="77"/>
        <v>8917.6999999999989</v>
      </c>
      <c r="G367" s="21"/>
      <c r="H367" s="135">
        <f t="shared" si="68"/>
        <v>4260</v>
      </c>
      <c r="I367" s="294">
        <v>45383</v>
      </c>
      <c r="J367" s="294"/>
      <c r="K367" s="30">
        <f>+PROVEEDORES!$D$26*2.6*2</f>
        <v>4602</v>
      </c>
      <c r="L367" s="143">
        <f>+PROVEEDORES!$J$29*1.05*6.9*0.54*0.9*2</f>
        <v>6232.2939000000015</v>
      </c>
      <c r="M367" s="100"/>
      <c r="N367" s="100">
        <f>0.54*0.9*1.06*5157</f>
        <v>2656.6801200000004</v>
      </c>
      <c r="O367" s="11">
        <f t="shared" si="80"/>
        <v>4602</v>
      </c>
      <c r="P367" s="11">
        <f t="shared" si="78"/>
        <v>4602</v>
      </c>
      <c r="Q367" s="11">
        <v>1.6</v>
      </c>
      <c r="R367" s="11">
        <f t="shared" si="79"/>
        <v>7363.2000000000007</v>
      </c>
      <c r="S367" s="11"/>
      <c r="T367" s="136">
        <f t="shared" si="84"/>
        <v>4250.6881920000005</v>
      </c>
    </row>
    <row r="368" spans="1:20" ht="15.75" customHeight="1">
      <c r="A368" s="149" t="s">
        <v>2422</v>
      </c>
      <c r="B368" s="273"/>
      <c r="C368" s="28" t="s">
        <v>4172</v>
      </c>
      <c r="D368" s="41">
        <v>380</v>
      </c>
      <c r="E368" s="131">
        <f>ROUNDUP(R368,-1)</f>
        <v>9210</v>
      </c>
      <c r="F368" s="21">
        <f>+E368*1.21</f>
        <v>11144.1</v>
      </c>
      <c r="G368" s="44"/>
      <c r="H368" s="135">
        <f>ROUNDUP(T368,-1)</f>
        <v>6410</v>
      </c>
      <c r="I368" s="294">
        <v>45383</v>
      </c>
      <c r="J368" s="294"/>
      <c r="K368" s="30">
        <f>+PROVEEDORES!$D$26*6.5</f>
        <v>5752.5</v>
      </c>
      <c r="L368" s="143">
        <f>+PROVEEDORES!J29*1.05*10.1*0.54*0.9*2</f>
        <v>9122.6331000000009</v>
      </c>
      <c r="M368" s="11"/>
      <c r="N368" s="100">
        <f>0.54*0.9*1.06*7774.9</f>
        <v>4005.3174840000001</v>
      </c>
      <c r="O368" s="11">
        <f>MIN(K368:M368)</f>
        <v>5752.5</v>
      </c>
      <c r="P368" s="11">
        <f t="shared" si="78"/>
        <v>5752.5</v>
      </c>
      <c r="Q368" s="11">
        <v>1.6</v>
      </c>
      <c r="R368" s="11">
        <f t="shared" si="79"/>
        <v>9204</v>
      </c>
      <c r="S368" s="11"/>
      <c r="T368" s="136">
        <f>+N368*Q368</f>
        <v>6408.5079744000004</v>
      </c>
    </row>
    <row r="369" spans="1:20" ht="15.75" customHeight="1">
      <c r="A369" s="149">
        <v>21</v>
      </c>
      <c r="B369" s="273"/>
      <c r="C369" s="36" t="s">
        <v>3679</v>
      </c>
      <c r="D369" s="41">
        <v>55</v>
      </c>
      <c r="E369" s="131">
        <f t="shared" si="83"/>
        <v>1610</v>
      </c>
      <c r="F369" s="21">
        <f t="shared" si="77"/>
        <v>1948.1</v>
      </c>
      <c r="G369" s="21"/>
      <c r="H369" s="135">
        <f t="shared" ref="H369:H425" si="85">ROUNDUP(T369,-1)</f>
        <v>1280</v>
      </c>
      <c r="I369" s="294">
        <v>45273</v>
      </c>
      <c r="J369" s="294">
        <v>45336</v>
      </c>
      <c r="K369" s="11">
        <f>1.43*PROVEEDORES!$D$36*1.5</f>
        <v>1898.3249999999998</v>
      </c>
      <c r="L369" s="11">
        <f>0.6*167546/100</f>
        <v>1005.276</v>
      </c>
      <c r="M369" s="11"/>
      <c r="N369" s="100">
        <f>0.78*1022</f>
        <v>797.16000000000008</v>
      </c>
      <c r="O369" s="11">
        <f t="shared" si="80"/>
        <v>1005.276</v>
      </c>
      <c r="P369" s="11">
        <f t="shared" si="78"/>
        <v>1005.276</v>
      </c>
      <c r="Q369" s="11">
        <v>1.6</v>
      </c>
      <c r="R369" s="11">
        <f t="shared" si="79"/>
        <v>1608.4416000000001</v>
      </c>
      <c r="S369" s="11"/>
      <c r="T369" s="136">
        <f t="shared" si="84"/>
        <v>1275.4560000000001</v>
      </c>
    </row>
    <row r="370" spans="1:20" ht="15.75" customHeight="1">
      <c r="A370" s="149">
        <v>21</v>
      </c>
      <c r="B370" s="273"/>
      <c r="C370" s="36" t="s">
        <v>3680</v>
      </c>
      <c r="D370" s="41">
        <v>95</v>
      </c>
      <c r="E370" s="131">
        <f t="shared" si="83"/>
        <v>2650</v>
      </c>
      <c r="F370" s="21">
        <f t="shared" si="77"/>
        <v>3206.5</v>
      </c>
      <c r="G370" s="44"/>
      <c r="H370" s="135">
        <f t="shared" si="85"/>
        <v>2100</v>
      </c>
      <c r="I370" s="294">
        <v>45273</v>
      </c>
      <c r="J370" s="294">
        <v>45336</v>
      </c>
      <c r="K370" s="11">
        <f>2.25*PROVEEDORES!$D$36*1.3*2</f>
        <v>5177.25</v>
      </c>
      <c r="L370" s="11">
        <f>0.6*275660/100</f>
        <v>1653.96</v>
      </c>
      <c r="M370" s="11"/>
      <c r="N370" s="100">
        <f>0.78*168060/100</f>
        <v>1310.8680000000002</v>
      </c>
      <c r="O370" s="11">
        <f t="shared" si="80"/>
        <v>1653.96</v>
      </c>
      <c r="P370" s="11">
        <f t="shared" si="78"/>
        <v>1653.96</v>
      </c>
      <c r="Q370" s="11">
        <v>1.6</v>
      </c>
      <c r="R370" s="11">
        <f t="shared" si="79"/>
        <v>2646.3360000000002</v>
      </c>
      <c r="S370" s="11"/>
      <c r="T370" s="136">
        <f t="shared" si="84"/>
        <v>2097.3888000000002</v>
      </c>
    </row>
    <row r="371" spans="1:20" ht="15.75" customHeight="1">
      <c r="A371" s="149">
        <v>21</v>
      </c>
      <c r="B371" s="273"/>
      <c r="C371" s="36" t="s">
        <v>3681</v>
      </c>
      <c r="D371" s="41">
        <v>120</v>
      </c>
      <c r="E371" s="131">
        <f t="shared" si="83"/>
        <v>3470</v>
      </c>
      <c r="F371" s="21">
        <f t="shared" si="77"/>
        <v>4198.7</v>
      </c>
      <c r="G371" s="21"/>
      <c r="H371" s="135">
        <f t="shared" si="85"/>
        <v>2750</v>
      </c>
      <c r="I371" s="294">
        <v>45273</v>
      </c>
      <c r="J371" s="294">
        <v>45293</v>
      </c>
      <c r="K371" s="11">
        <f>2.95*PROVEEDORES!$D$36*1.3*2</f>
        <v>6787.95</v>
      </c>
      <c r="L371" s="11">
        <f>0.6*361030/100</f>
        <v>2166.1799999999998</v>
      </c>
      <c r="M371" s="11"/>
      <c r="N371" s="100">
        <f>0.78*220108/100</f>
        <v>1716.8424000000002</v>
      </c>
      <c r="O371" s="11">
        <f t="shared" si="80"/>
        <v>2166.1799999999998</v>
      </c>
      <c r="P371" s="11">
        <f t="shared" si="78"/>
        <v>2166.1799999999998</v>
      </c>
      <c r="Q371" s="11">
        <v>1.6</v>
      </c>
      <c r="R371" s="11">
        <f t="shared" si="79"/>
        <v>3465.8879999999999</v>
      </c>
      <c r="S371" s="11"/>
      <c r="T371" s="136">
        <f t="shared" si="84"/>
        <v>2746.9478400000007</v>
      </c>
    </row>
    <row r="372" spans="1:20" ht="15.75" customHeight="1">
      <c r="A372" s="149">
        <v>21</v>
      </c>
      <c r="B372" s="273"/>
      <c r="C372" s="36" t="s">
        <v>3682</v>
      </c>
      <c r="D372" s="41">
        <v>120</v>
      </c>
      <c r="E372" s="131">
        <f t="shared" si="83"/>
        <v>5420</v>
      </c>
      <c r="F372" s="21">
        <f t="shared" si="77"/>
        <v>6558.2</v>
      </c>
      <c r="G372" s="21"/>
      <c r="H372" s="135">
        <f t="shared" si="85"/>
        <v>4300</v>
      </c>
      <c r="I372" s="294">
        <v>45273</v>
      </c>
      <c r="J372" s="294">
        <v>45336</v>
      </c>
      <c r="K372" s="10"/>
      <c r="L372" s="11">
        <f>0.6*564071/100</f>
        <v>3384.4259999999999</v>
      </c>
      <c r="M372" s="11"/>
      <c r="N372" s="100">
        <f>0.78*343896/100</f>
        <v>2682.3888000000002</v>
      </c>
      <c r="O372" s="11">
        <f t="shared" si="80"/>
        <v>3384.4259999999999</v>
      </c>
      <c r="P372" s="11">
        <f t="shared" si="78"/>
        <v>3384.4259999999999</v>
      </c>
      <c r="Q372" s="11">
        <v>1.6</v>
      </c>
      <c r="R372" s="11">
        <f t="shared" si="79"/>
        <v>5415.0816000000004</v>
      </c>
      <c r="S372" s="11"/>
      <c r="T372" s="136">
        <f t="shared" si="84"/>
        <v>4291.8220800000008</v>
      </c>
    </row>
    <row r="373" spans="1:20" ht="15.75" customHeight="1">
      <c r="A373" s="149"/>
      <c r="B373" s="273"/>
      <c r="C373" s="28" t="s">
        <v>1339</v>
      </c>
      <c r="D373" s="41">
        <v>90</v>
      </c>
      <c r="E373" s="131">
        <f t="shared" si="83"/>
        <v>0</v>
      </c>
      <c r="F373" s="21">
        <f t="shared" si="77"/>
        <v>0</v>
      </c>
      <c r="G373" s="21"/>
      <c r="H373" s="135">
        <f t="shared" si="85"/>
        <v>0</v>
      </c>
      <c r="I373" s="294"/>
      <c r="J373" s="294">
        <v>43725</v>
      </c>
      <c r="K373" s="10">
        <f>62*1.5</f>
        <v>93</v>
      </c>
      <c r="L373" s="11">
        <v>1897.25</v>
      </c>
      <c r="M373" s="11"/>
      <c r="N373" s="100"/>
      <c r="O373" s="11">
        <f t="shared" si="80"/>
        <v>93</v>
      </c>
      <c r="P373" s="11">
        <f t="shared" si="78"/>
        <v>93</v>
      </c>
      <c r="Q373" s="11"/>
      <c r="R373" s="11">
        <f t="shared" si="79"/>
        <v>0</v>
      </c>
      <c r="S373" s="11"/>
      <c r="T373" s="136">
        <f t="shared" si="84"/>
        <v>0</v>
      </c>
    </row>
    <row r="374" spans="1:20" ht="15.75" customHeight="1">
      <c r="A374" s="149"/>
      <c r="B374" s="273"/>
      <c r="C374" s="28" t="s">
        <v>1340</v>
      </c>
      <c r="D374" s="41">
        <v>100</v>
      </c>
      <c r="E374" s="131">
        <f t="shared" si="83"/>
        <v>0</v>
      </c>
      <c r="F374" s="21">
        <f t="shared" si="77"/>
        <v>0</v>
      </c>
      <c r="G374" s="21"/>
      <c r="H374" s="135">
        <f t="shared" si="85"/>
        <v>0</v>
      </c>
      <c r="I374" s="294"/>
      <c r="J374" s="294">
        <v>43014</v>
      </c>
      <c r="K374" s="10">
        <f>71.15*1.4</f>
        <v>99.61</v>
      </c>
      <c r="L374" s="11">
        <v>3166.17</v>
      </c>
      <c r="M374" s="11"/>
      <c r="N374" s="100"/>
      <c r="O374" s="11">
        <f t="shared" si="80"/>
        <v>99.61</v>
      </c>
      <c r="P374" s="11">
        <f t="shared" si="78"/>
        <v>99.61</v>
      </c>
      <c r="Q374" s="11"/>
      <c r="R374" s="11">
        <f t="shared" si="79"/>
        <v>0</v>
      </c>
      <c r="S374" s="11"/>
      <c r="T374" s="136">
        <f t="shared" si="84"/>
        <v>0</v>
      </c>
    </row>
    <row r="375" spans="1:20" ht="15.75" customHeight="1">
      <c r="A375" s="149">
        <v>42</v>
      </c>
      <c r="B375" s="273"/>
      <c r="C375" s="28" t="s">
        <v>1341</v>
      </c>
      <c r="D375" s="41"/>
      <c r="E375" s="131">
        <f t="shared" si="83"/>
        <v>0</v>
      </c>
      <c r="F375" s="21">
        <f t="shared" si="77"/>
        <v>0</v>
      </c>
      <c r="G375" s="21"/>
      <c r="H375" s="135">
        <f t="shared" si="85"/>
        <v>0</v>
      </c>
      <c r="I375" s="294">
        <v>42605</v>
      </c>
      <c r="J375" s="294"/>
      <c r="K375" s="10">
        <f>13.83*1.7</f>
        <v>23.510999999999999</v>
      </c>
      <c r="L375" s="11">
        <f>710/1.21</f>
        <v>586.77685950413229</v>
      </c>
      <c r="M375" s="11"/>
      <c r="N375" s="100"/>
      <c r="O375" s="11">
        <f t="shared" si="80"/>
        <v>23.510999999999999</v>
      </c>
      <c r="P375" s="11">
        <f t="shared" si="78"/>
        <v>23.510999999999999</v>
      </c>
      <c r="Q375" s="11"/>
      <c r="R375" s="11">
        <f t="shared" si="79"/>
        <v>0</v>
      </c>
      <c r="S375" s="11"/>
      <c r="T375" s="136">
        <f t="shared" si="84"/>
        <v>0</v>
      </c>
    </row>
    <row r="376" spans="1:20" ht="15.75" customHeight="1">
      <c r="A376" s="150">
        <v>42</v>
      </c>
      <c r="B376" s="280"/>
      <c r="C376" s="28" t="s">
        <v>2573</v>
      </c>
      <c r="D376" s="41"/>
      <c r="E376" s="131">
        <f t="shared" si="83"/>
        <v>0</v>
      </c>
      <c r="F376" s="21">
        <f t="shared" si="77"/>
        <v>0</v>
      </c>
      <c r="G376" s="21"/>
      <c r="H376" s="135">
        <f t="shared" si="85"/>
        <v>0</v>
      </c>
      <c r="I376" s="294"/>
      <c r="J376" s="294">
        <v>44090</v>
      </c>
      <c r="K376" s="10">
        <v>224.43</v>
      </c>
      <c r="L376" s="11"/>
      <c r="M376" s="11"/>
      <c r="N376" s="100"/>
      <c r="O376" s="11">
        <f t="shared" si="80"/>
        <v>224.43</v>
      </c>
      <c r="P376" s="11">
        <f t="shared" si="78"/>
        <v>224.43</v>
      </c>
      <c r="Q376" s="11"/>
      <c r="R376" s="11">
        <f t="shared" si="79"/>
        <v>0</v>
      </c>
      <c r="S376" s="11"/>
      <c r="T376" s="136">
        <f t="shared" si="84"/>
        <v>0</v>
      </c>
    </row>
    <row r="377" spans="1:20" ht="15.75" customHeight="1">
      <c r="A377" s="149">
        <v>42</v>
      </c>
      <c r="B377" s="273"/>
      <c r="C377" s="28" t="s">
        <v>1342</v>
      </c>
      <c r="D377" s="41"/>
      <c r="E377" s="131">
        <f t="shared" si="83"/>
        <v>0</v>
      </c>
      <c r="F377" s="21">
        <f t="shared" si="77"/>
        <v>0</v>
      </c>
      <c r="G377" s="21"/>
      <c r="H377" s="135">
        <f t="shared" si="85"/>
        <v>0</v>
      </c>
      <c r="I377" s="294"/>
      <c r="J377" s="294">
        <v>42824</v>
      </c>
      <c r="K377" s="10">
        <f>21*1.7</f>
        <v>35.699999999999996</v>
      </c>
      <c r="L377" s="11"/>
      <c r="M377" s="11"/>
      <c r="N377" s="100"/>
      <c r="O377" s="11">
        <f t="shared" si="80"/>
        <v>35.699999999999996</v>
      </c>
      <c r="P377" s="11">
        <f t="shared" si="78"/>
        <v>35.699999999999996</v>
      </c>
      <c r="Q377" s="11"/>
      <c r="R377" s="11">
        <f t="shared" si="79"/>
        <v>0</v>
      </c>
      <c r="S377" s="11"/>
      <c r="T377" s="136">
        <f t="shared" si="84"/>
        <v>0</v>
      </c>
    </row>
    <row r="378" spans="1:20" ht="15.75" customHeight="1">
      <c r="A378" s="149" t="s">
        <v>3737</v>
      </c>
      <c r="B378" s="273"/>
      <c r="C378" s="28" t="s">
        <v>44305</v>
      </c>
      <c r="D378" s="41">
        <v>100</v>
      </c>
      <c r="E378" s="131">
        <f t="shared" si="83"/>
        <v>2240</v>
      </c>
      <c r="F378" s="21">
        <f t="shared" si="77"/>
        <v>2710.4</v>
      </c>
      <c r="G378" s="21"/>
      <c r="H378" s="135">
        <f t="shared" si="85"/>
        <v>1680</v>
      </c>
      <c r="I378" s="294">
        <v>45217</v>
      </c>
      <c r="J378" s="294">
        <v>45379</v>
      </c>
      <c r="K378" s="10"/>
      <c r="L378" s="10">
        <f>0.6*2326</f>
        <v>1395.6</v>
      </c>
      <c r="M378" s="11"/>
      <c r="N378" s="100">
        <v>1049</v>
      </c>
      <c r="O378" s="11">
        <f t="shared" si="80"/>
        <v>1395.6</v>
      </c>
      <c r="P378" s="11">
        <f t="shared" si="78"/>
        <v>1395.6</v>
      </c>
      <c r="Q378" s="11">
        <v>1.6</v>
      </c>
      <c r="R378" s="11">
        <f t="shared" si="79"/>
        <v>2232.96</v>
      </c>
      <c r="S378" s="11"/>
      <c r="T378" s="136">
        <f t="shared" si="84"/>
        <v>1678.4</v>
      </c>
    </row>
    <row r="379" spans="1:20" ht="15.75" customHeight="1">
      <c r="A379" s="149" t="s">
        <v>3737</v>
      </c>
      <c r="B379" s="273"/>
      <c r="C379" s="28" t="s">
        <v>44279</v>
      </c>
      <c r="D379" s="41">
        <v>100</v>
      </c>
      <c r="E379" s="131">
        <f t="shared" si="83"/>
        <v>950</v>
      </c>
      <c r="F379" s="21">
        <f t="shared" si="77"/>
        <v>1149.5</v>
      </c>
      <c r="G379" s="21"/>
      <c r="H379" s="135">
        <f t="shared" si="85"/>
        <v>0</v>
      </c>
      <c r="I379" s="294">
        <v>45217</v>
      </c>
      <c r="J379" s="294">
        <v>45306</v>
      </c>
      <c r="K379" s="10"/>
      <c r="L379" s="10">
        <f>0.6*24737/25</f>
        <v>593.68799999999999</v>
      </c>
      <c r="M379" s="11"/>
      <c r="N379" s="100"/>
      <c r="O379" s="11">
        <f t="shared" si="80"/>
        <v>593.68799999999999</v>
      </c>
      <c r="P379" s="11">
        <f t="shared" si="78"/>
        <v>593.68799999999999</v>
      </c>
      <c r="Q379" s="11">
        <v>1.6</v>
      </c>
      <c r="R379" s="11">
        <f t="shared" si="79"/>
        <v>949.9008</v>
      </c>
      <c r="S379" s="11"/>
      <c r="T379" s="136">
        <f t="shared" si="84"/>
        <v>0</v>
      </c>
    </row>
    <row r="380" spans="1:20" ht="15.75" customHeight="1">
      <c r="A380" s="149">
        <v>41</v>
      </c>
      <c r="B380" s="273"/>
      <c r="C380" s="28" t="s">
        <v>4295</v>
      </c>
      <c r="D380" s="41"/>
      <c r="E380" s="131">
        <f t="shared" si="83"/>
        <v>42000</v>
      </c>
      <c r="F380" s="21">
        <f t="shared" si="77"/>
        <v>50820</v>
      </c>
      <c r="G380" s="21"/>
      <c r="H380" s="135">
        <f t="shared" si="85"/>
        <v>34860</v>
      </c>
      <c r="I380" s="294">
        <v>45278</v>
      </c>
      <c r="J380" s="40"/>
      <c r="K380" s="10">
        <f>+PROVEEDORES!D35*0.9*0.9*33*2</f>
        <v>57202.200000000004</v>
      </c>
      <c r="L380" s="172">
        <f>32400*0.9*0.9</f>
        <v>26244</v>
      </c>
      <c r="M380" s="10"/>
      <c r="N380" s="100">
        <f>0.9*0.95*25480</f>
        <v>21785.399999999998</v>
      </c>
      <c r="O380" s="11">
        <f t="shared" si="80"/>
        <v>26244</v>
      </c>
      <c r="P380" s="11">
        <f t="shared" si="78"/>
        <v>26244</v>
      </c>
      <c r="Q380" s="11">
        <v>1.6</v>
      </c>
      <c r="R380" s="11">
        <f t="shared" si="79"/>
        <v>41990.400000000001</v>
      </c>
      <c r="S380" s="11"/>
      <c r="T380" s="136">
        <f t="shared" si="84"/>
        <v>34856.639999999999</v>
      </c>
    </row>
    <row r="381" spans="1:20" ht="15.75" customHeight="1">
      <c r="A381" s="149" t="s">
        <v>3737</v>
      </c>
      <c r="B381" s="273"/>
      <c r="C381" s="28" t="s">
        <v>2491</v>
      </c>
      <c r="D381" s="41">
        <v>150</v>
      </c>
      <c r="E381" s="131">
        <f t="shared" si="83"/>
        <v>3390</v>
      </c>
      <c r="F381" s="21">
        <f t="shared" si="77"/>
        <v>4101.8999999999996</v>
      </c>
      <c r="G381" s="21"/>
      <c r="H381" s="135">
        <f t="shared" si="85"/>
        <v>2400</v>
      </c>
      <c r="I381" s="294">
        <v>45217</v>
      </c>
      <c r="J381" s="294">
        <v>45306</v>
      </c>
      <c r="K381" s="10">
        <f>0.65*216.92*3*6</f>
        <v>2537.9639999999999</v>
      </c>
      <c r="L381" s="10">
        <f>0.6/12*42363</f>
        <v>2118.1499999999996</v>
      </c>
      <c r="M381" s="11"/>
      <c r="N381" s="100">
        <f>0.9*1660</f>
        <v>1494</v>
      </c>
      <c r="O381" s="11">
        <f t="shared" si="80"/>
        <v>2118.1499999999996</v>
      </c>
      <c r="P381" s="11">
        <f t="shared" si="78"/>
        <v>2118.1499999999996</v>
      </c>
      <c r="Q381" s="11">
        <v>1.6</v>
      </c>
      <c r="R381" s="11">
        <f t="shared" si="79"/>
        <v>3389.0399999999995</v>
      </c>
      <c r="S381" s="11"/>
      <c r="T381" s="136">
        <f t="shared" si="84"/>
        <v>2390.4</v>
      </c>
    </row>
    <row r="382" spans="1:20" ht="15.75" customHeight="1">
      <c r="A382" s="149">
        <v>21</v>
      </c>
      <c r="B382" s="273"/>
      <c r="C382" s="28" t="s">
        <v>44139</v>
      </c>
      <c r="D382" s="41">
        <v>20</v>
      </c>
      <c r="E382" s="131">
        <f t="shared" si="83"/>
        <v>530</v>
      </c>
      <c r="F382" s="21">
        <f t="shared" si="77"/>
        <v>641.29999999999995</v>
      </c>
      <c r="G382" s="21"/>
      <c r="H382" s="135">
        <f t="shared" si="85"/>
        <v>0</v>
      </c>
      <c r="I382" s="294">
        <v>45217</v>
      </c>
      <c r="J382" s="294">
        <v>45274</v>
      </c>
      <c r="K382" s="10">
        <f>0.6/12*6609</f>
        <v>330.45</v>
      </c>
      <c r="L382" s="11"/>
      <c r="M382" s="11"/>
      <c r="N382" s="100"/>
      <c r="O382" s="11">
        <f t="shared" si="80"/>
        <v>330.45</v>
      </c>
      <c r="P382" s="11">
        <f t="shared" si="78"/>
        <v>330.45</v>
      </c>
      <c r="Q382" s="11">
        <v>1.6</v>
      </c>
      <c r="R382" s="11">
        <f t="shared" si="79"/>
        <v>528.72</v>
      </c>
      <c r="S382" s="11"/>
      <c r="T382" s="136">
        <f t="shared" si="84"/>
        <v>0</v>
      </c>
    </row>
    <row r="383" spans="1:20" ht="15.75" customHeight="1">
      <c r="A383" s="149" t="s">
        <v>3737</v>
      </c>
      <c r="B383" s="273"/>
      <c r="C383" s="28" t="s">
        <v>44141</v>
      </c>
      <c r="D383" s="41">
        <v>100</v>
      </c>
      <c r="E383" s="131">
        <f t="shared" si="83"/>
        <v>1150</v>
      </c>
      <c r="F383" s="21">
        <f t="shared" ref="F383:F451" si="86">+E383*1.21</f>
        <v>1391.5</v>
      </c>
      <c r="G383" s="21"/>
      <c r="H383" s="135">
        <f t="shared" si="85"/>
        <v>760</v>
      </c>
      <c r="I383" s="294">
        <v>45287</v>
      </c>
      <c r="J383" s="294">
        <v>45306</v>
      </c>
      <c r="K383" s="10">
        <f>0.65*71.25*5*5</f>
        <v>1157.8125</v>
      </c>
      <c r="L383" s="10">
        <f>0.6/12*14338</f>
        <v>716.9</v>
      </c>
      <c r="M383" s="11"/>
      <c r="N383" s="100">
        <v>474</v>
      </c>
      <c r="O383" s="11">
        <f t="shared" si="80"/>
        <v>716.9</v>
      </c>
      <c r="P383" s="11">
        <f t="shared" si="78"/>
        <v>716.9</v>
      </c>
      <c r="Q383" s="11">
        <v>1.6</v>
      </c>
      <c r="R383" s="11">
        <f t="shared" si="79"/>
        <v>1147.04</v>
      </c>
      <c r="S383" s="11"/>
      <c r="T383" s="136">
        <f t="shared" si="84"/>
        <v>758.40000000000009</v>
      </c>
    </row>
    <row r="384" spans="1:20" ht="15.75" customHeight="1">
      <c r="A384" s="149" t="s">
        <v>3738</v>
      </c>
      <c r="B384" s="273"/>
      <c r="C384" s="28" t="s">
        <v>44140</v>
      </c>
      <c r="D384" s="41">
        <v>160</v>
      </c>
      <c r="E384" s="131">
        <f t="shared" si="83"/>
        <v>1340</v>
      </c>
      <c r="F384" s="21">
        <f t="shared" si="86"/>
        <v>1621.3999999999999</v>
      </c>
      <c r="G384" s="21"/>
      <c r="H384" s="135">
        <f t="shared" si="85"/>
        <v>1740</v>
      </c>
      <c r="I384" s="294">
        <v>45287</v>
      </c>
      <c r="J384" s="294">
        <v>45364</v>
      </c>
      <c r="K384" s="10"/>
      <c r="L384" s="10">
        <f>0.6/12*16661</f>
        <v>833.05</v>
      </c>
      <c r="M384" s="11"/>
      <c r="N384" s="100">
        <v>1083</v>
      </c>
      <c r="O384" s="11">
        <f t="shared" si="80"/>
        <v>833.05</v>
      </c>
      <c r="P384" s="11">
        <f t="shared" si="78"/>
        <v>833.05</v>
      </c>
      <c r="Q384" s="11">
        <v>1.6</v>
      </c>
      <c r="R384" s="11">
        <f t="shared" si="79"/>
        <v>1332.88</v>
      </c>
      <c r="S384" s="11"/>
      <c r="T384" s="136">
        <f t="shared" si="84"/>
        <v>1732.8000000000002</v>
      </c>
    </row>
    <row r="385" spans="1:20" ht="15.75" customHeight="1">
      <c r="A385" s="149" t="s">
        <v>3737</v>
      </c>
      <c r="B385" s="273"/>
      <c r="C385" s="28" t="s">
        <v>44142</v>
      </c>
      <c r="D385" s="41">
        <v>40</v>
      </c>
      <c r="E385" s="131">
        <f t="shared" si="83"/>
        <v>920</v>
      </c>
      <c r="F385" s="21">
        <f t="shared" si="86"/>
        <v>1113.2</v>
      </c>
      <c r="G385" s="21"/>
      <c r="H385" s="135">
        <f t="shared" si="85"/>
        <v>590</v>
      </c>
      <c r="I385" s="294">
        <v>45287</v>
      </c>
      <c r="J385" s="294">
        <v>45306</v>
      </c>
      <c r="K385" s="10">
        <f>0.65*47.98*3*8</f>
        <v>748.48799999999994</v>
      </c>
      <c r="L385" s="10">
        <f>0.6/12*11472</f>
        <v>573.59999999999991</v>
      </c>
      <c r="M385" s="11"/>
      <c r="N385" s="100">
        <v>363</v>
      </c>
      <c r="O385" s="11">
        <f t="shared" si="80"/>
        <v>573.59999999999991</v>
      </c>
      <c r="P385" s="11">
        <f t="shared" si="78"/>
        <v>573.59999999999991</v>
      </c>
      <c r="Q385" s="11">
        <v>1.6</v>
      </c>
      <c r="R385" s="11">
        <f t="shared" si="79"/>
        <v>917.75999999999988</v>
      </c>
      <c r="S385" s="11"/>
      <c r="T385" s="136">
        <f t="shared" si="84"/>
        <v>580.80000000000007</v>
      </c>
    </row>
    <row r="386" spans="1:20" ht="15.75" customHeight="1">
      <c r="A386" s="149" t="s">
        <v>3738</v>
      </c>
      <c r="B386" s="273"/>
      <c r="C386" s="28" t="s">
        <v>44143</v>
      </c>
      <c r="D386" s="41">
        <v>90</v>
      </c>
      <c r="E386" s="131">
        <f t="shared" si="83"/>
        <v>1460</v>
      </c>
      <c r="F386" s="21">
        <f t="shared" si="86"/>
        <v>1766.6</v>
      </c>
      <c r="G386" s="21"/>
      <c r="H386" s="135">
        <f t="shared" si="85"/>
        <v>1110</v>
      </c>
      <c r="I386" s="294">
        <v>45217</v>
      </c>
      <c r="J386" s="294">
        <v>45306</v>
      </c>
      <c r="K386" s="10"/>
      <c r="L386" s="10">
        <f>0.6/12*18186</f>
        <v>909.3</v>
      </c>
      <c r="M386" s="11"/>
      <c r="N386" s="100">
        <v>690</v>
      </c>
      <c r="O386" s="11">
        <f t="shared" si="80"/>
        <v>909.3</v>
      </c>
      <c r="P386" s="11">
        <f t="shared" si="78"/>
        <v>909.3</v>
      </c>
      <c r="Q386" s="11">
        <v>1.6</v>
      </c>
      <c r="R386" s="11">
        <f t="shared" si="79"/>
        <v>1454.88</v>
      </c>
      <c r="S386" s="11"/>
      <c r="T386" s="136">
        <f t="shared" si="84"/>
        <v>1104</v>
      </c>
    </row>
    <row r="387" spans="1:20" ht="15.75" customHeight="1">
      <c r="A387" s="149" t="s">
        <v>3738</v>
      </c>
      <c r="B387" s="273"/>
      <c r="C387" s="28" t="s">
        <v>1343</v>
      </c>
      <c r="D387" s="41"/>
      <c r="E387" s="131">
        <f t="shared" si="83"/>
        <v>0</v>
      </c>
      <c r="F387" s="21">
        <f t="shared" si="86"/>
        <v>0</v>
      </c>
      <c r="G387" s="21"/>
      <c r="H387" s="135">
        <f t="shared" si="85"/>
        <v>0</v>
      </c>
      <c r="I387" s="294">
        <v>43578</v>
      </c>
      <c r="J387" s="294"/>
      <c r="K387" s="10">
        <f>0.6/12*1443.3</f>
        <v>72.164999999999992</v>
      </c>
      <c r="L387" s="11"/>
      <c r="M387" s="11"/>
      <c r="N387" s="100"/>
      <c r="O387" s="11">
        <f t="shared" si="80"/>
        <v>72.164999999999992</v>
      </c>
      <c r="P387" s="11">
        <f t="shared" si="78"/>
        <v>72.164999999999992</v>
      </c>
      <c r="Q387" s="11"/>
      <c r="R387" s="11">
        <f t="shared" si="79"/>
        <v>0</v>
      </c>
      <c r="S387" s="11"/>
      <c r="T387" s="136">
        <f t="shared" si="84"/>
        <v>0</v>
      </c>
    </row>
    <row r="388" spans="1:20" ht="15.75" customHeight="1">
      <c r="A388" s="149" t="s">
        <v>3737</v>
      </c>
      <c r="B388" s="273"/>
      <c r="C388" s="28" t="s">
        <v>44144</v>
      </c>
      <c r="D388" s="41">
        <v>150</v>
      </c>
      <c r="E388" s="131">
        <f t="shared" si="83"/>
        <v>2530</v>
      </c>
      <c r="F388" s="21">
        <f t="shared" si="86"/>
        <v>3061.2999999999997</v>
      </c>
      <c r="G388" s="21"/>
      <c r="H388" s="135">
        <f t="shared" si="85"/>
        <v>2620</v>
      </c>
      <c r="I388" s="294">
        <v>45287</v>
      </c>
      <c r="J388" s="40">
        <v>45364</v>
      </c>
      <c r="K388" s="10"/>
      <c r="L388" s="10">
        <f>0.6/12*31513</f>
        <v>1575.6499999999999</v>
      </c>
      <c r="M388" s="11"/>
      <c r="N388" s="100">
        <v>1634</v>
      </c>
      <c r="O388" s="11">
        <f t="shared" si="80"/>
        <v>1575.6499999999999</v>
      </c>
      <c r="P388" s="11">
        <f t="shared" si="78"/>
        <v>1575.6499999999999</v>
      </c>
      <c r="Q388" s="11">
        <v>1.6</v>
      </c>
      <c r="R388" s="11">
        <f t="shared" si="79"/>
        <v>2521.04</v>
      </c>
      <c r="S388" s="11"/>
      <c r="T388" s="136">
        <f t="shared" si="84"/>
        <v>2614.4</v>
      </c>
    </row>
    <row r="389" spans="1:20" ht="15.75" customHeight="1">
      <c r="A389" s="149" t="s">
        <v>3737</v>
      </c>
      <c r="B389" s="273"/>
      <c r="C389" s="28" t="s">
        <v>44146</v>
      </c>
      <c r="D389" s="41">
        <v>160</v>
      </c>
      <c r="E389" s="131">
        <f t="shared" si="83"/>
        <v>2640</v>
      </c>
      <c r="F389" s="21">
        <f t="shared" si="86"/>
        <v>3194.4</v>
      </c>
      <c r="G389" s="21"/>
      <c r="H389" s="135">
        <f t="shared" si="85"/>
        <v>2070</v>
      </c>
      <c r="I389" s="294">
        <v>45287</v>
      </c>
      <c r="J389" s="40">
        <v>45379</v>
      </c>
      <c r="K389" s="10"/>
      <c r="L389" s="10">
        <f>0.6*32941/12</f>
        <v>1647.05</v>
      </c>
      <c r="M389" s="10"/>
      <c r="N389" s="100">
        <f>0.9*1435</f>
        <v>1291.5</v>
      </c>
      <c r="O389" s="11">
        <f t="shared" si="80"/>
        <v>1647.05</v>
      </c>
      <c r="P389" s="11">
        <f t="shared" si="78"/>
        <v>1647.05</v>
      </c>
      <c r="Q389" s="11">
        <v>1.6</v>
      </c>
      <c r="R389" s="11">
        <f t="shared" si="79"/>
        <v>2635.28</v>
      </c>
      <c r="S389" s="11"/>
      <c r="T389" s="136">
        <f t="shared" si="84"/>
        <v>2066.4</v>
      </c>
    </row>
    <row r="390" spans="1:20" ht="15.75" customHeight="1">
      <c r="A390" s="149" t="s">
        <v>3737</v>
      </c>
      <c r="B390" s="273"/>
      <c r="C390" s="28" t="s">
        <v>44145</v>
      </c>
      <c r="D390" s="41">
        <v>170</v>
      </c>
      <c r="E390" s="131">
        <f t="shared" si="83"/>
        <v>2900</v>
      </c>
      <c r="F390" s="21">
        <f t="shared" si="86"/>
        <v>3509</v>
      </c>
      <c r="G390" s="21"/>
      <c r="H390" s="135">
        <f t="shared" si="85"/>
        <v>1840</v>
      </c>
      <c r="I390" s="294">
        <v>45287</v>
      </c>
      <c r="J390" s="40">
        <v>45379</v>
      </c>
      <c r="K390" s="11"/>
      <c r="L390" s="10">
        <f>0.6*36245/12</f>
        <v>1812.25</v>
      </c>
      <c r="M390" s="11"/>
      <c r="N390" s="100">
        <f>1276*0.9</f>
        <v>1148.4000000000001</v>
      </c>
      <c r="O390" s="11">
        <f t="shared" si="80"/>
        <v>1812.25</v>
      </c>
      <c r="P390" s="11">
        <f t="shared" si="78"/>
        <v>1812.25</v>
      </c>
      <c r="Q390" s="11">
        <v>1.6</v>
      </c>
      <c r="R390" s="11">
        <f t="shared" si="79"/>
        <v>2899.6000000000004</v>
      </c>
      <c r="S390" s="11"/>
      <c r="T390" s="136">
        <f t="shared" si="84"/>
        <v>1837.4400000000003</v>
      </c>
    </row>
    <row r="391" spans="1:20" ht="15.75" customHeight="1">
      <c r="A391" s="149">
        <v>101</v>
      </c>
      <c r="B391" s="273"/>
      <c r="C391" s="28" t="s">
        <v>4503</v>
      </c>
      <c r="D391" s="41">
        <v>170</v>
      </c>
      <c r="E391" s="131">
        <f>ROUNDUP(R391,-1)</f>
        <v>6090</v>
      </c>
      <c r="F391" s="21">
        <f>+E391*1.21</f>
        <v>7368.9</v>
      </c>
      <c r="G391" s="21"/>
      <c r="H391" s="135">
        <f>ROUNDUP(T391,-1)</f>
        <v>0</v>
      </c>
      <c r="I391" s="294">
        <v>45254</v>
      </c>
      <c r="J391" s="294">
        <v>45385</v>
      </c>
      <c r="K391" s="11">
        <f>0.7*0.9*10742</f>
        <v>6767.46</v>
      </c>
      <c r="L391" s="10">
        <f>2800*1.5</f>
        <v>4200</v>
      </c>
      <c r="M391" s="11"/>
      <c r="N391" s="100"/>
      <c r="O391" s="11">
        <f>MIN(K391:M391)</f>
        <v>4200</v>
      </c>
      <c r="P391" s="11">
        <f>+O391</f>
        <v>4200</v>
      </c>
      <c r="Q391" s="11">
        <v>1.45</v>
      </c>
      <c r="R391" s="11">
        <f>+P391*Q391</f>
        <v>6090</v>
      </c>
      <c r="S391" s="11"/>
      <c r="T391" s="136">
        <f>+N391*Q391</f>
        <v>0</v>
      </c>
    </row>
    <row r="392" spans="1:20" ht="15.75" customHeight="1">
      <c r="A392" s="149" t="s">
        <v>3737</v>
      </c>
      <c r="B392" s="273"/>
      <c r="C392" s="28" t="s">
        <v>44147</v>
      </c>
      <c r="D392" s="41">
        <v>220</v>
      </c>
      <c r="E392" s="131">
        <f t="shared" si="83"/>
        <v>4270</v>
      </c>
      <c r="F392" s="21">
        <f t="shared" si="86"/>
        <v>5166.7</v>
      </c>
      <c r="G392" s="21"/>
      <c r="H392" s="135">
        <f t="shared" si="85"/>
        <v>2890</v>
      </c>
      <c r="I392" s="294">
        <v>45273</v>
      </c>
      <c r="J392" s="40">
        <v>45379</v>
      </c>
      <c r="K392" s="10"/>
      <c r="L392" s="10">
        <f>0.6*53350/12</f>
        <v>2667.5</v>
      </c>
      <c r="M392" s="10"/>
      <c r="N392" s="100">
        <f>0.9*2004</f>
        <v>1803.6000000000001</v>
      </c>
      <c r="O392" s="11">
        <f t="shared" si="80"/>
        <v>2667.5</v>
      </c>
      <c r="P392" s="11">
        <f t="shared" ref="P392:P458" si="87">+O392</f>
        <v>2667.5</v>
      </c>
      <c r="Q392" s="11">
        <v>1.6</v>
      </c>
      <c r="R392" s="11">
        <f t="shared" ref="R392:R458" si="88">+P392*Q392</f>
        <v>4268</v>
      </c>
      <c r="S392" s="11"/>
      <c r="T392" s="136">
        <f t="shared" si="84"/>
        <v>2885.76</v>
      </c>
    </row>
    <row r="393" spans="1:20" ht="15.75" customHeight="1">
      <c r="A393" s="149">
        <v>21</v>
      </c>
      <c r="B393" s="273"/>
      <c r="C393" s="28" t="s">
        <v>1344</v>
      </c>
      <c r="D393" s="41">
        <v>410</v>
      </c>
      <c r="E393" s="131">
        <f t="shared" si="83"/>
        <v>0</v>
      </c>
      <c r="F393" s="21">
        <f t="shared" si="86"/>
        <v>0</v>
      </c>
      <c r="G393" s="21"/>
      <c r="H393" s="135">
        <f t="shared" si="85"/>
        <v>0</v>
      </c>
      <c r="I393" s="294">
        <v>44747</v>
      </c>
      <c r="J393" s="40"/>
      <c r="K393" s="10">
        <f>0.6/12*13947*1.1</f>
        <v>767.08499999999992</v>
      </c>
      <c r="L393" s="10"/>
      <c r="M393" s="10"/>
      <c r="N393" s="100"/>
      <c r="O393" s="11">
        <f t="shared" si="80"/>
        <v>767.08499999999992</v>
      </c>
      <c r="P393" s="11">
        <f t="shared" si="87"/>
        <v>767.08499999999992</v>
      </c>
      <c r="Q393" s="11"/>
      <c r="R393" s="11">
        <f t="shared" si="88"/>
        <v>0</v>
      </c>
      <c r="S393" s="11"/>
      <c r="T393" s="136">
        <f t="shared" ref="T393:T428" si="89">+N393*Q393</f>
        <v>0</v>
      </c>
    </row>
    <row r="394" spans="1:20" ht="15.75" customHeight="1">
      <c r="A394" s="149" t="s">
        <v>3944</v>
      </c>
      <c r="B394" s="273"/>
      <c r="C394" s="28" t="s">
        <v>3945</v>
      </c>
      <c r="D394" s="41"/>
      <c r="E394" s="131">
        <f t="shared" si="83"/>
        <v>0</v>
      </c>
      <c r="F394" s="21">
        <f t="shared" si="86"/>
        <v>0</v>
      </c>
      <c r="G394" s="21"/>
      <c r="H394" s="135">
        <f t="shared" si="85"/>
        <v>0</v>
      </c>
      <c r="I394" s="294">
        <v>44988</v>
      </c>
      <c r="J394" s="294"/>
      <c r="K394" s="10">
        <f>PROVEEDORES!J29*0.54*0.9*0.73*12*1.05</f>
        <v>3956.1517800000006</v>
      </c>
      <c r="L394" s="134"/>
      <c r="M394" s="11"/>
      <c r="N394" s="100"/>
      <c r="O394" s="11">
        <f t="shared" si="80"/>
        <v>3956.1517800000006</v>
      </c>
      <c r="P394" s="11">
        <f t="shared" si="87"/>
        <v>3956.1517800000006</v>
      </c>
      <c r="Q394" s="11"/>
      <c r="R394" s="11">
        <f t="shared" si="88"/>
        <v>0</v>
      </c>
      <c r="S394" s="11"/>
      <c r="T394" s="136">
        <f t="shared" si="89"/>
        <v>0</v>
      </c>
    </row>
    <row r="395" spans="1:20" ht="15.75" customHeight="1">
      <c r="A395" s="149" t="s">
        <v>3944</v>
      </c>
      <c r="B395" s="273"/>
      <c r="C395" s="28" t="s">
        <v>3790</v>
      </c>
      <c r="D395" s="41"/>
      <c r="E395" s="131">
        <f t="shared" si="83"/>
        <v>7110</v>
      </c>
      <c r="F395" s="21">
        <f t="shared" si="86"/>
        <v>8603.1</v>
      </c>
      <c r="G395" s="76" t="s">
        <v>2364</v>
      </c>
      <c r="H395" s="135">
        <f t="shared" si="85"/>
        <v>0</v>
      </c>
      <c r="I395" s="294">
        <v>45224</v>
      </c>
      <c r="J395" s="294">
        <v>45383</v>
      </c>
      <c r="K395" s="10">
        <f>PROVEEDORES!J29*0.54*0.9*13*1.35</f>
        <v>7548.4305000000013</v>
      </c>
      <c r="L395" s="10">
        <f>0.54*0.9*1.06*8622</f>
        <v>4441.7095200000003</v>
      </c>
      <c r="M395" s="11"/>
      <c r="N395" s="100"/>
      <c r="O395" s="11">
        <f t="shared" si="80"/>
        <v>4441.7095200000003</v>
      </c>
      <c r="P395" s="11">
        <f t="shared" si="87"/>
        <v>4441.7095200000003</v>
      </c>
      <c r="Q395" s="11">
        <v>1.6</v>
      </c>
      <c r="R395" s="11">
        <f t="shared" si="88"/>
        <v>7106.7352320000009</v>
      </c>
      <c r="S395" s="11"/>
      <c r="T395" s="136">
        <f t="shared" si="89"/>
        <v>0</v>
      </c>
    </row>
    <row r="396" spans="1:20" ht="15.75" customHeight="1">
      <c r="A396" s="149">
        <v>21</v>
      </c>
      <c r="B396" s="273"/>
      <c r="C396" s="28" t="s">
        <v>2492</v>
      </c>
      <c r="D396" s="41">
        <v>500</v>
      </c>
      <c r="E396" s="131">
        <f t="shared" si="83"/>
        <v>0</v>
      </c>
      <c r="F396" s="21">
        <f t="shared" si="86"/>
        <v>0</v>
      </c>
      <c r="G396" s="21"/>
      <c r="H396" s="135">
        <f t="shared" si="85"/>
        <v>0</v>
      </c>
      <c r="I396" s="294">
        <v>43797</v>
      </c>
      <c r="J396" s="294">
        <v>44126</v>
      </c>
      <c r="K396" s="10">
        <f>0.6*549</f>
        <v>329.4</v>
      </c>
      <c r="L396" s="10">
        <f>1357.95*0.9*1.06</f>
        <v>1295.4843000000001</v>
      </c>
      <c r="M396" s="11"/>
      <c r="N396" s="100"/>
      <c r="O396" s="11">
        <f t="shared" si="80"/>
        <v>329.4</v>
      </c>
      <c r="P396" s="11">
        <f t="shared" si="87"/>
        <v>329.4</v>
      </c>
      <c r="Q396" s="11"/>
      <c r="R396" s="11">
        <f t="shared" si="88"/>
        <v>0</v>
      </c>
      <c r="S396" s="11"/>
      <c r="T396" s="136">
        <f t="shared" si="89"/>
        <v>0</v>
      </c>
    </row>
    <row r="397" spans="1:20" ht="15.75" customHeight="1">
      <c r="A397" s="149" t="s">
        <v>3944</v>
      </c>
      <c r="B397" s="273"/>
      <c r="C397" s="28" t="s">
        <v>3791</v>
      </c>
      <c r="D397" s="41"/>
      <c r="E397" s="131">
        <f>ROUNDUP(R397,-1)</f>
        <v>14220</v>
      </c>
      <c r="F397" s="21">
        <f>+E397*1.21</f>
        <v>17206.2</v>
      </c>
      <c r="G397" s="76" t="s">
        <v>2364</v>
      </c>
      <c r="H397" s="135">
        <f>ROUNDUP(T397,-1)</f>
        <v>0</v>
      </c>
      <c r="I397" s="294">
        <v>45224</v>
      </c>
      <c r="J397" s="294">
        <v>45383</v>
      </c>
      <c r="K397" s="10">
        <f>PROVEEDORES!$J$29*6.5*2*0.9*1.05*1.4</f>
        <v>15221.115</v>
      </c>
      <c r="L397" s="10">
        <f>0.54*0.9*2*1.06*8622</f>
        <v>8883.4190400000007</v>
      </c>
      <c r="M397" s="11"/>
      <c r="N397" s="10"/>
      <c r="O397" s="11">
        <f>MIN(K397:M397)</f>
        <v>8883.4190400000007</v>
      </c>
      <c r="P397" s="11">
        <f t="shared" si="87"/>
        <v>8883.4190400000007</v>
      </c>
      <c r="Q397" s="11">
        <v>1.6</v>
      </c>
      <c r="R397" s="11">
        <f t="shared" si="88"/>
        <v>14213.470464000002</v>
      </c>
      <c r="S397" s="11"/>
      <c r="T397" s="136">
        <f>+N397*Q397</f>
        <v>0</v>
      </c>
    </row>
    <row r="398" spans="1:20" ht="15.75" customHeight="1">
      <c r="A398" s="149">
        <v>29</v>
      </c>
      <c r="B398" s="273"/>
      <c r="C398" s="28" t="s">
        <v>1345</v>
      </c>
      <c r="D398" s="41">
        <v>95</v>
      </c>
      <c r="E398" s="131">
        <f t="shared" si="83"/>
        <v>0</v>
      </c>
      <c r="F398" s="21">
        <f t="shared" si="86"/>
        <v>0</v>
      </c>
      <c r="G398" s="21"/>
      <c r="H398" s="135">
        <f t="shared" si="85"/>
        <v>0</v>
      </c>
      <c r="I398" s="294">
        <v>44936</v>
      </c>
      <c r="J398" s="294"/>
      <c r="K398" s="11">
        <v>249</v>
      </c>
      <c r="L398" s="11"/>
      <c r="M398" s="10"/>
      <c r="N398" s="100"/>
      <c r="O398" s="11">
        <f t="shared" si="80"/>
        <v>249</v>
      </c>
      <c r="P398" s="11">
        <f t="shared" si="87"/>
        <v>249</v>
      </c>
      <c r="Q398" s="11"/>
      <c r="R398" s="11">
        <f t="shared" si="88"/>
        <v>0</v>
      </c>
      <c r="S398" s="11"/>
      <c r="T398" s="136">
        <f t="shared" si="89"/>
        <v>0</v>
      </c>
    </row>
    <row r="399" spans="1:20" ht="15.75" customHeight="1">
      <c r="A399" s="149" t="s">
        <v>44322</v>
      </c>
      <c r="B399" s="273"/>
      <c r="C399" s="28" t="s">
        <v>3388</v>
      </c>
      <c r="D399" s="41">
        <v>5740</v>
      </c>
      <c r="E399" s="131">
        <f t="shared" si="83"/>
        <v>128350</v>
      </c>
      <c r="F399" s="21">
        <f t="shared" si="86"/>
        <v>155303.5</v>
      </c>
      <c r="G399" s="44"/>
      <c r="H399" s="135">
        <f t="shared" si="85"/>
        <v>0</v>
      </c>
      <c r="I399" s="294">
        <v>45059</v>
      </c>
      <c r="J399" s="294">
        <v>45332</v>
      </c>
      <c r="K399" s="10">
        <f>0.8*0.94*117703</f>
        <v>88512.656000000003</v>
      </c>
      <c r="L399" s="42"/>
      <c r="M399" s="42"/>
      <c r="N399" s="37"/>
      <c r="O399" s="11">
        <f t="shared" si="80"/>
        <v>88512.656000000003</v>
      </c>
      <c r="P399" s="11">
        <f t="shared" si="87"/>
        <v>88512.656000000003</v>
      </c>
      <c r="Q399" s="11">
        <v>1.45</v>
      </c>
      <c r="R399" s="11">
        <f t="shared" si="88"/>
        <v>128343.3512</v>
      </c>
      <c r="S399" s="11"/>
      <c r="T399" s="136">
        <f t="shared" si="89"/>
        <v>0</v>
      </c>
    </row>
    <row r="400" spans="1:20" ht="15.75" customHeight="1">
      <c r="A400" s="149" t="s">
        <v>2387</v>
      </c>
      <c r="B400" s="273"/>
      <c r="C400" s="28" t="s">
        <v>1346</v>
      </c>
      <c r="D400" s="41">
        <v>0</v>
      </c>
      <c r="E400" s="131">
        <f t="shared" si="83"/>
        <v>0</v>
      </c>
      <c r="F400" s="21">
        <f t="shared" si="86"/>
        <v>0</v>
      </c>
      <c r="G400" s="21"/>
      <c r="H400" s="135">
        <f t="shared" si="85"/>
        <v>0</v>
      </c>
      <c r="I400" s="294">
        <v>45059</v>
      </c>
      <c r="J400" s="294"/>
      <c r="K400" s="10">
        <f>+PROVEEDORES!D18*0.5*27.6*2</f>
        <v>29256</v>
      </c>
      <c r="L400" s="11">
        <f>37*1000*0.5</f>
        <v>18500</v>
      </c>
      <c r="M400" s="11"/>
      <c r="N400" s="100"/>
      <c r="O400" s="11">
        <f t="shared" si="80"/>
        <v>18500</v>
      </c>
      <c r="P400" s="11">
        <f t="shared" si="87"/>
        <v>18500</v>
      </c>
      <c r="Q400" s="11"/>
      <c r="R400" s="11">
        <f t="shared" si="88"/>
        <v>0</v>
      </c>
      <c r="S400" s="11"/>
      <c r="T400" s="136">
        <f t="shared" si="89"/>
        <v>0</v>
      </c>
    </row>
    <row r="401" spans="1:20" ht="15.75" customHeight="1">
      <c r="A401" s="149" t="s">
        <v>2387</v>
      </c>
      <c r="B401" s="273"/>
      <c r="C401" s="28" t="s">
        <v>1347</v>
      </c>
      <c r="D401" s="41">
        <v>0</v>
      </c>
      <c r="E401" s="131">
        <f t="shared" si="83"/>
        <v>0</v>
      </c>
      <c r="F401" s="21">
        <f t="shared" si="86"/>
        <v>0</v>
      </c>
      <c r="G401" s="21"/>
      <c r="H401" s="135">
        <f t="shared" si="85"/>
        <v>0</v>
      </c>
      <c r="I401" s="294">
        <v>45059</v>
      </c>
      <c r="J401" s="294"/>
      <c r="K401" s="10">
        <f>+PROVEEDORES!D18*0.5*35.3*2</f>
        <v>37418</v>
      </c>
      <c r="L401" s="11">
        <v>7477</v>
      </c>
      <c r="M401" s="11"/>
      <c r="N401" s="100"/>
      <c r="O401" s="11">
        <f t="shared" si="80"/>
        <v>7477</v>
      </c>
      <c r="P401" s="11">
        <f t="shared" si="87"/>
        <v>7477</v>
      </c>
      <c r="Q401" s="11"/>
      <c r="R401" s="11">
        <f t="shared" si="88"/>
        <v>0</v>
      </c>
      <c r="S401" s="11"/>
      <c r="T401" s="136">
        <f t="shared" si="89"/>
        <v>0</v>
      </c>
    </row>
    <row r="402" spans="1:20" ht="15.75" customHeight="1">
      <c r="A402" s="149" t="s">
        <v>2387</v>
      </c>
      <c r="B402" s="273"/>
      <c r="C402" s="28" t="s">
        <v>2446</v>
      </c>
      <c r="D402" s="41">
        <v>0</v>
      </c>
      <c r="E402" s="131">
        <f t="shared" si="83"/>
        <v>0</v>
      </c>
      <c r="F402" s="21">
        <f t="shared" si="86"/>
        <v>0</v>
      </c>
      <c r="G402" s="21"/>
      <c r="H402" s="135">
        <f t="shared" si="85"/>
        <v>0</v>
      </c>
      <c r="I402" s="294">
        <v>44840</v>
      </c>
      <c r="J402" s="294">
        <v>45059</v>
      </c>
      <c r="K402" s="10"/>
      <c r="L402" s="11">
        <v>9270</v>
      </c>
      <c r="M402" s="11"/>
      <c r="N402" s="100"/>
      <c r="O402" s="11">
        <f t="shared" ref="O402:O476" si="90">MIN(K402:M402)</f>
        <v>9270</v>
      </c>
      <c r="P402" s="11">
        <f t="shared" si="87"/>
        <v>9270</v>
      </c>
      <c r="Q402" s="11"/>
      <c r="R402" s="11">
        <f t="shared" si="88"/>
        <v>0</v>
      </c>
      <c r="S402" s="11"/>
      <c r="T402" s="136">
        <f t="shared" si="89"/>
        <v>0</v>
      </c>
    </row>
    <row r="403" spans="1:20" ht="15.75" customHeight="1">
      <c r="A403" s="149">
        <v>38</v>
      </c>
      <c r="B403" s="273"/>
      <c r="C403" s="28" t="s">
        <v>3470</v>
      </c>
      <c r="D403" s="41">
        <v>0</v>
      </c>
      <c r="E403" s="131">
        <f t="shared" si="83"/>
        <v>35650</v>
      </c>
      <c r="F403" s="21">
        <f t="shared" si="86"/>
        <v>43136.5</v>
      </c>
      <c r="G403" s="21"/>
      <c r="H403" s="135">
        <f t="shared" si="85"/>
        <v>30900</v>
      </c>
      <c r="I403" s="294">
        <v>45138</v>
      </c>
      <c r="J403" s="294">
        <v>45274</v>
      </c>
      <c r="K403" s="11">
        <f>+PROVEEDORES!$D$32*23.41</f>
        <v>24580.5</v>
      </c>
      <c r="L403" s="11"/>
      <c r="M403" s="11"/>
      <c r="N403" s="38">
        <v>21306</v>
      </c>
      <c r="O403" s="11">
        <f t="shared" si="90"/>
        <v>24580.5</v>
      </c>
      <c r="P403" s="11">
        <f t="shared" si="87"/>
        <v>24580.5</v>
      </c>
      <c r="Q403" s="11">
        <v>1.45</v>
      </c>
      <c r="R403" s="11">
        <f t="shared" si="88"/>
        <v>35641.724999999999</v>
      </c>
      <c r="S403" s="11"/>
      <c r="T403" s="136">
        <f t="shared" si="89"/>
        <v>30893.7</v>
      </c>
    </row>
    <row r="404" spans="1:20" ht="15.75" customHeight="1">
      <c r="A404" s="149">
        <v>12</v>
      </c>
      <c r="B404" s="273"/>
      <c r="C404" s="28" t="s">
        <v>1348</v>
      </c>
      <c r="D404" s="41">
        <v>3420</v>
      </c>
      <c r="E404" s="131">
        <f t="shared" si="83"/>
        <v>0</v>
      </c>
      <c r="F404" s="21">
        <f t="shared" si="86"/>
        <v>0</v>
      </c>
      <c r="G404" s="44"/>
      <c r="H404" s="135">
        <f t="shared" si="85"/>
        <v>0</v>
      </c>
      <c r="I404" s="294">
        <v>43237</v>
      </c>
      <c r="J404" s="40">
        <v>43768</v>
      </c>
      <c r="K404" s="11">
        <f>75*0.5*65*1.45*0.85</f>
        <v>3004.21875</v>
      </c>
      <c r="L404" s="10"/>
      <c r="M404" s="10"/>
      <c r="N404" s="100"/>
      <c r="O404" s="11">
        <f t="shared" si="90"/>
        <v>3004.21875</v>
      </c>
      <c r="P404" s="11">
        <f t="shared" si="87"/>
        <v>3004.21875</v>
      </c>
      <c r="Q404" s="11"/>
      <c r="R404" s="11">
        <f t="shared" si="88"/>
        <v>0</v>
      </c>
      <c r="S404" s="11"/>
      <c r="T404" s="136">
        <f t="shared" si="89"/>
        <v>0</v>
      </c>
    </row>
    <row r="405" spans="1:20" ht="15.75" customHeight="1">
      <c r="A405" s="149">
        <v>12</v>
      </c>
      <c r="B405" s="273"/>
      <c r="C405" s="28" t="s">
        <v>1349</v>
      </c>
      <c r="D405" s="41">
        <v>4280</v>
      </c>
      <c r="E405" s="131">
        <f t="shared" si="83"/>
        <v>0</v>
      </c>
      <c r="F405" s="21">
        <f t="shared" si="86"/>
        <v>0</v>
      </c>
      <c r="G405" s="44"/>
      <c r="H405" s="135">
        <f t="shared" si="85"/>
        <v>0</v>
      </c>
      <c r="I405" s="294">
        <v>44805</v>
      </c>
      <c r="J405" s="294"/>
      <c r="K405" s="11">
        <v>7956</v>
      </c>
      <c r="L405" s="10"/>
      <c r="M405" s="10"/>
      <c r="N405" s="100"/>
      <c r="O405" s="11">
        <f t="shared" si="90"/>
        <v>7956</v>
      </c>
      <c r="P405" s="11">
        <f t="shared" si="87"/>
        <v>7956</v>
      </c>
      <c r="Q405" s="11"/>
      <c r="R405" s="11">
        <f t="shared" si="88"/>
        <v>0</v>
      </c>
      <c r="S405" s="11"/>
      <c r="T405" s="136">
        <f t="shared" si="89"/>
        <v>0</v>
      </c>
    </row>
    <row r="406" spans="1:20" ht="15.75" customHeight="1">
      <c r="A406" s="149">
        <v>21</v>
      </c>
      <c r="B406" s="273"/>
      <c r="C406" s="28" t="s">
        <v>4227</v>
      </c>
      <c r="D406" s="41">
        <v>500</v>
      </c>
      <c r="E406" s="131">
        <f>ROUNDUP(R406,-1)</f>
        <v>11730</v>
      </c>
      <c r="F406" s="21">
        <f>+E406*1.21</f>
        <v>14193.3</v>
      </c>
      <c r="G406" s="21"/>
      <c r="H406" s="135">
        <f>ROUNDUP(T406,-1)</f>
        <v>0</v>
      </c>
      <c r="I406" s="294"/>
      <c r="J406" s="294">
        <v>45175</v>
      </c>
      <c r="K406" s="10">
        <f>0.6*7200*1.14*1.4</f>
        <v>6894.7199999999984</v>
      </c>
      <c r="L406" s="10"/>
      <c r="M406" s="11"/>
      <c r="N406" s="100"/>
      <c r="O406" s="11">
        <f t="shared" si="90"/>
        <v>6894.7199999999984</v>
      </c>
      <c r="P406" s="11">
        <f t="shared" si="87"/>
        <v>6894.7199999999984</v>
      </c>
      <c r="Q406" s="11">
        <v>1.7</v>
      </c>
      <c r="R406" s="11">
        <f t="shared" si="88"/>
        <v>11721.023999999998</v>
      </c>
      <c r="S406" s="11"/>
      <c r="T406" s="136">
        <f>+N406*Q406</f>
        <v>0</v>
      </c>
    </row>
    <row r="407" spans="1:20" ht="15.75" customHeight="1">
      <c r="A407" s="149">
        <v>21</v>
      </c>
      <c r="B407" s="273"/>
      <c r="C407" s="28" t="s">
        <v>4228</v>
      </c>
      <c r="D407" s="41">
        <v>500</v>
      </c>
      <c r="E407" s="131">
        <f>ROUNDUP(R407,-1)</f>
        <v>21660</v>
      </c>
      <c r="F407" s="21">
        <f>+E407*1.21</f>
        <v>26208.6</v>
      </c>
      <c r="G407" s="21"/>
      <c r="H407" s="135">
        <f>ROUNDUP(T407,-1)</f>
        <v>0</v>
      </c>
      <c r="I407" s="294"/>
      <c r="J407" s="294">
        <v>45175</v>
      </c>
      <c r="K407" s="10">
        <f>0.6*13300*1.14*1.4</f>
        <v>12736.079999999998</v>
      </c>
      <c r="L407" s="10"/>
      <c r="M407" s="11"/>
      <c r="N407" s="100"/>
      <c r="O407" s="11">
        <f>MIN(K407:M407)</f>
        <v>12736.079999999998</v>
      </c>
      <c r="P407" s="11">
        <f t="shared" si="87"/>
        <v>12736.079999999998</v>
      </c>
      <c r="Q407" s="11">
        <v>1.7</v>
      </c>
      <c r="R407" s="11">
        <f t="shared" si="88"/>
        <v>21651.335999999996</v>
      </c>
      <c r="S407" s="11"/>
      <c r="T407" s="136">
        <f>+N407*Q407</f>
        <v>0</v>
      </c>
    </row>
    <row r="408" spans="1:20" ht="15.75" customHeight="1">
      <c r="A408" s="149">
        <v>12</v>
      </c>
      <c r="B408" s="273"/>
      <c r="C408" s="28" t="s">
        <v>62678</v>
      </c>
      <c r="D408" s="41">
        <v>4280</v>
      </c>
      <c r="E408" s="131">
        <f t="shared" ref="E408" si="91">ROUNDUP(R408,-1)</f>
        <v>79010</v>
      </c>
      <c r="F408" s="21">
        <f t="shared" ref="F408" si="92">+E408*1.21</f>
        <v>95602.099999999991</v>
      </c>
      <c r="G408" s="44"/>
      <c r="H408" s="135">
        <f t="shared" ref="H408" si="93">ROUNDUP(T408,-1)</f>
        <v>0</v>
      </c>
      <c r="I408" s="294"/>
      <c r="J408" s="294">
        <v>45371</v>
      </c>
      <c r="K408" s="11">
        <v>52672</v>
      </c>
      <c r="L408" s="10"/>
      <c r="M408" s="10"/>
      <c r="N408" s="100"/>
      <c r="O408" s="11">
        <f t="shared" ref="O408" si="94">MIN(K408:M408)</f>
        <v>52672</v>
      </c>
      <c r="P408" s="11">
        <f t="shared" ref="P408" si="95">+O408</f>
        <v>52672</v>
      </c>
      <c r="Q408" s="11">
        <v>1.5</v>
      </c>
      <c r="R408" s="11">
        <f t="shared" ref="R408" si="96">+P408*Q408</f>
        <v>79008</v>
      </c>
      <c r="S408" s="11"/>
      <c r="T408" s="136">
        <f t="shared" ref="T408" si="97">+N408*Q408</f>
        <v>0</v>
      </c>
    </row>
    <row r="409" spans="1:20" ht="15.75" customHeight="1">
      <c r="A409" s="149">
        <v>12</v>
      </c>
      <c r="B409" s="273"/>
      <c r="C409" s="28" t="s">
        <v>3892</v>
      </c>
      <c r="D409" s="41">
        <v>4320</v>
      </c>
      <c r="E409" s="131">
        <f t="shared" si="83"/>
        <v>70690</v>
      </c>
      <c r="F409" s="21">
        <f t="shared" si="86"/>
        <v>85534.9</v>
      </c>
      <c r="G409" s="44"/>
      <c r="H409" s="135">
        <f t="shared" si="85"/>
        <v>0</v>
      </c>
      <c r="I409" s="294">
        <v>45222</v>
      </c>
      <c r="J409" s="294">
        <v>45338</v>
      </c>
      <c r="K409" s="11">
        <v>47125</v>
      </c>
      <c r="L409" s="10"/>
      <c r="M409" s="10"/>
      <c r="N409" s="100"/>
      <c r="O409" s="11">
        <f t="shared" si="90"/>
        <v>47125</v>
      </c>
      <c r="P409" s="11">
        <f t="shared" si="87"/>
        <v>47125</v>
      </c>
      <c r="Q409" s="11">
        <v>1.5</v>
      </c>
      <c r="R409" s="11">
        <f t="shared" si="88"/>
        <v>70687.5</v>
      </c>
      <c r="S409" s="11"/>
      <c r="T409" s="136">
        <f t="shared" si="89"/>
        <v>0</v>
      </c>
    </row>
    <row r="410" spans="1:20" ht="15.75" customHeight="1">
      <c r="A410" s="149">
        <v>12</v>
      </c>
      <c r="B410" s="273"/>
      <c r="C410" s="28" t="s">
        <v>1350</v>
      </c>
      <c r="D410" s="41">
        <v>5880</v>
      </c>
      <c r="E410" s="131">
        <f t="shared" si="83"/>
        <v>0</v>
      </c>
      <c r="F410" s="21">
        <f t="shared" si="86"/>
        <v>0</v>
      </c>
      <c r="G410" s="44"/>
      <c r="H410" s="135">
        <f t="shared" si="85"/>
        <v>0</v>
      </c>
      <c r="I410" s="294">
        <v>44805</v>
      </c>
      <c r="J410" s="294"/>
      <c r="K410" s="10">
        <v>10680</v>
      </c>
      <c r="L410" s="10"/>
      <c r="M410" s="10"/>
      <c r="N410" s="100"/>
      <c r="O410" s="11">
        <f t="shared" si="90"/>
        <v>10680</v>
      </c>
      <c r="P410" s="11">
        <f t="shared" si="87"/>
        <v>10680</v>
      </c>
      <c r="Q410" s="11"/>
      <c r="R410" s="11">
        <f t="shared" si="88"/>
        <v>0</v>
      </c>
      <c r="S410" s="11"/>
      <c r="T410" s="136">
        <f t="shared" si="89"/>
        <v>0</v>
      </c>
    </row>
    <row r="411" spans="1:20" ht="15.75" customHeight="1">
      <c r="A411" s="149">
        <v>12</v>
      </c>
      <c r="B411" s="273"/>
      <c r="C411" s="28" t="s">
        <v>1351</v>
      </c>
      <c r="D411" s="41">
        <v>1350</v>
      </c>
      <c r="E411" s="131">
        <f t="shared" si="83"/>
        <v>0</v>
      </c>
      <c r="F411" s="21">
        <f t="shared" si="86"/>
        <v>0</v>
      </c>
      <c r="G411" s="44"/>
      <c r="H411" s="135">
        <f t="shared" si="85"/>
        <v>0</v>
      </c>
      <c r="I411" s="294">
        <v>43993</v>
      </c>
      <c r="J411" s="294"/>
      <c r="K411" s="10">
        <f>25*105*0.5*1.45</f>
        <v>1903.125</v>
      </c>
      <c r="L411" s="10"/>
      <c r="M411" s="11"/>
      <c r="N411" s="100"/>
      <c r="O411" s="11">
        <f t="shared" si="90"/>
        <v>1903.125</v>
      </c>
      <c r="P411" s="11">
        <f t="shared" si="87"/>
        <v>1903.125</v>
      </c>
      <c r="Q411" s="11"/>
      <c r="R411" s="11">
        <f t="shared" si="88"/>
        <v>0</v>
      </c>
      <c r="S411" s="11"/>
      <c r="T411" s="136">
        <f t="shared" si="89"/>
        <v>0</v>
      </c>
    </row>
    <row r="412" spans="1:20" ht="15.75" customHeight="1">
      <c r="A412" s="149">
        <v>12</v>
      </c>
      <c r="B412" s="273"/>
      <c r="C412" s="28" t="s">
        <v>4456</v>
      </c>
      <c r="D412" s="41">
        <v>1870</v>
      </c>
      <c r="E412" s="131">
        <f t="shared" si="83"/>
        <v>70690</v>
      </c>
      <c r="F412" s="21">
        <f t="shared" si="86"/>
        <v>85534.9</v>
      </c>
      <c r="G412" s="44"/>
      <c r="H412" s="135">
        <f t="shared" si="85"/>
        <v>0</v>
      </c>
      <c r="I412" s="294">
        <v>45274</v>
      </c>
      <c r="J412" s="294">
        <v>45338</v>
      </c>
      <c r="K412" s="10">
        <v>47125</v>
      </c>
      <c r="L412" s="10"/>
      <c r="M412" s="11"/>
      <c r="N412" s="100"/>
      <c r="O412" s="11">
        <f t="shared" si="90"/>
        <v>47125</v>
      </c>
      <c r="P412" s="11">
        <f t="shared" si="87"/>
        <v>47125</v>
      </c>
      <c r="Q412" s="11">
        <v>1.5</v>
      </c>
      <c r="R412" s="11">
        <f t="shared" si="88"/>
        <v>70687.5</v>
      </c>
      <c r="S412" s="11"/>
      <c r="T412" s="136">
        <f t="shared" si="89"/>
        <v>0</v>
      </c>
    </row>
    <row r="413" spans="1:20" ht="15.75" customHeight="1">
      <c r="A413" s="149">
        <v>12</v>
      </c>
      <c r="B413" s="273"/>
      <c r="C413" s="28" t="s">
        <v>1352</v>
      </c>
      <c r="D413" s="41">
        <v>2570</v>
      </c>
      <c r="E413" s="131">
        <f t="shared" si="83"/>
        <v>0</v>
      </c>
      <c r="F413" s="21">
        <f t="shared" si="86"/>
        <v>0</v>
      </c>
      <c r="G413" s="48"/>
      <c r="H413" s="135">
        <f t="shared" si="85"/>
        <v>0</v>
      </c>
      <c r="I413" s="294">
        <v>43462</v>
      </c>
      <c r="J413" s="294"/>
      <c r="K413" s="10">
        <f>1773*1.45</f>
        <v>2570.85</v>
      </c>
      <c r="L413" s="10"/>
      <c r="M413" s="11"/>
      <c r="N413" s="100"/>
      <c r="O413" s="11">
        <f t="shared" si="90"/>
        <v>2570.85</v>
      </c>
      <c r="P413" s="11">
        <f t="shared" si="87"/>
        <v>2570.85</v>
      </c>
      <c r="Q413" s="11"/>
      <c r="R413" s="11">
        <f t="shared" si="88"/>
        <v>0</v>
      </c>
      <c r="S413" s="11"/>
      <c r="T413" s="136">
        <f t="shared" si="89"/>
        <v>0</v>
      </c>
    </row>
    <row r="414" spans="1:20" ht="15.75" customHeight="1">
      <c r="A414" s="149">
        <v>21</v>
      </c>
      <c r="B414" s="273"/>
      <c r="C414" s="28" t="s">
        <v>3647</v>
      </c>
      <c r="D414" s="41"/>
      <c r="E414" s="131">
        <f t="shared" si="83"/>
        <v>4590</v>
      </c>
      <c r="F414" s="21">
        <f t="shared" si="86"/>
        <v>5553.9</v>
      </c>
      <c r="G414" s="44"/>
      <c r="H414" s="135">
        <f t="shared" si="85"/>
        <v>0</v>
      </c>
      <c r="I414" s="294">
        <v>45217</v>
      </c>
      <c r="J414" s="294">
        <v>45274</v>
      </c>
      <c r="K414" s="10">
        <f>0.6*4777</f>
        <v>2866.2</v>
      </c>
      <c r="L414" s="10"/>
      <c r="M414" s="11"/>
      <c r="N414" s="100"/>
      <c r="O414" s="11">
        <f t="shared" si="90"/>
        <v>2866.2</v>
      </c>
      <c r="P414" s="11">
        <f t="shared" si="87"/>
        <v>2866.2</v>
      </c>
      <c r="Q414" s="11">
        <v>1.6</v>
      </c>
      <c r="R414" s="11">
        <f t="shared" si="88"/>
        <v>4585.92</v>
      </c>
      <c r="S414" s="11"/>
      <c r="T414" s="136">
        <f t="shared" si="89"/>
        <v>0</v>
      </c>
    </row>
    <row r="415" spans="1:20" ht="15.75" customHeight="1">
      <c r="A415" s="149">
        <v>21</v>
      </c>
      <c r="B415" s="273"/>
      <c r="C415" s="28" t="s">
        <v>3648</v>
      </c>
      <c r="D415" s="41"/>
      <c r="E415" s="131">
        <f t="shared" si="83"/>
        <v>5490</v>
      </c>
      <c r="F415" s="21">
        <f t="shared" si="86"/>
        <v>6642.9</v>
      </c>
      <c r="G415" s="44"/>
      <c r="H415" s="135">
        <f t="shared" si="85"/>
        <v>0</v>
      </c>
      <c r="I415" s="294">
        <v>45217</v>
      </c>
      <c r="J415" s="294">
        <v>45274</v>
      </c>
      <c r="K415" s="10">
        <f>0.6*5716</f>
        <v>3429.6</v>
      </c>
      <c r="L415" s="10"/>
      <c r="M415" s="11"/>
      <c r="N415" s="100"/>
      <c r="O415" s="11">
        <f t="shared" si="90"/>
        <v>3429.6</v>
      </c>
      <c r="P415" s="11">
        <f t="shared" si="87"/>
        <v>3429.6</v>
      </c>
      <c r="Q415" s="11">
        <v>1.6</v>
      </c>
      <c r="R415" s="11">
        <f t="shared" si="88"/>
        <v>5487.3600000000006</v>
      </c>
      <c r="S415" s="11"/>
      <c r="T415" s="136">
        <f t="shared" si="89"/>
        <v>0</v>
      </c>
    </row>
    <row r="416" spans="1:20" ht="15.75" customHeight="1">
      <c r="A416" s="149">
        <v>38</v>
      </c>
      <c r="B416" s="273"/>
      <c r="C416" s="28" t="s">
        <v>3652</v>
      </c>
      <c r="D416" s="41"/>
      <c r="E416" s="131">
        <f t="shared" si="83"/>
        <v>6090</v>
      </c>
      <c r="F416" s="21">
        <f t="shared" si="86"/>
        <v>7368.9</v>
      </c>
      <c r="G416" s="44"/>
      <c r="H416" s="135">
        <f t="shared" si="85"/>
        <v>5280</v>
      </c>
      <c r="I416" s="294">
        <v>45138</v>
      </c>
      <c r="J416" s="294">
        <v>45274</v>
      </c>
      <c r="K416" s="11">
        <f>+PROVEEDORES!$D$32*3.62</f>
        <v>3801</v>
      </c>
      <c r="L416" s="10"/>
      <c r="M416" s="11"/>
      <c r="N416" s="11">
        <v>3297</v>
      </c>
      <c r="O416" s="11">
        <f t="shared" si="90"/>
        <v>3801</v>
      </c>
      <c r="P416" s="11">
        <f t="shared" si="87"/>
        <v>3801</v>
      </c>
      <c r="Q416" s="11">
        <v>1.6</v>
      </c>
      <c r="R416" s="11">
        <f t="shared" si="88"/>
        <v>6081.6</v>
      </c>
      <c r="S416" s="11"/>
      <c r="T416" s="136">
        <f t="shared" si="89"/>
        <v>5275.2000000000007</v>
      </c>
    </row>
    <row r="417" spans="1:20" ht="15.75" customHeight="1">
      <c r="A417" s="149">
        <v>42</v>
      </c>
      <c r="B417" s="273"/>
      <c r="C417" s="28" t="s">
        <v>2916</v>
      </c>
      <c r="D417" s="41">
        <v>280</v>
      </c>
      <c r="E417" s="131">
        <f t="shared" si="83"/>
        <v>660</v>
      </c>
      <c r="F417" s="21">
        <f t="shared" si="86"/>
        <v>798.6</v>
      </c>
      <c r="G417" s="44"/>
      <c r="H417" s="135">
        <f t="shared" si="85"/>
        <v>0</v>
      </c>
      <c r="I417" s="294"/>
      <c r="J417" s="294">
        <v>44365</v>
      </c>
      <c r="K417" s="10">
        <v>411</v>
      </c>
      <c r="L417" s="10"/>
      <c r="M417" s="11"/>
      <c r="N417" s="100"/>
      <c r="O417" s="11">
        <f t="shared" si="90"/>
        <v>411</v>
      </c>
      <c r="P417" s="11">
        <f t="shared" si="87"/>
        <v>411</v>
      </c>
      <c r="Q417" s="11">
        <v>1.6</v>
      </c>
      <c r="R417" s="11">
        <f t="shared" si="88"/>
        <v>657.6</v>
      </c>
      <c r="S417" s="11"/>
      <c r="T417" s="136">
        <f t="shared" si="89"/>
        <v>0</v>
      </c>
    </row>
    <row r="418" spans="1:20" ht="15.75" customHeight="1">
      <c r="A418" s="149">
        <v>42</v>
      </c>
      <c r="B418" s="273"/>
      <c r="C418" s="28" t="s">
        <v>2087</v>
      </c>
      <c r="D418" s="41">
        <v>440</v>
      </c>
      <c r="E418" s="131">
        <f t="shared" si="83"/>
        <v>620</v>
      </c>
      <c r="F418" s="21">
        <f t="shared" si="86"/>
        <v>750.19999999999993</v>
      </c>
      <c r="G418" s="44"/>
      <c r="H418" s="135">
        <f t="shared" si="85"/>
        <v>0</v>
      </c>
      <c r="I418" s="294"/>
      <c r="J418" s="294">
        <v>43726</v>
      </c>
      <c r="K418" s="10">
        <f>242*1.6</f>
        <v>387.20000000000005</v>
      </c>
      <c r="L418" s="10"/>
      <c r="M418" s="11"/>
      <c r="N418" s="100"/>
      <c r="O418" s="11">
        <f t="shared" si="90"/>
        <v>387.20000000000005</v>
      </c>
      <c r="P418" s="11">
        <f t="shared" si="87"/>
        <v>387.20000000000005</v>
      </c>
      <c r="Q418" s="11">
        <v>1.6</v>
      </c>
      <c r="R418" s="11">
        <f t="shared" si="88"/>
        <v>619.5200000000001</v>
      </c>
      <c r="S418" s="11"/>
      <c r="T418" s="136">
        <f t="shared" si="89"/>
        <v>0</v>
      </c>
    </row>
    <row r="419" spans="1:20" ht="15.75" customHeight="1">
      <c r="A419" s="149">
        <v>42</v>
      </c>
      <c r="B419" s="273"/>
      <c r="C419" s="28" t="s">
        <v>3677</v>
      </c>
      <c r="D419" s="41">
        <v>550</v>
      </c>
      <c r="E419" s="131">
        <f t="shared" si="83"/>
        <v>1720</v>
      </c>
      <c r="F419" s="21">
        <f t="shared" si="86"/>
        <v>2081.1999999999998</v>
      </c>
      <c r="G419" s="21"/>
      <c r="H419" s="135">
        <f t="shared" si="85"/>
        <v>0</v>
      </c>
      <c r="I419" s="294"/>
      <c r="J419" s="294">
        <v>44635</v>
      </c>
      <c r="K419" s="11">
        <v>1070</v>
      </c>
      <c r="L419" s="11"/>
      <c r="M419" s="11"/>
      <c r="N419" s="100"/>
      <c r="O419" s="11">
        <f t="shared" si="90"/>
        <v>1070</v>
      </c>
      <c r="P419" s="11">
        <f t="shared" si="87"/>
        <v>1070</v>
      </c>
      <c r="Q419" s="11">
        <v>1.6</v>
      </c>
      <c r="R419" s="11">
        <f t="shared" si="88"/>
        <v>1712</v>
      </c>
      <c r="S419" s="11"/>
      <c r="T419" s="136">
        <f t="shared" si="89"/>
        <v>0</v>
      </c>
    </row>
    <row r="420" spans="1:20" ht="15.75" customHeight="1">
      <c r="A420" s="149">
        <v>41</v>
      </c>
      <c r="B420" s="273"/>
      <c r="C420" s="28" t="s">
        <v>1353</v>
      </c>
      <c r="D420" s="41">
        <v>680</v>
      </c>
      <c r="E420" s="132">
        <f t="shared" si="83"/>
        <v>2530</v>
      </c>
      <c r="F420" s="21">
        <f t="shared" si="86"/>
        <v>3061.2999999999997</v>
      </c>
      <c r="G420" s="21"/>
      <c r="H420" s="135">
        <f t="shared" si="85"/>
        <v>0</v>
      </c>
      <c r="I420" s="294"/>
      <c r="J420" s="294">
        <v>44498</v>
      </c>
      <c r="K420" s="143">
        <f>936*0.9*2</f>
        <v>1684.8</v>
      </c>
      <c r="L420" s="11"/>
      <c r="M420" s="11"/>
      <c r="N420" s="100"/>
      <c r="O420" s="11">
        <f t="shared" si="90"/>
        <v>1684.8</v>
      </c>
      <c r="P420" s="11">
        <f t="shared" si="87"/>
        <v>1684.8</v>
      </c>
      <c r="Q420" s="11">
        <v>1.5</v>
      </c>
      <c r="R420" s="11">
        <f t="shared" si="88"/>
        <v>2527.1999999999998</v>
      </c>
      <c r="S420" s="11"/>
      <c r="T420" s="136">
        <f t="shared" si="89"/>
        <v>0</v>
      </c>
    </row>
    <row r="421" spans="1:20" ht="15.75" customHeight="1">
      <c r="A421" s="149">
        <v>109</v>
      </c>
      <c r="B421" s="273"/>
      <c r="C421" s="28" t="s">
        <v>44237</v>
      </c>
      <c r="D421" s="41">
        <v>10350</v>
      </c>
      <c r="E421" s="131">
        <f t="shared" si="83"/>
        <v>34520</v>
      </c>
      <c r="F421" s="21">
        <f t="shared" si="86"/>
        <v>41769.199999999997</v>
      </c>
      <c r="G421" s="21"/>
      <c r="H421" s="135">
        <f t="shared" si="85"/>
        <v>0</v>
      </c>
      <c r="I421" s="294">
        <v>45313</v>
      </c>
      <c r="J421" s="294"/>
      <c r="K421" s="11">
        <f>1.038*20781</f>
        <v>21570.678</v>
      </c>
      <c r="L421" s="11"/>
      <c r="M421" s="10"/>
      <c r="N421" s="100"/>
      <c r="O421" s="11">
        <f t="shared" si="90"/>
        <v>21570.678</v>
      </c>
      <c r="P421" s="11">
        <f t="shared" si="87"/>
        <v>21570.678</v>
      </c>
      <c r="Q421" s="11">
        <v>1.6</v>
      </c>
      <c r="R421" s="11">
        <f t="shared" si="88"/>
        <v>34513.084800000004</v>
      </c>
      <c r="S421" s="11"/>
      <c r="T421" s="136">
        <f t="shared" si="89"/>
        <v>0</v>
      </c>
    </row>
    <row r="422" spans="1:20" ht="15.75" customHeight="1">
      <c r="A422" s="149"/>
      <c r="B422" s="273"/>
      <c r="C422" s="28" t="s">
        <v>1354</v>
      </c>
      <c r="D422" s="41">
        <v>390</v>
      </c>
      <c r="E422" s="131">
        <f t="shared" si="83"/>
        <v>0</v>
      </c>
      <c r="F422" s="21">
        <f t="shared" si="86"/>
        <v>0</v>
      </c>
      <c r="G422" s="21"/>
      <c r="H422" s="135">
        <f t="shared" si="85"/>
        <v>0</v>
      </c>
      <c r="I422" s="294"/>
      <c r="J422" s="294">
        <v>43377</v>
      </c>
      <c r="K422" s="10">
        <f>100*1.6*0.8*1.8*1.8*1.5</f>
        <v>622.08000000000004</v>
      </c>
      <c r="L422" s="11"/>
      <c r="M422" s="11"/>
      <c r="N422" s="100"/>
      <c r="O422" s="11">
        <f t="shared" si="90"/>
        <v>622.08000000000004</v>
      </c>
      <c r="P422" s="11">
        <f t="shared" si="87"/>
        <v>622.08000000000004</v>
      </c>
      <c r="Q422" s="11"/>
      <c r="R422" s="11">
        <f t="shared" si="88"/>
        <v>0</v>
      </c>
      <c r="S422" s="11"/>
      <c r="T422" s="136">
        <f t="shared" si="89"/>
        <v>0</v>
      </c>
    </row>
    <row r="423" spans="1:20" ht="15.75" customHeight="1">
      <c r="A423" s="149" t="s">
        <v>2436</v>
      </c>
      <c r="B423" s="273"/>
      <c r="C423" s="28" t="s">
        <v>1355</v>
      </c>
      <c r="D423" s="41">
        <v>1785</v>
      </c>
      <c r="E423" s="131">
        <f t="shared" si="83"/>
        <v>0</v>
      </c>
      <c r="F423" s="21">
        <f t="shared" si="86"/>
        <v>0</v>
      </c>
      <c r="G423" s="21"/>
      <c r="H423" s="135">
        <f t="shared" si="85"/>
        <v>0</v>
      </c>
      <c r="I423" s="294">
        <v>42877</v>
      </c>
      <c r="J423" s="294"/>
      <c r="K423" s="10">
        <f>1274*1.4</f>
        <v>1783.6</v>
      </c>
      <c r="L423" s="11"/>
      <c r="M423" s="11"/>
      <c r="N423" s="100"/>
      <c r="O423" s="11">
        <f t="shared" si="90"/>
        <v>1783.6</v>
      </c>
      <c r="P423" s="11">
        <f t="shared" si="87"/>
        <v>1783.6</v>
      </c>
      <c r="Q423" s="11"/>
      <c r="R423" s="11">
        <f t="shared" si="88"/>
        <v>0</v>
      </c>
      <c r="S423" s="11"/>
      <c r="T423" s="136">
        <f t="shared" si="89"/>
        <v>0</v>
      </c>
    </row>
    <row r="424" spans="1:20" ht="15.75" customHeight="1">
      <c r="A424" s="149">
        <v>55</v>
      </c>
      <c r="B424" s="273"/>
      <c r="C424" s="28" t="s">
        <v>1356</v>
      </c>
      <c r="D424" s="41">
        <v>500</v>
      </c>
      <c r="E424" s="131">
        <f t="shared" si="83"/>
        <v>11230</v>
      </c>
      <c r="F424" s="21">
        <f t="shared" si="86"/>
        <v>13588.3</v>
      </c>
      <c r="G424" s="21"/>
      <c r="H424" s="135">
        <f t="shared" si="85"/>
        <v>0</v>
      </c>
      <c r="I424" s="294">
        <v>45344</v>
      </c>
      <c r="J424" s="294"/>
      <c r="K424" s="11">
        <f>7060*1.06</f>
        <v>7483.6</v>
      </c>
      <c r="L424" s="32"/>
      <c r="M424" s="11"/>
      <c r="N424" s="100"/>
      <c r="O424" s="11">
        <f t="shared" si="90"/>
        <v>7483.6</v>
      </c>
      <c r="P424" s="11">
        <f t="shared" si="87"/>
        <v>7483.6</v>
      </c>
      <c r="Q424" s="11">
        <v>1.5</v>
      </c>
      <c r="R424" s="11">
        <f t="shared" si="88"/>
        <v>11225.400000000001</v>
      </c>
      <c r="S424" s="11"/>
      <c r="T424" s="136">
        <f t="shared" si="89"/>
        <v>0</v>
      </c>
    </row>
    <row r="425" spans="1:20" ht="15.75" customHeight="1">
      <c r="A425" s="149">
        <v>89</v>
      </c>
      <c r="B425" s="273"/>
      <c r="C425" s="28" t="s">
        <v>3747</v>
      </c>
      <c r="D425" s="41">
        <v>480</v>
      </c>
      <c r="E425" s="131">
        <f t="shared" si="83"/>
        <v>16920</v>
      </c>
      <c r="F425" s="21">
        <f t="shared" si="86"/>
        <v>20473.2</v>
      </c>
      <c r="G425" s="21"/>
      <c r="H425" s="135">
        <f t="shared" si="85"/>
        <v>0</v>
      </c>
      <c r="I425" s="294">
        <v>45293</v>
      </c>
      <c r="J425" s="294">
        <v>45355</v>
      </c>
      <c r="K425" s="10">
        <v>11278</v>
      </c>
      <c r="L425" s="247"/>
      <c r="M425" s="11"/>
      <c r="N425" s="100"/>
      <c r="O425" s="11">
        <f t="shared" si="90"/>
        <v>11278</v>
      </c>
      <c r="P425" s="11">
        <f t="shared" si="87"/>
        <v>11278</v>
      </c>
      <c r="Q425" s="11">
        <v>1.5</v>
      </c>
      <c r="R425" s="11">
        <f t="shared" si="88"/>
        <v>16917</v>
      </c>
      <c r="S425" s="11"/>
      <c r="T425" s="136">
        <f t="shared" si="89"/>
        <v>0</v>
      </c>
    </row>
    <row r="426" spans="1:20" ht="15.75" customHeight="1">
      <c r="A426" s="149">
        <v>89</v>
      </c>
      <c r="B426" s="273"/>
      <c r="C426" s="28" t="s">
        <v>3771</v>
      </c>
      <c r="D426" s="41">
        <v>480</v>
      </c>
      <c r="E426" s="131">
        <f t="shared" si="83"/>
        <v>19460</v>
      </c>
      <c r="F426" s="21">
        <f t="shared" si="86"/>
        <v>23546.6</v>
      </c>
      <c r="G426" s="21"/>
      <c r="H426" s="135">
        <f t="shared" ref="H426:H488" si="98">ROUNDUP(T426,-1)</f>
        <v>0</v>
      </c>
      <c r="I426" s="294">
        <v>45293</v>
      </c>
      <c r="J426" s="294">
        <v>45355</v>
      </c>
      <c r="K426" s="10">
        <f>+K425*1.15</f>
        <v>12969.699999999999</v>
      </c>
      <c r="L426" s="32"/>
      <c r="M426" s="11"/>
      <c r="N426" s="100"/>
      <c r="O426" s="11">
        <f t="shared" si="90"/>
        <v>12969.699999999999</v>
      </c>
      <c r="P426" s="11">
        <f t="shared" si="87"/>
        <v>12969.699999999999</v>
      </c>
      <c r="Q426" s="11">
        <v>1.5</v>
      </c>
      <c r="R426" s="11">
        <f t="shared" si="88"/>
        <v>19454.55</v>
      </c>
      <c r="S426" s="11"/>
      <c r="T426" s="136">
        <f t="shared" si="89"/>
        <v>0</v>
      </c>
    </row>
    <row r="427" spans="1:20" ht="15.75" customHeight="1">
      <c r="A427" s="149">
        <v>55</v>
      </c>
      <c r="B427" s="273"/>
      <c r="C427" s="28" t="s">
        <v>2866</v>
      </c>
      <c r="D427" s="41">
        <v>520</v>
      </c>
      <c r="E427" s="131">
        <f t="shared" si="83"/>
        <v>11160</v>
      </c>
      <c r="F427" s="21">
        <f t="shared" si="86"/>
        <v>13503.6</v>
      </c>
      <c r="G427" s="21"/>
      <c r="H427" s="135">
        <f t="shared" si="98"/>
        <v>0</v>
      </c>
      <c r="I427" s="294">
        <v>45344</v>
      </c>
      <c r="J427" s="294"/>
      <c r="K427" s="10">
        <v>7440</v>
      </c>
      <c r="L427" s="11"/>
      <c r="M427" s="11"/>
      <c r="N427" s="100"/>
      <c r="O427" s="11">
        <f t="shared" si="90"/>
        <v>7440</v>
      </c>
      <c r="P427" s="11">
        <f t="shared" si="87"/>
        <v>7440</v>
      </c>
      <c r="Q427" s="11">
        <v>1.5</v>
      </c>
      <c r="R427" s="11">
        <f t="shared" si="88"/>
        <v>11160</v>
      </c>
      <c r="S427" s="11"/>
      <c r="T427" s="136">
        <f t="shared" si="89"/>
        <v>0</v>
      </c>
    </row>
    <row r="428" spans="1:20" ht="15.75" customHeight="1">
      <c r="A428" s="240" t="s">
        <v>3460</v>
      </c>
      <c r="B428" s="273"/>
      <c r="C428" s="28" t="s">
        <v>1359</v>
      </c>
      <c r="D428" s="41">
        <v>480</v>
      </c>
      <c r="E428" s="131">
        <f t="shared" si="83"/>
        <v>21090</v>
      </c>
      <c r="F428" s="21">
        <f t="shared" si="86"/>
        <v>25518.899999999998</v>
      </c>
      <c r="G428" s="21"/>
      <c r="H428" s="135">
        <f t="shared" si="98"/>
        <v>0</v>
      </c>
      <c r="I428" s="294">
        <v>45323</v>
      </c>
      <c r="J428" s="294">
        <v>45355</v>
      </c>
      <c r="K428" s="10">
        <v>14057</v>
      </c>
      <c r="L428" s="32"/>
      <c r="M428" s="11"/>
      <c r="N428" s="100"/>
      <c r="O428" s="11">
        <f t="shared" si="90"/>
        <v>14057</v>
      </c>
      <c r="P428" s="11">
        <f t="shared" si="87"/>
        <v>14057</v>
      </c>
      <c r="Q428" s="11">
        <v>1.5</v>
      </c>
      <c r="R428" s="11">
        <f t="shared" si="88"/>
        <v>21085.5</v>
      </c>
      <c r="S428" s="11"/>
      <c r="T428" s="136">
        <f t="shared" si="89"/>
        <v>0</v>
      </c>
    </row>
    <row r="429" spans="1:20" ht="15.75" customHeight="1">
      <c r="A429" s="240" t="s">
        <v>3460</v>
      </c>
      <c r="B429" s="273"/>
      <c r="C429" s="28" t="s">
        <v>3461</v>
      </c>
      <c r="D429" s="41">
        <v>480</v>
      </c>
      <c r="E429" s="131">
        <f t="shared" ref="E429:E500" si="99">ROUNDUP(R429,-1)</f>
        <v>24250</v>
      </c>
      <c r="F429" s="21">
        <f t="shared" si="86"/>
        <v>29342.5</v>
      </c>
      <c r="G429" s="21"/>
      <c r="H429" s="135">
        <f t="shared" si="98"/>
        <v>0</v>
      </c>
      <c r="I429" s="294">
        <v>45323</v>
      </c>
      <c r="J429" s="294">
        <v>45355</v>
      </c>
      <c r="K429" s="10">
        <f>+K428*1.15</f>
        <v>16165.55</v>
      </c>
      <c r="L429" s="32"/>
      <c r="M429" s="11"/>
      <c r="N429" s="100"/>
      <c r="O429" s="11">
        <f t="shared" si="90"/>
        <v>16165.55</v>
      </c>
      <c r="P429" s="11">
        <f t="shared" si="87"/>
        <v>16165.55</v>
      </c>
      <c r="Q429" s="11">
        <v>1.5</v>
      </c>
      <c r="R429" s="11">
        <f t="shared" si="88"/>
        <v>24248.324999999997</v>
      </c>
      <c r="S429" s="11"/>
      <c r="T429" s="136">
        <f>+N429*Q429</f>
        <v>0</v>
      </c>
    </row>
    <row r="430" spans="1:20" ht="15.75" customHeight="1">
      <c r="A430" s="149">
        <v>55</v>
      </c>
      <c r="B430" s="273"/>
      <c r="C430" s="28" t="s">
        <v>1358</v>
      </c>
      <c r="D430" s="41">
        <v>520</v>
      </c>
      <c r="E430" s="131">
        <f t="shared" si="99"/>
        <v>11140</v>
      </c>
      <c r="F430" s="21">
        <f t="shared" si="86"/>
        <v>13479.4</v>
      </c>
      <c r="G430" s="21"/>
      <c r="H430" s="135">
        <f t="shared" si="98"/>
        <v>0</v>
      </c>
      <c r="I430" s="294">
        <v>45344</v>
      </c>
      <c r="J430" s="294"/>
      <c r="K430" s="11">
        <v>7425</v>
      </c>
      <c r="L430" s="11"/>
      <c r="M430" s="32"/>
      <c r="N430" s="38"/>
      <c r="O430" s="11">
        <f t="shared" si="90"/>
        <v>7425</v>
      </c>
      <c r="P430" s="11">
        <f t="shared" si="87"/>
        <v>7425</v>
      </c>
      <c r="Q430" s="11">
        <v>1.5</v>
      </c>
      <c r="R430" s="11">
        <f t="shared" si="88"/>
        <v>11137.5</v>
      </c>
      <c r="S430" s="11"/>
      <c r="T430" s="136">
        <f>+N430*Q430</f>
        <v>0</v>
      </c>
    </row>
    <row r="431" spans="1:20" ht="15.75" customHeight="1">
      <c r="A431" s="149">
        <v>55</v>
      </c>
      <c r="B431" s="273"/>
      <c r="C431" s="28" t="s">
        <v>1360</v>
      </c>
      <c r="D431" s="41">
        <v>1680</v>
      </c>
      <c r="E431" s="131">
        <f t="shared" si="99"/>
        <v>0</v>
      </c>
      <c r="F431" s="21">
        <f t="shared" si="86"/>
        <v>0</v>
      </c>
      <c r="G431" s="21"/>
      <c r="H431" s="135">
        <f t="shared" si="98"/>
        <v>0</v>
      </c>
      <c r="I431" s="294">
        <v>45106</v>
      </c>
      <c r="J431" s="294"/>
      <c r="K431" s="10">
        <v>12532</v>
      </c>
      <c r="L431" s="32"/>
      <c r="M431" s="11"/>
      <c r="N431" s="100"/>
      <c r="O431" s="11">
        <f t="shared" si="90"/>
        <v>12532</v>
      </c>
      <c r="P431" s="11">
        <f t="shared" si="87"/>
        <v>12532</v>
      </c>
      <c r="Q431" s="11"/>
      <c r="R431" s="11">
        <f t="shared" si="88"/>
        <v>0</v>
      </c>
      <c r="S431" s="11"/>
      <c r="T431" s="136">
        <f>+N431*Q431</f>
        <v>0</v>
      </c>
    </row>
    <row r="432" spans="1:20" ht="15.75" customHeight="1">
      <c r="A432" s="149"/>
      <c r="B432" s="273"/>
      <c r="C432" s="28" t="s">
        <v>2186</v>
      </c>
      <c r="D432" s="41">
        <v>3600</v>
      </c>
      <c r="E432" s="131">
        <f t="shared" si="99"/>
        <v>0</v>
      </c>
      <c r="F432" s="21">
        <f t="shared" si="86"/>
        <v>0</v>
      </c>
      <c r="G432" s="21"/>
      <c r="H432" s="135">
        <f t="shared" si="98"/>
        <v>0</v>
      </c>
      <c r="I432" s="294"/>
      <c r="J432" s="294">
        <v>43847</v>
      </c>
      <c r="K432" s="10">
        <f>2400*1.5</f>
        <v>3600</v>
      </c>
      <c r="L432" s="11"/>
      <c r="M432" s="11"/>
      <c r="N432" s="100"/>
      <c r="O432" s="11">
        <f>MIN(K432:M432)*'AUMENTOS %'!B156</f>
        <v>0</v>
      </c>
      <c r="P432" s="11">
        <f t="shared" si="87"/>
        <v>0</v>
      </c>
      <c r="Q432" s="11"/>
      <c r="R432" s="11">
        <f t="shared" si="88"/>
        <v>0</v>
      </c>
      <c r="S432" s="11"/>
      <c r="T432" s="136">
        <f>+N432*Q432</f>
        <v>0</v>
      </c>
    </row>
    <row r="433" spans="1:20" ht="15.75" customHeight="1">
      <c r="A433" s="149">
        <v>50</v>
      </c>
      <c r="B433" s="273">
        <f>ROUNDUP(E433*1.105,-1)</f>
        <v>12200</v>
      </c>
      <c r="C433" s="28" t="s">
        <v>1361</v>
      </c>
      <c r="D433" s="158">
        <v>390</v>
      </c>
      <c r="E433" s="139">
        <f t="shared" si="99"/>
        <v>11040</v>
      </c>
      <c r="F433" s="21">
        <f t="shared" si="86"/>
        <v>13358.4</v>
      </c>
      <c r="G433" s="21"/>
      <c r="H433" s="135">
        <f t="shared" si="98"/>
        <v>9930</v>
      </c>
      <c r="I433" s="294">
        <v>45385</v>
      </c>
      <c r="J433" s="294"/>
      <c r="K433" s="102">
        <f>PROVEEDORES!$D$44*0.58/12*184.24</f>
        <v>7880.866</v>
      </c>
      <c r="L433" s="11"/>
      <c r="M433" s="10"/>
      <c r="N433" s="171">
        <f>PROVEEDORES!$D$44*0.5985/12*160.6</f>
        <v>7088.783625</v>
      </c>
      <c r="O433" s="11">
        <f t="shared" si="90"/>
        <v>7880.866</v>
      </c>
      <c r="P433" s="11">
        <f t="shared" si="87"/>
        <v>7880.866</v>
      </c>
      <c r="Q433" s="11">
        <v>1.4</v>
      </c>
      <c r="R433" s="11">
        <f t="shared" si="88"/>
        <v>11033.212399999999</v>
      </c>
      <c r="S433" s="11"/>
      <c r="T433" s="136">
        <f t="shared" ref="T433:T465" si="100">+N433*Q433</f>
        <v>9924.2970749999986</v>
      </c>
    </row>
    <row r="434" spans="1:20" ht="15.75" customHeight="1">
      <c r="A434" s="149">
        <v>50</v>
      </c>
      <c r="B434" s="273"/>
      <c r="C434" s="28" t="s">
        <v>1362</v>
      </c>
      <c r="D434" s="158">
        <v>350</v>
      </c>
      <c r="E434" s="139">
        <f t="shared" si="99"/>
        <v>0</v>
      </c>
      <c r="F434" s="21">
        <f t="shared" si="86"/>
        <v>0</v>
      </c>
      <c r="G434" s="21"/>
      <c r="H434" s="135">
        <f t="shared" si="98"/>
        <v>0</v>
      </c>
      <c r="I434" s="294"/>
      <c r="J434" s="294"/>
      <c r="K434" s="102">
        <f>PROVEEDORES!$D$44*0.58/12*81*1.05</f>
        <v>3638.0137500000001</v>
      </c>
      <c r="L434" s="11"/>
      <c r="M434" s="10"/>
      <c r="N434" s="171">
        <f>PROVEEDORES!$D$44*0.5985*226.01</f>
        <v>119711.28172499999</v>
      </c>
      <c r="O434" s="11">
        <f t="shared" si="90"/>
        <v>3638.0137500000001</v>
      </c>
      <c r="P434" s="11">
        <f t="shared" si="87"/>
        <v>3638.0137500000001</v>
      </c>
      <c r="Q434" s="11"/>
      <c r="R434" s="11">
        <f t="shared" si="88"/>
        <v>0</v>
      </c>
      <c r="S434" s="11"/>
      <c r="T434" s="136">
        <f t="shared" si="100"/>
        <v>0</v>
      </c>
    </row>
    <row r="435" spans="1:20" ht="15.75" customHeight="1">
      <c r="A435" s="149">
        <v>19</v>
      </c>
      <c r="B435" s="273"/>
      <c r="C435" s="28" t="s">
        <v>3386</v>
      </c>
      <c r="D435" s="41">
        <v>160</v>
      </c>
      <c r="E435" s="131">
        <f t="shared" si="99"/>
        <v>0</v>
      </c>
      <c r="F435" s="21">
        <f t="shared" si="86"/>
        <v>0</v>
      </c>
      <c r="G435" s="21"/>
      <c r="H435" s="135">
        <f t="shared" si="98"/>
        <v>0</v>
      </c>
      <c r="I435" s="294"/>
      <c r="J435" s="294">
        <v>44475</v>
      </c>
      <c r="K435" s="10">
        <f>0.65*358*1.1</f>
        <v>255.97000000000003</v>
      </c>
      <c r="L435" s="11">
        <f>179.97*2</f>
        <v>359.94</v>
      </c>
      <c r="M435" s="11"/>
      <c r="N435" s="100"/>
      <c r="O435" s="11">
        <f t="shared" si="90"/>
        <v>255.97000000000003</v>
      </c>
      <c r="P435" s="11">
        <f t="shared" si="87"/>
        <v>255.97000000000003</v>
      </c>
      <c r="Q435" s="11"/>
      <c r="R435" s="11">
        <f t="shared" si="88"/>
        <v>0</v>
      </c>
      <c r="S435" s="11"/>
      <c r="T435" s="136">
        <f t="shared" si="100"/>
        <v>0</v>
      </c>
    </row>
    <row r="436" spans="1:20" ht="15.75" customHeight="1">
      <c r="A436" s="149">
        <v>19</v>
      </c>
      <c r="B436" s="273"/>
      <c r="C436" s="28" t="s">
        <v>2554</v>
      </c>
      <c r="D436" s="41">
        <v>160</v>
      </c>
      <c r="E436" s="131">
        <f t="shared" si="99"/>
        <v>0</v>
      </c>
      <c r="F436" s="21">
        <f t="shared" si="86"/>
        <v>0</v>
      </c>
      <c r="G436" s="21"/>
      <c r="H436" s="135">
        <f t="shared" si="98"/>
        <v>0</v>
      </c>
      <c r="I436" s="294"/>
      <c r="J436" s="294">
        <v>44767</v>
      </c>
      <c r="K436" s="10">
        <f>0.65*475*2</f>
        <v>617.5</v>
      </c>
      <c r="L436" s="11">
        <f>358*0.65*1.5</f>
        <v>349.05</v>
      </c>
      <c r="M436" s="11"/>
      <c r="N436" s="100"/>
      <c r="O436" s="11">
        <f t="shared" si="90"/>
        <v>349.05</v>
      </c>
      <c r="P436" s="11">
        <f t="shared" si="87"/>
        <v>349.05</v>
      </c>
      <c r="Q436" s="11"/>
      <c r="R436" s="11">
        <f t="shared" si="88"/>
        <v>0</v>
      </c>
      <c r="S436" s="11"/>
      <c r="T436" s="136">
        <f t="shared" si="100"/>
        <v>0</v>
      </c>
    </row>
    <row r="437" spans="1:20" ht="15.75" customHeight="1">
      <c r="A437" s="149">
        <v>12</v>
      </c>
      <c r="B437" s="273"/>
      <c r="C437" s="28" t="s">
        <v>44242</v>
      </c>
      <c r="D437" s="41">
        <v>470</v>
      </c>
      <c r="E437" s="131">
        <f t="shared" si="99"/>
        <v>0</v>
      </c>
      <c r="F437" s="21">
        <f t="shared" si="86"/>
        <v>0</v>
      </c>
      <c r="G437" s="21"/>
      <c r="H437" s="135">
        <f t="shared" si="98"/>
        <v>0</v>
      </c>
      <c r="I437" s="294">
        <v>45222</v>
      </c>
      <c r="J437" s="294">
        <v>45257</v>
      </c>
      <c r="K437" s="10">
        <v>1406</v>
      </c>
      <c r="L437" s="11"/>
      <c r="M437" s="11"/>
      <c r="N437" s="100"/>
      <c r="O437" s="11">
        <f t="shared" si="90"/>
        <v>1406</v>
      </c>
      <c r="P437" s="11">
        <f t="shared" si="87"/>
        <v>1406</v>
      </c>
      <c r="Q437" s="11"/>
      <c r="R437" s="11">
        <f t="shared" si="88"/>
        <v>0</v>
      </c>
      <c r="S437" s="11"/>
      <c r="T437" s="136">
        <f t="shared" si="100"/>
        <v>0</v>
      </c>
    </row>
    <row r="438" spans="1:20" ht="15.75" customHeight="1">
      <c r="A438" s="149">
        <v>12</v>
      </c>
      <c r="B438" s="273"/>
      <c r="C438" s="28" t="s">
        <v>3497</v>
      </c>
      <c r="D438" s="41">
        <v>160</v>
      </c>
      <c r="E438" s="131">
        <f t="shared" si="99"/>
        <v>0</v>
      </c>
      <c r="F438" s="21">
        <f t="shared" si="86"/>
        <v>0</v>
      </c>
      <c r="G438" s="21"/>
      <c r="H438" s="135">
        <f t="shared" si="98"/>
        <v>0</v>
      </c>
      <c r="I438" s="294">
        <v>44774</v>
      </c>
      <c r="J438" s="294"/>
      <c r="K438" s="10">
        <v>322</v>
      </c>
      <c r="L438" s="11"/>
      <c r="M438" s="11"/>
      <c r="N438" s="100"/>
      <c r="O438" s="11">
        <f t="shared" si="90"/>
        <v>322</v>
      </c>
      <c r="P438" s="11">
        <f t="shared" si="87"/>
        <v>322</v>
      </c>
      <c r="Q438" s="11"/>
      <c r="R438" s="11">
        <f t="shared" si="88"/>
        <v>0</v>
      </c>
      <c r="S438" s="11"/>
      <c r="T438" s="136">
        <f t="shared" si="100"/>
        <v>0</v>
      </c>
    </row>
    <row r="439" spans="1:20" ht="15.75" customHeight="1">
      <c r="A439" s="149">
        <v>12</v>
      </c>
      <c r="B439" s="273"/>
      <c r="C439" s="28" t="s">
        <v>3712</v>
      </c>
      <c r="D439" s="41"/>
      <c r="E439" s="131">
        <f t="shared" si="99"/>
        <v>0</v>
      </c>
      <c r="F439" s="21">
        <f t="shared" si="86"/>
        <v>0</v>
      </c>
      <c r="G439" s="21"/>
      <c r="H439" s="135">
        <f t="shared" si="98"/>
        <v>0</v>
      </c>
      <c r="I439" s="294">
        <v>45108</v>
      </c>
      <c r="J439" s="294">
        <v>45222</v>
      </c>
      <c r="K439" s="10">
        <f>1325*1.3</f>
        <v>1722.5</v>
      </c>
      <c r="L439" s="11"/>
      <c r="M439" s="11"/>
      <c r="N439" s="100"/>
      <c r="O439" s="11">
        <f t="shared" si="90"/>
        <v>1722.5</v>
      </c>
      <c r="P439" s="11">
        <f t="shared" si="87"/>
        <v>1722.5</v>
      </c>
      <c r="Q439" s="11"/>
      <c r="R439" s="11">
        <f t="shared" si="88"/>
        <v>0</v>
      </c>
      <c r="S439" s="11"/>
      <c r="T439" s="136">
        <f t="shared" si="100"/>
        <v>0</v>
      </c>
    </row>
    <row r="440" spans="1:20" ht="15.75" customHeight="1">
      <c r="A440" s="149">
        <v>21</v>
      </c>
      <c r="B440" s="273"/>
      <c r="C440" s="28" t="s">
        <v>2493</v>
      </c>
      <c r="D440" s="41">
        <v>610</v>
      </c>
      <c r="E440" s="131">
        <f t="shared" si="99"/>
        <v>0</v>
      </c>
      <c r="F440" s="21">
        <f t="shared" si="86"/>
        <v>0</v>
      </c>
      <c r="G440" s="21"/>
      <c r="H440" s="135">
        <f t="shared" si="98"/>
        <v>0</v>
      </c>
      <c r="I440" s="294">
        <v>44260</v>
      </c>
      <c r="J440" s="294"/>
      <c r="K440" s="10">
        <f>0.6*1439</f>
        <v>863.4</v>
      </c>
      <c r="L440" s="11"/>
      <c r="M440" s="11"/>
      <c r="N440" s="100"/>
      <c r="O440" s="11">
        <f t="shared" si="90"/>
        <v>863.4</v>
      </c>
      <c r="P440" s="11">
        <f t="shared" si="87"/>
        <v>863.4</v>
      </c>
      <c r="Q440" s="11"/>
      <c r="R440" s="11">
        <f t="shared" si="88"/>
        <v>0</v>
      </c>
      <c r="S440" s="11"/>
      <c r="T440" s="136">
        <f t="shared" si="100"/>
        <v>0</v>
      </c>
    </row>
    <row r="441" spans="1:20" ht="15.75" customHeight="1">
      <c r="A441" s="149">
        <v>12</v>
      </c>
      <c r="B441" s="273"/>
      <c r="C441" s="28" t="s">
        <v>3713</v>
      </c>
      <c r="D441" s="41"/>
      <c r="E441" s="131">
        <f t="shared" si="99"/>
        <v>0</v>
      </c>
      <c r="F441" s="21">
        <f t="shared" si="86"/>
        <v>0</v>
      </c>
      <c r="G441" s="21"/>
      <c r="H441" s="135">
        <f t="shared" si="98"/>
        <v>0</v>
      </c>
      <c r="I441" s="294">
        <v>45108</v>
      </c>
      <c r="J441" s="294">
        <v>45222</v>
      </c>
      <c r="K441" s="10">
        <f>2028*1.3</f>
        <v>2636.4</v>
      </c>
      <c r="L441" s="11"/>
      <c r="M441" s="11"/>
      <c r="N441" s="100"/>
      <c r="O441" s="11">
        <f t="shared" si="90"/>
        <v>2636.4</v>
      </c>
      <c r="P441" s="11">
        <f t="shared" si="87"/>
        <v>2636.4</v>
      </c>
      <c r="Q441" s="11"/>
      <c r="R441" s="11">
        <f t="shared" si="88"/>
        <v>0</v>
      </c>
      <c r="S441" s="11"/>
      <c r="T441" s="136">
        <f t="shared" si="100"/>
        <v>0</v>
      </c>
    </row>
    <row r="442" spans="1:20" ht="15.75" customHeight="1">
      <c r="A442" s="149">
        <v>36</v>
      </c>
      <c r="B442" s="273"/>
      <c r="C442" s="28" t="s">
        <v>62611</v>
      </c>
      <c r="D442" s="41"/>
      <c r="E442" s="131">
        <f>ROUNDUP(R442,-1)</f>
        <v>6140</v>
      </c>
      <c r="F442" s="21">
        <f>+E442*1.21</f>
        <v>7429.4</v>
      </c>
      <c r="G442" s="21"/>
      <c r="H442" s="135">
        <f>ROUNDUP(T442,-1)</f>
        <v>0</v>
      </c>
      <c r="I442" s="294"/>
      <c r="J442" s="294">
        <v>45331</v>
      </c>
      <c r="K442" s="10">
        <f>0.8*0.94*5439</f>
        <v>4090.1280000000002</v>
      </c>
      <c r="L442" s="11"/>
      <c r="M442" s="11"/>
      <c r="N442" s="100"/>
      <c r="O442" s="11">
        <f>MIN(K442:M442)</f>
        <v>4090.1280000000002</v>
      </c>
      <c r="P442" s="11">
        <f>+O442</f>
        <v>4090.1280000000002</v>
      </c>
      <c r="Q442" s="11">
        <v>1.5</v>
      </c>
      <c r="R442" s="11">
        <f>+P442*Q442</f>
        <v>6135.192</v>
      </c>
      <c r="S442" s="11"/>
      <c r="T442" s="136">
        <f>+N442*Q442</f>
        <v>0</v>
      </c>
    </row>
    <row r="443" spans="1:20" ht="15.75" customHeight="1">
      <c r="A443" s="149" t="s">
        <v>3689</v>
      </c>
      <c r="B443" s="273"/>
      <c r="C443" s="28" t="s">
        <v>3755</v>
      </c>
      <c r="D443" s="41">
        <v>260</v>
      </c>
      <c r="E443" s="131">
        <f t="shared" si="99"/>
        <v>5590</v>
      </c>
      <c r="F443" s="21">
        <f t="shared" si="86"/>
        <v>6763.9</v>
      </c>
      <c r="G443" s="21"/>
      <c r="H443" s="135">
        <f t="shared" si="98"/>
        <v>0</v>
      </c>
      <c r="I443" s="294">
        <v>45254</v>
      </c>
      <c r="J443" s="294">
        <v>45259</v>
      </c>
      <c r="K443" s="10"/>
      <c r="L443" s="11">
        <f>0.7*0.9*5910</f>
        <v>3723.3</v>
      </c>
      <c r="M443" s="11"/>
      <c r="N443" s="100"/>
      <c r="O443" s="11">
        <f t="shared" si="90"/>
        <v>3723.3</v>
      </c>
      <c r="P443" s="11">
        <f t="shared" si="87"/>
        <v>3723.3</v>
      </c>
      <c r="Q443" s="11">
        <v>1.5</v>
      </c>
      <c r="R443" s="11">
        <f t="shared" si="88"/>
        <v>5584.9500000000007</v>
      </c>
      <c r="S443" s="11"/>
      <c r="T443" s="136">
        <f t="shared" si="100"/>
        <v>0</v>
      </c>
    </row>
    <row r="444" spans="1:20" ht="15.75" customHeight="1">
      <c r="A444" s="149">
        <v>21</v>
      </c>
      <c r="B444" s="273"/>
      <c r="C444" s="28" t="s">
        <v>2494</v>
      </c>
      <c r="D444" s="41">
        <v>820</v>
      </c>
      <c r="E444" s="131">
        <f t="shared" si="99"/>
        <v>0</v>
      </c>
      <c r="F444" s="21">
        <f t="shared" si="86"/>
        <v>0</v>
      </c>
      <c r="G444" s="21"/>
      <c r="H444" s="135">
        <f t="shared" si="98"/>
        <v>0</v>
      </c>
      <c r="I444" s="294">
        <v>44260</v>
      </c>
      <c r="J444" s="294"/>
      <c r="K444" s="10">
        <f>0.6*1978</f>
        <v>1186.8</v>
      </c>
      <c r="L444" s="11"/>
      <c r="M444" s="11"/>
      <c r="N444" s="100"/>
      <c r="O444" s="11">
        <f t="shared" si="90"/>
        <v>1186.8</v>
      </c>
      <c r="P444" s="11">
        <f t="shared" si="87"/>
        <v>1186.8</v>
      </c>
      <c r="Q444" s="11"/>
      <c r="R444" s="11">
        <f t="shared" si="88"/>
        <v>0</v>
      </c>
      <c r="S444" s="11"/>
      <c r="T444" s="136">
        <f t="shared" si="100"/>
        <v>0</v>
      </c>
    </row>
    <row r="445" spans="1:20" ht="15.75" customHeight="1">
      <c r="A445" s="149">
        <v>12</v>
      </c>
      <c r="B445" s="273"/>
      <c r="C445" s="28" t="s">
        <v>37234</v>
      </c>
      <c r="D445" s="41"/>
      <c r="E445" s="131">
        <f>ROUNDUP(R445,-1)</f>
        <v>10280</v>
      </c>
      <c r="F445" s="21">
        <f>+E445*1.21</f>
        <v>12438.8</v>
      </c>
      <c r="G445" s="21"/>
      <c r="H445" s="135">
        <f>ROUNDUP(T445,-1)</f>
        <v>0</v>
      </c>
      <c r="I445" s="294">
        <v>45313</v>
      </c>
      <c r="J445" s="294">
        <v>45338</v>
      </c>
      <c r="K445" s="10">
        <f>6227*1.1</f>
        <v>6849.7000000000007</v>
      </c>
      <c r="L445" s="11"/>
      <c r="M445" s="11"/>
      <c r="N445" s="100"/>
      <c r="O445" s="11">
        <f>MIN(K445:M445)</f>
        <v>6849.7000000000007</v>
      </c>
      <c r="P445" s="11">
        <f t="shared" si="87"/>
        <v>6849.7000000000007</v>
      </c>
      <c r="Q445" s="11">
        <v>1.5</v>
      </c>
      <c r="R445" s="11">
        <f t="shared" si="88"/>
        <v>10274.550000000001</v>
      </c>
      <c r="S445" s="11"/>
      <c r="T445" s="136">
        <f>+N445*Q445</f>
        <v>0</v>
      </c>
    </row>
    <row r="446" spans="1:20" ht="15.75" customHeight="1">
      <c r="A446" s="149">
        <v>12</v>
      </c>
      <c r="B446" s="273"/>
      <c r="C446" s="28" t="s">
        <v>44243</v>
      </c>
      <c r="D446" s="41"/>
      <c r="E446" s="131">
        <f t="shared" si="99"/>
        <v>8140</v>
      </c>
      <c r="F446" s="21">
        <f t="shared" si="86"/>
        <v>9849.4</v>
      </c>
      <c r="G446" s="21"/>
      <c r="H446" s="135">
        <f t="shared" si="98"/>
        <v>0</v>
      </c>
      <c r="I446" s="294">
        <v>45338</v>
      </c>
      <c r="J446" s="294"/>
      <c r="K446" s="10">
        <v>5425</v>
      </c>
      <c r="L446" s="11"/>
      <c r="M446" s="11"/>
      <c r="N446" s="100"/>
      <c r="O446" s="11">
        <f t="shared" si="90"/>
        <v>5425</v>
      </c>
      <c r="P446" s="11">
        <f t="shared" si="87"/>
        <v>5425</v>
      </c>
      <c r="Q446" s="11">
        <v>1.5</v>
      </c>
      <c r="R446" s="11">
        <f t="shared" si="88"/>
        <v>8137.5</v>
      </c>
      <c r="S446" s="11"/>
      <c r="T446" s="136">
        <f t="shared" si="100"/>
        <v>0</v>
      </c>
    </row>
    <row r="447" spans="1:20" ht="15.75" customHeight="1">
      <c r="A447" s="149">
        <v>36</v>
      </c>
      <c r="B447" s="273"/>
      <c r="C447" s="28" t="s">
        <v>62612</v>
      </c>
      <c r="D447" s="41"/>
      <c r="E447" s="131">
        <f>ROUNDUP(R447,-1)</f>
        <v>8500</v>
      </c>
      <c r="F447" s="21">
        <f>+E447*1.21</f>
        <v>10285</v>
      </c>
      <c r="G447" s="21"/>
      <c r="H447" s="135">
        <f>ROUNDUP(T447,-1)</f>
        <v>7660</v>
      </c>
      <c r="I447" s="294"/>
      <c r="J447" s="294">
        <v>45365</v>
      </c>
      <c r="K447" s="10">
        <f>0.8*0.94*7527</f>
        <v>5660.3040000000001</v>
      </c>
      <c r="L447" s="11"/>
      <c r="M447" s="11"/>
      <c r="N447" s="10">
        <f>0.8*0.94*6782</f>
        <v>5100.0640000000003</v>
      </c>
      <c r="O447" s="11">
        <f>MIN(K447:M447)</f>
        <v>5660.3040000000001</v>
      </c>
      <c r="P447" s="11">
        <f>+O447</f>
        <v>5660.3040000000001</v>
      </c>
      <c r="Q447" s="11">
        <v>1.5</v>
      </c>
      <c r="R447" s="11">
        <f>+P447*Q447</f>
        <v>8490.4560000000001</v>
      </c>
      <c r="S447" s="11"/>
      <c r="T447" s="136">
        <f>+N447*Q447</f>
        <v>7650.0960000000005</v>
      </c>
    </row>
    <row r="448" spans="1:20" ht="15.75" customHeight="1">
      <c r="A448" s="149"/>
      <c r="B448" s="273"/>
      <c r="C448" s="28" t="s">
        <v>2571</v>
      </c>
      <c r="D448" s="41">
        <v>1120</v>
      </c>
      <c r="E448" s="131">
        <f t="shared" si="99"/>
        <v>0</v>
      </c>
      <c r="F448" s="21">
        <f t="shared" si="86"/>
        <v>0</v>
      </c>
      <c r="G448" s="21"/>
      <c r="H448" s="135">
        <f t="shared" si="98"/>
        <v>0</v>
      </c>
      <c r="I448" s="294">
        <v>44120</v>
      </c>
      <c r="J448" s="294"/>
      <c r="K448" s="10">
        <f>0.6*2179</f>
        <v>1307.3999999999999</v>
      </c>
      <c r="L448" s="11"/>
      <c r="M448" s="11"/>
      <c r="N448" s="100"/>
      <c r="O448" s="11">
        <f t="shared" si="90"/>
        <v>1307.3999999999999</v>
      </c>
      <c r="P448" s="11">
        <f t="shared" si="87"/>
        <v>1307.3999999999999</v>
      </c>
      <c r="Q448" s="11"/>
      <c r="R448" s="11">
        <f t="shared" si="88"/>
        <v>0</v>
      </c>
      <c r="S448" s="11"/>
      <c r="T448" s="136">
        <f t="shared" si="100"/>
        <v>0</v>
      </c>
    </row>
    <row r="449" spans="1:20" ht="15.75" customHeight="1">
      <c r="A449" s="149">
        <v>12</v>
      </c>
      <c r="B449" s="273"/>
      <c r="C449" s="28" t="s">
        <v>4091</v>
      </c>
      <c r="D449" s="41"/>
      <c r="E449" s="131">
        <f t="shared" si="99"/>
        <v>0</v>
      </c>
      <c r="F449" s="21">
        <f t="shared" si="86"/>
        <v>0</v>
      </c>
      <c r="G449" s="21"/>
      <c r="H449" s="135">
        <f t="shared" si="98"/>
        <v>0</v>
      </c>
      <c r="I449" s="294">
        <v>45108</v>
      </c>
      <c r="J449" s="294">
        <v>45222</v>
      </c>
      <c r="K449" s="10">
        <v>3391</v>
      </c>
      <c r="L449" s="11"/>
      <c r="M449" s="11"/>
      <c r="N449" s="100"/>
      <c r="O449" s="11">
        <f t="shared" si="90"/>
        <v>3391</v>
      </c>
      <c r="P449" s="11">
        <f t="shared" si="87"/>
        <v>3391</v>
      </c>
      <c r="Q449" s="11"/>
      <c r="R449" s="11">
        <f t="shared" si="88"/>
        <v>0</v>
      </c>
      <c r="S449" s="11"/>
      <c r="T449" s="136">
        <f t="shared" si="100"/>
        <v>0</v>
      </c>
    </row>
    <row r="450" spans="1:20" ht="15.75" customHeight="1">
      <c r="A450" s="149" t="s">
        <v>3689</v>
      </c>
      <c r="B450" s="273"/>
      <c r="C450" s="28" t="s">
        <v>3971</v>
      </c>
      <c r="D450" s="41">
        <v>350</v>
      </c>
      <c r="E450" s="131">
        <f t="shared" si="99"/>
        <v>7950</v>
      </c>
      <c r="F450" s="21">
        <f t="shared" si="86"/>
        <v>9619.5</v>
      </c>
      <c r="G450" s="21"/>
      <c r="H450" s="135">
        <f t="shared" si="98"/>
        <v>0</v>
      </c>
      <c r="I450" s="294">
        <v>45254</v>
      </c>
      <c r="J450" s="294">
        <v>45259</v>
      </c>
      <c r="K450" s="10"/>
      <c r="L450" s="11">
        <f>0.7*0.9*8403</f>
        <v>5293.89</v>
      </c>
      <c r="M450" s="11"/>
      <c r="N450" s="100"/>
      <c r="O450" s="11">
        <f t="shared" si="90"/>
        <v>5293.89</v>
      </c>
      <c r="P450" s="11">
        <f t="shared" si="87"/>
        <v>5293.89</v>
      </c>
      <c r="Q450" s="11">
        <v>1.5</v>
      </c>
      <c r="R450" s="11">
        <f t="shared" si="88"/>
        <v>7940.8350000000009</v>
      </c>
      <c r="S450" s="11"/>
      <c r="T450" s="136">
        <f t="shared" si="100"/>
        <v>0</v>
      </c>
    </row>
    <row r="451" spans="1:20" ht="15.75" customHeight="1">
      <c r="A451" s="149">
        <v>12</v>
      </c>
      <c r="B451" s="273"/>
      <c r="C451" s="28" t="s">
        <v>44244</v>
      </c>
      <c r="D451" s="41"/>
      <c r="E451" s="131">
        <f t="shared" si="99"/>
        <v>11210</v>
      </c>
      <c r="F451" s="21">
        <f t="shared" si="86"/>
        <v>13564.1</v>
      </c>
      <c r="G451" s="21"/>
      <c r="H451" s="135">
        <f t="shared" si="98"/>
        <v>0</v>
      </c>
      <c r="I451" s="294">
        <v>45338</v>
      </c>
      <c r="J451" s="294"/>
      <c r="K451" s="10">
        <v>7468</v>
      </c>
      <c r="L451" s="11"/>
      <c r="M451" s="11"/>
      <c r="N451" s="100"/>
      <c r="O451" s="11">
        <f t="shared" si="90"/>
        <v>7468</v>
      </c>
      <c r="P451" s="11">
        <f t="shared" si="87"/>
        <v>7468</v>
      </c>
      <c r="Q451" s="11">
        <v>1.5</v>
      </c>
      <c r="R451" s="11">
        <f t="shared" si="88"/>
        <v>11202</v>
      </c>
      <c r="S451" s="11"/>
      <c r="T451" s="136">
        <f t="shared" si="100"/>
        <v>0</v>
      </c>
    </row>
    <row r="452" spans="1:20" ht="15.75" customHeight="1">
      <c r="A452" s="149">
        <v>12</v>
      </c>
      <c r="B452" s="273"/>
      <c r="C452" s="28" t="s">
        <v>44344</v>
      </c>
      <c r="D452" s="41"/>
      <c r="E452" s="131">
        <f t="shared" ref="E452" si="101">ROUNDUP(R452,-1)</f>
        <v>13980</v>
      </c>
      <c r="F452" s="21">
        <f>+E452*1.21</f>
        <v>16915.8</v>
      </c>
      <c r="G452" s="21"/>
      <c r="H452" s="135">
        <f t="shared" ref="H452" si="102">ROUNDUP(T452,-1)</f>
        <v>0</v>
      </c>
      <c r="I452" s="294">
        <v>45338</v>
      </c>
      <c r="J452" s="294">
        <v>45300</v>
      </c>
      <c r="K452" s="10">
        <v>9315</v>
      </c>
      <c r="L452" s="11"/>
      <c r="M452" s="11"/>
      <c r="N452" s="100"/>
      <c r="O452" s="11">
        <f t="shared" ref="O452" si="103">MIN(K452:M452)</f>
        <v>9315</v>
      </c>
      <c r="P452" s="11">
        <f t="shared" ref="P452" si="104">+O452</f>
        <v>9315</v>
      </c>
      <c r="Q452" s="11">
        <v>1.5</v>
      </c>
      <c r="R452" s="11">
        <f t="shared" ref="R452" si="105">+P452*Q452</f>
        <v>13972.5</v>
      </c>
      <c r="S452" s="11"/>
      <c r="T452" s="136">
        <f t="shared" ref="T452" si="106">+N452*Q452</f>
        <v>0</v>
      </c>
    </row>
    <row r="453" spans="1:20" ht="15.75" customHeight="1">
      <c r="A453" s="149">
        <v>12</v>
      </c>
      <c r="B453" s="273"/>
      <c r="C453" s="28" t="s">
        <v>4574</v>
      </c>
      <c r="D453" s="41"/>
      <c r="E453" s="131">
        <f t="shared" si="99"/>
        <v>18760</v>
      </c>
      <c r="F453" s="21">
        <f>+E453*1.21</f>
        <v>22699.599999999999</v>
      </c>
      <c r="G453" s="21"/>
      <c r="H453" s="135">
        <f t="shared" si="98"/>
        <v>0</v>
      </c>
      <c r="I453" s="294">
        <v>45338</v>
      </c>
      <c r="J453" s="294">
        <v>45300</v>
      </c>
      <c r="K453" s="10">
        <v>12503</v>
      </c>
      <c r="L453" s="11"/>
      <c r="M453" s="11"/>
      <c r="N453" s="100"/>
      <c r="O453" s="11">
        <f t="shared" si="90"/>
        <v>12503</v>
      </c>
      <c r="P453" s="11">
        <f t="shared" si="87"/>
        <v>12503</v>
      </c>
      <c r="Q453" s="11">
        <v>1.5</v>
      </c>
      <c r="R453" s="11">
        <f t="shared" si="88"/>
        <v>18754.5</v>
      </c>
      <c r="S453" s="11"/>
      <c r="T453" s="136">
        <f t="shared" si="100"/>
        <v>0</v>
      </c>
    </row>
    <row r="454" spans="1:20" ht="15.75" customHeight="1">
      <c r="A454" s="149">
        <v>12</v>
      </c>
      <c r="B454" s="273"/>
      <c r="C454" s="28" t="s">
        <v>4534</v>
      </c>
      <c r="D454" s="41"/>
      <c r="E454" s="131">
        <f>ROUNDUP(R454,-1)</f>
        <v>20340</v>
      </c>
      <c r="F454" s="21">
        <f>+E454*1.21</f>
        <v>24611.399999999998</v>
      </c>
      <c r="G454" s="21"/>
      <c r="H454" s="135">
        <f>ROUNDUP(T454,-1)</f>
        <v>0</v>
      </c>
      <c r="I454" s="294">
        <v>45338</v>
      </c>
      <c r="J454" s="294">
        <v>45348</v>
      </c>
      <c r="K454" s="10">
        <v>13554</v>
      </c>
      <c r="L454" s="11"/>
      <c r="M454" s="11"/>
      <c r="N454" s="100"/>
      <c r="O454" s="11">
        <f>MIN(K454:M454)</f>
        <v>13554</v>
      </c>
      <c r="P454" s="11">
        <f>+O454</f>
        <v>13554</v>
      </c>
      <c r="Q454" s="11">
        <v>1.5</v>
      </c>
      <c r="R454" s="11">
        <f>+P454*Q454</f>
        <v>20331</v>
      </c>
      <c r="S454" s="11"/>
      <c r="T454" s="136">
        <f>+N454*Q454</f>
        <v>0</v>
      </c>
    </row>
    <row r="455" spans="1:20" ht="15.75" customHeight="1">
      <c r="A455" s="149">
        <v>44</v>
      </c>
      <c r="B455" s="273">
        <f>ROUNDUP(H455*1.105,-1)</f>
        <v>247120</v>
      </c>
      <c r="C455" s="28" t="s">
        <v>1363</v>
      </c>
      <c r="D455" s="41">
        <v>6880</v>
      </c>
      <c r="E455" s="140">
        <f t="shared" si="99"/>
        <v>338300</v>
      </c>
      <c r="F455" s="21">
        <f t="shared" ref="F455:F508" si="107">+E455*1.21</f>
        <v>409343</v>
      </c>
      <c r="G455" s="21"/>
      <c r="H455" s="135">
        <f t="shared" si="98"/>
        <v>223630</v>
      </c>
      <c r="I455" s="294">
        <v>45287</v>
      </c>
      <c r="J455" s="294">
        <v>45329</v>
      </c>
      <c r="K455" s="10">
        <f>+PROVEEDORES!$D$38*273.04</f>
        <v>241640.40000000002</v>
      </c>
      <c r="L455" s="11"/>
      <c r="M455" s="11"/>
      <c r="N455" s="100">
        <v>159730</v>
      </c>
      <c r="O455" s="11">
        <f t="shared" si="90"/>
        <v>241640.40000000002</v>
      </c>
      <c r="P455" s="11">
        <f t="shared" si="87"/>
        <v>241640.40000000002</v>
      </c>
      <c r="Q455" s="11">
        <v>1.4</v>
      </c>
      <c r="R455" s="11">
        <f t="shared" si="88"/>
        <v>338296.56</v>
      </c>
      <c r="S455" s="11"/>
      <c r="T455" s="136">
        <f t="shared" si="100"/>
        <v>223622</v>
      </c>
    </row>
    <row r="456" spans="1:20" ht="15.75" customHeight="1">
      <c r="A456" s="149">
        <v>44</v>
      </c>
      <c r="B456" s="273">
        <f>ROUNDUP(H456*1.105,-1)</f>
        <v>334000</v>
      </c>
      <c r="C456" s="28" t="s">
        <v>1364</v>
      </c>
      <c r="D456" s="41">
        <v>10390</v>
      </c>
      <c r="E456" s="140">
        <f>ROUNDUP(R456,-1)</f>
        <v>435540</v>
      </c>
      <c r="F456" s="21">
        <f>+E456*1.21</f>
        <v>527003.4</v>
      </c>
      <c r="G456" s="21"/>
      <c r="H456" s="135">
        <f>ROUNDUP(T456,-1)</f>
        <v>302260</v>
      </c>
      <c r="I456" s="294">
        <v>45287</v>
      </c>
      <c r="J456" s="40">
        <v>45329</v>
      </c>
      <c r="K456" s="10">
        <f>+PROVEEDORES!$D$38*351.52</f>
        <v>311095.2</v>
      </c>
      <c r="L456" s="11"/>
      <c r="M456" s="11"/>
      <c r="N456" s="100">
        <v>215900</v>
      </c>
      <c r="O456" s="11">
        <f>MIN(K456:M456)</f>
        <v>311095.2</v>
      </c>
      <c r="P456" s="11">
        <f t="shared" si="87"/>
        <v>311095.2</v>
      </c>
      <c r="Q456" s="11">
        <v>1.4</v>
      </c>
      <c r="R456" s="11">
        <f t="shared" si="88"/>
        <v>435533.27999999997</v>
      </c>
      <c r="S456" s="11"/>
      <c r="T456" s="136">
        <f>+N456*Q456</f>
        <v>302260</v>
      </c>
    </row>
    <row r="457" spans="1:20" ht="15.75" customHeight="1">
      <c r="A457" s="149">
        <v>51</v>
      </c>
      <c r="B457" s="273"/>
      <c r="C457" s="28" t="s">
        <v>1365</v>
      </c>
      <c r="D457" s="41">
        <v>85</v>
      </c>
      <c r="E457" s="199">
        <f t="shared" si="99"/>
        <v>2480</v>
      </c>
      <c r="F457" s="21">
        <f t="shared" si="107"/>
        <v>3000.7999999999997</v>
      </c>
      <c r="G457" s="21"/>
      <c r="H457" s="135">
        <f t="shared" si="98"/>
        <v>0</v>
      </c>
      <c r="I457" s="294">
        <v>45383</v>
      </c>
      <c r="J457" s="294"/>
      <c r="K457" s="11">
        <f>+(58234*0.85)/30</f>
        <v>1649.9633333333334</v>
      </c>
      <c r="L457" s="196"/>
      <c r="M457" s="11"/>
      <c r="N457" s="100"/>
      <c r="O457" s="11">
        <f t="shared" si="90"/>
        <v>1649.9633333333334</v>
      </c>
      <c r="P457" s="11">
        <f t="shared" si="87"/>
        <v>1649.9633333333334</v>
      </c>
      <c r="Q457" s="11">
        <v>1.5</v>
      </c>
      <c r="R457" s="11">
        <f t="shared" si="88"/>
        <v>2474.9450000000002</v>
      </c>
      <c r="S457" s="11"/>
      <c r="T457" s="136">
        <f t="shared" si="100"/>
        <v>0</v>
      </c>
    </row>
    <row r="458" spans="1:20" ht="15.75" customHeight="1">
      <c r="A458" s="149" t="s">
        <v>2495</v>
      </c>
      <c r="B458" s="273"/>
      <c r="C458" s="28" t="s">
        <v>1366</v>
      </c>
      <c r="D458" s="41">
        <v>740</v>
      </c>
      <c r="E458" s="131">
        <f t="shared" si="99"/>
        <v>19590</v>
      </c>
      <c r="F458" s="21">
        <f t="shared" si="107"/>
        <v>23703.899999999998</v>
      </c>
      <c r="G458" s="21"/>
      <c r="H458" s="135">
        <f t="shared" si="98"/>
        <v>0</v>
      </c>
      <c r="I458" s="294">
        <v>45286</v>
      </c>
      <c r="J458" s="294">
        <v>45376</v>
      </c>
      <c r="K458" s="11">
        <f>+PROVEEDORES!D8*14.75</f>
        <v>13053.75</v>
      </c>
      <c r="L458" s="10">
        <f>+PROVEEDORES!$D$15*0.6*27.69</f>
        <v>14703.390000000001</v>
      </c>
      <c r="M458" s="10">
        <f>10588*2</f>
        <v>21176</v>
      </c>
      <c r="N458" s="37"/>
      <c r="O458" s="11">
        <f t="shared" si="90"/>
        <v>13053.75</v>
      </c>
      <c r="P458" s="11">
        <f t="shared" si="87"/>
        <v>13053.75</v>
      </c>
      <c r="Q458" s="11">
        <v>1.5</v>
      </c>
      <c r="R458" s="11">
        <f t="shared" si="88"/>
        <v>19580.625</v>
      </c>
      <c r="S458" s="11"/>
      <c r="T458" s="136">
        <f t="shared" si="100"/>
        <v>0</v>
      </c>
    </row>
    <row r="459" spans="1:20" ht="15.75" customHeight="1">
      <c r="A459" s="149">
        <v>97</v>
      </c>
      <c r="B459" s="273"/>
      <c r="C459" s="28" t="s">
        <v>4114</v>
      </c>
      <c r="D459" s="41"/>
      <c r="E459" s="131">
        <f>ROUNDUP(R459,-1)</f>
        <v>0</v>
      </c>
      <c r="F459" s="21">
        <f>+E459*1.21</f>
        <v>0</v>
      </c>
      <c r="G459" s="21"/>
      <c r="H459" s="135">
        <f>ROUNDUP(T459,-1)</f>
        <v>0</v>
      </c>
      <c r="I459" s="23">
        <v>45275</v>
      </c>
      <c r="J459" s="294"/>
      <c r="K459" s="11">
        <f>572*1.1</f>
        <v>629.20000000000005</v>
      </c>
      <c r="L459" s="10"/>
      <c r="M459" s="10"/>
      <c r="N459" s="37"/>
      <c r="O459" s="11">
        <f>MIN(K459:M459)</f>
        <v>629.20000000000005</v>
      </c>
      <c r="P459" s="11">
        <f t="shared" ref="P459:P525" si="108">+O459</f>
        <v>629.20000000000005</v>
      </c>
      <c r="Q459" s="11"/>
      <c r="R459" s="11">
        <f t="shared" ref="R459:R525" si="109">+P459*Q459</f>
        <v>0</v>
      </c>
      <c r="S459" s="11"/>
      <c r="T459" s="136">
        <f>+N459*Q459</f>
        <v>0</v>
      </c>
    </row>
    <row r="460" spans="1:20" ht="15.75" customHeight="1">
      <c r="A460" s="149">
        <v>97</v>
      </c>
      <c r="B460" s="273"/>
      <c r="C460" s="28" t="s">
        <v>3616</v>
      </c>
      <c r="D460" s="41"/>
      <c r="E460" s="131">
        <f>ROUNDUP(R460,-1)</f>
        <v>6620</v>
      </c>
      <c r="F460" s="21">
        <f>+E460*1.21</f>
        <v>8010.2</v>
      </c>
      <c r="G460" s="21"/>
      <c r="H460" s="135">
        <f>ROUNDUP(T460,-1)</f>
        <v>0</v>
      </c>
      <c r="I460" s="23">
        <v>45310</v>
      </c>
      <c r="J460" s="294">
        <v>45365</v>
      </c>
      <c r="K460" s="11">
        <v>3310</v>
      </c>
      <c r="L460" s="10"/>
      <c r="M460" s="10"/>
      <c r="N460" s="37"/>
      <c r="O460" s="11">
        <f>MIN(K460:M460)</f>
        <v>3310</v>
      </c>
      <c r="P460" s="11">
        <f t="shared" si="108"/>
        <v>3310</v>
      </c>
      <c r="Q460" s="11">
        <v>2</v>
      </c>
      <c r="R460" s="11">
        <f t="shared" si="109"/>
        <v>6620</v>
      </c>
      <c r="S460" s="11"/>
      <c r="T460" s="136">
        <f>+N460*Q460</f>
        <v>0</v>
      </c>
    </row>
    <row r="461" spans="1:20" ht="15.75" customHeight="1">
      <c r="A461" s="149">
        <v>97</v>
      </c>
      <c r="B461" s="273"/>
      <c r="C461" s="28" t="s">
        <v>4189</v>
      </c>
      <c r="D461" s="41"/>
      <c r="E461" s="131">
        <f>ROUNDUP(R461,-1)</f>
        <v>3520</v>
      </c>
      <c r="F461" s="21">
        <f>+E461*1.21</f>
        <v>4259.2</v>
      </c>
      <c r="G461" s="21"/>
      <c r="H461" s="135">
        <f>ROUNDUP(T461,-1)</f>
        <v>0</v>
      </c>
      <c r="I461" s="294">
        <v>45119</v>
      </c>
      <c r="J461" s="294">
        <v>45379</v>
      </c>
      <c r="K461" s="11">
        <v>2200</v>
      </c>
      <c r="L461" s="10"/>
      <c r="M461" s="10"/>
      <c r="N461" s="37"/>
      <c r="O461" s="11">
        <f>MIN(K461:M461)</f>
        <v>2200</v>
      </c>
      <c r="P461" s="11">
        <f t="shared" si="108"/>
        <v>2200</v>
      </c>
      <c r="Q461" s="11">
        <v>1.6</v>
      </c>
      <c r="R461" s="11">
        <f t="shared" si="109"/>
        <v>3520</v>
      </c>
      <c r="S461" s="11"/>
      <c r="T461" s="136">
        <f>+N461*Q461</f>
        <v>0</v>
      </c>
    </row>
    <row r="462" spans="1:20" ht="15.75" customHeight="1">
      <c r="A462" s="149">
        <v>97</v>
      </c>
      <c r="B462" s="273"/>
      <c r="C462" s="28" t="s">
        <v>2935</v>
      </c>
      <c r="D462" s="41"/>
      <c r="E462" s="131">
        <f t="shared" si="99"/>
        <v>1050</v>
      </c>
      <c r="F462" s="21">
        <f t="shared" si="107"/>
        <v>1270.5</v>
      </c>
      <c r="G462" s="21"/>
      <c r="H462" s="135">
        <f t="shared" si="98"/>
        <v>0</v>
      </c>
      <c r="I462" s="294">
        <v>45119</v>
      </c>
      <c r="J462" s="294"/>
      <c r="K462" s="11">
        <v>651</v>
      </c>
      <c r="L462" s="10"/>
      <c r="M462" s="10"/>
      <c r="N462" s="37"/>
      <c r="O462" s="11">
        <f t="shared" si="90"/>
        <v>651</v>
      </c>
      <c r="P462" s="11">
        <f t="shared" si="108"/>
        <v>651</v>
      </c>
      <c r="Q462" s="11">
        <v>1.6</v>
      </c>
      <c r="R462" s="11">
        <f t="shared" si="109"/>
        <v>1041.6000000000001</v>
      </c>
      <c r="S462" s="11"/>
      <c r="T462" s="136">
        <f t="shared" si="100"/>
        <v>0</v>
      </c>
    </row>
    <row r="463" spans="1:20" ht="15.75" customHeight="1">
      <c r="A463" s="149">
        <v>97</v>
      </c>
      <c r="B463" s="273"/>
      <c r="C463" s="28" t="s">
        <v>62652</v>
      </c>
      <c r="D463" s="41"/>
      <c r="E463" s="131">
        <f t="shared" si="99"/>
        <v>4310</v>
      </c>
      <c r="F463" s="21">
        <f t="shared" si="107"/>
        <v>5215.0999999999995</v>
      </c>
      <c r="G463" s="21"/>
      <c r="H463" s="135">
        <f t="shared" si="98"/>
        <v>0</v>
      </c>
      <c r="I463" s="294">
        <v>45365</v>
      </c>
      <c r="J463" s="294"/>
      <c r="K463" s="11">
        <v>2692</v>
      </c>
      <c r="L463" s="10"/>
      <c r="M463" s="10"/>
      <c r="N463" s="37"/>
      <c r="O463" s="11">
        <f t="shared" si="90"/>
        <v>2692</v>
      </c>
      <c r="P463" s="11">
        <f t="shared" si="108"/>
        <v>2692</v>
      </c>
      <c r="Q463" s="11">
        <v>1.6</v>
      </c>
      <c r="R463" s="11">
        <f t="shared" si="109"/>
        <v>4307.2</v>
      </c>
      <c r="S463" s="11"/>
      <c r="T463" s="136">
        <f t="shared" si="100"/>
        <v>0</v>
      </c>
    </row>
    <row r="464" spans="1:20" ht="15.75" customHeight="1">
      <c r="A464" s="149">
        <v>97</v>
      </c>
      <c r="B464" s="273"/>
      <c r="C464" s="28" t="s">
        <v>62653</v>
      </c>
      <c r="D464" s="41"/>
      <c r="E464" s="131">
        <f t="shared" si="99"/>
        <v>6930</v>
      </c>
      <c r="F464" s="21">
        <f t="shared" si="107"/>
        <v>8385.2999999999993</v>
      </c>
      <c r="G464" s="21"/>
      <c r="H464" s="135">
        <f t="shared" si="98"/>
        <v>0</v>
      </c>
      <c r="I464" s="294">
        <v>45310</v>
      </c>
      <c r="J464" s="294">
        <v>45365</v>
      </c>
      <c r="K464" s="11">
        <v>4328</v>
      </c>
      <c r="L464" s="10"/>
      <c r="M464" s="10"/>
      <c r="N464" s="37"/>
      <c r="O464" s="11">
        <f t="shared" si="90"/>
        <v>4328</v>
      </c>
      <c r="P464" s="11">
        <f t="shared" si="108"/>
        <v>4328</v>
      </c>
      <c r="Q464" s="11">
        <v>1.6</v>
      </c>
      <c r="R464" s="11">
        <f t="shared" si="109"/>
        <v>6924.8</v>
      </c>
      <c r="S464" s="11"/>
      <c r="T464" s="136">
        <f t="shared" si="100"/>
        <v>0</v>
      </c>
    </row>
    <row r="465" spans="1:20" ht="15.75" customHeight="1">
      <c r="A465" s="149">
        <v>97</v>
      </c>
      <c r="B465" s="273"/>
      <c r="C465" s="28" t="s">
        <v>3831</v>
      </c>
      <c r="D465" s="41"/>
      <c r="E465" s="131">
        <f t="shared" si="99"/>
        <v>1060</v>
      </c>
      <c r="F465" s="21">
        <f t="shared" si="107"/>
        <v>1282.5999999999999</v>
      </c>
      <c r="G465" s="21"/>
      <c r="H465" s="135">
        <f t="shared" si="98"/>
        <v>0</v>
      </c>
      <c r="I465" s="294">
        <v>45119</v>
      </c>
      <c r="J465" s="294"/>
      <c r="K465" s="11">
        <v>657</v>
      </c>
      <c r="L465" s="10"/>
      <c r="M465" s="10"/>
      <c r="N465" s="37"/>
      <c r="O465" s="11">
        <f t="shared" si="90"/>
        <v>657</v>
      </c>
      <c r="P465" s="11">
        <f t="shared" si="108"/>
        <v>657</v>
      </c>
      <c r="Q465" s="11">
        <v>1.6</v>
      </c>
      <c r="R465" s="11">
        <f t="shared" si="109"/>
        <v>1051.2</v>
      </c>
      <c r="S465" s="11"/>
      <c r="T465" s="136">
        <f t="shared" si="100"/>
        <v>0</v>
      </c>
    </row>
    <row r="466" spans="1:20" ht="15.75" customHeight="1">
      <c r="A466" s="149">
        <v>97</v>
      </c>
      <c r="B466" s="273"/>
      <c r="C466" s="28" t="s">
        <v>44366</v>
      </c>
      <c r="D466" s="41"/>
      <c r="E466" s="131">
        <f t="shared" si="99"/>
        <v>990</v>
      </c>
      <c r="F466" s="21">
        <f t="shared" si="107"/>
        <v>1197.8999999999999</v>
      </c>
      <c r="G466" s="21"/>
      <c r="H466" s="135">
        <f t="shared" si="98"/>
        <v>0</v>
      </c>
      <c r="I466" s="294">
        <v>45119</v>
      </c>
      <c r="J466" s="294"/>
      <c r="K466" s="11">
        <v>616</v>
      </c>
      <c r="L466" s="10"/>
      <c r="M466" s="10"/>
      <c r="N466" s="37"/>
      <c r="O466" s="11">
        <f t="shared" si="90"/>
        <v>616</v>
      </c>
      <c r="P466" s="11">
        <f t="shared" si="108"/>
        <v>616</v>
      </c>
      <c r="Q466" s="11">
        <v>1.6</v>
      </c>
      <c r="R466" s="11">
        <f t="shared" si="109"/>
        <v>985.6</v>
      </c>
      <c r="S466" s="11"/>
      <c r="T466" s="136"/>
    </row>
    <row r="467" spans="1:20" ht="15.75" customHeight="1">
      <c r="A467" s="149">
        <v>97</v>
      </c>
      <c r="B467" s="273"/>
      <c r="C467" s="28" t="s">
        <v>3456</v>
      </c>
      <c r="D467" s="41"/>
      <c r="E467" s="131">
        <f t="shared" si="99"/>
        <v>1290</v>
      </c>
      <c r="F467" s="21">
        <f t="shared" si="107"/>
        <v>1560.8999999999999</v>
      </c>
      <c r="G467" s="21"/>
      <c r="H467" s="135">
        <f t="shared" si="98"/>
        <v>0</v>
      </c>
      <c r="I467" s="294">
        <v>45119</v>
      </c>
      <c r="J467" s="294"/>
      <c r="K467" s="11">
        <v>806</v>
      </c>
      <c r="L467" s="10"/>
      <c r="M467" s="10"/>
      <c r="N467" s="37"/>
      <c r="O467" s="11">
        <f t="shared" si="90"/>
        <v>806</v>
      </c>
      <c r="P467" s="11">
        <f t="shared" si="108"/>
        <v>806</v>
      </c>
      <c r="Q467" s="11">
        <v>1.6</v>
      </c>
      <c r="R467" s="11">
        <f t="shared" si="109"/>
        <v>1289.6000000000001</v>
      </c>
      <c r="S467" s="11"/>
      <c r="T467" s="136">
        <f t="shared" ref="T467:T500" si="110">+N467*Q467</f>
        <v>0</v>
      </c>
    </row>
    <row r="468" spans="1:20" ht="15.75" customHeight="1">
      <c r="A468" s="149">
        <v>97</v>
      </c>
      <c r="B468" s="273"/>
      <c r="C468" s="28" t="s">
        <v>3989</v>
      </c>
      <c r="D468" s="41"/>
      <c r="E468" s="131">
        <f t="shared" si="99"/>
        <v>1200</v>
      </c>
      <c r="F468" s="21">
        <f t="shared" si="107"/>
        <v>1452</v>
      </c>
      <c r="G468" s="21"/>
      <c r="H468" s="135">
        <f t="shared" si="98"/>
        <v>0</v>
      </c>
      <c r="I468" s="294">
        <v>45119</v>
      </c>
      <c r="J468" s="294"/>
      <c r="K468" s="11">
        <v>747</v>
      </c>
      <c r="L468" s="10"/>
      <c r="M468" s="10"/>
      <c r="N468" s="37"/>
      <c r="O468" s="11">
        <f t="shared" si="90"/>
        <v>747</v>
      </c>
      <c r="P468" s="11">
        <f t="shared" si="108"/>
        <v>747</v>
      </c>
      <c r="Q468" s="11">
        <v>1.6</v>
      </c>
      <c r="R468" s="11">
        <f t="shared" si="109"/>
        <v>1195.2</v>
      </c>
      <c r="S468" s="11"/>
      <c r="T468" s="136">
        <f t="shared" si="110"/>
        <v>0</v>
      </c>
    </row>
    <row r="469" spans="1:20" ht="15.75" customHeight="1">
      <c r="A469" s="149">
        <v>97</v>
      </c>
      <c r="B469" s="273"/>
      <c r="C469" s="28" t="s">
        <v>3683</v>
      </c>
      <c r="D469" s="41"/>
      <c r="E469" s="131">
        <f t="shared" si="99"/>
        <v>5740</v>
      </c>
      <c r="F469" s="21">
        <f t="shared" si="107"/>
        <v>6945.4</v>
      </c>
      <c r="G469" s="21"/>
      <c r="H469" s="135">
        <f t="shared" si="98"/>
        <v>0</v>
      </c>
      <c r="I469" s="294">
        <v>45162</v>
      </c>
      <c r="J469" s="294">
        <v>45365</v>
      </c>
      <c r="K469" s="11">
        <v>3584</v>
      </c>
      <c r="L469" s="10"/>
      <c r="M469" s="10"/>
      <c r="N469" s="37"/>
      <c r="O469" s="11">
        <f t="shared" si="90"/>
        <v>3584</v>
      </c>
      <c r="P469" s="11">
        <f t="shared" si="108"/>
        <v>3584</v>
      </c>
      <c r="Q469" s="11">
        <v>1.6</v>
      </c>
      <c r="R469" s="11">
        <f t="shared" si="109"/>
        <v>5734.4000000000005</v>
      </c>
      <c r="S469" s="11"/>
      <c r="T469" s="136">
        <f t="shared" si="110"/>
        <v>0</v>
      </c>
    </row>
    <row r="470" spans="1:20" ht="15.75" customHeight="1">
      <c r="A470" s="149">
        <v>97</v>
      </c>
      <c r="B470" s="273"/>
      <c r="C470" s="28" t="s">
        <v>3988</v>
      </c>
      <c r="D470" s="41"/>
      <c r="E470" s="131">
        <f t="shared" si="99"/>
        <v>5090</v>
      </c>
      <c r="F470" s="21">
        <f t="shared" si="107"/>
        <v>6158.9</v>
      </c>
      <c r="G470" s="21"/>
      <c r="H470" s="135">
        <f t="shared" si="98"/>
        <v>0</v>
      </c>
      <c r="I470" s="23">
        <v>45365</v>
      </c>
      <c r="J470" s="294"/>
      <c r="K470" s="11">
        <v>3180</v>
      </c>
      <c r="L470" s="10"/>
      <c r="M470" s="10"/>
      <c r="N470" s="37"/>
      <c r="O470" s="11">
        <f t="shared" si="90"/>
        <v>3180</v>
      </c>
      <c r="P470" s="11">
        <f t="shared" si="108"/>
        <v>3180</v>
      </c>
      <c r="Q470" s="11">
        <v>1.6</v>
      </c>
      <c r="R470" s="11">
        <f t="shared" si="109"/>
        <v>5088</v>
      </c>
      <c r="S470" s="11"/>
      <c r="T470" s="136">
        <f t="shared" si="110"/>
        <v>0</v>
      </c>
    </row>
    <row r="471" spans="1:20" ht="15.75" customHeight="1">
      <c r="A471" s="149">
        <v>97</v>
      </c>
      <c r="B471" s="273"/>
      <c r="C471" s="28" t="s">
        <v>44352</v>
      </c>
      <c r="D471" s="41"/>
      <c r="E471" s="131">
        <f>ROUNDUP(R471,-1)</f>
        <v>2040</v>
      </c>
      <c r="F471" s="21">
        <f>+E471*1.21</f>
        <v>2468.4</v>
      </c>
      <c r="G471" s="21"/>
      <c r="H471" s="135">
        <f>ROUNDUP(T471,-1)</f>
        <v>0</v>
      </c>
      <c r="I471" s="294">
        <v>45162</v>
      </c>
      <c r="J471" s="294"/>
      <c r="K471" s="11">
        <f>1337*0.95</f>
        <v>1270.1499999999999</v>
      </c>
      <c r="L471" s="10"/>
      <c r="M471" s="10"/>
      <c r="N471" s="37"/>
      <c r="O471" s="11">
        <f>MIN(K471:M471)</f>
        <v>1270.1499999999999</v>
      </c>
      <c r="P471" s="11">
        <f>+O471</f>
        <v>1270.1499999999999</v>
      </c>
      <c r="Q471" s="11">
        <v>1.6</v>
      </c>
      <c r="R471" s="11">
        <f>+P471*Q471</f>
        <v>2032.2399999999998</v>
      </c>
      <c r="S471" s="11"/>
      <c r="T471" s="136">
        <f>+N471*Q471</f>
        <v>0</v>
      </c>
    </row>
    <row r="472" spans="1:20" ht="15.75" customHeight="1">
      <c r="A472" s="149">
        <v>97</v>
      </c>
      <c r="B472" s="273"/>
      <c r="C472" s="28" t="s">
        <v>3865</v>
      </c>
      <c r="D472" s="41"/>
      <c r="E472" s="131">
        <f t="shared" si="99"/>
        <v>2510</v>
      </c>
      <c r="F472" s="21">
        <f t="shared" si="107"/>
        <v>3037.1</v>
      </c>
      <c r="G472" s="21"/>
      <c r="H472" s="135">
        <f t="shared" si="98"/>
        <v>0</v>
      </c>
      <c r="I472" s="23">
        <v>45275</v>
      </c>
      <c r="J472" s="294">
        <v>45170</v>
      </c>
      <c r="K472" s="11">
        <f>1372*0.95*1.2</f>
        <v>1564.0799999999997</v>
      </c>
      <c r="L472" s="10"/>
      <c r="M472" s="10"/>
      <c r="N472" s="37"/>
      <c r="O472" s="11">
        <f t="shared" si="90"/>
        <v>1564.0799999999997</v>
      </c>
      <c r="P472" s="11">
        <f t="shared" si="108"/>
        <v>1564.0799999999997</v>
      </c>
      <c r="Q472" s="11">
        <v>1.6</v>
      </c>
      <c r="R472" s="11">
        <f t="shared" si="109"/>
        <v>2502.5279999999998</v>
      </c>
      <c r="S472" s="11"/>
      <c r="T472" s="136">
        <f t="shared" si="110"/>
        <v>0</v>
      </c>
    </row>
    <row r="473" spans="1:20" ht="15.75" customHeight="1">
      <c r="A473" s="149">
        <v>97</v>
      </c>
      <c r="B473" s="273"/>
      <c r="C473" s="28" t="s">
        <v>3632</v>
      </c>
      <c r="D473" s="41"/>
      <c r="E473" s="131">
        <f t="shared" si="99"/>
        <v>3380</v>
      </c>
      <c r="F473" s="21">
        <f t="shared" si="107"/>
        <v>4089.7999999999997</v>
      </c>
      <c r="G473" s="21"/>
      <c r="H473" s="135">
        <f t="shared" si="98"/>
        <v>0</v>
      </c>
      <c r="I473" s="294">
        <v>45162</v>
      </c>
      <c r="J473" s="294">
        <v>45348</v>
      </c>
      <c r="K473" s="11">
        <f>0.95*2220</f>
        <v>2109</v>
      </c>
      <c r="L473" s="10"/>
      <c r="M473" s="10"/>
      <c r="N473" s="37"/>
      <c r="O473" s="11">
        <f t="shared" si="90"/>
        <v>2109</v>
      </c>
      <c r="P473" s="11">
        <f t="shared" si="108"/>
        <v>2109</v>
      </c>
      <c r="Q473" s="11">
        <v>1.6</v>
      </c>
      <c r="R473" s="11">
        <f t="shared" si="109"/>
        <v>3374.4</v>
      </c>
      <c r="S473" s="11"/>
      <c r="T473" s="136">
        <f t="shared" si="110"/>
        <v>0</v>
      </c>
    </row>
    <row r="474" spans="1:20" ht="15.75" customHeight="1">
      <c r="A474" s="149">
        <v>97</v>
      </c>
      <c r="B474" s="273"/>
      <c r="C474" s="28" t="s">
        <v>3457</v>
      </c>
      <c r="D474" s="41"/>
      <c r="E474" s="131">
        <f t="shared" si="99"/>
        <v>1450</v>
      </c>
      <c r="F474" s="21">
        <f t="shared" si="107"/>
        <v>1754.5</v>
      </c>
      <c r="G474" s="21"/>
      <c r="H474" s="135">
        <f t="shared" si="98"/>
        <v>0</v>
      </c>
      <c r="I474" s="294">
        <v>45119</v>
      </c>
      <c r="J474" s="294"/>
      <c r="K474" s="11">
        <v>902</v>
      </c>
      <c r="L474" s="10"/>
      <c r="M474" s="10"/>
      <c r="N474" s="37"/>
      <c r="O474" s="11">
        <f t="shared" si="90"/>
        <v>902</v>
      </c>
      <c r="P474" s="11">
        <f t="shared" si="108"/>
        <v>902</v>
      </c>
      <c r="Q474" s="11">
        <v>1.6</v>
      </c>
      <c r="R474" s="11">
        <f t="shared" si="109"/>
        <v>1443.2</v>
      </c>
      <c r="S474" s="11"/>
      <c r="T474" s="136">
        <f t="shared" si="110"/>
        <v>0</v>
      </c>
    </row>
    <row r="475" spans="1:20" ht="15.75" customHeight="1">
      <c r="A475" s="149">
        <v>97</v>
      </c>
      <c r="B475" s="273"/>
      <c r="C475" s="28" t="s">
        <v>3428</v>
      </c>
      <c r="D475" s="41"/>
      <c r="E475" s="131">
        <f t="shared" si="99"/>
        <v>1270</v>
      </c>
      <c r="F475" s="21">
        <f t="shared" si="107"/>
        <v>1536.7</v>
      </c>
      <c r="G475" s="21"/>
      <c r="H475" s="135">
        <f t="shared" si="98"/>
        <v>0</v>
      </c>
      <c r="I475" s="294">
        <v>45119</v>
      </c>
      <c r="J475" s="294"/>
      <c r="K475" s="11">
        <v>423</v>
      </c>
      <c r="L475" s="10"/>
      <c r="M475" s="10"/>
      <c r="N475" s="37"/>
      <c r="O475" s="11">
        <f t="shared" si="90"/>
        <v>423</v>
      </c>
      <c r="P475" s="11">
        <f t="shared" si="108"/>
        <v>423</v>
      </c>
      <c r="Q475" s="11">
        <v>3</v>
      </c>
      <c r="R475" s="11">
        <f t="shared" si="109"/>
        <v>1269</v>
      </c>
      <c r="S475" s="11"/>
      <c r="T475" s="136">
        <f t="shared" si="110"/>
        <v>0</v>
      </c>
    </row>
    <row r="476" spans="1:20" ht="15.75" customHeight="1">
      <c r="A476" s="149">
        <v>97</v>
      </c>
      <c r="B476" s="273"/>
      <c r="C476" s="28" t="s">
        <v>3849</v>
      </c>
      <c r="D476" s="41"/>
      <c r="E476" s="131">
        <f t="shared" si="99"/>
        <v>3300</v>
      </c>
      <c r="F476" s="21">
        <f t="shared" si="107"/>
        <v>3993</v>
      </c>
      <c r="G476" s="21"/>
      <c r="H476" s="135">
        <f t="shared" si="98"/>
        <v>0</v>
      </c>
      <c r="I476" s="294">
        <v>45162</v>
      </c>
      <c r="J476" s="294">
        <v>45365</v>
      </c>
      <c r="K476" s="11">
        <v>2060</v>
      </c>
      <c r="L476" s="10"/>
      <c r="M476" s="10"/>
      <c r="N476" s="37"/>
      <c r="O476" s="11">
        <f t="shared" si="90"/>
        <v>2060</v>
      </c>
      <c r="P476" s="11">
        <f t="shared" si="108"/>
        <v>2060</v>
      </c>
      <c r="Q476" s="11">
        <v>1.6</v>
      </c>
      <c r="R476" s="11">
        <f t="shared" si="109"/>
        <v>3296</v>
      </c>
      <c r="S476" s="11"/>
      <c r="T476" s="136">
        <f t="shared" si="110"/>
        <v>0</v>
      </c>
    </row>
    <row r="477" spans="1:20" ht="15.75" customHeight="1">
      <c r="A477" s="149">
        <v>97</v>
      </c>
      <c r="B477" s="273"/>
      <c r="C477" s="28" t="s">
        <v>62688</v>
      </c>
      <c r="D477" s="41"/>
      <c r="E477" s="131">
        <f t="shared" ref="E477" si="111">ROUNDUP(R477,-1)</f>
        <v>3520</v>
      </c>
      <c r="F477" s="21">
        <f t="shared" ref="F477" si="112">+E477*1.21</f>
        <v>4259.2</v>
      </c>
      <c r="G477" s="21"/>
      <c r="H477" s="135">
        <f t="shared" ref="H477" si="113">ROUNDUP(T477,-1)</f>
        <v>0</v>
      </c>
      <c r="I477" s="294">
        <v>45379</v>
      </c>
      <c r="J477" s="294"/>
      <c r="K477" s="11">
        <v>2200</v>
      </c>
      <c r="L477" s="10"/>
      <c r="M477" s="10"/>
      <c r="N477" s="37"/>
      <c r="O477" s="11">
        <f t="shared" ref="O477" si="114">MIN(K477:M477)</f>
        <v>2200</v>
      </c>
      <c r="P477" s="11">
        <f t="shared" ref="P477" si="115">+O477</f>
        <v>2200</v>
      </c>
      <c r="Q477" s="11">
        <v>1.6</v>
      </c>
      <c r="R477" s="11">
        <f t="shared" ref="R477" si="116">+P477*Q477</f>
        <v>3520</v>
      </c>
      <c r="S477" s="11"/>
      <c r="T477" s="136">
        <f t="shared" ref="T477" si="117">+N477*Q477</f>
        <v>0</v>
      </c>
    </row>
    <row r="478" spans="1:20" ht="15.75" customHeight="1">
      <c r="A478" s="149">
        <v>97</v>
      </c>
      <c r="B478" s="273"/>
      <c r="C478" s="28" t="s">
        <v>2936</v>
      </c>
      <c r="D478" s="41"/>
      <c r="E478" s="131">
        <f t="shared" si="99"/>
        <v>1480</v>
      </c>
      <c r="F478" s="21">
        <f t="shared" si="107"/>
        <v>1790.8</v>
      </c>
      <c r="G478" s="21"/>
      <c r="H478" s="135">
        <f t="shared" si="98"/>
        <v>0</v>
      </c>
      <c r="I478" s="294">
        <v>45119</v>
      </c>
      <c r="J478" s="294"/>
      <c r="K478" s="11">
        <v>925</v>
      </c>
      <c r="L478" s="10"/>
      <c r="M478" s="10"/>
      <c r="N478" s="37"/>
      <c r="O478" s="11">
        <f t="shared" ref="O478:O541" si="118">MIN(K478:M478)</f>
        <v>925</v>
      </c>
      <c r="P478" s="11">
        <f t="shared" si="108"/>
        <v>925</v>
      </c>
      <c r="Q478" s="11">
        <v>1.6</v>
      </c>
      <c r="R478" s="11">
        <f t="shared" si="109"/>
        <v>1480</v>
      </c>
      <c r="S478" s="11"/>
      <c r="T478" s="136">
        <f t="shared" si="110"/>
        <v>0</v>
      </c>
    </row>
    <row r="479" spans="1:20" ht="15.75" customHeight="1">
      <c r="A479" s="149">
        <v>97</v>
      </c>
      <c r="B479" s="273"/>
      <c r="C479" s="28" t="s">
        <v>44353</v>
      </c>
      <c r="D479" s="41"/>
      <c r="E479" s="131">
        <f t="shared" si="99"/>
        <v>2720</v>
      </c>
      <c r="F479" s="21">
        <f t="shared" si="107"/>
        <v>3291.2</v>
      </c>
      <c r="G479" s="21"/>
      <c r="H479" s="135">
        <f t="shared" si="98"/>
        <v>0</v>
      </c>
      <c r="I479" s="294">
        <v>45162</v>
      </c>
      <c r="J479" s="294">
        <v>45365</v>
      </c>
      <c r="K479" s="11">
        <v>1697</v>
      </c>
      <c r="L479" s="10"/>
      <c r="M479" s="10"/>
      <c r="N479" s="37"/>
      <c r="O479" s="11">
        <f t="shared" si="118"/>
        <v>1697</v>
      </c>
      <c r="P479" s="11">
        <f t="shared" si="108"/>
        <v>1697</v>
      </c>
      <c r="Q479" s="11">
        <v>1.6</v>
      </c>
      <c r="R479" s="11">
        <f t="shared" si="109"/>
        <v>2715.2000000000003</v>
      </c>
      <c r="S479" s="11"/>
      <c r="T479" s="136">
        <f t="shared" si="110"/>
        <v>0</v>
      </c>
    </row>
    <row r="480" spans="1:20" ht="15.75" customHeight="1">
      <c r="A480" s="149">
        <v>97</v>
      </c>
      <c r="B480" s="273"/>
      <c r="C480" s="28" t="s">
        <v>3458</v>
      </c>
      <c r="D480" s="41"/>
      <c r="E480" s="131">
        <f t="shared" si="99"/>
        <v>3560</v>
      </c>
      <c r="F480" s="21">
        <f t="shared" si="107"/>
        <v>4307.5999999999995</v>
      </c>
      <c r="G480" s="21"/>
      <c r="H480" s="135">
        <f t="shared" si="98"/>
        <v>0</v>
      </c>
      <c r="I480" s="294">
        <v>45119</v>
      </c>
      <c r="J480" s="294"/>
      <c r="K480" s="11">
        <v>2221</v>
      </c>
      <c r="L480" s="10"/>
      <c r="M480" s="10"/>
      <c r="N480" s="37"/>
      <c r="O480" s="11">
        <f t="shared" si="118"/>
        <v>2221</v>
      </c>
      <c r="P480" s="11">
        <f t="shared" si="108"/>
        <v>2221</v>
      </c>
      <c r="Q480" s="11">
        <v>1.6</v>
      </c>
      <c r="R480" s="11">
        <f t="shared" si="109"/>
        <v>3553.6000000000004</v>
      </c>
      <c r="S480" s="11"/>
      <c r="T480" s="136">
        <f t="shared" si="110"/>
        <v>0</v>
      </c>
    </row>
    <row r="481" spans="1:20" ht="15.75" customHeight="1">
      <c r="A481" s="149"/>
      <c r="B481" s="273"/>
      <c r="C481" s="28" t="s">
        <v>1367</v>
      </c>
      <c r="D481" s="41">
        <v>130</v>
      </c>
      <c r="E481" s="131">
        <f t="shared" si="99"/>
        <v>0</v>
      </c>
      <c r="F481" s="21">
        <f t="shared" si="107"/>
        <v>0</v>
      </c>
      <c r="G481" s="21"/>
      <c r="H481" s="135">
        <f t="shared" si="98"/>
        <v>0</v>
      </c>
      <c r="I481" s="294">
        <v>43315</v>
      </c>
      <c r="J481" s="294"/>
      <c r="K481" s="11">
        <f>66*2</f>
        <v>132</v>
      </c>
      <c r="L481" s="11"/>
      <c r="M481" s="11"/>
      <c r="N481" s="100"/>
      <c r="O481" s="11">
        <f t="shared" si="118"/>
        <v>132</v>
      </c>
      <c r="P481" s="11">
        <f t="shared" si="108"/>
        <v>132</v>
      </c>
      <c r="Q481" s="11"/>
      <c r="R481" s="11">
        <f t="shared" si="109"/>
        <v>0</v>
      </c>
      <c r="S481" s="11"/>
      <c r="T481" s="136">
        <f t="shared" si="110"/>
        <v>0</v>
      </c>
    </row>
    <row r="482" spans="1:20" ht="15.75" customHeight="1">
      <c r="A482" s="149">
        <v>18</v>
      </c>
      <c r="B482" s="273"/>
      <c r="C482" s="28" t="s">
        <v>2206</v>
      </c>
      <c r="D482" s="41">
        <v>600</v>
      </c>
      <c r="E482" s="131">
        <f t="shared" si="99"/>
        <v>5770</v>
      </c>
      <c r="F482" s="21">
        <f t="shared" si="107"/>
        <v>6981.7</v>
      </c>
      <c r="G482" s="21"/>
      <c r="H482" s="135">
        <f t="shared" si="98"/>
        <v>0</v>
      </c>
      <c r="I482" s="23">
        <v>45323</v>
      </c>
      <c r="J482" s="294"/>
      <c r="K482" s="11">
        <f>0.8*0.98*0.94*0.95*4847</f>
        <v>3393.4428639999996</v>
      </c>
      <c r="L482" s="11"/>
      <c r="M482" s="11"/>
      <c r="N482" s="100"/>
      <c r="O482" s="11">
        <f t="shared" si="118"/>
        <v>3393.4428639999996</v>
      </c>
      <c r="P482" s="11">
        <f>+O482*'AUMENTOS %'!$B$5</f>
        <v>3393.4428639999996</v>
      </c>
      <c r="Q482" s="11">
        <v>1.7</v>
      </c>
      <c r="R482" s="11">
        <f t="shared" si="109"/>
        <v>5768.8528687999997</v>
      </c>
      <c r="S482" s="11"/>
      <c r="T482" s="136">
        <f t="shared" si="110"/>
        <v>0</v>
      </c>
    </row>
    <row r="483" spans="1:20" ht="15.75" customHeight="1">
      <c r="A483" s="149">
        <v>18</v>
      </c>
      <c r="B483" s="273"/>
      <c r="C483" s="28" t="s">
        <v>2205</v>
      </c>
      <c r="D483" s="41">
        <v>710</v>
      </c>
      <c r="E483" s="131">
        <f t="shared" si="99"/>
        <v>17910</v>
      </c>
      <c r="F483" s="21">
        <f t="shared" si="107"/>
        <v>21671.1</v>
      </c>
      <c r="G483" s="21"/>
      <c r="H483" s="135">
        <f t="shared" si="98"/>
        <v>0</v>
      </c>
      <c r="I483" s="23">
        <v>45323</v>
      </c>
      <c r="J483" s="294"/>
      <c r="K483" s="11">
        <f>0.8*0.98*0.94*0.95*15046</f>
        <v>10533.885151999999</v>
      </c>
      <c r="L483" s="11"/>
      <c r="M483" s="11"/>
      <c r="N483" s="100"/>
      <c r="O483" s="11">
        <f t="shared" si="118"/>
        <v>10533.885151999999</v>
      </c>
      <c r="P483" s="11">
        <f>+O483*'AUMENTOS %'!$B$5</f>
        <v>10533.885151999999</v>
      </c>
      <c r="Q483" s="11">
        <v>1.7</v>
      </c>
      <c r="R483" s="11">
        <f t="shared" si="109"/>
        <v>17907.604758399997</v>
      </c>
      <c r="S483" s="11"/>
      <c r="T483" s="136">
        <f t="shared" si="110"/>
        <v>0</v>
      </c>
    </row>
    <row r="484" spans="1:20" ht="15.75" customHeight="1">
      <c r="A484" s="149"/>
      <c r="B484" s="273"/>
      <c r="C484" s="28" t="s">
        <v>2231</v>
      </c>
      <c r="D484" s="41">
        <v>530</v>
      </c>
      <c r="E484" s="131">
        <f t="shared" si="99"/>
        <v>0</v>
      </c>
      <c r="F484" s="21">
        <f t="shared" si="107"/>
        <v>0</v>
      </c>
      <c r="G484" s="21"/>
      <c r="H484" s="135">
        <f t="shared" si="98"/>
        <v>0</v>
      </c>
      <c r="I484" s="294"/>
      <c r="J484" s="294">
        <v>43901</v>
      </c>
      <c r="K484" s="11">
        <f>331*1.6*1.3</f>
        <v>688.48</v>
      </c>
      <c r="L484" s="11"/>
      <c r="M484" s="11"/>
      <c r="N484" s="100"/>
      <c r="O484" s="11">
        <f t="shared" si="118"/>
        <v>688.48</v>
      </c>
      <c r="P484" s="11">
        <f>+O484*'AUMENTOS %'!$D$12</f>
        <v>688.48</v>
      </c>
      <c r="Q484" s="11"/>
      <c r="R484" s="11">
        <f t="shared" si="109"/>
        <v>0</v>
      </c>
      <c r="S484" s="11"/>
      <c r="T484" s="136">
        <f t="shared" si="110"/>
        <v>0</v>
      </c>
    </row>
    <row r="485" spans="1:20" ht="15.75" customHeight="1">
      <c r="A485" s="149"/>
      <c r="B485" s="273"/>
      <c r="C485" s="28" t="s">
        <v>2230</v>
      </c>
      <c r="D485" s="41">
        <v>600</v>
      </c>
      <c r="E485" s="131">
        <f t="shared" si="99"/>
        <v>0</v>
      </c>
      <c r="F485" s="21">
        <f t="shared" si="107"/>
        <v>0</v>
      </c>
      <c r="G485" s="21"/>
      <c r="H485" s="135">
        <f t="shared" si="98"/>
        <v>0</v>
      </c>
      <c r="I485" s="294"/>
      <c r="J485" s="294">
        <v>43901</v>
      </c>
      <c r="K485" s="10">
        <f>372*1.6</f>
        <v>595.20000000000005</v>
      </c>
      <c r="L485" s="32"/>
      <c r="M485" s="11"/>
      <c r="N485" s="100"/>
      <c r="O485" s="11">
        <f t="shared" si="118"/>
        <v>595.20000000000005</v>
      </c>
      <c r="P485" s="11">
        <f>+O485*'AUMENTOS %'!$D$12</f>
        <v>595.20000000000005</v>
      </c>
      <c r="Q485" s="11"/>
      <c r="R485" s="11">
        <f t="shared" si="109"/>
        <v>0</v>
      </c>
      <c r="S485" s="11"/>
      <c r="T485" s="136">
        <f t="shared" si="110"/>
        <v>0</v>
      </c>
    </row>
    <row r="486" spans="1:20" ht="15.75" customHeight="1">
      <c r="A486" s="149"/>
      <c r="B486" s="273"/>
      <c r="C486" s="28" t="s">
        <v>1368</v>
      </c>
      <c r="D486" s="41">
        <v>600</v>
      </c>
      <c r="E486" s="131">
        <f t="shared" si="99"/>
        <v>0</v>
      </c>
      <c r="F486" s="21">
        <f t="shared" si="107"/>
        <v>0</v>
      </c>
      <c r="G486" s="21"/>
      <c r="H486" s="135">
        <f t="shared" si="98"/>
        <v>0</v>
      </c>
      <c r="I486" s="294"/>
      <c r="J486" s="294">
        <v>43677</v>
      </c>
      <c r="K486" s="10">
        <f>372*1.6*1.4</f>
        <v>833.28</v>
      </c>
      <c r="L486" s="11"/>
      <c r="M486" s="11"/>
      <c r="N486" s="100"/>
      <c r="O486" s="11">
        <f t="shared" si="118"/>
        <v>833.28</v>
      </c>
      <c r="P486" s="11">
        <f>+O486*'AUMENTOS %'!$D$12</f>
        <v>833.28</v>
      </c>
      <c r="Q486" s="11"/>
      <c r="R486" s="11">
        <f t="shared" si="109"/>
        <v>0</v>
      </c>
      <c r="S486" s="11"/>
      <c r="T486" s="136">
        <f t="shared" si="110"/>
        <v>0</v>
      </c>
    </row>
    <row r="487" spans="1:20" ht="15.75" customHeight="1">
      <c r="A487" s="149"/>
      <c r="B487" s="273"/>
      <c r="C487" s="28" t="s">
        <v>2229</v>
      </c>
      <c r="D487" s="41">
        <v>530</v>
      </c>
      <c r="E487" s="131">
        <f t="shared" si="99"/>
        <v>0</v>
      </c>
      <c r="F487" s="21">
        <f t="shared" si="107"/>
        <v>0</v>
      </c>
      <c r="G487" s="21"/>
      <c r="H487" s="135">
        <f t="shared" si="98"/>
        <v>0</v>
      </c>
      <c r="I487" s="294"/>
      <c r="J487" s="294">
        <v>43901</v>
      </c>
      <c r="K487" s="10">
        <f>166*1.6*2</f>
        <v>531.20000000000005</v>
      </c>
      <c r="L487" s="11"/>
      <c r="M487" s="11"/>
      <c r="N487" s="100"/>
      <c r="O487" s="11">
        <f t="shared" si="118"/>
        <v>531.20000000000005</v>
      </c>
      <c r="P487" s="11">
        <f>+O487*'AUMENTOS %'!$D$12</f>
        <v>531.20000000000005</v>
      </c>
      <c r="Q487" s="11"/>
      <c r="R487" s="11">
        <f t="shared" si="109"/>
        <v>0</v>
      </c>
      <c r="S487" s="11"/>
      <c r="T487" s="136">
        <f t="shared" si="110"/>
        <v>0</v>
      </c>
    </row>
    <row r="488" spans="1:20" ht="15.75" customHeight="1">
      <c r="A488" s="149"/>
      <c r="B488" s="273"/>
      <c r="C488" s="28" t="s">
        <v>2233</v>
      </c>
      <c r="D488" s="41">
        <v>440</v>
      </c>
      <c r="E488" s="131">
        <f t="shared" si="99"/>
        <v>0</v>
      </c>
      <c r="F488" s="21">
        <f t="shared" si="107"/>
        <v>0</v>
      </c>
      <c r="G488" s="21"/>
      <c r="H488" s="135">
        <f t="shared" si="98"/>
        <v>0</v>
      </c>
      <c r="I488" s="294"/>
      <c r="J488" s="294">
        <v>43901</v>
      </c>
      <c r="K488" s="10">
        <f>290*1.6*0.9*1.5*1.2</f>
        <v>751.68000000000006</v>
      </c>
      <c r="L488" s="11"/>
      <c r="M488" s="11"/>
      <c r="N488" s="100"/>
      <c r="O488" s="11">
        <f t="shared" si="118"/>
        <v>751.68000000000006</v>
      </c>
      <c r="P488" s="11">
        <f t="shared" si="108"/>
        <v>751.68000000000006</v>
      </c>
      <c r="Q488" s="11"/>
      <c r="R488" s="11">
        <f t="shared" si="109"/>
        <v>0</v>
      </c>
      <c r="S488" s="11"/>
      <c r="T488" s="136">
        <f t="shared" si="110"/>
        <v>0</v>
      </c>
    </row>
    <row r="489" spans="1:20" ht="15.75" customHeight="1">
      <c r="A489" s="149"/>
      <c r="B489" s="273"/>
      <c r="C489" s="28" t="s">
        <v>1369</v>
      </c>
      <c r="D489" s="71">
        <v>800</v>
      </c>
      <c r="E489" s="131">
        <f t="shared" si="99"/>
        <v>4020</v>
      </c>
      <c r="F489" s="21">
        <f t="shared" si="107"/>
        <v>4864.2</v>
      </c>
      <c r="G489" s="21"/>
      <c r="H489" s="135">
        <f t="shared" ref="H489:H551" si="119">ROUNDUP(T489,-1)</f>
        <v>0</v>
      </c>
      <c r="I489" s="294">
        <v>45142</v>
      </c>
      <c r="J489" s="294"/>
      <c r="K489" s="10">
        <v>2360</v>
      </c>
      <c r="L489" s="11"/>
      <c r="M489" s="11"/>
      <c r="N489" s="100"/>
      <c r="O489" s="11">
        <f>MIN(K489:M489)*'AUMENTOS %'!$B$9</f>
        <v>2360</v>
      </c>
      <c r="P489" s="11">
        <f t="shared" si="108"/>
        <v>2360</v>
      </c>
      <c r="Q489" s="11">
        <v>1.7</v>
      </c>
      <c r="R489" s="11">
        <f t="shared" si="109"/>
        <v>4012</v>
      </c>
      <c r="S489" s="11"/>
      <c r="T489" s="136">
        <f t="shared" si="110"/>
        <v>0</v>
      </c>
    </row>
    <row r="490" spans="1:20" ht="15.75" customHeight="1">
      <c r="A490" s="149">
        <v>18</v>
      </c>
      <c r="B490" s="273"/>
      <c r="C490" s="36" t="s">
        <v>1370</v>
      </c>
      <c r="D490" s="41">
        <v>520</v>
      </c>
      <c r="E490" s="131">
        <f t="shared" si="99"/>
        <v>0</v>
      </c>
      <c r="F490" s="21">
        <f t="shared" si="107"/>
        <v>0</v>
      </c>
      <c r="G490" s="21"/>
      <c r="H490" s="135">
        <f t="shared" si="119"/>
        <v>0</v>
      </c>
      <c r="I490" s="294"/>
      <c r="J490" s="294"/>
      <c r="K490" s="10">
        <f>433*0.8*0.98*0.96*1.6</f>
        <v>521.42899199999999</v>
      </c>
      <c r="L490" s="11"/>
      <c r="M490" s="11"/>
      <c r="N490" s="100"/>
      <c r="O490" s="11">
        <f t="shared" si="118"/>
        <v>521.42899199999999</v>
      </c>
      <c r="P490" s="11">
        <f>+O490*'AUMENTOS %'!$B$5</f>
        <v>521.42899199999999</v>
      </c>
      <c r="Q490" s="11"/>
      <c r="R490" s="11">
        <f t="shared" si="109"/>
        <v>0</v>
      </c>
      <c r="S490" s="11"/>
      <c r="T490" s="136">
        <f t="shared" si="110"/>
        <v>0</v>
      </c>
    </row>
    <row r="491" spans="1:20" ht="15.75" customHeight="1">
      <c r="A491" s="149">
        <v>18</v>
      </c>
      <c r="B491" s="273"/>
      <c r="C491" s="28" t="s">
        <v>2609</v>
      </c>
      <c r="D491" s="41">
        <v>580</v>
      </c>
      <c r="E491" s="131">
        <f t="shared" si="99"/>
        <v>14970</v>
      </c>
      <c r="F491" s="21">
        <f t="shared" si="107"/>
        <v>18113.7</v>
      </c>
      <c r="G491" s="21"/>
      <c r="H491" s="135">
        <f t="shared" si="119"/>
        <v>0</v>
      </c>
      <c r="I491" s="23">
        <v>45323</v>
      </c>
      <c r="J491" s="294"/>
      <c r="K491" s="10">
        <f>0.8*0.94*0.98*0.95*12574</f>
        <v>8803.2082879999998</v>
      </c>
      <c r="L491" s="11"/>
      <c r="M491" s="11"/>
      <c r="N491" s="100"/>
      <c r="O491" s="11">
        <f t="shared" si="118"/>
        <v>8803.2082879999998</v>
      </c>
      <c r="P491" s="11">
        <f>+O491*'AUMENTOS %'!$B$5</f>
        <v>8803.2082879999998</v>
      </c>
      <c r="Q491" s="11">
        <v>1.7</v>
      </c>
      <c r="R491" s="11">
        <f t="shared" si="109"/>
        <v>14965.4540896</v>
      </c>
      <c r="S491" s="11"/>
      <c r="T491" s="136">
        <f t="shared" si="110"/>
        <v>0</v>
      </c>
    </row>
    <row r="492" spans="1:20" ht="15.75" customHeight="1">
      <c r="A492" s="149">
        <v>18</v>
      </c>
      <c r="B492" s="273"/>
      <c r="C492" s="28" t="s">
        <v>2610</v>
      </c>
      <c r="D492" s="41">
        <v>480</v>
      </c>
      <c r="E492" s="131">
        <f t="shared" si="99"/>
        <v>19480</v>
      </c>
      <c r="F492" s="21">
        <f t="shared" si="107"/>
        <v>23570.799999999999</v>
      </c>
      <c r="G492" s="21"/>
      <c r="H492" s="135">
        <f t="shared" si="119"/>
        <v>0</v>
      </c>
      <c r="I492" s="23">
        <v>45323</v>
      </c>
      <c r="J492" s="294"/>
      <c r="K492" s="10">
        <f>0.8*0.98*0.94*0.95*16364</f>
        <v>11456.632767999999</v>
      </c>
      <c r="L492" s="11"/>
      <c r="M492" s="11"/>
      <c r="N492" s="100"/>
      <c r="O492" s="11">
        <f t="shared" si="118"/>
        <v>11456.632767999999</v>
      </c>
      <c r="P492" s="11">
        <f>+O492*'AUMENTOS %'!$B$5</f>
        <v>11456.632767999999</v>
      </c>
      <c r="Q492" s="11">
        <v>1.7</v>
      </c>
      <c r="R492" s="11">
        <f t="shared" si="109"/>
        <v>19476.275705599997</v>
      </c>
      <c r="S492" s="11"/>
      <c r="T492" s="136">
        <f t="shared" si="110"/>
        <v>0</v>
      </c>
    </row>
    <row r="493" spans="1:20" ht="15.75" customHeight="1">
      <c r="A493" s="149">
        <v>18</v>
      </c>
      <c r="B493" s="273"/>
      <c r="C493" s="28" t="s">
        <v>1372</v>
      </c>
      <c r="D493" s="71">
        <v>420</v>
      </c>
      <c r="E493" s="131">
        <f t="shared" si="99"/>
        <v>14770</v>
      </c>
      <c r="F493" s="21">
        <f t="shared" si="107"/>
        <v>17871.7</v>
      </c>
      <c r="G493" s="21"/>
      <c r="H493" s="135">
        <f t="shared" si="119"/>
        <v>0</v>
      </c>
      <c r="I493" s="23">
        <v>45323</v>
      </c>
      <c r="J493" s="294"/>
      <c r="K493" s="10">
        <f>0.8*0.98*0.94*0.95*12403</f>
        <v>8683.4891360000001</v>
      </c>
      <c r="L493" s="11"/>
      <c r="M493" s="11"/>
      <c r="N493" s="100"/>
      <c r="O493" s="11">
        <f t="shared" si="118"/>
        <v>8683.4891360000001</v>
      </c>
      <c r="P493" s="11">
        <f>+O493*'AUMENTOS %'!$B$5</f>
        <v>8683.4891360000001</v>
      </c>
      <c r="Q493" s="11">
        <v>1.7</v>
      </c>
      <c r="R493" s="11">
        <f t="shared" si="109"/>
        <v>14761.9315312</v>
      </c>
      <c r="S493" s="11"/>
      <c r="T493" s="136">
        <f t="shared" si="110"/>
        <v>0</v>
      </c>
    </row>
    <row r="494" spans="1:20" ht="15.75" customHeight="1">
      <c r="A494" s="149"/>
      <c r="B494" s="273"/>
      <c r="C494" s="28" t="s">
        <v>1371</v>
      </c>
      <c r="D494" s="71">
        <v>270</v>
      </c>
      <c r="E494" s="131">
        <f t="shared" si="99"/>
        <v>0</v>
      </c>
      <c r="F494" s="21">
        <f t="shared" si="107"/>
        <v>0</v>
      </c>
      <c r="G494" s="21"/>
      <c r="H494" s="135">
        <f t="shared" si="119"/>
        <v>0</v>
      </c>
      <c r="I494" s="23">
        <v>45275</v>
      </c>
      <c r="J494" s="294"/>
      <c r="K494" s="10">
        <f>135*2</f>
        <v>270</v>
      </c>
      <c r="L494" s="11"/>
      <c r="M494" s="11"/>
      <c r="N494" s="100"/>
      <c r="O494" s="11">
        <f t="shared" si="118"/>
        <v>270</v>
      </c>
      <c r="P494" s="11">
        <f t="shared" si="108"/>
        <v>270</v>
      </c>
      <c r="Q494" s="11"/>
      <c r="R494" s="11">
        <f t="shared" si="109"/>
        <v>0</v>
      </c>
      <c r="S494" s="11"/>
      <c r="T494" s="136">
        <f t="shared" si="110"/>
        <v>0</v>
      </c>
    </row>
    <row r="495" spans="1:20" ht="15.75" customHeight="1">
      <c r="A495" s="149">
        <v>18</v>
      </c>
      <c r="B495" s="273"/>
      <c r="C495" s="28" t="s">
        <v>1373</v>
      </c>
      <c r="D495" s="71">
        <v>430</v>
      </c>
      <c r="E495" s="131">
        <f t="shared" si="99"/>
        <v>6280</v>
      </c>
      <c r="F495" s="21">
        <f t="shared" si="107"/>
        <v>7598.8</v>
      </c>
      <c r="G495" s="21"/>
      <c r="H495" s="135">
        <f t="shared" si="119"/>
        <v>0</v>
      </c>
      <c r="I495" s="23">
        <v>45323</v>
      </c>
      <c r="J495" s="294"/>
      <c r="K495" s="10">
        <f>0.8*0.98*0.94*0.95*5275</f>
        <v>3693.0907999999999</v>
      </c>
      <c r="L495" s="11"/>
      <c r="M495" s="11"/>
      <c r="N495" s="100"/>
      <c r="O495" s="11">
        <f t="shared" si="118"/>
        <v>3693.0907999999999</v>
      </c>
      <c r="P495" s="11">
        <f>+O495*'AUMENTOS %'!$B$5</f>
        <v>3693.0907999999999</v>
      </c>
      <c r="Q495" s="11">
        <v>1.7</v>
      </c>
      <c r="R495" s="11">
        <f t="shared" si="109"/>
        <v>6278.2543599999999</v>
      </c>
      <c r="S495" s="11"/>
      <c r="T495" s="136">
        <f t="shared" si="110"/>
        <v>0</v>
      </c>
    </row>
    <row r="496" spans="1:20" ht="15.75" customHeight="1">
      <c r="A496" s="149">
        <v>69</v>
      </c>
      <c r="B496" s="273"/>
      <c r="C496" s="28" t="s">
        <v>3454</v>
      </c>
      <c r="D496" s="71">
        <v>740</v>
      </c>
      <c r="E496" s="131">
        <f t="shared" si="99"/>
        <v>1540</v>
      </c>
      <c r="F496" s="21">
        <f t="shared" si="107"/>
        <v>1863.3999999999999</v>
      </c>
      <c r="G496" s="21"/>
      <c r="H496" s="135">
        <f t="shared" si="119"/>
        <v>0</v>
      </c>
      <c r="I496" s="294"/>
      <c r="J496" s="294">
        <v>44896</v>
      </c>
      <c r="K496" s="10">
        <v>901</v>
      </c>
      <c r="L496" s="11"/>
      <c r="M496" s="11"/>
      <c r="N496" s="100"/>
      <c r="O496" s="11">
        <f>MIN(K496:M496)*'AUMENTOS %'!$B$9</f>
        <v>901</v>
      </c>
      <c r="P496" s="11">
        <f t="shared" si="108"/>
        <v>901</v>
      </c>
      <c r="Q496" s="11">
        <v>1.7</v>
      </c>
      <c r="R496" s="11">
        <f t="shared" si="109"/>
        <v>1531.7</v>
      </c>
      <c r="S496" s="11"/>
      <c r="T496" s="136">
        <f t="shared" si="110"/>
        <v>0</v>
      </c>
    </row>
    <row r="497" spans="1:20" ht="15.75" customHeight="1">
      <c r="A497" s="149">
        <v>69</v>
      </c>
      <c r="B497" s="273"/>
      <c r="C497" s="28" t="s">
        <v>2189</v>
      </c>
      <c r="D497" s="71">
        <v>800</v>
      </c>
      <c r="E497" s="131">
        <f t="shared" si="99"/>
        <v>1270</v>
      </c>
      <c r="F497" s="21">
        <f t="shared" si="107"/>
        <v>1536.7</v>
      </c>
      <c r="G497" s="21"/>
      <c r="H497" s="135">
        <f t="shared" si="119"/>
        <v>0</v>
      </c>
      <c r="I497" s="294"/>
      <c r="J497" s="294">
        <v>44054</v>
      </c>
      <c r="K497" s="10">
        <f>496*1.6</f>
        <v>793.6</v>
      </c>
      <c r="L497" s="11"/>
      <c r="M497" s="11"/>
      <c r="N497" s="100"/>
      <c r="O497" s="11">
        <f>MIN(K497:M497)*'AUMENTOS %'!$B$9</f>
        <v>793.6</v>
      </c>
      <c r="P497" s="11">
        <f t="shared" si="108"/>
        <v>793.6</v>
      </c>
      <c r="Q497" s="11">
        <v>1.6</v>
      </c>
      <c r="R497" s="11">
        <f t="shared" si="109"/>
        <v>1269.7600000000002</v>
      </c>
      <c r="S497" s="11"/>
      <c r="T497" s="136">
        <f t="shared" si="110"/>
        <v>0</v>
      </c>
    </row>
    <row r="498" spans="1:20" ht="15.75" customHeight="1">
      <c r="A498" s="149">
        <v>18</v>
      </c>
      <c r="B498" s="273"/>
      <c r="C498" s="36" t="s">
        <v>2076</v>
      </c>
      <c r="D498" s="71">
        <v>290</v>
      </c>
      <c r="E498" s="131">
        <f t="shared" si="99"/>
        <v>5010</v>
      </c>
      <c r="F498" s="21">
        <f t="shared" si="107"/>
        <v>6062.0999999999995</v>
      </c>
      <c r="G498" s="21"/>
      <c r="H498" s="135">
        <f t="shared" si="119"/>
        <v>0</v>
      </c>
      <c r="I498" s="294">
        <v>45323</v>
      </c>
      <c r="J498" s="294"/>
      <c r="K498" s="10">
        <f>0.8*0.94*0.98*0.95*4204</f>
        <v>2943.2708479999997</v>
      </c>
      <c r="L498" s="11"/>
      <c r="M498" s="11"/>
      <c r="N498" s="100"/>
      <c r="O498" s="11">
        <f t="shared" si="118"/>
        <v>2943.2708479999997</v>
      </c>
      <c r="P498" s="11">
        <f>+O498*'AUMENTOS %'!$B$5</f>
        <v>2943.2708479999997</v>
      </c>
      <c r="Q498" s="11">
        <v>1.7</v>
      </c>
      <c r="R498" s="11">
        <f t="shared" si="109"/>
        <v>5003.5604415999996</v>
      </c>
      <c r="S498" s="11"/>
      <c r="T498" s="136">
        <f t="shared" si="110"/>
        <v>0</v>
      </c>
    </row>
    <row r="499" spans="1:20" ht="15.75" customHeight="1">
      <c r="A499" s="149"/>
      <c r="B499" s="273"/>
      <c r="C499" s="36" t="s">
        <v>4541</v>
      </c>
      <c r="D499" s="71">
        <v>290</v>
      </c>
      <c r="E499" s="131">
        <f>ROUNDUP(R499,-1)</f>
        <v>1230</v>
      </c>
      <c r="F499" s="21">
        <f>+E499*1.21</f>
        <v>1488.3</v>
      </c>
      <c r="G499" s="21"/>
      <c r="H499" s="135">
        <f>ROUNDUP(T499,-1)</f>
        <v>0</v>
      </c>
      <c r="I499" s="294">
        <v>45142</v>
      </c>
      <c r="J499" s="294"/>
      <c r="K499" s="10">
        <v>720</v>
      </c>
      <c r="L499" s="11"/>
      <c r="M499" s="11"/>
      <c r="N499" s="100"/>
      <c r="O499" s="11">
        <f>MIN(K499:M499)</f>
        <v>720</v>
      </c>
      <c r="P499" s="11">
        <f>+O499*'AUMENTOS %'!$B$5</f>
        <v>720</v>
      </c>
      <c r="Q499" s="11">
        <v>1.7</v>
      </c>
      <c r="R499" s="11">
        <f>+P499*Q499</f>
        <v>1224</v>
      </c>
      <c r="S499" s="11"/>
      <c r="T499" s="136">
        <f>+N499*Q499</f>
        <v>0</v>
      </c>
    </row>
    <row r="500" spans="1:20" ht="15.75" customHeight="1">
      <c r="A500" s="149">
        <v>18</v>
      </c>
      <c r="B500" s="273"/>
      <c r="C500" s="28" t="s">
        <v>3866</v>
      </c>
      <c r="D500" s="71"/>
      <c r="E500" s="131">
        <f t="shared" si="99"/>
        <v>9100</v>
      </c>
      <c r="F500" s="21">
        <f t="shared" si="107"/>
        <v>11011</v>
      </c>
      <c r="G500" s="21"/>
      <c r="H500" s="135">
        <f t="shared" si="119"/>
        <v>0</v>
      </c>
      <c r="I500" s="23">
        <v>45323</v>
      </c>
      <c r="J500" s="294"/>
      <c r="K500" s="10">
        <f>0.8*0.98*0.94*0.95*7644</f>
        <v>5351.6561279999996</v>
      </c>
      <c r="L500" s="11"/>
      <c r="M500" s="11"/>
      <c r="N500" s="100"/>
      <c r="O500" s="11">
        <f t="shared" si="118"/>
        <v>5351.6561279999996</v>
      </c>
      <c r="P500" s="11">
        <f>+O500*'AUMENTOS %'!$B$5</f>
        <v>5351.6561279999996</v>
      </c>
      <c r="Q500" s="11">
        <v>1.7</v>
      </c>
      <c r="R500" s="11">
        <f t="shared" si="109"/>
        <v>9097.8154175999989</v>
      </c>
      <c r="S500" s="11"/>
      <c r="T500" s="136">
        <f t="shared" si="110"/>
        <v>0</v>
      </c>
    </row>
    <row r="501" spans="1:20" ht="15.75" customHeight="1">
      <c r="A501" s="149">
        <v>18</v>
      </c>
      <c r="B501" s="273"/>
      <c r="C501" s="28" t="s">
        <v>1374</v>
      </c>
      <c r="D501" s="71"/>
      <c r="E501" s="131">
        <f t="shared" ref="E501:E564" si="120">ROUNDUP(R501,-1)</f>
        <v>0</v>
      </c>
      <c r="F501" s="21">
        <f t="shared" si="107"/>
        <v>0</v>
      </c>
      <c r="G501" s="21"/>
      <c r="H501" s="135">
        <f t="shared" si="119"/>
        <v>0</v>
      </c>
      <c r="I501" s="23">
        <v>45275</v>
      </c>
      <c r="J501" s="294">
        <v>42543</v>
      </c>
      <c r="K501" s="10">
        <f>0.8*0.98*0.94*0.95*644</f>
        <v>450.87212799999998</v>
      </c>
      <c r="L501" s="11"/>
      <c r="M501" s="11"/>
      <c r="N501" s="100"/>
      <c r="O501" s="11">
        <f t="shared" si="118"/>
        <v>450.87212799999998</v>
      </c>
      <c r="P501" s="11">
        <f>+O501*'AUMENTOS %'!$B$5</f>
        <v>450.87212799999998</v>
      </c>
      <c r="Q501" s="11"/>
      <c r="R501" s="11">
        <f t="shared" si="109"/>
        <v>0</v>
      </c>
      <c r="S501" s="11"/>
      <c r="T501" s="136">
        <f t="shared" ref="T501:T532" si="121">+N501*Q501</f>
        <v>0</v>
      </c>
    </row>
    <row r="502" spans="1:20" ht="15.75" customHeight="1">
      <c r="A502" s="149"/>
      <c r="B502" s="273"/>
      <c r="C502" s="28" t="s">
        <v>1375</v>
      </c>
      <c r="D502" s="71">
        <v>330</v>
      </c>
      <c r="E502" s="131">
        <f t="shared" si="120"/>
        <v>0</v>
      </c>
      <c r="F502" s="21">
        <f t="shared" si="107"/>
        <v>0</v>
      </c>
      <c r="G502" s="21"/>
      <c r="H502" s="135">
        <f t="shared" si="119"/>
        <v>0</v>
      </c>
      <c r="I502" s="294">
        <v>43356</v>
      </c>
      <c r="J502" s="294"/>
      <c r="K502" s="10">
        <f>165*2</f>
        <v>330</v>
      </c>
      <c r="L502" s="11"/>
      <c r="M502" s="11"/>
      <c r="N502" s="100"/>
      <c r="O502" s="11">
        <f t="shared" si="118"/>
        <v>330</v>
      </c>
      <c r="P502" s="11">
        <f>+O502*'AUMENTOS %'!$D$12</f>
        <v>330</v>
      </c>
      <c r="Q502" s="11"/>
      <c r="R502" s="11">
        <f t="shared" si="109"/>
        <v>0</v>
      </c>
      <c r="S502" s="11"/>
      <c r="T502" s="136">
        <f t="shared" si="121"/>
        <v>0</v>
      </c>
    </row>
    <row r="503" spans="1:20" ht="15.75" customHeight="1">
      <c r="A503" s="149" t="s">
        <v>2423</v>
      </c>
      <c r="B503" s="273"/>
      <c r="C503" s="28" t="s">
        <v>1376</v>
      </c>
      <c r="D503" s="71">
        <v>280</v>
      </c>
      <c r="E503" s="131">
        <f t="shared" si="120"/>
        <v>0</v>
      </c>
      <c r="F503" s="21">
        <f t="shared" si="107"/>
        <v>0</v>
      </c>
      <c r="G503" s="21"/>
      <c r="H503" s="135">
        <f t="shared" si="119"/>
        <v>0</v>
      </c>
      <c r="I503" s="294">
        <v>44578</v>
      </c>
      <c r="J503" s="294"/>
      <c r="K503" s="10">
        <f>+PROVEEDORES!D23*6.8+250</f>
        <v>6268</v>
      </c>
      <c r="L503" s="10"/>
      <c r="M503" s="11"/>
      <c r="N503" s="100"/>
      <c r="O503" s="11">
        <f t="shared" si="118"/>
        <v>6268</v>
      </c>
      <c r="P503" s="11">
        <f t="shared" si="108"/>
        <v>6268</v>
      </c>
      <c r="Q503" s="11"/>
      <c r="R503" s="11">
        <f t="shared" si="109"/>
        <v>0</v>
      </c>
      <c r="S503" s="11"/>
      <c r="T503" s="136">
        <f t="shared" si="121"/>
        <v>0</v>
      </c>
    </row>
    <row r="504" spans="1:20" ht="16">
      <c r="A504" s="149">
        <v>17</v>
      </c>
      <c r="B504" s="273">
        <f>ROUNDUP(E504*1.105,-1)</f>
        <v>136860</v>
      </c>
      <c r="C504" s="28" t="s">
        <v>2197</v>
      </c>
      <c r="D504" s="71">
        <v>5540</v>
      </c>
      <c r="E504" s="131">
        <f t="shared" si="120"/>
        <v>123850</v>
      </c>
      <c r="F504" s="21">
        <f t="shared" si="107"/>
        <v>149858.5</v>
      </c>
      <c r="G504" s="21"/>
      <c r="H504" s="135">
        <f t="shared" si="119"/>
        <v>0</v>
      </c>
      <c r="I504" s="294">
        <v>45296</v>
      </c>
      <c r="J504" s="40">
        <v>45336</v>
      </c>
      <c r="K504" s="11">
        <f>111000/1.21</f>
        <v>91735.537190082643</v>
      </c>
      <c r="L504" s="11"/>
      <c r="M504" s="30"/>
      <c r="N504" s="100"/>
      <c r="O504" s="11">
        <f t="shared" si="118"/>
        <v>91735.537190082643</v>
      </c>
      <c r="P504" s="11">
        <f t="shared" si="108"/>
        <v>91735.537190082643</v>
      </c>
      <c r="Q504" s="11">
        <v>1.35</v>
      </c>
      <c r="R504" s="11">
        <f t="shared" si="109"/>
        <v>123842.97520661158</v>
      </c>
      <c r="S504" s="11"/>
      <c r="T504" s="136">
        <f t="shared" si="121"/>
        <v>0</v>
      </c>
    </row>
    <row r="505" spans="1:20" ht="15.75" customHeight="1">
      <c r="A505" s="149">
        <v>44</v>
      </c>
      <c r="B505" s="273">
        <f>ROUNDUP(H505*1.105,-1)</f>
        <v>0</v>
      </c>
      <c r="C505" s="28" t="s">
        <v>3481</v>
      </c>
      <c r="D505" s="71">
        <v>6460</v>
      </c>
      <c r="E505" s="140">
        <f t="shared" si="120"/>
        <v>0</v>
      </c>
      <c r="F505" s="21">
        <f t="shared" si="107"/>
        <v>0</v>
      </c>
      <c r="G505" s="21"/>
      <c r="H505" s="135">
        <f t="shared" si="119"/>
        <v>0</v>
      </c>
      <c r="I505" s="294">
        <v>45184</v>
      </c>
      <c r="J505" s="40"/>
      <c r="K505" s="10">
        <f>+PROVEEDORES!$D$38*118.74</f>
        <v>105084.9</v>
      </c>
      <c r="L505" s="11"/>
      <c r="M505" s="30"/>
      <c r="N505" s="100"/>
      <c r="O505" s="11">
        <f t="shared" si="118"/>
        <v>105084.9</v>
      </c>
      <c r="P505" s="11">
        <f t="shared" si="108"/>
        <v>105084.9</v>
      </c>
      <c r="Q505" s="11"/>
      <c r="R505" s="11">
        <f t="shared" si="109"/>
        <v>0</v>
      </c>
      <c r="S505" s="11"/>
      <c r="T505" s="136">
        <f t="shared" si="121"/>
        <v>0</v>
      </c>
    </row>
    <row r="506" spans="1:20" ht="15.75" customHeight="1">
      <c r="A506" s="149">
        <v>44</v>
      </c>
      <c r="B506" s="273">
        <f>ROUNDUP(H506*1.105,-1)</f>
        <v>0</v>
      </c>
      <c r="C506" s="28" t="s">
        <v>3479</v>
      </c>
      <c r="D506" s="71">
        <v>7400</v>
      </c>
      <c r="E506" s="140">
        <f t="shared" si="120"/>
        <v>0</v>
      </c>
      <c r="F506" s="21">
        <f t="shared" si="107"/>
        <v>0</v>
      </c>
      <c r="G506" s="21"/>
      <c r="H506" s="135">
        <f t="shared" si="119"/>
        <v>0</v>
      </c>
      <c r="I506" s="294">
        <v>45184</v>
      </c>
      <c r="J506" s="40"/>
      <c r="K506" s="10">
        <f>+PROVEEDORES!$D$38*121.95</f>
        <v>107925.75</v>
      </c>
      <c r="L506" s="11"/>
      <c r="M506" s="30"/>
      <c r="N506" s="100"/>
      <c r="O506" s="11">
        <f t="shared" si="118"/>
        <v>107925.75</v>
      </c>
      <c r="P506" s="11">
        <f t="shared" si="108"/>
        <v>107925.75</v>
      </c>
      <c r="Q506" s="11"/>
      <c r="R506" s="11">
        <f t="shared" si="109"/>
        <v>0</v>
      </c>
      <c r="S506" s="11"/>
      <c r="T506" s="136">
        <f t="shared" si="121"/>
        <v>0</v>
      </c>
    </row>
    <row r="507" spans="1:20" ht="15.75" customHeight="1">
      <c r="A507" s="149">
        <v>44</v>
      </c>
      <c r="B507" s="273">
        <f>ROUNDUP(H507*1.105,-1)</f>
        <v>132730</v>
      </c>
      <c r="C507" s="28" t="s">
        <v>3482</v>
      </c>
      <c r="D507" s="71">
        <v>6460</v>
      </c>
      <c r="E507" s="140">
        <f t="shared" si="120"/>
        <v>161780</v>
      </c>
      <c r="F507" s="21">
        <f t="shared" si="107"/>
        <v>195753.8</v>
      </c>
      <c r="G507" s="21"/>
      <c r="H507" s="135">
        <f t="shared" si="119"/>
        <v>120110</v>
      </c>
      <c r="I507" s="294">
        <v>45287</v>
      </c>
      <c r="J507" s="40">
        <v>45329</v>
      </c>
      <c r="K507" s="10">
        <f>+PROVEEDORES!$D$38*130.57</f>
        <v>115554.45</v>
      </c>
      <c r="L507" s="11"/>
      <c r="M507" s="30"/>
      <c r="N507" s="100">
        <v>85790</v>
      </c>
      <c r="O507" s="11">
        <f t="shared" si="118"/>
        <v>115554.45</v>
      </c>
      <c r="P507" s="11">
        <f t="shared" si="108"/>
        <v>115554.45</v>
      </c>
      <c r="Q507" s="11">
        <v>1.4</v>
      </c>
      <c r="R507" s="11">
        <f t="shared" si="109"/>
        <v>161776.22999999998</v>
      </c>
      <c r="S507" s="11"/>
      <c r="T507" s="136">
        <f t="shared" si="121"/>
        <v>120105.99999999999</v>
      </c>
    </row>
    <row r="508" spans="1:20" ht="15.75" customHeight="1">
      <c r="A508" s="149">
        <v>44</v>
      </c>
      <c r="B508" s="273">
        <f>ROUNDUP(H508*1.105,-1)</f>
        <v>145060</v>
      </c>
      <c r="C508" s="28" t="s">
        <v>3480</v>
      </c>
      <c r="D508" s="71">
        <v>6460</v>
      </c>
      <c r="E508" s="140">
        <f t="shared" si="120"/>
        <v>177800</v>
      </c>
      <c r="F508" s="21">
        <f t="shared" si="107"/>
        <v>215138</v>
      </c>
      <c r="G508" s="21"/>
      <c r="H508" s="135">
        <f t="shared" si="119"/>
        <v>131270</v>
      </c>
      <c r="I508" s="294">
        <v>45287</v>
      </c>
      <c r="J508" s="40">
        <v>45329</v>
      </c>
      <c r="K508" s="10">
        <f>+PROVEEDORES!$D$38*143.5</f>
        <v>126997.5</v>
      </c>
      <c r="L508" s="11"/>
      <c r="M508" s="30"/>
      <c r="N508" s="100">
        <v>93760</v>
      </c>
      <c r="O508" s="11">
        <f t="shared" si="118"/>
        <v>126997.5</v>
      </c>
      <c r="P508" s="11">
        <f t="shared" si="108"/>
        <v>126997.5</v>
      </c>
      <c r="Q508" s="11">
        <v>1.4</v>
      </c>
      <c r="R508" s="11">
        <f t="shared" si="109"/>
        <v>177796.5</v>
      </c>
      <c r="S508" s="11"/>
      <c r="T508" s="136">
        <f t="shared" si="121"/>
        <v>131264</v>
      </c>
    </row>
    <row r="509" spans="1:20" ht="15.75" customHeight="1">
      <c r="A509" s="149">
        <v>76</v>
      </c>
      <c r="B509" s="273"/>
      <c r="C509" s="28" t="s">
        <v>62670</v>
      </c>
      <c r="D509" s="71">
        <v>1400</v>
      </c>
      <c r="E509" s="131">
        <f t="shared" si="120"/>
        <v>93710</v>
      </c>
      <c r="F509" s="21" t="s">
        <v>1248</v>
      </c>
      <c r="G509" s="21">
        <f>+E509*1.105</f>
        <v>103549.55</v>
      </c>
      <c r="H509" s="135">
        <f t="shared" si="119"/>
        <v>0</v>
      </c>
      <c r="I509" s="294"/>
      <c r="J509" s="40">
        <v>45366</v>
      </c>
      <c r="K509" s="11">
        <f>82635*0.9*0.9</f>
        <v>66934.350000000006</v>
      </c>
      <c r="L509" s="11"/>
      <c r="M509" s="103"/>
      <c r="N509" s="100"/>
      <c r="O509" s="11">
        <f t="shared" si="118"/>
        <v>66934.350000000006</v>
      </c>
      <c r="P509" s="11">
        <f t="shared" si="108"/>
        <v>66934.350000000006</v>
      </c>
      <c r="Q509" s="11">
        <v>1.4</v>
      </c>
      <c r="R509" s="11">
        <f t="shared" si="109"/>
        <v>93708.09</v>
      </c>
      <c r="S509" s="11"/>
      <c r="T509" s="136">
        <f t="shared" si="121"/>
        <v>0</v>
      </c>
    </row>
    <row r="510" spans="1:20" ht="15.75" customHeight="1">
      <c r="A510" s="149">
        <v>50</v>
      </c>
      <c r="B510" s="273"/>
      <c r="C510" s="28" t="s">
        <v>1377</v>
      </c>
      <c r="D510" s="142">
        <v>4500</v>
      </c>
      <c r="E510" s="139">
        <f t="shared" si="120"/>
        <v>110390</v>
      </c>
      <c r="F510" s="21">
        <f t="shared" ref="F510:F530" si="122">+E510*1.21</f>
        <v>133571.9</v>
      </c>
      <c r="G510" s="21"/>
      <c r="H510" s="135">
        <f t="shared" si="119"/>
        <v>104410</v>
      </c>
      <c r="I510" s="294">
        <v>45385</v>
      </c>
      <c r="J510" s="294"/>
      <c r="K510" s="43">
        <f>PROVEEDORES!$D$44*0.58*153.6</f>
        <v>78842.87999999999</v>
      </c>
      <c r="L510" s="10"/>
      <c r="M510" s="53"/>
      <c r="N510" s="171">
        <f>PROVEEDORES!$D$44*0.5985*140.8</f>
        <v>74577.888000000006</v>
      </c>
      <c r="O510" s="11">
        <f t="shared" si="118"/>
        <v>78842.87999999999</v>
      </c>
      <c r="P510" s="11">
        <f t="shared" si="108"/>
        <v>78842.87999999999</v>
      </c>
      <c r="Q510" s="11">
        <v>1.4</v>
      </c>
      <c r="R510" s="11">
        <f t="shared" si="109"/>
        <v>110380.03199999998</v>
      </c>
      <c r="S510" s="11"/>
      <c r="T510" s="136">
        <f t="shared" si="121"/>
        <v>104409.0432</v>
      </c>
    </row>
    <row r="511" spans="1:20" ht="15.75" customHeight="1">
      <c r="A511" s="149">
        <v>50</v>
      </c>
      <c r="B511" s="273"/>
      <c r="C511" s="28" t="s">
        <v>1378</v>
      </c>
      <c r="D511" s="142">
        <v>5690</v>
      </c>
      <c r="E511" s="139">
        <f t="shared" si="120"/>
        <v>153360</v>
      </c>
      <c r="F511" s="21">
        <f t="shared" si="122"/>
        <v>185565.6</v>
      </c>
      <c r="G511" s="21"/>
      <c r="H511" s="135">
        <f t="shared" si="119"/>
        <v>142750</v>
      </c>
      <c r="I511" s="294">
        <v>45385</v>
      </c>
      <c r="J511" s="294"/>
      <c r="K511" s="43">
        <f>PROVEEDORES!$D$44*0.58*213.4</f>
        <v>109538.21999999999</v>
      </c>
      <c r="L511" s="10"/>
      <c r="M511" s="53"/>
      <c r="N511" s="171">
        <f>PROVEEDORES!$D$44*0.5985*192.5</f>
        <v>101961.95625</v>
      </c>
      <c r="O511" s="11">
        <f t="shared" si="118"/>
        <v>109538.21999999999</v>
      </c>
      <c r="P511" s="11">
        <f t="shared" si="108"/>
        <v>109538.21999999999</v>
      </c>
      <c r="Q511" s="11">
        <v>1.4</v>
      </c>
      <c r="R511" s="11">
        <f t="shared" si="109"/>
        <v>153353.50799999997</v>
      </c>
      <c r="S511" s="11"/>
      <c r="T511" s="136">
        <f t="shared" si="121"/>
        <v>142746.73874999999</v>
      </c>
    </row>
    <row r="512" spans="1:20" ht="15.75" customHeight="1">
      <c r="A512" s="149">
        <v>50</v>
      </c>
      <c r="B512" s="273"/>
      <c r="C512" s="28" t="s">
        <v>1379</v>
      </c>
      <c r="D512" s="142">
        <v>5170</v>
      </c>
      <c r="E512" s="139">
        <f t="shared" si="120"/>
        <v>132530</v>
      </c>
      <c r="F512" s="21">
        <f t="shared" si="122"/>
        <v>160361.29999999999</v>
      </c>
      <c r="G512" s="49"/>
      <c r="H512" s="135">
        <f t="shared" si="119"/>
        <v>122360</v>
      </c>
      <c r="I512" s="294">
        <v>45385</v>
      </c>
      <c r="J512" s="294"/>
      <c r="K512" s="43">
        <f>PROVEEDORES!$D$44*0.58*184.42</f>
        <v>94662.785999999978</v>
      </c>
      <c r="L512" s="10"/>
      <c r="M512" s="53"/>
      <c r="N512" s="171">
        <f>PROVEEDORES!$D$44*0.5985*165</f>
        <v>87395.962500000009</v>
      </c>
      <c r="O512" s="11">
        <f t="shared" si="118"/>
        <v>94662.785999999978</v>
      </c>
      <c r="P512" s="11">
        <f t="shared" si="108"/>
        <v>94662.785999999978</v>
      </c>
      <c r="Q512" s="11">
        <v>1.4</v>
      </c>
      <c r="R512" s="11">
        <f t="shared" si="109"/>
        <v>132527.90039999995</v>
      </c>
      <c r="S512" s="11"/>
      <c r="T512" s="136">
        <f t="shared" si="121"/>
        <v>122354.3475</v>
      </c>
    </row>
    <row r="513" spans="1:20" ht="15.75" customHeight="1">
      <c r="A513" s="149">
        <v>50</v>
      </c>
      <c r="B513" s="273"/>
      <c r="C513" s="28" t="s">
        <v>1380</v>
      </c>
      <c r="D513" s="159">
        <v>5910</v>
      </c>
      <c r="E513" s="139">
        <f t="shared" si="120"/>
        <v>151850</v>
      </c>
      <c r="F513" s="21">
        <f t="shared" si="122"/>
        <v>183738.5</v>
      </c>
      <c r="G513" s="21"/>
      <c r="H513" s="135">
        <f t="shared" si="119"/>
        <v>140300</v>
      </c>
      <c r="I513" s="294">
        <v>45385</v>
      </c>
      <c r="J513" s="294"/>
      <c r="K513" s="43">
        <f>PROVEEDORES!$D$44*0.58*(184.42+26.88)</f>
        <v>108460.28999999998</v>
      </c>
      <c r="L513" s="10"/>
      <c r="M513" s="53"/>
      <c r="N513" s="171">
        <f>PROVEEDORES!$D$44*0.5985*(165+24.2)</f>
        <v>100214.037</v>
      </c>
      <c r="O513" s="11">
        <f t="shared" si="118"/>
        <v>108460.28999999998</v>
      </c>
      <c r="P513" s="11">
        <f t="shared" si="108"/>
        <v>108460.28999999998</v>
      </c>
      <c r="Q513" s="11">
        <v>1.4</v>
      </c>
      <c r="R513" s="11">
        <f t="shared" si="109"/>
        <v>151844.40599999996</v>
      </c>
      <c r="S513" s="11"/>
      <c r="T513" s="136">
        <f t="shared" si="121"/>
        <v>140299.65179999999</v>
      </c>
    </row>
    <row r="514" spans="1:20" ht="15.75" customHeight="1">
      <c r="A514" s="149">
        <v>50</v>
      </c>
      <c r="B514" s="273"/>
      <c r="C514" s="28" t="s">
        <v>3954</v>
      </c>
      <c r="D514" s="142">
        <v>3980</v>
      </c>
      <c r="E514" s="139">
        <f t="shared" si="120"/>
        <v>95210</v>
      </c>
      <c r="F514" s="21">
        <f t="shared" si="122"/>
        <v>115204.09999999999</v>
      </c>
      <c r="G514" s="21"/>
      <c r="H514" s="135">
        <f t="shared" si="119"/>
        <v>90550</v>
      </c>
      <c r="I514" s="294">
        <v>45385</v>
      </c>
      <c r="J514" s="294"/>
      <c r="K514" s="43">
        <f>PROVEEDORES!$D$44*0.58*132.48</f>
        <v>68001.983999999982</v>
      </c>
      <c r="L514" s="10"/>
      <c r="M514" s="53"/>
      <c r="N514" s="171">
        <f>PROVEEDORES!$D$44*0.5985*122.1</f>
        <v>64673.01225</v>
      </c>
      <c r="O514" s="11">
        <f t="shared" si="118"/>
        <v>68001.983999999982</v>
      </c>
      <c r="P514" s="11">
        <f t="shared" si="108"/>
        <v>68001.983999999982</v>
      </c>
      <c r="Q514" s="11">
        <v>1.4</v>
      </c>
      <c r="R514" s="11">
        <f t="shared" si="109"/>
        <v>95202.777599999972</v>
      </c>
      <c r="S514" s="11"/>
      <c r="T514" s="136">
        <f t="shared" si="121"/>
        <v>90542.217149999997</v>
      </c>
    </row>
    <row r="515" spans="1:20" ht="15.75" customHeight="1">
      <c r="A515" s="149">
        <v>50</v>
      </c>
      <c r="B515" s="273"/>
      <c r="C515" s="28" t="s">
        <v>3955</v>
      </c>
      <c r="D515" s="142">
        <v>5040</v>
      </c>
      <c r="E515" s="139">
        <f t="shared" si="120"/>
        <v>132450</v>
      </c>
      <c r="F515" s="21">
        <f t="shared" si="122"/>
        <v>160264.5</v>
      </c>
      <c r="G515" s="21"/>
      <c r="H515" s="135">
        <f t="shared" si="119"/>
        <v>122360</v>
      </c>
      <c r="I515" s="294">
        <v>45385</v>
      </c>
      <c r="J515" s="294"/>
      <c r="K515" s="43">
        <f>PROVEEDORES!$D$44*0.58*184.3</f>
        <v>94601.19</v>
      </c>
      <c r="L515" s="10"/>
      <c r="M515" s="53"/>
      <c r="N515" s="171">
        <f>PROVEEDORES!$D$44*0.5985*165</f>
        <v>87395.962500000009</v>
      </c>
      <c r="O515" s="11">
        <f t="shared" si="118"/>
        <v>94601.19</v>
      </c>
      <c r="P515" s="11">
        <f t="shared" si="108"/>
        <v>94601.19</v>
      </c>
      <c r="Q515" s="11">
        <v>1.4</v>
      </c>
      <c r="R515" s="11">
        <f t="shared" si="109"/>
        <v>132441.666</v>
      </c>
      <c r="S515" s="11"/>
      <c r="T515" s="136">
        <f t="shared" si="121"/>
        <v>122354.3475</v>
      </c>
    </row>
    <row r="516" spans="1:20" ht="15.75" customHeight="1">
      <c r="A516" s="149">
        <v>50</v>
      </c>
      <c r="B516" s="273"/>
      <c r="C516" s="28" t="s">
        <v>3956</v>
      </c>
      <c r="D516" s="142">
        <v>4450</v>
      </c>
      <c r="E516" s="139">
        <f t="shared" si="120"/>
        <v>114950</v>
      </c>
      <c r="F516" s="21">
        <f t="shared" si="122"/>
        <v>139089.5</v>
      </c>
      <c r="G516" s="21"/>
      <c r="H516" s="135">
        <f t="shared" si="119"/>
        <v>110940</v>
      </c>
      <c r="I516" s="294">
        <v>45385</v>
      </c>
      <c r="J516" s="294"/>
      <c r="K516" s="43">
        <f>PROVEEDORES!$D$44*0.58*159.95</f>
        <v>82102.334999999992</v>
      </c>
      <c r="L516" s="10"/>
      <c r="M516" s="53"/>
      <c r="N516" s="171">
        <f>PROVEEDORES!$D$44*0.5985*149.6</f>
        <v>79239.005999999994</v>
      </c>
      <c r="O516" s="11">
        <f t="shared" si="118"/>
        <v>82102.334999999992</v>
      </c>
      <c r="P516" s="11">
        <f t="shared" si="108"/>
        <v>82102.334999999992</v>
      </c>
      <c r="Q516" s="11">
        <v>1.4</v>
      </c>
      <c r="R516" s="11">
        <f t="shared" si="109"/>
        <v>114943.26899999999</v>
      </c>
      <c r="S516" s="11"/>
      <c r="T516" s="136">
        <f t="shared" si="121"/>
        <v>110934.60839999998</v>
      </c>
    </row>
    <row r="517" spans="1:20" ht="15.75" customHeight="1">
      <c r="A517" s="149">
        <v>50</v>
      </c>
      <c r="B517" s="273"/>
      <c r="C517" s="28" t="s">
        <v>3957</v>
      </c>
      <c r="D517" s="142">
        <v>4400</v>
      </c>
      <c r="E517" s="139">
        <f t="shared" si="120"/>
        <v>102110</v>
      </c>
      <c r="F517" s="21">
        <f t="shared" si="122"/>
        <v>123553.09999999999</v>
      </c>
      <c r="G517" s="21"/>
      <c r="H517" s="135">
        <f t="shared" si="119"/>
        <v>97890</v>
      </c>
      <c r="I517" s="294">
        <v>45385</v>
      </c>
      <c r="J517" s="294"/>
      <c r="K517" s="43">
        <f>PROVEEDORES!$D$44*0.58*142.08</f>
        <v>72929.664000000004</v>
      </c>
      <c r="L517" s="10"/>
      <c r="M517" s="53"/>
      <c r="N517" s="171">
        <f>PROVEEDORES!$D$44*0.5985*132</f>
        <v>69916.77</v>
      </c>
      <c r="O517" s="11">
        <f t="shared" si="118"/>
        <v>72929.664000000004</v>
      </c>
      <c r="P517" s="11">
        <f t="shared" si="108"/>
        <v>72929.664000000004</v>
      </c>
      <c r="Q517" s="11">
        <v>1.4</v>
      </c>
      <c r="R517" s="11">
        <f t="shared" si="109"/>
        <v>102101.52959999999</v>
      </c>
      <c r="S517" s="11"/>
      <c r="T517" s="136">
        <f t="shared" si="121"/>
        <v>97883.478000000003</v>
      </c>
    </row>
    <row r="518" spans="1:20" ht="15.75" customHeight="1">
      <c r="A518" s="149">
        <v>50</v>
      </c>
      <c r="B518" s="286"/>
      <c r="C518" s="28" t="s">
        <v>3958</v>
      </c>
      <c r="D518" s="142">
        <v>5380</v>
      </c>
      <c r="E518" s="139">
        <f t="shared" si="120"/>
        <v>160330</v>
      </c>
      <c r="F518" s="21">
        <f t="shared" si="122"/>
        <v>193999.3</v>
      </c>
      <c r="G518" s="21"/>
      <c r="H518" s="135">
        <f t="shared" si="119"/>
        <v>147650</v>
      </c>
      <c r="I518" s="294">
        <v>45385</v>
      </c>
      <c r="J518" s="294"/>
      <c r="K518" s="43">
        <f>PROVEEDORES!$D$44*0.58*223.1</f>
        <v>114517.22999999998</v>
      </c>
      <c r="L518" s="10"/>
      <c r="M518" s="53"/>
      <c r="N518" s="171">
        <f>PROVEEDORES!$D$44*0.5985*199.1</f>
        <v>105457.79475</v>
      </c>
      <c r="O518" s="11">
        <f t="shared" si="118"/>
        <v>114517.22999999998</v>
      </c>
      <c r="P518" s="11">
        <f t="shared" si="108"/>
        <v>114517.22999999998</v>
      </c>
      <c r="Q518" s="11">
        <v>1.4</v>
      </c>
      <c r="R518" s="11">
        <f t="shared" si="109"/>
        <v>160324.12199999997</v>
      </c>
      <c r="S518" s="11"/>
      <c r="T518" s="136">
        <f t="shared" si="121"/>
        <v>147640.91264999998</v>
      </c>
    </row>
    <row r="519" spans="1:20" ht="15.75" customHeight="1">
      <c r="A519" s="149">
        <v>50</v>
      </c>
      <c r="B519" s="273"/>
      <c r="C519" s="28" t="s">
        <v>3959</v>
      </c>
      <c r="D519" s="142">
        <v>5020</v>
      </c>
      <c r="E519" s="139">
        <f t="shared" si="120"/>
        <v>125100</v>
      </c>
      <c r="F519" s="21">
        <f t="shared" si="122"/>
        <v>151371</v>
      </c>
      <c r="G519" s="21"/>
      <c r="H519" s="135">
        <f t="shared" si="119"/>
        <v>119910</v>
      </c>
      <c r="I519" s="294">
        <v>45385</v>
      </c>
      <c r="J519" s="40"/>
      <c r="K519" s="43">
        <f>PROVEEDORES!$D$44*0.58*174.07</f>
        <v>89350.130999999994</v>
      </c>
      <c r="L519" s="10"/>
      <c r="M519" s="53"/>
      <c r="N519" s="171">
        <f>PROVEEDORES!$D$44*0.5985*161.7</f>
        <v>85648.043250000002</v>
      </c>
      <c r="O519" s="11">
        <f t="shared" si="118"/>
        <v>89350.130999999994</v>
      </c>
      <c r="P519" s="11">
        <f t="shared" si="108"/>
        <v>89350.130999999994</v>
      </c>
      <c r="Q519" s="11">
        <v>1.4</v>
      </c>
      <c r="R519" s="11">
        <f t="shared" si="109"/>
        <v>125090.18339999998</v>
      </c>
      <c r="S519" s="11"/>
      <c r="T519" s="136">
        <f t="shared" si="121"/>
        <v>119907.26054999999</v>
      </c>
    </row>
    <row r="520" spans="1:20" ht="15.75" customHeight="1">
      <c r="A520" s="149">
        <v>50</v>
      </c>
      <c r="B520" s="273">
        <f t="shared" ref="B520:B525" si="123">ROUNDUP(E520*1.105,-1)</f>
        <v>91490</v>
      </c>
      <c r="C520" s="28" t="s">
        <v>3960</v>
      </c>
      <c r="D520" s="142">
        <v>3570</v>
      </c>
      <c r="E520" s="139">
        <f t="shared" si="120"/>
        <v>82790</v>
      </c>
      <c r="F520" s="21">
        <f t="shared" si="122"/>
        <v>100175.9</v>
      </c>
      <c r="G520" s="21"/>
      <c r="H520" s="135">
        <f t="shared" si="119"/>
        <v>79130</v>
      </c>
      <c r="I520" s="294">
        <v>45385</v>
      </c>
      <c r="J520" s="294"/>
      <c r="K520" s="43">
        <f>PROVEEDORES!$D$44*0.58*115.2</f>
        <v>59132.159999999996</v>
      </c>
      <c r="L520" s="10"/>
      <c r="M520" s="10"/>
      <c r="N520" s="171">
        <f>PROVEEDORES!$D$44*0.5985*106.7</f>
        <v>56516.05575</v>
      </c>
      <c r="O520" s="11">
        <f t="shared" si="118"/>
        <v>59132.159999999996</v>
      </c>
      <c r="P520" s="11">
        <f t="shared" si="108"/>
        <v>59132.159999999996</v>
      </c>
      <c r="Q520" s="11">
        <v>1.4</v>
      </c>
      <c r="R520" s="11">
        <f t="shared" si="109"/>
        <v>82785.02399999999</v>
      </c>
      <c r="S520" s="11"/>
      <c r="T520" s="136">
        <f t="shared" si="121"/>
        <v>79122.478049999991</v>
      </c>
    </row>
    <row r="521" spans="1:20" ht="15.75" customHeight="1">
      <c r="A521" s="149">
        <v>44</v>
      </c>
      <c r="B521" s="273">
        <f>ROUNDUP(H521*1.105,-1)</f>
        <v>191310</v>
      </c>
      <c r="C521" s="28" t="s">
        <v>1383</v>
      </c>
      <c r="D521" s="71">
        <v>8830</v>
      </c>
      <c r="E521" s="140">
        <f t="shared" si="120"/>
        <v>242480</v>
      </c>
      <c r="F521" s="21">
        <f t="shared" si="122"/>
        <v>293400.8</v>
      </c>
      <c r="G521" s="21"/>
      <c r="H521" s="135">
        <f t="shared" si="119"/>
        <v>173130</v>
      </c>
      <c r="I521" s="294">
        <v>45287</v>
      </c>
      <c r="J521" s="294">
        <v>45329</v>
      </c>
      <c r="K521" s="10">
        <f>+PROVEEDORES!$D$38*195.7</f>
        <v>173194.5</v>
      </c>
      <c r="L521" s="10"/>
      <c r="M521" s="10"/>
      <c r="N521" s="100">
        <v>123660</v>
      </c>
      <c r="O521" s="11">
        <f t="shared" si="118"/>
        <v>173194.5</v>
      </c>
      <c r="P521" s="11">
        <f t="shared" si="108"/>
        <v>173194.5</v>
      </c>
      <c r="Q521" s="11">
        <v>1.4</v>
      </c>
      <c r="R521" s="11">
        <f t="shared" si="109"/>
        <v>242472.3</v>
      </c>
      <c r="S521" s="11"/>
      <c r="T521" s="136">
        <f t="shared" si="121"/>
        <v>173124</v>
      </c>
    </row>
    <row r="522" spans="1:20" ht="15.75" customHeight="1">
      <c r="A522" s="149">
        <v>44</v>
      </c>
      <c r="B522" s="273">
        <f>ROUNDUP(H522*1.105,-1)</f>
        <v>223180</v>
      </c>
      <c r="C522" s="28" t="s">
        <v>1384</v>
      </c>
      <c r="D522" s="71">
        <v>0</v>
      </c>
      <c r="E522" s="140">
        <f t="shared" si="120"/>
        <v>268840</v>
      </c>
      <c r="F522" s="21">
        <f t="shared" si="122"/>
        <v>325296.39999999997</v>
      </c>
      <c r="G522" s="21"/>
      <c r="H522" s="135">
        <f t="shared" si="119"/>
        <v>201970</v>
      </c>
      <c r="I522" s="294">
        <v>45287</v>
      </c>
      <c r="J522" s="294">
        <v>45329</v>
      </c>
      <c r="K522" s="10">
        <f>+PROVEEDORES!$D$38*216.98</f>
        <v>192027.3</v>
      </c>
      <c r="L522" s="10"/>
      <c r="M522" s="11"/>
      <c r="N522" s="100">
        <v>144260</v>
      </c>
      <c r="O522" s="11">
        <f t="shared" si="118"/>
        <v>192027.3</v>
      </c>
      <c r="P522" s="11">
        <f t="shared" si="108"/>
        <v>192027.3</v>
      </c>
      <c r="Q522" s="11">
        <v>1.4</v>
      </c>
      <c r="R522" s="11">
        <f t="shared" si="109"/>
        <v>268838.21999999997</v>
      </c>
      <c r="S522" s="11"/>
      <c r="T522" s="136">
        <f t="shared" si="121"/>
        <v>201964</v>
      </c>
    </row>
    <row r="523" spans="1:20" ht="15.75" customHeight="1">
      <c r="A523" s="149">
        <v>50</v>
      </c>
      <c r="B523" s="273">
        <f t="shared" si="123"/>
        <v>208120</v>
      </c>
      <c r="C523" s="28" t="s">
        <v>1385</v>
      </c>
      <c r="D523" s="158">
        <v>7950</v>
      </c>
      <c r="E523" s="139">
        <f t="shared" si="120"/>
        <v>188340</v>
      </c>
      <c r="F523" s="21">
        <f t="shared" si="122"/>
        <v>227891.4</v>
      </c>
      <c r="G523" s="44"/>
      <c r="H523" s="135">
        <f t="shared" si="119"/>
        <v>177830</v>
      </c>
      <c r="I523" s="294">
        <v>45385</v>
      </c>
      <c r="J523" s="294"/>
      <c r="K523" s="43">
        <f>PROVEEDORES!$D$44*0.58*262.08</f>
        <v>134525.66399999999</v>
      </c>
      <c r="L523" s="10"/>
      <c r="M523" s="10"/>
      <c r="N523" s="171">
        <f>PROVEEDORES!$D$44*0.5985*239.8</f>
        <v>127015.46550000001</v>
      </c>
      <c r="O523" s="11">
        <f t="shared" si="118"/>
        <v>134525.66399999999</v>
      </c>
      <c r="P523" s="11">
        <f t="shared" si="108"/>
        <v>134525.66399999999</v>
      </c>
      <c r="Q523" s="11">
        <v>1.4</v>
      </c>
      <c r="R523" s="11">
        <f t="shared" si="109"/>
        <v>188335.92959999997</v>
      </c>
      <c r="S523" s="11"/>
      <c r="T523" s="136">
        <f t="shared" si="121"/>
        <v>177821.65169999999</v>
      </c>
    </row>
    <row r="524" spans="1:20" ht="15.75" customHeight="1">
      <c r="A524" s="149">
        <v>50</v>
      </c>
      <c r="B524" s="273">
        <f t="shared" si="123"/>
        <v>270630</v>
      </c>
      <c r="C524" s="28" t="s">
        <v>1386</v>
      </c>
      <c r="D524" s="158">
        <v>9200</v>
      </c>
      <c r="E524" s="139">
        <f t="shared" si="120"/>
        <v>244910</v>
      </c>
      <c r="F524" s="21">
        <f t="shared" si="122"/>
        <v>296341.09999999998</v>
      </c>
      <c r="G524" s="21"/>
      <c r="H524" s="135">
        <f t="shared" si="119"/>
        <v>234110</v>
      </c>
      <c r="I524" s="294">
        <v>45385</v>
      </c>
      <c r="J524" s="294"/>
      <c r="K524" s="43">
        <f>PROVEEDORES!$D$44*0.58*340.8</f>
        <v>174932.63999999998</v>
      </c>
      <c r="L524" s="10"/>
      <c r="M524" s="10"/>
      <c r="N524" s="171">
        <f>PROVEEDORES!$D$44*0.5985*315.7</f>
        <v>167217.60824999999</v>
      </c>
      <c r="O524" s="11">
        <f t="shared" si="118"/>
        <v>174932.63999999998</v>
      </c>
      <c r="P524" s="11">
        <f t="shared" si="108"/>
        <v>174932.63999999998</v>
      </c>
      <c r="Q524" s="11">
        <v>1.4</v>
      </c>
      <c r="R524" s="11">
        <f t="shared" si="109"/>
        <v>244905.69599999997</v>
      </c>
      <c r="S524" s="11"/>
      <c r="T524" s="136">
        <f t="shared" si="121"/>
        <v>234104.65154999998</v>
      </c>
    </row>
    <row r="525" spans="1:20" ht="15.75" customHeight="1">
      <c r="A525" s="149">
        <v>50</v>
      </c>
      <c r="B525" s="273">
        <f t="shared" si="123"/>
        <v>173820</v>
      </c>
      <c r="C525" s="28" t="s">
        <v>3633</v>
      </c>
      <c r="D525" s="158">
        <v>9200</v>
      </c>
      <c r="E525" s="139">
        <f t="shared" si="120"/>
        <v>157300</v>
      </c>
      <c r="F525" s="21">
        <f t="shared" si="122"/>
        <v>190333</v>
      </c>
      <c r="G525" s="21"/>
      <c r="H525" s="135">
        <f t="shared" si="119"/>
        <v>148460</v>
      </c>
      <c r="I525" s="294">
        <v>45385</v>
      </c>
      <c r="J525" s="294"/>
      <c r="K525" s="43">
        <f>PROVEEDORES!$D$44*0.58*218.88</f>
        <v>112351.10399999999</v>
      </c>
      <c r="L525" s="172"/>
      <c r="M525" s="10"/>
      <c r="N525" s="171">
        <f>PROVEEDORES!$D$44*0.5985*200.2</f>
        <v>106040.4345</v>
      </c>
      <c r="O525" s="11">
        <f t="shared" si="118"/>
        <v>112351.10399999999</v>
      </c>
      <c r="P525" s="11">
        <f t="shared" si="108"/>
        <v>112351.10399999999</v>
      </c>
      <c r="Q525" s="11">
        <v>1.4</v>
      </c>
      <c r="R525" s="11">
        <f t="shared" si="109"/>
        <v>157291.54559999998</v>
      </c>
      <c r="S525" s="11"/>
      <c r="T525" s="136">
        <f t="shared" si="121"/>
        <v>148456.60829999999</v>
      </c>
    </row>
    <row r="526" spans="1:20" ht="15.75" customHeight="1">
      <c r="A526" s="149">
        <v>50</v>
      </c>
      <c r="B526" s="273">
        <f>ROUNDUP(E526*1.105,-1)</f>
        <v>616210</v>
      </c>
      <c r="C526" s="28" t="s">
        <v>1381</v>
      </c>
      <c r="D526" s="142">
        <v>21760</v>
      </c>
      <c r="E526" s="139">
        <f>ROUNDUP(R526,-1)</f>
        <v>557650</v>
      </c>
      <c r="F526" s="21">
        <f>+E526*1.21</f>
        <v>674756.5</v>
      </c>
      <c r="G526" s="21"/>
      <c r="H526" s="135">
        <f>ROUNDUP(T526,-1)</f>
        <v>526130</v>
      </c>
      <c r="I526" s="294">
        <v>45385</v>
      </c>
      <c r="J526" s="294"/>
      <c r="K526" s="43">
        <f>PROVEEDORES!$D$44*0.58*776</f>
        <v>398320.8</v>
      </c>
      <c r="L526" s="10"/>
      <c r="M526" s="10"/>
      <c r="N526" s="171">
        <f>PROVEEDORES!$D$44*0.5985*709.5</f>
        <v>375802.63874999998</v>
      </c>
      <c r="O526" s="11">
        <f>MIN(K526:M526)</f>
        <v>398320.8</v>
      </c>
      <c r="P526" s="11">
        <f t="shared" ref="P526:P587" si="124">+O526</f>
        <v>398320.8</v>
      </c>
      <c r="Q526" s="11">
        <v>1.4</v>
      </c>
      <c r="R526" s="11">
        <f t="shared" ref="R526:R587" si="125">+P526*Q526</f>
        <v>557649.12</v>
      </c>
      <c r="S526" s="11"/>
      <c r="T526" s="136">
        <f>+N526*Q526</f>
        <v>526123.69424999994</v>
      </c>
    </row>
    <row r="527" spans="1:20" ht="15.75" customHeight="1">
      <c r="A527" s="149">
        <v>50</v>
      </c>
      <c r="B527" s="273">
        <f>ROUNDUP(E527*1.105,-1)</f>
        <v>854990</v>
      </c>
      <c r="C527" s="28" t="s">
        <v>1382</v>
      </c>
      <c r="D527" s="142">
        <v>29010</v>
      </c>
      <c r="E527" s="139">
        <f>ROUNDUP(R527,-1)</f>
        <v>773740</v>
      </c>
      <c r="F527" s="21">
        <f>+E527*1.21</f>
        <v>936225.4</v>
      </c>
      <c r="G527" s="21"/>
      <c r="H527" s="135">
        <f>ROUNDUP(T527,-1)</f>
        <v>738210</v>
      </c>
      <c r="I527" s="294">
        <v>45385</v>
      </c>
      <c r="J527" s="294"/>
      <c r="K527" s="43">
        <f>PROVEEDORES!$D$44*0.58*1076.7</f>
        <v>552670.11</v>
      </c>
      <c r="L527" s="10"/>
      <c r="M527" s="10"/>
      <c r="N527" s="171">
        <f>PROVEEDORES!$D$44*0.5985*995.5</f>
        <v>527288.97375</v>
      </c>
      <c r="O527" s="11">
        <f>MIN(K527:M527)</f>
        <v>552670.11</v>
      </c>
      <c r="P527" s="11">
        <f t="shared" si="124"/>
        <v>552670.11</v>
      </c>
      <c r="Q527" s="11">
        <v>1.4</v>
      </c>
      <c r="R527" s="11">
        <f t="shared" si="125"/>
        <v>773738.15399999998</v>
      </c>
      <c r="S527" s="11"/>
      <c r="T527" s="136">
        <f>+N527*Q527</f>
        <v>738204.56325000001</v>
      </c>
    </row>
    <row r="528" spans="1:20" ht="15.75" customHeight="1">
      <c r="A528" s="149">
        <v>34</v>
      </c>
      <c r="B528" s="273"/>
      <c r="C528" s="28" t="s">
        <v>1387</v>
      </c>
      <c r="D528" s="41">
        <v>3850</v>
      </c>
      <c r="E528" s="131">
        <f t="shared" si="120"/>
        <v>95000</v>
      </c>
      <c r="F528" s="21">
        <f t="shared" si="122"/>
        <v>114950</v>
      </c>
      <c r="G528" s="21"/>
      <c r="H528" s="135">
        <f t="shared" si="119"/>
        <v>0</v>
      </c>
      <c r="I528" s="294">
        <v>45352</v>
      </c>
      <c r="J528" s="294">
        <v>45385</v>
      </c>
      <c r="K528" s="10">
        <f>0.8*76610</f>
        <v>61288</v>
      </c>
      <c r="L528" s="10" t="s">
        <v>3777</v>
      </c>
      <c r="M528" s="11"/>
      <c r="N528" s="100"/>
      <c r="O528" s="11">
        <f t="shared" si="118"/>
        <v>61288</v>
      </c>
      <c r="P528" s="11">
        <f t="shared" si="124"/>
        <v>61288</v>
      </c>
      <c r="Q528" s="11">
        <v>1.55</v>
      </c>
      <c r="R528" s="11">
        <f t="shared" si="125"/>
        <v>94996.400000000009</v>
      </c>
      <c r="S528" s="11"/>
      <c r="T528" s="136">
        <f t="shared" si="121"/>
        <v>0</v>
      </c>
    </row>
    <row r="529" spans="1:20" ht="15.75" customHeight="1">
      <c r="A529" s="149">
        <v>34</v>
      </c>
      <c r="B529" s="273"/>
      <c r="C529" s="28" t="s">
        <v>1388</v>
      </c>
      <c r="D529" s="157">
        <v>4060</v>
      </c>
      <c r="E529" s="131">
        <f t="shared" si="120"/>
        <v>99950</v>
      </c>
      <c r="F529" s="21">
        <f t="shared" si="122"/>
        <v>120939.5</v>
      </c>
      <c r="G529" s="21"/>
      <c r="H529" s="135">
        <f t="shared" si="119"/>
        <v>0</v>
      </c>
      <c r="I529" s="294">
        <v>45352</v>
      </c>
      <c r="J529" s="294">
        <v>45385</v>
      </c>
      <c r="K529" s="10">
        <f>0.8*83290</f>
        <v>66632</v>
      </c>
      <c r="L529" s="10"/>
      <c r="M529" s="11"/>
      <c r="N529" s="100"/>
      <c r="O529" s="11">
        <f t="shared" si="118"/>
        <v>66632</v>
      </c>
      <c r="P529" s="11">
        <f t="shared" si="124"/>
        <v>66632</v>
      </c>
      <c r="Q529" s="11">
        <v>1.5</v>
      </c>
      <c r="R529" s="11">
        <f t="shared" si="125"/>
        <v>99948</v>
      </c>
      <c r="S529" s="11"/>
      <c r="T529" s="136">
        <f t="shared" si="121"/>
        <v>0</v>
      </c>
    </row>
    <row r="530" spans="1:20" ht="15.75" customHeight="1">
      <c r="A530" s="149">
        <v>81</v>
      </c>
      <c r="B530" s="273"/>
      <c r="C530" s="28" t="s">
        <v>1390</v>
      </c>
      <c r="D530" s="157">
        <v>1250</v>
      </c>
      <c r="E530" s="131">
        <f t="shared" si="120"/>
        <v>0</v>
      </c>
      <c r="F530" s="21">
        <f t="shared" si="122"/>
        <v>0</v>
      </c>
      <c r="G530" s="21"/>
      <c r="H530" s="135">
        <f t="shared" si="119"/>
        <v>0</v>
      </c>
      <c r="I530" s="294"/>
      <c r="J530" s="294">
        <v>42951</v>
      </c>
      <c r="K530" s="10">
        <f>797*1.5</f>
        <v>1195.5</v>
      </c>
      <c r="L530" s="10"/>
      <c r="M530" s="11"/>
      <c r="N530" s="100"/>
      <c r="O530" s="11">
        <f t="shared" si="118"/>
        <v>1195.5</v>
      </c>
      <c r="P530" s="11">
        <f t="shared" si="124"/>
        <v>1195.5</v>
      </c>
      <c r="Q530" s="11"/>
      <c r="R530" s="11">
        <f t="shared" si="125"/>
        <v>0</v>
      </c>
      <c r="S530" s="11"/>
      <c r="T530" s="136">
        <f t="shared" si="121"/>
        <v>0</v>
      </c>
    </row>
    <row r="531" spans="1:20" ht="15.75" customHeight="1">
      <c r="A531" s="149">
        <v>34</v>
      </c>
      <c r="B531" s="273"/>
      <c r="C531" s="28" t="s">
        <v>1389</v>
      </c>
      <c r="D531" s="41">
        <v>3880</v>
      </c>
      <c r="E531" s="131">
        <f t="shared" si="120"/>
        <v>76520</v>
      </c>
      <c r="F531" s="21" t="s">
        <v>1248</v>
      </c>
      <c r="G531" s="21">
        <f>+E531*1.105</f>
        <v>84554.6</v>
      </c>
      <c r="H531" s="135">
        <f t="shared" si="119"/>
        <v>0</v>
      </c>
      <c r="I531" s="294">
        <v>45352</v>
      </c>
      <c r="J531" s="294">
        <v>45385</v>
      </c>
      <c r="K531" s="10">
        <f>0.8*63765</f>
        <v>51012</v>
      </c>
      <c r="L531" s="10"/>
      <c r="M531" s="11"/>
      <c r="N531" s="100"/>
      <c r="O531" s="11">
        <f t="shared" si="118"/>
        <v>51012</v>
      </c>
      <c r="P531" s="11">
        <f t="shared" si="124"/>
        <v>51012</v>
      </c>
      <c r="Q531" s="11">
        <v>1.5</v>
      </c>
      <c r="R531" s="11">
        <f t="shared" si="125"/>
        <v>76518</v>
      </c>
      <c r="S531" s="11"/>
      <c r="T531" s="136">
        <f t="shared" si="121"/>
        <v>0</v>
      </c>
    </row>
    <row r="532" spans="1:20" ht="15.75" customHeight="1">
      <c r="A532" s="149">
        <v>81</v>
      </c>
      <c r="B532" s="273"/>
      <c r="C532" s="28" t="s">
        <v>1391</v>
      </c>
      <c r="D532" s="41">
        <v>2990</v>
      </c>
      <c r="E532" s="131">
        <f t="shared" si="120"/>
        <v>0</v>
      </c>
      <c r="F532" s="21">
        <f t="shared" ref="F532:F577" si="126">+E532*1.21</f>
        <v>0</v>
      </c>
      <c r="G532" s="21"/>
      <c r="H532" s="135">
        <f t="shared" si="119"/>
        <v>0</v>
      </c>
      <c r="I532" s="294"/>
      <c r="J532" s="294">
        <v>42951</v>
      </c>
      <c r="K532" s="10">
        <f>1045*1.5*1.12*1.5</f>
        <v>2633.4</v>
      </c>
      <c r="L532" s="10"/>
      <c r="M532" s="11"/>
      <c r="N532" s="100"/>
      <c r="O532" s="11">
        <f t="shared" si="118"/>
        <v>2633.4</v>
      </c>
      <c r="P532" s="11">
        <f t="shared" si="124"/>
        <v>2633.4</v>
      </c>
      <c r="Q532" s="11"/>
      <c r="R532" s="11">
        <f t="shared" si="125"/>
        <v>0</v>
      </c>
      <c r="S532" s="11"/>
      <c r="T532" s="136">
        <f t="shared" si="121"/>
        <v>0</v>
      </c>
    </row>
    <row r="533" spans="1:20" ht="15.75" customHeight="1">
      <c r="A533" s="149">
        <v>44</v>
      </c>
      <c r="B533" s="273"/>
      <c r="C533" s="28" t="s">
        <v>1392</v>
      </c>
      <c r="D533" s="41">
        <v>3400</v>
      </c>
      <c r="E533" s="140">
        <f t="shared" si="120"/>
        <v>137530</v>
      </c>
      <c r="F533" s="21">
        <f t="shared" si="126"/>
        <v>166411.29999999999</v>
      </c>
      <c r="G533" s="21"/>
      <c r="H533" s="135">
        <f t="shared" si="119"/>
        <v>85680</v>
      </c>
      <c r="I533" s="294">
        <v>45287</v>
      </c>
      <c r="J533" s="294">
        <v>45329</v>
      </c>
      <c r="K533" s="10">
        <f>+PROVEEDORES!$D$38*111</f>
        <v>98235</v>
      </c>
      <c r="L533" s="11"/>
      <c r="M533" s="11"/>
      <c r="N533" s="100">
        <v>61200</v>
      </c>
      <c r="O533" s="11">
        <f t="shared" si="118"/>
        <v>98235</v>
      </c>
      <c r="P533" s="11">
        <f t="shared" si="124"/>
        <v>98235</v>
      </c>
      <c r="Q533" s="11">
        <v>1.4</v>
      </c>
      <c r="R533" s="11">
        <f t="shared" si="125"/>
        <v>137529</v>
      </c>
      <c r="S533" s="136"/>
      <c r="T533" s="136">
        <f t="shared" ref="T533:T564" si="127">+N533*Q533</f>
        <v>85680</v>
      </c>
    </row>
    <row r="534" spans="1:20" ht="15.75" customHeight="1">
      <c r="A534" s="149"/>
      <c r="B534" s="273"/>
      <c r="C534" s="28" t="s">
        <v>2570</v>
      </c>
      <c r="D534" s="41">
        <v>3380</v>
      </c>
      <c r="E534" s="131">
        <f t="shared" si="120"/>
        <v>4890</v>
      </c>
      <c r="F534" s="21">
        <f t="shared" si="126"/>
        <v>5916.9</v>
      </c>
      <c r="G534" s="21"/>
      <c r="H534" s="135">
        <f t="shared" si="119"/>
        <v>0</v>
      </c>
      <c r="I534" s="294"/>
      <c r="J534" s="294">
        <v>44116</v>
      </c>
      <c r="K534" s="10"/>
      <c r="L534" s="10">
        <v>3492</v>
      </c>
      <c r="M534" s="11"/>
      <c r="N534" s="100"/>
      <c r="O534" s="11">
        <f t="shared" si="118"/>
        <v>3492</v>
      </c>
      <c r="P534" s="11">
        <f t="shared" si="124"/>
        <v>3492</v>
      </c>
      <c r="Q534" s="11">
        <v>1.4</v>
      </c>
      <c r="R534" s="11">
        <f t="shared" si="125"/>
        <v>4888.7999999999993</v>
      </c>
      <c r="S534" s="11"/>
      <c r="T534" s="136">
        <f t="shared" si="127"/>
        <v>0</v>
      </c>
    </row>
    <row r="535" spans="1:20" ht="15.75" customHeight="1">
      <c r="A535" s="149" t="s">
        <v>2387</v>
      </c>
      <c r="B535" s="273"/>
      <c r="C535" s="28" t="s">
        <v>1393</v>
      </c>
      <c r="D535" s="41">
        <v>1970</v>
      </c>
      <c r="E535" s="131">
        <f t="shared" si="120"/>
        <v>0</v>
      </c>
      <c r="F535" s="21">
        <f t="shared" si="126"/>
        <v>0</v>
      </c>
      <c r="G535" s="21"/>
      <c r="H535" s="135">
        <f t="shared" si="119"/>
        <v>0</v>
      </c>
      <c r="I535" s="294"/>
      <c r="J535" s="294">
        <v>43511</v>
      </c>
      <c r="K535" s="10">
        <f>2918*0.5*1.35</f>
        <v>1969.65</v>
      </c>
      <c r="L535" s="10"/>
      <c r="M535" s="11"/>
      <c r="N535" s="100"/>
      <c r="O535" s="11">
        <f t="shared" si="118"/>
        <v>1969.65</v>
      </c>
      <c r="P535" s="11">
        <f t="shared" si="124"/>
        <v>1969.65</v>
      </c>
      <c r="Q535" s="11"/>
      <c r="R535" s="11">
        <f t="shared" si="125"/>
        <v>0</v>
      </c>
      <c r="S535" s="11"/>
      <c r="T535" s="136">
        <f t="shared" si="127"/>
        <v>0</v>
      </c>
    </row>
    <row r="536" spans="1:20" ht="15.75" customHeight="1">
      <c r="A536" s="149" t="s">
        <v>2387</v>
      </c>
      <c r="B536" s="273"/>
      <c r="C536" s="28" t="s">
        <v>1394</v>
      </c>
      <c r="D536" s="41">
        <v>2780</v>
      </c>
      <c r="E536" s="131">
        <f t="shared" si="120"/>
        <v>0</v>
      </c>
      <c r="F536" s="21">
        <f t="shared" si="126"/>
        <v>0</v>
      </c>
      <c r="G536" s="21"/>
      <c r="H536" s="135">
        <f t="shared" si="119"/>
        <v>0</v>
      </c>
      <c r="I536" s="294"/>
      <c r="J536" s="294">
        <v>43511</v>
      </c>
      <c r="K536" s="10">
        <f>4105*0.5*1.35</f>
        <v>2770.875</v>
      </c>
      <c r="L536" s="10"/>
      <c r="M536" s="11"/>
      <c r="N536" s="100"/>
      <c r="O536" s="11">
        <f t="shared" si="118"/>
        <v>2770.875</v>
      </c>
      <c r="P536" s="11">
        <f t="shared" si="124"/>
        <v>2770.875</v>
      </c>
      <c r="Q536" s="11"/>
      <c r="R536" s="11">
        <f t="shared" si="125"/>
        <v>0</v>
      </c>
      <c r="S536" s="11"/>
      <c r="T536" s="136">
        <f t="shared" si="127"/>
        <v>0</v>
      </c>
    </row>
    <row r="537" spans="1:20" ht="15.75" customHeight="1">
      <c r="A537" s="149" t="s">
        <v>2436</v>
      </c>
      <c r="B537" s="273"/>
      <c r="C537" s="28" t="s">
        <v>1395</v>
      </c>
      <c r="D537" s="41">
        <v>35</v>
      </c>
      <c r="E537" s="131">
        <f t="shared" si="120"/>
        <v>0</v>
      </c>
      <c r="F537" s="21">
        <f t="shared" si="126"/>
        <v>0</v>
      </c>
      <c r="G537" s="21"/>
      <c r="H537" s="135">
        <f t="shared" si="119"/>
        <v>0</v>
      </c>
      <c r="I537" s="294"/>
      <c r="J537" s="294"/>
      <c r="K537" s="10">
        <f>22.5*1.5</f>
        <v>33.75</v>
      </c>
      <c r="L537" s="10"/>
      <c r="M537" s="11"/>
      <c r="N537" s="100"/>
      <c r="O537" s="11">
        <f t="shared" si="118"/>
        <v>33.75</v>
      </c>
      <c r="P537" s="11">
        <f t="shared" si="124"/>
        <v>33.75</v>
      </c>
      <c r="Q537" s="11"/>
      <c r="R537" s="11">
        <f t="shared" si="125"/>
        <v>0</v>
      </c>
      <c r="S537" s="11"/>
      <c r="T537" s="136">
        <f t="shared" si="127"/>
        <v>0</v>
      </c>
    </row>
    <row r="538" spans="1:20" ht="15.75" customHeight="1">
      <c r="A538" s="149" t="s">
        <v>2436</v>
      </c>
      <c r="B538" s="273"/>
      <c r="C538" s="28" t="s">
        <v>1396</v>
      </c>
      <c r="D538" s="41">
        <v>40</v>
      </c>
      <c r="E538" s="131">
        <f t="shared" si="120"/>
        <v>0</v>
      </c>
      <c r="F538" s="21">
        <f t="shared" si="126"/>
        <v>0</v>
      </c>
      <c r="G538" s="21"/>
      <c r="H538" s="135">
        <f t="shared" si="119"/>
        <v>0</v>
      </c>
      <c r="I538" s="294"/>
      <c r="J538" s="40"/>
      <c r="K538" s="10">
        <f>20.35*1.5</f>
        <v>30.525000000000002</v>
      </c>
      <c r="L538" s="11"/>
      <c r="M538" s="11"/>
      <c r="N538" s="100"/>
      <c r="O538" s="11">
        <f t="shared" si="118"/>
        <v>30.525000000000002</v>
      </c>
      <c r="P538" s="11">
        <f t="shared" si="124"/>
        <v>30.525000000000002</v>
      </c>
      <c r="Q538" s="11"/>
      <c r="R538" s="11">
        <f t="shared" si="125"/>
        <v>0</v>
      </c>
      <c r="S538" s="11"/>
      <c r="T538" s="136">
        <f t="shared" si="127"/>
        <v>0</v>
      </c>
    </row>
    <row r="539" spans="1:20" ht="15.75" customHeight="1">
      <c r="A539" s="149" t="s">
        <v>2436</v>
      </c>
      <c r="B539" s="273"/>
      <c r="C539" s="28" t="s">
        <v>1397</v>
      </c>
      <c r="D539" s="41">
        <v>80</v>
      </c>
      <c r="E539" s="131">
        <f t="shared" si="120"/>
        <v>1390</v>
      </c>
      <c r="F539" s="21">
        <f t="shared" si="126"/>
        <v>1681.8999999999999</v>
      </c>
      <c r="G539" s="21"/>
      <c r="H539" s="135">
        <f t="shared" si="119"/>
        <v>0</v>
      </c>
      <c r="I539" s="294">
        <v>45286</v>
      </c>
      <c r="J539" s="294"/>
      <c r="K539" s="10">
        <v>769</v>
      </c>
      <c r="L539" s="11"/>
      <c r="M539" s="11"/>
      <c r="N539" s="100"/>
      <c r="O539" s="11">
        <f t="shared" si="118"/>
        <v>769</v>
      </c>
      <c r="P539" s="11">
        <f t="shared" si="124"/>
        <v>769</v>
      </c>
      <c r="Q539" s="11">
        <v>1.8</v>
      </c>
      <c r="R539" s="11">
        <f t="shared" si="125"/>
        <v>1384.2</v>
      </c>
      <c r="S539" s="11"/>
      <c r="T539" s="136">
        <f t="shared" si="127"/>
        <v>0</v>
      </c>
    </row>
    <row r="540" spans="1:20" ht="15.75" customHeight="1">
      <c r="A540" s="149" t="s">
        <v>2436</v>
      </c>
      <c r="B540" s="273"/>
      <c r="C540" s="28" t="s">
        <v>2568</v>
      </c>
      <c r="D540" s="41">
        <v>81</v>
      </c>
      <c r="E540" s="131">
        <f t="shared" si="120"/>
        <v>0</v>
      </c>
      <c r="F540" s="21">
        <f t="shared" si="126"/>
        <v>0</v>
      </c>
      <c r="G540" s="21"/>
      <c r="H540" s="135">
        <f t="shared" si="119"/>
        <v>0</v>
      </c>
      <c r="I540" s="294">
        <v>44162</v>
      </c>
      <c r="J540" s="294"/>
      <c r="K540" s="10">
        <v>139</v>
      </c>
      <c r="L540" s="11"/>
      <c r="M540" s="11"/>
      <c r="N540" s="100"/>
      <c r="O540" s="11">
        <f t="shared" si="118"/>
        <v>139</v>
      </c>
      <c r="P540" s="11">
        <f t="shared" si="124"/>
        <v>139</v>
      </c>
      <c r="Q540" s="11"/>
      <c r="R540" s="11">
        <f t="shared" si="125"/>
        <v>0</v>
      </c>
      <c r="S540" s="11"/>
      <c r="T540" s="136">
        <f t="shared" si="127"/>
        <v>0</v>
      </c>
    </row>
    <row r="541" spans="1:20" ht="15.75" customHeight="1">
      <c r="A541" s="149" t="s">
        <v>2436</v>
      </c>
      <c r="B541" s="273"/>
      <c r="C541" s="28" t="s">
        <v>1398</v>
      </c>
      <c r="D541" s="41">
        <v>160</v>
      </c>
      <c r="E541" s="131">
        <f t="shared" si="120"/>
        <v>0</v>
      </c>
      <c r="F541" s="21">
        <f t="shared" si="126"/>
        <v>0</v>
      </c>
      <c r="G541" s="21"/>
      <c r="H541" s="135">
        <f t="shared" si="119"/>
        <v>0</v>
      </c>
      <c r="I541" s="294"/>
      <c r="J541" s="294"/>
      <c r="K541" s="10">
        <f>92*1.7</f>
        <v>156.4</v>
      </c>
      <c r="L541" s="11"/>
      <c r="M541" s="11"/>
      <c r="N541" s="100"/>
      <c r="O541" s="11">
        <f t="shared" si="118"/>
        <v>156.4</v>
      </c>
      <c r="P541" s="11">
        <f t="shared" si="124"/>
        <v>156.4</v>
      </c>
      <c r="Q541" s="11"/>
      <c r="R541" s="11">
        <f t="shared" si="125"/>
        <v>0</v>
      </c>
      <c r="S541" s="11"/>
      <c r="T541" s="136">
        <f t="shared" si="127"/>
        <v>0</v>
      </c>
    </row>
    <row r="542" spans="1:20" ht="15.75" customHeight="1">
      <c r="A542" s="149" t="s">
        <v>2436</v>
      </c>
      <c r="B542" s="273"/>
      <c r="C542" s="28" t="s">
        <v>1399</v>
      </c>
      <c r="D542" s="41">
        <v>70</v>
      </c>
      <c r="E542" s="131">
        <f t="shared" si="120"/>
        <v>2620</v>
      </c>
      <c r="F542" s="21">
        <f t="shared" si="126"/>
        <v>3170.2</v>
      </c>
      <c r="G542" s="21"/>
      <c r="H542" s="135">
        <f t="shared" si="119"/>
        <v>0</v>
      </c>
      <c r="I542" s="294">
        <v>45286</v>
      </c>
      <c r="J542" s="294"/>
      <c r="K542" s="10">
        <v>1539</v>
      </c>
      <c r="L542" s="11"/>
      <c r="M542" s="11"/>
      <c r="N542" s="100"/>
      <c r="O542" s="11">
        <f t="shared" ref="O542:O610" si="128">MIN(K542:M542)</f>
        <v>1539</v>
      </c>
      <c r="P542" s="11">
        <f t="shared" si="124"/>
        <v>1539</v>
      </c>
      <c r="Q542" s="11">
        <v>1.7</v>
      </c>
      <c r="R542" s="11">
        <f t="shared" si="125"/>
        <v>2616.2999999999997</v>
      </c>
      <c r="S542" s="11"/>
      <c r="T542" s="136">
        <f t="shared" si="127"/>
        <v>0</v>
      </c>
    </row>
    <row r="543" spans="1:20" ht="15.75" customHeight="1">
      <c r="A543" s="149" t="s">
        <v>2437</v>
      </c>
      <c r="B543" s="273"/>
      <c r="C543" s="28" t="s">
        <v>2754</v>
      </c>
      <c r="D543" s="41">
        <v>150</v>
      </c>
      <c r="E543" s="131">
        <f t="shared" si="120"/>
        <v>2480</v>
      </c>
      <c r="F543" s="21">
        <f t="shared" si="126"/>
        <v>3000.7999999999997</v>
      </c>
      <c r="G543" s="21"/>
      <c r="H543" s="135">
        <f t="shared" si="119"/>
        <v>0</v>
      </c>
      <c r="I543" s="294">
        <v>45286</v>
      </c>
      <c r="J543" s="294">
        <v>45341</v>
      </c>
      <c r="K543" s="10">
        <v>1458</v>
      </c>
      <c r="L543" s="11"/>
      <c r="M543" s="11"/>
      <c r="N543" s="100"/>
      <c r="O543" s="11">
        <f t="shared" si="128"/>
        <v>1458</v>
      </c>
      <c r="P543" s="11">
        <f t="shared" si="124"/>
        <v>1458</v>
      </c>
      <c r="Q543" s="11">
        <v>1.7</v>
      </c>
      <c r="R543" s="11">
        <f t="shared" si="125"/>
        <v>2478.6</v>
      </c>
      <c r="S543" s="11"/>
      <c r="T543" s="136">
        <f t="shared" si="127"/>
        <v>0</v>
      </c>
    </row>
    <row r="544" spans="1:20" ht="15.75" customHeight="1">
      <c r="A544" s="149" t="s">
        <v>2436</v>
      </c>
      <c r="B544" s="273"/>
      <c r="C544" s="28" t="s">
        <v>1400</v>
      </c>
      <c r="D544" s="41">
        <v>50</v>
      </c>
      <c r="E544" s="131">
        <f t="shared" si="120"/>
        <v>0</v>
      </c>
      <c r="F544" s="21">
        <f t="shared" si="126"/>
        <v>0</v>
      </c>
      <c r="G544" s="21"/>
      <c r="H544" s="135">
        <f t="shared" si="119"/>
        <v>0</v>
      </c>
      <c r="I544" s="294"/>
      <c r="J544" s="294"/>
      <c r="K544" s="10">
        <f>15*1.5</f>
        <v>22.5</v>
      </c>
      <c r="L544" s="11"/>
      <c r="M544" s="11"/>
      <c r="N544" s="100"/>
      <c r="O544" s="11">
        <f t="shared" si="128"/>
        <v>22.5</v>
      </c>
      <c r="P544" s="11">
        <f t="shared" si="124"/>
        <v>22.5</v>
      </c>
      <c r="Q544" s="11"/>
      <c r="R544" s="11">
        <f t="shared" si="125"/>
        <v>0</v>
      </c>
      <c r="S544" s="11"/>
      <c r="T544" s="136">
        <f t="shared" si="127"/>
        <v>0</v>
      </c>
    </row>
    <row r="545" spans="1:20" ht="15.75" customHeight="1">
      <c r="A545" s="149" t="s">
        <v>2436</v>
      </c>
      <c r="B545" s="273"/>
      <c r="C545" s="28" t="s">
        <v>1401</v>
      </c>
      <c r="D545" s="41">
        <v>110</v>
      </c>
      <c r="E545" s="131">
        <f t="shared" si="120"/>
        <v>2610</v>
      </c>
      <c r="F545" s="21">
        <f t="shared" si="126"/>
        <v>3158.1</v>
      </c>
      <c r="G545" s="21"/>
      <c r="H545" s="135">
        <f t="shared" si="119"/>
        <v>0</v>
      </c>
      <c r="I545" s="294">
        <v>45300</v>
      </c>
      <c r="J545" s="294">
        <v>45303</v>
      </c>
      <c r="K545" s="10">
        <v>1629</v>
      </c>
      <c r="L545" s="11"/>
      <c r="M545" s="11"/>
      <c r="N545" s="100"/>
      <c r="O545" s="11">
        <f t="shared" si="128"/>
        <v>1629</v>
      </c>
      <c r="P545" s="11">
        <f t="shared" si="124"/>
        <v>1629</v>
      </c>
      <c r="Q545" s="11">
        <v>1.6</v>
      </c>
      <c r="R545" s="11">
        <f t="shared" si="125"/>
        <v>2606.4</v>
      </c>
      <c r="S545" s="11"/>
      <c r="T545" s="136">
        <f t="shared" si="127"/>
        <v>0</v>
      </c>
    </row>
    <row r="546" spans="1:20" ht="15.75" customHeight="1">
      <c r="A546" s="149" t="s">
        <v>2436</v>
      </c>
      <c r="B546" s="273"/>
      <c r="C546" s="28" t="s">
        <v>1402</v>
      </c>
      <c r="D546" s="41">
        <v>80</v>
      </c>
      <c r="E546" s="131">
        <f t="shared" si="120"/>
        <v>1160</v>
      </c>
      <c r="F546" s="21">
        <f t="shared" si="126"/>
        <v>1403.6</v>
      </c>
      <c r="G546" s="21"/>
      <c r="H546" s="135">
        <f t="shared" si="119"/>
        <v>0</v>
      </c>
      <c r="I546" s="294">
        <v>45286</v>
      </c>
      <c r="J546" s="294"/>
      <c r="K546" s="10">
        <v>769</v>
      </c>
      <c r="L546" s="11"/>
      <c r="M546" s="11"/>
      <c r="N546" s="100"/>
      <c r="O546" s="11">
        <f t="shared" si="128"/>
        <v>769</v>
      </c>
      <c r="P546" s="11">
        <f t="shared" si="124"/>
        <v>769</v>
      </c>
      <c r="Q546" s="11">
        <v>1.5</v>
      </c>
      <c r="R546" s="11">
        <f t="shared" si="125"/>
        <v>1153.5</v>
      </c>
      <c r="S546" s="11"/>
      <c r="T546" s="136">
        <f t="shared" si="127"/>
        <v>0</v>
      </c>
    </row>
    <row r="547" spans="1:20" ht="15.75" customHeight="1">
      <c r="A547" s="149" t="s">
        <v>2436</v>
      </c>
      <c r="B547" s="273"/>
      <c r="C547" s="28" t="s">
        <v>1403</v>
      </c>
      <c r="D547" s="41">
        <v>760</v>
      </c>
      <c r="E547" s="131">
        <f t="shared" si="120"/>
        <v>0</v>
      </c>
      <c r="F547" s="21">
        <f t="shared" si="126"/>
        <v>0</v>
      </c>
      <c r="G547" s="21"/>
      <c r="H547" s="135">
        <f t="shared" si="119"/>
        <v>0</v>
      </c>
      <c r="I547" s="294"/>
      <c r="J547" s="294"/>
      <c r="K547" s="10">
        <f>540*1.4</f>
        <v>756</v>
      </c>
      <c r="L547" s="11"/>
      <c r="M547" s="11"/>
      <c r="N547" s="100"/>
      <c r="O547" s="11">
        <f t="shared" si="128"/>
        <v>756</v>
      </c>
      <c r="P547" s="11">
        <f t="shared" si="124"/>
        <v>756</v>
      </c>
      <c r="Q547" s="11"/>
      <c r="R547" s="11">
        <f t="shared" si="125"/>
        <v>0</v>
      </c>
      <c r="S547" s="11"/>
      <c r="T547" s="136">
        <f t="shared" si="127"/>
        <v>0</v>
      </c>
    </row>
    <row r="548" spans="1:20" ht="15.75" customHeight="1">
      <c r="A548" s="149">
        <v>41</v>
      </c>
      <c r="B548" s="273"/>
      <c r="C548" s="28" t="s">
        <v>3792</v>
      </c>
      <c r="D548" s="41"/>
      <c r="E548" s="131">
        <f t="shared" si="120"/>
        <v>597360</v>
      </c>
      <c r="F548" s="21">
        <f t="shared" si="126"/>
        <v>722805.6</v>
      </c>
      <c r="G548" s="21"/>
      <c r="H548" s="135">
        <f t="shared" si="119"/>
        <v>0</v>
      </c>
      <c r="I548" s="294"/>
      <c r="J548" s="294">
        <v>44739</v>
      </c>
      <c r="K548" s="10">
        <f>0.9*PROVEEDORES!D35*387.69</f>
        <v>373345.47</v>
      </c>
      <c r="L548" s="11"/>
      <c r="M548" s="11"/>
      <c r="N548" s="100"/>
      <c r="O548" s="11">
        <f t="shared" si="128"/>
        <v>373345.47</v>
      </c>
      <c r="P548" s="11">
        <f t="shared" si="124"/>
        <v>373345.47</v>
      </c>
      <c r="Q548" s="11">
        <v>1.6</v>
      </c>
      <c r="R548" s="11">
        <f t="shared" si="125"/>
        <v>597352.75199999998</v>
      </c>
      <c r="S548" s="11"/>
      <c r="T548" s="136">
        <f t="shared" si="127"/>
        <v>0</v>
      </c>
    </row>
    <row r="549" spans="1:20" ht="15.75" customHeight="1">
      <c r="A549" s="149">
        <v>30</v>
      </c>
      <c r="B549" s="273"/>
      <c r="C549" s="28" t="s">
        <v>44210</v>
      </c>
      <c r="D549" s="41">
        <v>250</v>
      </c>
      <c r="E549" s="131">
        <f t="shared" si="120"/>
        <v>36430</v>
      </c>
      <c r="F549" s="21">
        <f t="shared" si="126"/>
        <v>44080.299999999996</v>
      </c>
      <c r="G549" s="21"/>
      <c r="H549" s="135">
        <f t="shared" si="119"/>
        <v>0</v>
      </c>
      <c r="I549" s="294">
        <v>45278</v>
      </c>
      <c r="J549" s="294"/>
      <c r="K549" s="10">
        <f>0.67*PROVEEDORES!$D$24*40.95</f>
        <v>24281.302500000005</v>
      </c>
      <c r="L549" s="11"/>
      <c r="M549" s="11"/>
      <c r="N549" s="100"/>
      <c r="O549" s="11">
        <f t="shared" si="128"/>
        <v>24281.302500000005</v>
      </c>
      <c r="P549" s="11">
        <f t="shared" si="124"/>
        <v>24281.302500000005</v>
      </c>
      <c r="Q549" s="11">
        <v>1.5</v>
      </c>
      <c r="R549" s="11">
        <f t="shared" si="125"/>
        <v>36421.953750000008</v>
      </c>
      <c r="S549" s="11"/>
      <c r="T549" s="136">
        <f t="shared" si="127"/>
        <v>0</v>
      </c>
    </row>
    <row r="550" spans="1:20" ht="15.75" customHeight="1">
      <c r="A550" s="149">
        <v>30</v>
      </c>
      <c r="B550" s="273"/>
      <c r="C550" s="28" t="s">
        <v>44211</v>
      </c>
      <c r="D550" s="41"/>
      <c r="E550" s="131">
        <f t="shared" si="120"/>
        <v>34730</v>
      </c>
      <c r="F550" s="21">
        <f t="shared" si="126"/>
        <v>42023.299999999996</v>
      </c>
      <c r="G550" s="21"/>
      <c r="H550" s="135">
        <f t="shared" si="119"/>
        <v>0</v>
      </c>
      <c r="I550" s="294">
        <v>45278</v>
      </c>
      <c r="J550" s="294"/>
      <c r="K550" s="10">
        <f>0.67*PROVEEDORES!$D$24*39.04</f>
        <v>23148.768</v>
      </c>
      <c r="L550" s="11"/>
      <c r="M550" s="11"/>
      <c r="N550" s="100"/>
      <c r="O550" s="11">
        <f t="shared" si="128"/>
        <v>23148.768</v>
      </c>
      <c r="P550" s="11">
        <f t="shared" si="124"/>
        <v>23148.768</v>
      </c>
      <c r="Q550" s="11">
        <v>1.5</v>
      </c>
      <c r="R550" s="11">
        <f t="shared" si="125"/>
        <v>34723.152000000002</v>
      </c>
      <c r="S550" s="11"/>
      <c r="T550" s="136">
        <f t="shared" si="127"/>
        <v>0</v>
      </c>
    </row>
    <row r="551" spans="1:20" ht="15.75" customHeight="1">
      <c r="A551" s="149">
        <v>21</v>
      </c>
      <c r="B551" s="273"/>
      <c r="C551" s="28" t="s">
        <v>3393</v>
      </c>
      <c r="D551" s="41">
        <v>250</v>
      </c>
      <c r="E551" s="131">
        <f t="shared" si="120"/>
        <v>3610</v>
      </c>
      <c r="F551" s="21">
        <f t="shared" si="126"/>
        <v>4368.0999999999995</v>
      </c>
      <c r="G551" s="21"/>
      <c r="H551" s="135">
        <f t="shared" si="119"/>
        <v>0</v>
      </c>
      <c r="I551" s="294">
        <v>45273</v>
      </c>
      <c r="J551" s="294">
        <v>45376</v>
      </c>
      <c r="K551" s="10">
        <f>+PROVEEDORES!$D$15*0.6*4.52</f>
        <v>2400.12</v>
      </c>
      <c r="L551" s="11">
        <f>+PROVEEDORES!D23*3.43*2</f>
        <v>6071.1</v>
      </c>
      <c r="M551" s="11"/>
      <c r="N551" s="100"/>
      <c r="O551" s="11">
        <f t="shared" si="128"/>
        <v>2400.12</v>
      </c>
      <c r="P551" s="11">
        <f t="shared" si="124"/>
        <v>2400.12</v>
      </c>
      <c r="Q551" s="11">
        <v>1.5</v>
      </c>
      <c r="R551" s="11">
        <f t="shared" si="125"/>
        <v>3600.18</v>
      </c>
      <c r="S551" s="11"/>
      <c r="T551" s="136">
        <f t="shared" si="127"/>
        <v>0</v>
      </c>
    </row>
    <row r="552" spans="1:20" ht="15.75" customHeight="1">
      <c r="A552" s="149">
        <v>30</v>
      </c>
      <c r="B552" s="273"/>
      <c r="C552" s="28" t="s">
        <v>44212</v>
      </c>
      <c r="D552" s="41"/>
      <c r="E552" s="131">
        <f>ROUNDUP(R552,-1)</f>
        <v>8480</v>
      </c>
      <c r="F552" s="21">
        <f>+E552*1.21</f>
        <v>10260.799999999999</v>
      </c>
      <c r="G552" s="21"/>
      <c r="H552" s="135">
        <f>ROUNDUP(T552,-1)</f>
        <v>0</v>
      </c>
      <c r="I552" s="294">
        <v>45278</v>
      </c>
      <c r="J552" s="294"/>
      <c r="K552" s="10">
        <f>0.67*PROVEEDORES!$D$24*9.53</f>
        <v>5650.8135000000002</v>
      </c>
      <c r="L552" s="11"/>
      <c r="M552" s="11"/>
      <c r="N552" s="100"/>
      <c r="O552" s="11">
        <f>MIN(K552:M552)</f>
        <v>5650.8135000000002</v>
      </c>
      <c r="P552" s="11">
        <f>+O552</f>
        <v>5650.8135000000002</v>
      </c>
      <c r="Q552" s="11">
        <v>1.5</v>
      </c>
      <c r="R552" s="11">
        <f>+P552*Q552</f>
        <v>8476.2202500000003</v>
      </c>
      <c r="S552" s="11"/>
      <c r="T552" s="136">
        <f>+N552*Q552</f>
        <v>0</v>
      </c>
    </row>
    <row r="553" spans="1:20" ht="15.75" customHeight="1">
      <c r="A553" s="149">
        <v>65</v>
      </c>
      <c r="B553" s="273"/>
      <c r="C553" s="28" t="s">
        <v>1404</v>
      </c>
      <c r="D553" s="160">
        <v>570</v>
      </c>
      <c r="E553" s="131">
        <f t="shared" si="120"/>
        <v>42000</v>
      </c>
      <c r="F553" s="21">
        <f t="shared" si="126"/>
        <v>50820</v>
      </c>
      <c r="G553" s="21"/>
      <c r="H553" s="135">
        <f t="shared" ref="H553:H628" si="129">ROUNDUP(T553,-1)</f>
        <v>0</v>
      </c>
      <c r="I553" s="294">
        <v>45286</v>
      </c>
      <c r="J553" s="294"/>
      <c r="K553" s="10">
        <v>30000</v>
      </c>
      <c r="L553" s="11"/>
      <c r="M553" s="11"/>
      <c r="N553" s="100"/>
      <c r="O553" s="11">
        <f t="shared" si="128"/>
        <v>30000</v>
      </c>
      <c r="P553" s="11">
        <f t="shared" si="124"/>
        <v>30000</v>
      </c>
      <c r="Q553" s="11">
        <v>1.4</v>
      </c>
      <c r="R553" s="11">
        <f t="shared" si="125"/>
        <v>42000</v>
      </c>
      <c r="S553" s="11"/>
      <c r="T553" s="136">
        <f t="shared" si="127"/>
        <v>0</v>
      </c>
    </row>
    <row r="554" spans="1:20" ht="15.75" customHeight="1">
      <c r="A554" s="149">
        <v>30</v>
      </c>
      <c r="B554" s="273"/>
      <c r="C554" s="28" t="s">
        <v>1405</v>
      </c>
      <c r="D554" s="160">
        <v>1590</v>
      </c>
      <c r="E554" s="139">
        <f t="shared" si="120"/>
        <v>0</v>
      </c>
      <c r="F554" s="21">
        <f t="shared" si="126"/>
        <v>0</v>
      </c>
      <c r="G554" s="21"/>
      <c r="H554" s="135">
        <f t="shared" si="129"/>
        <v>0</v>
      </c>
      <c r="I554" s="294">
        <v>43709</v>
      </c>
      <c r="J554" s="294"/>
      <c r="K554" s="10">
        <f>918*1.5*1.15</f>
        <v>1583.55</v>
      </c>
      <c r="L554" s="11"/>
      <c r="M554" s="11"/>
      <c r="N554" s="100"/>
      <c r="O554" s="11">
        <f t="shared" si="128"/>
        <v>1583.55</v>
      </c>
      <c r="P554" s="11">
        <f t="shared" si="124"/>
        <v>1583.55</v>
      </c>
      <c r="Q554" s="11"/>
      <c r="R554" s="11">
        <f t="shared" si="125"/>
        <v>0</v>
      </c>
      <c r="S554" s="11"/>
      <c r="T554" s="136">
        <f t="shared" si="127"/>
        <v>0</v>
      </c>
    </row>
    <row r="555" spans="1:20" ht="15.75" customHeight="1">
      <c r="A555" s="149">
        <v>21</v>
      </c>
      <c r="B555" s="273"/>
      <c r="C555" s="28" t="s">
        <v>44325</v>
      </c>
      <c r="D555" s="41">
        <v>150</v>
      </c>
      <c r="E555" s="131">
        <f t="shared" si="120"/>
        <v>2090</v>
      </c>
      <c r="F555" s="21">
        <f t="shared" si="126"/>
        <v>2528.9</v>
      </c>
      <c r="G555" s="21"/>
      <c r="H555" s="135">
        <f t="shared" si="129"/>
        <v>0</v>
      </c>
      <c r="I555" s="294">
        <v>45273</v>
      </c>
      <c r="J555" s="294">
        <v>45282</v>
      </c>
      <c r="K555" s="10">
        <f>0.6/12*23220</f>
        <v>1161</v>
      </c>
      <c r="L555" s="11"/>
      <c r="M555" s="11"/>
      <c r="N555" s="100"/>
      <c r="O555" s="11">
        <f t="shared" si="128"/>
        <v>1161</v>
      </c>
      <c r="P555" s="11">
        <f t="shared" si="124"/>
        <v>1161</v>
      </c>
      <c r="Q555" s="11">
        <v>1.8</v>
      </c>
      <c r="R555" s="11">
        <f t="shared" si="125"/>
        <v>2089.8000000000002</v>
      </c>
      <c r="S555" s="11"/>
      <c r="T555" s="136">
        <f t="shared" si="127"/>
        <v>0</v>
      </c>
    </row>
    <row r="556" spans="1:20" ht="15.75" customHeight="1">
      <c r="A556" s="149">
        <v>21</v>
      </c>
      <c r="B556" s="273"/>
      <c r="C556" s="28" t="s">
        <v>2496</v>
      </c>
      <c r="D556" s="41">
        <v>130</v>
      </c>
      <c r="E556" s="131">
        <f>ROUNDUP(R556,-1)</f>
        <v>2510</v>
      </c>
      <c r="F556" s="21">
        <f>+E556*1.21</f>
        <v>3037.1</v>
      </c>
      <c r="G556" s="21"/>
      <c r="H556" s="135">
        <f>ROUNDUP(T556,-1)</f>
        <v>0</v>
      </c>
      <c r="I556" s="294">
        <v>45273</v>
      </c>
      <c r="J556" s="294">
        <v>45282</v>
      </c>
      <c r="K556" s="10">
        <f>0.6/12*27870</f>
        <v>1393.4999999999998</v>
      </c>
      <c r="L556" s="10"/>
      <c r="M556" s="11"/>
      <c r="N556" s="100"/>
      <c r="O556" s="11">
        <f>MIN(K556:M556)</f>
        <v>1393.4999999999998</v>
      </c>
      <c r="P556" s="11">
        <f>+O556</f>
        <v>1393.4999999999998</v>
      </c>
      <c r="Q556" s="11">
        <v>1.8</v>
      </c>
      <c r="R556" s="11">
        <f>+P556*Q556</f>
        <v>2508.2999999999997</v>
      </c>
      <c r="S556" s="11"/>
      <c r="T556" s="136">
        <f>+N556*Q556</f>
        <v>0</v>
      </c>
    </row>
    <row r="557" spans="1:20" ht="15.75" customHeight="1">
      <c r="A557" s="149">
        <v>38</v>
      </c>
      <c r="B557" s="273"/>
      <c r="C557" s="28" t="s">
        <v>3725</v>
      </c>
      <c r="D557" s="41"/>
      <c r="E557" s="131">
        <f t="shared" si="120"/>
        <v>2270</v>
      </c>
      <c r="F557" s="21">
        <f t="shared" si="126"/>
        <v>2746.7</v>
      </c>
      <c r="G557" s="21"/>
      <c r="H557" s="135">
        <f t="shared" si="129"/>
        <v>1980</v>
      </c>
      <c r="I557" s="294">
        <v>45138</v>
      </c>
      <c r="J557" s="294">
        <v>45282</v>
      </c>
      <c r="K557" s="11">
        <f>+PROVEEDORES!$D$32*1.35</f>
        <v>1417.5</v>
      </c>
      <c r="L557" s="11"/>
      <c r="M557" s="11"/>
      <c r="N557" s="100">
        <v>1233</v>
      </c>
      <c r="O557" s="11">
        <f t="shared" si="128"/>
        <v>1417.5</v>
      </c>
      <c r="P557" s="11">
        <f t="shared" si="124"/>
        <v>1417.5</v>
      </c>
      <c r="Q557" s="11">
        <v>1.6</v>
      </c>
      <c r="R557" s="11">
        <f t="shared" si="125"/>
        <v>2268</v>
      </c>
      <c r="S557" s="11"/>
      <c r="T557" s="136">
        <f t="shared" si="127"/>
        <v>1972.8000000000002</v>
      </c>
    </row>
    <row r="558" spans="1:20" ht="15.75" customHeight="1">
      <c r="A558" s="149">
        <v>33</v>
      </c>
      <c r="B558" s="273"/>
      <c r="C558" s="28" t="s">
        <v>1407</v>
      </c>
      <c r="D558" s="41">
        <v>450</v>
      </c>
      <c r="E558" s="131">
        <f t="shared" si="120"/>
        <v>0</v>
      </c>
      <c r="F558" s="21">
        <f t="shared" si="126"/>
        <v>0</v>
      </c>
      <c r="G558" s="21"/>
      <c r="H558" s="135">
        <f t="shared" si="129"/>
        <v>0</v>
      </c>
      <c r="I558" s="294">
        <v>43601</v>
      </c>
      <c r="J558" s="294">
        <v>43661</v>
      </c>
      <c r="K558" s="10">
        <f>222*1.5*1.4</f>
        <v>466.2</v>
      </c>
      <c r="L558" s="11"/>
      <c r="M558" s="11"/>
      <c r="N558" s="100"/>
      <c r="O558" s="11">
        <f t="shared" si="128"/>
        <v>466.2</v>
      </c>
      <c r="P558" s="11">
        <f t="shared" si="124"/>
        <v>466.2</v>
      </c>
      <c r="Q558" s="11"/>
      <c r="R558" s="11">
        <f t="shared" si="125"/>
        <v>0</v>
      </c>
      <c r="S558" s="11"/>
      <c r="T558" s="136">
        <f t="shared" si="127"/>
        <v>0</v>
      </c>
    </row>
    <row r="559" spans="1:20" ht="15.75" customHeight="1">
      <c r="A559" s="149">
        <v>12</v>
      </c>
      <c r="B559" s="273"/>
      <c r="C559" s="28" t="s">
        <v>3672</v>
      </c>
      <c r="D559" s="41">
        <v>451</v>
      </c>
      <c r="E559" s="131">
        <f t="shared" si="120"/>
        <v>8290</v>
      </c>
      <c r="F559" s="21">
        <f t="shared" si="126"/>
        <v>10030.9</v>
      </c>
      <c r="G559" s="21"/>
      <c r="H559" s="135">
        <f t="shared" si="129"/>
        <v>0</v>
      </c>
      <c r="I559" s="294">
        <v>45222</v>
      </c>
      <c r="J559" s="294">
        <v>45338</v>
      </c>
      <c r="K559" s="10">
        <v>5525</v>
      </c>
      <c r="L559" s="11"/>
      <c r="M559" s="11"/>
      <c r="N559" s="100"/>
      <c r="O559" s="11">
        <f t="shared" si="128"/>
        <v>5525</v>
      </c>
      <c r="P559" s="11">
        <f t="shared" si="124"/>
        <v>5525</v>
      </c>
      <c r="Q559" s="11">
        <v>1.5</v>
      </c>
      <c r="R559" s="11">
        <f t="shared" si="125"/>
        <v>8287.5</v>
      </c>
      <c r="S559" s="11"/>
      <c r="T559" s="136">
        <f t="shared" si="127"/>
        <v>0</v>
      </c>
    </row>
    <row r="560" spans="1:20" ht="15.75" customHeight="1">
      <c r="A560" s="149">
        <v>12</v>
      </c>
      <c r="B560" s="273"/>
      <c r="C560" s="28" t="s">
        <v>3893</v>
      </c>
      <c r="D560" s="41">
        <v>451</v>
      </c>
      <c r="E560" s="131">
        <f t="shared" si="120"/>
        <v>8290</v>
      </c>
      <c r="F560" s="21">
        <f t="shared" si="126"/>
        <v>10030.9</v>
      </c>
      <c r="G560" s="21"/>
      <c r="H560" s="135">
        <f t="shared" si="129"/>
        <v>0</v>
      </c>
      <c r="I560" s="294">
        <v>45274</v>
      </c>
      <c r="J560" s="294">
        <v>45338</v>
      </c>
      <c r="K560" s="10">
        <v>5525</v>
      </c>
      <c r="L560" s="11"/>
      <c r="M560" s="11"/>
      <c r="N560" s="100"/>
      <c r="O560" s="11">
        <f t="shared" si="128"/>
        <v>5525</v>
      </c>
      <c r="P560" s="11">
        <f t="shared" si="124"/>
        <v>5525</v>
      </c>
      <c r="Q560" s="11">
        <v>1.5</v>
      </c>
      <c r="R560" s="11">
        <f t="shared" si="125"/>
        <v>8287.5</v>
      </c>
      <c r="S560" s="11"/>
      <c r="T560" s="136">
        <f t="shared" si="127"/>
        <v>0</v>
      </c>
    </row>
    <row r="561" spans="1:20" ht="15.75" customHeight="1">
      <c r="A561" s="149">
        <v>109</v>
      </c>
      <c r="B561" s="273"/>
      <c r="C561" s="28" t="s">
        <v>44204</v>
      </c>
      <c r="D561" s="41">
        <v>451</v>
      </c>
      <c r="E561" s="131">
        <f>ROUNDUP(R561,-1)</f>
        <v>6650</v>
      </c>
      <c r="F561" s="21">
        <f>+E561*1.21</f>
        <v>8046.5</v>
      </c>
      <c r="G561" s="21"/>
      <c r="H561" s="135">
        <f>ROUNDUP(T561,-1)</f>
        <v>0</v>
      </c>
      <c r="I561" s="294">
        <v>45313</v>
      </c>
      <c r="J561" s="294"/>
      <c r="K561" s="10">
        <f>1.038*4267</f>
        <v>4429.1459999999997</v>
      </c>
      <c r="L561" s="11"/>
      <c r="M561" s="11"/>
      <c r="N561" s="100"/>
      <c r="O561" s="11">
        <f>MIN(K561:M561)</f>
        <v>4429.1459999999997</v>
      </c>
      <c r="P561" s="11">
        <f>+O561</f>
        <v>4429.1459999999997</v>
      </c>
      <c r="Q561" s="11">
        <v>1.5</v>
      </c>
      <c r="R561" s="11">
        <f>+P561*Q561</f>
        <v>6643.7189999999991</v>
      </c>
      <c r="S561" s="11"/>
      <c r="T561" s="136">
        <f>+N561*Q561</f>
        <v>0</v>
      </c>
    </row>
    <row r="562" spans="1:20" ht="15.75" customHeight="1">
      <c r="A562" s="149">
        <v>12</v>
      </c>
      <c r="B562" s="273"/>
      <c r="C562" s="28" t="s">
        <v>4526</v>
      </c>
      <c r="D562" s="41">
        <v>451</v>
      </c>
      <c r="E562" s="131">
        <f t="shared" si="120"/>
        <v>7720</v>
      </c>
      <c r="F562" s="21">
        <f t="shared" si="126"/>
        <v>9341.1999999999989</v>
      </c>
      <c r="G562" s="21"/>
      <c r="H562" s="135">
        <f t="shared" si="129"/>
        <v>0</v>
      </c>
      <c r="I562" s="294">
        <v>45274</v>
      </c>
      <c r="J562" s="294">
        <v>45338</v>
      </c>
      <c r="K562" s="10">
        <v>5144</v>
      </c>
      <c r="L562" s="11"/>
      <c r="M562" s="11"/>
      <c r="N562" s="100"/>
      <c r="O562" s="11">
        <f t="shared" si="128"/>
        <v>5144</v>
      </c>
      <c r="P562" s="11">
        <f t="shared" si="124"/>
        <v>5144</v>
      </c>
      <c r="Q562" s="11">
        <v>1.5</v>
      </c>
      <c r="R562" s="11">
        <f t="shared" si="125"/>
        <v>7716</v>
      </c>
      <c r="S562" s="11"/>
      <c r="T562" s="136">
        <f t="shared" si="127"/>
        <v>0</v>
      </c>
    </row>
    <row r="563" spans="1:20" ht="15.75" customHeight="1">
      <c r="A563" s="149">
        <v>38</v>
      </c>
      <c r="B563" s="273"/>
      <c r="C563" s="28" t="s">
        <v>1406</v>
      </c>
      <c r="D563" s="41">
        <v>530</v>
      </c>
      <c r="E563" s="131">
        <f t="shared" si="120"/>
        <v>8530</v>
      </c>
      <c r="F563" s="21">
        <f t="shared" si="126"/>
        <v>10321.299999999999</v>
      </c>
      <c r="G563" s="21"/>
      <c r="H563" s="135">
        <f t="shared" si="129"/>
        <v>7380</v>
      </c>
      <c r="I563" s="294">
        <v>45138</v>
      </c>
      <c r="J563" s="294">
        <v>45274</v>
      </c>
      <c r="K563" s="11">
        <f>+PROVEEDORES!$D$32*5.41</f>
        <v>5680.5</v>
      </c>
      <c r="L563" s="11"/>
      <c r="M563" s="11"/>
      <c r="N563" s="100">
        <v>4920</v>
      </c>
      <c r="O563" s="11">
        <f t="shared" si="128"/>
        <v>5680.5</v>
      </c>
      <c r="P563" s="11">
        <f t="shared" si="124"/>
        <v>5680.5</v>
      </c>
      <c r="Q563" s="11">
        <v>1.5</v>
      </c>
      <c r="R563" s="11">
        <f t="shared" si="125"/>
        <v>8520.75</v>
      </c>
      <c r="S563" s="11"/>
      <c r="T563" s="136">
        <f t="shared" si="127"/>
        <v>7380</v>
      </c>
    </row>
    <row r="564" spans="1:20" ht="15.75" customHeight="1">
      <c r="A564" s="149">
        <v>12</v>
      </c>
      <c r="B564" s="273"/>
      <c r="C564" s="28" t="s">
        <v>4373</v>
      </c>
      <c r="D564" s="41"/>
      <c r="E564" s="131">
        <f t="shared" si="120"/>
        <v>7720</v>
      </c>
      <c r="F564" s="21">
        <f t="shared" si="126"/>
        <v>9341.1999999999989</v>
      </c>
      <c r="G564" s="21"/>
      <c r="H564" s="135">
        <f t="shared" si="129"/>
        <v>0</v>
      </c>
      <c r="I564" s="294">
        <v>45222</v>
      </c>
      <c r="J564" s="294">
        <v>45338</v>
      </c>
      <c r="K564" s="10">
        <v>5144</v>
      </c>
      <c r="L564" s="11"/>
      <c r="M564" s="11"/>
      <c r="N564" s="100"/>
      <c r="O564" s="11">
        <f t="shared" si="128"/>
        <v>5144</v>
      </c>
      <c r="P564" s="11">
        <f t="shared" si="124"/>
        <v>5144</v>
      </c>
      <c r="Q564" s="11">
        <v>1.5</v>
      </c>
      <c r="R564" s="11">
        <f t="shared" si="125"/>
        <v>7716</v>
      </c>
      <c r="S564" s="11"/>
      <c r="T564" s="136">
        <f t="shared" si="127"/>
        <v>0</v>
      </c>
    </row>
    <row r="565" spans="1:20" ht="15.75" customHeight="1">
      <c r="A565" s="149" t="s">
        <v>2398</v>
      </c>
      <c r="B565" s="273"/>
      <c r="C565" s="28" t="s">
        <v>1408</v>
      </c>
      <c r="D565" s="41">
        <v>17110</v>
      </c>
      <c r="E565" s="131">
        <f t="shared" ref="E565:E585" si="130">ROUNDUP(R565,-1)</f>
        <v>0</v>
      </c>
      <c r="F565" s="21">
        <f t="shared" si="126"/>
        <v>0</v>
      </c>
      <c r="G565" s="72"/>
      <c r="H565" s="135">
        <f t="shared" si="129"/>
        <v>0</v>
      </c>
      <c r="I565" s="23">
        <v>45275</v>
      </c>
      <c r="J565" s="294"/>
      <c r="K565" s="10">
        <f>0.8*0.98*0.94*20271*1.1*1.15*1.15*1.12*1.1*1.15*1.15</f>
        <v>35409.014878495836</v>
      </c>
      <c r="L565" s="11"/>
      <c r="M565" s="11"/>
      <c r="N565" s="100"/>
      <c r="O565" s="11">
        <f t="shared" si="128"/>
        <v>35409.014878495836</v>
      </c>
      <c r="P565" s="11">
        <f>+O565*'AUMENTOS %'!$B$5</f>
        <v>35409.014878495836</v>
      </c>
      <c r="Q565" s="11"/>
      <c r="R565" s="11">
        <f t="shared" si="125"/>
        <v>0</v>
      </c>
      <c r="S565" s="11"/>
      <c r="T565" s="136">
        <f t="shared" ref="T565:T596" si="131">+N565*Q565</f>
        <v>0</v>
      </c>
    </row>
    <row r="566" spans="1:20" ht="15.75" customHeight="1">
      <c r="A566" s="149" t="s">
        <v>2398</v>
      </c>
      <c r="B566" s="273">
        <f>ROUNDUP(E566*1.105,-1)</f>
        <v>598820</v>
      </c>
      <c r="C566" s="28" t="s">
        <v>37247</v>
      </c>
      <c r="D566" s="41">
        <v>20060</v>
      </c>
      <c r="E566" s="131">
        <f t="shared" si="130"/>
        <v>541910</v>
      </c>
      <c r="F566" s="21">
        <f t="shared" si="126"/>
        <v>655711.1</v>
      </c>
      <c r="G566" s="72"/>
      <c r="H566" s="135">
        <f t="shared" si="129"/>
        <v>0</v>
      </c>
      <c r="I566" s="23">
        <v>45323</v>
      </c>
      <c r="J566" s="294"/>
      <c r="K566" s="10">
        <f>0.8*0.98*0.94*0.95*560888</f>
        <v>392684.41945599997</v>
      </c>
      <c r="L566" s="11"/>
      <c r="M566" s="11"/>
      <c r="N566" s="100"/>
      <c r="O566" s="11">
        <f t="shared" si="128"/>
        <v>392684.41945599997</v>
      </c>
      <c r="P566" s="11">
        <f>+O566*'AUMENTOS %'!$B$5</f>
        <v>392684.41945599997</v>
      </c>
      <c r="Q566" s="11">
        <v>1.38</v>
      </c>
      <c r="R566" s="11">
        <f t="shared" si="125"/>
        <v>541904.49884927995</v>
      </c>
      <c r="S566" s="11"/>
      <c r="T566" s="136">
        <f t="shared" si="131"/>
        <v>0</v>
      </c>
    </row>
    <row r="567" spans="1:20" ht="15.75" customHeight="1">
      <c r="A567" s="149" t="s">
        <v>2398</v>
      </c>
      <c r="B567" s="273">
        <f>ROUNDUP(E567*1.105,-1)</f>
        <v>310490</v>
      </c>
      <c r="C567" s="28" t="s">
        <v>3536</v>
      </c>
      <c r="D567" s="41">
        <v>20060</v>
      </c>
      <c r="E567" s="131">
        <f t="shared" si="130"/>
        <v>280980</v>
      </c>
      <c r="F567" s="21">
        <f t="shared" si="126"/>
        <v>339985.8</v>
      </c>
      <c r="G567" s="72"/>
      <c r="H567" s="135">
        <f t="shared" si="129"/>
        <v>0</v>
      </c>
      <c r="I567" s="23">
        <v>45323</v>
      </c>
      <c r="J567" s="294"/>
      <c r="K567" s="10">
        <f>0.8*0.98*0.94*0.95*290823</f>
        <v>203608.67217599999</v>
      </c>
      <c r="L567" s="11"/>
      <c r="M567" s="11"/>
      <c r="N567" s="100"/>
      <c r="O567" s="11">
        <f t="shared" si="128"/>
        <v>203608.67217599999</v>
      </c>
      <c r="P567" s="11">
        <f>+O567*'AUMENTOS %'!$B$5</f>
        <v>203608.67217599999</v>
      </c>
      <c r="Q567" s="11">
        <v>1.38</v>
      </c>
      <c r="R567" s="11">
        <f t="shared" si="125"/>
        <v>280979.96760287997</v>
      </c>
      <c r="S567" s="11"/>
      <c r="T567" s="136">
        <f t="shared" si="131"/>
        <v>0</v>
      </c>
    </row>
    <row r="568" spans="1:20" ht="15.75" customHeight="1">
      <c r="A568" s="149">
        <v>38</v>
      </c>
      <c r="B568" s="273">
        <f>ROUNDUP(+E568*1.105,-1)</f>
        <v>224870</v>
      </c>
      <c r="C568" s="28" t="s">
        <v>4210</v>
      </c>
      <c r="D568" s="41">
        <v>20060</v>
      </c>
      <c r="E568" s="131">
        <f>ROUNDUP(R568,-1)</f>
        <v>203500</v>
      </c>
      <c r="F568" s="21">
        <f>+E568*1.21</f>
        <v>246235</v>
      </c>
      <c r="G568" s="72"/>
      <c r="H568" s="135">
        <f>ROUNDUP(T568,-1)</f>
        <v>195360</v>
      </c>
      <c r="I568" s="294">
        <v>45138</v>
      </c>
      <c r="J568" s="294">
        <v>45348</v>
      </c>
      <c r="K568" s="10">
        <f>+PROVEEDORES!$D$32*140.44</f>
        <v>147462</v>
      </c>
      <c r="L568" s="11"/>
      <c r="M568" s="11"/>
      <c r="N568" s="100">
        <f>+K568*0.96</f>
        <v>141563.51999999999</v>
      </c>
      <c r="O568" s="11">
        <f>MIN(K568:M568)</f>
        <v>147462</v>
      </c>
      <c r="P568" s="11">
        <f t="shared" si="124"/>
        <v>147462</v>
      </c>
      <c r="Q568" s="11">
        <v>1.38</v>
      </c>
      <c r="R568" s="11">
        <f t="shared" si="125"/>
        <v>203497.56</v>
      </c>
      <c r="S568" s="11"/>
      <c r="T568" s="136">
        <f>+N568*Q568</f>
        <v>195357.65759999998</v>
      </c>
    </row>
    <row r="569" spans="1:20" ht="15.75" customHeight="1">
      <c r="A569" s="149" t="s">
        <v>2398</v>
      </c>
      <c r="B569" s="273">
        <f>ROUNDUP(E569*1.105,-1)</f>
        <v>162360</v>
      </c>
      <c r="C569" s="36" t="s">
        <v>1409</v>
      </c>
      <c r="D569" s="41">
        <v>6830</v>
      </c>
      <c r="E569" s="131">
        <f t="shared" si="130"/>
        <v>146930</v>
      </c>
      <c r="F569" s="21">
        <f t="shared" si="126"/>
        <v>177785.3</v>
      </c>
      <c r="G569" s="72"/>
      <c r="H569" s="135">
        <f t="shared" si="129"/>
        <v>0</v>
      </c>
      <c r="I569" s="294">
        <v>45323</v>
      </c>
      <c r="J569" s="294"/>
      <c r="K569" s="10">
        <f>0.8*0.98*0.94*0.95*152068</f>
        <v>106464.631616</v>
      </c>
      <c r="L569" s="11"/>
      <c r="M569" s="11"/>
      <c r="N569" s="100"/>
      <c r="O569" s="11">
        <f t="shared" si="128"/>
        <v>106464.631616</v>
      </c>
      <c r="P569" s="11">
        <f>+O569*'AUMENTOS %'!$B$5</f>
        <v>106464.631616</v>
      </c>
      <c r="Q569" s="11">
        <v>1.38</v>
      </c>
      <c r="R569" s="11">
        <f t="shared" si="125"/>
        <v>146921.19163007999</v>
      </c>
      <c r="S569" s="11"/>
      <c r="T569" s="136">
        <f t="shared" si="131"/>
        <v>0</v>
      </c>
    </row>
    <row r="570" spans="1:20" ht="15.75" customHeight="1">
      <c r="A570" s="149" t="s">
        <v>2398</v>
      </c>
      <c r="B570" s="273"/>
      <c r="C570" s="36" t="s">
        <v>1410</v>
      </c>
      <c r="D570" s="41">
        <v>11970</v>
      </c>
      <c r="E570" s="131">
        <f t="shared" si="130"/>
        <v>0</v>
      </c>
      <c r="F570" s="21">
        <f t="shared" si="126"/>
        <v>0</v>
      </c>
      <c r="G570" s="72"/>
      <c r="H570" s="135">
        <f t="shared" si="129"/>
        <v>0</v>
      </c>
      <c r="I570" s="294">
        <v>44778</v>
      </c>
      <c r="J570" s="294"/>
      <c r="K570" s="10">
        <f>0.8*0.98*0.94*0.95*12661*1.1*1.15*1.15*1.12*1.1*1.15*1.15</f>
        <v>21010.204751013964</v>
      </c>
      <c r="L570" s="11"/>
      <c r="M570" s="11"/>
      <c r="N570" s="100"/>
      <c r="O570" s="11">
        <f t="shared" si="128"/>
        <v>21010.204751013964</v>
      </c>
      <c r="P570" s="11">
        <f>+O570*'AUMENTOS %'!$B$5</f>
        <v>21010.204751013964</v>
      </c>
      <c r="Q570" s="11"/>
      <c r="R570" s="11">
        <f t="shared" si="125"/>
        <v>0</v>
      </c>
      <c r="S570" s="11"/>
      <c r="T570" s="136">
        <f t="shared" si="131"/>
        <v>0</v>
      </c>
    </row>
    <row r="571" spans="1:20" ht="15.75" customHeight="1">
      <c r="A571" s="149"/>
      <c r="B571" s="273"/>
      <c r="C571" s="28" t="s">
        <v>2106</v>
      </c>
      <c r="D571" s="41">
        <v>270</v>
      </c>
      <c r="E571" s="131">
        <f t="shared" si="130"/>
        <v>0</v>
      </c>
      <c r="F571" s="21">
        <f t="shared" si="126"/>
        <v>0</v>
      </c>
      <c r="G571" s="72"/>
      <c r="H571" s="135">
        <f t="shared" si="129"/>
        <v>0</v>
      </c>
      <c r="I571" s="294"/>
      <c r="J571" s="294">
        <v>43739</v>
      </c>
      <c r="K571" s="10">
        <f>180*1.5</f>
        <v>270</v>
      </c>
      <c r="L571" s="11"/>
      <c r="M571" s="11"/>
      <c r="N571" s="100"/>
      <c r="O571" s="11">
        <f t="shared" si="128"/>
        <v>270</v>
      </c>
      <c r="P571" s="11">
        <f t="shared" si="124"/>
        <v>270</v>
      </c>
      <c r="Q571" s="11"/>
      <c r="R571" s="11">
        <f t="shared" si="125"/>
        <v>0</v>
      </c>
      <c r="S571" s="11"/>
      <c r="T571" s="136">
        <f t="shared" si="131"/>
        <v>0</v>
      </c>
    </row>
    <row r="572" spans="1:20" ht="15.75" customHeight="1">
      <c r="A572" s="149"/>
      <c r="B572" s="273"/>
      <c r="C572" s="28" t="s">
        <v>2105</v>
      </c>
      <c r="D572" s="41">
        <v>180</v>
      </c>
      <c r="E572" s="131">
        <f t="shared" si="130"/>
        <v>0</v>
      </c>
      <c r="F572" s="21">
        <f t="shared" si="126"/>
        <v>0</v>
      </c>
      <c r="G572" s="72"/>
      <c r="H572" s="135">
        <f t="shared" si="129"/>
        <v>0</v>
      </c>
      <c r="I572" s="294"/>
      <c r="J572" s="294">
        <v>43739</v>
      </c>
      <c r="K572" s="10">
        <f>120*1.5</f>
        <v>180</v>
      </c>
      <c r="L572" s="10"/>
      <c r="M572" s="11"/>
      <c r="N572" s="100"/>
      <c r="O572" s="11">
        <f t="shared" si="128"/>
        <v>180</v>
      </c>
      <c r="P572" s="11">
        <f t="shared" si="124"/>
        <v>180</v>
      </c>
      <c r="Q572" s="11"/>
      <c r="R572" s="11">
        <f t="shared" si="125"/>
        <v>0</v>
      </c>
      <c r="S572" s="11"/>
      <c r="T572" s="136">
        <f t="shared" si="131"/>
        <v>0</v>
      </c>
    </row>
    <row r="573" spans="1:20" ht="15.75" customHeight="1">
      <c r="A573" s="149">
        <v>41</v>
      </c>
      <c r="B573" s="273"/>
      <c r="C573" s="28" t="s">
        <v>4290</v>
      </c>
      <c r="D573" s="41"/>
      <c r="E573" s="131">
        <f t="shared" si="130"/>
        <v>91010</v>
      </c>
      <c r="F573" s="21">
        <f t="shared" si="126"/>
        <v>110122.09999999999</v>
      </c>
      <c r="G573" s="72"/>
      <c r="H573" s="135">
        <f t="shared" si="129"/>
        <v>79200</v>
      </c>
      <c r="I573" s="294">
        <v>45311</v>
      </c>
      <c r="J573" s="294"/>
      <c r="K573" s="10">
        <f>+PROVEEDORES!$D$35*0.9*0.9*70</f>
        <v>60669</v>
      </c>
      <c r="L573" s="10"/>
      <c r="M573" s="10"/>
      <c r="N573" s="100">
        <f>0.9*0.95*0.95*65000</f>
        <v>52796.249999999993</v>
      </c>
      <c r="O573" s="11">
        <f t="shared" si="128"/>
        <v>60669</v>
      </c>
      <c r="P573" s="11">
        <f t="shared" si="124"/>
        <v>60669</v>
      </c>
      <c r="Q573" s="11">
        <v>1.5</v>
      </c>
      <c r="R573" s="11">
        <f t="shared" si="125"/>
        <v>91003.5</v>
      </c>
      <c r="S573" s="11"/>
      <c r="T573" s="136">
        <f t="shared" si="131"/>
        <v>79194.374999999985</v>
      </c>
    </row>
    <row r="574" spans="1:20" ht="15.75" customHeight="1">
      <c r="A574" s="149">
        <v>38</v>
      </c>
      <c r="B574" s="273"/>
      <c r="C574" s="28" t="s">
        <v>3668</v>
      </c>
      <c r="D574" s="41">
        <v>180</v>
      </c>
      <c r="E574" s="131">
        <f t="shared" si="130"/>
        <v>5400</v>
      </c>
      <c r="F574" s="21">
        <f t="shared" si="126"/>
        <v>6534</v>
      </c>
      <c r="G574" s="72"/>
      <c r="H574" s="135">
        <f t="shared" si="129"/>
        <v>0</v>
      </c>
      <c r="I574" s="294">
        <v>45138</v>
      </c>
      <c r="J574" s="294"/>
      <c r="K574" s="10">
        <f>+'AUMENTOS %'!C14*3599</f>
        <v>3599</v>
      </c>
      <c r="L574" s="10"/>
      <c r="M574" s="11"/>
      <c r="N574" s="100"/>
      <c r="O574" s="11">
        <f t="shared" si="128"/>
        <v>3599</v>
      </c>
      <c r="P574" s="11">
        <f t="shared" si="124"/>
        <v>3599</v>
      </c>
      <c r="Q574" s="11">
        <v>1.5</v>
      </c>
      <c r="R574" s="11">
        <f t="shared" si="125"/>
        <v>5398.5</v>
      </c>
      <c r="S574" s="11"/>
      <c r="T574" s="136">
        <f t="shared" si="131"/>
        <v>0</v>
      </c>
    </row>
    <row r="575" spans="1:20" ht="15.75" customHeight="1">
      <c r="A575" s="149" t="s">
        <v>2495</v>
      </c>
      <c r="B575" s="273"/>
      <c r="C575" s="28" t="s">
        <v>1411</v>
      </c>
      <c r="D575" s="41">
        <v>200</v>
      </c>
      <c r="E575" s="131">
        <f t="shared" si="130"/>
        <v>2330</v>
      </c>
      <c r="F575" s="21">
        <f t="shared" si="126"/>
        <v>2819.2999999999997</v>
      </c>
      <c r="G575" s="72"/>
      <c r="H575" s="135">
        <f t="shared" si="129"/>
        <v>0</v>
      </c>
      <c r="I575" s="294">
        <v>45286</v>
      </c>
      <c r="J575" s="294">
        <v>45329</v>
      </c>
      <c r="K575" s="11">
        <f>PROVEEDORES!D8*1.75</f>
        <v>1548.75</v>
      </c>
      <c r="L575" s="10">
        <f>1368*2</f>
        <v>2736</v>
      </c>
      <c r="M575" s="10"/>
      <c r="N575" s="100"/>
      <c r="O575" s="11">
        <f t="shared" si="128"/>
        <v>1548.75</v>
      </c>
      <c r="P575" s="11">
        <f t="shared" si="124"/>
        <v>1548.75</v>
      </c>
      <c r="Q575" s="11">
        <v>1.5</v>
      </c>
      <c r="R575" s="11">
        <f t="shared" si="125"/>
        <v>2323.125</v>
      </c>
      <c r="S575" s="11"/>
      <c r="T575" s="136">
        <f t="shared" si="131"/>
        <v>0</v>
      </c>
    </row>
    <row r="576" spans="1:20" ht="15.75" customHeight="1">
      <c r="A576" s="149">
        <v>45</v>
      </c>
      <c r="B576" s="273"/>
      <c r="C576" s="28" t="s">
        <v>4490</v>
      </c>
      <c r="D576" s="41"/>
      <c r="E576" s="131">
        <f t="shared" si="130"/>
        <v>36990</v>
      </c>
      <c r="F576" s="21">
        <f t="shared" si="126"/>
        <v>44757.9</v>
      </c>
      <c r="G576" s="21"/>
      <c r="H576" s="135">
        <f t="shared" si="129"/>
        <v>0</v>
      </c>
      <c r="I576" s="294"/>
      <c r="J576" s="294">
        <v>45329</v>
      </c>
      <c r="K576" s="11">
        <f>0.59*0.95*43991</f>
        <v>24656.9555</v>
      </c>
      <c r="L576" s="11"/>
      <c r="M576" s="11"/>
      <c r="N576" s="100"/>
      <c r="O576" s="11">
        <f t="shared" si="128"/>
        <v>24656.9555</v>
      </c>
      <c r="P576" s="11">
        <f t="shared" si="124"/>
        <v>24656.9555</v>
      </c>
      <c r="Q576" s="11">
        <v>1.5</v>
      </c>
      <c r="R576" s="11">
        <f t="shared" si="125"/>
        <v>36985.433250000002</v>
      </c>
      <c r="S576" s="11"/>
      <c r="T576" s="136">
        <f t="shared" si="131"/>
        <v>0</v>
      </c>
    </row>
    <row r="577" spans="1:20" ht="15.75" customHeight="1">
      <c r="A577" s="149">
        <v>38</v>
      </c>
      <c r="B577" s="273"/>
      <c r="C577" s="28" t="s">
        <v>3816</v>
      </c>
      <c r="D577" s="41">
        <v>920</v>
      </c>
      <c r="E577" s="131">
        <f t="shared" si="130"/>
        <v>16780</v>
      </c>
      <c r="F577" s="21">
        <f t="shared" si="126"/>
        <v>20303.8</v>
      </c>
      <c r="G577" s="21"/>
      <c r="H577" s="135">
        <f t="shared" si="129"/>
        <v>14920</v>
      </c>
      <c r="I577" s="294">
        <v>45138</v>
      </c>
      <c r="J577" s="294">
        <v>45313</v>
      </c>
      <c r="K577" s="11">
        <f>+'AUMENTOS %'!B21*PROVEEDORES!$D$32*10.65</f>
        <v>11182.5</v>
      </c>
      <c r="L577" s="11"/>
      <c r="M577" s="11"/>
      <c r="N577" s="100">
        <v>9941</v>
      </c>
      <c r="O577" s="11">
        <f t="shared" si="128"/>
        <v>11182.5</v>
      </c>
      <c r="P577" s="11">
        <f t="shared" si="124"/>
        <v>11182.5</v>
      </c>
      <c r="Q577" s="11">
        <v>1.5</v>
      </c>
      <c r="R577" s="11">
        <f t="shared" si="125"/>
        <v>16773.75</v>
      </c>
      <c r="S577" s="11"/>
      <c r="T577" s="136">
        <f t="shared" si="131"/>
        <v>14911.5</v>
      </c>
    </row>
    <row r="578" spans="1:20" ht="15.75" customHeight="1">
      <c r="A578" s="149" t="s">
        <v>3934</v>
      </c>
      <c r="B578" s="273"/>
      <c r="C578" s="28" t="s">
        <v>3532</v>
      </c>
      <c r="D578" s="41">
        <v>1390</v>
      </c>
      <c r="E578" s="131">
        <f t="shared" si="130"/>
        <v>0</v>
      </c>
      <c r="F578" s="21" t="s">
        <v>1248</v>
      </c>
      <c r="G578" s="21">
        <f>+E578*1.105</f>
        <v>0</v>
      </c>
      <c r="H578" s="135">
        <f t="shared" si="129"/>
        <v>0</v>
      </c>
      <c r="I578" s="294">
        <v>44519</v>
      </c>
      <c r="J578" s="294"/>
      <c r="K578" s="11">
        <f>+PROVEEDORES!D6*0.9*26</f>
        <v>20943</v>
      </c>
      <c r="L578" s="10"/>
      <c r="M578" s="10"/>
      <c r="N578" s="100"/>
      <c r="O578" s="11">
        <f t="shared" si="128"/>
        <v>20943</v>
      </c>
      <c r="P578" s="11">
        <f t="shared" si="124"/>
        <v>20943</v>
      </c>
      <c r="Q578" s="11"/>
      <c r="R578" s="11">
        <f t="shared" si="125"/>
        <v>0</v>
      </c>
      <c r="S578" s="11"/>
      <c r="T578" s="136">
        <f t="shared" si="131"/>
        <v>0</v>
      </c>
    </row>
    <row r="579" spans="1:20" ht="15.75" customHeight="1">
      <c r="A579" s="149" t="s">
        <v>2417</v>
      </c>
      <c r="B579" s="273"/>
      <c r="C579" s="28" t="s">
        <v>1412</v>
      </c>
      <c r="D579" s="41">
        <v>640</v>
      </c>
      <c r="E579" s="131">
        <f t="shared" si="130"/>
        <v>0</v>
      </c>
      <c r="F579" s="21" t="s">
        <v>1248</v>
      </c>
      <c r="G579" s="21">
        <f>+E579*1.105</f>
        <v>0</v>
      </c>
      <c r="H579" s="135">
        <f t="shared" si="129"/>
        <v>0</v>
      </c>
      <c r="I579" s="294">
        <v>44519</v>
      </c>
      <c r="J579" s="294">
        <v>44840</v>
      </c>
      <c r="K579" s="11">
        <f>+PROVEEDORES!D6*0.9*27.57</f>
        <v>22207.635000000002</v>
      </c>
      <c r="L579" s="10">
        <f>+PROVEEDORES!$D$32*14.44*2</f>
        <v>30324</v>
      </c>
      <c r="M579" s="10"/>
      <c r="N579" s="100"/>
      <c r="O579" s="11">
        <f t="shared" si="128"/>
        <v>22207.635000000002</v>
      </c>
      <c r="P579" s="11">
        <f t="shared" si="124"/>
        <v>22207.635000000002</v>
      </c>
      <c r="Q579" s="11"/>
      <c r="R579" s="11">
        <f t="shared" si="125"/>
        <v>0</v>
      </c>
      <c r="S579" s="11"/>
      <c r="T579" s="136">
        <f t="shared" si="131"/>
        <v>0</v>
      </c>
    </row>
    <row r="580" spans="1:20" ht="15.75" customHeight="1">
      <c r="A580" s="149" t="s">
        <v>3528</v>
      </c>
      <c r="B580" s="273"/>
      <c r="C580" s="28" t="s">
        <v>1413</v>
      </c>
      <c r="D580" s="41">
        <v>920</v>
      </c>
      <c r="E580" s="131">
        <f t="shared" si="130"/>
        <v>17140</v>
      </c>
      <c r="F580" s="21">
        <f t="shared" ref="F580:F618" si="132">+E580*1.21</f>
        <v>20739.399999999998</v>
      </c>
      <c r="G580" s="21"/>
      <c r="H580" s="135">
        <f t="shared" si="129"/>
        <v>0</v>
      </c>
      <c r="I580" s="294">
        <v>45059</v>
      </c>
      <c r="J580" s="294">
        <v>45359</v>
      </c>
      <c r="K580" s="11">
        <f>+'AUMENTOS %'!D14*PROVEEDORES!D18*0.5*21.55</f>
        <v>11421.5</v>
      </c>
      <c r="L580" s="11">
        <f>0.8*0.94*15580*2</f>
        <v>23432.32</v>
      </c>
      <c r="M580" s="11">
        <f>+'AUMENTOS %'!$C$14*9047*2</f>
        <v>18094</v>
      </c>
      <c r="N580" s="239"/>
      <c r="O580" s="11">
        <f t="shared" si="128"/>
        <v>11421.5</v>
      </c>
      <c r="P580" s="11">
        <f t="shared" si="124"/>
        <v>11421.5</v>
      </c>
      <c r="Q580" s="11">
        <v>1.5</v>
      </c>
      <c r="R580" s="11">
        <f t="shared" si="125"/>
        <v>17132.25</v>
      </c>
      <c r="S580" s="11"/>
      <c r="T580" s="136">
        <f t="shared" si="131"/>
        <v>0</v>
      </c>
    </row>
    <row r="581" spans="1:20" ht="15.75" customHeight="1">
      <c r="A581" s="149" t="s">
        <v>3528</v>
      </c>
      <c r="B581" s="273"/>
      <c r="C581" s="28" t="s">
        <v>1414</v>
      </c>
      <c r="D581" s="41">
        <v>1000</v>
      </c>
      <c r="E581" s="131">
        <f t="shared" si="130"/>
        <v>18900</v>
      </c>
      <c r="F581" s="21">
        <f t="shared" si="132"/>
        <v>22869</v>
      </c>
      <c r="G581" s="21"/>
      <c r="H581" s="135">
        <f t="shared" si="129"/>
        <v>0</v>
      </c>
      <c r="I581" s="294">
        <v>45059</v>
      </c>
      <c r="J581" s="294">
        <v>45331</v>
      </c>
      <c r="K581" s="11">
        <f>'AUMENTOS %'!D14+PROVEEDORES!D18*0.5*23.77</f>
        <v>12599.1</v>
      </c>
      <c r="L581" s="11">
        <f>0.8*0.94*6065*3</f>
        <v>13682.64</v>
      </c>
      <c r="M581" s="11">
        <f>+'AUMENTOS %'!$C$14*10321*2</f>
        <v>20642</v>
      </c>
      <c r="N581" s="100"/>
      <c r="O581" s="11">
        <f t="shared" si="128"/>
        <v>12599.1</v>
      </c>
      <c r="P581" s="11">
        <f t="shared" si="124"/>
        <v>12599.1</v>
      </c>
      <c r="Q581" s="11">
        <v>1.5</v>
      </c>
      <c r="R581" s="11">
        <f t="shared" si="125"/>
        <v>18898.650000000001</v>
      </c>
      <c r="S581" s="11"/>
      <c r="T581" s="136">
        <f t="shared" si="131"/>
        <v>0</v>
      </c>
    </row>
    <row r="582" spans="1:20" ht="15.75" customHeight="1">
      <c r="A582" s="149" t="s">
        <v>3528</v>
      </c>
      <c r="B582" s="273"/>
      <c r="C582" s="28" t="s">
        <v>3659</v>
      </c>
      <c r="D582" s="41">
        <v>1000</v>
      </c>
      <c r="E582" s="131">
        <f t="shared" si="130"/>
        <v>21090</v>
      </c>
      <c r="F582" s="21">
        <f t="shared" si="132"/>
        <v>25518.899999999998</v>
      </c>
      <c r="G582" s="21"/>
      <c r="H582" s="135">
        <f t="shared" si="129"/>
        <v>0</v>
      </c>
      <c r="I582" s="294">
        <v>45059</v>
      </c>
      <c r="J582" s="294">
        <v>45331</v>
      </c>
      <c r="K582" s="11">
        <f>'AUMENTOS %'!D14*+PROVEEDORES!D18*0.5*26.52</f>
        <v>14055.6</v>
      </c>
      <c r="L582" s="11"/>
      <c r="M582" s="11">
        <f>+'AUMENTOS %'!$C$14*12197*2</f>
        <v>24394</v>
      </c>
      <c r="N582" s="100"/>
      <c r="O582" s="11">
        <f t="shared" si="128"/>
        <v>14055.6</v>
      </c>
      <c r="P582" s="11">
        <f t="shared" si="124"/>
        <v>14055.6</v>
      </c>
      <c r="Q582" s="11">
        <v>1.5</v>
      </c>
      <c r="R582" s="11">
        <f t="shared" si="125"/>
        <v>21083.4</v>
      </c>
      <c r="S582" s="11"/>
      <c r="T582" s="136">
        <f t="shared" si="131"/>
        <v>0</v>
      </c>
    </row>
    <row r="583" spans="1:20" ht="15.75" customHeight="1">
      <c r="A583" s="149">
        <v>38</v>
      </c>
      <c r="B583" s="273"/>
      <c r="C583" s="28" t="s">
        <v>1415</v>
      </c>
      <c r="D583" s="41">
        <v>850</v>
      </c>
      <c r="E583" s="131">
        <f t="shared" si="130"/>
        <v>19200</v>
      </c>
      <c r="F583" s="21">
        <f t="shared" si="132"/>
        <v>23232</v>
      </c>
      <c r="G583" s="21"/>
      <c r="H583" s="135">
        <f t="shared" si="129"/>
        <v>16650</v>
      </c>
      <c r="I583" s="294">
        <v>45138</v>
      </c>
      <c r="J583" s="294">
        <v>45274</v>
      </c>
      <c r="K583" s="11">
        <f>+PROVEEDORES!$D$32*12.19</f>
        <v>12799.5</v>
      </c>
      <c r="L583" s="11"/>
      <c r="M583" s="11"/>
      <c r="N583" s="38">
        <v>11098</v>
      </c>
      <c r="O583" s="11">
        <f t="shared" si="128"/>
        <v>12799.5</v>
      </c>
      <c r="P583" s="11">
        <f t="shared" si="124"/>
        <v>12799.5</v>
      </c>
      <c r="Q583" s="11">
        <v>1.5</v>
      </c>
      <c r="R583" s="11">
        <f t="shared" si="125"/>
        <v>19199.25</v>
      </c>
      <c r="S583" s="11"/>
      <c r="T583" s="136">
        <f t="shared" si="131"/>
        <v>16647</v>
      </c>
    </row>
    <row r="584" spans="1:20" ht="15.75" customHeight="1">
      <c r="A584" s="149">
        <v>38</v>
      </c>
      <c r="B584" s="273"/>
      <c r="C584" s="28" t="s">
        <v>1416</v>
      </c>
      <c r="D584" s="41">
        <v>790</v>
      </c>
      <c r="E584" s="131">
        <f t="shared" si="130"/>
        <v>14700</v>
      </c>
      <c r="F584" s="21">
        <f t="shared" si="132"/>
        <v>17787</v>
      </c>
      <c r="G584" s="21"/>
      <c r="H584" s="135">
        <f t="shared" si="129"/>
        <v>12740</v>
      </c>
      <c r="I584" s="294">
        <v>45138</v>
      </c>
      <c r="J584" s="294">
        <v>45274</v>
      </c>
      <c r="K584" s="11">
        <f>+PROVEEDORES!$D$32*9.33</f>
        <v>9796.5</v>
      </c>
      <c r="L584" s="11"/>
      <c r="M584" s="11"/>
      <c r="N584" s="38">
        <v>8490</v>
      </c>
      <c r="O584" s="11">
        <f t="shared" si="128"/>
        <v>9796.5</v>
      </c>
      <c r="P584" s="11">
        <f t="shared" si="124"/>
        <v>9796.5</v>
      </c>
      <c r="Q584" s="11">
        <v>1.5</v>
      </c>
      <c r="R584" s="11">
        <f t="shared" si="125"/>
        <v>14694.75</v>
      </c>
      <c r="S584" s="11"/>
      <c r="T584" s="136">
        <f t="shared" si="131"/>
        <v>12735</v>
      </c>
    </row>
    <row r="585" spans="1:20" ht="15.75" customHeight="1">
      <c r="A585" s="149">
        <v>12</v>
      </c>
      <c r="B585" s="273"/>
      <c r="C585" s="28" t="s">
        <v>3489</v>
      </c>
      <c r="D585" s="41"/>
      <c r="E585" s="131">
        <f t="shared" si="130"/>
        <v>3800</v>
      </c>
      <c r="F585" s="21">
        <f t="shared" si="132"/>
        <v>4598</v>
      </c>
      <c r="G585" s="21"/>
      <c r="H585" s="135">
        <f t="shared" si="129"/>
        <v>0</v>
      </c>
      <c r="I585" s="294">
        <v>45274</v>
      </c>
      <c r="J585" s="294">
        <v>45338</v>
      </c>
      <c r="K585" s="11">
        <v>2533</v>
      </c>
      <c r="L585" s="11"/>
      <c r="M585" s="11"/>
      <c r="N585" s="100"/>
      <c r="O585" s="11">
        <f t="shared" si="128"/>
        <v>2533</v>
      </c>
      <c r="P585" s="11">
        <f t="shared" si="124"/>
        <v>2533</v>
      </c>
      <c r="Q585" s="11">
        <v>1.5</v>
      </c>
      <c r="R585" s="11">
        <f t="shared" si="125"/>
        <v>3799.5</v>
      </c>
      <c r="S585" s="11"/>
      <c r="T585" s="136">
        <f t="shared" si="131"/>
        <v>0</v>
      </c>
    </row>
    <row r="586" spans="1:20" ht="15.75" customHeight="1">
      <c r="A586" s="149">
        <v>12</v>
      </c>
      <c r="B586" s="273"/>
      <c r="C586" s="28" t="s">
        <v>44331</v>
      </c>
      <c r="D586" s="41"/>
      <c r="E586" s="131">
        <f>ROUNDUP(R586,-1)</f>
        <v>13380</v>
      </c>
      <c r="F586" s="21">
        <f>+E586*1.21</f>
        <v>16189.8</v>
      </c>
      <c r="G586" s="21"/>
      <c r="H586" s="135">
        <f>ROUNDUP(T586,-1)</f>
        <v>0</v>
      </c>
      <c r="I586" s="294">
        <v>45274</v>
      </c>
      <c r="J586" s="294">
        <v>45338</v>
      </c>
      <c r="K586" s="11">
        <v>8918</v>
      </c>
      <c r="L586" s="10"/>
      <c r="M586" s="10"/>
      <c r="N586" s="100"/>
      <c r="O586" s="11">
        <f>MIN(K586:M586)</f>
        <v>8918</v>
      </c>
      <c r="P586" s="11">
        <f>+O586</f>
        <v>8918</v>
      </c>
      <c r="Q586" s="11">
        <v>1.5</v>
      </c>
      <c r="R586" s="11">
        <f>+P586*Q586</f>
        <v>13377</v>
      </c>
      <c r="S586" s="11"/>
      <c r="T586" s="136">
        <f>+N586*Q586</f>
        <v>0</v>
      </c>
    </row>
    <row r="587" spans="1:20" ht="15.75" customHeight="1">
      <c r="A587" s="149"/>
      <c r="B587" s="273"/>
      <c r="C587" s="28" t="s">
        <v>3612</v>
      </c>
      <c r="D587" s="41"/>
      <c r="E587" s="131"/>
      <c r="F587" s="21">
        <f t="shared" si="132"/>
        <v>0</v>
      </c>
      <c r="G587" s="21"/>
      <c r="H587" s="135">
        <f t="shared" si="129"/>
        <v>0</v>
      </c>
      <c r="I587" s="294"/>
      <c r="J587" s="294">
        <v>44755</v>
      </c>
      <c r="K587" s="10">
        <v>1011</v>
      </c>
      <c r="L587" s="11"/>
      <c r="M587" s="11"/>
      <c r="N587" s="100"/>
      <c r="O587" s="11">
        <f>MIN(K587:M587)*'AUMENTOS %'!$B$9</f>
        <v>1011</v>
      </c>
      <c r="P587" s="11">
        <f t="shared" si="124"/>
        <v>1011</v>
      </c>
      <c r="Q587" s="11">
        <v>1.6</v>
      </c>
      <c r="R587" s="11">
        <f t="shared" si="125"/>
        <v>1617.6000000000001</v>
      </c>
      <c r="S587" s="11"/>
      <c r="T587" s="136">
        <f t="shared" si="131"/>
        <v>0</v>
      </c>
    </row>
    <row r="588" spans="1:20" ht="15.75" customHeight="1">
      <c r="A588" s="149"/>
      <c r="B588" s="273"/>
      <c r="C588" s="28" t="s">
        <v>2167</v>
      </c>
      <c r="D588" s="41">
        <v>8600</v>
      </c>
      <c r="E588" s="131">
        <f t="shared" ref="E588:E665" si="133">ROUNDUP(R588,-1)</f>
        <v>0</v>
      </c>
      <c r="F588" s="21">
        <f t="shared" si="132"/>
        <v>0</v>
      </c>
      <c r="G588" s="21"/>
      <c r="H588" s="135">
        <f t="shared" si="129"/>
        <v>0</v>
      </c>
      <c r="I588" s="294"/>
      <c r="J588" s="294">
        <v>43798</v>
      </c>
      <c r="K588" s="10">
        <f>5372*1.6</f>
        <v>8595.2000000000007</v>
      </c>
      <c r="L588" s="11"/>
      <c r="M588" s="11"/>
      <c r="N588" s="100"/>
      <c r="O588" s="11">
        <f t="shared" si="128"/>
        <v>8595.2000000000007</v>
      </c>
      <c r="P588" s="11">
        <f>+O588*'AUMENTOS %'!$D$12</f>
        <v>8595.2000000000007</v>
      </c>
      <c r="Q588" s="11"/>
      <c r="R588" s="11">
        <f t="shared" ref="R588:R664" si="134">+P588*Q588</f>
        <v>0</v>
      </c>
      <c r="S588" s="11"/>
      <c r="T588" s="136">
        <f t="shared" si="131"/>
        <v>0</v>
      </c>
    </row>
    <row r="589" spans="1:20" ht="15.75" customHeight="1">
      <c r="A589" s="149" t="s">
        <v>4484</v>
      </c>
      <c r="B589" s="273"/>
      <c r="C589" s="28" t="s">
        <v>2166</v>
      </c>
      <c r="D589" s="41">
        <v>11640</v>
      </c>
      <c r="E589" s="131">
        <f t="shared" si="133"/>
        <v>0</v>
      </c>
      <c r="F589" s="21">
        <f t="shared" si="132"/>
        <v>0</v>
      </c>
      <c r="G589" s="21"/>
      <c r="H589" s="135">
        <f t="shared" si="129"/>
        <v>0</v>
      </c>
      <c r="I589" s="294">
        <v>45121</v>
      </c>
      <c r="J589" s="294"/>
      <c r="K589" s="10">
        <v>45604</v>
      </c>
      <c r="L589" s="11"/>
      <c r="M589" s="11"/>
      <c r="N589" s="100"/>
      <c r="O589" s="11">
        <f t="shared" si="128"/>
        <v>45604</v>
      </c>
      <c r="P589" s="11">
        <f>+O589*'AUMENTOS %'!$D$12</f>
        <v>45604</v>
      </c>
      <c r="Q589" s="11"/>
      <c r="R589" s="11">
        <f t="shared" si="134"/>
        <v>0</v>
      </c>
      <c r="S589" s="11"/>
      <c r="T589" s="136">
        <f t="shared" si="131"/>
        <v>0</v>
      </c>
    </row>
    <row r="590" spans="1:20" ht="15.75" customHeight="1">
      <c r="A590" s="149">
        <v>19</v>
      </c>
      <c r="B590" s="273"/>
      <c r="C590" s="28" t="s">
        <v>2081</v>
      </c>
      <c r="D590" s="41">
        <v>1340</v>
      </c>
      <c r="E590" s="131">
        <f t="shared" si="133"/>
        <v>0</v>
      </c>
      <c r="F590" s="21">
        <f t="shared" si="132"/>
        <v>0</v>
      </c>
      <c r="G590" s="21"/>
      <c r="H590" s="135">
        <f t="shared" si="129"/>
        <v>0</v>
      </c>
      <c r="I590" s="294">
        <v>43714</v>
      </c>
      <c r="J590" s="294">
        <v>44046</v>
      </c>
      <c r="K590" s="11">
        <f>890*1.35*1.45</f>
        <v>1742.175</v>
      </c>
      <c r="L590" s="11"/>
      <c r="M590" s="11"/>
      <c r="N590" s="100"/>
      <c r="O590" s="11">
        <f t="shared" si="128"/>
        <v>1742.175</v>
      </c>
      <c r="P590" s="11">
        <f t="shared" ref="P590:P664" si="135">+O590</f>
        <v>1742.175</v>
      </c>
      <c r="Q590" s="11"/>
      <c r="R590" s="11">
        <f t="shared" si="134"/>
        <v>0</v>
      </c>
      <c r="S590" s="11"/>
      <c r="T590" s="136">
        <f t="shared" si="131"/>
        <v>0</v>
      </c>
    </row>
    <row r="591" spans="1:20" ht="15.75" customHeight="1">
      <c r="A591" s="149">
        <v>19</v>
      </c>
      <c r="B591" s="273"/>
      <c r="C591" s="28" t="s">
        <v>2079</v>
      </c>
      <c r="D591" s="41">
        <v>650</v>
      </c>
      <c r="E591" s="131">
        <f t="shared" si="133"/>
        <v>0</v>
      </c>
      <c r="F591" s="21">
        <f t="shared" si="132"/>
        <v>0</v>
      </c>
      <c r="G591" s="21"/>
      <c r="H591" s="135">
        <f t="shared" si="129"/>
        <v>0</v>
      </c>
      <c r="I591" s="294">
        <v>43714</v>
      </c>
      <c r="J591" s="294">
        <v>44046</v>
      </c>
      <c r="K591" s="11">
        <f>430*1.35</f>
        <v>580.5</v>
      </c>
      <c r="L591" s="11"/>
      <c r="M591" s="11"/>
      <c r="N591" s="100"/>
      <c r="O591" s="11">
        <f t="shared" si="128"/>
        <v>580.5</v>
      </c>
      <c r="P591" s="11">
        <f t="shared" si="135"/>
        <v>580.5</v>
      </c>
      <c r="Q591" s="11"/>
      <c r="R591" s="11">
        <f t="shared" si="134"/>
        <v>0</v>
      </c>
      <c r="S591" s="11"/>
      <c r="T591" s="136">
        <f t="shared" si="131"/>
        <v>0</v>
      </c>
    </row>
    <row r="592" spans="1:20" ht="15.75" customHeight="1">
      <c r="A592" s="149">
        <v>19</v>
      </c>
      <c r="B592" s="273"/>
      <c r="C592" s="28" t="s">
        <v>2080</v>
      </c>
      <c r="D592" s="41">
        <v>890</v>
      </c>
      <c r="E592" s="131">
        <f t="shared" si="133"/>
        <v>0</v>
      </c>
      <c r="F592" s="21">
        <f t="shared" si="132"/>
        <v>0</v>
      </c>
      <c r="G592" s="21"/>
      <c r="H592" s="135">
        <f t="shared" si="129"/>
        <v>0</v>
      </c>
      <c r="I592" s="294">
        <v>43714</v>
      </c>
      <c r="J592" s="294">
        <v>44046</v>
      </c>
      <c r="K592" s="11">
        <f>540*1.35</f>
        <v>729</v>
      </c>
      <c r="L592" s="11"/>
      <c r="M592" s="11"/>
      <c r="N592" s="100"/>
      <c r="O592" s="11">
        <f t="shared" si="128"/>
        <v>729</v>
      </c>
      <c r="P592" s="11">
        <f t="shared" si="135"/>
        <v>729</v>
      </c>
      <c r="Q592" s="11"/>
      <c r="R592" s="11">
        <f t="shared" si="134"/>
        <v>0</v>
      </c>
      <c r="S592" s="11"/>
      <c r="T592" s="136">
        <f t="shared" si="131"/>
        <v>0</v>
      </c>
    </row>
    <row r="593" spans="1:20" ht="15.75" customHeight="1">
      <c r="A593" s="149" t="s">
        <v>44202</v>
      </c>
      <c r="B593" s="273"/>
      <c r="C593" s="28" t="s">
        <v>4061</v>
      </c>
      <c r="D593" s="41">
        <v>80</v>
      </c>
      <c r="E593" s="131">
        <f t="shared" si="133"/>
        <v>1820</v>
      </c>
      <c r="F593" s="21">
        <f t="shared" si="132"/>
        <v>2202.1999999999998</v>
      </c>
      <c r="G593" s="21"/>
      <c r="H593" s="135">
        <f t="shared" si="129"/>
        <v>0</v>
      </c>
      <c r="I593" s="294">
        <v>45217</v>
      </c>
      <c r="J593" s="294">
        <v>45359</v>
      </c>
      <c r="K593" s="11">
        <f>755*2</f>
        <v>1510</v>
      </c>
      <c r="L593" s="10">
        <f>+PROVEEDORES!$D$15*0.6*2.14</f>
        <v>1136.3400000000001</v>
      </c>
      <c r="M593" s="11"/>
      <c r="N593" s="100"/>
      <c r="O593" s="11">
        <f t="shared" si="128"/>
        <v>1136.3400000000001</v>
      </c>
      <c r="P593" s="11">
        <f t="shared" si="135"/>
        <v>1136.3400000000001</v>
      </c>
      <c r="Q593" s="11">
        <v>1.6</v>
      </c>
      <c r="R593" s="11">
        <f t="shared" si="134"/>
        <v>1818.1440000000002</v>
      </c>
      <c r="S593" s="11"/>
      <c r="T593" s="136">
        <f t="shared" si="131"/>
        <v>0</v>
      </c>
    </row>
    <row r="594" spans="1:20" ht="15.75" customHeight="1">
      <c r="A594" s="149">
        <v>21</v>
      </c>
      <c r="B594" s="273"/>
      <c r="C594" s="28" t="s">
        <v>2829</v>
      </c>
      <c r="D594" s="41"/>
      <c r="E594" s="131">
        <f t="shared" si="133"/>
        <v>0</v>
      </c>
      <c r="F594" s="21">
        <f t="shared" si="132"/>
        <v>0</v>
      </c>
      <c r="G594" s="21"/>
      <c r="H594" s="135">
        <f t="shared" si="129"/>
        <v>0</v>
      </c>
      <c r="I594" s="294">
        <v>44692</v>
      </c>
      <c r="J594" s="294">
        <v>44854</v>
      </c>
      <c r="K594" s="10">
        <f>+PROVEEDORES!$D$15*0.6*1.79</f>
        <v>950.49</v>
      </c>
      <c r="L594" s="11">
        <f>0.6*221</f>
        <v>132.6</v>
      </c>
      <c r="M594" s="11"/>
      <c r="N594" s="100"/>
      <c r="O594" s="11">
        <f t="shared" si="128"/>
        <v>132.6</v>
      </c>
      <c r="P594" s="11">
        <f t="shared" si="135"/>
        <v>132.6</v>
      </c>
      <c r="Q594" s="11"/>
      <c r="R594" s="11">
        <f t="shared" si="134"/>
        <v>0</v>
      </c>
      <c r="S594" s="11"/>
      <c r="T594" s="136">
        <f t="shared" si="131"/>
        <v>0</v>
      </c>
    </row>
    <row r="595" spans="1:20" ht="15.75" customHeight="1">
      <c r="A595" s="149">
        <v>21</v>
      </c>
      <c r="B595" s="273"/>
      <c r="C595" s="28" t="s">
        <v>2497</v>
      </c>
      <c r="D595" s="41">
        <v>200</v>
      </c>
      <c r="E595" s="131">
        <f t="shared" si="133"/>
        <v>0</v>
      </c>
      <c r="F595" s="21">
        <f t="shared" si="132"/>
        <v>0</v>
      </c>
      <c r="G595" s="21"/>
      <c r="H595" s="135">
        <f t="shared" si="129"/>
        <v>0</v>
      </c>
      <c r="I595" s="294">
        <v>43461</v>
      </c>
      <c r="J595" s="294">
        <v>44126</v>
      </c>
      <c r="K595" s="10">
        <f>+PROVEEDORES!$D$15*0.6*6.04</f>
        <v>3207.2400000000002</v>
      </c>
      <c r="L595" s="11"/>
      <c r="M595" s="11"/>
      <c r="N595" s="100"/>
      <c r="O595" s="11">
        <f t="shared" si="128"/>
        <v>3207.2400000000002</v>
      </c>
      <c r="P595" s="11">
        <f t="shared" si="135"/>
        <v>3207.2400000000002</v>
      </c>
      <c r="Q595" s="11"/>
      <c r="R595" s="11">
        <f t="shared" si="134"/>
        <v>0</v>
      </c>
      <c r="S595" s="11"/>
      <c r="T595" s="136">
        <f t="shared" si="131"/>
        <v>0</v>
      </c>
    </row>
    <row r="596" spans="1:20" ht="15.75" customHeight="1">
      <c r="A596" s="149" t="s">
        <v>2410</v>
      </c>
      <c r="B596" s="273"/>
      <c r="C596" s="28" t="s">
        <v>44148</v>
      </c>
      <c r="D596" s="71">
        <v>60</v>
      </c>
      <c r="E596" s="131">
        <f t="shared" si="133"/>
        <v>1910</v>
      </c>
      <c r="F596" s="21">
        <f t="shared" si="132"/>
        <v>2311.1</v>
      </c>
      <c r="G596" s="21"/>
      <c r="H596" s="135">
        <f t="shared" si="129"/>
        <v>0</v>
      </c>
      <c r="I596" s="294">
        <v>45217</v>
      </c>
      <c r="J596" s="294">
        <v>45359</v>
      </c>
      <c r="K596" s="10">
        <f>+PROVEEDORES!$D$15*0.6*2.11</f>
        <v>1120.4099999999999</v>
      </c>
      <c r="L596" s="11">
        <f>0.8*0.94*502*4</f>
        <v>1510.0160000000001</v>
      </c>
      <c r="M596" s="11"/>
      <c r="N596" s="100"/>
      <c r="O596" s="11">
        <f t="shared" si="128"/>
        <v>1120.4099999999999</v>
      </c>
      <c r="P596" s="11">
        <f t="shared" si="135"/>
        <v>1120.4099999999999</v>
      </c>
      <c r="Q596" s="11">
        <v>1.7</v>
      </c>
      <c r="R596" s="11">
        <f t="shared" si="134"/>
        <v>1904.6969999999997</v>
      </c>
      <c r="S596" s="11"/>
      <c r="T596" s="136">
        <f t="shared" si="131"/>
        <v>0</v>
      </c>
    </row>
    <row r="597" spans="1:20" ht="15.75" customHeight="1">
      <c r="A597" s="149">
        <v>36</v>
      </c>
      <c r="B597" s="273"/>
      <c r="C597" s="28" t="s">
        <v>4461</v>
      </c>
      <c r="D597" s="71">
        <v>210</v>
      </c>
      <c r="E597" s="131">
        <f t="shared" si="133"/>
        <v>6570</v>
      </c>
      <c r="F597" s="21">
        <f t="shared" si="132"/>
        <v>7949.7</v>
      </c>
      <c r="G597" s="21"/>
      <c r="H597" s="135">
        <f t="shared" si="129"/>
        <v>5540</v>
      </c>
      <c r="I597" s="294">
        <v>45059</v>
      </c>
      <c r="J597" s="294">
        <v>45331</v>
      </c>
      <c r="K597" s="11">
        <f>0.8*0.96*5696</f>
        <v>4374.5280000000002</v>
      </c>
      <c r="L597" s="11"/>
      <c r="M597" s="11"/>
      <c r="N597" s="11">
        <f>0.8*0.96*4808</f>
        <v>3692.5439999999999</v>
      </c>
      <c r="O597" s="11">
        <f t="shared" si="128"/>
        <v>4374.5280000000002</v>
      </c>
      <c r="P597" s="11">
        <f t="shared" si="135"/>
        <v>4374.5280000000002</v>
      </c>
      <c r="Q597" s="11">
        <v>1.5</v>
      </c>
      <c r="R597" s="11">
        <f t="shared" si="134"/>
        <v>6561.7920000000004</v>
      </c>
      <c r="S597" s="11"/>
      <c r="T597" s="136">
        <f t="shared" ref="T597:T620" si="136">+N597*Q597</f>
        <v>5538.8159999999998</v>
      </c>
    </row>
    <row r="598" spans="1:20" ht="15.75" customHeight="1">
      <c r="A598" s="149">
        <v>36</v>
      </c>
      <c r="B598" s="273"/>
      <c r="C598" s="28" t="s">
        <v>4051</v>
      </c>
      <c r="D598" s="41">
        <v>320</v>
      </c>
      <c r="E598" s="131">
        <f t="shared" si="133"/>
        <v>8120</v>
      </c>
      <c r="F598" s="21">
        <f t="shared" si="132"/>
        <v>9825.1999999999989</v>
      </c>
      <c r="G598" s="21"/>
      <c r="H598" s="135">
        <f t="shared" si="129"/>
        <v>6860</v>
      </c>
      <c r="I598" s="294">
        <v>45059</v>
      </c>
      <c r="J598" s="294">
        <v>45331</v>
      </c>
      <c r="K598" s="11">
        <f>0.8*0.94*7195</f>
        <v>5410.64</v>
      </c>
      <c r="L598" s="11"/>
      <c r="M598" s="11"/>
      <c r="N598" s="11">
        <f>0.8*0.94*6073</f>
        <v>4566.8959999999997</v>
      </c>
      <c r="O598" s="11">
        <f t="shared" si="128"/>
        <v>5410.64</v>
      </c>
      <c r="P598" s="11">
        <f t="shared" si="135"/>
        <v>5410.64</v>
      </c>
      <c r="Q598" s="11">
        <v>1.5</v>
      </c>
      <c r="R598" s="11">
        <f t="shared" si="134"/>
        <v>8115.9600000000009</v>
      </c>
      <c r="S598" s="11"/>
      <c r="T598" s="136">
        <f t="shared" si="136"/>
        <v>6850.3439999999991</v>
      </c>
    </row>
    <row r="599" spans="1:20" ht="15.75" customHeight="1">
      <c r="A599" s="149">
        <v>36</v>
      </c>
      <c r="B599" s="273"/>
      <c r="C599" s="28" t="s">
        <v>4460</v>
      </c>
      <c r="D599" s="41"/>
      <c r="E599" s="131">
        <f>ROUNDUP(R599,-1)</f>
        <v>11100</v>
      </c>
      <c r="F599" s="21">
        <f>+E599*1.21</f>
        <v>13431</v>
      </c>
      <c r="G599" s="21"/>
      <c r="H599" s="135">
        <f>ROUNDUP(T599,-1)</f>
        <v>9370</v>
      </c>
      <c r="I599" s="294">
        <v>45059</v>
      </c>
      <c r="J599" s="294">
        <v>45331</v>
      </c>
      <c r="K599" s="11">
        <f>0.8*0.94*9832</f>
        <v>7393.6639999999998</v>
      </c>
      <c r="L599" s="11"/>
      <c r="M599" s="11"/>
      <c r="N599" s="11">
        <f>0.8*0.94*8299</f>
        <v>6240.848</v>
      </c>
      <c r="O599" s="11">
        <f>MIN(K599:M599)</f>
        <v>7393.6639999999998</v>
      </c>
      <c r="P599" s="11">
        <f t="shared" si="135"/>
        <v>7393.6639999999998</v>
      </c>
      <c r="Q599" s="11">
        <v>1.5</v>
      </c>
      <c r="R599" s="11">
        <f t="shared" si="134"/>
        <v>11090.495999999999</v>
      </c>
      <c r="S599" s="11"/>
      <c r="T599" s="136">
        <f>+N599*Q599</f>
        <v>9361.2720000000008</v>
      </c>
    </row>
    <row r="600" spans="1:20" ht="15.75" customHeight="1">
      <c r="A600" s="149">
        <v>12</v>
      </c>
      <c r="B600" s="273"/>
      <c r="C600" s="28" t="s">
        <v>4542</v>
      </c>
      <c r="D600" s="41"/>
      <c r="E600" s="131">
        <f>ROUNDUP(R600,-1)</f>
        <v>7350</v>
      </c>
      <c r="F600" s="21">
        <f>+E600*1.21</f>
        <v>8893.5</v>
      </c>
      <c r="G600" s="21"/>
      <c r="H600" s="135">
        <f>ROUNDUP(T600,-1)</f>
        <v>0</v>
      </c>
      <c r="I600" s="294">
        <v>45274</v>
      </c>
      <c r="J600" s="294">
        <v>45338</v>
      </c>
      <c r="K600" s="11">
        <v>4318</v>
      </c>
      <c r="L600" s="11"/>
      <c r="M600" s="11"/>
      <c r="N600" s="100"/>
      <c r="O600" s="11">
        <f>MIN(K600:M600)</f>
        <v>4318</v>
      </c>
      <c r="P600" s="11">
        <f t="shared" si="135"/>
        <v>4318</v>
      </c>
      <c r="Q600" s="11">
        <v>1.7</v>
      </c>
      <c r="R600" s="11">
        <f t="shared" si="134"/>
        <v>7340.5999999999995</v>
      </c>
      <c r="S600" s="11"/>
      <c r="T600" s="136">
        <f>+N600*Q600</f>
        <v>0</v>
      </c>
    </row>
    <row r="601" spans="1:20" ht="15.75" customHeight="1">
      <c r="A601" s="149">
        <v>12</v>
      </c>
      <c r="B601" s="273"/>
      <c r="C601" s="28" t="s">
        <v>37265</v>
      </c>
      <c r="D601" s="41"/>
      <c r="E601" s="131">
        <f>ROUNDUP(R601,-1)</f>
        <v>4520</v>
      </c>
      <c r="F601" s="21">
        <f>+E601*1.21</f>
        <v>5469.2</v>
      </c>
      <c r="G601" s="21"/>
      <c r="H601" s="135">
        <f>ROUNDUP(T601,-1)</f>
        <v>0</v>
      </c>
      <c r="I601" s="294">
        <v>45162</v>
      </c>
      <c r="J601" s="294">
        <v>45338</v>
      </c>
      <c r="K601" s="11">
        <v>2656</v>
      </c>
      <c r="L601" s="11"/>
      <c r="M601" s="11"/>
      <c r="N601" s="100"/>
      <c r="O601" s="11">
        <f>MIN(K601:M601)</f>
        <v>2656</v>
      </c>
      <c r="P601" s="11">
        <f>+O601</f>
        <v>2656</v>
      </c>
      <c r="Q601" s="11">
        <v>1.7</v>
      </c>
      <c r="R601" s="11">
        <f>+P601*Q601</f>
        <v>4515.2</v>
      </c>
      <c r="S601" s="11"/>
      <c r="T601" s="136">
        <f>+N601*Q601</f>
        <v>0</v>
      </c>
    </row>
    <row r="602" spans="1:20" ht="15.75" customHeight="1">
      <c r="A602" s="149">
        <v>12</v>
      </c>
      <c r="B602" s="273"/>
      <c r="C602" s="28" t="s">
        <v>4559</v>
      </c>
      <c r="D602" s="41"/>
      <c r="E602" s="131">
        <f>ROUNDUP(R602,-1)</f>
        <v>9030</v>
      </c>
      <c r="F602" s="21">
        <f>+E602*1.21</f>
        <v>10926.3</v>
      </c>
      <c r="G602" s="21"/>
      <c r="H602" s="135">
        <f>ROUNDUP(T602,-1)</f>
        <v>0</v>
      </c>
      <c r="I602" s="294">
        <v>45162</v>
      </c>
      <c r="J602" s="294">
        <v>45338</v>
      </c>
      <c r="K602" s="11">
        <v>5308</v>
      </c>
      <c r="L602" s="11"/>
      <c r="M602" s="11"/>
      <c r="N602" s="100"/>
      <c r="O602" s="11">
        <f>MIN(K602:M602)</f>
        <v>5308</v>
      </c>
      <c r="P602" s="11">
        <f t="shared" si="135"/>
        <v>5308</v>
      </c>
      <c r="Q602" s="11">
        <v>1.7</v>
      </c>
      <c r="R602" s="11">
        <f t="shared" si="134"/>
        <v>9023.6</v>
      </c>
      <c r="S602" s="11"/>
      <c r="T602" s="136">
        <f>+N602*Q602</f>
        <v>0</v>
      </c>
    </row>
    <row r="603" spans="1:20" ht="15.75" customHeight="1">
      <c r="A603" s="149">
        <v>36</v>
      </c>
      <c r="B603" s="273"/>
      <c r="C603" s="28" t="s">
        <v>3522</v>
      </c>
      <c r="D603" s="71">
        <v>160</v>
      </c>
      <c r="E603" s="131">
        <f>ROUNDUP(R603,-1)</f>
        <v>4720</v>
      </c>
      <c r="F603" s="21">
        <f>+E603*1.21</f>
        <v>5711.2</v>
      </c>
      <c r="G603" s="21"/>
      <c r="H603" s="135">
        <f>ROUNDUP(T603,-1)</f>
        <v>3790</v>
      </c>
      <c r="I603" s="294">
        <v>45059</v>
      </c>
      <c r="J603" s="294">
        <v>45331</v>
      </c>
      <c r="K603" s="11">
        <f>0.8*0.94*4184</f>
        <v>3146.3679999999999</v>
      </c>
      <c r="L603" s="11"/>
      <c r="M603" s="11"/>
      <c r="N603" s="11">
        <f>0.8*0.94*3354</f>
        <v>2522.2080000000001</v>
      </c>
      <c r="O603" s="11">
        <f>MIN(K603:M603)</f>
        <v>3146.3679999999999</v>
      </c>
      <c r="P603" s="11">
        <f t="shared" si="135"/>
        <v>3146.3679999999999</v>
      </c>
      <c r="Q603" s="11">
        <v>1.5</v>
      </c>
      <c r="R603" s="11">
        <f t="shared" si="134"/>
        <v>4719.5519999999997</v>
      </c>
      <c r="S603" s="11"/>
      <c r="T603" s="136">
        <f>+N603*Q603</f>
        <v>3783.3119999999999</v>
      </c>
    </row>
    <row r="604" spans="1:20" ht="15.75" customHeight="1">
      <c r="A604" s="149">
        <v>36</v>
      </c>
      <c r="B604" s="273"/>
      <c r="C604" s="28" t="s">
        <v>3636</v>
      </c>
      <c r="D604" s="41">
        <v>260</v>
      </c>
      <c r="E604" s="131">
        <f t="shared" si="133"/>
        <v>7460</v>
      </c>
      <c r="F604" s="21">
        <f t="shared" si="132"/>
        <v>9026.6</v>
      </c>
      <c r="G604" s="21"/>
      <c r="H604" s="135">
        <f t="shared" si="129"/>
        <v>5980</v>
      </c>
      <c r="I604" s="294">
        <v>45059</v>
      </c>
      <c r="J604" s="294">
        <v>45331</v>
      </c>
      <c r="K604" s="11">
        <f>0.8*0.94*6609</f>
        <v>4969.9679999999998</v>
      </c>
      <c r="L604" s="11"/>
      <c r="M604" s="11"/>
      <c r="N604" s="11">
        <f>0.8*0.94*5299</f>
        <v>3984.848</v>
      </c>
      <c r="O604" s="11">
        <f t="shared" si="128"/>
        <v>4969.9679999999998</v>
      </c>
      <c r="P604" s="11">
        <f t="shared" si="135"/>
        <v>4969.9679999999998</v>
      </c>
      <c r="Q604" s="11">
        <v>1.5</v>
      </c>
      <c r="R604" s="11">
        <f t="shared" si="134"/>
        <v>7454.9519999999993</v>
      </c>
      <c r="S604" s="11"/>
      <c r="T604" s="136">
        <f t="shared" si="136"/>
        <v>5977.2719999999999</v>
      </c>
    </row>
    <row r="605" spans="1:20" ht="15.75" customHeight="1">
      <c r="A605" s="149">
        <v>36</v>
      </c>
      <c r="B605" s="273"/>
      <c r="C605" s="28" t="s">
        <v>4494</v>
      </c>
      <c r="D605" s="71">
        <v>160</v>
      </c>
      <c r="E605" s="131">
        <f>ROUNDUP(R605,-1)</f>
        <v>3280</v>
      </c>
      <c r="F605" s="21">
        <f>+E605*1.21</f>
        <v>3968.7999999999997</v>
      </c>
      <c r="G605" s="21">
        <f>20*2800</f>
        <v>56000</v>
      </c>
      <c r="H605" s="135">
        <f>ROUNDUP(T605,-1)</f>
        <v>2770</v>
      </c>
      <c r="I605" s="294">
        <v>45059</v>
      </c>
      <c r="J605" s="294">
        <v>45331</v>
      </c>
      <c r="K605" s="11">
        <f>0.8*0.94*2900</f>
        <v>2180.8000000000002</v>
      </c>
      <c r="L605" s="11"/>
      <c r="M605" s="11"/>
      <c r="N605" s="11">
        <f>0.8*0.94*2448</f>
        <v>1840.896</v>
      </c>
      <c r="O605" s="11">
        <f>MIN(K605:M605)</f>
        <v>2180.8000000000002</v>
      </c>
      <c r="P605" s="11">
        <f>+O605</f>
        <v>2180.8000000000002</v>
      </c>
      <c r="Q605" s="11">
        <v>1.5</v>
      </c>
      <c r="R605" s="11">
        <f>+P605*Q605</f>
        <v>3271.2000000000003</v>
      </c>
      <c r="S605" s="11"/>
      <c r="T605" s="136">
        <f>+N605*Q605</f>
        <v>2761.3440000000001</v>
      </c>
    </row>
    <row r="606" spans="1:20" ht="15.75" customHeight="1">
      <c r="A606" s="149">
        <v>36</v>
      </c>
      <c r="B606" s="273"/>
      <c r="C606" s="28" t="s">
        <v>4495</v>
      </c>
      <c r="D606" s="41">
        <v>260</v>
      </c>
      <c r="E606" s="131">
        <f>ROUNDUP(R606,-1)</f>
        <v>4090</v>
      </c>
      <c r="F606" s="21">
        <f>+E606*1.21</f>
        <v>4948.8999999999996</v>
      </c>
      <c r="G606" s="21"/>
      <c r="H606" s="135">
        <f>ROUNDUP(T606,-1)</f>
        <v>3450</v>
      </c>
      <c r="I606" s="294">
        <v>45180</v>
      </c>
      <c r="J606" s="294">
        <v>45331</v>
      </c>
      <c r="K606" s="11">
        <f>0.8*0.94*3619</f>
        <v>2721.4879999999998</v>
      </c>
      <c r="L606" s="11"/>
      <c r="M606" s="11"/>
      <c r="N606" s="11">
        <f>0.8*0.94*3054</f>
        <v>2296.6080000000002</v>
      </c>
      <c r="O606" s="11">
        <f>MIN(K606:M606)</f>
        <v>2721.4879999999998</v>
      </c>
      <c r="P606" s="11">
        <f>+O606</f>
        <v>2721.4879999999998</v>
      </c>
      <c r="Q606" s="11">
        <v>1.5</v>
      </c>
      <c r="R606" s="11">
        <f>+P606*Q606</f>
        <v>4082.232</v>
      </c>
      <c r="S606" s="11"/>
      <c r="T606" s="136">
        <f>+N606*Q606</f>
        <v>3444.9120000000003</v>
      </c>
    </row>
    <row r="607" spans="1:20" ht="15.75" customHeight="1">
      <c r="A607" s="149">
        <v>36</v>
      </c>
      <c r="B607" s="273"/>
      <c r="C607" s="28" t="s">
        <v>3523</v>
      </c>
      <c r="D607" s="41"/>
      <c r="E607" s="131">
        <f t="shared" si="133"/>
        <v>9580</v>
      </c>
      <c r="F607" s="21">
        <f t="shared" si="132"/>
        <v>11591.8</v>
      </c>
      <c r="G607" s="21"/>
      <c r="H607" s="135">
        <f t="shared" si="129"/>
        <v>7690</v>
      </c>
      <c r="I607" s="294">
        <v>45059</v>
      </c>
      <c r="J607" s="294">
        <v>45331</v>
      </c>
      <c r="K607" s="11">
        <f>0.8*0.96*8315</f>
        <v>6385.92</v>
      </c>
      <c r="L607" s="11"/>
      <c r="M607" s="11"/>
      <c r="N607" s="11">
        <f>0.8*0.96*6667</f>
        <v>5120.2560000000003</v>
      </c>
      <c r="O607" s="11">
        <f t="shared" si="128"/>
        <v>6385.92</v>
      </c>
      <c r="P607" s="11">
        <f t="shared" si="135"/>
        <v>6385.92</v>
      </c>
      <c r="Q607" s="11">
        <v>1.5</v>
      </c>
      <c r="R607" s="11">
        <f t="shared" si="134"/>
        <v>9578.880000000001</v>
      </c>
      <c r="S607" s="11"/>
      <c r="T607" s="136">
        <f t="shared" si="136"/>
        <v>7680.384</v>
      </c>
    </row>
    <row r="608" spans="1:20" ht="15.75" customHeight="1">
      <c r="A608" s="149">
        <v>12</v>
      </c>
      <c r="B608" s="273"/>
      <c r="C608" s="28" t="s">
        <v>37266</v>
      </c>
      <c r="D608" s="41"/>
      <c r="E608" s="131">
        <f>ROUNDUP(R608,-1)</f>
        <v>2600</v>
      </c>
      <c r="F608" s="21">
        <f>+E608*1.21</f>
        <v>3146</v>
      </c>
      <c r="G608" s="21"/>
      <c r="H608" s="135">
        <f>ROUNDUP(T608,-1)</f>
        <v>0</v>
      </c>
      <c r="I608" s="294">
        <v>45274</v>
      </c>
      <c r="J608" s="294">
        <v>45338</v>
      </c>
      <c r="K608" s="11">
        <v>1526</v>
      </c>
      <c r="L608" s="11"/>
      <c r="M608" s="11"/>
      <c r="N608" s="100"/>
      <c r="O608" s="11">
        <f>MIN(K608:M608)</f>
        <v>1526</v>
      </c>
      <c r="P608" s="11">
        <f t="shared" si="135"/>
        <v>1526</v>
      </c>
      <c r="Q608" s="11">
        <v>1.7</v>
      </c>
      <c r="R608" s="11">
        <f t="shared" si="134"/>
        <v>2594.1999999999998</v>
      </c>
      <c r="S608" s="11"/>
      <c r="T608" s="136">
        <f>+N608*Q608</f>
        <v>0</v>
      </c>
    </row>
    <row r="609" spans="1:20" ht="15.75" customHeight="1">
      <c r="A609" s="149">
        <v>12</v>
      </c>
      <c r="B609" s="273"/>
      <c r="C609" s="28" t="s">
        <v>37267</v>
      </c>
      <c r="D609" s="41"/>
      <c r="E609" s="131">
        <f>ROUNDUP(R609,-1)</f>
        <v>5210</v>
      </c>
      <c r="F609" s="21">
        <f>+E609*1.21</f>
        <v>6304.0999999999995</v>
      </c>
      <c r="G609" s="21"/>
      <c r="H609" s="135">
        <f>ROUNDUP(T609,-1)</f>
        <v>0</v>
      </c>
      <c r="I609" s="294">
        <v>45274</v>
      </c>
      <c r="J609" s="294">
        <v>45338</v>
      </c>
      <c r="K609" s="11">
        <v>3063</v>
      </c>
      <c r="L609" s="11"/>
      <c r="M609" s="11"/>
      <c r="N609" s="100"/>
      <c r="O609" s="11">
        <f>MIN(K609:M609)</f>
        <v>3063</v>
      </c>
      <c r="P609" s="11">
        <f>+O609</f>
        <v>3063</v>
      </c>
      <c r="Q609" s="11">
        <v>1.7</v>
      </c>
      <c r="R609" s="11">
        <f>+P609*Q609</f>
        <v>5207.0999999999995</v>
      </c>
      <c r="S609" s="11"/>
      <c r="T609" s="136">
        <f>+N609*Q609</f>
        <v>0</v>
      </c>
    </row>
    <row r="610" spans="1:20" ht="15.75" customHeight="1">
      <c r="A610" s="149">
        <v>24</v>
      </c>
      <c r="B610" s="273"/>
      <c r="C610" s="28" t="s">
        <v>1418</v>
      </c>
      <c r="D610" s="41">
        <v>120</v>
      </c>
      <c r="E610" s="131">
        <f t="shared" si="133"/>
        <v>0</v>
      </c>
      <c r="F610" s="21">
        <f t="shared" si="132"/>
        <v>0</v>
      </c>
      <c r="G610" s="21"/>
      <c r="H610" s="135">
        <f t="shared" si="129"/>
        <v>0</v>
      </c>
      <c r="I610" s="294"/>
      <c r="J610" s="294">
        <v>44116</v>
      </c>
      <c r="K610" s="10">
        <f>+PROVEEDORES!D18*0.5*10.8</f>
        <v>5724</v>
      </c>
      <c r="L610" s="11"/>
      <c r="M610" s="11"/>
      <c r="N610" s="100"/>
      <c r="O610" s="11">
        <f t="shared" si="128"/>
        <v>5724</v>
      </c>
      <c r="P610" s="11">
        <f t="shared" si="135"/>
        <v>5724</v>
      </c>
      <c r="Q610" s="11"/>
      <c r="R610" s="11">
        <f t="shared" si="134"/>
        <v>0</v>
      </c>
      <c r="S610" s="11"/>
      <c r="T610" s="136">
        <f t="shared" si="136"/>
        <v>0</v>
      </c>
    </row>
    <row r="611" spans="1:20" ht="15.75" customHeight="1">
      <c r="A611" s="149">
        <v>24</v>
      </c>
      <c r="B611" s="273"/>
      <c r="C611" s="28" t="s">
        <v>1419</v>
      </c>
      <c r="D611" s="41">
        <v>210</v>
      </c>
      <c r="E611" s="131">
        <f t="shared" si="133"/>
        <v>0</v>
      </c>
      <c r="F611" s="21">
        <f t="shared" si="132"/>
        <v>0</v>
      </c>
      <c r="G611" s="21"/>
      <c r="H611" s="135">
        <f t="shared" si="129"/>
        <v>0</v>
      </c>
      <c r="I611" s="294"/>
      <c r="J611" s="294">
        <v>44116</v>
      </c>
      <c r="K611" s="10">
        <f>+PROVEEDORES!D18*0.5*16.96</f>
        <v>8988.8000000000011</v>
      </c>
      <c r="L611" s="11"/>
      <c r="M611" s="11"/>
      <c r="N611" s="100"/>
      <c r="O611" s="11">
        <f t="shared" ref="O611:O686" si="137">MIN(K611:M611)</f>
        <v>8988.8000000000011</v>
      </c>
      <c r="P611" s="11">
        <f t="shared" si="135"/>
        <v>8988.8000000000011</v>
      </c>
      <c r="Q611" s="11"/>
      <c r="R611" s="11">
        <f t="shared" si="134"/>
        <v>0</v>
      </c>
      <c r="S611" s="11"/>
      <c r="T611" s="136">
        <f t="shared" si="136"/>
        <v>0</v>
      </c>
    </row>
    <row r="612" spans="1:20" ht="15.75" customHeight="1">
      <c r="A612" s="149">
        <v>24</v>
      </c>
      <c r="B612" s="273"/>
      <c r="C612" s="28" t="s">
        <v>1420</v>
      </c>
      <c r="D612" s="41">
        <v>160</v>
      </c>
      <c r="E612" s="131">
        <f t="shared" si="133"/>
        <v>0</v>
      </c>
      <c r="F612" s="21">
        <f t="shared" si="132"/>
        <v>0</v>
      </c>
      <c r="G612" s="21"/>
      <c r="H612" s="135">
        <f t="shared" si="129"/>
        <v>0</v>
      </c>
      <c r="I612" s="294"/>
      <c r="J612" s="294">
        <v>42912</v>
      </c>
      <c r="K612" s="10"/>
      <c r="L612" s="11"/>
      <c r="M612" s="11"/>
      <c r="N612" s="100"/>
      <c r="O612" s="11">
        <f t="shared" si="137"/>
        <v>0</v>
      </c>
      <c r="P612" s="11">
        <f t="shared" si="135"/>
        <v>0</v>
      </c>
      <c r="Q612" s="11">
        <v>1.5</v>
      </c>
      <c r="R612" s="11">
        <f t="shared" si="134"/>
        <v>0</v>
      </c>
      <c r="S612" s="11"/>
      <c r="T612" s="136">
        <f t="shared" si="136"/>
        <v>0</v>
      </c>
    </row>
    <row r="613" spans="1:20" ht="15.75" customHeight="1">
      <c r="A613" s="149">
        <v>24</v>
      </c>
      <c r="B613" s="273"/>
      <c r="C613" s="28" t="s">
        <v>1421</v>
      </c>
      <c r="D613" s="41">
        <v>310</v>
      </c>
      <c r="E613" s="131">
        <f t="shared" si="133"/>
        <v>0</v>
      </c>
      <c r="F613" s="21">
        <f t="shared" si="132"/>
        <v>0</v>
      </c>
      <c r="G613" s="21"/>
      <c r="H613" s="135">
        <f t="shared" si="129"/>
        <v>0</v>
      </c>
      <c r="I613" s="294"/>
      <c r="J613" s="294">
        <v>44116</v>
      </c>
      <c r="K613" s="10">
        <f>+PROVEEDORES!D18*0.5*28.62</f>
        <v>15168.6</v>
      </c>
      <c r="L613" s="11"/>
      <c r="M613" s="11"/>
      <c r="N613" s="100"/>
      <c r="O613" s="11">
        <f t="shared" si="137"/>
        <v>15168.6</v>
      </c>
      <c r="P613" s="11">
        <f t="shared" si="135"/>
        <v>15168.6</v>
      </c>
      <c r="Q613" s="11"/>
      <c r="R613" s="11">
        <f t="shared" si="134"/>
        <v>0</v>
      </c>
      <c r="S613" s="11"/>
      <c r="T613" s="136">
        <f t="shared" si="136"/>
        <v>0</v>
      </c>
    </row>
    <row r="614" spans="1:20" ht="15.75" customHeight="1">
      <c r="A614" s="149">
        <v>24</v>
      </c>
      <c r="B614" s="273"/>
      <c r="C614" s="28" t="s">
        <v>1417</v>
      </c>
      <c r="D614" s="41">
        <v>370</v>
      </c>
      <c r="E614" s="131">
        <f>ROUNDUP(R614,-1)</f>
        <v>0</v>
      </c>
      <c r="F614" s="21">
        <f>+E614*1.21</f>
        <v>0</v>
      </c>
      <c r="G614" s="21"/>
      <c r="H614" s="135">
        <f>ROUNDUP(T614,-1)</f>
        <v>0</v>
      </c>
      <c r="I614" s="294"/>
      <c r="J614" s="294">
        <v>42745</v>
      </c>
      <c r="K614" s="10"/>
      <c r="L614" s="11"/>
      <c r="M614" s="11"/>
      <c r="N614" s="100"/>
      <c r="O614" s="11">
        <f>MIN(K614:M614)</f>
        <v>0</v>
      </c>
      <c r="P614" s="11">
        <f t="shared" si="135"/>
        <v>0</v>
      </c>
      <c r="Q614" s="11">
        <v>1.5</v>
      </c>
      <c r="R614" s="11">
        <f t="shared" si="134"/>
        <v>0</v>
      </c>
      <c r="S614" s="11"/>
      <c r="T614" s="136">
        <f>+N614*Q614</f>
        <v>0</v>
      </c>
    </row>
    <row r="615" spans="1:20" ht="15.75" customHeight="1">
      <c r="A615" s="149" t="s">
        <v>44322</v>
      </c>
      <c r="B615" s="273"/>
      <c r="C615" s="28" t="s">
        <v>4052</v>
      </c>
      <c r="D615" s="41">
        <v>420</v>
      </c>
      <c r="E615" s="131">
        <f t="shared" si="133"/>
        <v>19070</v>
      </c>
      <c r="F615" s="21">
        <f t="shared" si="132"/>
        <v>23074.7</v>
      </c>
      <c r="G615" s="21"/>
      <c r="H615" s="135">
        <f t="shared" si="129"/>
        <v>0</v>
      </c>
      <c r="I615" s="294">
        <v>45059</v>
      </c>
      <c r="J615" s="294">
        <v>45332</v>
      </c>
      <c r="K615" s="10">
        <f>0.8*0.94*16898</f>
        <v>12707.296</v>
      </c>
      <c r="L615" s="42"/>
      <c r="M615" s="42"/>
      <c r="N615" s="10"/>
      <c r="O615" s="11">
        <f>MIN(K615:M615)</f>
        <v>12707.296</v>
      </c>
      <c r="P615" s="11">
        <f t="shared" si="135"/>
        <v>12707.296</v>
      </c>
      <c r="Q615" s="11">
        <v>1.5</v>
      </c>
      <c r="R615" s="11">
        <f t="shared" si="134"/>
        <v>19060.944</v>
      </c>
      <c r="S615" s="11"/>
      <c r="T615" s="136">
        <f t="shared" si="136"/>
        <v>0</v>
      </c>
    </row>
    <row r="616" spans="1:20" ht="15.75" customHeight="1">
      <c r="A616" s="149">
        <v>106</v>
      </c>
      <c r="B616" s="273"/>
      <c r="C616" s="28" t="s">
        <v>4552</v>
      </c>
      <c r="D616" s="41"/>
      <c r="E616" s="131">
        <f>ROUNDUP(R616,-1)</f>
        <v>16230</v>
      </c>
      <c r="F616" s="21">
        <f>+E616*1.21</f>
        <v>19638.3</v>
      </c>
      <c r="G616" s="21"/>
      <c r="H616" s="135">
        <f>ROUNDUP(T616,-1)</f>
        <v>0</v>
      </c>
      <c r="I616" s="294">
        <v>45307</v>
      </c>
      <c r="J616" s="294">
        <v>45334</v>
      </c>
      <c r="K616" s="10">
        <f>0.82*13189</f>
        <v>10814.98</v>
      </c>
      <c r="L616" s="11"/>
      <c r="M616" s="11"/>
      <c r="N616" s="100"/>
      <c r="O616" s="11">
        <f>MIN(K616:M616)</f>
        <v>10814.98</v>
      </c>
      <c r="P616" s="11">
        <f>+O616</f>
        <v>10814.98</v>
      </c>
      <c r="Q616" s="11">
        <v>1.5</v>
      </c>
      <c r="R616" s="11">
        <f>+P616*Q616</f>
        <v>16222.47</v>
      </c>
      <c r="S616" s="11"/>
      <c r="T616" s="136">
        <f>+N616*Q616</f>
        <v>0</v>
      </c>
    </row>
    <row r="617" spans="1:20" ht="15.75" customHeight="1">
      <c r="A617" s="149">
        <v>106</v>
      </c>
      <c r="B617" s="273"/>
      <c r="C617" s="28" t="s">
        <v>4398</v>
      </c>
      <c r="D617" s="41"/>
      <c r="E617" s="131">
        <f t="shared" si="133"/>
        <v>25760</v>
      </c>
      <c r="F617" s="21">
        <f t="shared" si="132"/>
        <v>31169.599999999999</v>
      </c>
      <c r="G617" s="21"/>
      <c r="H617" s="135">
        <f t="shared" si="129"/>
        <v>0</v>
      </c>
      <c r="I617" s="294">
        <v>45274</v>
      </c>
      <c r="J617" s="294">
        <v>45334</v>
      </c>
      <c r="K617" s="10">
        <f>0.82*20935</f>
        <v>17166.7</v>
      </c>
      <c r="L617" s="11"/>
      <c r="M617" s="11"/>
      <c r="N617" s="100"/>
      <c r="O617" s="11">
        <f>MIN(K617:M617)</f>
        <v>17166.7</v>
      </c>
      <c r="P617" s="11">
        <f t="shared" si="135"/>
        <v>17166.7</v>
      </c>
      <c r="Q617" s="11">
        <v>1.5</v>
      </c>
      <c r="R617" s="11">
        <f t="shared" si="134"/>
        <v>25750.050000000003</v>
      </c>
      <c r="S617" s="11"/>
      <c r="T617" s="136">
        <f t="shared" si="136"/>
        <v>0</v>
      </c>
    </row>
    <row r="618" spans="1:20" ht="15.75" customHeight="1">
      <c r="A618" s="149">
        <v>102</v>
      </c>
      <c r="B618" s="273"/>
      <c r="C618" s="28" t="s">
        <v>4124</v>
      </c>
      <c r="D618" s="41"/>
      <c r="E618" s="131">
        <f t="shared" si="133"/>
        <v>2850</v>
      </c>
      <c r="F618" s="21">
        <f t="shared" si="132"/>
        <v>3448.5</v>
      </c>
      <c r="G618" s="21"/>
      <c r="H618" s="135">
        <f t="shared" si="129"/>
        <v>0</v>
      </c>
      <c r="I618" s="294">
        <v>45121</v>
      </c>
      <c r="J618" s="294">
        <v>45313</v>
      </c>
      <c r="K618" s="10">
        <v>1900</v>
      </c>
      <c r="L618" s="11"/>
      <c r="M618" s="11"/>
      <c r="N618" s="100"/>
      <c r="O618" s="11">
        <f>MIN(K618:M618)</f>
        <v>1900</v>
      </c>
      <c r="P618" s="11">
        <f t="shared" si="135"/>
        <v>1900</v>
      </c>
      <c r="Q618" s="11">
        <v>1.5</v>
      </c>
      <c r="R618" s="11">
        <f t="shared" si="134"/>
        <v>2850</v>
      </c>
      <c r="S618" s="11"/>
      <c r="T618" s="136">
        <f t="shared" si="136"/>
        <v>0</v>
      </c>
    </row>
    <row r="619" spans="1:20" ht="15.75" customHeight="1">
      <c r="A619" s="149">
        <v>102</v>
      </c>
      <c r="B619" s="273"/>
      <c r="C619" s="28" t="s">
        <v>4121</v>
      </c>
      <c r="D619" s="41">
        <v>370</v>
      </c>
      <c r="E619" s="131">
        <f t="shared" si="133"/>
        <v>3420</v>
      </c>
      <c r="F619" s="21">
        <f t="shared" ref="F619:F655" si="138">+E619*1.21</f>
        <v>4138.2</v>
      </c>
      <c r="G619" s="21"/>
      <c r="H619" s="135">
        <f t="shared" si="129"/>
        <v>0</v>
      </c>
      <c r="I619" s="294">
        <v>45121</v>
      </c>
      <c r="J619" s="294">
        <v>45379</v>
      </c>
      <c r="K619" s="10">
        <f>2280</f>
        <v>2280</v>
      </c>
      <c r="L619" s="11">
        <f>1187*0.7*0.9*4</f>
        <v>2991.24</v>
      </c>
      <c r="M619" s="11"/>
      <c r="N619" s="100"/>
      <c r="O619" s="11">
        <f t="shared" si="137"/>
        <v>2280</v>
      </c>
      <c r="P619" s="11">
        <f t="shared" si="135"/>
        <v>2280</v>
      </c>
      <c r="Q619" s="11">
        <v>1.5</v>
      </c>
      <c r="R619" s="11">
        <f t="shared" si="134"/>
        <v>3420</v>
      </c>
      <c r="S619" s="11"/>
      <c r="T619" s="136">
        <f t="shared" si="136"/>
        <v>0</v>
      </c>
    </row>
    <row r="620" spans="1:20" ht="15.75" customHeight="1">
      <c r="A620" s="149">
        <v>102</v>
      </c>
      <c r="B620" s="273"/>
      <c r="C620" s="28" t="s">
        <v>4122</v>
      </c>
      <c r="D620" s="41">
        <v>420</v>
      </c>
      <c r="E620" s="131">
        <f t="shared" si="133"/>
        <v>5390</v>
      </c>
      <c r="F620" s="21">
        <f t="shared" si="138"/>
        <v>6521.9</v>
      </c>
      <c r="G620" s="21"/>
      <c r="H620" s="135">
        <f t="shared" si="129"/>
        <v>0</v>
      </c>
      <c r="I620" s="294">
        <v>45121</v>
      </c>
      <c r="J620" s="294">
        <v>45313</v>
      </c>
      <c r="K620" s="10">
        <v>3589</v>
      </c>
      <c r="L620" s="11">
        <f>2390*0.7*0.9*3</f>
        <v>4517.1000000000004</v>
      </c>
      <c r="M620" s="11"/>
      <c r="N620" s="100"/>
      <c r="O620" s="11">
        <f t="shared" si="137"/>
        <v>3589</v>
      </c>
      <c r="P620" s="11">
        <f t="shared" si="135"/>
        <v>3589</v>
      </c>
      <c r="Q620" s="11">
        <v>1.5</v>
      </c>
      <c r="R620" s="11">
        <f t="shared" si="134"/>
        <v>5383.5</v>
      </c>
      <c r="S620" s="11"/>
      <c r="T620" s="136">
        <f t="shared" si="136"/>
        <v>0</v>
      </c>
    </row>
    <row r="621" spans="1:20" ht="15.75" customHeight="1">
      <c r="A621" s="149">
        <v>102</v>
      </c>
      <c r="B621" s="273"/>
      <c r="C621" s="28" t="s">
        <v>4123</v>
      </c>
      <c r="D621" s="41">
        <v>420</v>
      </c>
      <c r="E621" s="131">
        <f t="shared" ref="E621:E626" si="139">ROUNDUP(R621,-1)</f>
        <v>7130</v>
      </c>
      <c r="F621" s="21">
        <f t="shared" ref="F621:F626" si="140">+E621*1.21</f>
        <v>8627.2999999999993</v>
      </c>
      <c r="G621" s="21"/>
      <c r="H621" s="135">
        <f t="shared" ref="H621:H626" si="141">ROUNDUP(T621,-1)</f>
        <v>0</v>
      </c>
      <c r="I621" s="294">
        <v>45160</v>
      </c>
      <c r="J621" s="294">
        <v>45313</v>
      </c>
      <c r="K621" s="10">
        <v>4750</v>
      </c>
      <c r="L621" s="11">
        <f>3098*0.7*0.9*3</f>
        <v>5855.22</v>
      </c>
      <c r="M621" s="11"/>
      <c r="N621" s="100"/>
      <c r="O621" s="11">
        <f t="shared" ref="O621:O626" si="142">MIN(K621:M621)</f>
        <v>4750</v>
      </c>
      <c r="P621" s="11">
        <f t="shared" si="135"/>
        <v>4750</v>
      </c>
      <c r="Q621" s="11">
        <v>1.5</v>
      </c>
      <c r="R621" s="11">
        <f t="shared" si="134"/>
        <v>7125</v>
      </c>
      <c r="S621" s="11"/>
      <c r="T621" s="136">
        <f t="shared" ref="T621:T626" si="143">+N621*Q621</f>
        <v>0</v>
      </c>
    </row>
    <row r="622" spans="1:20" ht="15.75" customHeight="1">
      <c r="A622" s="149">
        <v>107</v>
      </c>
      <c r="B622" s="273"/>
      <c r="C622" s="28" t="s">
        <v>4521</v>
      </c>
      <c r="D622" s="41">
        <v>520</v>
      </c>
      <c r="E622" s="131">
        <f t="shared" si="139"/>
        <v>9980</v>
      </c>
      <c r="F622" s="21">
        <f t="shared" si="140"/>
        <v>12075.8</v>
      </c>
      <c r="G622" s="21"/>
      <c r="H622" s="135">
        <f t="shared" si="141"/>
        <v>0</v>
      </c>
      <c r="I622" s="294"/>
      <c r="J622" s="294">
        <v>45134</v>
      </c>
      <c r="K622" s="10">
        <f>0.75*5914*1.25*1.2</f>
        <v>6653.25</v>
      </c>
      <c r="L622" s="10"/>
      <c r="M622" s="11"/>
      <c r="N622" s="100"/>
      <c r="O622" s="11">
        <f t="shared" si="142"/>
        <v>6653.25</v>
      </c>
      <c r="P622" s="11">
        <f>+O622</f>
        <v>6653.25</v>
      </c>
      <c r="Q622" s="11">
        <v>1.5</v>
      </c>
      <c r="R622" s="11">
        <f>+P622*Q622</f>
        <v>9979.875</v>
      </c>
      <c r="S622" s="11"/>
      <c r="T622" s="136">
        <f t="shared" si="143"/>
        <v>0</v>
      </c>
    </row>
    <row r="623" spans="1:20" ht="15.75" customHeight="1">
      <c r="A623" s="149">
        <v>107</v>
      </c>
      <c r="B623" s="273"/>
      <c r="C623" s="28" t="s">
        <v>4522</v>
      </c>
      <c r="D623" s="41">
        <v>930</v>
      </c>
      <c r="E623" s="131">
        <f t="shared" si="139"/>
        <v>10180</v>
      </c>
      <c r="F623" s="21">
        <f t="shared" si="140"/>
        <v>12317.8</v>
      </c>
      <c r="G623" s="21"/>
      <c r="H623" s="135">
        <f t="shared" si="141"/>
        <v>0</v>
      </c>
      <c r="I623" s="294"/>
      <c r="J623" s="294">
        <v>45134</v>
      </c>
      <c r="K623" s="10">
        <f>0.75*9045</f>
        <v>6783.75</v>
      </c>
      <c r="L623" s="10"/>
      <c r="M623" s="11"/>
      <c r="N623" s="100"/>
      <c r="O623" s="11">
        <f t="shared" si="142"/>
        <v>6783.75</v>
      </c>
      <c r="P623" s="11">
        <f>+O623</f>
        <v>6783.75</v>
      </c>
      <c r="Q623" s="11">
        <v>1.5</v>
      </c>
      <c r="R623" s="11">
        <f>+P623*Q623</f>
        <v>10175.625</v>
      </c>
      <c r="S623" s="11"/>
      <c r="T623" s="136">
        <f t="shared" si="143"/>
        <v>0</v>
      </c>
    </row>
    <row r="624" spans="1:20" ht="15.75" customHeight="1">
      <c r="A624" s="149" t="s">
        <v>2403</v>
      </c>
      <c r="B624" s="273"/>
      <c r="C624" s="28" t="s">
        <v>4057</v>
      </c>
      <c r="D624" s="41">
        <v>520</v>
      </c>
      <c r="E624" s="131">
        <f t="shared" si="139"/>
        <v>11430</v>
      </c>
      <c r="F624" s="21">
        <f t="shared" si="140"/>
        <v>13830.3</v>
      </c>
      <c r="G624" s="21"/>
      <c r="H624" s="135">
        <f t="shared" si="141"/>
        <v>0</v>
      </c>
      <c r="I624" s="294">
        <v>45307</v>
      </c>
      <c r="J624" s="294">
        <v>45338</v>
      </c>
      <c r="K624" s="10">
        <f>0.6*12695</f>
        <v>7617</v>
      </c>
      <c r="L624" s="10"/>
      <c r="M624" s="11"/>
      <c r="N624" s="100"/>
      <c r="O624" s="11">
        <f t="shared" si="142"/>
        <v>7617</v>
      </c>
      <c r="P624" s="11">
        <f t="shared" si="135"/>
        <v>7617</v>
      </c>
      <c r="Q624" s="11">
        <v>1.5</v>
      </c>
      <c r="R624" s="11">
        <f t="shared" si="134"/>
        <v>11425.5</v>
      </c>
      <c r="S624" s="11"/>
      <c r="T624" s="136">
        <f t="shared" si="143"/>
        <v>0</v>
      </c>
    </row>
    <row r="625" spans="1:20" ht="15.75" customHeight="1">
      <c r="A625" s="149" t="s">
        <v>2403</v>
      </c>
      <c r="B625" s="273"/>
      <c r="C625" s="28" t="s">
        <v>3389</v>
      </c>
      <c r="D625" s="41">
        <v>930</v>
      </c>
      <c r="E625" s="131">
        <f t="shared" si="139"/>
        <v>19900</v>
      </c>
      <c r="F625" s="21">
        <f t="shared" si="140"/>
        <v>24079</v>
      </c>
      <c r="G625" s="21"/>
      <c r="H625" s="135">
        <f t="shared" si="141"/>
        <v>0</v>
      </c>
      <c r="I625" s="294">
        <v>45307</v>
      </c>
      <c r="J625" s="294">
        <v>45338</v>
      </c>
      <c r="K625" s="10">
        <f>0.6*22101</f>
        <v>13260.6</v>
      </c>
      <c r="L625" s="10"/>
      <c r="M625" s="148"/>
      <c r="N625" s="100"/>
      <c r="O625" s="11">
        <f t="shared" si="142"/>
        <v>13260.6</v>
      </c>
      <c r="P625" s="11">
        <f t="shared" si="135"/>
        <v>13260.6</v>
      </c>
      <c r="Q625" s="11">
        <v>1.5</v>
      </c>
      <c r="R625" s="11">
        <f t="shared" si="134"/>
        <v>19890.900000000001</v>
      </c>
      <c r="S625" s="11"/>
      <c r="T625" s="136">
        <f t="shared" si="143"/>
        <v>0</v>
      </c>
    </row>
    <row r="626" spans="1:20" ht="15.75" customHeight="1">
      <c r="A626" s="149" t="s">
        <v>2403</v>
      </c>
      <c r="B626" s="273"/>
      <c r="C626" s="28" t="s">
        <v>4133</v>
      </c>
      <c r="D626" s="41">
        <v>1110</v>
      </c>
      <c r="E626" s="131">
        <f t="shared" si="139"/>
        <v>24620</v>
      </c>
      <c r="F626" s="21">
        <f t="shared" si="140"/>
        <v>29790.2</v>
      </c>
      <c r="G626" s="21"/>
      <c r="H626" s="135">
        <f t="shared" si="141"/>
        <v>0</v>
      </c>
      <c r="I626" s="294">
        <v>45307</v>
      </c>
      <c r="J626" s="294">
        <v>45338</v>
      </c>
      <c r="K626" s="10">
        <f>0.6*27347</f>
        <v>16408.2</v>
      </c>
      <c r="L626" s="10"/>
      <c r="M626" s="11"/>
      <c r="N626" s="100"/>
      <c r="O626" s="11">
        <f t="shared" si="142"/>
        <v>16408.2</v>
      </c>
      <c r="P626" s="11">
        <f t="shared" si="135"/>
        <v>16408.2</v>
      </c>
      <c r="Q626" s="11">
        <v>1.5</v>
      </c>
      <c r="R626" s="11">
        <f t="shared" si="134"/>
        <v>24612.300000000003</v>
      </c>
      <c r="S626" s="11"/>
      <c r="T626" s="136">
        <f t="shared" si="143"/>
        <v>0</v>
      </c>
    </row>
    <row r="627" spans="1:20" ht="15.75" customHeight="1">
      <c r="A627" s="149" t="s">
        <v>2403</v>
      </c>
      <c r="B627" s="273"/>
      <c r="C627" s="28" t="s">
        <v>4056</v>
      </c>
      <c r="D627" s="41">
        <v>1300</v>
      </c>
      <c r="E627" s="131">
        <f t="shared" si="133"/>
        <v>29500</v>
      </c>
      <c r="F627" s="21">
        <f t="shared" si="138"/>
        <v>35695</v>
      </c>
      <c r="G627" s="21"/>
      <c r="H627" s="135">
        <f t="shared" si="129"/>
        <v>0</v>
      </c>
      <c r="I627" s="294">
        <v>45307</v>
      </c>
      <c r="J627" s="40">
        <v>45359</v>
      </c>
      <c r="K627" s="10">
        <f>0.6*32774</f>
        <v>19664.399999999998</v>
      </c>
      <c r="L627" s="10"/>
      <c r="M627" s="11"/>
      <c r="N627" s="100"/>
      <c r="O627" s="11">
        <f t="shared" si="137"/>
        <v>19664.399999999998</v>
      </c>
      <c r="P627" s="11">
        <f t="shared" si="135"/>
        <v>19664.399999999998</v>
      </c>
      <c r="Q627" s="11">
        <v>1.5</v>
      </c>
      <c r="R627" s="11">
        <f t="shared" si="134"/>
        <v>29496.6</v>
      </c>
      <c r="S627" s="11"/>
      <c r="T627" s="136"/>
    </row>
    <row r="628" spans="1:20" ht="15.75" customHeight="1">
      <c r="A628" s="149" t="s">
        <v>2403</v>
      </c>
      <c r="B628" s="273"/>
      <c r="C628" s="28" t="s">
        <v>4067</v>
      </c>
      <c r="D628" s="41">
        <v>1820</v>
      </c>
      <c r="E628" s="131">
        <f t="shared" si="133"/>
        <v>42580</v>
      </c>
      <c r="F628" s="21">
        <f t="shared" si="138"/>
        <v>51521.799999999996</v>
      </c>
      <c r="G628" s="21"/>
      <c r="H628" s="135">
        <f t="shared" si="129"/>
        <v>0</v>
      </c>
      <c r="I628" s="294">
        <v>45307</v>
      </c>
      <c r="J628" s="294">
        <v>45338</v>
      </c>
      <c r="K628" s="10">
        <f>0.6*47301</f>
        <v>28380.6</v>
      </c>
      <c r="L628" s="10"/>
      <c r="M628" s="11"/>
      <c r="N628" s="100"/>
      <c r="O628" s="11">
        <f t="shared" si="137"/>
        <v>28380.6</v>
      </c>
      <c r="P628" s="11">
        <f t="shared" si="135"/>
        <v>28380.6</v>
      </c>
      <c r="Q628" s="11">
        <v>1.5</v>
      </c>
      <c r="R628" s="11">
        <f t="shared" si="134"/>
        <v>42570.899999999994</v>
      </c>
      <c r="S628" s="11"/>
      <c r="T628" s="136">
        <f t="shared" ref="T628:T697" si="144">+N628*Q628</f>
        <v>0</v>
      </c>
    </row>
    <row r="629" spans="1:20" ht="15.75" customHeight="1">
      <c r="A629" s="149" t="s">
        <v>2403</v>
      </c>
      <c r="B629" s="273"/>
      <c r="C629" s="28" t="s">
        <v>4068</v>
      </c>
      <c r="D629" s="41"/>
      <c r="E629" s="131">
        <f t="shared" ref="E629:E634" si="145">ROUNDUP(R629,-1)</f>
        <v>67120</v>
      </c>
      <c r="F629" s="21">
        <f t="shared" ref="F629:F634" si="146">+E629*1.21</f>
        <v>81215.199999999997</v>
      </c>
      <c r="G629" s="21"/>
      <c r="H629" s="135">
        <f t="shared" ref="H629:H634" si="147">ROUNDUP(T629,-1)</f>
        <v>0</v>
      </c>
      <c r="I629" s="294">
        <v>45307</v>
      </c>
      <c r="J629" s="294"/>
      <c r="K629" s="10">
        <f>0.6*74573</f>
        <v>44743.799999999996</v>
      </c>
      <c r="L629" s="10"/>
      <c r="M629" s="11"/>
      <c r="N629" s="100"/>
      <c r="O629" s="11">
        <f t="shared" ref="O629:O634" si="148">MIN(K629:M629)</f>
        <v>44743.799999999996</v>
      </c>
      <c r="P629" s="11">
        <f t="shared" si="135"/>
        <v>44743.799999999996</v>
      </c>
      <c r="Q629" s="11">
        <v>1.5</v>
      </c>
      <c r="R629" s="11">
        <f t="shared" si="134"/>
        <v>67115.7</v>
      </c>
      <c r="S629" s="11"/>
      <c r="T629" s="136">
        <f t="shared" ref="T629:T634" si="149">+N629*Q629</f>
        <v>0</v>
      </c>
    </row>
    <row r="630" spans="1:20" ht="15.75" customHeight="1">
      <c r="A630" s="149"/>
      <c r="B630" s="273"/>
      <c r="C630" s="28" t="s">
        <v>4563</v>
      </c>
      <c r="D630" s="41"/>
      <c r="E630" s="131">
        <f t="shared" si="145"/>
        <v>13500</v>
      </c>
      <c r="F630" s="21">
        <f t="shared" si="146"/>
        <v>16335</v>
      </c>
      <c r="G630" s="21"/>
      <c r="H630" s="135">
        <f t="shared" si="147"/>
        <v>0</v>
      </c>
      <c r="I630" s="294">
        <v>45164</v>
      </c>
      <c r="J630" s="294">
        <v>45310</v>
      </c>
      <c r="K630" s="10">
        <v>9000</v>
      </c>
      <c r="L630" s="10"/>
      <c r="M630" s="11"/>
      <c r="N630" s="100"/>
      <c r="O630" s="11">
        <f t="shared" si="148"/>
        <v>9000</v>
      </c>
      <c r="P630" s="11">
        <f>+O630</f>
        <v>9000</v>
      </c>
      <c r="Q630" s="11">
        <v>1.5</v>
      </c>
      <c r="R630" s="11">
        <f>+P630*Q630</f>
        <v>13500</v>
      </c>
      <c r="S630" s="11"/>
      <c r="T630" s="136">
        <f t="shared" si="149"/>
        <v>0</v>
      </c>
    </row>
    <row r="631" spans="1:20" ht="15.75" customHeight="1">
      <c r="A631" s="149"/>
      <c r="B631" s="273"/>
      <c r="C631" s="28" t="s">
        <v>37259</v>
      </c>
      <c r="D631" s="41"/>
      <c r="E631" s="131">
        <f t="shared" si="145"/>
        <v>16500</v>
      </c>
      <c r="F631" s="21">
        <f t="shared" si="146"/>
        <v>19965</v>
      </c>
      <c r="G631" s="21"/>
      <c r="H631" s="135">
        <f t="shared" si="147"/>
        <v>0</v>
      </c>
      <c r="I631" s="294">
        <v>45164</v>
      </c>
      <c r="J631" s="294">
        <v>45310</v>
      </c>
      <c r="K631" s="10">
        <v>11000</v>
      </c>
      <c r="L631" s="10"/>
      <c r="M631" s="11"/>
      <c r="N631" s="100"/>
      <c r="O631" s="11">
        <f t="shared" si="148"/>
        <v>11000</v>
      </c>
      <c r="P631" s="11">
        <f>+O631</f>
        <v>11000</v>
      </c>
      <c r="Q631" s="11">
        <v>1.5</v>
      </c>
      <c r="R631" s="11">
        <f>+P631*Q631</f>
        <v>16500</v>
      </c>
      <c r="S631" s="11"/>
      <c r="T631" s="136">
        <f t="shared" si="149"/>
        <v>0</v>
      </c>
    </row>
    <row r="632" spans="1:20" ht="15.75" customHeight="1">
      <c r="A632" s="149">
        <v>12</v>
      </c>
      <c r="B632" s="273"/>
      <c r="C632" s="28" t="s">
        <v>4432</v>
      </c>
      <c r="D632" s="41"/>
      <c r="E632" s="131">
        <f t="shared" si="145"/>
        <v>13710</v>
      </c>
      <c r="F632" s="21">
        <f t="shared" si="146"/>
        <v>16589.099999999999</v>
      </c>
      <c r="G632" s="21"/>
      <c r="H632" s="135">
        <f t="shared" si="147"/>
        <v>0</v>
      </c>
      <c r="I632" s="294">
        <v>45222</v>
      </c>
      <c r="J632" s="294">
        <v>45338</v>
      </c>
      <c r="K632" s="10">
        <v>9135</v>
      </c>
      <c r="L632" s="10"/>
      <c r="M632" s="11"/>
      <c r="N632" s="100"/>
      <c r="O632" s="11">
        <f t="shared" si="148"/>
        <v>9135</v>
      </c>
      <c r="P632" s="11">
        <f t="shared" si="135"/>
        <v>9135</v>
      </c>
      <c r="Q632" s="11">
        <v>1.5</v>
      </c>
      <c r="R632" s="11">
        <f t="shared" si="134"/>
        <v>13702.5</v>
      </c>
      <c r="S632" s="11"/>
      <c r="T632" s="136">
        <f t="shared" si="149"/>
        <v>0</v>
      </c>
    </row>
    <row r="633" spans="1:20" ht="15.75" customHeight="1">
      <c r="A633" s="149">
        <v>12</v>
      </c>
      <c r="B633" s="273"/>
      <c r="C633" s="28" t="s">
        <v>4433</v>
      </c>
      <c r="D633" s="41"/>
      <c r="E633" s="131">
        <f t="shared" si="145"/>
        <v>21750</v>
      </c>
      <c r="F633" s="21">
        <f t="shared" si="146"/>
        <v>26317.5</v>
      </c>
      <c r="G633" s="21"/>
      <c r="H633" s="135">
        <f t="shared" si="147"/>
        <v>0</v>
      </c>
      <c r="I633" s="294">
        <v>45222</v>
      </c>
      <c r="J633" s="294">
        <v>45338</v>
      </c>
      <c r="K633" s="10">
        <v>14500</v>
      </c>
      <c r="L633" s="10"/>
      <c r="M633" s="11"/>
      <c r="N633" s="100"/>
      <c r="O633" s="11">
        <f t="shared" si="148"/>
        <v>14500</v>
      </c>
      <c r="P633" s="11">
        <f t="shared" si="135"/>
        <v>14500</v>
      </c>
      <c r="Q633" s="11">
        <v>1.5</v>
      </c>
      <c r="R633" s="11">
        <f t="shared" si="134"/>
        <v>21750</v>
      </c>
      <c r="S633" s="11"/>
      <c r="T633" s="136">
        <f t="shared" si="149"/>
        <v>0</v>
      </c>
    </row>
    <row r="634" spans="1:20" ht="15.75" customHeight="1">
      <c r="A634" s="149">
        <v>12</v>
      </c>
      <c r="B634" s="273"/>
      <c r="C634" s="28" t="s">
        <v>44327</v>
      </c>
      <c r="D634" s="41"/>
      <c r="E634" s="131">
        <f t="shared" si="145"/>
        <v>34800</v>
      </c>
      <c r="F634" s="21">
        <f t="shared" si="146"/>
        <v>42108</v>
      </c>
      <c r="G634" s="21"/>
      <c r="H634" s="135">
        <f t="shared" si="147"/>
        <v>0</v>
      </c>
      <c r="I634" s="294">
        <v>45288</v>
      </c>
      <c r="J634" s="294">
        <v>45338</v>
      </c>
      <c r="K634" s="10">
        <v>23200</v>
      </c>
      <c r="L634" s="10"/>
      <c r="M634" s="11"/>
      <c r="N634" s="100"/>
      <c r="O634" s="11">
        <f t="shared" si="148"/>
        <v>23200</v>
      </c>
      <c r="P634" s="11">
        <f t="shared" ref="P634" si="150">+O634</f>
        <v>23200</v>
      </c>
      <c r="Q634" s="11">
        <v>1.5</v>
      </c>
      <c r="R634" s="11">
        <f t="shared" ref="R634" si="151">+P634*Q634</f>
        <v>34800</v>
      </c>
      <c r="S634" s="11"/>
      <c r="T634" s="136">
        <f t="shared" si="149"/>
        <v>0</v>
      </c>
    </row>
    <row r="635" spans="1:20" ht="15.75" customHeight="1">
      <c r="A635" s="149">
        <v>38</v>
      </c>
      <c r="B635" s="273"/>
      <c r="C635" s="28" t="s">
        <v>2922</v>
      </c>
      <c r="D635" s="41">
        <v>950</v>
      </c>
      <c r="E635" s="131">
        <f t="shared" si="133"/>
        <v>15330</v>
      </c>
      <c r="F635" s="21">
        <f t="shared" si="138"/>
        <v>18549.3</v>
      </c>
      <c r="G635" s="21"/>
      <c r="H635" s="135">
        <f t="shared" ref="H635:H699" si="152">ROUNDUP(T635,-1)</f>
        <v>13290</v>
      </c>
      <c r="I635" s="294">
        <v>45138</v>
      </c>
      <c r="J635" s="40">
        <v>45274</v>
      </c>
      <c r="K635" s="11">
        <f>+PROVEEDORES!$D$32*9.73</f>
        <v>10216.5</v>
      </c>
      <c r="L635" s="11"/>
      <c r="M635" s="11"/>
      <c r="N635" s="100">
        <v>8858</v>
      </c>
      <c r="O635" s="11">
        <f t="shared" si="137"/>
        <v>10216.5</v>
      </c>
      <c r="P635" s="11">
        <f t="shared" si="135"/>
        <v>10216.5</v>
      </c>
      <c r="Q635" s="11">
        <v>1.5</v>
      </c>
      <c r="R635" s="11">
        <f t="shared" si="134"/>
        <v>15324.75</v>
      </c>
      <c r="S635" s="11"/>
      <c r="T635" s="136">
        <f t="shared" si="144"/>
        <v>13287</v>
      </c>
    </row>
    <row r="636" spans="1:20" ht="15.75" customHeight="1">
      <c r="A636" s="149">
        <v>98</v>
      </c>
      <c r="B636" s="273"/>
      <c r="C636" s="28" t="s">
        <v>3384</v>
      </c>
      <c r="D636" s="41"/>
      <c r="E636" s="131">
        <f t="shared" si="133"/>
        <v>0</v>
      </c>
      <c r="F636" s="21">
        <f t="shared" si="138"/>
        <v>0</v>
      </c>
      <c r="G636" s="21"/>
      <c r="H636" s="135">
        <f t="shared" si="152"/>
        <v>0</v>
      </c>
      <c r="I636" s="294"/>
      <c r="J636" s="40">
        <v>44383</v>
      </c>
      <c r="K636" s="11">
        <v>675</v>
      </c>
      <c r="L636" s="11"/>
      <c r="M636" s="11"/>
      <c r="N636" s="100"/>
      <c r="O636" s="11">
        <f t="shared" si="137"/>
        <v>675</v>
      </c>
      <c r="P636" s="11">
        <f t="shared" si="135"/>
        <v>675</v>
      </c>
      <c r="Q636" s="11"/>
      <c r="R636" s="11">
        <f t="shared" si="134"/>
        <v>0</v>
      </c>
      <c r="S636" s="11"/>
      <c r="T636" s="136">
        <f t="shared" si="144"/>
        <v>0</v>
      </c>
    </row>
    <row r="637" spans="1:20" ht="15.75" customHeight="1">
      <c r="A637" s="149" t="s">
        <v>2387</v>
      </c>
      <c r="B637" s="273"/>
      <c r="C637" s="28" t="s">
        <v>1422</v>
      </c>
      <c r="D637" s="41">
        <v>950</v>
      </c>
      <c r="E637" s="131">
        <f t="shared" si="133"/>
        <v>19990</v>
      </c>
      <c r="F637" s="21">
        <f t="shared" si="138"/>
        <v>24187.899999999998</v>
      </c>
      <c r="G637" s="21"/>
      <c r="H637" s="135">
        <f t="shared" si="152"/>
        <v>0</v>
      </c>
      <c r="I637" s="294">
        <v>44481</v>
      </c>
      <c r="J637" s="40">
        <v>45343</v>
      </c>
      <c r="K637" s="11">
        <f>+PROVEEDORES!D18*0.5*21*2</f>
        <v>22260</v>
      </c>
      <c r="L637" s="11">
        <f>+PROVEEDORES!$D$32*12.69</f>
        <v>13324.5</v>
      </c>
      <c r="M637" s="11"/>
      <c r="N637" s="100"/>
      <c r="O637" s="11">
        <f t="shared" si="137"/>
        <v>13324.5</v>
      </c>
      <c r="P637" s="11">
        <f t="shared" si="135"/>
        <v>13324.5</v>
      </c>
      <c r="Q637" s="11">
        <v>1.5</v>
      </c>
      <c r="R637" s="11">
        <f t="shared" si="134"/>
        <v>19986.75</v>
      </c>
      <c r="S637" s="11"/>
      <c r="T637" s="136">
        <f t="shared" si="144"/>
        <v>0</v>
      </c>
    </row>
    <row r="638" spans="1:20" ht="15.75" customHeight="1">
      <c r="A638" s="149" t="s">
        <v>2387</v>
      </c>
      <c r="B638" s="273"/>
      <c r="C638" s="28" t="s">
        <v>1423</v>
      </c>
      <c r="D638" s="41">
        <v>1460</v>
      </c>
      <c r="E638" s="131">
        <f t="shared" si="133"/>
        <v>29500</v>
      </c>
      <c r="F638" s="21">
        <f t="shared" si="138"/>
        <v>35695</v>
      </c>
      <c r="G638" s="21"/>
      <c r="H638" s="135">
        <f t="shared" si="152"/>
        <v>0</v>
      </c>
      <c r="I638" s="294">
        <v>44481</v>
      </c>
      <c r="J638" s="40">
        <v>45343</v>
      </c>
      <c r="K638" s="11">
        <f>+PROVEEDORES!D18*0.5*26.31*2</f>
        <v>27888.6</v>
      </c>
      <c r="L638" s="11">
        <f>+PROVEEDORES!$D$32*18.73</f>
        <v>19666.5</v>
      </c>
      <c r="M638" s="11"/>
      <c r="N638" s="37"/>
      <c r="O638" s="11">
        <f t="shared" si="137"/>
        <v>19666.5</v>
      </c>
      <c r="P638" s="11">
        <f t="shared" si="135"/>
        <v>19666.5</v>
      </c>
      <c r="Q638" s="11">
        <v>1.5</v>
      </c>
      <c r="R638" s="11">
        <f t="shared" si="134"/>
        <v>29499.75</v>
      </c>
      <c r="S638" s="11"/>
      <c r="T638" s="136">
        <f t="shared" si="144"/>
        <v>0</v>
      </c>
    </row>
    <row r="639" spans="1:20" ht="15.75" customHeight="1">
      <c r="A639" s="149">
        <v>12</v>
      </c>
      <c r="B639" s="273"/>
      <c r="C639" s="28" t="s">
        <v>2089</v>
      </c>
      <c r="D639" s="41">
        <v>350</v>
      </c>
      <c r="E639" s="131">
        <f t="shared" si="133"/>
        <v>10160</v>
      </c>
      <c r="F639" s="21">
        <f t="shared" si="138"/>
        <v>12293.6</v>
      </c>
      <c r="G639" s="21"/>
      <c r="H639" s="135">
        <f t="shared" si="152"/>
        <v>0</v>
      </c>
      <c r="I639" s="294">
        <v>45286</v>
      </c>
      <c r="J639" s="294"/>
      <c r="K639" s="10">
        <f>4300*1.35</f>
        <v>5805</v>
      </c>
      <c r="L639" s="11"/>
      <c r="M639" s="11"/>
      <c r="N639" s="100"/>
      <c r="O639" s="11">
        <f t="shared" si="137"/>
        <v>5805</v>
      </c>
      <c r="P639" s="11">
        <f t="shared" si="135"/>
        <v>5805</v>
      </c>
      <c r="Q639" s="11">
        <v>1.75</v>
      </c>
      <c r="R639" s="11">
        <f t="shared" si="134"/>
        <v>10158.75</v>
      </c>
      <c r="S639" s="11"/>
      <c r="T639" s="136">
        <f t="shared" si="144"/>
        <v>0</v>
      </c>
    </row>
    <row r="640" spans="1:20" ht="15.75" customHeight="1">
      <c r="A640" s="149">
        <v>12</v>
      </c>
      <c r="B640" s="273"/>
      <c r="C640" s="28" t="s">
        <v>2088</v>
      </c>
      <c r="D640" s="41">
        <v>450</v>
      </c>
      <c r="E640" s="131">
        <f t="shared" si="133"/>
        <v>12750</v>
      </c>
      <c r="F640" s="21">
        <f t="shared" si="138"/>
        <v>15427.5</v>
      </c>
      <c r="G640" s="21"/>
      <c r="H640" s="135">
        <f t="shared" si="152"/>
        <v>0</v>
      </c>
      <c r="I640" s="294">
        <v>44991</v>
      </c>
      <c r="J640" s="294">
        <v>45359</v>
      </c>
      <c r="K640" s="10">
        <f>7500</f>
        <v>7500</v>
      </c>
      <c r="L640" s="11"/>
      <c r="M640" s="11"/>
      <c r="N640" s="100"/>
      <c r="O640" s="11">
        <f t="shared" si="137"/>
        <v>7500</v>
      </c>
      <c r="P640" s="11">
        <f t="shared" si="135"/>
        <v>7500</v>
      </c>
      <c r="Q640" s="11">
        <v>1.7</v>
      </c>
      <c r="R640" s="11">
        <f t="shared" si="134"/>
        <v>12750</v>
      </c>
      <c r="S640" s="11"/>
      <c r="T640" s="136">
        <f t="shared" si="144"/>
        <v>0</v>
      </c>
    </row>
    <row r="641" spans="1:20" ht="15.75" customHeight="1">
      <c r="A641" s="149">
        <v>41</v>
      </c>
      <c r="B641" s="273"/>
      <c r="C641" s="28" t="s">
        <v>4275</v>
      </c>
      <c r="D641" s="276">
        <v>1340</v>
      </c>
      <c r="E641" s="131">
        <f t="shared" si="133"/>
        <v>23250</v>
      </c>
      <c r="F641" s="21">
        <f t="shared" si="138"/>
        <v>28132.5</v>
      </c>
      <c r="G641" s="135"/>
      <c r="H641" s="135">
        <f t="shared" si="152"/>
        <v>21290</v>
      </c>
      <c r="I641" s="294">
        <v>45311</v>
      </c>
      <c r="J641" s="294"/>
      <c r="K641" s="10">
        <f>+PROVEEDORES!$D$35*0.9*0.9*894/50</f>
        <v>15496.596000000001</v>
      </c>
      <c r="L641" s="10"/>
      <c r="M641" s="100"/>
      <c r="N641" s="100">
        <f>0.9*0.95*0.95*873600/50</f>
        <v>14191.632</v>
      </c>
      <c r="O641" s="11">
        <f t="shared" si="137"/>
        <v>15496.596000000001</v>
      </c>
      <c r="P641" s="11">
        <f t="shared" si="135"/>
        <v>15496.596000000001</v>
      </c>
      <c r="Q641" s="11">
        <v>1.5</v>
      </c>
      <c r="R641" s="11">
        <f t="shared" si="134"/>
        <v>23244.894</v>
      </c>
      <c r="S641" s="11"/>
      <c r="T641" s="136">
        <f t="shared" si="144"/>
        <v>21287.448</v>
      </c>
    </row>
    <row r="642" spans="1:20" ht="15.75" customHeight="1">
      <c r="A642" s="149">
        <v>97</v>
      </c>
      <c r="B642" s="273"/>
      <c r="C642" s="28" t="s">
        <v>1424</v>
      </c>
      <c r="D642" s="41">
        <v>1830</v>
      </c>
      <c r="E642" s="131">
        <f t="shared" si="133"/>
        <v>33670</v>
      </c>
      <c r="F642" s="21">
        <f t="shared" si="138"/>
        <v>40740.699999999997</v>
      </c>
      <c r="G642" s="21"/>
      <c r="H642" s="135">
        <f t="shared" si="152"/>
        <v>0</v>
      </c>
      <c r="I642" s="294">
        <v>45142</v>
      </c>
      <c r="J642" s="294"/>
      <c r="K642" s="10">
        <f>PROVEEDORES!$J$44*0.75*31.7</f>
        <v>21040.875</v>
      </c>
      <c r="L642" s="10">
        <f>20672*0.75*1.4</f>
        <v>21705.599999999999</v>
      </c>
      <c r="M642" s="30"/>
      <c r="N642" s="100"/>
      <c r="O642" s="11">
        <f t="shared" si="137"/>
        <v>21040.875</v>
      </c>
      <c r="P642" s="11">
        <f t="shared" si="135"/>
        <v>21040.875</v>
      </c>
      <c r="Q642" s="11">
        <v>1.6</v>
      </c>
      <c r="R642" s="11">
        <f t="shared" si="134"/>
        <v>33665.4</v>
      </c>
      <c r="S642" s="11"/>
      <c r="T642" s="136">
        <f t="shared" si="144"/>
        <v>0</v>
      </c>
    </row>
    <row r="643" spans="1:20" ht="15.75" customHeight="1">
      <c r="A643" s="149">
        <v>97</v>
      </c>
      <c r="B643" s="273"/>
      <c r="C643" s="28" t="s">
        <v>1425</v>
      </c>
      <c r="D643" s="41">
        <v>2550</v>
      </c>
      <c r="E643" s="131">
        <f t="shared" si="133"/>
        <v>0</v>
      </c>
      <c r="F643" s="21">
        <f t="shared" si="138"/>
        <v>0</v>
      </c>
      <c r="G643" s="21"/>
      <c r="H643" s="135">
        <f t="shared" si="152"/>
        <v>0</v>
      </c>
      <c r="I643" s="294"/>
      <c r="J643" s="294">
        <v>44987</v>
      </c>
      <c r="K643" s="10">
        <f>PROVEEDORES!$J$44*0.75*29.52</f>
        <v>19593.900000000001</v>
      </c>
      <c r="L643" s="10"/>
      <c r="M643" s="30"/>
      <c r="N643" s="100"/>
      <c r="O643" s="11">
        <f t="shared" si="137"/>
        <v>19593.900000000001</v>
      </c>
      <c r="P643" s="11">
        <f t="shared" si="135"/>
        <v>19593.900000000001</v>
      </c>
      <c r="Q643" s="11"/>
      <c r="R643" s="11">
        <f t="shared" si="134"/>
        <v>0</v>
      </c>
      <c r="S643" s="11"/>
      <c r="T643" s="136">
        <f t="shared" si="144"/>
        <v>0</v>
      </c>
    </row>
    <row r="644" spans="1:20" ht="15.75" customHeight="1">
      <c r="A644" s="149">
        <v>21</v>
      </c>
      <c r="B644" s="273"/>
      <c r="C644" s="28" t="s">
        <v>3509</v>
      </c>
      <c r="D644" s="41">
        <v>1820</v>
      </c>
      <c r="E644" s="131">
        <f t="shared" si="133"/>
        <v>5030</v>
      </c>
      <c r="F644" s="21">
        <f t="shared" si="138"/>
        <v>6086.3</v>
      </c>
      <c r="G644" s="21"/>
      <c r="H644" s="135">
        <f t="shared" si="152"/>
        <v>0</v>
      </c>
      <c r="I644" s="294">
        <v>45273</v>
      </c>
      <c r="J644" s="294">
        <v>45357</v>
      </c>
      <c r="K644" s="10">
        <f>0.6*5230</f>
        <v>3138</v>
      </c>
      <c r="L644" s="10"/>
      <c r="M644" s="11"/>
      <c r="N644" s="100"/>
      <c r="O644" s="11">
        <f t="shared" si="137"/>
        <v>3138</v>
      </c>
      <c r="P644" s="11">
        <f t="shared" si="135"/>
        <v>3138</v>
      </c>
      <c r="Q644" s="11">
        <v>1.6</v>
      </c>
      <c r="R644" s="11">
        <f t="shared" si="134"/>
        <v>5020.8</v>
      </c>
      <c r="S644" s="11"/>
      <c r="T644" s="136">
        <f t="shared" si="144"/>
        <v>0</v>
      </c>
    </row>
    <row r="645" spans="1:20" ht="15.75" customHeight="1">
      <c r="A645" s="149" t="s">
        <v>3997</v>
      </c>
      <c r="B645" s="273"/>
      <c r="C645" s="28" t="s">
        <v>2211</v>
      </c>
      <c r="D645" s="71">
        <v>100</v>
      </c>
      <c r="E645" s="131">
        <f t="shared" si="133"/>
        <v>2450</v>
      </c>
      <c r="F645" s="21">
        <f t="shared" si="138"/>
        <v>2964.5</v>
      </c>
      <c r="G645" s="21"/>
      <c r="H645" s="135">
        <f t="shared" si="152"/>
        <v>0</v>
      </c>
      <c r="I645" s="294">
        <v>45161</v>
      </c>
      <c r="J645" s="294">
        <v>45329</v>
      </c>
      <c r="K645" s="11">
        <v>1530</v>
      </c>
      <c r="L645" s="11"/>
      <c r="M645" s="11"/>
      <c r="N645" s="100"/>
      <c r="O645" s="11">
        <f t="shared" si="137"/>
        <v>1530</v>
      </c>
      <c r="P645" s="11">
        <f t="shared" si="135"/>
        <v>1530</v>
      </c>
      <c r="Q645" s="11">
        <v>1.6</v>
      </c>
      <c r="R645" s="11">
        <f t="shared" si="134"/>
        <v>2448</v>
      </c>
      <c r="S645" s="11"/>
      <c r="T645" s="136">
        <f t="shared" si="144"/>
        <v>0</v>
      </c>
    </row>
    <row r="646" spans="1:20" ht="15.75" customHeight="1">
      <c r="A646" s="149" t="s">
        <v>2448</v>
      </c>
      <c r="B646" s="273"/>
      <c r="C646" s="28" t="s">
        <v>1426</v>
      </c>
      <c r="D646" s="41">
        <v>870</v>
      </c>
      <c r="E646" s="131">
        <f t="shared" si="133"/>
        <v>0</v>
      </c>
      <c r="F646" s="21">
        <f t="shared" si="138"/>
        <v>0</v>
      </c>
      <c r="G646" s="21"/>
      <c r="H646" s="135">
        <f t="shared" si="152"/>
        <v>0</v>
      </c>
      <c r="I646" s="294"/>
      <c r="J646" s="294"/>
      <c r="K646" s="10">
        <f>580*1.5</f>
        <v>870</v>
      </c>
      <c r="L646" s="30">
        <f>8.9*17.3</f>
        <v>153.97</v>
      </c>
      <c r="M646" s="30"/>
      <c r="N646" s="100"/>
      <c r="O646" s="11">
        <f t="shared" si="137"/>
        <v>153.97</v>
      </c>
      <c r="P646" s="11">
        <f t="shared" si="135"/>
        <v>153.97</v>
      </c>
      <c r="Q646" s="11"/>
      <c r="R646" s="11">
        <f t="shared" si="134"/>
        <v>0</v>
      </c>
      <c r="S646" s="11"/>
      <c r="T646" s="136">
        <f t="shared" si="144"/>
        <v>0</v>
      </c>
    </row>
    <row r="647" spans="1:20" ht="15.75" customHeight="1">
      <c r="A647" s="149" t="s">
        <v>2435</v>
      </c>
      <c r="B647" s="273"/>
      <c r="C647" s="28" t="s">
        <v>2846</v>
      </c>
      <c r="D647" s="41">
        <v>3410</v>
      </c>
      <c r="E647" s="131">
        <f t="shared" si="133"/>
        <v>84430</v>
      </c>
      <c r="F647" s="21">
        <f t="shared" si="138"/>
        <v>102160.3</v>
      </c>
      <c r="G647" s="245"/>
      <c r="H647" s="135">
        <f t="shared" si="152"/>
        <v>0</v>
      </c>
      <c r="I647" s="294">
        <v>45278</v>
      </c>
      <c r="J647" s="294">
        <v>45358</v>
      </c>
      <c r="K647" s="11">
        <f>0.67*PROVEEDORES!$D$24*98.19</f>
        <v>58221.760500000004</v>
      </c>
      <c r="L647" s="11"/>
      <c r="M647" s="11"/>
      <c r="N647" s="100"/>
      <c r="O647" s="11">
        <f t="shared" si="137"/>
        <v>58221.760500000004</v>
      </c>
      <c r="P647" s="11">
        <f t="shared" si="135"/>
        <v>58221.760500000004</v>
      </c>
      <c r="Q647" s="11">
        <v>1.45</v>
      </c>
      <c r="R647" s="11">
        <f t="shared" si="134"/>
        <v>84421.552725000001</v>
      </c>
      <c r="S647" s="11"/>
      <c r="T647" s="136">
        <f t="shared" si="144"/>
        <v>0</v>
      </c>
    </row>
    <row r="648" spans="1:20" ht="15.75" customHeight="1">
      <c r="A648" s="149" t="s">
        <v>2435</v>
      </c>
      <c r="B648" s="273"/>
      <c r="C648" s="28" t="s">
        <v>2761</v>
      </c>
      <c r="D648" s="41">
        <v>5650</v>
      </c>
      <c r="E648" s="131">
        <f t="shared" si="133"/>
        <v>124890</v>
      </c>
      <c r="F648" s="21">
        <f t="shared" si="138"/>
        <v>151116.9</v>
      </c>
      <c r="G648" s="279"/>
      <c r="H648" s="135">
        <f t="shared" si="152"/>
        <v>0</v>
      </c>
      <c r="I648" s="294">
        <v>45278</v>
      </c>
      <c r="J648" s="294">
        <v>45323</v>
      </c>
      <c r="K648" s="11">
        <f>0.67*PROVEEDORES!$D$24*145.25</f>
        <v>86125.987500000003</v>
      </c>
      <c r="L648" s="11"/>
      <c r="M648" s="97"/>
      <c r="N648" s="100"/>
      <c r="O648" s="11">
        <f t="shared" si="137"/>
        <v>86125.987500000003</v>
      </c>
      <c r="P648" s="11">
        <f t="shared" si="135"/>
        <v>86125.987500000003</v>
      </c>
      <c r="Q648" s="11">
        <v>1.45</v>
      </c>
      <c r="R648" s="11">
        <f t="shared" si="134"/>
        <v>124882.68187499999</v>
      </c>
      <c r="S648" s="11"/>
      <c r="T648" s="136">
        <f t="shared" si="144"/>
        <v>0</v>
      </c>
    </row>
    <row r="649" spans="1:20" ht="15.75" customHeight="1">
      <c r="A649" s="149" t="s">
        <v>2435</v>
      </c>
      <c r="B649" s="273"/>
      <c r="C649" s="28" t="s">
        <v>4244</v>
      </c>
      <c r="D649" s="41">
        <v>5650</v>
      </c>
      <c r="E649" s="131">
        <f>ROUNDUP(R649,-1)</f>
        <v>77830</v>
      </c>
      <c r="F649" s="21">
        <f>+E649*1.21</f>
        <v>94174.3</v>
      </c>
      <c r="G649" s="279"/>
      <c r="H649" s="135">
        <f>ROUNDUP(T649,-1)</f>
        <v>0</v>
      </c>
      <c r="I649" s="294">
        <v>45278</v>
      </c>
      <c r="J649" s="294">
        <v>45359</v>
      </c>
      <c r="K649" s="11">
        <f>0.67*PROVEEDORES!$D$24*90.52</f>
        <v>53673.834000000003</v>
      </c>
      <c r="L649" s="11"/>
      <c r="M649" s="97"/>
      <c r="N649" s="100"/>
      <c r="O649" s="11">
        <f>MIN(K649:M649)</f>
        <v>53673.834000000003</v>
      </c>
      <c r="P649" s="11">
        <f t="shared" si="135"/>
        <v>53673.834000000003</v>
      </c>
      <c r="Q649" s="11">
        <v>1.45</v>
      </c>
      <c r="R649" s="11">
        <f t="shared" si="134"/>
        <v>77827.059300000008</v>
      </c>
      <c r="S649" s="11"/>
      <c r="T649" s="136">
        <f>+N649*Q649</f>
        <v>0</v>
      </c>
    </row>
    <row r="650" spans="1:20" ht="15.75" customHeight="1">
      <c r="A650" s="149">
        <v>49</v>
      </c>
      <c r="B650" s="273"/>
      <c r="C650" s="28" t="s">
        <v>1427</v>
      </c>
      <c r="D650" s="41">
        <v>2820</v>
      </c>
      <c r="E650" s="131">
        <f t="shared" si="133"/>
        <v>0</v>
      </c>
      <c r="F650" s="21">
        <f t="shared" si="138"/>
        <v>0</v>
      </c>
      <c r="G650" s="21"/>
      <c r="H650" s="135">
        <f t="shared" si="152"/>
        <v>0</v>
      </c>
      <c r="I650" s="294">
        <v>43873</v>
      </c>
      <c r="J650" s="294"/>
      <c r="K650" s="32">
        <f>1496*0.93*1.5*1.35</f>
        <v>2817.3420000000001</v>
      </c>
      <c r="L650" s="50">
        <f>782.96*0.93*0.95</f>
        <v>691.74516000000006</v>
      </c>
      <c r="M650" s="97"/>
      <c r="N650" s="100"/>
      <c r="O650" s="11">
        <f t="shared" si="137"/>
        <v>691.74516000000006</v>
      </c>
      <c r="P650" s="11">
        <f t="shared" si="135"/>
        <v>691.74516000000006</v>
      </c>
      <c r="Q650" s="11"/>
      <c r="R650" s="11">
        <f t="shared" si="134"/>
        <v>0</v>
      </c>
      <c r="S650" s="11"/>
      <c r="T650" s="136">
        <f t="shared" si="144"/>
        <v>0</v>
      </c>
    </row>
    <row r="651" spans="1:20" ht="15.75" customHeight="1">
      <c r="A651" s="149">
        <v>49</v>
      </c>
      <c r="B651" s="273"/>
      <c r="C651" s="28" t="s">
        <v>1428</v>
      </c>
      <c r="D651" s="41">
        <v>3860</v>
      </c>
      <c r="E651" s="131">
        <f t="shared" si="133"/>
        <v>0</v>
      </c>
      <c r="F651" s="21">
        <f t="shared" si="138"/>
        <v>0</v>
      </c>
      <c r="G651" s="21"/>
      <c r="H651" s="135">
        <f t="shared" si="152"/>
        <v>0</v>
      </c>
      <c r="I651" s="40">
        <v>43200</v>
      </c>
      <c r="J651" s="294">
        <v>43360</v>
      </c>
      <c r="K651" s="32">
        <f>2056*1.5*1.25</f>
        <v>3855</v>
      </c>
      <c r="L651" s="50"/>
      <c r="M651" s="50"/>
      <c r="N651" s="37"/>
      <c r="O651" s="11">
        <f t="shared" si="137"/>
        <v>3855</v>
      </c>
      <c r="P651" s="11">
        <f t="shared" si="135"/>
        <v>3855</v>
      </c>
      <c r="Q651" s="11"/>
      <c r="R651" s="11">
        <f t="shared" si="134"/>
        <v>0</v>
      </c>
      <c r="S651" s="11"/>
      <c r="T651" s="136">
        <f t="shared" si="144"/>
        <v>0</v>
      </c>
    </row>
    <row r="652" spans="1:20" ht="15.75" customHeight="1">
      <c r="A652" s="149">
        <v>29</v>
      </c>
      <c r="B652" s="273"/>
      <c r="C652" s="28" t="s">
        <v>2907</v>
      </c>
      <c r="D652" s="41">
        <v>2050</v>
      </c>
      <c r="E652" s="131">
        <f t="shared" si="133"/>
        <v>0</v>
      </c>
      <c r="F652" s="21">
        <f t="shared" si="138"/>
        <v>0</v>
      </c>
      <c r="G652" s="277"/>
      <c r="H652" s="135">
        <f t="shared" si="152"/>
        <v>0</v>
      </c>
      <c r="I652" s="294">
        <v>44936</v>
      </c>
      <c r="J652" s="294"/>
      <c r="K652" s="10">
        <v>6475</v>
      </c>
      <c r="L652" s="10"/>
      <c r="M652" s="10"/>
      <c r="N652" s="38"/>
      <c r="O652" s="11">
        <f t="shared" si="137"/>
        <v>6475</v>
      </c>
      <c r="P652" s="11">
        <f t="shared" si="135"/>
        <v>6475</v>
      </c>
      <c r="Q652" s="11"/>
      <c r="R652" s="11">
        <f t="shared" si="134"/>
        <v>0</v>
      </c>
      <c r="S652" s="11"/>
      <c r="T652" s="136">
        <f t="shared" si="144"/>
        <v>0</v>
      </c>
    </row>
    <row r="653" spans="1:20" ht="15.75" customHeight="1">
      <c r="A653" s="149" t="s">
        <v>2435</v>
      </c>
      <c r="B653" s="273"/>
      <c r="C653" s="28" t="s">
        <v>2760</v>
      </c>
      <c r="D653" s="41"/>
      <c r="E653" s="131">
        <f t="shared" si="133"/>
        <v>59200</v>
      </c>
      <c r="F653" s="21">
        <f t="shared" si="138"/>
        <v>71632</v>
      </c>
      <c r="G653" s="21"/>
      <c r="H653" s="135">
        <f t="shared" si="152"/>
        <v>0</v>
      </c>
      <c r="I653" s="294">
        <v>45278</v>
      </c>
      <c r="J653" s="294"/>
      <c r="K653" s="11">
        <f>0.67*PROVEEDORES!$D$24*68.85</f>
        <v>40824.607499999998</v>
      </c>
      <c r="L653" s="11"/>
      <c r="M653" s="11"/>
      <c r="N653" s="100"/>
      <c r="O653" s="11">
        <f t="shared" si="137"/>
        <v>40824.607499999998</v>
      </c>
      <c r="P653" s="11">
        <f t="shared" si="135"/>
        <v>40824.607499999998</v>
      </c>
      <c r="Q653" s="11">
        <v>1.45</v>
      </c>
      <c r="R653" s="11">
        <f t="shared" si="134"/>
        <v>59195.680874999998</v>
      </c>
      <c r="S653" s="11"/>
      <c r="T653" s="136">
        <f t="shared" si="144"/>
        <v>0</v>
      </c>
    </row>
    <row r="654" spans="1:20" ht="15.75" customHeight="1">
      <c r="A654" s="149"/>
      <c r="B654" s="273"/>
      <c r="C654" s="36" t="s">
        <v>1429</v>
      </c>
      <c r="D654" s="41">
        <v>720</v>
      </c>
      <c r="E654" s="131">
        <f t="shared" si="133"/>
        <v>0</v>
      </c>
      <c r="F654" s="21">
        <f t="shared" si="138"/>
        <v>0</v>
      </c>
      <c r="G654" s="21"/>
      <c r="H654" s="135">
        <f t="shared" si="152"/>
        <v>0</v>
      </c>
      <c r="I654" s="294"/>
      <c r="J654" s="294">
        <v>43434</v>
      </c>
      <c r="K654" s="10"/>
      <c r="L654" s="11"/>
      <c r="M654" s="50"/>
      <c r="N654" s="100"/>
      <c r="O654" s="11">
        <f t="shared" si="137"/>
        <v>0</v>
      </c>
      <c r="P654" s="11">
        <f t="shared" si="135"/>
        <v>0</v>
      </c>
      <c r="Q654" s="11"/>
      <c r="R654" s="11">
        <f t="shared" si="134"/>
        <v>0</v>
      </c>
      <c r="S654" s="11"/>
      <c r="T654" s="136">
        <f t="shared" si="144"/>
        <v>0</v>
      </c>
    </row>
    <row r="655" spans="1:20" ht="15.75" customHeight="1">
      <c r="A655" s="149">
        <v>87</v>
      </c>
      <c r="B655" s="273"/>
      <c r="C655" s="28" t="s">
        <v>4154</v>
      </c>
      <c r="D655" s="41">
        <v>100</v>
      </c>
      <c r="E655" s="131">
        <f t="shared" si="133"/>
        <v>870</v>
      </c>
      <c r="F655" s="21">
        <f t="shared" si="138"/>
        <v>1052.7</v>
      </c>
      <c r="G655" s="51"/>
      <c r="H655" s="135">
        <f t="shared" si="152"/>
        <v>0</v>
      </c>
      <c r="I655" s="23">
        <v>45323</v>
      </c>
      <c r="J655" s="294"/>
      <c r="K655" s="10">
        <v>580</v>
      </c>
      <c r="L655" s="11"/>
      <c r="M655" s="50"/>
      <c r="N655" s="100"/>
      <c r="O655" s="11">
        <f t="shared" si="137"/>
        <v>580</v>
      </c>
      <c r="P655" s="11">
        <f t="shared" si="135"/>
        <v>580</v>
      </c>
      <c r="Q655" s="11">
        <v>1.5</v>
      </c>
      <c r="R655" s="11">
        <f t="shared" si="134"/>
        <v>870</v>
      </c>
      <c r="S655" s="11"/>
      <c r="T655" s="136">
        <f t="shared" si="144"/>
        <v>0</v>
      </c>
    </row>
    <row r="656" spans="1:20" ht="15.75" customHeight="1">
      <c r="A656" s="149" t="s">
        <v>2403</v>
      </c>
      <c r="B656" s="273"/>
      <c r="C656" s="28" t="s">
        <v>1430</v>
      </c>
      <c r="D656" s="41">
        <v>200</v>
      </c>
      <c r="E656" s="131">
        <f>ROUNDUP(R656,-1)</f>
        <v>4180</v>
      </c>
      <c r="F656" s="21">
        <f>+E656*1.21</f>
        <v>5057.8</v>
      </c>
      <c r="G656" s="44"/>
      <c r="H656" s="135">
        <f>ROUNDUP(T656,-1)</f>
        <v>0</v>
      </c>
      <c r="I656" s="294">
        <v>45273</v>
      </c>
      <c r="J656" s="40"/>
      <c r="K656" s="10">
        <f>+K657/16</f>
        <v>2610.1968750000001</v>
      </c>
      <c r="L656" s="10"/>
      <c r="M656" s="37"/>
      <c r="N656" s="100"/>
      <c r="O656" s="11">
        <f>MIN(K656:M656)</f>
        <v>2610.1968750000001</v>
      </c>
      <c r="P656" s="11">
        <f t="shared" si="135"/>
        <v>2610.1968750000001</v>
      </c>
      <c r="Q656" s="11">
        <v>1.6</v>
      </c>
      <c r="R656" s="11">
        <f t="shared" si="134"/>
        <v>4176.3150000000005</v>
      </c>
      <c r="S656" s="11"/>
      <c r="T656" s="136">
        <f>+N656*Q656</f>
        <v>0</v>
      </c>
    </row>
    <row r="657" spans="1:20" ht="15.75" customHeight="1">
      <c r="A657" s="149">
        <v>21</v>
      </c>
      <c r="B657" s="273">
        <f t="shared" ref="B657:B664" si="153">ROUNDUP(E657*1.105,-1)</f>
        <v>69230</v>
      </c>
      <c r="C657" s="28" t="s">
        <v>44150</v>
      </c>
      <c r="D657" s="41">
        <v>2750</v>
      </c>
      <c r="E657" s="131">
        <f t="shared" si="133"/>
        <v>62650</v>
      </c>
      <c r="F657" s="21">
        <f t="shared" ref="F657:F672" si="154">+E657*1.21</f>
        <v>75806.5</v>
      </c>
      <c r="G657" s="21"/>
      <c r="H657" s="135">
        <f t="shared" si="152"/>
        <v>0</v>
      </c>
      <c r="I657" s="40">
        <v>45273</v>
      </c>
      <c r="J657" s="40"/>
      <c r="K657" s="10">
        <f>+PROVEEDORES!$D$15*0.6*78.65</f>
        <v>41763.15</v>
      </c>
      <c r="L657" s="37"/>
      <c r="M657" s="197"/>
      <c r="N657" s="100"/>
      <c r="O657" s="11">
        <f t="shared" si="137"/>
        <v>41763.15</v>
      </c>
      <c r="P657" s="11">
        <f t="shared" si="135"/>
        <v>41763.15</v>
      </c>
      <c r="Q657" s="11">
        <v>1.5</v>
      </c>
      <c r="R657" s="11">
        <f t="shared" si="134"/>
        <v>62644.725000000006</v>
      </c>
      <c r="S657" s="11"/>
      <c r="T657" s="136">
        <f t="shared" si="144"/>
        <v>0</v>
      </c>
    </row>
    <row r="658" spans="1:20" ht="15.75" customHeight="1">
      <c r="A658" s="149" t="s">
        <v>3921</v>
      </c>
      <c r="B658" s="273">
        <f t="shared" si="153"/>
        <v>81910</v>
      </c>
      <c r="C658" s="28" t="s">
        <v>3706</v>
      </c>
      <c r="D658" s="41"/>
      <c r="E658" s="131">
        <f t="shared" si="133"/>
        <v>74120</v>
      </c>
      <c r="F658" s="21">
        <f t="shared" si="154"/>
        <v>89685.2</v>
      </c>
      <c r="G658" s="21"/>
      <c r="H658" s="135">
        <f t="shared" si="152"/>
        <v>67430</v>
      </c>
      <c r="I658" s="40"/>
      <c r="J658" s="40">
        <v>45345</v>
      </c>
      <c r="K658" s="42"/>
      <c r="L658" s="10">
        <v>49410</v>
      </c>
      <c r="M658" s="197"/>
      <c r="N658" s="100">
        <v>44951</v>
      </c>
      <c r="O658" s="11">
        <f t="shared" si="137"/>
        <v>49410</v>
      </c>
      <c r="P658" s="11">
        <f t="shared" si="135"/>
        <v>49410</v>
      </c>
      <c r="Q658" s="11">
        <v>1.5</v>
      </c>
      <c r="R658" s="11">
        <f t="shared" si="134"/>
        <v>74115</v>
      </c>
      <c r="S658" s="11"/>
      <c r="T658" s="136">
        <f t="shared" si="144"/>
        <v>67426.5</v>
      </c>
    </row>
    <row r="659" spans="1:20" ht="15.75" customHeight="1">
      <c r="A659" s="149" t="s">
        <v>3921</v>
      </c>
      <c r="B659" s="273">
        <f t="shared" si="153"/>
        <v>116410</v>
      </c>
      <c r="C659" s="28" t="s">
        <v>2270</v>
      </c>
      <c r="D659" s="41">
        <v>5480</v>
      </c>
      <c r="E659" s="131">
        <f t="shared" si="133"/>
        <v>105340</v>
      </c>
      <c r="F659" s="21">
        <f t="shared" si="154"/>
        <v>127461.4</v>
      </c>
      <c r="G659" s="21">
        <v>95800</v>
      </c>
      <c r="H659" s="135">
        <f t="shared" si="152"/>
        <v>95830</v>
      </c>
      <c r="I659" s="40"/>
      <c r="J659" s="40">
        <v>45345</v>
      </c>
      <c r="K659" s="32"/>
      <c r="L659" s="32">
        <v>72644</v>
      </c>
      <c r="M659" s="11"/>
      <c r="N659" s="100">
        <v>66088</v>
      </c>
      <c r="O659" s="11">
        <f t="shared" si="137"/>
        <v>72644</v>
      </c>
      <c r="P659" s="11">
        <f t="shared" si="135"/>
        <v>72644</v>
      </c>
      <c r="Q659" s="11">
        <v>1.45</v>
      </c>
      <c r="R659" s="11">
        <f t="shared" si="134"/>
        <v>105333.8</v>
      </c>
      <c r="S659" s="11"/>
      <c r="T659" s="136">
        <f t="shared" si="144"/>
        <v>95827.599999999991</v>
      </c>
    </row>
    <row r="660" spans="1:20" ht="15.75" customHeight="1">
      <c r="A660" s="149" t="s">
        <v>2403</v>
      </c>
      <c r="B660" s="273"/>
      <c r="C660" s="28" t="s">
        <v>1431</v>
      </c>
      <c r="D660" s="41">
        <v>200</v>
      </c>
      <c r="E660" s="131">
        <f>ROUNDUP(R660,-1)</f>
        <v>4020</v>
      </c>
      <c r="F660" s="21">
        <f>+E660*1.21</f>
        <v>4864.2</v>
      </c>
      <c r="G660" s="21"/>
      <c r="H660" s="135">
        <f>ROUNDUP(T660,-1)</f>
        <v>0</v>
      </c>
      <c r="I660" s="294">
        <v>45273</v>
      </c>
      <c r="J660" s="40"/>
      <c r="K660" s="10">
        <f>+K661/16</f>
        <v>2508.9749999999999</v>
      </c>
      <c r="L660" s="10"/>
      <c r="M660" s="11"/>
      <c r="N660" s="100"/>
      <c r="O660" s="11">
        <f>MIN(K660:M660)</f>
        <v>2508.9749999999999</v>
      </c>
      <c r="P660" s="11">
        <f t="shared" si="135"/>
        <v>2508.9749999999999</v>
      </c>
      <c r="Q660" s="11">
        <v>1.6</v>
      </c>
      <c r="R660" s="11">
        <f t="shared" si="134"/>
        <v>4014.36</v>
      </c>
      <c r="S660" s="11"/>
      <c r="T660" s="136">
        <f>+N660*Q660</f>
        <v>0</v>
      </c>
    </row>
    <row r="661" spans="1:20" ht="15.75" customHeight="1">
      <c r="A661" s="149">
        <v>21</v>
      </c>
      <c r="B661" s="273">
        <f>ROUNDUP(E661*1.105,-1)</f>
        <v>66550</v>
      </c>
      <c r="C661" s="28" t="s">
        <v>44149</v>
      </c>
      <c r="D661" s="41">
        <v>2640</v>
      </c>
      <c r="E661" s="131">
        <f>ROUNDUP(R661,-1)</f>
        <v>60220</v>
      </c>
      <c r="F661" s="21">
        <f>+E661*1.21</f>
        <v>72866.2</v>
      </c>
      <c r="G661" s="21"/>
      <c r="H661" s="135">
        <f>ROUNDUP(T661,-1)</f>
        <v>0</v>
      </c>
      <c r="I661" s="294">
        <v>45273</v>
      </c>
      <c r="J661" s="40">
        <v>45359</v>
      </c>
      <c r="K661" s="10">
        <f>+PROVEEDORES!$D$15*0.6*75.6</f>
        <v>40143.599999999999</v>
      </c>
      <c r="L661" s="10"/>
      <c r="M661" s="37"/>
      <c r="N661" s="100"/>
      <c r="O661" s="11">
        <f>MIN(K661:M661)</f>
        <v>40143.599999999999</v>
      </c>
      <c r="P661" s="11">
        <f t="shared" si="135"/>
        <v>40143.599999999999</v>
      </c>
      <c r="Q661" s="11">
        <v>1.5</v>
      </c>
      <c r="R661" s="11">
        <f t="shared" si="134"/>
        <v>60215.399999999994</v>
      </c>
      <c r="S661" s="11"/>
      <c r="T661" s="136">
        <f>+N661*Q661</f>
        <v>0</v>
      </c>
    </row>
    <row r="662" spans="1:20" ht="15.75" customHeight="1">
      <c r="A662" s="149" t="s">
        <v>3921</v>
      </c>
      <c r="B662" s="273">
        <f>ROUNDUP(E662*1.105,-1)</f>
        <v>78020</v>
      </c>
      <c r="C662" s="28" t="s">
        <v>2773</v>
      </c>
      <c r="D662" s="41"/>
      <c r="E662" s="131">
        <f>ROUNDUP(R662,-1)</f>
        <v>70600</v>
      </c>
      <c r="F662" s="21">
        <f>+E662*1.21</f>
        <v>85426</v>
      </c>
      <c r="G662" s="21"/>
      <c r="H662" s="135">
        <f>ROUNDUP(T662,-1)</f>
        <v>64230</v>
      </c>
      <c r="I662" s="294"/>
      <c r="J662" s="40">
        <v>45345</v>
      </c>
      <c r="K662" s="42"/>
      <c r="L662" s="42">
        <v>47066</v>
      </c>
      <c r="M662" s="197"/>
      <c r="N662" s="100">
        <v>42819</v>
      </c>
      <c r="O662" s="11">
        <f>MIN(K662:M662)</f>
        <v>47066</v>
      </c>
      <c r="P662" s="11">
        <f t="shared" si="135"/>
        <v>47066</v>
      </c>
      <c r="Q662" s="11">
        <v>1.5</v>
      </c>
      <c r="R662" s="11">
        <f t="shared" si="134"/>
        <v>70599</v>
      </c>
      <c r="S662" s="11"/>
      <c r="T662" s="136">
        <f>+N662*Q662</f>
        <v>64228.5</v>
      </c>
    </row>
    <row r="663" spans="1:20" ht="15.75" customHeight="1">
      <c r="A663" s="149" t="s">
        <v>3921</v>
      </c>
      <c r="B663" s="273">
        <f>ROUNDUP(E663*1.105,-1)</f>
        <v>111110</v>
      </c>
      <c r="C663" s="28" t="s">
        <v>2271</v>
      </c>
      <c r="D663" s="41">
        <v>5220</v>
      </c>
      <c r="E663" s="131">
        <f>ROUNDUP(R663,-1)</f>
        <v>100550</v>
      </c>
      <c r="F663" s="21">
        <f>+E663*1.21</f>
        <v>121665.5</v>
      </c>
      <c r="G663" s="21">
        <v>91500</v>
      </c>
      <c r="H663" s="135">
        <f>ROUNDUP(T663,-1)</f>
        <v>91480</v>
      </c>
      <c r="I663" s="294"/>
      <c r="J663" s="40">
        <v>45345</v>
      </c>
      <c r="K663" s="42"/>
      <c r="L663" s="42">
        <v>69343</v>
      </c>
      <c r="M663" s="11"/>
      <c r="N663" s="11">
        <v>63085</v>
      </c>
      <c r="O663" s="11">
        <f>MIN(K663:M663)</f>
        <v>69343</v>
      </c>
      <c r="P663" s="11">
        <f t="shared" si="135"/>
        <v>69343</v>
      </c>
      <c r="Q663" s="11">
        <v>1.45</v>
      </c>
      <c r="R663" s="11">
        <f t="shared" si="134"/>
        <v>100547.34999999999</v>
      </c>
      <c r="S663" s="11"/>
      <c r="T663" s="136">
        <f>+N663*Q663</f>
        <v>91473.25</v>
      </c>
    </row>
    <row r="664" spans="1:20" ht="15.75" customHeight="1">
      <c r="A664" s="149">
        <v>21</v>
      </c>
      <c r="B664" s="273">
        <f t="shared" si="153"/>
        <v>73690</v>
      </c>
      <c r="C664" s="28" t="s">
        <v>44151</v>
      </c>
      <c r="D664" s="41">
        <v>2640</v>
      </c>
      <c r="E664" s="131">
        <f t="shared" si="133"/>
        <v>66680</v>
      </c>
      <c r="F664" s="21">
        <f t="shared" si="154"/>
        <v>80682.8</v>
      </c>
      <c r="G664" s="44"/>
      <c r="H664" s="135">
        <f t="shared" si="152"/>
        <v>0</v>
      </c>
      <c r="I664" s="294">
        <v>45273</v>
      </c>
      <c r="J664" s="40"/>
      <c r="K664" s="10">
        <f>+PROVEEDORES!$E$15*0.6*75.6</f>
        <v>44452.799999999996</v>
      </c>
      <c r="L664" s="37"/>
      <c r="M664" s="37"/>
      <c r="N664" s="100"/>
      <c r="O664" s="11">
        <f t="shared" si="137"/>
        <v>44452.799999999996</v>
      </c>
      <c r="P664" s="11">
        <f t="shared" si="135"/>
        <v>44452.799999999996</v>
      </c>
      <c r="Q664" s="11">
        <v>1.5</v>
      </c>
      <c r="R664" s="11">
        <f t="shared" si="134"/>
        <v>66679.199999999997</v>
      </c>
      <c r="S664" s="11"/>
      <c r="T664" s="136">
        <f t="shared" si="144"/>
        <v>0</v>
      </c>
    </row>
    <row r="665" spans="1:20" ht="15.75" customHeight="1">
      <c r="A665" s="149" t="s">
        <v>2435</v>
      </c>
      <c r="B665" s="273"/>
      <c r="C665" s="28" t="s">
        <v>1432</v>
      </c>
      <c r="D665" s="41">
        <v>1500</v>
      </c>
      <c r="E665" s="131">
        <f t="shared" si="133"/>
        <v>35190</v>
      </c>
      <c r="F665" s="21">
        <f t="shared" si="154"/>
        <v>42579.9</v>
      </c>
      <c r="G665" s="44"/>
      <c r="H665" s="135">
        <f t="shared" si="152"/>
        <v>0</v>
      </c>
      <c r="I665" s="294">
        <v>45278</v>
      </c>
      <c r="J665" s="294"/>
      <c r="K665" s="11">
        <f>0.67*PROVEEDORES!$D$24*40.92</f>
        <v>24263.514000000003</v>
      </c>
      <c r="L665" s="11"/>
      <c r="M665" s="32"/>
      <c r="N665" s="100"/>
      <c r="O665" s="11">
        <f t="shared" si="137"/>
        <v>24263.514000000003</v>
      </c>
      <c r="P665" s="11">
        <f t="shared" ref="P665:P728" si="155">+O665</f>
        <v>24263.514000000003</v>
      </c>
      <c r="Q665" s="11">
        <v>1.45</v>
      </c>
      <c r="R665" s="11">
        <f t="shared" ref="R665:R728" si="156">+P665*Q665</f>
        <v>35182.095300000001</v>
      </c>
      <c r="S665" s="11"/>
      <c r="T665" s="136">
        <f t="shared" si="144"/>
        <v>0</v>
      </c>
    </row>
    <row r="666" spans="1:20" ht="15.75" customHeight="1">
      <c r="A666" s="149" t="s">
        <v>2435</v>
      </c>
      <c r="B666" s="273"/>
      <c r="C666" s="28" t="s">
        <v>1433</v>
      </c>
      <c r="D666" s="41">
        <v>2560</v>
      </c>
      <c r="E666" s="131">
        <f t="shared" ref="E666:E735" si="157">ROUNDUP(R666,-1)</f>
        <v>51900</v>
      </c>
      <c r="F666" s="21">
        <f t="shared" si="154"/>
        <v>62799</v>
      </c>
      <c r="G666" s="21"/>
      <c r="H666" s="135">
        <f t="shared" si="152"/>
        <v>0</v>
      </c>
      <c r="I666" s="294">
        <v>45278</v>
      </c>
      <c r="J666" s="294"/>
      <c r="K666" s="11">
        <f>0.67*PROVEEDORES!$D$24*60.36</f>
        <v>35790.462</v>
      </c>
      <c r="L666" s="10"/>
      <c r="M666" s="11"/>
      <c r="N666" s="100"/>
      <c r="O666" s="11">
        <f t="shared" si="137"/>
        <v>35790.462</v>
      </c>
      <c r="P666" s="11">
        <f t="shared" si="155"/>
        <v>35790.462</v>
      </c>
      <c r="Q666" s="11">
        <v>1.45</v>
      </c>
      <c r="R666" s="11">
        <f t="shared" si="156"/>
        <v>51896.169900000001</v>
      </c>
      <c r="S666" s="11"/>
      <c r="T666" s="136">
        <f t="shared" si="144"/>
        <v>0</v>
      </c>
    </row>
    <row r="667" spans="1:20" ht="15.75" customHeight="1">
      <c r="A667" s="149" t="s">
        <v>2435</v>
      </c>
      <c r="B667" s="273"/>
      <c r="C667" s="28" t="s">
        <v>62686</v>
      </c>
      <c r="D667" s="41">
        <v>2560</v>
      </c>
      <c r="E667" s="131">
        <f t="shared" ref="E667" si="158">ROUNDUP(R667,-1)</f>
        <v>49080</v>
      </c>
      <c r="F667" s="21">
        <f t="shared" ref="F667" si="159">+E667*1.21</f>
        <v>59386.799999999996</v>
      </c>
      <c r="G667" s="21"/>
      <c r="H667" s="135">
        <f t="shared" ref="H667" si="160">ROUNDUP(T667,-1)</f>
        <v>0</v>
      </c>
      <c r="I667" s="294"/>
      <c r="J667" s="294">
        <v>45376</v>
      </c>
      <c r="K667" s="11">
        <f>PROVEEDORES!$D$24*38.24</f>
        <v>33842.400000000001</v>
      </c>
      <c r="L667" s="10"/>
      <c r="M667" s="11"/>
      <c r="N667" s="100"/>
      <c r="O667" s="11">
        <f t="shared" ref="O667" si="161">MIN(K667:M667)</f>
        <v>33842.400000000001</v>
      </c>
      <c r="P667" s="11">
        <f t="shared" ref="P667" si="162">+O667</f>
        <v>33842.400000000001</v>
      </c>
      <c r="Q667" s="11">
        <v>1.45</v>
      </c>
      <c r="R667" s="11">
        <f t="shared" ref="R667" si="163">+P667*Q667</f>
        <v>49071.48</v>
      </c>
      <c r="S667" s="11"/>
      <c r="T667" s="136">
        <f t="shared" ref="T667" si="164">+N667*Q667</f>
        <v>0</v>
      </c>
    </row>
    <row r="668" spans="1:20" ht="15.75" customHeight="1">
      <c r="A668" s="149" t="s">
        <v>2435</v>
      </c>
      <c r="B668" s="273"/>
      <c r="C668" s="28" t="s">
        <v>4065</v>
      </c>
      <c r="D668" s="41">
        <v>3670</v>
      </c>
      <c r="E668" s="131">
        <f t="shared" si="157"/>
        <v>82100</v>
      </c>
      <c r="F668" s="21">
        <f t="shared" si="154"/>
        <v>99341</v>
      </c>
      <c r="G668" s="21"/>
      <c r="H668" s="135">
        <f t="shared" si="152"/>
        <v>0</v>
      </c>
      <c r="I668" s="294">
        <v>45278</v>
      </c>
      <c r="J668" s="294">
        <v>45359</v>
      </c>
      <c r="K668" s="11">
        <f>0.67*PROVEEDORES!$D$24*95.48</f>
        <v>56614.866000000009</v>
      </c>
      <c r="L668" s="11"/>
      <c r="M668" s="11"/>
      <c r="N668" s="100"/>
      <c r="O668" s="11">
        <f t="shared" si="137"/>
        <v>56614.866000000009</v>
      </c>
      <c r="P668" s="11">
        <f t="shared" si="155"/>
        <v>56614.866000000009</v>
      </c>
      <c r="Q668" s="11">
        <v>1.45</v>
      </c>
      <c r="R668" s="11">
        <f t="shared" si="156"/>
        <v>82091.555700000012</v>
      </c>
      <c r="S668" s="11"/>
      <c r="T668" s="136">
        <f t="shared" si="144"/>
        <v>0</v>
      </c>
    </row>
    <row r="669" spans="1:20" ht="15.75" customHeight="1">
      <c r="A669" s="149">
        <v>29</v>
      </c>
      <c r="B669" s="273"/>
      <c r="C669" s="28" t="s">
        <v>2864</v>
      </c>
      <c r="D669" s="41"/>
      <c r="E669" s="131">
        <f>ROUNDUP(R669,-1)</f>
        <v>0</v>
      </c>
      <c r="F669" s="21">
        <f>+E669*1.21</f>
        <v>0</v>
      </c>
      <c r="G669" s="21"/>
      <c r="H669" s="135">
        <f>ROUNDUP(T669,-1)</f>
        <v>0</v>
      </c>
      <c r="I669" s="294">
        <v>44936</v>
      </c>
      <c r="J669" s="294"/>
      <c r="K669" s="10">
        <v>2964</v>
      </c>
      <c r="L669" s="10"/>
      <c r="M669" s="11"/>
      <c r="N669" s="100"/>
      <c r="O669" s="11">
        <f>MIN(K669:M669)</f>
        <v>2964</v>
      </c>
      <c r="P669" s="11">
        <f>+O669</f>
        <v>2964</v>
      </c>
      <c r="Q669" s="11"/>
      <c r="R669" s="11">
        <f>+P669*Q669</f>
        <v>0</v>
      </c>
      <c r="S669" s="11"/>
      <c r="T669" s="136">
        <f>+N669*Q669</f>
        <v>0</v>
      </c>
    </row>
    <row r="670" spans="1:20" ht="15.75" customHeight="1">
      <c r="A670" s="149">
        <v>44</v>
      </c>
      <c r="B670" s="273"/>
      <c r="C670" s="28" t="s">
        <v>1434</v>
      </c>
      <c r="D670" s="41">
        <v>560</v>
      </c>
      <c r="E670" s="140">
        <f t="shared" si="157"/>
        <v>33850</v>
      </c>
      <c r="F670" s="21">
        <f t="shared" si="154"/>
        <v>40958.5</v>
      </c>
      <c r="G670" s="21"/>
      <c r="H670" s="135">
        <f t="shared" si="152"/>
        <v>0</v>
      </c>
      <c r="I670" s="294">
        <v>45254</v>
      </c>
      <c r="J670" s="294"/>
      <c r="K670" s="10">
        <f>+PROVEEDORES!$D$38*23.9</f>
        <v>21151.5</v>
      </c>
      <c r="L670" s="11"/>
      <c r="M670" s="11"/>
      <c r="N670" s="100"/>
      <c r="O670" s="11">
        <f t="shared" si="137"/>
        <v>21151.5</v>
      </c>
      <c r="P670" s="11">
        <f t="shared" si="155"/>
        <v>21151.5</v>
      </c>
      <c r="Q670" s="11">
        <v>1.6</v>
      </c>
      <c r="R670" s="11">
        <f t="shared" si="156"/>
        <v>33842.400000000001</v>
      </c>
      <c r="S670" s="11"/>
      <c r="T670" s="136">
        <f t="shared" si="144"/>
        <v>0</v>
      </c>
    </row>
    <row r="671" spans="1:20" ht="15.75" customHeight="1">
      <c r="A671" s="149"/>
      <c r="B671" s="273"/>
      <c r="C671" s="28" t="s">
        <v>2281</v>
      </c>
      <c r="D671" s="41">
        <v>65810</v>
      </c>
      <c r="E671" s="131">
        <f t="shared" si="157"/>
        <v>0</v>
      </c>
      <c r="F671" s="21">
        <f t="shared" si="154"/>
        <v>0</v>
      </c>
      <c r="G671" s="21"/>
      <c r="H671" s="135">
        <f t="shared" si="152"/>
        <v>0</v>
      </c>
      <c r="I671" s="294">
        <v>44029</v>
      </c>
      <c r="J671" s="294"/>
      <c r="K671" s="10">
        <f>64827.2*0.8*0.94*1.35</f>
        <v>65812.573440000007</v>
      </c>
      <c r="L671" s="11"/>
      <c r="M671" s="11"/>
      <c r="N671" s="100"/>
      <c r="O671" s="11">
        <f t="shared" si="137"/>
        <v>65812.573440000007</v>
      </c>
      <c r="P671" s="11">
        <f t="shared" si="155"/>
        <v>65812.573440000007</v>
      </c>
      <c r="Q671" s="11"/>
      <c r="R671" s="11">
        <f t="shared" si="156"/>
        <v>0</v>
      </c>
      <c r="S671" s="11"/>
      <c r="T671" s="136">
        <f t="shared" si="144"/>
        <v>0</v>
      </c>
    </row>
    <row r="672" spans="1:20" ht="15.75" customHeight="1">
      <c r="A672" s="149">
        <v>52</v>
      </c>
      <c r="B672" s="273">
        <f>ROUNDUP(E672*1.105,-1)</f>
        <v>166830</v>
      </c>
      <c r="C672" s="28" t="s">
        <v>37243</v>
      </c>
      <c r="D672" s="41">
        <v>7660</v>
      </c>
      <c r="E672" s="131">
        <f t="shared" si="157"/>
        <v>150970</v>
      </c>
      <c r="F672" s="21">
        <f t="shared" si="154"/>
        <v>182673.69999999998</v>
      </c>
      <c r="G672" s="21"/>
      <c r="H672" s="135">
        <f t="shared" si="152"/>
        <v>0</v>
      </c>
      <c r="I672" s="294">
        <v>44385</v>
      </c>
      <c r="J672" s="294">
        <v>45195</v>
      </c>
      <c r="K672" s="42">
        <f>+PROVEEDORES!D46*0.75*142</f>
        <v>111825</v>
      </c>
      <c r="L672" s="34"/>
      <c r="M672" s="11"/>
      <c r="N672" s="100"/>
      <c r="O672" s="11">
        <f t="shared" si="137"/>
        <v>111825</v>
      </c>
      <c r="P672" s="11">
        <f t="shared" si="155"/>
        <v>111825</v>
      </c>
      <c r="Q672" s="11">
        <v>1.35</v>
      </c>
      <c r="R672" s="11">
        <f t="shared" si="156"/>
        <v>150963.75</v>
      </c>
      <c r="S672" s="11"/>
      <c r="T672" s="136">
        <f t="shared" si="144"/>
        <v>0</v>
      </c>
    </row>
    <row r="673" spans="1:20" ht="15.75" customHeight="1">
      <c r="A673" s="149">
        <v>52</v>
      </c>
      <c r="B673" s="273"/>
      <c r="C673" s="28" t="s">
        <v>1435</v>
      </c>
      <c r="D673" s="41"/>
      <c r="E673" s="131">
        <f t="shared" si="157"/>
        <v>0</v>
      </c>
      <c r="F673" s="21"/>
      <c r="G673" s="21"/>
      <c r="H673" s="135">
        <f t="shared" si="152"/>
        <v>0</v>
      </c>
      <c r="I673" s="294">
        <v>44385</v>
      </c>
      <c r="J673" s="294"/>
      <c r="K673" s="134">
        <f>3215*1.4</f>
        <v>4501</v>
      </c>
      <c r="L673" s="11">
        <f>244*115*1.105*1.45</f>
        <v>44959.134999999995</v>
      </c>
      <c r="M673" s="11"/>
      <c r="N673" s="100"/>
      <c r="O673" s="11">
        <f t="shared" si="137"/>
        <v>4501</v>
      </c>
      <c r="P673" s="11">
        <f t="shared" si="155"/>
        <v>4501</v>
      </c>
      <c r="Q673" s="11"/>
      <c r="R673" s="11">
        <f t="shared" si="156"/>
        <v>0</v>
      </c>
      <c r="S673" s="11"/>
      <c r="T673" s="136">
        <f t="shared" si="144"/>
        <v>0</v>
      </c>
    </row>
    <row r="674" spans="1:20" ht="15.75" customHeight="1">
      <c r="A674" s="149">
        <v>52</v>
      </c>
      <c r="B674" s="273">
        <f>ROUNDUP(E674*1.105,-1)</f>
        <v>220860</v>
      </c>
      <c r="C674" s="28" t="s">
        <v>44326</v>
      </c>
      <c r="D674" s="161">
        <v>9620</v>
      </c>
      <c r="E674" s="131">
        <f t="shared" si="157"/>
        <v>199870</v>
      </c>
      <c r="F674" s="21">
        <f>+E674*1.21</f>
        <v>241842.69999999998</v>
      </c>
      <c r="G674" s="21"/>
      <c r="H674" s="135">
        <f t="shared" si="152"/>
        <v>0</v>
      </c>
      <c r="I674" s="294">
        <v>44385</v>
      </c>
      <c r="J674" s="294">
        <v>45195</v>
      </c>
      <c r="K674" s="42">
        <f>PROVEEDORES!D46*0.75*188</f>
        <v>148050</v>
      </c>
      <c r="L674" s="34"/>
      <c r="M674" s="11"/>
      <c r="N674" s="100"/>
      <c r="O674" s="11">
        <f t="shared" si="137"/>
        <v>148050</v>
      </c>
      <c r="P674" s="11">
        <f t="shared" si="155"/>
        <v>148050</v>
      </c>
      <c r="Q674" s="11">
        <v>1.35</v>
      </c>
      <c r="R674" s="11">
        <f t="shared" si="156"/>
        <v>199867.5</v>
      </c>
      <c r="S674" s="11"/>
      <c r="T674" s="136">
        <f t="shared" si="144"/>
        <v>0</v>
      </c>
    </row>
    <row r="675" spans="1:20" ht="15.75" customHeight="1">
      <c r="A675" s="149">
        <v>52</v>
      </c>
      <c r="B675" s="273"/>
      <c r="C675" s="28" t="s">
        <v>4157</v>
      </c>
      <c r="D675" s="161">
        <v>24550</v>
      </c>
      <c r="E675" s="131">
        <f t="shared" si="157"/>
        <v>462460</v>
      </c>
      <c r="F675" s="21" t="s">
        <v>1248</v>
      </c>
      <c r="G675" s="21">
        <f>+E675*1.105</f>
        <v>511018.3</v>
      </c>
      <c r="H675" s="135">
        <f t="shared" si="152"/>
        <v>0</v>
      </c>
      <c r="I675" s="294">
        <v>44663</v>
      </c>
      <c r="J675" s="294">
        <v>45338</v>
      </c>
      <c r="K675" s="42">
        <f>+PROVEEDORES!D46*0.75*405</f>
        <v>318937.5</v>
      </c>
      <c r="L675" s="34"/>
      <c r="M675" s="11"/>
      <c r="N675" s="100"/>
      <c r="O675" s="11">
        <f t="shared" si="137"/>
        <v>318937.5</v>
      </c>
      <c r="P675" s="11">
        <f t="shared" si="155"/>
        <v>318937.5</v>
      </c>
      <c r="Q675" s="11">
        <v>1.45</v>
      </c>
      <c r="R675" s="11">
        <f t="shared" si="156"/>
        <v>462459.375</v>
      </c>
      <c r="S675" s="11"/>
      <c r="T675" s="136">
        <f t="shared" si="144"/>
        <v>0</v>
      </c>
    </row>
    <row r="676" spans="1:20" ht="15.75" customHeight="1">
      <c r="A676" s="149">
        <v>52</v>
      </c>
      <c r="B676" s="273"/>
      <c r="C676" s="28" t="s">
        <v>1436</v>
      </c>
      <c r="D676" s="161">
        <v>14750</v>
      </c>
      <c r="E676" s="131">
        <f t="shared" si="157"/>
        <v>0</v>
      </c>
      <c r="F676" s="21" t="s">
        <v>1248</v>
      </c>
      <c r="G676" s="21">
        <f>+E676*1.105</f>
        <v>0</v>
      </c>
      <c r="H676" s="135">
        <f t="shared" si="152"/>
        <v>0</v>
      </c>
      <c r="I676" s="294">
        <v>44385</v>
      </c>
      <c r="J676" s="294"/>
      <c r="K676" s="134">
        <f>+PROVEEDORES!D46*0.9*0.93*714</f>
        <v>627498.9</v>
      </c>
      <c r="L676" s="11"/>
      <c r="M676" s="11"/>
      <c r="N676" s="100"/>
      <c r="O676" s="11">
        <f t="shared" si="137"/>
        <v>627498.9</v>
      </c>
      <c r="P676" s="11">
        <f t="shared" si="155"/>
        <v>627498.9</v>
      </c>
      <c r="Q676" s="11"/>
      <c r="R676" s="11">
        <f t="shared" si="156"/>
        <v>0</v>
      </c>
      <c r="S676" s="11"/>
      <c r="T676" s="136">
        <f t="shared" si="144"/>
        <v>0</v>
      </c>
    </row>
    <row r="677" spans="1:20" ht="15.75" customHeight="1">
      <c r="A677" s="149">
        <v>35</v>
      </c>
      <c r="B677" s="273"/>
      <c r="C677" s="28" t="s">
        <v>1437</v>
      </c>
      <c r="D677" s="41">
        <v>4190</v>
      </c>
      <c r="E677" s="131">
        <f t="shared" si="157"/>
        <v>0</v>
      </c>
      <c r="F677" s="21">
        <f t="shared" ref="F677:F709" si="165">+E677*1.21</f>
        <v>0</v>
      </c>
      <c r="G677" s="21"/>
      <c r="H677" s="135">
        <f t="shared" si="152"/>
        <v>0</v>
      </c>
      <c r="I677" s="294"/>
      <c r="J677" s="294">
        <v>43570</v>
      </c>
      <c r="K677" s="11">
        <f>86.97*43*0.8*1.4</f>
        <v>4188.4751999999999</v>
      </c>
      <c r="L677" s="11"/>
      <c r="M677" s="11"/>
      <c r="N677" s="100"/>
      <c r="O677" s="11">
        <f t="shared" si="137"/>
        <v>4188.4751999999999</v>
      </c>
      <c r="P677" s="11">
        <f t="shared" si="155"/>
        <v>4188.4751999999999</v>
      </c>
      <c r="Q677" s="11"/>
      <c r="R677" s="11">
        <f t="shared" si="156"/>
        <v>0</v>
      </c>
      <c r="S677" s="11"/>
      <c r="T677" s="136">
        <f t="shared" si="144"/>
        <v>0</v>
      </c>
    </row>
    <row r="678" spans="1:20" ht="15.75" customHeight="1">
      <c r="A678" s="149">
        <v>51</v>
      </c>
      <c r="B678" s="273"/>
      <c r="C678" s="28" t="s">
        <v>44367</v>
      </c>
      <c r="D678" s="161">
        <v>2700</v>
      </c>
      <c r="E678" s="199">
        <f t="shared" si="157"/>
        <v>52240</v>
      </c>
      <c r="F678" s="21">
        <f t="shared" si="165"/>
        <v>63210.400000000001</v>
      </c>
      <c r="G678" s="44"/>
      <c r="H678" s="135">
        <f t="shared" si="152"/>
        <v>0</v>
      </c>
      <c r="I678" s="294">
        <v>45383</v>
      </c>
      <c r="J678" s="294"/>
      <c r="K678" s="10">
        <f>0.85*40968</f>
        <v>34822.799999999996</v>
      </c>
      <c r="L678" s="32"/>
      <c r="M678" s="11"/>
      <c r="N678" s="100"/>
      <c r="O678" s="11">
        <f t="shared" si="137"/>
        <v>34822.799999999996</v>
      </c>
      <c r="P678" s="11">
        <f t="shared" si="155"/>
        <v>34822.799999999996</v>
      </c>
      <c r="Q678" s="11">
        <v>1.5</v>
      </c>
      <c r="R678" s="11">
        <f t="shared" si="156"/>
        <v>52234.2</v>
      </c>
      <c r="S678" s="11"/>
      <c r="T678" s="136">
        <f t="shared" si="144"/>
        <v>0</v>
      </c>
    </row>
    <row r="679" spans="1:20" ht="15.75" customHeight="1">
      <c r="A679" s="149" t="s">
        <v>2434</v>
      </c>
      <c r="B679" s="273"/>
      <c r="C679" s="28" t="s">
        <v>2863</v>
      </c>
      <c r="D679" s="161">
        <v>340</v>
      </c>
      <c r="E679" s="131">
        <f t="shared" si="157"/>
        <v>0</v>
      </c>
      <c r="F679" s="21">
        <f t="shared" si="165"/>
        <v>0</v>
      </c>
      <c r="G679" s="21"/>
      <c r="H679" s="135">
        <f t="shared" si="152"/>
        <v>0</v>
      </c>
      <c r="I679" s="294"/>
      <c r="J679" s="294">
        <v>44293</v>
      </c>
      <c r="K679" s="10">
        <v>582</v>
      </c>
      <c r="L679" s="11"/>
      <c r="M679" s="11"/>
      <c r="N679" s="100"/>
      <c r="O679" s="11">
        <f t="shared" si="137"/>
        <v>582</v>
      </c>
      <c r="P679" s="11">
        <f t="shared" si="155"/>
        <v>582</v>
      </c>
      <c r="Q679" s="11"/>
      <c r="R679" s="11">
        <f t="shared" si="156"/>
        <v>0</v>
      </c>
      <c r="S679" s="11"/>
      <c r="T679" s="136">
        <f t="shared" si="144"/>
        <v>0</v>
      </c>
    </row>
    <row r="680" spans="1:20" ht="15.75" customHeight="1">
      <c r="A680" s="149">
        <v>30</v>
      </c>
      <c r="B680" s="273"/>
      <c r="C680" s="28" t="s">
        <v>1438</v>
      </c>
      <c r="D680" s="41">
        <v>1040</v>
      </c>
      <c r="E680" s="131">
        <f t="shared" si="157"/>
        <v>0</v>
      </c>
      <c r="F680" s="21">
        <f t="shared" si="165"/>
        <v>0</v>
      </c>
      <c r="G680" s="21"/>
      <c r="H680" s="135">
        <f t="shared" si="152"/>
        <v>0</v>
      </c>
      <c r="I680" s="294">
        <v>43634</v>
      </c>
      <c r="J680" s="294">
        <v>43685</v>
      </c>
      <c r="K680" s="11">
        <f>12.75*76*1.35</f>
        <v>1308.1500000000001</v>
      </c>
      <c r="L680" s="11">
        <f>9*44*1.5</f>
        <v>594</v>
      </c>
      <c r="M680" s="11"/>
      <c r="N680" s="100"/>
      <c r="O680" s="11">
        <f t="shared" si="137"/>
        <v>594</v>
      </c>
      <c r="P680" s="11">
        <f t="shared" si="155"/>
        <v>594</v>
      </c>
      <c r="Q680" s="11"/>
      <c r="R680" s="11">
        <f t="shared" si="156"/>
        <v>0</v>
      </c>
      <c r="S680" s="11"/>
      <c r="T680" s="136">
        <f t="shared" si="144"/>
        <v>0</v>
      </c>
    </row>
    <row r="681" spans="1:20" ht="15.75" customHeight="1">
      <c r="A681" s="149" t="s">
        <v>2434</v>
      </c>
      <c r="B681" s="273"/>
      <c r="C681" s="28" t="s">
        <v>1439</v>
      </c>
      <c r="D681" s="41">
        <v>560</v>
      </c>
      <c r="E681" s="131">
        <f t="shared" si="157"/>
        <v>0</v>
      </c>
      <c r="F681" s="21">
        <f t="shared" si="165"/>
        <v>0</v>
      </c>
      <c r="G681" s="21"/>
      <c r="H681" s="135">
        <f t="shared" si="152"/>
        <v>0</v>
      </c>
      <c r="I681" s="294"/>
      <c r="J681" s="294"/>
      <c r="K681" s="10">
        <f>(271+99)*1.5</f>
        <v>555</v>
      </c>
      <c r="L681" s="11"/>
      <c r="M681" s="11"/>
      <c r="N681" s="100"/>
      <c r="O681" s="11">
        <f t="shared" si="137"/>
        <v>555</v>
      </c>
      <c r="P681" s="11">
        <f t="shared" si="155"/>
        <v>555</v>
      </c>
      <c r="Q681" s="11"/>
      <c r="R681" s="11">
        <f t="shared" si="156"/>
        <v>0</v>
      </c>
      <c r="S681" s="11"/>
      <c r="T681" s="136">
        <f t="shared" si="144"/>
        <v>0</v>
      </c>
    </row>
    <row r="682" spans="1:20" ht="15.75" customHeight="1">
      <c r="A682" s="149">
        <v>29</v>
      </c>
      <c r="B682" s="273"/>
      <c r="C682" s="28" t="s">
        <v>44214</v>
      </c>
      <c r="D682" s="41">
        <v>760</v>
      </c>
      <c r="E682" s="131">
        <f t="shared" si="157"/>
        <v>12990</v>
      </c>
      <c r="F682" s="21">
        <f t="shared" si="165"/>
        <v>15717.9</v>
      </c>
      <c r="G682" s="21"/>
      <c r="H682" s="135">
        <f t="shared" si="152"/>
        <v>0</v>
      </c>
      <c r="I682" s="294">
        <v>45376</v>
      </c>
      <c r="J682" s="294"/>
      <c r="K682" s="10">
        <v>8955</v>
      </c>
      <c r="L682" s="11"/>
      <c r="M682" s="11"/>
      <c r="N682" s="100"/>
      <c r="O682" s="11">
        <f t="shared" si="137"/>
        <v>8955</v>
      </c>
      <c r="P682" s="11">
        <f t="shared" si="155"/>
        <v>8955</v>
      </c>
      <c r="Q682" s="11">
        <v>1.45</v>
      </c>
      <c r="R682" s="11">
        <f t="shared" si="156"/>
        <v>12984.75</v>
      </c>
      <c r="S682" s="11"/>
      <c r="T682" s="136">
        <f t="shared" si="144"/>
        <v>0</v>
      </c>
    </row>
    <row r="683" spans="1:20" ht="15.75" customHeight="1">
      <c r="A683" s="149" t="s">
        <v>2434</v>
      </c>
      <c r="B683" s="273"/>
      <c r="C683" s="28" t="s">
        <v>1440</v>
      </c>
      <c r="D683" s="161">
        <v>600</v>
      </c>
      <c r="E683" s="131">
        <f>ROUNDUP(R683,-1)</f>
        <v>0</v>
      </c>
      <c r="F683" s="21">
        <f>+E683*1.21</f>
        <v>0</v>
      </c>
      <c r="G683" s="21"/>
      <c r="H683" s="135">
        <f>ROUNDUP(T683,-1)</f>
        <v>0</v>
      </c>
      <c r="I683" s="294"/>
      <c r="J683" s="294"/>
      <c r="K683" s="10">
        <v>1</v>
      </c>
      <c r="L683" s="11"/>
      <c r="M683" s="11"/>
      <c r="N683" s="100"/>
      <c r="O683" s="11">
        <f>MIN(K683:M683)</f>
        <v>1</v>
      </c>
      <c r="P683" s="11">
        <f t="shared" si="155"/>
        <v>1</v>
      </c>
      <c r="Q683" s="11"/>
      <c r="R683" s="11">
        <f t="shared" si="156"/>
        <v>0</v>
      </c>
      <c r="S683" s="11"/>
      <c r="T683" s="136">
        <f>+N683*Q683</f>
        <v>0</v>
      </c>
    </row>
    <row r="684" spans="1:20" ht="15.75" customHeight="1">
      <c r="A684" s="149">
        <v>42</v>
      </c>
      <c r="B684" s="273"/>
      <c r="C684" s="28" t="s">
        <v>3655</v>
      </c>
      <c r="D684" s="41">
        <v>810</v>
      </c>
      <c r="E684" s="131">
        <f t="shared" si="157"/>
        <v>45320</v>
      </c>
      <c r="F684" s="21">
        <f t="shared" si="165"/>
        <v>54837.2</v>
      </c>
      <c r="G684" s="21"/>
      <c r="H684" s="135">
        <f t="shared" si="152"/>
        <v>30090</v>
      </c>
      <c r="I684" s="294"/>
      <c r="J684" s="294">
        <v>45387</v>
      </c>
      <c r="K684" s="10">
        <f>+PROVEEDORES!D36*32</f>
        <v>28320</v>
      </c>
      <c r="L684" s="11"/>
      <c r="M684" s="11"/>
      <c r="N684" s="100">
        <v>18801</v>
      </c>
      <c r="O684" s="11">
        <f t="shared" si="137"/>
        <v>28320</v>
      </c>
      <c r="P684" s="11">
        <f t="shared" si="155"/>
        <v>28320</v>
      </c>
      <c r="Q684" s="11">
        <v>1.6</v>
      </c>
      <c r="R684" s="11">
        <f t="shared" si="156"/>
        <v>45312</v>
      </c>
      <c r="S684" s="11"/>
      <c r="T684" s="136">
        <f t="shared" si="144"/>
        <v>30081.600000000002</v>
      </c>
    </row>
    <row r="685" spans="1:20" ht="15.75" customHeight="1">
      <c r="A685" s="149" t="s">
        <v>2433</v>
      </c>
      <c r="B685" s="273"/>
      <c r="C685" s="28" t="s">
        <v>2228</v>
      </c>
      <c r="D685" s="41">
        <v>1200</v>
      </c>
      <c r="E685" s="131">
        <f t="shared" si="157"/>
        <v>0</v>
      </c>
      <c r="F685" s="21">
        <f t="shared" si="165"/>
        <v>0</v>
      </c>
      <c r="G685" s="21"/>
      <c r="H685" s="135">
        <f t="shared" si="152"/>
        <v>0</v>
      </c>
      <c r="I685" s="294"/>
      <c r="J685" s="294">
        <v>43900</v>
      </c>
      <c r="K685" s="10">
        <f>750*1.6</f>
        <v>1200</v>
      </c>
      <c r="L685" s="11"/>
      <c r="M685" s="11"/>
      <c r="N685" s="100"/>
      <c r="O685" s="11">
        <f t="shared" si="137"/>
        <v>1200</v>
      </c>
      <c r="P685" s="11">
        <f t="shared" si="155"/>
        <v>1200</v>
      </c>
      <c r="Q685" s="11"/>
      <c r="R685" s="11">
        <f t="shared" si="156"/>
        <v>0</v>
      </c>
      <c r="S685" s="11"/>
      <c r="T685" s="136">
        <f t="shared" si="144"/>
        <v>0</v>
      </c>
    </row>
    <row r="686" spans="1:20" ht="15.75" customHeight="1">
      <c r="A686" s="149"/>
      <c r="B686" s="273"/>
      <c r="C686" s="28" t="s">
        <v>2176</v>
      </c>
      <c r="D686" s="41">
        <v>1040</v>
      </c>
      <c r="E686" s="131">
        <f t="shared" si="157"/>
        <v>0</v>
      </c>
      <c r="F686" s="21">
        <f t="shared" si="165"/>
        <v>0</v>
      </c>
      <c r="G686" s="21"/>
      <c r="H686" s="135">
        <f t="shared" si="152"/>
        <v>0</v>
      </c>
      <c r="I686" s="294">
        <v>43816</v>
      </c>
      <c r="J686" s="294"/>
      <c r="K686" s="10">
        <f>766*0.9*1.5</f>
        <v>1034.0999999999999</v>
      </c>
      <c r="L686" s="11"/>
      <c r="M686" s="11"/>
      <c r="N686" s="100"/>
      <c r="O686" s="11">
        <f t="shared" si="137"/>
        <v>1034.0999999999999</v>
      </c>
      <c r="P686" s="11">
        <f t="shared" si="155"/>
        <v>1034.0999999999999</v>
      </c>
      <c r="Q686" s="11"/>
      <c r="R686" s="11">
        <f t="shared" si="156"/>
        <v>0</v>
      </c>
      <c r="S686" s="11"/>
      <c r="T686" s="136">
        <f t="shared" si="144"/>
        <v>0</v>
      </c>
    </row>
    <row r="687" spans="1:20" ht="15.75" customHeight="1">
      <c r="A687" s="149">
        <v>31</v>
      </c>
      <c r="B687" s="273"/>
      <c r="C687" s="28" t="s">
        <v>2116</v>
      </c>
      <c r="D687" s="41">
        <v>1440</v>
      </c>
      <c r="E687" s="131">
        <f t="shared" si="157"/>
        <v>0</v>
      </c>
      <c r="F687" s="21">
        <f t="shared" si="165"/>
        <v>0</v>
      </c>
      <c r="G687" s="21"/>
      <c r="H687" s="135">
        <f t="shared" si="152"/>
        <v>0</v>
      </c>
      <c r="I687" s="294"/>
      <c r="J687" s="294">
        <v>43773</v>
      </c>
      <c r="K687" s="10">
        <f>790*1.5*1.1*1.1</f>
        <v>1433.8500000000001</v>
      </c>
      <c r="L687" s="11"/>
      <c r="M687" s="11"/>
      <c r="N687" s="100"/>
      <c r="O687" s="11">
        <f t="shared" ref="O687:O735" si="166">MIN(K687:M687)</f>
        <v>1433.8500000000001</v>
      </c>
      <c r="P687" s="11">
        <f t="shared" si="155"/>
        <v>1433.8500000000001</v>
      </c>
      <c r="Q687" s="11"/>
      <c r="R687" s="11">
        <f t="shared" si="156"/>
        <v>0</v>
      </c>
      <c r="S687" s="11"/>
      <c r="T687" s="136">
        <f t="shared" si="144"/>
        <v>0</v>
      </c>
    </row>
    <row r="688" spans="1:20" ht="15.75" customHeight="1">
      <c r="A688" s="149">
        <v>18</v>
      </c>
      <c r="B688" s="273"/>
      <c r="C688" s="28" t="s">
        <v>2930</v>
      </c>
      <c r="D688" s="41"/>
      <c r="E688" s="131">
        <f t="shared" si="157"/>
        <v>45090</v>
      </c>
      <c r="F688" s="21">
        <f t="shared" si="165"/>
        <v>54558.9</v>
      </c>
      <c r="G688" s="21"/>
      <c r="H688" s="135">
        <f t="shared" si="152"/>
        <v>0</v>
      </c>
      <c r="I688" s="23">
        <v>45323</v>
      </c>
      <c r="J688" s="294"/>
      <c r="K688" s="10">
        <f>0.8*0.98*0.94*39468</f>
        <v>29086.33728</v>
      </c>
      <c r="L688" s="11"/>
      <c r="M688" s="11"/>
      <c r="N688" s="100"/>
      <c r="O688" s="11">
        <f t="shared" si="166"/>
        <v>29086.33728</v>
      </c>
      <c r="P688" s="11">
        <f>+O688*'AUMENTOS %'!$B$5</f>
        <v>29086.33728</v>
      </c>
      <c r="Q688" s="11">
        <v>1.55</v>
      </c>
      <c r="R688" s="11">
        <f t="shared" si="156"/>
        <v>45083.822784000004</v>
      </c>
      <c r="S688" s="11"/>
      <c r="T688" s="136">
        <f t="shared" si="144"/>
        <v>0</v>
      </c>
    </row>
    <row r="689" spans="1:20" ht="15.75" customHeight="1">
      <c r="A689" s="149">
        <v>18</v>
      </c>
      <c r="B689" s="273"/>
      <c r="C689" s="28" t="s">
        <v>4213</v>
      </c>
      <c r="D689" s="41"/>
      <c r="E689" s="131">
        <f>ROUNDUP(R689,-1)</f>
        <v>56740</v>
      </c>
      <c r="F689" s="21">
        <f>+E689*1.21</f>
        <v>68655.399999999994</v>
      </c>
      <c r="G689" s="21"/>
      <c r="H689" s="135">
        <f>ROUNDUP(T689,-1)</f>
        <v>0</v>
      </c>
      <c r="I689" s="23">
        <v>45323</v>
      </c>
      <c r="J689" s="294"/>
      <c r="K689" s="10">
        <f>0.8*0.98*0.94*49666</f>
        <v>36601.855359999994</v>
      </c>
      <c r="L689" s="11"/>
      <c r="M689" s="11"/>
      <c r="N689" s="100"/>
      <c r="O689" s="11">
        <f>MIN(K689:M689)</f>
        <v>36601.855359999994</v>
      </c>
      <c r="P689" s="11">
        <f>+O689*'AUMENTOS %'!$B$5</f>
        <v>36601.855359999994</v>
      </c>
      <c r="Q689" s="11">
        <v>1.55</v>
      </c>
      <c r="R689" s="11">
        <f t="shared" si="156"/>
        <v>56732.87580799999</v>
      </c>
      <c r="S689" s="11"/>
      <c r="T689" s="136">
        <f>+N689*Q689</f>
        <v>0</v>
      </c>
    </row>
    <row r="690" spans="1:20" ht="15.75" customHeight="1">
      <c r="A690" s="149">
        <v>25</v>
      </c>
      <c r="B690" s="273"/>
      <c r="C690" s="28" t="s">
        <v>1441</v>
      </c>
      <c r="D690" s="41">
        <v>2320</v>
      </c>
      <c r="E690" s="131">
        <f t="shared" si="157"/>
        <v>27650</v>
      </c>
      <c r="F690" s="21">
        <f t="shared" si="165"/>
        <v>33456.5</v>
      </c>
      <c r="G690" s="21"/>
      <c r="H690" s="135">
        <f t="shared" si="152"/>
        <v>0</v>
      </c>
      <c r="I690" s="294">
        <v>44636</v>
      </c>
      <c r="J690" s="294"/>
      <c r="K690" s="10">
        <f>5760*3</f>
        <v>17280</v>
      </c>
      <c r="L690" s="11"/>
      <c r="M690" s="11"/>
      <c r="N690" s="100"/>
      <c r="O690" s="11">
        <f t="shared" si="166"/>
        <v>17280</v>
      </c>
      <c r="P690" s="11">
        <f t="shared" si="155"/>
        <v>17280</v>
      </c>
      <c r="Q690" s="11">
        <v>1.6</v>
      </c>
      <c r="R690" s="11">
        <f t="shared" si="156"/>
        <v>27648</v>
      </c>
      <c r="S690" s="11"/>
      <c r="T690" s="136">
        <f t="shared" si="144"/>
        <v>0</v>
      </c>
    </row>
    <row r="691" spans="1:20" ht="15.75" customHeight="1">
      <c r="A691" s="149">
        <v>25</v>
      </c>
      <c r="B691" s="273"/>
      <c r="C691" s="28" t="s">
        <v>1442</v>
      </c>
      <c r="D691" s="71">
        <v>6730</v>
      </c>
      <c r="E691" s="131">
        <f t="shared" si="157"/>
        <v>25340</v>
      </c>
      <c r="F691" s="21">
        <f t="shared" si="165"/>
        <v>30661.399999999998</v>
      </c>
      <c r="G691" s="21"/>
      <c r="H691" s="135">
        <f t="shared" si="152"/>
        <v>0</v>
      </c>
      <c r="I691" s="294">
        <v>44776</v>
      </c>
      <c r="J691" s="294"/>
      <c r="K691" s="10">
        <v>16890</v>
      </c>
      <c r="L691" s="11"/>
      <c r="M691" s="11"/>
      <c r="N691" s="100"/>
      <c r="O691" s="11">
        <f t="shared" si="166"/>
        <v>16890</v>
      </c>
      <c r="P691" s="11">
        <f t="shared" si="155"/>
        <v>16890</v>
      </c>
      <c r="Q691" s="11">
        <v>1.5</v>
      </c>
      <c r="R691" s="11">
        <f t="shared" si="156"/>
        <v>25335</v>
      </c>
      <c r="S691" s="11"/>
      <c r="T691" s="136">
        <f t="shared" si="144"/>
        <v>0</v>
      </c>
    </row>
    <row r="692" spans="1:20" ht="15.75" customHeight="1">
      <c r="A692" s="149">
        <v>25</v>
      </c>
      <c r="B692" s="273"/>
      <c r="C692" s="28" t="s">
        <v>1443</v>
      </c>
      <c r="D692" s="71">
        <v>9830</v>
      </c>
      <c r="E692" s="131">
        <f t="shared" si="157"/>
        <v>42680</v>
      </c>
      <c r="F692" s="21">
        <f t="shared" si="165"/>
        <v>51642.799999999996</v>
      </c>
      <c r="G692" s="21"/>
      <c r="H692" s="135">
        <f t="shared" si="152"/>
        <v>0</v>
      </c>
      <c r="I692" s="294">
        <v>44776</v>
      </c>
      <c r="J692" s="294"/>
      <c r="K692" s="10">
        <v>28450</v>
      </c>
      <c r="L692" s="11"/>
      <c r="M692" s="11"/>
      <c r="N692" s="100"/>
      <c r="O692" s="11">
        <f t="shared" si="166"/>
        <v>28450</v>
      </c>
      <c r="P692" s="11">
        <f t="shared" si="155"/>
        <v>28450</v>
      </c>
      <c r="Q692" s="11">
        <v>1.5</v>
      </c>
      <c r="R692" s="11">
        <f t="shared" si="156"/>
        <v>42675</v>
      </c>
      <c r="S692" s="11"/>
      <c r="T692" s="136">
        <f t="shared" si="144"/>
        <v>0</v>
      </c>
    </row>
    <row r="693" spans="1:20" ht="15.75" customHeight="1">
      <c r="A693" s="149">
        <v>25</v>
      </c>
      <c r="B693" s="273"/>
      <c r="C693" s="28" t="s">
        <v>1444</v>
      </c>
      <c r="D693" s="71">
        <v>13370</v>
      </c>
      <c r="E693" s="131">
        <f t="shared" si="157"/>
        <v>208800</v>
      </c>
      <c r="F693" s="21">
        <f t="shared" si="165"/>
        <v>252648</v>
      </c>
      <c r="G693" s="21"/>
      <c r="H693" s="135">
        <f t="shared" si="152"/>
        <v>0</v>
      </c>
      <c r="I693" s="294">
        <v>44636</v>
      </c>
      <c r="J693" s="294"/>
      <c r="K693" s="10">
        <f>72500*1.8</f>
        <v>130500</v>
      </c>
      <c r="L693" s="11"/>
      <c r="M693" s="11"/>
      <c r="N693" s="100"/>
      <c r="O693" s="11">
        <f t="shared" si="166"/>
        <v>130500</v>
      </c>
      <c r="P693" s="11">
        <f t="shared" si="155"/>
        <v>130500</v>
      </c>
      <c r="Q693" s="11">
        <v>1.6</v>
      </c>
      <c r="R693" s="11">
        <f t="shared" si="156"/>
        <v>208800</v>
      </c>
      <c r="S693" s="11"/>
      <c r="T693" s="136">
        <f t="shared" si="144"/>
        <v>0</v>
      </c>
    </row>
    <row r="694" spans="1:20" ht="15.75" customHeight="1">
      <c r="A694" s="149">
        <v>41</v>
      </c>
      <c r="B694" s="273"/>
      <c r="C694" s="28" t="s">
        <v>2892</v>
      </c>
      <c r="D694" s="71"/>
      <c r="E694" s="131">
        <f t="shared" si="157"/>
        <v>91490</v>
      </c>
      <c r="F694" s="21">
        <f t="shared" si="165"/>
        <v>110702.9</v>
      </c>
      <c r="G694" s="21"/>
      <c r="H694" s="135">
        <f t="shared" si="152"/>
        <v>0</v>
      </c>
      <c r="I694" s="294"/>
      <c r="J694" s="294">
        <v>44846</v>
      </c>
      <c r="K694" s="10">
        <f>+PROVEEDORES!D35*57</f>
        <v>60990</v>
      </c>
      <c r="L694" s="11"/>
      <c r="M694" s="11"/>
      <c r="N694" s="100"/>
      <c r="O694" s="11">
        <f t="shared" si="166"/>
        <v>60990</v>
      </c>
      <c r="P694" s="11">
        <f t="shared" si="155"/>
        <v>60990</v>
      </c>
      <c r="Q694" s="11">
        <v>1.5</v>
      </c>
      <c r="R694" s="11">
        <f t="shared" si="156"/>
        <v>91485</v>
      </c>
      <c r="S694" s="11"/>
      <c r="T694" s="136">
        <f t="shared" si="144"/>
        <v>0</v>
      </c>
    </row>
    <row r="695" spans="1:20" ht="15.75" customHeight="1">
      <c r="A695" s="149"/>
      <c r="B695" s="273"/>
      <c r="C695" s="28" t="s">
        <v>1445</v>
      </c>
      <c r="D695" s="71">
        <v>1000</v>
      </c>
      <c r="E695" s="131">
        <f t="shared" si="157"/>
        <v>12930</v>
      </c>
      <c r="F695" s="21">
        <f t="shared" si="165"/>
        <v>15645.3</v>
      </c>
      <c r="G695" s="21"/>
      <c r="H695" s="135">
        <f t="shared" si="152"/>
        <v>0</v>
      </c>
      <c r="I695" s="294">
        <v>44594</v>
      </c>
      <c r="J695" s="294"/>
      <c r="K695" s="10">
        <f>5985*1.2</f>
        <v>7182</v>
      </c>
      <c r="L695" s="11"/>
      <c r="M695" s="11"/>
      <c r="N695" s="100"/>
      <c r="O695" s="11">
        <f t="shared" si="166"/>
        <v>7182</v>
      </c>
      <c r="P695" s="11">
        <f t="shared" si="155"/>
        <v>7182</v>
      </c>
      <c r="Q695" s="11">
        <v>1.8</v>
      </c>
      <c r="R695" s="11">
        <f t="shared" si="156"/>
        <v>12927.6</v>
      </c>
      <c r="S695" s="11"/>
      <c r="T695" s="136">
        <f t="shared" si="144"/>
        <v>0</v>
      </c>
    </row>
    <row r="696" spans="1:20" ht="15.75" customHeight="1">
      <c r="A696" s="149">
        <v>101</v>
      </c>
      <c r="B696" s="273"/>
      <c r="C696" s="28" t="s">
        <v>3973</v>
      </c>
      <c r="D696" s="71">
        <v>2300</v>
      </c>
      <c r="E696" s="131">
        <f t="shared" si="157"/>
        <v>75760</v>
      </c>
      <c r="F696" s="21">
        <f t="shared" si="165"/>
        <v>91669.599999999991</v>
      </c>
      <c r="G696" s="21"/>
      <c r="H696" s="135">
        <f t="shared" si="152"/>
        <v>0</v>
      </c>
      <c r="I696" s="294">
        <v>45343</v>
      </c>
      <c r="J696" s="294"/>
      <c r="K696" s="10">
        <f>0.7*0.9*80168</f>
        <v>50505.840000000004</v>
      </c>
      <c r="L696" s="11"/>
      <c r="M696" s="11"/>
      <c r="N696" s="100"/>
      <c r="O696" s="11">
        <f t="shared" si="166"/>
        <v>50505.840000000004</v>
      </c>
      <c r="P696" s="11">
        <f t="shared" si="155"/>
        <v>50505.840000000004</v>
      </c>
      <c r="Q696" s="11">
        <v>1.5</v>
      </c>
      <c r="R696" s="11">
        <f t="shared" si="156"/>
        <v>75758.760000000009</v>
      </c>
      <c r="S696" s="11"/>
      <c r="T696" s="136">
        <f t="shared" si="144"/>
        <v>0</v>
      </c>
    </row>
    <row r="697" spans="1:20" ht="15.75" customHeight="1">
      <c r="A697" s="149">
        <v>101</v>
      </c>
      <c r="B697" s="273"/>
      <c r="C697" s="28" t="s">
        <v>3974</v>
      </c>
      <c r="D697" s="41">
        <v>2300</v>
      </c>
      <c r="E697" s="131">
        <f t="shared" si="157"/>
        <v>101110</v>
      </c>
      <c r="F697" s="21">
        <f t="shared" si="165"/>
        <v>122343.09999999999</v>
      </c>
      <c r="G697" s="21"/>
      <c r="H697" s="135">
        <f t="shared" si="152"/>
        <v>0</v>
      </c>
      <c r="I697" s="294">
        <v>45343</v>
      </c>
      <c r="J697" s="294"/>
      <c r="K697" s="10">
        <f>0.7*0.9*106989</f>
        <v>67403.070000000007</v>
      </c>
      <c r="L697" s="11"/>
      <c r="M697" s="11"/>
      <c r="N697" s="100"/>
      <c r="O697" s="11">
        <f t="shared" si="166"/>
        <v>67403.070000000007</v>
      </c>
      <c r="P697" s="11">
        <f t="shared" si="155"/>
        <v>67403.070000000007</v>
      </c>
      <c r="Q697" s="11">
        <v>1.5</v>
      </c>
      <c r="R697" s="11">
        <f t="shared" si="156"/>
        <v>101104.60500000001</v>
      </c>
      <c r="S697" s="11"/>
      <c r="T697" s="136">
        <f t="shared" si="144"/>
        <v>0</v>
      </c>
    </row>
    <row r="698" spans="1:20" ht="15.75" customHeight="1">
      <c r="A698" s="149"/>
      <c r="B698" s="273"/>
      <c r="C698" s="28" t="s">
        <v>2200</v>
      </c>
      <c r="D698" s="41">
        <v>2430</v>
      </c>
      <c r="E698" s="131">
        <f t="shared" si="157"/>
        <v>0</v>
      </c>
      <c r="F698" s="21">
        <f t="shared" si="165"/>
        <v>0</v>
      </c>
      <c r="G698" s="21"/>
      <c r="H698" s="135">
        <f t="shared" si="152"/>
        <v>0</v>
      </c>
      <c r="I698" s="294">
        <v>43873</v>
      </c>
      <c r="J698" s="294"/>
      <c r="K698" s="10">
        <f>2568*0.7*0.9*1.5</f>
        <v>2426.7599999999998</v>
      </c>
      <c r="L698" s="11"/>
      <c r="M698" s="11"/>
      <c r="N698" s="100"/>
      <c r="O698" s="11">
        <f t="shared" si="166"/>
        <v>2426.7599999999998</v>
      </c>
      <c r="P698" s="11">
        <f t="shared" si="155"/>
        <v>2426.7599999999998</v>
      </c>
      <c r="Q698" s="11"/>
      <c r="R698" s="11">
        <f t="shared" si="156"/>
        <v>0</v>
      </c>
      <c r="S698" s="11"/>
      <c r="T698" s="136">
        <f t="shared" ref="T698:T735" si="167">+N698*Q698</f>
        <v>0</v>
      </c>
    </row>
    <row r="699" spans="1:20" ht="15.75" customHeight="1">
      <c r="A699" s="149"/>
      <c r="B699" s="273"/>
      <c r="C699" s="28" t="s">
        <v>1446</v>
      </c>
      <c r="D699" s="41">
        <v>1760</v>
      </c>
      <c r="E699" s="131">
        <f t="shared" si="157"/>
        <v>1570</v>
      </c>
      <c r="F699" s="21">
        <f t="shared" si="165"/>
        <v>1899.7</v>
      </c>
      <c r="G699" s="21"/>
      <c r="H699" s="135">
        <f t="shared" si="152"/>
        <v>0</v>
      </c>
      <c r="I699" s="294">
        <v>44207</v>
      </c>
      <c r="J699" s="40">
        <v>44218</v>
      </c>
      <c r="K699" s="10">
        <v>1045</v>
      </c>
      <c r="L699" s="11"/>
      <c r="M699" s="11"/>
      <c r="N699" s="100"/>
      <c r="O699" s="11">
        <f t="shared" si="166"/>
        <v>1045</v>
      </c>
      <c r="P699" s="11">
        <f t="shared" si="155"/>
        <v>1045</v>
      </c>
      <c r="Q699" s="11">
        <v>1.5</v>
      </c>
      <c r="R699" s="11">
        <f t="shared" si="156"/>
        <v>1567.5</v>
      </c>
      <c r="S699" s="11"/>
      <c r="T699" s="136">
        <f t="shared" si="167"/>
        <v>0</v>
      </c>
    </row>
    <row r="700" spans="1:20" ht="15.75" customHeight="1">
      <c r="A700" s="149">
        <v>50</v>
      </c>
      <c r="B700" s="273">
        <f>ROUNDUP(E700*1.105,-1)</f>
        <v>1511680</v>
      </c>
      <c r="C700" s="28" t="s">
        <v>1447</v>
      </c>
      <c r="D700" s="158">
        <v>35150</v>
      </c>
      <c r="E700" s="139">
        <f t="shared" si="157"/>
        <v>1368030</v>
      </c>
      <c r="F700" s="21">
        <f t="shared" si="165"/>
        <v>1655316.3</v>
      </c>
      <c r="G700" s="21"/>
      <c r="H700" s="135">
        <f t="shared" ref="H700:H735" si="168">ROUNDUP(T700,-1)</f>
        <v>1270390</v>
      </c>
      <c r="I700" s="294">
        <v>45385</v>
      </c>
      <c r="J700" s="294"/>
      <c r="K700" s="43">
        <f>PROVEEDORES!$D$44*0.58*1931.27</f>
        <v>991320.89099999995</v>
      </c>
      <c r="L700" s="11"/>
      <c r="M700" s="10"/>
      <c r="N700" s="171">
        <f>PROVEEDORES!$D$44*0.5985*1738</f>
        <v>920570.80500000005</v>
      </c>
      <c r="O700" s="11">
        <f t="shared" si="166"/>
        <v>991320.89099999995</v>
      </c>
      <c r="P700" s="11">
        <f t="shared" si="155"/>
        <v>991320.89099999995</v>
      </c>
      <c r="Q700" s="11">
        <v>1.38</v>
      </c>
      <c r="R700" s="11">
        <f t="shared" si="156"/>
        <v>1368022.8295799999</v>
      </c>
      <c r="S700" s="11"/>
      <c r="T700" s="136">
        <f t="shared" si="167"/>
        <v>1270387.7109000001</v>
      </c>
    </row>
    <row r="701" spans="1:20" ht="15.75" customHeight="1">
      <c r="A701" s="149">
        <v>44</v>
      </c>
      <c r="B701" s="273">
        <f>ROUNDUP(H701*1.105,-1)</f>
        <v>0</v>
      </c>
      <c r="C701" s="28" t="s">
        <v>2917</v>
      </c>
      <c r="D701" s="41">
        <v>10260</v>
      </c>
      <c r="E701" s="140">
        <f t="shared" si="157"/>
        <v>963020</v>
      </c>
      <c r="F701" s="21">
        <f t="shared" si="165"/>
        <v>1165254.2</v>
      </c>
      <c r="G701" s="21"/>
      <c r="H701" s="135">
        <f t="shared" si="168"/>
        <v>0</v>
      </c>
      <c r="I701" s="294">
        <v>45254</v>
      </c>
      <c r="J701" s="294"/>
      <c r="K701" s="10">
        <f>+PROVEEDORES!$D$38*(525.36+251.89)</f>
        <v>687866.25</v>
      </c>
      <c r="L701" s="11"/>
      <c r="M701" s="11"/>
      <c r="N701" s="100"/>
      <c r="O701" s="11">
        <f t="shared" si="166"/>
        <v>687866.25</v>
      </c>
      <c r="P701" s="11">
        <f t="shared" si="155"/>
        <v>687866.25</v>
      </c>
      <c r="Q701" s="11">
        <v>1.4</v>
      </c>
      <c r="R701" s="11">
        <f t="shared" si="156"/>
        <v>963012.74999999988</v>
      </c>
      <c r="S701" s="11"/>
      <c r="T701" s="136">
        <f t="shared" si="167"/>
        <v>0</v>
      </c>
    </row>
    <row r="702" spans="1:20" ht="15.75" customHeight="1">
      <c r="A702" s="149">
        <v>50</v>
      </c>
      <c r="B702" s="273">
        <f>ROUNDUP(E702*1.105,-1)</f>
        <v>716340</v>
      </c>
      <c r="C702" s="28" t="s">
        <v>1448</v>
      </c>
      <c r="D702" s="156">
        <v>20680</v>
      </c>
      <c r="E702" s="139">
        <f t="shared" si="157"/>
        <v>648270</v>
      </c>
      <c r="F702" s="21">
        <f t="shared" si="165"/>
        <v>784406.7</v>
      </c>
      <c r="G702" s="21"/>
      <c r="H702" s="135">
        <f t="shared" si="168"/>
        <v>611780</v>
      </c>
      <c r="I702" s="294">
        <v>45385</v>
      </c>
      <c r="J702" s="294"/>
      <c r="K702" s="43">
        <f>PROVEEDORES!$D$44*0.58*902.1</f>
        <v>463047.93</v>
      </c>
      <c r="L702" s="11"/>
      <c r="M702" s="11"/>
      <c r="N702" s="171">
        <f>PROVEEDORES!$D$44*0.5985*825</f>
        <v>436979.8125</v>
      </c>
      <c r="O702" s="11">
        <f t="shared" si="166"/>
        <v>463047.93</v>
      </c>
      <c r="P702" s="11">
        <f t="shared" si="155"/>
        <v>463047.93</v>
      </c>
      <c r="Q702" s="11">
        <v>1.4</v>
      </c>
      <c r="R702" s="11">
        <f t="shared" si="156"/>
        <v>648267.10199999996</v>
      </c>
      <c r="S702" s="11"/>
      <c r="T702" s="136">
        <f t="shared" si="167"/>
        <v>611771.73749999993</v>
      </c>
    </row>
    <row r="703" spans="1:20" ht="15.75" customHeight="1">
      <c r="A703" s="149">
        <v>44</v>
      </c>
      <c r="B703" s="273">
        <f>ROUNDUP(H703*1.105,-1)</f>
        <v>256210</v>
      </c>
      <c r="C703" s="28" t="s">
        <v>3433</v>
      </c>
      <c r="D703" s="41"/>
      <c r="E703" s="140">
        <f t="shared" si="157"/>
        <v>276500</v>
      </c>
      <c r="F703" s="21">
        <f t="shared" si="165"/>
        <v>334565</v>
      </c>
      <c r="G703" s="21"/>
      <c r="H703" s="135">
        <f t="shared" si="168"/>
        <v>231860</v>
      </c>
      <c r="I703" s="294">
        <v>45287</v>
      </c>
      <c r="J703" s="294">
        <v>45342</v>
      </c>
      <c r="K703" s="10">
        <f>+PROVEEDORES!$D$38*223.16</f>
        <v>197496.6</v>
      </c>
      <c r="L703" s="11"/>
      <c r="M703" s="11"/>
      <c r="N703" s="100">
        <f>194840*0.85</f>
        <v>165614</v>
      </c>
      <c r="O703" s="11">
        <f t="shared" si="166"/>
        <v>197496.6</v>
      </c>
      <c r="P703" s="11">
        <f t="shared" si="155"/>
        <v>197496.6</v>
      </c>
      <c r="Q703" s="11">
        <v>1.4</v>
      </c>
      <c r="R703" s="11">
        <f t="shared" si="156"/>
        <v>276495.24</v>
      </c>
      <c r="S703" s="11"/>
      <c r="T703" s="136">
        <f t="shared" si="167"/>
        <v>231859.59999999998</v>
      </c>
    </row>
    <row r="704" spans="1:20" ht="15.75" customHeight="1">
      <c r="A704" s="149">
        <v>97</v>
      </c>
      <c r="B704" s="273"/>
      <c r="C704" s="28" t="s">
        <v>2135</v>
      </c>
      <c r="D704" s="41">
        <v>530</v>
      </c>
      <c r="E704" s="131">
        <f t="shared" si="157"/>
        <v>0</v>
      </c>
      <c r="F704" s="21">
        <f t="shared" si="165"/>
        <v>0</v>
      </c>
      <c r="G704" s="21"/>
      <c r="H704" s="135">
        <f t="shared" si="168"/>
        <v>0</v>
      </c>
      <c r="I704" s="294"/>
      <c r="J704" s="294">
        <v>43780</v>
      </c>
      <c r="K704" s="10">
        <f>330*1.6</f>
        <v>528</v>
      </c>
      <c r="L704" s="11"/>
      <c r="M704" s="11"/>
      <c r="N704" s="100"/>
      <c r="O704" s="11">
        <f t="shared" si="166"/>
        <v>528</v>
      </c>
      <c r="P704" s="11">
        <f t="shared" si="155"/>
        <v>528</v>
      </c>
      <c r="Q704" s="11"/>
      <c r="R704" s="11">
        <f t="shared" si="156"/>
        <v>0</v>
      </c>
      <c r="S704" s="11"/>
      <c r="T704" s="136">
        <f t="shared" si="167"/>
        <v>0</v>
      </c>
    </row>
    <row r="705" spans="1:20" ht="15.75" customHeight="1">
      <c r="A705" s="149" t="s">
        <v>4170</v>
      </c>
      <c r="B705" s="273"/>
      <c r="C705" s="28" t="s">
        <v>2852</v>
      </c>
      <c r="D705" s="41">
        <v>180</v>
      </c>
      <c r="E705" s="131">
        <f t="shared" si="157"/>
        <v>6790</v>
      </c>
      <c r="F705" s="21">
        <f t="shared" si="165"/>
        <v>8215.9</v>
      </c>
      <c r="G705" s="21"/>
      <c r="H705" s="135">
        <f t="shared" si="168"/>
        <v>0</v>
      </c>
      <c r="I705" s="294">
        <v>45216</v>
      </c>
      <c r="J705" s="294">
        <v>45297</v>
      </c>
      <c r="K705" s="11">
        <f>0.85*PROVEEDORES!$D$22*5.54</f>
        <v>4238.1000000000004</v>
      </c>
      <c r="L705" s="11"/>
      <c r="M705" s="11">
        <f>0.47*PROVEEDORES!$J$44*4.72*2*2</f>
        <v>7853.1359999999995</v>
      </c>
      <c r="N705" s="100"/>
      <c r="O705" s="11">
        <f t="shared" si="166"/>
        <v>4238.1000000000004</v>
      </c>
      <c r="P705" s="11">
        <f t="shared" si="155"/>
        <v>4238.1000000000004</v>
      </c>
      <c r="Q705" s="11">
        <v>1.6</v>
      </c>
      <c r="R705" s="11">
        <f t="shared" si="156"/>
        <v>6780.9600000000009</v>
      </c>
      <c r="S705" s="11"/>
      <c r="T705" s="136">
        <f t="shared" si="167"/>
        <v>0</v>
      </c>
    </row>
    <row r="706" spans="1:20" ht="15.75" customHeight="1">
      <c r="A706" s="149" t="s">
        <v>4170</v>
      </c>
      <c r="B706" s="273"/>
      <c r="C706" s="28" t="s">
        <v>1449</v>
      </c>
      <c r="D706" s="41">
        <v>180</v>
      </c>
      <c r="E706" s="131">
        <f t="shared" si="157"/>
        <v>6790</v>
      </c>
      <c r="F706" s="21">
        <f t="shared" si="165"/>
        <v>8215.9</v>
      </c>
      <c r="G706" s="21"/>
      <c r="H706" s="135">
        <f t="shared" si="168"/>
        <v>0</v>
      </c>
      <c r="I706" s="294">
        <v>45216</v>
      </c>
      <c r="J706" s="294"/>
      <c r="K706" s="11">
        <f>0.85*PROVEEDORES!$D$22*5.54</f>
        <v>4238.1000000000004</v>
      </c>
      <c r="L706" s="11"/>
      <c r="M706" s="11">
        <f>0.47*PROVEEDORES!$J$44*4.9*2*2</f>
        <v>8152.6200000000008</v>
      </c>
      <c r="N706" s="100"/>
      <c r="O706" s="11">
        <f t="shared" si="166"/>
        <v>4238.1000000000004</v>
      </c>
      <c r="P706" s="11">
        <f t="shared" si="155"/>
        <v>4238.1000000000004</v>
      </c>
      <c r="Q706" s="11">
        <v>1.6</v>
      </c>
      <c r="R706" s="11">
        <f t="shared" si="156"/>
        <v>6780.9600000000009</v>
      </c>
      <c r="S706" s="11"/>
      <c r="T706" s="136">
        <f t="shared" si="167"/>
        <v>0</v>
      </c>
    </row>
    <row r="707" spans="1:20" ht="15.75" customHeight="1">
      <c r="A707" s="149" t="s">
        <v>4170</v>
      </c>
      <c r="B707" s="273"/>
      <c r="C707" s="28" t="s">
        <v>2238</v>
      </c>
      <c r="D707" s="41">
        <v>180</v>
      </c>
      <c r="E707" s="131">
        <f t="shared" si="157"/>
        <v>6790</v>
      </c>
      <c r="F707" s="21">
        <f t="shared" si="165"/>
        <v>8215.9</v>
      </c>
      <c r="G707" s="21"/>
      <c r="H707" s="135">
        <f t="shared" si="168"/>
        <v>0</v>
      </c>
      <c r="I707" s="294">
        <v>45216</v>
      </c>
      <c r="J707" s="294"/>
      <c r="K707" s="11">
        <f>0.85*PROVEEDORES!$D$22*5.54</f>
        <v>4238.1000000000004</v>
      </c>
      <c r="L707" s="11"/>
      <c r="M707" s="11">
        <f>0.47*PROVEEDORES!$J$44*5.24*2*2</f>
        <v>8718.3119999999999</v>
      </c>
      <c r="N707" s="100"/>
      <c r="O707" s="11">
        <f t="shared" si="166"/>
        <v>4238.1000000000004</v>
      </c>
      <c r="P707" s="11">
        <f t="shared" si="155"/>
        <v>4238.1000000000004</v>
      </c>
      <c r="Q707" s="11">
        <v>1.6</v>
      </c>
      <c r="R707" s="11">
        <f t="shared" si="156"/>
        <v>6780.9600000000009</v>
      </c>
      <c r="S707" s="11"/>
      <c r="T707" s="136">
        <f t="shared" si="167"/>
        <v>0</v>
      </c>
    </row>
    <row r="708" spans="1:20" ht="15.75" customHeight="1">
      <c r="A708" s="149" t="s">
        <v>4170</v>
      </c>
      <c r="B708" s="273"/>
      <c r="C708" s="28" t="s">
        <v>1450</v>
      </c>
      <c r="D708" s="41">
        <v>190</v>
      </c>
      <c r="E708" s="131">
        <f t="shared" si="157"/>
        <v>7120</v>
      </c>
      <c r="F708" s="21">
        <f t="shared" si="165"/>
        <v>8615.1999999999989</v>
      </c>
      <c r="G708" s="21"/>
      <c r="H708" s="135">
        <f t="shared" si="168"/>
        <v>0</v>
      </c>
      <c r="I708" s="294">
        <v>45216</v>
      </c>
      <c r="J708" s="294"/>
      <c r="K708" s="11">
        <f>0.85*PROVEEDORES!$D$22*5.81</f>
        <v>4444.6499999999996</v>
      </c>
      <c r="L708" s="11"/>
      <c r="M708" s="11">
        <f>0.47*PROVEEDORES!$J$44*5.59*2*2</f>
        <v>9300.6419999999998</v>
      </c>
      <c r="N708" s="100"/>
      <c r="O708" s="11">
        <f t="shared" si="166"/>
        <v>4444.6499999999996</v>
      </c>
      <c r="P708" s="11">
        <f t="shared" si="155"/>
        <v>4444.6499999999996</v>
      </c>
      <c r="Q708" s="11">
        <v>1.6</v>
      </c>
      <c r="R708" s="11">
        <f t="shared" si="156"/>
        <v>7111.44</v>
      </c>
      <c r="S708" s="11"/>
      <c r="T708" s="136">
        <f t="shared" si="167"/>
        <v>0</v>
      </c>
    </row>
    <row r="709" spans="1:20" ht="15.75" customHeight="1">
      <c r="A709" s="149" t="s">
        <v>4170</v>
      </c>
      <c r="B709" s="273"/>
      <c r="C709" s="28" t="s">
        <v>1451</v>
      </c>
      <c r="D709" s="41">
        <v>200</v>
      </c>
      <c r="E709" s="131">
        <f t="shared" si="157"/>
        <v>7430</v>
      </c>
      <c r="F709" s="21">
        <f t="shared" si="165"/>
        <v>8990.2999999999993</v>
      </c>
      <c r="G709" s="21"/>
      <c r="H709" s="135">
        <f t="shared" si="168"/>
        <v>0</v>
      </c>
      <c r="I709" s="294">
        <v>45216</v>
      </c>
      <c r="J709" s="294">
        <v>45297</v>
      </c>
      <c r="K709" s="11">
        <f>0.85*PROVEEDORES!$D$22*6.07</f>
        <v>4643.55</v>
      </c>
      <c r="L709" s="11"/>
      <c r="M709" s="11">
        <f>0.47*PROVEEDORES!$J$44*5.94*2*2</f>
        <v>9882.9719999999998</v>
      </c>
      <c r="N709" s="100"/>
      <c r="O709" s="11">
        <f t="shared" si="166"/>
        <v>4643.55</v>
      </c>
      <c r="P709" s="11">
        <f t="shared" si="155"/>
        <v>4643.55</v>
      </c>
      <c r="Q709" s="11">
        <v>1.6</v>
      </c>
      <c r="R709" s="11">
        <f t="shared" si="156"/>
        <v>7429.68</v>
      </c>
      <c r="S709" s="11"/>
      <c r="T709" s="136">
        <f t="shared" si="167"/>
        <v>0</v>
      </c>
    </row>
    <row r="710" spans="1:20" ht="15.75" customHeight="1">
      <c r="A710" s="149" t="s">
        <v>4170</v>
      </c>
      <c r="B710" s="273"/>
      <c r="C710" s="28" t="s">
        <v>4163</v>
      </c>
      <c r="D710" s="41">
        <v>200</v>
      </c>
      <c r="E710" s="131">
        <f t="shared" si="157"/>
        <v>7620</v>
      </c>
      <c r="F710" s="21">
        <f t="shared" ref="F710:F735" si="169">+E710*1.21</f>
        <v>9220.1999999999989</v>
      </c>
      <c r="G710" s="21"/>
      <c r="H710" s="135">
        <f t="shared" si="168"/>
        <v>0</v>
      </c>
      <c r="I710" s="294">
        <v>45216</v>
      </c>
      <c r="J710" s="294">
        <v>45297</v>
      </c>
      <c r="K710" s="11">
        <f>0.85*PROVEEDORES!$D$22*6.22</f>
        <v>4758.3</v>
      </c>
      <c r="L710" s="11"/>
      <c r="M710" s="11">
        <f>0.47*PROVEEDORES!$J$44*6.11*2*2</f>
        <v>10165.818000000001</v>
      </c>
      <c r="N710" s="100"/>
      <c r="O710" s="11">
        <f t="shared" si="166"/>
        <v>4758.3</v>
      </c>
      <c r="P710" s="11">
        <f t="shared" si="155"/>
        <v>4758.3</v>
      </c>
      <c r="Q710" s="11">
        <v>1.6</v>
      </c>
      <c r="R710" s="11">
        <f t="shared" si="156"/>
        <v>7613.2800000000007</v>
      </c>
      <c r="S710" s="11"/>
      <c r="T710" s="136">
        <f t="shared" si="167"/>
        <v>0</v>
      </c>
    </row>
    <row r="711" spans="1:20" ht="15.75" customHeight="1">
      <c r="A711" s="149" t="s">
        <v>4170</v>
      </c>
      <c r="B711" s="273"/>
      <c r="C711" s="28" t="s">
        <v>4164</v>
      </c>
      <c r="D711" s="41">
        <v>200</v>
      </c>
      <c r="E711" s="131">
        <f t="shared" si="157"/>
        <v>7800</v>
      </c>
      <c r="F711" s="21">
        <f t="shared" si="169"/>
        <v>9438</v>
      </c>
      <c r="G711" s="21"/>
      <c r="H711" s="135">
        <f t="shared" si="168"/>
        <v>0</v>
      </c>
      <c r="I711" s="294">
        <v>45216</v>
      </c>
      <c r="J711" s="294">
        <v>45297</v>
      </c>
      <c r="K711" s="11">
        <f>0.85*PROVEEDORES!$D$22*6.37</f>
        <v>4873.05</v>
      </c>
      <c r="L711" s="11"/>
      <c r="M711" s="11">
        <f>0.47*PROVEEDORES!$J$44*6.3*2*2</f>
        <v>10481.939999999999</v>
      </c>
      <c r="N711" s="100"/>
      <c r="O711" s="11">
        <f t="shared" si="166"/>
        <v>4873.05</v>
      </c>
      <c r="P711" s="11">
        <f t="shared" si="155"/>
        <v>4873.05</v>
      </c>
      <c r="Q711" s="11">
        <v>1.6</v>
      </c>
      <c r="R711" s="11">
        <f t="shared" si="156"/>
        <v>7796.880000000001</v>
      </c>
      <c r="S711" s="11"/>
      <c r="T711" s="136">
        <f t="shared" si="167"/>
        <v>0</v>
      </c>
    </row>
    <row r="712" spans="1:20" ht="15.75" customHeight="1">
      <c r="A712" s="149" t="s">
        <v>4170</v>
      </c>
      <c r="B712" s="273"/>
      <c r="C712" s="28" t="s">
        <v>1452</v>
      </c>
      <c r="D712" s="41">
        <v>210</v>
      </c>
      <c r="E712" s="131">
        <f t="shared" si="157"/>
        <v>8310</v>
      </c>
      <c r="F712" s="21">
        <f t="shared" si="169"/>
        <v>10055.1</v>
      </c>
      <c r="G712" s="21"/>
      <c r="H712" s="135">
        <f t="shared" si="168"/>
        <v>0</v>
      </c>
      <c r="I712" s="294">
        <v>45216</v>
      </c>
      <c r="J712" s="294"/>
      <c r="K712" s="11">
        <f>0.85*PROVEEDORES!$D$22*2.95*1.15*2</f>
        <v>5190.5249999999996</v>
      </c>
      <c r="L712" s="11"/>
      <c r="M712" s="11">
        <f>0.47*PROVEEDORES!$J$44*6.47*2*2</f>
        <v>10764.786</v>
      </c>
      <c r="N712" s="100"/>
      <c r="O712" s="11">
        <f t="shared" si="166"/>
        <v>5190.5249999999996</v>
      </c>
      <c r="P712" s="11">
        <f t="shared" si="155"/>
        <v>5190.5249999999996</v>
      </c>
      <c r="Q712" s="11">
        <v>1.6</v>
      </c>
      <c r="R712" s="11">
        <f t="shared" si="156"/>
        <v>8304.84</v>
      </c>
      <c r="S712" s="11"/>
      <c r="T712" s="136">
        <f t="shared" si="167"/>
        <v>0</v>
      </c>
    </row>
    <row r="713" spans="1:20" ht="15.75" customHeight="1">
      <c r="A713" s="149" t="s">
        <v>4170</v>
      </c>
      <c r="B713" s="273"/>
      <c r="C713" s="28" t="s">
        <v>3534</v>
      </c>
      <c r="D713" s="41"/>
      <c r="E713" s="131">
        <f t="shared" si="157"/>
        <v>8110</v>
      </c>
      <c r="F713" s="21">
        <f t="shared" si="169"/>
        <v>9813.1</v>
      </c>
      <c r="G713" s="21"/>
      <c r="H713" s="135">
        <f t="shared" si="168"/>
        <v>0</v>
      </c>
      <c r="I713" s="294">
        <v>45216</v>
      </c>
      <c r="J713" s="294"/>
      <c r="K713" s="11">
        <f>0.85*PROVEEDORES!$D$22*6.62</f>
        <v>5064.3</v>
      </c>
      <c r="L713" s="11"/>
      <c r="M713" s="11">
        <f>0.47*PROVEEDORES!$J$44*6.64*2*2</f>
        <v>11047.632</v>
      </c>
      <c r="N713" s="100"/>
      <c r="O713" s="11">
        <f t="shared" si="166"/>
        <v>5064.3</v>
      </c>
      <c r="P713" s="11">
        <f t="shared" si="155"/>
        <v>5064.3</v>
      </c>
      <c r="Q713" s="11">
        <v>1.6</v>
      </c>
      <c r="R713" s="11">
        <f t="shared" si="156"/>
        <v>8102.880000000001</v>
      </c>
      <c r="S713" s="11"/>
      <c r="T713" s="136">
        <f t="shared" si="167"/>
        <v>0</v>
      </c>
    </row>
    <row r="714" spans="1:20" ht="15.75" customHeight="1">
      <c r="A714" s="149" t="s">
        <v>4170</v>
      </c>
      <c r="B714" s="273"/>
      <c r="C714" s="28" t="s">
        <v>4165</v>
      </c>
      <c r="D714" s="41">
        <v>220</v>
      </c>
      <c r="E714" s="131">
        <f t="shared" si="157"/>
        <v>8460</v>
      </c>
      <c r="F714" s="21">
        <f t="shared" si="169"/>
        <v>10236.6</v>
      </c>
      <c r="G714" s="21"/>
      <c r="H714" s="135">
        <f t="shared" si="168"/>
        <v>0</v>
      </c>
      <c r="I714" s="294">
        <v>45216</v>
      </c>
      <c r="J714" s="294">
        <v>45297</v>
      </c>
      <c r="K714" s="11">
        <f>0.85*PROVEEDORES!$D$22*6.91</f>
        <v>5286.1500000000005</v>
      </c>
      <c r="L714" s="11"/>
      <c r="M714" s="11">
        <f>0.47*PROVEEDORES!$J$44*6.99*2*2</f>
        <v>11629.962</v>
      </c>
      <c r="N714" s="100"/>
      <c r="O714" s="11">
        <f t="shared" si="166"/>
        <v>5286.1500000000005</v>
      </c>
      <c r="P714" s="11">
        <f t="shared" si="155"/>
        <v>5286.1500000000005</v>
      </c>
      <c r="Q714" s="11">
        <v>1.6</v>
      </c>
      <c r="R714" s="11">
        <f t="shared" si="156"/>
        <v>8457.840000000002</v>
      </c>
      <c r="S714" s="11"/>
      <c r="T714" s="136">
        <f t="shared" si="167"/>
        <v>0</v>
      </c>
    </row>
    <row r="715" spans="1:20" ht="15.75" customHeight="1">
      <c r="A715" s="149" t="s">
        <v>4170</v>
      </c>
      <c r="B715" s="273"/>
      <c r="C715" s="28" t="s">
        <v>4185</v>
      </c>
      <c r="D715" s="41">
        <v>220</v>
      </c>
      <c r="E715" s="131">
        <f>ROUNDUP(R715,-1)</f>
        <v>8710</v>
      </c>
      <c r="F715" s="21">
        <f>+E715*1.21</f>
        <v>10539.1</v>
      </c>
      <c r="G715" s="21"/>
      <c r="H715" s="135">
        <f>ROUNDUP(T715,-1)</f>
        <v>0</v>
      </c>
      <c r="I715" s="294">
        <v>45216</v>
      </c>
      <c r="J715" s="294"/>
      <c r="K715" s="11">
        <f>0.85*PROVEEDORES!$D$22*7.11</f>
        <v>5439.1500000000005</v>
      </c>
      <c r="L715" s="11"/>
      <c r="M715" s="11">
        <f>0.47*PROVEEDORES!$J$44*6.99*2*2</f>
        <v>11629.962</v>
      </c>
      <c r="N715" s="100"/>
      <c r="O715" s="11">
        <f>MIN(K715:M715)</f>
        <v>5439.1500000000005</v>
      </c>
      <c r="P715" s="11">
        <f t="shared" si="155"/>
        <v>5439.1500000000005</v>
      </c>
      <c r="Q715" s="11">
        <v>1.6</v>
      </c>
      <c r="R715" s="11">
        <f t="shared" si="156"/>
        <v>8702.6400000000012</v>
      </c>
      <c r="S715" s="11"/>
      <c r="T715" s="136">
        <f>+N715*Q715</f>
        <v>0</v>
      </c>
    </row>
    <row r="716" spans="1:20" ht="15.75" customHeight="1">
      <c r="A716" s="149" t="s">
        <v>4170</v>
      </c>
      <c r="B716" s="273"/>
      <c r="C716" s="28" t="s">
        <v>4166</v>
      </c>
      <c r="D716" s="41">
        <v>240</v>
      </c>
      <c r="E716" s="131">
        <f t="shared" si="157"/>
        <v>9270</v>
      </c>
      <c r="F716" s="21">
        <f t="shared" si="169"/>
        <v>11216.699999999999</v>
      </c>
      <c r="G716" s="21" t="s">
        <v>44341</v>
      </c>
      <c r="H716" s="135">
        <f t="shared" si="168"/>
        <v>0</v>
      </c>
      <c r="I716" s="294">
        <v>45216</v>
      </c>
      <c r="J716" s="294">
        <v>45297</v>
      </c>
      <c r="K716" s="11">
        <f>0.85*PROVEEDORES!$D$22*7.57</f>
        <v>5791.05</v>
      </c>
      <c r="L716" s="11"/>
      <c r="M716" s="11">
        <f>0.47*PROVEEDORES!$J$44*7.69*2*2</f>
        <v>12794.622000000001</v>
      </c>
      <c r="N716" s="100"/>
      <c r="O716" s="11">
        <f t="shared" si="166"/>
        <v>5791.05</v>
      </c>
      <c r="P716" s="11">
        <f t="shared" si="155"/>
        <v>5791.05</v>
      </c>
      <c r="Q716" s="11">
        <v>1.6</v>
      </c>
      <c r="R716" s="11">
        <f t="shared" si="156"/>
        <v>9265.68</v>
      </c>
      <c r="S716" s="11"/>
      <c r="T716" s="136">
        <f t="shared" si="167"/>
        <v>0</v>
      </c>
    </row>
    <row r="717" spans="1:20" ht="15.75" customHeight="1">
      <c r="A717" s="149" t="s">
        <v>4170</v>
      </c>
      <c r="B717" s="273"/>
      <c r="C717" s="28" t="s">
        <v>4167</v>
      </c>
      <c r="D717" s="41">
        <v>240</v>
      </c>
      <c r="E717" s="131">
        <f>ROUNDUP(R717,-1)</f>
        <v>9410</v>
      </c>
      <c r="F717" s="21">
        <f>+E717*1.21</f>
        <v>11386.1</v>
      </c>
      <c r="G717" s="21"/>
      <c r="H717" s="135">
        <f>ROUNDUP(T717,-1)</f>
        <v>0</v>
      </c>
      <c r="I717" s="294">
        <v>45216</v>
      </c>
      <c r="J717" s="294"/>
      <c r="K717" s="11">
        <f>0.85*PROVEEDORES!$D$22*7.68</f>
        <v>5875.2</v>
      </c>
      <c r="L717" s="11"/>
      <c r="M717" s="11">
        <f>0.47*PROVEEDORES!$J$44*7.86*2*2</f>
        <v>13077.468000000001</v>
      </c>
      <c r="N717" s="100"/>
      <c r="O717" s="11">
        <f>MIN(K717:M717)</f>
        <v>5875.2</v>
      </c>
      <c r="P717" s="11">
        <f t="shared" si="155"/>
        <v>5875.2</v>
      </c>
      <c r="Q717" s="11">
        <v>1.6</v>
      </c>
      <c r="R717" s="11">
        <f t="shared" si="156"/>
        <v>9400.32</v>
      </c>
      <c r="S717" s="11"/>
      <c r="T717" s="136">
        <f>+N717*Q717</f>
        <v>0</v>
      </c>
    </row>
    <row r="718" spans="1:20" ht="15.75" customHeight="1">
      <c r="A718" s="149" t="s">
        <v>4170</v>
      </c>
      <c r="B718" s="273"/>
      <c r="C718" s="28" t="s">
        <v>4232</v>
      </c>
      <c r="D718" s="41">
        <v>250</v>
      </c>
      <c r="E718" s="131">
        <f t="shared" si="157"/>
        <v>9590</v>
      </c>
      <c r="F718" s="21">
        <f t="shared" si="169"/>
        <v>11603.9</v>
      </c>
      <c r="G718" s="21"/>
      <c r="H718" s="135">
        <f t="shared" si="168"/>
        <v>0</v>
      </c>
      <c r="I718" s="294">
        <v>45216</v>
      </c>
      <c r="J718" s="294"/>
      <c r="K718" s="11">
        <f>0.85*PROVEEDORES!$D$22*7.83</f>
        <v>5989.95</v>
      </c>
      <c r="L718" s="11"/>
      <c r="M718" s="11">
        <f>0.47*PROVEEDORES!$J$44*8.22*2*2</f>
        <v>13676.436000000002</v>
      </c>
      <c r="N718" s="100"/>
      <c r="O718" s="11">
        <f t="shared" si="166"/>
        <v>5989.95</v>
      </c>
      <c r="P718" s="11">
        <f t="shared" si="155"/>
        <v>5989.95</v>
      </c>
      <c r="Q718" s="11">
        <v>1.6</v>
      </c>
      <c r="R718" s="11">
        <f t="shared" si="156"/>
        <v>9583.92</v>
      </c>
      <c r="S718" s="11"/>
      <c r="T718" s="136">
        <f t="shared" si="167"/>
        <v>0</v>
      </c>
    </row>
    <row r="719" spans="1:20" ht="15.75" customHeight="1">
      <c r="A719" s="149" t="s">
        <v>3962</v>
      </c>
      <c r="B719" s="273"/>
      <c r="C719" s="28" t="s">
        <v>3961</v>
      </c>
      <c r="D719" s="41">
        <v>250</v>
      </c>
      <c r="E719" s="131">
        <f t="shared" si="157"/>
        <v>9940</v>
      </c>
      <c r="F719" s="21">
        <f t="shared" si="169"/>
        <v>12027.4</v>
      </c>
      <c r="G719" s="21"/>
      <c r="H719" s="135">
        <f t="shared" si="168"/>
        <v>0</v>
      </c>
      <c r="I719" s="294">
        <v>45216</v>
      </c>
      <c r="J719" s="294"/>
      <c r="K719" s="11">
        <f>0.85*PROVEEDORES!$D$22*8.12</f>
        <v>6211.7999999999993</v>
      </c>
      <c r="L719" s="11"/>
      <c r="M719" s="11">
        <f>0.47*PROVEEDORES!$J$44*8.57*2*2</f>
        <v>14258.766</v>
      </c>
      <c r="N719" s="100"/>
      <c r="O719" s="11">
        <f t="shared" si="166"/>
        <v>6211.7999999999993</v>
      </c>
      <c r="P719" s="11">
        <f t="shared" si="155"/>
        <v>6211.7999999999993</v>
      </c>
      <c r="Q719" s="11">
        <v>1.6</v>
      </c>
      <c r="R719" s="11">
        <f t="shared" si="156"/>
        <v>9938.8799999999992</v>
      </c>
      <c r="S719" s="11"/>
      <c r="T719" s="136">
        <f t="shared" si="167"/>
        <v>0</v>
      </c>
    </row>
    <row r="720" spans="1:20" ht="15.75" customHeight="1">
      <c r="A720" s="149" t="s">
        <v>4170</v>
      </c>
      <c r="B720" s="273"/>
      <c r="C720" s="28" t="s">
        <v>1453</v>
      </c>
      <c r="D720" s="41">
        <v>350</v>
      </c>
      <c r="E720" s="131">
        <f t="shared" si="157"/>
        <v>13420</v>
      </c>
      <c r="F720" s="21">
        <f t="shared" si="169"/>
        <v>16238.199999999999</v>
      </c>
      <c r="G720" s="44"/>
      <c r="H720" s="135">
        <f t="shared" si="168"/>
        <v>0</v>
      </c>
      <c r="I720" s="294">
        <v>45216</v>
      </c>
      <c r="J720" s="294"/>
      <c r="K720" s="11">
        <f>0.85*PROVEEDORES!$D$22*10.96</f>
        <v>8384.4000000000015</v>
      </c>
      <c r="L720" s="11"/>
      <c r="M720" s="11">
        <f>0.47*PROVEEDORES!$J$44*12.24*2*2</f>
        <v>20364.912</v>
      </c>
      <c r="N720" s="100"/>
      <c r="O720" s="11">
        <f t="shared" si="166"/>
        <v>8384.4000000000015</v>
      </c>
      <c r="P720" s="11">
        <f t="shared" si="155"/>
        <v>8384.4000000000015</v>
      </c>
      <c r="Q720" s="11">
        <v>1.6</v>
      </c>
      <c r="R720" s="11">
        <f t="shared" si="156"/>
        <v>13415.040000000003</v>
      </c>
      <c r="S720" s="11"/>
      <c r="T720" s="136">
        <f t="shared" si="167"/>
        <v>0</v>
      </c>
    </row>
    <row r="721" spans="1:20" ht="15.75" customHeight="1">
      <c r="A721" s="149" t="s">
        <v>4170</v>
      </c>
      <c r="B721" s="273"/>
      <c r="C721" s="28" t="s">
        <v>3535</v>
      </c>
      <c r="D721" s="41">
        <v>350</v>
      </c>
      <c r="E721" s="131">
        <f t="shared" si="157"/>
        <v>14330</v>
      </c>
      <c r="F721" s="21">
        <f t="shared" si="169"/>
        <v>17339.3</v>
      </c>
      <c r="G721" s="21"/>
      <c r="H721" s="135">
        <f t="shared" si="168"/>
        <v>0</v>
      </c>
      <c r="I721" s="294">
        <v>45216</v>
      </c>
      <c r="J721" s="294"/>
      <c r="K721" s="11">
        <f>0.85*PROVEEDORES!$D$22*11.7</f>
        <v>8950.5</v>
      </c>
      <c r="L721" s="11"/>
      <c r="M721" s="11">
        <f>0.47*PROVEEDORES!$J$44*12.93*2*2</f>
        <v>21512.933999999997</v>
      </c>
      <c r="N721" s="100"/>
      <c r="O721" s="11">
        <f t="shared" si="166"/>
        <v>8950.5</v>
      </c>
      <c r="P721" s="11">
        <f t="shared" si="155"/>
        <v>8950.5</v>
      </c>
      <c r="Q721" s="11">
        <v>1.6</v>
      </c>
      <c r="R721" s="11">
        <f t="shared" si="156"/>
        <v>14320.800000000001</v>
      </c>
      <c r="S721" s="11"/>
      <c r="T721" s="136">
        <f t="shared" si="167"/>
        <v>0</v>
      </c>
    </row>
    <row r="722" spans="1:20" ht="15.75" customHeight="1">
      <c r="A722" s="149" t="s">
        <v>4170</v>
      </c>
      <c r="B722" s="273"/>
      <c r="C722" s="28" t="s">
        <v>1454</v>
      </c>
      <c r="D722" s="71">
        <v>280</v>
      </c>
      <c r="E722" s="131">
        <f t="shared" si="157"/>
        <v>10970</v>
      </c>
      <c r="F722" s="21">
        <f t="shared" si="169"/>
        <v>13273.699999999999</v>
      </c>
      <c r="G722" s="21"/>
      <c r="H722" s="135">
        <f t="shared" si="168"/>
        <v>0</v>
      </c>
      <c r="I722" s="294">
        <v>45216</v>
      </c>
      <c r="J722" s="294"/>
      <c r="K722" s="11">
        <f>0.85*PROVEEDORES!$D$22*8.96</f>
        <v>6854.4000000000005</v>
      </c>
      <c r="L722" s="11"/>
      <c r="M722" s="11">
        <f>0.47*PROVEEDORES!$J$44*9.24*2*2</f>
        <v>15373.512000000001</v>
      </c>
      <c r="N722" s="100"/>
      <c r="O722" s="11">
        <f t="shared" si="166"/>
        <v>6854.4000000000005</v>
      </c>
      <c r="P722" s="11">
        <f t="shared" si="155"/>
        <v>6854.4000000000005</v>
      </c>
      <c r="Q722" s="11">
        <v>1.6</v>
      </c>
      <c r="R722" s="11">
        <f t="shared" si="156"/>
        <v>10967.04</v>
      </c>
      <c r="S722" s="11"/>
      <c r="T722" s="136">
        <f t="shared" si="167"/>
        <v>0</v>
      </c>
    </row>
    <row r="723" spans="1:20" ht="15.75" customHeight="1">
      <c r="A723" s="149" t="s">
        <v>4170</v>
      </c>
      <c r="B723" s="273"/>
      <c r="C723" s="28" t="s">
        <v>4168</v>
      </c>
      <c r="D723" s="71">
        <v>320</v>
      </c>
      <c r="E723" s="131">
        <f t="shared" si="157"/>
        <v>12540</v>
      </c>
      <c r="F723" s="21">
        <f t="shared" si="169"/>
        <v>15173.4</v>
      </c>
      <c r="G723" s="21"/>
      <c r="H723" s="135">
        <f t="shared" si="168"/>
        <v>0</v>
      </c>
      <c r="I723" s="294">
        <v>45216</v>
      </c>
      <c r="J723" s="294"/>
      <c r="K723" s="11">
        <f>0.85*PROVEEDORES!$D$22*10.24</f>
        <v>7833.6</v>
      </c>
      <c r="L723" s="11"/>
      <c r="M723" s="11">
        <f>0.47*PROVEEDORES!$J$44*10.94*2*2</f>
        <v>18201.971999999998</v>
      </c>
      <c r="N723" s="100"/>
      <c r="O723" s="11">
        <f t="shared" si="166"/>
        <v>7833.6</v>
      </c>
      <c r="P723" s="11">
        <f t="shared" si="155"/>
        <v>7833.6</v>
      </c>
      <c r="Q723" s="11">
        <v>1.6</v>
      </c>
      <c r="R723" s="11">
        <f t="shared" si="156"/>
        <v>12533.760000000002</v>
      </c>
      <c r="S723" s="11"/>
      <c r="T723" s="136">
        <f t="shared" si="167"/>
        <v>0</v>
      </c>
    </row>
    <row r="724" spans="1:20" ht="15.75" customHeight="1">
      <c r="A724" s="149" t="s">
        <v>4170</v>
      </c>
      <c r="B724" s="273"/>
      <c r="C724" s="28" t="s">
        <v>4169</v>
      </c>
      <c r="D724" s="71">
        <v>450</v>
      </c>
      <c r="E724" s="131">
        <f t="shared" si="157"/>
        <v>17470</v>
      </c>
      <c r="F724" s="21">
        <f t="shared" si="169"/>
        <v>21138.7</v>
      </c>
      <c r="G724" s="21"/>
      <c r="H724" s="135">
        <f t="shared" si="168"/>
        <v>0</v>
      </c>
      <c r="I724" s="294">
        <v>45216</v>
      </c>
      <c r="J724" s="294"/>
      <c r="K724" s="11">
        <f>0.85*PROVEEDORES!$D$22*14.27</f>
        <v>10916.55</v>
      </c>
      <c r="L724" s="11"/>
      <c r="M724" s="11">
        <f>0.47*PROVEEDORES!$J$44*16.04*2*2</f>
        <v>26687.351999999999</v>
      </c>
      <c r="N724" s="100"/>
      <c r="O724" s="11">
        <f t="shared" si="166"/>
        <v>10916.55</v>
      </c>
      <c r="P724" s="11">
        <f t="shared" si="155"/>
        <v>10916.55</v>
      </c>
      <c r="Q724" s="11">
        <v>1.6</v>
      </c>
      <c r="R724" s="11">
        <f t="shared" si="156"/>
        <v>17466.48</v>
      </c>
      <c r="S724" s="11"/>
      <c r="T724" s="136">
        <f t="shared" si="167"/>
        <v>0</v>
      </c>
    </row>
    <row r="725" spans="1:20" ht="15.75" customHeight="1">
      <c r="A725" s="149" t="s">
        <v>4170</v>
      </c>
      <c r="B725" s="273"/>
      <c r="C725" s="28" t="s">
        <v>2239</v>
      </c>
      <c r="D725" s="71">
        <v>570</v>
      </c>
      <c r="E725" s="131">
        <f t="shared" si="157"/>
        <v>22020</v>
      </c>
      <c r="F725" s="21">
        <f t="shared" si="169"/>
        <v>26644.2</v>
      </c>
      <c r="G725" s="21"/>
      <c r="H725" s="135">
        <f t="shared" si="168"/>
        <v>0</v>
      </c>
      <c r="I725" s="294">
        <v>45216</v>
      </c>
      <c r="J725" s="294"/>
      <c r="K725" s="11">
        <f>0.85*PROVEEDORES!$D$22*17.99</f>
        <v>13762.349999999999</v>
      </c>
      <c r="L725" s="11"/>
      <c r="M725" s="11">
        <f>0.47*PROVEEDORES!$J$44*20.18*2*2</f>
        <v>33575.483999999997</v>
      </c>
      <c r="N725" s="100"/>
      <c r="O725" s="11">
        <f t="shared" si="166"/>
        <v>13762.349999999999</v>
      </c>
      <c r="P725" s="11">
        <f t="shared" si="155"/>
        <v>13762.349999999999</v>
      </c>
      <c r="Q725" s="11">
        <v>1.6</v>
      </c>
      <c r="R725" s="11">
        <f t="shared" si="156"/>
        <v>22019.759999999998</v>
      </c>
      <c r="S725" s="11"/>
      <c r="T725" s="136">
        <f t="shared" si="167"/>
        <v>0</v>
      </c>
    </row>
    <row r="726" spans="1:20" ht="15.75" customHeight="1">
      <c r="A726" s="149" t="s">
        <v>4170</v>
      </c>
      <c r="B726" s="273"/>
      <c r="C726" s="28" t="s">
        <v>3459</v>
      </c>
      <c r="D726" s="71">
        <v>570</v>
      </c>
      <c r="E726" s="131">
        <f t="shared" si="157"/>
        <v>22560</v>
      </c>
      <c r="F726" s="21">
        <f t="shared" si="169"/>
        <v>27297.599999999999</v>
      </c>
      <c r="G726" s="21"/>
      <c r="H726" s="135">
        <f t="shared" si="168"/>
        <v>0</v>
      </c>
      <c r="I726" s="294">
        <v>45216</v>
      </c>
      <c r="J726" s="294"/>
      <c r="K726" s="11">
        <f>0.85*PROVEEDORES!$D$22*18.43</f>
        <v>14098.949999999999</v>
      </c>
      <c r="L726" s="11"/>
      <c r="M726" s="11">
        <f>0.47*PROVEEDORES!$J$44*20.66*2*2</f>
        <v>34374.108</v>
      </c>
      <c r="N726" s="100"/>
      <c r="O726" s="11">
        <f t="shared" si="166"/>
        <v>14098.949999999999</v>
      </c>
      <c r="P726" s="11">
        <f t="shared" si="155"/>
        <v>14098.949999999999</v>
      </c>
      <c r="Q726" s="11">
        <v>1.6</v>
      </c>
      <c r="R726" s="11">
        <f t="shared" si="156"/>
        <v>22558.32</v>
      </c>
      <c r="S726" s="11"/>
      <c r="T726" s="136">
        <f t="shared" si="167"/>
        <v>0</v>
      </c>
    </row>
    <row r="727" spans="1:20" ht="15.75" customHeight="1">
      <c r="A727" s="149" t="s">
        <v>4170</v>
      </c>
      <c r="B727" s="273"/>
      <c r="C727" s="28" t="s">
        <v>1455</v>
      </c>
      <c r="D727" s="41">
        <v>710</v>
      </c>
      <c r="E727" s="131">
        <f>ROUNDUP(R727,-1)</f>
        <v>27590</v>
      </c>
      <c r="F727" s="21">
        <f>+E727*1.21</f>
        <v>33383.9</v>
      </c>
      <c r="G727" s="21"/>
      <c r="H727" s="135">
        <f>ROUNDUP(T727,-1)</f>
        <v>0</v>
      </c>
      <c r="I727" s="294">
        <v>45216</v>
      </c>
      <c r="J727" s="294"/>
      <c r="K727" s="11">
        <f>0.85*PROVEEDORES!$D$22*22.54</f>
        <v>17243.099999999999</v>
      </c>
      <c r="L727" s="11"/>
      <c r="M727" s="11">
        <f>0.47*PROVEEDORES!$J$44*25.28*2*2</f>
        <v>42060.864000000001</v>
      </c>
      <c r="N727" s="100"/>
      <c r="O727" s="11">
        <f>MIN(K727:M727)</f>
        <v>17243.099999999999</v>
      </c>
      <c r="P727" s="11">
        <f t="shared" si="155"/>
        <v>17243.099999999999</v>
      </c>
      <c r="Q727" s="11">
        <v>1.6</v>
      </c>
      <c r="R727" s="11">
        <f t="shared" si="156"/>
        <v>27588.959999999999</v>
      </c>
      <c r="S727" s="11"/>
      <c r="T727" s="136">
        <f>+N727*Q727</f>
        <v>0</v>
      </c>
    </row>
    <row r="728" spans="1:20" ht="15.75" customHeight="1">
      <c r="A728" s="149" t="s">
        <v>4170</v>
      </c>
      <c r="B728" s="273"/>
      <c r="C728" s="28" t="s">
        <v>2240</v>
      </c>
      <c r="D728" s="71">
        <v>930</v>
      </c>
      <c r="E728" s="131">
        <f>ROUNDUP(R728,-1)</f>
        <v>36090</v>
      </c>
      <c r="F728" s="21">
        <f>+E728*1.21</f>
        <v>43668.9</v>
      </c>
      <c r="G728" s="21"/>
      <c r="H728" s="135">
        <f>ROUNDUP(T728,-1)</f>
        <v>0</v>
      </c>
      <c r="I728" s="294">
        <v>45216</v>
      </c>
      <c r="J728" s="294"/>
      <c r="K728" s="11">
        <f>0.85*PROVEEDORES!$D$22*29.48</f>
        <v>22552.2</v>
      </c>
      <c r="L728" s="11"/>
      <c r="M728" s="11">
        <f>0.47*PROVEEDORES!$J$44*33.06*2*2</f>
        <v>55005.228000000003</v>
      </c>
      <c r="N728" s="100"/>
      <c r="O728" s="11">
        <f>MIN(K728:M728)</f>
        <v>22552.2</v>
      </c>
      <c r="P728" s="11">
        <f t="shared" si="155"/>
        <v>22552.2</v>
      </c>
      <c r="Q728" s="11">
        <v>1.6</v>
      </c>
      <c r="R728" s="11">
        <f t="shared" si="156"/>
        <v>36083.520000000004</v>
      </c>
      <c r="S728" s="11"/>
      <c r="T728" s="136">
        <f>+N728*Q728</f>
        <v>0</v>
      </c>
    </row>
    <row r="729" spans="1:20" ht="15.75" customHeight="1">
      <c r="A729" s="149" t="s">
        <v>4170</v>
      </c>
      <c r="B729" s="273"/>
      <c r="C729" s="28" t="s">
        <v>2241</v>
      </c>
      <c r="D729" s="71">
        <v>620</v>
      </c>
      <c r="E729" s="131">
        <f>ROUNDUP(R729,-1)</f>
        <v>24010</v>
      </c>
      <c r="F729" s="21">
        <f>+E729*1.21</f>
        <v>29052.1</v>
      </c>
      <c r="G729" s="21">
        <f>541440*0.6*1.4</f>
        <v>454809.59999999998</v>
      </c>
      <c r="H729" s="135">
        <f>ROUNDUP(T729,-1)</f>
        <v>0</v>
      </c>
      <c r="I729" s="294">
        <v>45216</v>
      </c>
      <c r="J729" s="294"/>
      <c r="K729" s="11">
        <f>0.85*PROVEEDORES!$D$22*19.61</f>
        <v>15001.65</v>
      </c>
      <c r="L729" s="11"/>
      <c r="M729" s="11">
        <f>0.47*PROVEEDORES!$J$44*28.36*2*2</f>
        <v>47185.367999999995</v>
      </c>
      <c r="N729" s="100"/>
      <c r="O729" s="11">
        <f>MIN(K729:M729)</f>
        <v>15001.65</v>
      </c>
      <c r="P729" s="11">
        <f t="shared" ref="P729:P791" si="170">+O729</f>
        <v>15001.65</v>
      </c>
      <c r="Q729" s="11">
        <v>1.6</v>
      </c>
      <c r="R729" s="11">
        <f t="shared" ref="R729:R791" si="171">+P729*Q729</f>
        <v>24002.639999999999</v>
      </c>
      <c r="S729" s="11"/>
      <c r="T729" s="136">
        <f>+N729*Q729</f>
        <v>0</v>
      </c>
    </row>
    <row r="730" spans="1:20" ht="15.75" customHeight="1">
      <c r="A730" s="149" t="s">
        <v>4170</v>
      </c>
      <c r="B730" s="273"/>
      <c r="C730" s="28" t="s">
        <v>1456</v>
      </c>
      <c r="D730" s="71">
        <v>670</v>
      </c>
      <c r="E730" s="131">
        <f>ROUNDUP(R730,-1)</f>
        <v>25620</v>
      </c>
      <c r="F730" s="21">
        <f>+E730*1.21</f>
        <v>31000.2</v>
      </c>
      <c r="G730" s="21"/>
      <c r="H730" s="135">
        <f>ROUNDUP(T730,-1)</f>
        <v>0</v>
      </c>
      <c r="I730" s="294">
        <v>45216</v>
      </c>
      <c r="J730" s="294"/>
      <c r="K730" s="11">
        <f>0.85*PROVEEDORES!$D$22*20.93</f>
        <v>16011.449999999999</v>
      </c>
      <c r="L730" s="11"/>
      <c r="M730" s="11">
        <f>0.47*PROVEEDORES!$J$44*29.98*2*2</f>
        <v>49880.724000000002</v>
      </c>
      <c r="N730" s="100"/>
      <c r="O730" s="11">
        <f>MIN(K730:M730)</f>
        <v>16011.449999999999</v>
      </c>
      <c r="P730" s="11">
        <f t="shared" si="170"/>
        <v>16011.449999999999</v>
      </c>
      <c r="Q730" s="11">
        <v>1.6</v>
      </c>
      <c r="R730" s="11">
        <f t="shared" si="171"/>
        <v>25618.32</v>
      </c>
      <c r="S730" s="11"/>
      <c r="T730" s="136">
        <f>+N730*Q730</f>
        <v>0</v>
      </c>
    </row>
    <row r="731" spans="1:20" ht="15.75" customHeight="1">
      <c r="A731" s="149" t="s">
        <v>4170</v>
      </c>
      <c r="B731" s="273"/>
      <c r="C731" s="28" t="s">
        <v>3475</v>
      </c>
      <c r="D731" s="71"/>
      <c r="E731" s="131">
        <f>ROUNDUP(R731,-1)</f>
        <v>32880</v>
      </c>
      <c r="F731" s="21">
        <f>+E731*1.21</f>
        <v>39784.799999999996</v>
      </c>
      <c r="G731" s="21"/>
      <c r="H731" s="135">
        <f>ROUNDUP(T731,-1)</f>
        <v>0</v>
      </c>
      <c r="I731" s="294">
        <v>45216</v>
      </c>
      <c r="J731" s="294"/>
      <c r="K731" s="11">
        <f>0.85*PROVEEDORES!$D$22*26.86</f>
        <v>20547.899999999998</v>
      </c>
      <c r="L731" s="11"/>
      <c r="M731" s="11">
        <f>0.47*PROVEEDORES!$J$44*38.5*2*2</f>
        <v>64056.299999999996</v>
      </c>
      <c r="N731" s="100"/>
      <c r="O731" s="11">
        <f>MIN(K731:M731)</f>
        <v>20547.899999999998</v>
      </c>
      <c r="P731" s="11">
        <f t="shared" si="170"/>
        <v>20547.899999999998</v>
      </c>
      <c r="Q731" s="11">
        <v>1.6</v>
      </c>
      <c r="R731" s="11">
        <f t="shared" si="171"/>
        <v>32876.639999999999</v>
      </c>
      <c r="S731" s="11"/>
      <c r="T731" s="136">
        <f>+N731*Q731</f>
        <v>0</v>
      </c>
    </row>
    <row r="732" spans="1:20" ht="15.75" customHeight="1">
      <c r="A732" s="149" t="s">
        <v>4170</v>
      </c>
      <c r="B732" s="273"/>
      <c r="C732" s="28" t="s">
        <v>2111</v>
      </c>
      <c r="D732" s="71">
        <v>910</v>
      </c>
      <c r="E732" s="131">
        <f t="shared" si="157"/>
        <v>35510</v>
      </c>
      <c r="F732" s="21">
        <f t="shared" si="169"/>
        <v>42967.1</v>
      </c>
      <c r="G732" s="21"/>
      <c r="H732" s="135">
        <f t="shared" si="168"/>
        <v>0</v>
      </c>
      <c r="I732" s="294">
        <v>45216</v>
      </c>
      <c r="J732" s="294"/>
      <c r="K732" s="11">
        <f>0.85*PROVEEDORES!$D$22*29.01</f>
        <v>22192.65</v>
      </c>
      <c r="L732" s="11"/>
      <c r="M732" s="11">
        <f>0.47*PROVEEDORES!$J$44*41.34*2*2</f>
        <v>68781.491999999998</v>
      </c>
      <c r="N732" s="100"/>
      <c r="O732" s="11">
        <f t="shared" si="166"/>
        <v>22192.65</v>
      </c>
      <c r="P732" s="11">
        <f t="shared" si="170"/>
        <v>22192.65</v>
      </c>
      <c r="Q732" s="11">
        <v>1.6</v>
      </c>
      <c r="R732" s="11">
        <f t="shared" si="171"/>
        <v>35508.240000000005</v>
      </c>
      <c r="S732" s="11"/>
      <c r="T732" s="136">
        <f t="shared" si="167"/>
        <v>0</v>
      </c>
    </row>
    <row r="733" spans="1:20" ht="15.75" customHeight="1">
      <c r="A733" s="149" t="s">
        <v>4170</v>
      </c>
      <c r="B733" s="273"/>
      <c r="C733" s="28" t="s">
        <v>2112</v>
      </c>
      <c r="D733" s="71">
        <v>930</v>
      </c>
      <c r="E733" s="131">
        <f t="shared" si="157"/>
        <v>36170</v>
      </c>
      <c r="F733" s="21">
        <f t="shared" si="169"/>
        <v>43765.7</v>
      </c>
      <c r="G733" s="21"/>
      <c r="H733" s="135">
        <f t="shared" si="168"/>
        <v>0</v>
      </c>
      <c r="I733" s="294">
        <v>45216</v>
      </c>
      <c r="J733" s="294"/>
      <c r="K733" s="11">
        <f>0.85*PROVEEDORES!$D$22*29.55</f>
        <v>22605.75</v>
      </c>
      <c r="L733" s="11"/>
      <c r="M733" s="11">
        <f>0.47*PROVEEDORES!$J$44*42.15*2*2</f>
        <v>70129.17</v>
      </c>
      <c r="N733" s="100"/>
      <c r="O733" s="11">
        <f t="shared" si="166"/>
        <v>22605.75</v>
      </c>
      <c r="P733" s="11">
        <f t="shared" si="170"/>
        <v>22605.75</v>
      </c>
      <c r="Q733" s="11">
        <v>1.6</v>
      </c>
      <c r="R733" s="11">
        <f t="shared" si="171"/>
        <v>36169.200000000004</v>
      </c>
      <c r="S733" s="11"/>
      <c r="T733" s="136">
        <f t="shared" si="167"/>
        <v>0</v>
      </c>
    </row>
    <row r="734" spans="1:20" ht="15.75" customHeight="1">
      <c r="A734" s="149" t="s">
        <v>4170</v>
      </c>
      <c r="B734" s="273"/>
      <c r="C734" s="28" t="s">
        <v>2113</v>
      </c>
      <c r="D734" s="71">
        <v>950</v>
      </c>
      <c r="E734" s="131">
        <f t="shared" si="157"/>
        <v>36820</v>
      </c>
      <c r="F734" s="21">
        <f t="shared" si="169"/>
        <v>44552.2</v>
      </c>
      <c r="G734" s="21"/>
      <c r="H734" s="135">
        <f t="shared" si="168"/>
        <v>0</v>
      </c>
      <c r="I734" s="294">
        <v>45216</v>
      </c>
      <c r="J734" s="294"/>
      <c r="K734" s="11">
        <f>0.85*PROVEEDORES!$D$22*30.08</f>
        <v>23011.199999999997</v>
      </c>
      <c r="L734" s="11"/>
      <c r="M734" s="11">
        <f>0.47*PROVEEDORES!$J$44*42.96*2*2</f>
        <v>71476.847999999998</v>
      </c>
      <c r="N734" s="100"/>
      <c r="O734" s="11">
        <f t="shared" si="166"/>
        <v>23011.199999999997</v>
      </c>
      <c r="P734" s="11">
        <f t="shared" si="170"/>
        <v>23011.199999999997</v>
      </c>
      <c r="Q734" s="11">
        <v>1.6</v>
      </c>
      <c r="R734" s="11">
        <f t="shared" si="171"/>
        <v>36817.919999999998</v>
      </c>
      <c r="S734" s="11"/>
      <c r="T734" s="136">
        <f t="shared" si="167"/>
        <v>0</v>
      </c>
    </row>
    <row r="735" spans="1:20" ht="15.75" customHeight="1">
      <c r="A735" s="149" t="s">
        <v>4170</v>
      </c>
      <c r="B735" s="273"/>
      <c r="C735" s="28" t="s">
        <v>2621</v>
      </c>
      <c r="D735" s="71">
        <v>950</v>
      </c>
      <c r="E735" s="131">
        <f t="shared" si="157"/>
        <v>38140</v>
      </c>
      <c r="F735" s="21">
        <f t="shared" si="169"/>
        <v>46149.4</v>
      </c>
      <c r="G735" s="21"/>
      <c r="H735" s="135">
        <f t="shared" si="168"/>
        <v>0</v>
      </c>
      <c r="I735" s="294">
        <v>45216</v>
      </c>
      <c r="J735" s="294"/>
      <c r="K735" s="11">
        <f>0.85*PROVEEDORES!$D$22*31.16</f>
        <v>23837.4</v>
      </c>
      <c r="L735" s="11"/>
      <c r="M735" s="11">
        <f>0.47*PROVEEDORES!$J$44*44.58*2*2</f>
        <v>74172.203999999998</v>
      </c>
      <c r="N735" s="100"/>
      <c r="O735" s="11">
        <f t="shared" si="166"/>
        <v>23837.4</v>
      </c>
      <c r="P735" s="11">
        <f t="shared" si="170"/>
        <v>23837.4</v>
      </c>
      <c r="Q735" s="11">
        <v>1.6</v>
      </c>
      <c r="R735" s="11">
        <f t="shared" si="171"/>
        <v>38139.840000000004</v>
      </c>
      <c r="S735" s="11"/>
      <c r="T735" s="136">
        <f t="shared" si="167"/>
        <v>0</v>
      </c>
    </row>
    <row r="736" spans="1:20" ht="15.75" customHeight="1">
      <c r="A736" s="149">
        <v>39</v>
      </c>
      <c r="B736" s="273"/>
      <c r="C736" s="28" t="s">
        <v>1458</v>
      </c>
      <c r="D736" s="71">
        <v>17020</v>
      </c>
      <c r="E736" s="131">
        <f t="shared" ref="E736:E765" si="172">ROUNDUP(R736,-1)</f>
        <v>587280</v>
      </c>
      <c r="F736" s="21" t="s">
        <v>1248</v>
      </c>
      <c r="G736" s="21">
        <f>+E736*1.105</f>
        <v>648944.4</v>
      </c>
      <c r="H736" s="135">
        <f t="shared" ref="H736:H799" si="173">ROUNDUP(T736,-1)</f>
        <v>0</v>
      </c>
      <c r="I736" s="294">
        <v>45350</v>
      </c>
      <c r="J736" s="294"/>
      <c r="K736" s="11">
        <f>0.9*0.9*517880</f>
        <v>419482.80000000005</v>
      </c>
      <c r="L736" s="52"/>
      <c r="M736" s="11"/>
      <c r="N736" s="100"/>
      <c r="O736" s="11">
        <f t="shared" ref="O736:O787" si="174">MIN(K736:M736)</f>
        <v>419482.80000000005</v>
      </c>
      <c r="P736" s="11">
        <f t="shared" si="170"/>
        <v>419482.80000000005</v>
      </c>
      <c r="Q736" s="11">
        <v>1.4</v>
      </c>
      <c r="R736" s="11">
        <f t="shared" si="171"/>
        <v>587275.92000000004</v>
      </c>
      <c r="S736" s="11"/>
      <c r="T736" s="136">
        <f t="shared" ref="T736:T797" si="175">+N736*Q736</f>
        <v>0</v>
      </c>
    </row>
    <row r="737" spans="1:20" ht="15.75" customHeight="1">
      <c r="A737" s="149">
        <v>39</v>
      </c>
      <c r="B737" s="273"/>
      <c r="C737" s="28" t="s">
        <v>1459</v>
      </c>
      <c r="D737" s="71">
        <v>27040</v>
      </c>
      <c r="E737" s="131">
        <f t="shared" si="172"/>
        <v>933060</v>
      </c>
      <c r="F737" s="21" t="s">
        <v>1248</v>
      </c>
      <c r="G737" s="21">
        <f>+E737*1.105</f>
        <v>1031031.2999999999</v>
      </c>
      <c r="H737" s="135">
        <f t="shared" si="173"/>
        <v>0</v>
      </c>
      <c r="I737" s="294">
        <v>45350</v>
      </c>
      <c r="J737" s="294"/>
      <c r="K737" s="11">
        <f>0.9*0.9*822800</f>
        <v>666468</v>
      </c>
      <c r="L737" s="11"/>
      <c r="M737" s="11"/>
      <c r="N737" s="100"/>
      <c r="O737" s="11">
        <f t="shared" si="174"/>
        <v>666468</v>
      </c>
      <c r="P737" s="11">
        <f t="shared" si="170"/>
        <v>666468</v>
      </c>
      <c r="Q737" s="11">
        <v>1.4</v>
      </c>
      <c r="R737" s="11">
        <f t="shared" si="171"/>
        <v>933055.2</v>
      </c>
      <c r="S737" s="11"/>
      <c r="T737" s="136">
        <f t="shared" si="175"/>
        <v>0</v>
      </c>
    </row>
    <row r="738" spans="1:20" ht="15.75" customHeight="1">
      <c r="A738" s="149">
        <v>39</v>
      </c>
      <c r="B738" s="273"/>
      <c r="C738" s="28" t="s">
        <v>1460</v>
      </c>
      <c r="D738" s="71">
        <v>35700</v>
      </c>
      <c r="E738" s="131">
        <f t="shared" si="172"/>
        <v>1232190</v>
      </c>
      <c r="F738" s="21" t="s">
        <v>1248</v>
      </c>
      <c r="G738" s="21">
        <f>+E738*1.105</f>
        <v>1361569.95</v>
      </c>
      <c r="H738" s="135">
        <f t="shared" si="173"/>
        <v>0</v>
      </c>
      <c r="I738" s="294">
        <v>45350</v>
      </c>
      <c r="J738" s="294"/>
      <c r="K738" s="11">
        <f>0.9*0.9*1086580</f>
        <v>880129.8</v>
      </c>
      <c r="L738" s="11"/>
      <c r="M738" s="11"/>
      <c r="N738" s="100"/>
      <c r="O738" s="11">
        <f t="shared" si="174"/>
        <v>880129.8</v>
      </c>
      <c r="P738" s="11">
        <f t="shared" si="170"/>
        <v>880129.8</v>
      </c>
      <c r="Q738" s="11">
        <v>1.4</v>
      </c>
      <c r="R738" s="11">
        <f t="shared" si="171"/>
        <v>1232181.72</v>
      </c>
      <c r="S738" s="11"/>
      <c r="T738" s="136">
        <f t="shared" si="175"/>
        <v>0</v>
      </c>
    </row>
    <row r="739" spans="1:20" ht="15.75" customHeight="1">
      <c r="A739" s="149">
        <v>39</v>
      </c>
      <c r="B739" s="273"/>
      <c r="C739" s="28" t="s">
        <v>1461</v>
      </c>
      <c r="D739" s="71">
        <v>48590</v>
      </c>
      <c r="E739" s="131">
        <f t="shared" si="172"/>
        <v>1676760</v>
      </c>
      <c r="F739" s="21" t="s">
        <v>1248</v>
      </c>
      <c r="G739" s="21">
        <f>+E739*1.105</f>
        <v>1852819.8</v>
      </c>
      <c r="H739" s="135">
        <f t="shared" si="173"/>
        <v>0</v>
      </c>
      <c r="I739" s="294">
        <v>45350</v>
      </c>
      <c r="J739" s="294"/>
      <c r="K739" s="11">
        <f>0.9*0.9*1478620</f>
        <v>1197682.2000000002</v>
      </c>
      <c r="L739" s="11"/>
      <c r="M739" s="11"/>
      <c r="N739" s="54"/>
      <c r="O739" s="11">
        <f t="shared" si="174"/>
        <v>1197682.2000000002</v>
      </c>
      <c r="P739" s="11">
        <f t="shared" si="170"/>
        <v>1197682.2000000002</v>
      </c>
      <c r="Q739" s="11">
        <v>1.4</v>
      </c>
      <c r="R739" s="11">
        <f t="shared" si="171"/>
        <v>1676755.08</v>
      </c>
      <c r="S739" s="11"/>
      <c r="T739" s="136">
        <f t="shared" si="175"/>
        <v>0</v>
      </c>
    </row>
    <row r="740" spans="1:20" ht="15.75" customHeight="1">
      <c r="A740" s="149">
        <v>12</v>
      </c>
      <c r="B740" s="273"/>
      <c r="C740" s="28" t="s">
        <v>1457</v>
      </c>
      <c r="D740" s="71">
        <v>290</v>
      </c>
      <c r="E740" s="131">
        <f t="shared" si="172"/>
        <v>0</v>
      </c>
      <c r="F740" s="21">
        <f>+E740*1.21</f>
        <v>0</v>
      </c>
      <c r="G740" s="21"/>
      <c r="H740" s="135">
        <f t="shared" si="173"/>
        <v>0</v>
      </c>
      <c r="I740" s="294">
        <v>44774</v>
      </c>
      <c r="J740" s="294"/>
      <c r="K740" s="11">
        <v>980</v>
      </c>
      <c r="L740" s="11"/>
      <c r="M740" s="11"/>
      <c r="N740" s="100"/>
      <c r="O740" s="11">
        <f t="shared" si="174"/>
        <v>980</v>
      </c>
      <c r="P740" s="11">
        <f t="shared" si="170"/>
        <v>980</v>
      </c>
      <c r="Q740" s="11"/>
      <c r="R740" s="11">
        <f t="shared" si="171"/>
        <v>0</v>
      </c>
      <c r="S740" s="11"/>
      <c r="T740" s="136">
        <f t="shared" si="175"/>
        <v>0</v>
      </c>
    </row>
    <row r="741" spans="1:20" ht="15.75" customHeight="1">
      <c r="A741" s="149" t="s">
        <v>2404</v>
      </c>
      <c r="B741" s="273">
        <f>ROUNDUP(E741*1.06,-1)</f>
        <v>56930</v>
      </c>
      <c r="C741" s="28" t="s">
        <v>2129</v>
      </c>
      <c r="D741" s="71">
        <v>3160</v>
      </c>
      <c r="E741" s="131">
        <f t="shared" si="172"/>
        <v>53700</v>
      </c>
      <c r="F741" s="21" t="s">
        <v>1248</v>
      </c>
      <c r="G741" s="21">
        <f t="shared" ref="G741:G774" si="176">+E741*1.105</f>
        <v>59338.5</v>
      </c>
      <c r="H741" s="135">
        <f t="shared" si="173"/>
        <v>46550</v>
      </c>
      <c r="I741" s="294">
        <v>45138</v>
      </c>
      <c r="J741" s="294">
        <v>45274</v>
      </c>
      <c r="K741" s="11"/>
      <c r="L741" s="11">
        <f>+PROVEEDORES!$D$32*37.88</f>
        <v>39774</v>
      </c>
      <c r="M741" s="54"/>
      <c r="N741" s="54">
        <v>34475</v>
      </c>
      <c r="O741" s="11">
        <f t="shared" si="174"/>
        <v>39774</v>
      </c>
      <c r="P741" s="11">
        <f t="shared" si="170"/>
        <v>39774</v>
      </c>
      <c r="Q741" s="11">
        <v>1.35</v>
      </c>
      <c r="R741" s="11">
        <f t="shared" si="171"/>
        <v>53694.9</v>
      </c>
      <c r="S741" s="11"/>
      <c r="T741" s="136">
        <f t="shared" si="175"/>
        <v>46541.25</v>
      </c>
    </row>
    <row r="742" spans="1:20" ht="15.75" customHeight="1">
      <c r="A742" s="149" t="s">
        <v>2404</v>
      </c>
      <c r="B742" s="273">
        <f t="shared" ref="B742:B779" si="177">ROUNDUP(E742*1.06,-1)</f>
        <v>0</v>
      </c>
      <c r="C742" s="28" t="s">
        <v>2130</v>
      </c>
      <c r="D742" s="71">
        <v>17690</v>
      </c>
      <c r="E742" s="131">
        <f t="shared" si="172"/>
        <v>0</v>
      </c>
      <c r="F742" s="21" t="s">
        <v>1248</v>
      </c>
      <c r="G742" s="21">
        <f t="shared" si="176"/>
        <v>0</v>
      </c>
      <c r="H742" s="135">
        <f t="shared" si="173"/>
        <v>0</v>
      </c>
      <c r="I742" s="294">
        <v>44319</v>
      </c>
      <c r="J742" s="294">
        <v>44379</v>
      </c>
      <c r="K742" s="11"/>
      <c r="L742" s="11">
        <v>31100</v>
      </c>
      <c r="M742" s="54"/>
      <c r="N742" s="54"/>
      <c r="O742" s="11">
        <f t="shared" si="174"/>
        <v>31100</v>
      </c>
      <c r="P742" s="11">
        <f t="shared" si="170"/>
        <v>31100</v>
      </c>
      <c r="Q742" s="11"/>
      <c r="R742" s="11">
        <f t="shared" si="171"/>
        <v>0</v>
      </c>
      <c r="S742" s="11"/>
      <c r="T742" s="136">
        <f t="shared" si="175"/>
        <v>0</v>
      </c>
    </row>
    <row r="743" spans="1:20" ht="15.75" customHeight="1">
      <c r="A743" s="149" t="s">
        <v>2404</v>
      </c>
      <c r="B743" s="273">
        <f t="shared" si="177"/>
        <v>488400</v>
      </c>
      <c r="C743" s="28" t="s">
        <v>2131</v>
      </c>
      <c r="D743" s="71">
        <v>22830</v>
      </c>
      <c r="E743" s="131">
        <f t="shared" si="172"/>
        <v>460750</v>
      </c>
      <c r="F743" s="21" t="s">
        <v>1248</v>
      </c>
      <c r="G743" s="21">
        <f t="shared" si="176"/>
        <v>509128.75</v>
      </c>
      <c r="H743" s="135">
        <f t="shared" si="173"/>
        <v>399320</v>
      </c>
      <c r="I743" s="294">
        <v>45138</v>
      </c>
      <c r="J743" s="294">
        <v>45274</v>
      </c>
      <c r="K743" s="11"/>
      <c r="L743" s="11">
        <f>+PROVEEDORES!$D$32*325.04</f>
        <v>341292</v>
      </c>
      <c r="M743" s="54"/>
      <c r="N743" s="54">
        <v>295791</v>
      </c>
      <c r="O743" s="11">
        <f t="shared" si="174"/>
        <v>341292</v>
      </c>
      <c r="P743" s="11">
        <f t="shared" si="170"/>
        <v>341292</v>
      </c>
      <c r="Q743" s="11">
        <v>1.35</v>
      </c>
      <c r="R743" s="11">
        <f t="shared" si="171"/>
        <v>460744.2</v>
      </c>
      <c r="S743" s="11"/>
      <c r="T743" s="136">
        <f t="shared" si="175"/>
        <v>399317.85000000003</v>
      </c>
    </row>
    <row r="744" spans="1:20" ht="15.75" customHeight="1">
      <c r="A744" s="149" t="s">
        <v>2404</v>
      </c>
      <c r="B744" s="273">
        <f t="shared" si="177"/>
        <v>417460</v>
      </c>
      <c r="C744" s="248" t="s">
        <v>2784</v>
      </c>
      <c r="D744" s="71"/>
      <c r="E744" s="131">
        <f t="shared" si="172"/>
        <v>393830</v>
      </c>
      <c r="F744" s="21" t="s">
        <v>1248</v>
      </c>
      <c r="G744" s="21">
        <f t="shared" si="176"/>
        <v>435182.14999999997</v>
      </c>
      <c r="H744" s="135">
        <f t="shared" si="173"/>
        <v>341320</v>
      </c>
      <c r="I744" s="294">
        <v>45138</v>
      </c>
      <c r="J744" s="294">
        <v>45274</v>
      </c>
      <c r="K744" s="11"/>
      <c r="L744" s="11">
        <f>+PROVEEDORES!$D$32*277.83</f>
        <v>291721.5</v>
      </c>
      <c r="M744" s="54"/>
      <c r="N744" s="54">
        <v>252829</v>
      </c>
      <c r="O744" s="11">
        <f t="shared" si="174"/>
        <v>291721.5</v>
      </c>
      <c r="P744" s="11">
        <f t="shared" si="170"/>
        <v>291721.5</v>
      </c>
      <c r="Q744" s="11">
        <v>1.35</v>
      </c>
      <c r="R744" s="11">
        <f t="shared" si="171"/>
        <v>393824.02500000002</v>
      </c>
      <c r="S744" s="11"/>
      <c r="T744" s="136">
        <f t="shared" si="175"/>
        <v>341319.15</v>
      </c>
    </row>
    <row r="745" spans="1:20" ht="15.75" customHeight="1">
      <c r="A745" s="149">
        <v>38</v>
      </c>
      <c r="B745" s="273">
        <f t="shared" si="177"/>
        <v>765760</v>
      </c>
      <c r="C745" s="28" t="s">
        <v>3453</v>
      </c>
      <c r="D745" s="71"/>
      <c r="E745" s="131">
        <f t="shared" si="172"/>
        <v>722410</v>
      </c>
      <c r="F745" s="21" t="s">
        <v>1248</v>
      </c>
      <c r="G745" s="21">
        <f t="shared" si="176"/>
        <v>798263.04999999993</v>
      </c>
      <c r="H745" s="135">
        <f t="shared" si="173"/>
        <v>674240</v>
      </c>
      <c r="I745" s="294">
        <v>45138</v>
      </c>
      <c r="J745" s="294">
        <v>45274</v>
      </c>
      <c r="K745" s="11"/>
      <c r="L745" s="11">
        <f>+PROVEEDORES!$D$32*509.63</f>
        <v>535111.5</v>
      </c>
      <c r="M745" s="54"/>
      <c r="N745" s="54">
        <v>499432</v>
      </c>
      <c r="O745" s="11">
        <f t="shared" si="174"/>
        <v>535111.5</v>
      </c>
      <c r="P745" s="11">
        <f t="shared" si="170"/>
        <v>535111.5</v>
      </c>
      <c r="Q745" s="11">
        <v>1.35</v>
      </c>
      <c r="R745" s="11">
        <f t="shared" si="171"/>
        <v>722400.52500000002</v>
      </c>
      <c r="S745" s="11"/>
      <c r="T745" s="136">
        <f t="shared" si="175"/>
        <v>674233.20000000007</v>
      </c>
    </row>
    <row r="746" spans="1:20" ht="15.75" customHeight="1">
      <c r="A746" s="149" t="s">
        <v>2404</v>
      </c>
      <c r="B746" s="273">
        <f t="shared" si="177"/>
        <v>1448460</v>
      </c>
      <c r="C746" s="28" t="s">
        <v>2128</v>
      </c>
      <c r="D746" s="71">
        <v>55700</v>
      </c>
      <c r="E746" s="131">
        <f t="shared" si="172"/>
        <v>1366470</v>
      </c>
      <c r="F746" s="21" t="s">
        <v>1248</v>
      </c>
      <c r="G746" s="21">
        <f t="shared" si="176"/>
        <v>1509949.3499999999</v>
      </c>
      <c r="H746" s="135">
        <f t="shared" si="173"/>
        <v>929250</v>
      </c>
      <c r="I746" s="294">
        <v>45138</v>
      </c>
      <c r="J746" s="294">
        <v>45274</v>
      </c>
      <c r="K746" s="30"/>
      <c r="L746" s="11">
        <f>+PROVEEDORES!$D$32*964</f>
        <v>1012200</v>
      </c>
      <c r="M746" s="100"/>
      <c r="N746" s="54">
        <v>688332</v>
      </c>
      <c r="O746" s="11">
        <f t="shared" si="174"/>
        <v>1012200</v>
      </c>
      <c r="P746" s="11">
        <f t="shared" si="170"/>
        <v>1012200</v>
      </c>
      <c r="Q746" s="11">
        <v>1.35</v>
      </c>
      <c r="R746" s="11">
        <f t="shared" si="171"/>
        <v>1366470</v>
      </c>
      <c r="S746" s="11"/>
      <c r="T746" s="136">
        <f t="shared" si="175"/>
        <v>929248.20000000007</v>
      </c>
    </row>
    <row r="747" spans="1:20" ht="15.75" customHeight="1">
      <c r="A747" s="149" t="s">
        <v>2404</v>
      </c>
      <c r="B747" s="273">
        <f t="shared" si="177"/>
        <v>997060</v>
      </c>
      <c r="C747" s="28" t="s">
        <v>3707</v>
      </c>
      <c r="D747" s="71">
        <v>55700</v>
      </c>
      <c r="E747" s="131">
        <f t="shared" si="172"/>
        <v>940620</v>
      </c>
      <c r="F747" s="21" t="s">
        <v>1248</v>
      </c>
      <c r="G747" s="21">
        <f t="shared" si="176"/>
        <v>1039385.1</v>
      </c>
      <c r="H747" s="135">
        <f t="shared" si="173"/>
        <v>877910</v>
      </c>
      <c r="I747" s="294">
        <v>45138</v>
      </c>
      <c r="J747" s="294">
        <v>45274</v>
      </c>
      <c r="K747" s="11">
        <f>877910*1.105</f>
        <v>970090.54999999993</v>
      </c>
      <c r="L747" s="11">
        <f>+PROVEEDORES!$D$32*663.57</f>
        <v>696748.5</v>
      </c>
      <c r="M747" s="100"/>
      <c r="N747" s="54">
        <v>650300</v>
      </c>
      <c r="O747" s="11">
        <f t="shared" si="174"/>
        <v>696748.5</v>
      </c>
      <c r="P747" s="11">
        <f t="shared" si="170"/>
        <v>696748.5</v>
      </c>
      <c r="Q747" s="11">
        <v>1.35</v>
      </c>
      <c r="R747" s="11">
        <f t="shared" si="171"/>
        <v>940610.47500000009</v>
      </c>
      <c r="S747" s="11"/>
      <c r="T747" s="136">
        <f t="shared" si="175"/>
        <v>877905</v>
      </c>
    </row>
    <row r="748" spans="1:20" ht="15.75" customHeight="1">
      <c r="A748" s="149">
        <v>38</v>
      </c>
      <c r="B748" s="273">
        <f t="shared" si="177"/>
        <v>1528430</v>
      </c>
      <c r="C748" s="28" t="s">
        <v>3928</v>
      </c>
      <c r="D748" s="71"/>
      <c r="E748" s="131">
        <f t="shared" si="172"/>
        <v>1441910</v>
      </c>
      <c r="F748" s="21" t="s">
        <v>1248</v>
      </c>
      <c r="G748" s="21">
        <f t="shared" si="176"/>
        <v>1593310.55</v>
      </c>
      <c r="H748" s="135">
        <f t="shared" si="173"/>
        <v>1307340</v>
      </c>
      <c r="I748" s="294">
        <v>45138</v>
      </c>
      <c r="J748" s="294">
        <v>45341</v>
      </c>
      <c r="K748" s="11"/>
      <c r="L748" s="11">
        <f>+PROVEEDORES!$D$32*1017.22</f>
        <v>1068081</v>
      </c>
      <c r="M748" s="100"/>
      <c r="N748" s="54">
        <v>968394</v>
      </c>
      <c r="O748" s="11">
        <f t="shared" si="174"/>
        <v>1068081</v>
      </c>
      <c r="P748" s="11">
        <f t="shared" si="170"/>
        <v>1068081</v>
      </c>
      <c r="Q748" s="11">
        <v>1.35</v>
      </c>
      <c r="R748" s="11">
        <f t="shared" si="171"/>
        <v>1441909.35</v>
      </c>
      <c r="S748" s="11"/>
      <c r="T748" s="136">
        <f t="shared" si="175"/>
        <v>1307331.9000000001</v>
      </c>
    </row>
    <row r="749" spans="1:20" ht="15.75" customHeight="1">
      <c r="A749" s="149" t="s">
        <v>2404</v>
      </c>
      <c r="B749" s="273">
        <f t="shared" si="177"/>
        <v>1552490</v>
      </c>
      <c r="C749" s="28" t="s">
        <v>3885</v>
      </c>
      <c r="D749" s="71">
        <v>55700</v>
      </c>
      <c r="E749" s="131">
        <f t="shared" si="172"/>
        <v>1464610</v>
      </c>
      <c r="F749" s="21" t="s">
        <v>1248</v>
      </c>
      <c r="G749" s="21">
        <f t="shared" si="176"/>
        <v>1618394.05</v>
      </c>
      <c r="H749" s="135">
        <f t="shared" si="173"/>
        <v>1269320</v>
      </c>
      <c r="I749" s="294">
        <v>45138</v>
      </c>
      <c r="J749" s="294">
        <v>45274</v>
      </c>
      <c r="K749" s="11"/>
      <c r="L749" s="11">
        <f>+PROVEEDORES!$D$32*(510.33+522.9)</f>
        <v>1084891.5</v>
      </c>
      <c r="M749" s="100"/>
      <c r="N749" s="54">
        <f>475839+464398</f>
        <v>940237</v>
      </c>
      <c r="O749" s="11">
        <f t="shared" si="174"/>
        <v>1084891.5</v>
      </c>
      <c r="P749" s="11">
        <f t="shared" si="170"/>
        <v>1084891.5</v>
      </c>
      <c r="Q749" s="11">
        <v>1.35</v>
      </c>
      <c r="R749" s="11">
        <f t="shared" si="171"/>
        <v>1464603.5250000001</v>
      </c>
      <c r="S749" s="11"/>
      <c r="T749" s="136">
        <f t="shared" si="175"/>
        <v>1269319.9500000002</v>
      </c>
    </row>
    <row r="750" spans="1:20" ht="15.75" customHeight="1">
      <c r="A750" s="149" t="s">
        <v>2404</v>
      </c>
      <c r="B750" s="273">
        <f t="shared" si="177"/>
        <v>84650</v>
      </c>
      <c r="C750" s="28" t="s">
        <v>2123</v>
      </c>
      <c r="D750" s="71">
        <v>4750</v>
      </c>
      <c r="E750" s="131">
        <f t="shared" si="172"/>
        <v>79850</v>
      </c>
      <c r="F750" s="21" t="s">
        <v>1248</v>
      </c>
      <c r="G750" s="21">
        <f t="shared" si="176"/>
        <v>88234.25</v>
      </c>
      <c r="H750" s="135">
        <f t="shared" si="173"/>
        <v>69210</v>
      </c>
      <c r="I750" s="294">
        <v>45138</v>
      </c>
      <c r="J750" s="40">
        <v>45274</v>
      </c>
      <c r="K750" s="11"/>
      <c r="L750" s="11">
        <f>+PROVEEDORES!$D$32*56.33</f>
        <v>59146.5</v>
      </c>
      <c r="M750" s="53"/>
      <c r="N750" s="54">
        <v>51263</v>
      </c>
      <c r="O750" s="11">
        <f t="shared" si="174"/>
        <v>59146.5</v>
      </c>
      <c r="P750" s="11">
        <f t="shared" si="170"/>
        <v>59146.5</v>
      </c>
      <c r="Q750" s="11">
        <v>1.35</v>
      </c>
      <c r="R750" s="11">
        <f t="shared" si="171"/>
        <v>79847.775000000009</v>
      </c>
      <c r="S750" s="11"/>
      <c r="T750" s="136">
        <f t="shared" si="175"/>
        <v>69205.05</v>
      </c>
    </row>
    <row r="751" spans="1:20" ht="15.75" customHeight="1">
      <c r="A751" s="149" t="s">
        <v>2404</v>
      </c>
      <c r="B751" s="273">
        <f t="shared" si="177"/>
        <v>120260</v>
      </c>
      <c r="C751" s="28" t="s">
        <v>2124</v>
      </c>
      <c r="D751" s="71">
        <v>5780</v>
      </c>
      <c r="E751" s="131">
        <f t="shared" si="172"/>
        <v>113450</v>
      </c>
      <c r="F751" s="21" t="s">
        <v>1248</v>
      </c>
      <c r="G751" s="21">
        <f t="shared" si="176"/>
        <v>125362.25</v>
      </c>
      <c r="H751" s="135">
        <f t="shared" si="173"/>
        <v>98330</v>
      </c>
      <c r="I751" s="294">
        <v>45138</v>
      </c>
      <c r="J751" s="294">
        <v>45274</v>
      </c>
      <c r="K751" s="11"/>
      <c r="L751" s="11">
        <f>+PROVEEDORES!$D$32*80.03</f>
        <v>84031.5</v>
      </c>
      <c r="M751" s="53"/>
      <c r="N751" s="54">
        <v>72830</v>
      </c>
      <c r="O751" s="11">
        <f t="shared" si="174"/>
        <v>84031.5</v>
      </c>
      <c r="P751" s="11">
        <f t="shared" si="170"/>
        <v>84031.5</v>
      </c>
      <c r="Q751" s="11">
        <v>1.35</v>
      </c>
      <c r="R751" s="11">
        <f t="shared" si="171"/>
        <v>113442.52500000001</v>
      </c>
      <c r="S751" s="11"/>
      <c r="T751" s="136">
        <f t="shared" si="175"/>
        <v>98320.5</v>
      </c>
    </row>
    <row r="752" spans="1:20" ht="15.75" customHeight="1">
      <c r="A752" s="149" t="s">
        <v>2404</v>
      </c>
      <c r="B752" s="273">
        <f>ROUNDUP(E752*1.06,-1)</f>
        <v>144310</v>
      </c>
      <c r="C752" s="28" t="s">
        <v>4180</v>
      </c>
      <c r="D752" s="71">
        <v>5780</v>
      </c>
      <c r="E752" s="131">
        <f>ROUNDUP(R752,-1)</f>
        <v>136140</v>
      </c>
      <c r="F752" s="21" t="s">
        <v>1248</v>
      </c>
      <c r="G752" s="21">
        <f>+E752*1.105</f>
        <v>150434.70000000001</v>
      </c>
      <c r="H752" s="135">
        <f>ROUNDUP(T752,-1)</f>
        <v>117990</v>
      </c>
      <c r="I752" s="294">
        <v>45138</v>
      </c>
      <c r="J752" s="294">
        <v>45274</v>
      </c>
      <c r="K752" s="11"/>
      <c r="L752" s="11">
        <f>+PROVEEDORES!$D$32*96.04</f>
        <v>100842</v>
      </c>
      <c r="M752" s="53"/>
      <c r="N752" s="54">
        <v>87396</v>
      </c>
      <c r="O752" s="11">
        <f>MIN(K752:M752)</f>
        <v>100842</v>
      </c>
      <c r="P752" s="11">
        <f t="shared" si="170"/>
        <v>100842</v>
      </c>
      <c r="Q752" s="11">
        <v>1.35</v>
      </c>
      <c r="R752" s="11">
        <f t="shared" si="171"/>
        <v>136136.70000000001</v>
      </c>
      <c r="S752" s="11"/>
      <c r="T752" s="136">
        <f>+N752*Q752</f>
        <v>117984.6</v>
      </c>
    </row>
    <row r="753" spans="1:20" ht="15.75" customHeight="1">
      <c r="A753" s="149">
        <v>38</v>
      </c>
      <c r="B753" s="273">
        <f t="shared" si="177"/>
        <v>940100</v>
      </c>
      <c r="C753" s="248" t="s">
        <v>3476</v>
      </c>
      <c r="D753" s="71"/>
      <c r="E753" s="131">
        <f t="shared" si="172"/>
        <v>886880</v>
      </c>
      <c r="F753" s="21" t="s">
        <v>1248</v>
      </c>
      <c r="G753" s="21">
        <f t="shared" si="176"/>
        <v>980002.4</v>
      </c>
      <c r="H753" s="135">
        <f t="shared" si="173"/>
        <v>768630</v>
      </c>
      <c r="I753" s="294">
        <v>45138</v>
      </c>
      <c r="J753" s="294">
        <v>45274</v>
      </c>
      <c r="L753" s="10">
        <f>+PROVEEDORES!$D$32*625.66</f>
        <v>656943</v>
      </c>
      <c r="M753" s="53"/>
      <c r="N753" s="54">
        <v>569353</v>
      </c>
      <c r="O753" s="11">
        <f>MIN(L753:M753)</f>
        <v>656943</v>
      </c>
      <c r="P753" s="11">
        <f t="shared" si="170"/>
        <v>656943</v>
      </c>
      <c r="Q753" s="11">
        <v>1.35</v>
      </c>
      <c r="R753" s="11">
        <f t="shared" si="171"/>
        <v>886873.05</v>
      </c>
      <c r="S753" s="11"/>
      <c r="T753" s="136">
        <f t="shared" si="175"/>
        <v>768626.55</v>
      </c>
    </row>
    <row r="754" spans="1:20" ht="15.75" customHeight="1">
      <c r="A754" s="149" t="s">
        <v>2404</v>
      </c>
      <c r="B754" s="273">
        <f t="shared" si="177"/>
        <v>0</v>
      </c>
      <c r="C754" s="28" t="s">
        <v>2562</v>
      </c>
      <c r="D754" s="71"/>
      <c r="E754" s="131">
        <f t="shared" si="172"/>
        <v>0</v>
      </c>
      <c r="F754" s="21" t="s">
        <v>1248</v>
      </c>
      <c r="G754" s="21">
        <f t="shared" si="176"/>
        <v>0</v>
      </c>
      <c r="H754" s="135">
        <f t="shared" si="173"/>
        <v>0</v>
      </c>
      <c r="I754" s="294">
        <v>44747</v>
      </c>
      <c r="J754" s="294">
        <v>45059</v>
      </c>
      <c r="K754" s="11"/>
      <c r="L754" s="11">
        <f>+PROVEEDORES!$D$32*386.03</f>
        <v>405331.5</v>
      </c>
      <c r="M754" s="53"/>
      <c r="N754" s="54"/>
      <c r="O754" s="11">
        <f t="shared" si="174"/>
        <v>405331.5</v>
      </c>
      <c r="P754" s="11">
        <f t="shared" si="170"/>
        <v>405331.5</v>
      </c>
      <c r="Q754" s="11"/>
      <c r="R754" s="11">
        <f t="shared" si="171"/>
        <v>0</v>
      </c>
      <c r="S754" s="11"/>
      <c r="T754" s="136">
        <f t="shared" si="175"/>
        <v>0</v>
      </c>
    </row>
    <row r="755" spans="1:20" ht="15.75" customHeight="1">
      <c r="A755" s="149" t="s">
        <v>2404</v>
      </c>
      <c r="B755" s="273">
        <f t="shared" si="177"/>
        <v>1031150</v>
      </c>
      <c r="C755" s="28" t="s">
        <v>2563</v>
      </c>
      <c r="D755" s="71"/>
      <c r="E755" s="131">
        <f t="shared" si="172"/>
        <v>972780</v>
      </c>
      <c r="F755" s="21" t="s">
        <v>1248</v>
      </c>
      <c r="G755" s="21">
        <f t="shared" si="176"/>
        <v>1074921.8999999999</v>
      </c>
      <c r="H755" s="135">
        <f t="shared" si="173"/>
        <v>843080</v>
      </c>
      <c r="I755" s="294">
        <v>45138</v>
      </c>
      <c r="J755" s="294">
        <v>45274</v>
      </c>
      <c r="K755" s="11"/>
      <c r="L755" s="11">
        <f>+PROVEEDORES!$D$32*686.26</f>
        <v>720573</v>
      </c>
      <c r="M755" s="53"/>
      <c r="N755" s="54">
        <v>624501</v>
      </c>
      <c r="O755" s="11">
        <f t="shared" si="174"/>
        <v>720573</v>
      </c>
      <c r="P755" s="11">
        <f t="shared" si="170"/>
        <v>720573</v>
      </c>
      <c r="Q755" s="11">
        <v>1.35</v>
      </c>
      <c r="R755" s="11">
        <f t="shared" si="171"/>
        <v>972773.55</v>
      </c>
      <c r="S755" s="11"/>
      <c r="T755" s="136">
        <f t="shared" si="175"/>
        <v>843076.35000000009</v>
      </c>
    </row>
    <row r="756" spans="1:20" ht="15.75" customHeight="1">
      <c r="A756" s="149" t="s">
        <v>2404</v>
      </c>
      <c r="B756" s="273">
        <f t="shared" si="177"/>
        <v>0</v>
      </c>
      <c r="C756" s="28" t="s">
        <v>1464</v>
      </c>
      <c r="D756" s="71">
        <v>9690</v>
      </c>
      <c r="E756" s="131">
        <f t="shared" si="172"/>
        <v>0</v>
      </c>
      <c r="F756" s="21" t="s">
        <v>1248</v>
      </c>
      <c r="G756" s="21">
        <f t="shared" si="176"/>
        <v>0</v>
      </c>
      <c r="H756" s="135">
        <f t="shared" si="173"/>
        <v>0</v>
      </c>
      <c r="I756" s="294"/>
      <c r="J756" s="294"/>
      <c r="K756" s="10"/>
      <c r="L756" s="54"/>
      <c r="M756" s="53"/>
      <c r="N756" s="54"/>
      <c r="O756" s="11">
        <f t="shared" si="174"/>
        <v>0</v>
      </c>
      <c r="P756" s="11">
        <f t="shared" si="170"/>
        <v>0</v>
      </c>
      <c r="Q756" s="11">
        <v>1.35</v>
      </c>
      <c r="R756" s="11">
        <f t="shared" si="171"/>
        <v>0</v>
      </c>
      <c r="S756" s="11"/>
      <c r="T756" s="136">
        <f t="shared" si="175"/>
        <v>0</v>
      </c>
    </row>
    <row r="757" spans="1:20" ht="15.75" customHeight="1">
      <c r="A757" s="149" t="s">
        <v>2404</v>
      </c>
      <c r="B757" s="273">
        <f t="shared" si="177"/>
        <v>228060</v>
      </c>
      <c r="C757" s="242" t="s">
        <v>2887</v>
      </c>
      <c r="D757" s="71">
        <v>12340</v>
      </c>
      <c r="E757" s="131">
        <f t="shared" si="172"/>
        <v>215150</v>
      </c>
      <c r="F757" s="21" t="s">
        <v>1248</v>
      </c>
      <c r="G757" s="21">
        <f t="shared" si="176"/>
        <v>237740.75</v>
      </c>
      <c r="H757" s="135">
        <f t="shared" si="173"/>
        <v>186460</v>
      </c>
      <c r="I757" s="294">
        <v>45138</v>
      </c>
      <c r="J757" s="294">
        <v>45274</v>
      </c>
      <c r="K757" s="11"/>
      <c r="L757" s="11">
        <f>+PROVEEDORES!$D$32*151.78</f>
        <v>159369</v>
      </c>
      <c r="M757" s="11"/>
      <c r="N757" s="54">
        <v>138118</v>
      </c>
      <c r="O757" s="11">
        <f t="shared" si="174"/>
        <v>159369</v>
      </c>
      <c r="P757" s="11">
        <f t="shared" si="170"/>
        <v>159369</v>
      </c>
      <c r="Q757" s="11">
        <v>1.35</v>
      </c>
      <c r="R757" s="11">
        <f t="shared" si="171"/>
        <v>215148.15000000002</v>
      </c>
      <c r="S757" s="11"/>
      <c r="T757" s="136">
        <f t="shared" si="175"/>
        <v>186459.30000000002</v>
      </c>
    </row>
    <row r="758" spans="1:20" ht="15.75" customHeight="1">
      <c r="A758" s="149" t="s">
        <v>2404</v>
      </c>
      <c r="B758" s="273">
        <f t="shared" si="177"/>
        <v>244580</v>
      </c>
      <c r="C758" s="242" t="s">
        <v>2886</v>
      </c>
      <c r="D758" s="71">
        <v>11500</v>
      </c>
      <c r="E758" s="131">
        <f t="shared" si="172"/>
        <v>230730</v>
      </c>
      <c r="F758" s="21" t="s">
        <v>1248</v>
      </c>
      <c r="G758" s="21">
        <f t="shared" si="176"/>
        <v>254956.65</v>
      </c>
      <c r="H758" s="135">
        <f t="shared" si="173"/>
        <v>199970</v>
      </c>
      <c r="I758" s="294">
        <v>45138</v>
      </c>
      <c r="J758" s="294">
        <v>45274</v>
      </c>
      <c r="K758" s="11"/>
      <c r="L758" s="11">
        <f>+PROVEEDORES!$D$32*162.77</f>
        <v>170908.5</v>
      </c>
      <c r="M758" s="54"/>
      <c r="N758" s="54">
        <v>148120</v>
      </c>
      <c r="O758" s="11">
        <f t="shared" si="174"/>
        <v>170908.5</v>
      </c>
      <c r="P758" s="11">
        <f t="shared" si="170"/>
        <v>170908.5</v>
      </c>
      <c r="Q758" s="11">
        <v>1.35</v>
      </c>
      <c r="R758" s="11">
        <f t="shared" si="171"/>
        <v>230726.47500000001</v>
      </c>
      <c r="S758" s="11"/>
      <c r="T758" s="136">
        <f t="shared" si="175"/>
        <v>199962</v>
      </c>
    </row>
    <row r="759" spans="1:20" ht="15.75" customHeight="1">
      <c r="A759" s="149" t="s">
        <v>2404</v>
      </c>
      <c r="B759" s="273">
        <f t="shared" si="177"/>
        <v>0</v>
      </c>
      <c r="C759" s="28" t="s">
        <v>2133</v>
      </c>
      <c r="D759" s="71">
        <v>12480</v>
      </c>
      <c r="E759" s="131">
        <f t="shared" si="172"/>
        <v>0</v>
      </c>
      <c r="F759" s="21" t="s">
        <v>1248</v>
      </c>
      <c r="G759" s="21">
        <f t="shared" si="176"/>
        <v>0</v>
      </c>
      <c r="H759" s="135">
        <f t="shared" si="173"/>
        <v>0</v>
      </c>
      <c r="I759" s="294"/>
      <c r="J759" s="294"/>
      <c r="K759" s="46"/>
      <c r="L759" s="46">
        <v>21929</v>
      </c>
      <c r="M759" s="53"/>
      <c r="N759" s="54"/>
      <c r="O759" s="11">
        <f t="shared" si="174"/>
        <v>21929</v>
      </c>
      <c r="P759" s="11">
        <f t="shared" si="170"/>
        <v>21929</v>
      </c>
      <c r="Q759" s="11"/>
      <c r="R759" s="11">
        <f t="shared" si="171"/>
        <v>0</v>
      </c>
      <c r="S759" s="11"/>
      <c r="T759" s="136">
        <f t="shared" si="175"/>
        <v>0</v>
      </c>
    </row>
    <row r="760" spans="1:20" ht="15.75" customHeight="1">
      <c r="A760" s="149" t="s">
        <v>2404</v>
      </c>
      <c r="B760" s="273">
        <f t="shared" si="177"/>
        <v>0</v>
      </c>
      <c r="C760" s="28" t="s">
        <v>2134</v>
      </c>
      <c r="D760" s="71">
        <v>10620</v>
      </c>
      <c r="E760" s="131">
        <f t="shared" si="172"/>
        <v>0</v>
      </c>
      <c r="F760" s="21" t="s">
        <v>1248</v>
      </c>
      <c r="G760" s="21">
        <f t="shared" si="176"/>
        <v>0</v>
      </c>
      <c r="H760" s="135">
        <f t="shared" si="173"/>
        <v>0</v>
      </c>
      <c r="I760" s="294"/>
      <c r="J760" s="294"/>
      <c r="K760" s="46"/>
      <c r="L760" s="46">
        <v>18670</v>
      </c>
      <c r="M760" s="53"/>
      <c r="N760" s="54"/>
      <c r="O760" s="11">
        <f t="shared" si="174"/>
        <v>18670</v>
      </c>
      <c r="P760" s="11">
        <f t="shared" si="170"/>
        <v>18670</v>
      </c>
      <c r="Q760" s="11"/>
      <c r="R760" s="11">
        <f t="shared" si="171"/>
        <v>0</v>
      </c>
      <c r="S760" s="11"/>
      <c r="T760" s="136">
        <f t="shared" si="175"/>
        <v>0</v>
      </c>
    </row>
    <row r="761" spans="1:20" ht="15.75" customHeight="1">
      <c r="A761" s="149" t="s">
        <v>2404</v>
      </c>
      <c r="B761" s="273">
        <f t="shared" si="177"/>
        <v>817520</v>
      </c>
      <c r="C761" s="28" t="s">
        <v>2127</v>
      </c>
      <c r="D761" s="71">
        <v>46580</v>
      </c>
      <c r="E761" s="131">
        <f t="shared" si="172"/>
        <v>771240</v>
      </c>
      <c r="F761" s="21" t="s">
        <v>1248</v>
      </c>
      <c r="G761" s="21">
        <f t="shared" si="176"/>
        <v>852220.2</v>
      </c>
      <c r="H761" s="135">
        <f t="shared" si="173"/>
        <v>668400</v>
      </c>
      <c r="I761" s="294">
        <v>45138</v>
      </c>
      <c r="J761" s="294">
        <v>45274</v>
      </c>
      <c r="K761" s="11"/>
      <c r="L761" s="11">
        <f>+PROVEEDORES!$D$32*544.08</f>
        <v>571284</v>
      </c>
      <c r="M761" s="53"/>
      <c r="N761" s="54">
        <v>495111</v>
      </c>
      <c r="O761" s="11">
        <f t="shared" si="174"/>
        <v>571284</v>
      </c>
      <c r="P761" s="11">
        <f t="shared" si="170"/>
        <v>571284</v>
      </c>
      <c r="Q761" s="11">
        <v>1.35</v>
      </c>
      <c r="R761" s="11">
        <f t="shared" si="171"/>
        <v>771233.4</v>
      </c>
      <c r="S761" s="11"/>
      <c r="T761" s="136">
        <f t="shared" si="175"/>
        <v>668399.85000000009</v>
      </c>
    </row>
    <row r="762" spans="1:20" ht="15.75" customHeight="1">
      <c r="A762" s="149" t="s">
        <v>2404</v>
      </c>
      <c r="B762" s="273">
        <f t="shared" si="177"/>
        <v>816420</v>
      </c>
      <c r="C762" s="28" t="s">
        <v>2125</v>
      </c>
      <c r="D762" s="71">
        <v>45560</v>
      </c>
      <c r="E762" s="131">
        <f t="shared" si="172"/>
        <v>770200</v>
      </c>
      <c r="F762" s="21" t="s">
        <v>1248</v>
      </c>
      <c r="G762" s="21">
        <f t="shared" si="176"/>
        <v>851071</v>
      </c>
      <c r="H762" s="135">
        <f t="shared" si="173"/>
        <v>667510</v>
      </c>
      <c r="I762" s="294">
        <v>45138</v>
      </c>
      <c r="J762" s="294">
        <v>45274</v>
      </c>
      <c r="K762" s="53"/>
      <c r="L762" s="10">
        <f>+PROVEEDORES!D32*543.35</f>
        <v>570517.5</v>
      </c>
      <c r="M762" s="53"/>
      <c r="N762" s="54">
        <v>494447</v>
      </c>
      <c r="O762" s="11">
        <f t="shared" si="174"/>
        <v>570517.5</v>
      </c>
      <c r="P762" s="11">
        <f t="shared" si="170"/>
        <v>570517.5</v>
      </c>
      <c r="Q762" s="11">
        <v>1.35</v>
      </c>
      <c r="R762" s="11">
        <f t="shared" si="171"/>
        <v>770198.625</v>
      </c>
      <c r="S762" s="11"/>
      <c r="T762" s="136">
        <f t="shared" si="175"/>
        <v>667503.45000000007</v>
      </c>
    </row>
    <row r="763" spans="1:20" ht="15.75" customHeight="1">
      <c r="A763" s="149" t="s">
        <v>2404</v>
      </c>
      <c r="B763" s="273">
        <f t="shared" si="177"/>
        <v>2202040</v>
      </c>
      <c r="C763" s="28" t="s">
        <v>2132</v>
      </c>
      <c r="D763" s="71">
        <v>113920</v>
      </c>
      <c r="E763" s="131">
        <f t="shared" si="172"/>
        <v>2077390</v>
      </c>
      <c r="F763" s="21" t="s">
        <v>1248</v>
      </c>
      <c r="G763" s="21">
        <f t="shared" si="176"/>
        <v>2295515.9500000002</v>
      </c>
      <c r="H763" s="135">
        <f t="shared" si="173"/>
        <v>1800440</v>
      </c>
      <c r="I763" s="294">
        <v>45138</v>
      </c>
      <c r="J763" s="294">
        <v>45274</v>
      </c>
      <c r="K763" s="11"/>
      <c r="L763" s="10">
        <f>+PROVEEDORES!$D$32*1465.53</f>
        <v>1538806.5</v>
      </c>
      <c r="M763" s="53"/>
      <c r="N763" s="54">
        <v>1333652</v>
      </c>
      <c r="O763" s="11">
        <f t="shared" si="174"/>
        <v>1538806.5</v>
      </c>
      <c r="P763" s="11">
        <f t="shared" si="170"/>
        <v>1538806.5</v>
      </c>
      <c r="Q763" s="11">
        <v>1.35</v>
      </c>
      <c r="R763" s="11">
        <f t="shared" si="171"/>
        <v>2077388.7750000001</v>
      </c>
      <c r="S763" s="11"/>
      <c r="T763" s="136">
        <f t="shared" si="175"/>
        <v>1800430.2000000002</v>
      </c>
    </row>
    <row r="764" spans="1:20" ht="15.75" customHeight="1">
      <c r="A764" s="149" t="s">
        <v>2404</v>
      </c>
      <c r="B764" s="273">
        <f t="shared" si="177"/>
        <v>0</v>
      </c>
      <c r="C764" s="28" t="s">
        <v>2126</v>
      </c>
      <c r="D764" s="71">
        <v>75920</v>
      </c>
      <c r="E764" s="131">
        <f t="shared" si="172"/>
        <v>0</v>
      </c>
      <c r="F764" s="21" t="s">
        <v>1248</v>
      </c>
      <c r="G764" s="21">
        <f t="shared" si="176"/>
        <v>0</v>
      </c>
      <c r="H764" s="135">
        <f t="shared" si="173"/>
        <v>0</v>
      </c>
      <c r="I764" s="294">
        <v>44319</v>
      </c>
      <c r="J764" s="294">
        <v>44379</v>
      </c>
      <c r="K764" s="10"/>
      <c r="L764" s="10">
        <f>133472</f>
        <v>133472</v>
      </c>
      <c r="M764" s="53"/>
      <c r="N764" s="138"/>
      <c r="O764" s="11">
        <f t="shared" si="174"/>
        <v>133472</v>
      </c>
      <c r="P764" s="11">
        <f t="shared" si="170"/>
        <v>133472</v>
      </c>
      <c r="Q764" s="11"/>
      <c r="R764" s="11">
        <f t="shared" si="171"/>
        <v>0</v>
      </c>
      <c r="S764" s="11"/>
      <c r="T764" s="136">
        <f t="shared" si="175"/>
        <v>0</v>
      </c>
    </row>
    <row r="765" spans="1:20" ht="15.75" customHeight="1">
      <c r="A765" s="149" t="s">
        <v>2387</v>
      </c>
      <c r="B765" s="273"/>
      <c r="C765" s="28" t="s">
        <v>1462</v>
      </c>
      <c r="D765" s="71">
        <v>8690</v>
      </c>
      <c r="E765" s="131">
        <f t="shared" si="172"/>
        <v>107220</v>
      </c>
      <c r="F765" s="21" t="s">
        <v>1248</v>
      </c>
      <c r="G765" s="21">
        <f t="shared" si="176"/>
        <v>118478.09999999999</v>
      </c>
      <c r="H765" s="135">
        <f t="shared" si="173"/>
        <v>0</v>
      </c>
      <c r="I765" s="294">
        <v>45138</v>
      </c>
      <c r="J765" s="294">
        <v>45175</v>
      </c>
      <c r="K765" s="11">
        <f>+PROVEEDORES!D18*0.5*156.42</f>
        <v>82902.599999999991</v>
      </c>
      <c r="L765" s="11">
        <f>33505*2</f>
        <v>67010</v>
      </c>
      <c r="M765" s="53"/>
      <c r="N765" s="54"/>
      <c r="O765" s="11">
        <f t="shared" si="174"/>
        <v>67010</v>
      </c>
      <c r="P765" s="11">
        <f t="shared" si="170"/>
        <v>67010</v>
      </c>
      <c r="Q765" s="11">
        <v>1.6</v>
      </c>
      <c r="R765" s="11">
        <f t="shared" si="171"/>
        <v>107216</v>
      </c>
      <c r="S765" s="11"/>
      <c r="T765" s="136">
        <f t="shared" si="175"/>
        <v>0</v>
      </c>
    </row>
    <row r="766" spans="1:20" ht="15.75" customHeight="1">
      <c r="A766" s="149" t="s">
        <v>2387</v>
      </c>
      <c r="B766" s="273"/>
      <c r="C766" s="28" t="s">
        <v>1463</v>
      </c>
      <c r="D766" s="71">
        <v>10040</v>
      </c>
      <c r="E766" s="131">
        <f t="shared" ref="E766:E831" si="178">ROUNDUP(R766,-1)</f>
        <v>153290</v>
      </c>
      <c r="F766" s="21" t="s">
        <v>1248</v>
      </c>
      <c r="G766" s="21">
        <f t="shared" si="176"/>
        <v>169385.45</v>
      </c>
      <c r="H766" s="135">
        <f t="shared" si="173"/>
        <v>0</v>
      </c>
      <c r="I766" s="294">
        <v>45138</v>
      </c>
      <c r="J766" s="294">
        <v>45175</v>
      </c>
      <c r="K766" s="11">
        <f>+PROVEEDORES!D18*0.5*180.76</f>
        <v>95802.799999999988</v>
      </c>
      <c r="L766" s="11">
        <f>48302*2</f>
        <v>96604</v>
      </c>
      <c r="M766" s="53"/>
      <c r="N766" s="100"/>
      <c r="O766" s="11">
        <f t="shared" si="174"/>
        <v>95802.799999999988</v>
      </c>
      <c r="P766" s="11">
        <f t="shared" si="170"/>
        <v>95802.799999999988</v>
      </c>
      <c r="Q766" s="11">
        <v>1.6</v>
      </c>
      <c r="R766" s="11">
        <f t="shared" si="171"/>
        <v>153284.47999999998</v>
      </c>
      <c r="S766" s="11"/>
      <c r="T766" s="136">
        <f t="shared" si="175"/>
        <v>0</v>
      </c>
    </row>
    <row r="767" spans="1:20" ht="15.75" customHeight="1">
      <c r="A767" s="149">
        <v>24</v>
      </c>
      <c r="B767" s="273"/>
      <c r="C767" s="28" t="s">
        <v>2222</v>
      </c>
      <c r="D767" s="71">
        <v>8380</v>
      </c>
      <c r="E767" s="131">
        <f t="shared" si="178"/>
        <v>0</v>
      </c>
      <c r="F767" s="21" t="s">
        <v>1248</v>
      </c>
      <c r="G767" s="21">
        <f t="shared" si="176"/>
        <v>0</v>
      </c>
      <c r="H767" s="135">
        <f t="shared" si="173"/>
        <v>0</v>
      </c>
      <c r="I767" s="40"/>
      <c r="J767" s="294">
        <v>44351</v>
      </c>
      <c r="K767" s="53">
        <f>+PROVEEDORES!D18*0.5*209</f>
        <v>110770</v>
      </c>
      <c r="L767" s="11"/>
      <c r="M767" s="53"/>
      <c r="N767" s="100"/>
      <c r="O767" s="11">
        <f t="shared" si="174"/>
        <v>110770</v>
      </c>
      <c r="P767" s="11">
        <f t="shared" si="170"/>
        <v>110770</v>
      </c>
      <c r="Q767" s="11"/>
      <c r="R767" s="11">
        <f t="shared" si="171"/>
        <v>0</v>
      </c>
      <c r="S767" s="11"/>
      <c r="T767" s="136">
        <f t="shared" si="175"/>
        <v>0</v>
      </c>
    </row>
    <row r="768" spans="1:20" ht="15.75" customHeight="1">
      <c r="A768" s="149" t="s">
        <v>2398</v>
      </c>
      <c r="B768" s="273">
        <f t="shared" si="177"/>
        <v>105080</v>
      </c>
      <c r="C768" s="36" t="s">
        <v>1465</v>
      </c>
      <c r="D768" s="71">
        <v>6900</v>
      </c>
      <c r="E768" s="131">
        <f t="shared" si="178"/>
        <v>99130</v>
      </c>
      <c r="F768" s="21" t="s">
        <v>1248</v>
      </c>
      <c r="G768" s="21">
        <f t="shared" si="176"/>
        <v>109538.65</v>
      </c>
      <c r="H768" s="135">
        <f t="shared" si="173"/>
        <v>0</v>
      </c>
      <c r="I768" s="294">
        <v>45323</v>
      </c>
      <c r="J768" s="294"/>
      <c r="K768" s="11">
        <f>5715*0.8*0.98*0.94*0.95*1.1*1.12*1.1*1.15*1.12*1.1*1.15*1.15*1.2*1.2*1.08*1.06*1.15*1.2*1.12*1.14*1.2*1.1*1.45*1.3</f>
        <v>73429.528098270675</v>
      </c>
      <c r="L768" s="53"/>
      <c r="M768" s="53"/>
      <c r="N768" s="138"/>
      <c r="O768" s="11">
        <f t="shared" si="174"/>
        <v>73429.528098270675</v>
      </c>
      <c r="P768" s="11">
        <f>+O768*'AUMENTOS %'!$B$5</f>
        <v>73429.528098270675</v>
      </c>
      <c r="Q768" s="11">
        <v>1.35</v>
      </c>
      <c r="R768" s="11">
        <f t="shared" si="171"/>
        <v>99129.862932665419</v>
      </c>
      <c r="S768" s="11"/>
      <c r="T768" s="136">
        <f t="shared" si="175"/>
        <v>0</v>
      </c>
    </row>
    <row r="769" spans="1:20" ht="15.75" customHeight="1">
      <c r="A769" s="149" t="s">
        <v>2398</v>
      </c>
      <c r="B769" s="273">
        <f t="shared" si="177"/>
        <v>0</v>
      </c>
      <c r="C769" s="36" t="s">
        <v>1466</v>
      </c>
      <c r="D769" s="71">
        <v>10750</v>
      </c>
      <c r="E769" s="131">
        <f t="shared" si="178"/>
        <v>0</v>
      </c>
      <c r="F769" s="21" t="s">
        <v>1248</v>
      </c>
      <c r="G769" s="21">
        <f t="shared" si="176"/>
        <v>0</v>
      </c>
      <c r="H769" s="135">
        <f t="shared" si="173"/>
        <v>0</v>
      </c>
      <c r="I769" s="294"/>
      <c r="J769" s="294">
        <v>44630</v>
      </c>
      <c r="K769" s="11">
        <f>8900*0.8*0.98*0.94*0.95*1.1*1.12*1.1*1.15*1.12*1.1*1.15</f>
        <v>13758.380299409717</v>
      </c>
      <c r="L769" s="53"/>
      <c r="M769" s="53"/>
      <c r="N769" s="100"/>
      <c r="O769" s="11">
        <f t="shared" si="174"/>
        <v>13758.380299409717</v>
      </c>
      <c r="P769" s="11">
        <f>+O769*'AUMENTOS %'!$B$5</f>
        <v>13758.380299409717</v>
      </c>
      <c r="Q769" s="11"/>
      <c r="R769" s="11">
        <f t="shared" si="171"/>
        <v>0</v>
      </c>
      <c r="S769" s="11"/>
      <c r="T769" s="136">
        <f t="shared" si="175"/>
        <v>0</v>
      </c>
    </row>
    <row r="770" spans="1:20" ht="15.75" customHeight="1">
      <c r="A770" s="149" t="s">
        <v>2387</v>
      </c>
      <c r="B770" s="273">
        <f t="shared" si="177"/>
        <v>0</v>
      </c>
      <c r="C770" s="28" t="s">
        <v>1467</v>
      </c>
      <c r="D770" s="71">
        <v>11390</v>
      </c>
      <c r="E770" s="131">
        <f t="shared" si="178"/>
        <v>0</v>
      </c>
      <c r="F770" s="21" t="s">
        <v>1248</v>
      </c>
      <c r="G770" s="21">
        <f t="shared" si="176"/>
        <v>0</v>
      </c>
      <c r="H770" s="135">
        <f t="shared" si="173"/>
        <v>0</v>
      </c>
      <c r="I770" s="294">
        <v>44840</v>
      </c>
      <c r="J770" s="294"/>
      <c r="K770" s="11">
        <f>+PROVEEDORES!D18*0.5*330*2</f>
        <v>349800</v>
      </c>
      <c r="L770" s="11">
        <v>30935</v>
      </c>
      <c r="M770" s="11"/>
      <c r="N770" s="100"/>
      <c r="O770" s="11">
        <f t="shared" si="174"/>
        <v>30935</v>
      </c>
      <c r="P770" s="11">
        <f t="shared" si="170"/>
        <v>30935</v>
      </c>
      <c r="Q770" s="11"/>
      <c r="R770" s="11">
        <f t="shared" si="171"/>
        <v>0</v>
      </c>
      <c r="S770" s="11"/>
      <c r="T770" s="136">
        <f t="shared" si="175"/>
        <v>0</v>
      </c>
    </row>
    <row r="771" spans="1:20" ht="15.75" customHeight="1">
      <c r="A771" s="149">
        <v>12</v>
      </c>
      <c r="B771" s="273"/>
      <c r="C771" s="28" t="s">
        <v>3910</v>
      </c>
      <c r="D771" s="71">
        <v>8010</v>
      </c>
      <c r="E771" s="131">
        <f t="shared" si="178"/>
        <v>275430</v>
      </c>
      <c r="F771" s="21" t="s">
        <v>1248</v>
      </c>
      <c r="G771" s="21">
        <f t="shared" si="176"/>
        <v>304350.15000000002</v>
      </c>
      <c r="H771" s="135">
        <f t="shared" si="173"/>
        <v>0</v>
      </c>
      <c r="I771" s="294">
        <v>45274</v>
      </c>
      <c r="J771" s="294">
        <v>45338</v>
      </c>
      <c r="K771" s="11">
        <v>189949</v>
      </c>
      <c r="L771" s="11"/>
      <c r="M771" s="11"/>
      <c r="N771" s="100"/>
      <c r="O771" s="11">
        <f t="shared" si="174"/>
        <v>189949</v>
      </c>
      <c r="P771" s="11">
        <f t="shared" si="170"/>
        <v>189949</v>
      </c>
      <c r="Q771" s="11">
        <v>1.45</v>
      </c>
      <c r="R771" s="11">
        <f t="shared" si="171"/>
        <v>275426.05</v>
      </c>
      <c r="S771" s="11"/>
      <c r="T771" s="136">
        <f t="shared" si="175"/>
        <v>0</v>
      </c>
    </row>
    <row r="772" spans="1:20" ht="15.75" customHeight="1">
      <c r="A772" s="149">
        <v>12</v>
      </c>
      <c r="B772" s="273"/>
      <c r="C772" s="28" t="s">
        <v>3908</v>
      </c>
      <c r="D772" s="71">
        <v>8010</v>
      </c>
      <c r="E772" s="131">
        <f t="shared" si="178"/>
        <v>489650</v>
      </c>
      <c r="F772" s="21" t="s">
        <v>1248</v>
      </c>
      <c r="G772" s="21">
        <f t="shared" si="176"/>
        <v>541063.25</v>
      </c>
      <c r="H772" s="135">
        <f t="shared" si="173"/>
        <v>0</v>
      </c>
      <c r="I772" s="294">
        <v>45274</v>
      </c>
      <c r="J772" s="294">
        <v>45338</v>
      </c>
      <c r="K772" s="11">
        <v>337686</v>
      </c>
      <c r="L772" s="11"/>
      <c r="M772" s="11"/>
      <c r="N772" s="100"/>
      <c r="O772" s="11">
        <f t="shared" si="174"/>
        <v>337686</v>
      </c>
      <c r="P772" s="11">
        <f t="shared" si="170"/>
        <v>337686</v>
      </c>
      <c r="Q772" s="11">
        <v>1.45</v>
      </c>
      <c r="R772" s="11">
        <f t="shared" si="171"/>
        <v>489644.7</v>
      </c>
      <c r="S772" s="11"/>
      <c r="T772" s="136">
        <f t="shared" si="175"/>
        <v>0</v>
      </c>
    </row>
    <row r="773" spans="1:20" ht="15.75" customHeight="1">
      <c r="A773" s="149">
        <v>12</v>
      </c>
      <c r="B773" s="273"/>
      <c r="C773" s="28" t="s">
        <v>3909</v>
      </c>
      <c r="D773" s="71">
        <v>8010</v>
      </c>
      <c r="E773" s="131">
        <f t="shared" si="178"/>
        <v>0</v>
      </c>
      <c r="F773" s="21" t="s">
        <v>1248</v>
      </c>
      <c r="G773" s="21">
        <f t="shared" si="176"/>
        <v>0</v>
      </c>
      <c r="H773" s="135">
        <f t="shared" si="173"/>
        <v>0</v>
      </c>
      <c r="I773" s="294">
        <v>45108</v>
      </c>
      <c r="J773" s="294"/>
      <c r="K773" s="11">
        <v>35670</v>
      </c>
      <c r="L773" s="11"/>
      <c r="M773" s="11"/>
      <c r="N773" s="100"/>
      <c r="O773" s="11">
        <f t="shared" si="174"/>
        <v>35670</v>
      </c>
      <c r="P773" s="11">
        <f t="shared" si="170"/>
        <v>35670</v>
      </c>
      <c r="Q773" s="11"/>
      <c r="R773" s="11">
        <f t="shared" si="171"/>
        <v>0</v>
      </c>
      <c r="S773" s="11"/>
      <c r="T773" s="136">
        <f t="shared" si="175"/>
        <v>0</v>
      </c>
    </row>
    <row r="774" spans="1:20" ht="15.75" customHeight="1">
      <c r="A774" s="149">
        <v>38</v>
      </c>
      <c r="B774" s="273">
        <f t="shared" si="177"/>
        <v>40050</v>
      </c>
      <c r="C774" s="28" t="s">
        <v>2758</v>
      </c>
      <c r="D774" s="71"/>
      <c r="E774" s="131">
        <f t="shared" si="178"/>
        <v>37780</v>
      </c>
      <c r="F774" s="21" t="s">
        <v>1248</v>
      </c>
      <c r="G774" s="21">
        <f t="shared" si="176"/>
        <v>41746.9</v>
      </c>
      <c r="H774" s="135">
        <f t="shared" si="173"/>
        <v>0</v>
      </c>
      <c r="I774" s="294">
        <v>45138</v>
      </c>
      <c r="J774" s="294"/>
      <c r="K774" s="11">
        <v>27980</v>
      </c>
      <c r="L774" s="11"/>
      <c r="M774" s="11"/>
      <c r="N774" s="100"/>
      <c r="O774" s="11">
        <f t="shared" si="174"/>
        <v>27980</v>
      </c>
      <c r="P774" s="11">
        <f t="shared" si="170"/>
        <v>27980</v>
      </c>
      <c r="Q774" s="11">
        <v>1.35</v>
      </c>
      <c r="R774" s="11">
        <f t="shared" si="171"/>
        <v>37773</v>
      </c>
      <c r="S774" s="11"/>
      <c r="T774" s="136">
        <f t="shared" si="175"/>
        <v>0</v>
      </c>
    </row>
    <row r="775" spans="1:20" ht="15.75" customHeight="1">
      <c r="A775" s="149">
        <v>108</v>
      </c>
      <c r="B775" s="273"/>
      <c r="C775" s="28" t="s">
        <v>4136</v>
      </c>
      <c r="D775" s="71"/>
      <c r="E775" s="131">
        <f t="shared" si="178"/>
        <v>83810</v>
      </c>
      <c r="F775" s="21">
        <f>+E775*1.21</f>
        <v>101410.09999999999</v>
      </c>
      <c r="G775" s="21"/>
      <c r="H775" s="135">
        <f t="shared" si="173"/>
        <v>0</v>
      </c>
      <c r="I775" s="294">
        <v>45252</v>
      </c>
      <c r="J775" s="294">
        <v>45387</v>
      </c>
      <c r="K775" s="11">
        <f>0.765*75554</f>
        <v>57798.81</v>
      </c>
      <c r="L775" s="11"/>
      <c r="M775" s="11"/>
      <c r="N775" s="100"/>
      <c r="O775" s="11">
        <f t="shared" si="174"/>
        <v>57798.81</v>
      </c>
      <c r="P775" s="11">
        <f t="shared" si="170"/>
        <v>57798.81</v>
      </c>
      <c r="Q775" s="11">
        <v>1.45</v>
      </c>
      <c r="R775" s="11">
        <f t="shared" si="171"/>
        <v>83808.2745</v>
      </c>
      <c r="S775" s="11"/>
      <c r="T775" s="136">
        <f t="shared" si="175"/>
        <v>0</v>
      </c>
    </row>
    <row r="776" spans="1:20" ht="15.75" customHeight="1">
      <c r="A776" s="149">
        <v>44</v>
      </c>
      <c r="B776" s="273">
        <f>ROUNDUP(E776*1.105,-1)</f>
        <v>718870</v>
      </c>
      <c r="C776" s="28" t="s">
        <v>1468</v>
      </c>
      <c r="D776" s="71">
        <v>23500</v>
      </c>
      <c r="E776" s="140">
        <f t="shared" si="178"/>
        <v>650560</v>
      </c>
      <c r="F776" s="21">
        <f>+E776*1.21</f>
        <v>787177.6</v>
      </c>
      <c r="G776" s="21">
        <f>+H776+E1926+ALIAFOR!N372</f>
        <v>884633.12661021249</v>
      </c>
      <c r="H776" s="135">
        <f t="shared" si="173"/>
        <v>582230</v>
      </c>
      <c r="I776" s="294">
        <v>45287</v>
      </c>
      <c r="J776" s="294">
        <v>45329</v>
      </c>
      <c r="K776" s="10">
        <f>+$K$1523+$K$716*2+PROVEEDORES!$D$38*494.78</f>
        <v>464684.39999999997</v>
      </c>
      <c r="L776" s="10"/>
      <c r="M776" s="11"/>
      <c r="N776" s="10">
        <f>+$K$1523+$K$716*2+389070</f>
        <v>415874.1</v>
      </c>
      <c r="O776" s="11">
        <f t="shared" si="174"/>
        <v>464684.39999999997</v>
      </c>
      <c r="P776" s="11">
        <f t="shared" si="170"/>
        <v>464684.39999999997</v>
      </c>
      <c r="Q776" s="11">
        <v>1.4</v>
      </c>
      <c r="R776" s="11">
        <f t="shared" si="171"/>
        <v>650558.15999999992</v>
      </c>
      <c r="S776" s="11"/>
      <c r="T776" s="136">
        <f t="shared" si="175"/>
        <v>582223.73999999987</v>
      </c>
    </row>
    <row r="777" spans="1:20" ht="15.75" customHeight="1">
      <c r="A777" s="149"/>
      <c r="B777" s="273"/>
      <c r="C777" s="28" t="s">
        <v>1469</v>
      </c>
      <c r="D777" s="71"/>
      <c r="E777" s="131">
        <f t="shared" si="178"/>
        <v>0</v>
      </c>
      <c r="F777" s="21" t="s">
        <v>1248</v>
      </c>
      <c r="G777" s="21">
        <f>+E777*1.105</f>
        <v>0</v>
      </c>
      <c r="H777" s="135">
        <f t="shared" si="173"/>
        <v>0</v>
      </c>
      <c r="I777" s="294"/>
      <c r="J777" s="294">
        <v>42921</v>
      </c>
      <c r="K777" s="10">
        <f>55000*1.45*1.2</f>
        <v>95700</v>
      </c>
      <c r="L777" s="11"/>
      <c r="M777" s="11"/>
      <c r="N777" s="100"/>
      <c r="O777" s="11">
        <f t="shared" si="174"/>
        <v>95700</v>
      </c>
      <c r="P777" s="11">
        <f t="shared" si="170"/>
        <v>95700</v>
      </c>
      <c r="Q777" s="11"/>
      <c r="R777" s="11">
        <f t="shared" si="171"/>
        <v>0</v>
      </c>
      <c r="S777" s="11"/>
      <c r="T777" s="136">
        <f t="shared" si="175"/>
        <v>0</v>
      </c>
    </row>
    <row r="778" spans="1:20" ht="15.75" customHeight="1">
      <c r="A778" s="149">
        <v>41</v>
      </c>
      <c r="B778" s="273">
        <f t="shared" si="177"/>
        <v>3921680</v>
      </c>
      <c r="C778" s="28" t="s">
        <v>1470</v>
      </c>
      <c r="D778" s="71">
        <v>201150</v>
      </c>
      <c r="E778" s="132">
        <f t="shared" si="178"/>
        <v>3699690</v>
      </c>
      <c r="F778" s="21" t="s">
        <v>1248</v>
      </c>
      <c r="G778" s="21">
        <f>+E778*1.105</f>
        <v>4088157.4499999997</v>
      </c>
      <c r="H778" s="135">
        <f t="shared" si="173"/>
        <v>3609370</v>
      </c>
      <c r="I778" s="294">
        <v>45311</v>
      </c>
      <c r="J778" s="294"/>
      <c r="K778" s="11">
        <f>PROVEEDORES!$D$35*0.9*0.9*3162</f>
        <v>2740505.4000000004</v>
      </c>
      <c r="L778" s="11"/>
      <c r="M778" s="11"/>
      <c r="N778" s="100">
        <f>0.9*0.95*0.95*3291600</f>
        <v>2673602.0999999996</v>
      </c>
      <c r="O778" s="11">
        <f t="shared" si="174"/>
        <v>2740505.4000000004</v>
      </c>
      <c r="P778" s="11">
        <f t="shared" si="170"/>
        <v>2740505.4000000004</v>
      </c>
      <c r="Q778" s="11">
        <v>1.35</v>
      </c>
      <c r="R778" s="11">
        <f t="shared" si="171"/>
        <v>3699682.290000001</v>
      </c>
      <c r="S778" s="11"/>
      <c r="T778" s="136">
        <f t="shared" si="175"/>
        <v>3609362.835</v>
      </c>
    </row>
    <row r="779" spans="1:20" ht="15.75" customHeight="1">
      <c r="A779" s="149">
        <v>41</v>
      </c>
      <c r="B779" s="273">
        <f t="shared" si="177"/>
        <v>3596730</v>
      </c>
      <c r="C779" s="28" t="s">
        <v>4277</v>
      </c>
      <c r="D779" s="71">
        <v>177760</v>
      </c>
      <c r="E779" s="132">
        <f t="shared" si="178"/>
        <v>3393140</v>
      </c>
      <c r="F779" s="21" t="s">
        <v>1248</v>
      </c>
      <c r="G779" s="21">
        <f>+E779*1.105</f>
        <v>3749419.6999999997</v>
      </c>
      <c r="H779" s="135">
        <f t="shared" si="173"/>
        <v>3290060</v>
      </c>
      <c r="I779" s="294">
        <v>45311</v>
      </c>
      <c r="J779" s="294"/>
      <c r="K779" s="11">
        <f>PROVEEDORES!$D$35*0.9*0.9*2900</f>
        <v>2513430</v>
      </c>
      <c r="L779" s="11"/>
      <c r="M779" s="10"/>
      <c r="N779" s="100">
        <f>0.9*0.95*0.95*3000400</f>
        <v>2437074.9</v>
      </c>
      <c r="O779" s="11">
        <f t="shared" si="174"/>
        <v>2513430</v>
      </c>
      <c r="P779" s="11">
        <f t="shared" si="170"/>
        <v>2513430</v>
      </c>
      <c r="Q779" s="11">
        <v>1.35</v>
      </c>
      <c r="R779" s="11">
        <f t="shared" si="171"/>
        <v>3393130.5</v>
      </c>
      <c r="S779" s="11"/>
      <c r="T779" s="136">
        <f t="shared" si="175"/>
        <v>3290051.1150000002</v>
      </c>
    </row>
    <row r="780" spans="1:20" ht="15.75" customHeight="1">
      <c r="A780" s="149">
        <v>87</v>
      </c>
      <c r="B780" s="273"/>
      <c r="C780" s="28" t="s">
        <v>2768</v>
      </c>
      <c r="D780" s="71">
        <v>140</v>
      </c>
      <c r="E780" s="131">
        <f t="shared" si="178"/>
        <v>1650</v>
      </c>
      <c r="F780" s="21">
        <f t="shared" ref="F780:F785" si="179">+E780*1.21</f>
        <v>1996.5</v>
      </c>
      <c r="G780" s="21"/>
      <c r="H780" s="135">
        <f t="shared" si="173"/>
        <v>0</v>
      </c>
      <c r="I780" s="23">
        <v>45323</v>
      </c>
      <c r="J780" s="294"/>
      <c r="K780" s="10">
        <v>1100</v>
      </c>
      <c r="L780" s="11"/>
      <c r="M780" s="11"/>
      <c r="N780" s="100"/>
      <c r="O780" s="11">
        <f t="shared" si="174"/>
        <v>1100</v>
      </c>
      <c r="P780" s="11">
        <f t="shared" si="170"/>
        <v>1100</v>
      </c>
      <c r="Q780" s="11">
        <v>1.5</v>
      </c>
      <c r="R780" s="11">
        <f t="shared" si="171"/>
        <v>1650</v>
      </c>
      <c r="S780" s="11"/>
      <c r="T780" s="136">
        <f t="shared" si="175"/>
        <v>0</v>
      </c>
    </row>
    <row r="781" spans="1:20" ht="15.75" customHeight="1">
      <c r="A781" s="149" t="s">
        <v>2398</v>
      </c>
      <c r="B781" s="273"/>
      <c r="C781" s="28" t="s">
        <v>3896</v>
      </c>
      <c r="D781" s="71">
        <v>700</v>
      </c>
      <c r="E781" s="131">
        <f t="shared" si="178"/>
        <v>15740</v>
      </c>
      <c r="F781" s="21">
        <f t="shared" si="179"/>
        <v>19045.399999999998</v>
      </c>
      <c r="G781" s="21"/>
      <c r="H781" s="135">
        <f t="shared" si="173"/>
        <v>0</v>
      </c>
      <c r="I781" s="23">
        <v>45323</v>
      </c>
      <c r="J781" s="294"/>
      <c r="K781" s="10">
        <f>0.8*0.98*0.94*0.95*14498</f>
        <v>10150.223775999999</v>
      </c>
      <c r="L781" s="11"/>
      <c r="M781" s="11"/>
      <c r="N781" s="100"/>
      <c r="O781" s="11">
        <f t="shared" si="174"/>
        <v>10150.223775999999</v>
      </c>
      <c r="P781" s="11">
        <f>+O781*'AUMENTOS %'!$B$5</f>
        <v>10150.223775999999</v>
      </c>
      <c r="Q781" s="11">
        <v>1.55</v>
      </c>
      <c r="R781" s="11">
        <f t="shared" si="171"/>
        <v>15732.846852799999</v>
      </c>
      <c r="S781" s="11"/>
      <c r="T781" s="136">
        <f t="shared" si="175"/>
        <v>0</v>
      </c>
    </row>
    <row r="782" spans="1:20" ht="15.75" customHeight="1">
      <c r="A782" s="149" t="s">
        <v>2398</v>
      </c>
      <c r="B782" s="273"/>
      <c r="C782" s="28" t="s">
        <v>37276</v>
      </c>
      <c r="D782" s="41">
        <v>700</v>
      </c>
      <c r="E782" s="131">
        <f t="shared" si="178"/>
        <v>12410</v>
      </c>
      <c r="F782" s="21">
        <f t="shared" si="179"/>
        <v>15016.1</v>
      </c>
      <c r="G782" s="21"/>
      <c r="H782" s="135">
        <f t="shared" si="173"/>
        <v>0</v>
      </c>
      <c r="I782" s="23">
        <v>45323</v>
      </c>
      <c r="J782" s="294"/>
      <c r="K782" s="10">
        <f>0.8*0.98*0.94*0.95*14292*0.8</f>
        <v>8004.8005632000004</v>
      </c>
      <c r="L782" s="11"/>
      <c r="M782" s="11"/>
      <c r="N782" s="100"/>
      <c r="O782" s="11">
        <f t="shared" si="174"/>
        <v>8004.8005632000004</v>
      </c>
      <c r="P782" s="11">
        <f>+O782*'AUMENTOS %'!$B$5</f>
        <v>8004.8005632000004</v>
      </c>
      <c r="Q782" s="11">
        <v>1.55</v>
      </c>
      <c r="R782" s="11">
        <f t="shared" si="171"/>
        <v>12407.440872960002</v>
      </c>
      <c r="S782" s="11"/>
      <c r="T782" s="136">
        <f t="shared" si="175"/>
        <v>0</v>
      </c>
    </row>
    <row r="783" spans="1:20" ht="15.75" customHeight="1">
      <c r="A783" s="149" t="s">
        <v>2398</v>
      </c>
      <c r="B783" s="273"/>
      <c r="C783" s="28" t="s">
        <v>3843</v>
      </c>
      <c r="D783" s="41">
        <v>700</v>
      </c>
      <c r="E783" s="131">
        <f t="shared" si="178"/>
        <v>45660</v>
      </c>
      <c r="F783" s="21">
        <f t="shared" si="179"/>
        <v>55248.6</v>
      </c>
      <c r="G783" s="21"/>
      <c r="H783" s="135">
        <f t="shared" si="173"/>
        <v>0</v>
      </c>
      <c r="I783" s="23">
        <v>45323</v>
      </c>
      <c r="J783" s="294"/>
      <c r="K783" s="10">
        <f>0.8*0.98*0.94*0.95*42075</f>
        <v>29457.212399999997</v>
      </c>
      <c r="L783" s="11"/>
      <c r="M783" s="11"/>
      <c r="N783" s="100"/>
      <c r="O783" s="11">
        <f t="shared" si="174"/>
        <v>29457.212399999997</v>
      </c>
      <c r="P783" s="11">
        <f>+O783*'AUMENTOS %'!$B$5</f>
        <v>29457.212399999997</v>
      </c>
      <c r="Q783" s="11">
        <v>1.55</v>
      </c>
      <c r="R783" s="11">
        <f t="shared" si="171"/>
        <v>45658.679219999998</v>
      </c>
      <c r="S783" s="11"/>
      <c r="T783" s="136">
        <f t="shared" si="175"/>
        <v>0</v>
      </c>
    </row>
    <row r="784" spans="1:20" ht="15.75" customHeight="1">
      <c r="A784" s="149" t="s">
        <v>2398</v>
      </c>
      <c r="B784" s="273"/>
      <c r="C784" s="28" t="s">
        <v>37277</v>
      </c>
      <c r="D784" s="41">
        <v>1720</v>
      </c>
      <c r="E784" s="131">
        <f t="shared" si="178"/>
        <v>38520</v>
      </c>
      <c r="F784" s="21">
        <f t="shared" si="179"/>
        <v>46609.2</v>
      </c>
      <c r="G784" s="21"/>
      <c r="H784" s="135">
        <f t="shared" si="173"/>
        <v>0</v>
      </c>
      <c r="I784" s="23">
        <v>45323</v>
      </c>
      <c r="J784" s="294"/>
      <c r="K784" s="11">
        <f>0.8*0.98*0.94*0.95*35489</f>
        <v>24846.274767999999</v>
      </c>
      <c r="L784" s="11"/>
      <c r="M784" s="10"/>
      <c r="N784" s="100"/>
      <c r="O784" s="11">
        <f t="shared" si="174"/>
        <v>24846.274767999999</v>
      </c>
      <c r="P784" s="11">
        <f>+O784*'AUMENTOS %'!$B$5</f>
        <v>24846.274767999999</v>
      </c>
      <c r="Q784" s="11">
        <v>1.55</v>
      </c>
      <c r="R784" s="11">
        <f t="shared" si="171"/>
        <v>38511.725890399997</v>
      </c>
      <c r="S784" s="11"/>
      <c r="T784" s="136">
        <f t="shared" si="175"/>
        <v>0</v>
      </c>
    </row>
    <row r="785" spans="1:20" ht="15.75" customHeight="1">
      <c r="A785" s="149" t="s">
        <v>2398</v>
      </c>
      <c r="B785" s="273"/>
      <c r="C785" s="28" t="s">
        <v>37278</v>
      </c>
      <c r="D785" s="41">
        <v>1720</v>
      </c>
      <c r="E785" s="131">
        <f t="shared" si="178"/>
        <v>6110</v>
      </c>
      <c r="F785" s="21">
        <f t="shared" si="179"/>
        <v>7393.0999999999995</v>
      </c>
      <c r="G785" s="21"/>
      <c r="H785" s="135">
        <f t="shared" si="173"/>
        <v>0</v>
      </c>
      <c r="I785" s="23">
        <v>45323</v>
      </c>
      <c r="J785" s="294"/>
      <c r="K785" s="11">
        <f>0.8*0.98*0.94*0.95*5626</f>
        <v>3938.8301119999996</v>
      </c>
      <c r="L785" s="11"/>
      <c r="M785" s="10"/>
      <c r="N785" s="100"/>
      <c r="O785" s="11">
        <f t="shared" si="174"/>
        <v>3938.8301119999996</v>
      </c>
      <c r="P785" s="11">
        <f>+O785*'AUMENTOS %'!$B$5</f>
        <v>3938.8301119999996</v>
      </c>
      <c r="Q785" s="11">
        <v>1.55</v>
      </c>
      <c r="R785" s="11">
        <f t="shared" si="171"/>
        <v>6105.1866735999993</v>
      </c>
      <c r="S785" s="11"/>
      <c r="T785" s="136">
        <f t="shared" si="175"/>
        <v>0</v>
      </c>
    </row>
    <row r="786" spans="1:20" ht="15.75" customHeight="1">
      <c r="A786" s="149">
        <v>87</v>
      </c>
      <c r="B786" s="273"/>
      <c r="C786" s="28" t="s">
        <v>1471</v>
      </c>
      <c r="D786" s="41">
        <v>35</v>
      </c>
      <c r="E786" s="131">
        <f t="shared" si="178"/>
        <v>0</v>
      </c>
      <c r="F786" s="21" t="s">
        <v>1248</v>
      </c>
      <c r="G786" s="21"/>
      <c r="H786" s="135">
        <f t="shared" si="173"/>
        <v>0</v>
      </c>
      <c r="I786" s="294"/>
      <c r="J786" s="294"/>
      <c r="K786" s="10">
        <f>16*2</f>
        <v>32</v>
      </c>
      <c r="L786" s="11"/>
      <c r="M786" s="11"/>
      <c r="N786" s="100"/>
      <c r="O786" s="11">
        <f t="shared" si="174"/>
        <v>32</v>
      </c>
      <c r="P786" s="11">
        <f t="shared" si="170"/>
        <v>32</v>
      </c>
      <c r="Q786" s="11"/>
      <c r="R786" s="11">
        <f t="shared" si="171"/>
        <v>0</v>
      </c>
      <c r="S786" s="11"/>
      <c r="T786" s="136">
        <f t="shared" si="175"/>
        <v>0</v>
      </c>
    </row>
    <row r="787" spans="1:20" ht="15.75" customHeight="1">
      <c r="A787" s="149" t="s">
        <v>2398</v>
      </c>
      <c r="B787" s="273"/>
      <c r="C787" s="28" t="s">
        <v>3850</v>
      </c>
      <c r="D787" s="71">
        <v>3250</v>
      </c>
      <c r="E787" s="131">
        <f t="shared" si="178"/>
        <v>65140</v>
      </c>
      <c r="F787" s="21">
        <f t="shared" ref="F787:F819" si="180">+E787*1.21</f>
        <v>78819.399999999994</v>
      </c>
      <c r="G787" s="21"/>
      <c r="H787" s="135">
        <f t="shared" si="173"/>
        <v>0</v>
      </c>
      <c r="I787" s="23">
        <v>45323</v>
      </c>
      <c r="J787" s="294"/>
      <c r="K787" s="10">
        <f>0.8*0.92*0.98*0.95*61328</f>
        <v>42022.926848000003</v>
      </c>
      <c r="L787" s="11"/>
      <c r="M787" s="11"/>
      <c r="N787" s="100"/>
      <c r="O787" s="11">
        <f t="shared" si="174"/>
        <v>42022.926848000003</v>
      </c>
      <c r="P787" s="11">
        <f>+O787*'AUMENTOS %'!$B$5</f>
        <v>42022.926848000003</v>
      </c>
      <c r="Q787" s="11">
        <v>1.55</v>
      </c>
      <c r="R787" s="11">
        <f t="shared" si="171"/>
        <v>65135.536614400007</v>
      </c>
      <c r="S787" s="11"/>
      <c r="T787" s="136">
        <f t="shared" si="175"/>
        <v>0</v>
      </c>
    </row>
    <row r="788" spans="1:20" ht="15.75" customHeight="1">
      <c r="A788" s="149">
        <v>38</v>
      </c>
      <c r="B788" s="273"/>
      <c r="C788" s="28" t="s">
        <v>4469</v>
      </c>
      <c r="D788" s="71">
        <v>440</v>
      </c>
      <c r="E788" s="131">
        <f t="shared" si="178"/>
        <v>1800</v>
      </c>
      <c r="F788" s="21">
        <f t="shared" si="180"/>
        <v>2178</v>
      </c>
      <c r="G788" s="21"/>
      <c r="H788" s="135">
        <f t="shared" si="173"/>
        <v>0</v>
      </c>
      <c r="I788" s="294">
        <v>45138</v>
      </c>
      <c r="J788" s="294"/>
      <c r="K788" s="10">
        <f>+'AUMENTOS %'!$B$9*1195</f>
        <v>1195</v>
      </c>
      <c r="L788" s="11"/>
      <c r="M788" s="11"/>
      <c r="N788" s="100"/>
      <c r="O788" s="11">
        <f>MIN(K788:M788)*'AUMENTOS %'!$B$9</f>
        <v>1195</v>
      </c>
      <c r="P788" s="11">
        <f t="shared" si="170"/>
        <v>1195</v>
      </c>
      <c r="Q788" s="11">
        <v>1.5</v>
      </c>
      <c r="R788" s="11">
        <f t="shared" si="171"/>
        <v>1792.5</v>
      </c>
      <c r="S788" s="11"/>
      <c r="T788" s="136">
        <f t="shared" si="175"/>
        <v>0</v>
      </c>
    </row>
    <row r="789" spans="1:20" ht="15.75" customHeight="1">
      <c r="A789" s="149">
        <v>38</v>
      </c>
      <c r="B789" s="273"/>
      <c r="C789" s="28" t="s">
        <v>4470</v>
      </c>
      <c r="D789" s="71">
        <v>180</v>
      </c>
      <c r="E789" s="131">
        <f t="shared" si="178"/>
        <v>2810</v>
      </c>
      <c r="F789" s="21">
        <f t="shared" si="180"/>
        <v>3400.1</v>
      </c>
      <c r="G789" s="21"/>
      <c r="H789" s="135">
        <f t="shared" si="173"/>
        <v>0</v>
      </c>
      <c r="I789" s="294">
        <v>45138</v>
      </c>
      <c r="J789" s="294"/>
      <c r="K789" s="10">
        <f>+'AUMENTOS %'!$B$9*1871</f>
        <v>1871</v>
      </c>
      <c r="L789" s="11"/>
      <c r="M789" s="11"/>
      <c r="N789" s="100"/>
      <c r="O789" s="11">
        <f>MIN(K789:M789)*'AUMENTOS %'!$B$9</f>
        <v>1871</v>
      </c>
      <c r="P789" s="11">
        <f t="shared" si="170"/>
        <v>1871</v>
      </c>
      <c r="Q789" s="11">
        <v>1.5</v>
      </c>
      <c r="R789" s="11">
        <f t="shared" si="171"/>
        <v>2806.5</v>
      </c>
      <c r="S789" s="11"/>
      <c r="T789" s="136">
        <f t="shared" si="175"/>
        <v>0</v>
      </c>
    </row>
    <row r="790" spans="1:20" ht="15.75" customHeight="1">
      <c r="A790" s="149" t="s">
        <v>2403</v>
      </c>
      <c r="B790" s="273"/>
      <c r="C790" s="28" t="s">
        <v>2174</v>
      </c>
      <c r="D790" s="71">
        <v>220</v>
      </c>
      <c r="E790" s="131">
        <f t="shared" si="178"/>
        <v>0</v>
      </c>
      <c r="F790" s="21">
        <f t="shared" si="180"/>
        <v>0</v>
      </c>
      <c r="G790" s="21"/>
      <c r="H790" s="135">
        <f t="shared" si="173"/>
        <v>0</v>
      </c>
      <c r="I790" s="294">
        <v>44208</v>
      </c>
      <c r="J790" s="294"/>
      <c r="K790" s="10"/>
      <c r="L790" s="11">
        <f>0.6*427</f>
        <v>256.2</v>
      </c>
      <c r="M790" s="11"/>
      <c r="N790" s="100"/>
      <c r="O790" s="11">
        <f t="shared" ref="O790:O852" si="181">MIN(K790:M790)</f>
        <v>256.2</v>
      </c>
      <c r="P790" s="11">
        <f t="shared" si="170"/>
        <v>256.2</v>
      </c>
      <c r="Q790" s="11"/>
      <c r="R790" s="11">
        <f t="shared" si="171"/>
        <v>0</v>
      </c>
      <c r="S790" s="11"/>
      <c r="T790" s="136">
        <f t="shared" si="175"/>
        <v>0</v>
      </c>
    </row>
    <row r="791" spans="1:20" ht="15.75" customHeight="1">
      <c r="A791" s="149" t="s">
        <v>2564</v>
      </c>
      <c r="B791" s="273"/>
      <c r="C791" s="28" t="s">
        <v>1472</v>
      </c>
      <c r="D791" s="71">
        <v>250</v>
      </c>
      <c r="E791" s="131">
        <f t="shared" si="178"/>
        <v>5120</v>
      </c>
      <c r="F791" s="21">
        <f t="shared" si="180"/>
        <v>6195.2</v>
      </c>
      <c r="G791" s="21"/>
      <c r="H791" s="135">
        <f t="shared" si="173"/>
        <v>0</v>
      </c>
      <c r="I791" s="294">
        <v>45359</v>
      </c>
      <c r="J791" s="294"/>
      <c r="K791" s="10">
        <v>3200</v>
      </c>
      <c r="L791" s="32"/>
      <c r="M791" s="11"/>
      <c r="N791" s="100"/>
      <c r="O791" s="11">
        <f t="shared" si="181"/>
        <v>3200</v>
      </c>
      <c r="P791" s="11">
        <f t="shared" si="170"/>
        <v>3200</v>
      </c>
      <c r="Q791" s="11">
        <v>1.6</v>
      </c>
      <c r="R791" s="11">
        <f t="shared" si="171"/>
        <v>5120</v>
      </c>
      <c r="S791" s="11"/>
      <c r="T791" s="136">
        <f t="shared" si="175"/>
        <v>0</v>
      </c>
    </row>
    <row r="792" spans="1:20" ht="15.75" customHeight="1">
      <c r="A792" s="149">
        <v>12</v>
      </c>
      <c r="B792" s="273"/>
      <c r="C792" s="28" t="s">
        <v>44332</v>
      </c>
      <c r="D792" s="71"/>
      <c r="E792" s="131">
        <f t="shared" si="178"/>
        <v>5750</v>
      </c>
      <c r="F792" s="21">
        <f t="shared" si="180"/>
        <v>6957.5</v>
      </c>
      <c r="G792" s="21"/>
      <c r="H792" s="135">
        <f t="shared" si="173"/>
        <v>0</v>
      </c>
      <c r="I792" s="294">
        <v>45288</v>
      </c>
      <c r="J792" s="294"/>
      <c r="K792" s="10">
        <v>3380</v>
      </c>
      <c r="L792" s="32"/>
      <c r="M792" s="11"/>
      <c r="N792" s="100"/>
      <c r="O792" s="11">
        <f t="shared" si="181"/>
        <v>3380</v>
      </c>
      <c r="P792" s="11">
        <f t="shared" ref="P792:P856" si="182">+O792</f>
        <v>3380</v>
      </c>
      <c r="Q792" s="11">
        <v>1.7</v>
      </c>
      <c r="R792" s="11">
        <f t="shared" ref="R792:R856" si="183">+P792*Q792</f>
        <v>5746</v>
      </c>
      <c r="S792" s="11"/>
      <c r="T792" s="136">
        <f t="shared" si="175"/>
        <v>0</v>
      </c>
    </row>
    <row r="793" spans="1:20" ht="15.75" customHeight="1">
      <c r="A793" s="149">
        <v>30</v>
      </c>
      <c r="B793" s="273"/>
      <c r="C793" s="28" t="s">
        <v>2908</v>
      </c>
      <c r="D793" s="71"/>
      <c r="E793" s="131">
        <f t="shared" si="178"/>
        <v>0</v>
      </c>
      <c r="F793" s="21">
        <f t="shared" si="180"/>
        <v>0</v>
      </c>
      <c r="G793" s="21"/>
      <c r="H793" s="135">
        <f t="shared" si="173"/>
        <v>0</v>
      </c>
      <c r="I793" s="294"/>
      <c r="J793" s="294">
        <v>44348</v>
      </c>
      <c r="K793" s="10">
        <f>1470*1.1</f>
        <v>1617.0000000000002</v>
      </c>
      <c r="L793" s="11"/>
      <c r="M793" s="11"/>
      <c r="N793" s="100"/>
      <c r="O793" s="11">
        <f t="shared" si="181"/>
        <v>1617.0000000000002</v>
      </c>
      <c r="P793" s="11">
        <f t="shared" si="182"/>
        <v>1617.0000000000002</v>
      </c>
      <c r="Q793" s="11"/>
      <c r="R793" s="11">
        <f t="shared" si="183"/>
        <v>0</v>
      </c>
      <c r="S793" s="11"/>
      <c r="T793" s="136">
        <f t="shared" si="175"/>
        <v>0</v>
      </c>
    </row>
    <row r="794" spans="1:20" ht="15.75" customHeight="1">
      <c r="A794" s="149">
        <v>30</v>
      </c>
      <c r="B794" s="273"/>
      <c r="C794" s="28" t="s">
        <v>2939</v>
      </c>
      <c r="D794" s="71">
        <v>370</v>
      </c>
      <c r="E794" s="131">
        <f t="shared" si="178"/>
        <v>12090</v>
      </c>
      <c r="F794" s="21">
        <f t="shared" si="180"/>
        <v>14628.9</v>
      </c>
      <c r="G794" s="21"/>
      <c r="H794" s="135">
        <f t="shared" si="173"/>
        <v>0</v>
      </c>
      <c r="I794" s="294">
        <v>45278</v>
      </c>
      <c r="J794" s="294"/>
      <c r="K794" s="11">
        <f>0.67*PROVEEDORES!$D$24*13.59</f>
        <v>8058.1905000000006</v>
      </c>
      <c r="L794" s="148"/>
      <c r="M794" s="11"/>
      <c r="N794" s="100"/>
      <c r="O794" s="11">
        <f t="shared" si="181"/>
        <v>8058.1905000000006</v>
      </c>
      <c r="P794" s="11">
        <f t="shared" si="182"/>
        <v>8058.1905000000006</v>
      </c>
      <c r="Q794" s="11">
        <v>1.5</v>
      </c>
      <c r="R794" s="11">
        <f t="shared" si="183"/>
        <v>12087.285750000001</v>
      </c>
      <c r="S794" s="11"/>
      <c r="T794" s="136">
        <f t="shared" si="175"/>
        <v>0</v>
      </c>
    </row>
    <row r="795" spans="1:20" ht="15.75" customHeight="1">
      <c r="A795" s="149">
        <v>30</v>
      </c>
      <c r="B795" s="273"/>
      <c r="C795" s="28" t="s">
        <v>2940</v>
      </c>
      <c r="D795" s="71">
        <v>620</v>
      </c>
      <c r="E795" s="131">
        <f t="shared" si="178"/>
        <v>17890</v>
      </c>
      <c r="F795" s="21">
        <f t="shared" si="180"/>
        <v>21646.899999999998</v>
      </c>
      <c r="G795" s="21"/>
      <c r="H795" s="135">
        <f t="shared" si="173"/>
        <v>0</v>
      </c>
      <c r="I795" s="294">
        <v>45278</v>
      </c>
      <c r="J795" s="294"/>
      <c r="K795" s="11">
        <f>0.67*PROVEEDORES!$D$24*20.11</f>
        <v>11924.2245</v>
      </c>
      <c r="L795" s="148"/>
      <c r="M795" s="11"/>
      <c r="N795" s="100"/>
      <c r="O795" s="11">
        <f t="shared" si="181"/>
        <v>11924.2245</v>
      </c>
      <c r="P795" s="11">
        <f t="shared" si="182"/>
        <v>11924.2245</v>
      </c>
      <c r="Q795" s="11">
        <v>1.5</v>
      </c>
      <c r="R795" s="11">
        <f t="shared" si="183"/>
        <v>17886.336750000002</v>
      </c>
      <c r="S795" s="11"/>
      <c r="T795" s="136">
        <f t="shared" si="175"/>
        <v>0</v>
      </c>
    </row>
    <row r="796" spans="1:20" ht="15.75" customHeight="1">
      <c r="A796" s="149"/>
      <c r="B796" s="273"/>
      <c r="C796" s="28" t="s">
        <v>2170</v>
      </c>
      <c r="D796" s="71">
        <v>200</v>
      </c>
      <c r="E796" s="131">
        <f t="shared" si="178"/>
        <v>0</v>
      </c>
      <c r="F796" s="21">
        <f t="shared" si="180"/>
        <v>0</v>
      </c>
      <c r="G796" s="21"/>
      <c r="H796" s="135">
        <f t="shared" si="173"/>
        <v>0</v>
      </c>
      <c r="I796" s="294"/>
      <c r="J796" s="294">
        <v>43798</v>
      </c>
      <c r="K796" s="10">
        <f>124*1.6</f>
        <v>198.4</v>
      </c>
      <c r="L796" s="11"/>
      <c r="M796" s="11"/>
      <c r="N796" s="100"/>
      <c r="O796" s="11">
        <f t="shared" si="181"/>
        <v>198.4</v>
      </c>
      <c r="P796" s="11">
        <f>+O796*'AUMENTOS %'!$D$12</f>
        <v>198.4</v>
      </c>
      <c r="Q796" s="11"/>
      <c r="R796" s="11">
        <f t="shared" si="183"/>
        <v>0</v>
      </c>
      <c r="S796" s="11"/>
      <c r="T796" s="136">
        <f t="shared" si="175"/>
        <v>0</v>
      </c>
    </row>
    <row r="797" spans="1:20" ht="15.75" customHeight="1">
      <c r="A797" s="149">
        <v>78</v>
      </c>
      <c r="B797" s="273"/>
      <c r="C797" s="28" t="s">
        <v>1473</v>
      </c>
      <c r="D797" s="71">
        <v>630</v>
      </c>
      <c r="E797" s="131">
        <f t="shared" si="178"/>
        <v>0</v>
      </c>
      <c r="F797" s="21">
        <f t="shared" si="180"/>
        <v>0</v>
      </c>
      <c r="G797" s="21"/>
      <c r="H797" s="135">
        <f t="shared" si="173"/>
        <v>0</v>
      </c>
      <c r="I797" s="294"/>
      <c r="J797" s="294">
        <v>44484</v>
      </c>
      <c r="K797" s="10">
        <f>0.9*0.63*2299</f>
        <v>1303.5330000000001</v>
      </c>
      <c r="L797" s="10"/>
      <c r="M797" s="11"/>
      <c r="N797" s="100"/>
      <c r="O797" s="11">
        <f t="shared" si="181"/>
        <v>1303.5330000000001</v>
      </c>
      <c r="P797" s="11">
        <f t="shared" si="182"/>
        <v>1303.5330000000001</v>
      </c>
      <c r="Q797" s="11"/>
      <c r="R797" s="11">
        <f t="shared" si="183"/>
        <v>0</v>
      </c>
      <c r="S797" s="11"/>
      <c r="T797" s="136">
        <f t="shared" si="175"/>
        <v>0</v>
      </c>
    </row>
    <row r="798" spans="1:20" ht="15.75" customHeight="1">
      <c r="A798" s="149">
        <v>44</v>
      </c>
      <c r="B798" s="273"/>
      <c r="C798" s="28" t="s">
        <v>2894</v>
      </c>
      <c r="D798" s="71">
        <v>1600</v>
      </c>
      <c r="E798" s="140">
        <f t="shared" si="178"/>
        <v>31510</v>
      </c>
      <c r="F798" s="21">
        <f t="shared" si="180"/>
        <v>38127.1</v>
      </c>
      <c r="G798" s="21"/>
      <c r="H798" s="135">
        <f t="shared" si="173"/>
        <v>0</v>
      </c>
      <c r="I798" s="294">
        <v>45254</v>
      </c>
      <c r="J798" s="294"/>
      <c r="K798" s="10">
        <f>+PROVEEDORES!$D$38*19.78</f>
        <v>17505.3</v>
      </c>
      <c r="L798" s="11"/>
      <c r="M798" s="11"/>
      <c r="N798" s="100"/>
      <c r="O798" s="11">
        <f t="shared" si="181"/>
        <v>17505.3</v>
      </c>
      <c r="P798" s="11">
        <f t="shared" si="182"/>
        <v>17505.3</v>
      </c>
      <c r="Q798" s="11">
        <v>1.8</v>
      </c>
      <c r="R798" s="11">
        <f t="shared" si="183"/>
        <v>31509.54</v>
      </c>
      <c r="S798" s="11"/>
      <c r="T798" s="136">
        <f t="shared" ref="T798:T863" si="184">+N798*Q798</f>
        <v>0</v>
      </c>
    </row>
    <row r="799" spans="1:20" ht="15.75" customHeight="1">
      <c r="A799" s="149">
        <v>106</v>
      </c>
      <c r="B799" s="273"/>
      <c r="C799" s="28" t="s">
        <v>3984</v>
      </c>
      <c r="D799" s="71"/>
      <c r="E799" s="131">
        <f t="shared" si="178"/>
        <v>12040</v>
      </c>
      <c r="F799" s="21">
        <f t="shared" si="180"/>
        <v>14568.4</v>
      </c>
      <c r="G799" s="21"/>
      <c r="H799" s="135">
        <f t="shared" si="173"/>
        <v>0</v>
      </c>
      <c r="I799" s="294">
        <v>45274</v>
      </c>
      <c r="J799" s="294">
        <v>45343</v>
      </c>
      <c r="K799" s="10">
        <f>0.82*9783</f>
        <v>8022.0599999999995</v>
      </c>
      <c r="L799" s="11"/>
      <c r="M799" s="11"/>
      <c r="N799" s="100"/>
      <c r="O799" s="11">
        <f t="shared" si="181"/>
        <v>8022.0599999999995</v>
      </c>
      <c r="P799" s="11">
        <f t="shared" si="182"/>
        <v>8022.0599999999995</v>
      </c>
      <c r="Q799" s="11">
        <v>1.5</v>
      </c>
      <c r="R799" s="11">
        <f t="shared" si="183"/>
        <v>12033.09</v>
      </c>
      <c r="S799" s="11"/>
      <c r="T799" s="136">
        <f t="shared" si="184"/>
        <v>0</v>
      </c>
    </row>
    <row r="800" spans="1:20" ht="15.75" customHeight="1">
      <c r="A800" s="149">
        <v>106</v>
      </c>
      <c r="B800" s="273"/>
      <c r="C800" s="28" t="s">
        <v>4553</v>
      </c>
      <c r="D800" s="71"/>
      <c r="E800" s="131">
        <f>ROUNDUP(R800,-1)</f>
        <v>12270</v>
      </c>
      <c r="F800" s="21">
        <f>+E800*1.21</f>
        <v>14846.699999999999</v>
      </c>
      <c r="G800" s="21"/>
      <c r="H800" s="135">
        <f>ROUNDUP(T800,-1)</f>
        <v>0</v>
      </c>
      <c r="I800" s="294">
        <v>45274</v>
      </c>
      <c r="J800" s="294">
        <v>45343</v>
      </c>
      <c r="K800" s="10">
        <f>0.82*9975</f>
        <v>8179.4999999999991</v>
      </c>
      <c r="L800" s="11"/>
      <c r="M800" s="11"/>
      <c r="N800" s="100"/>
      <c r="O800" s="11">
        <f>MIN(K800:M800)</f>
        <v>8179.4999999999991</v>
      </c>
      <c r="P800" s="11">
        <f>+O800</f>
        <v>8179.4999999999991</v>
      </c>
      <c r="Q800" s="11">
        <v>1.5</v>
      </c>
      <c r="R800" s="11">
        <f>+P800*Q800</f>
        <v>12269.249999999998</v>
      </c>
      <c r="S800" s="11"/>
      <c r="T800" s="136">
        <f>+N800*Q800</f>
        <v>0</v>
      </c>
    </row>
    <row r="801" spans="1:20" ht="15.75" customHeight="1">
      <c r="A801" s="149">
        <v>106</v>
      </c>
      <c r="B801" s="273"/>
      <c r="C801" s="28" t="s">
        <v>3966</v>
      </c>
      <c r="D801" s="71"/>
      <c r="E801" s="131">
        <f t="shared" si="178"/>
        <v>12700</v>
      </c>
      <c r="F801" s="21">
        <f t="shared" si="180"/>
        <v>15367</v>
      </c>
      <c r="G801" s="21"/>
      <c r="H801" s="135">
        <f t="shared" ref="H801:H865" si="185">ROUNDUP(T801,-1)</f>
        <v>0</v>
      </c>
      <c r="I801" s="294">
        <v>45274</v>
      </c>
      <c r="J801" s="294">
        <v>45334</v>
      </c>
      <c r="K801" s="10">
        <f>0.82*10322</f>
        <v>8464.0399999999991</v>
      </c>
      <c r="L801" s="11"/>
      <c r="M801" s="11"/>
      <c r="N801" s="100"/>
      <c r="O801" s="11">
        <f t="shared" si="181"/>
        <v>8464.0399999999991</v>
      </c>
      <c r="P801" s="11">
        <f t="shared" si="182"/>
        <v>8464.0399999999991</v>
      </c>
      <c r="Q801" s="11">
        <v>1.5</v>
      </c>
      <c r="R801" s="11">
        <f t="shared" si="183"/>
        <v>12696.059999999998</v>
      </c>
      <c r="S801" s="11"/>
      <c r="T801" s="136">
        <f t="shared" si="184"/>
        <v>0</v>
      </c>
    </row>
    <row r="802" spans="1:20" ht="15.75" customHeight="1">
      <c r="A802" s="149" t="s">
        <v>3714</v>
      </c>
      <c r="B802" s="273"/>
      <c r="C802" s="28" t="s">
        <v>44268</v>
      </c>
      <c r="D802" s="71">
        <v>230</v>
      </c>
      <c r="E802" s="131">
        <f t="shared" si="178"/>
        <v>4410</v>
      </c>
      <c r="F802" s="21">
        <f t="shared" si="180"/>
        <v>5336.0999999999995</v>
      </c>
      <c r="G802" s="21"/>
      <c r="H802" s="135">
        <f t="shared" si="185"/>
        <v>0</v>
      </c>
      <c r="I802" s="294">
        <v>45273</v>
      </c>
      <c r="J802" s="294">
        <v>45324</v>
      </c>
      <c r="K802" s="10">
        <f>0.6*4440*2</f>
        <v>5328</v>
      </c>
      <c r="L802" s="11">
        <f>0.7*0.9*4664</f>
        <v>2938.32</v>
      </c>
      <c r="M802" s="11"/>
      <c r="N802" s="100"/>
      <c r="O802" s="11">
        <f t="shared" si="181"/>
        <v>2938.32</v>
      </c>
      <c r="P802" s="11">
        <f t="shared" si="182"/>
        <v>2938.32</v>
      </c>
      <c r="Q802" s="11">
        <v>1.5</v>
      </c>
      <c r="R802" s="11">
        <f t="shared" si="183"/>
        <v>4407.4800000000005</v>
      </c>
      <c r="S802" s="11"/>
      <c r="T802" s="136">
        <f t="shared" si="184"/>
        <v>0</v>
      </c>
    </row>
    <row r="803" spans="1:20" ht="15.75" customHeight="1">
      <c r="A803" s="149">
        <v>21</v>
      </c>
      <c r="B803" s="273"/>
      <c r="C803" s="28" t="s">
        <v>44152</v>
      </c>
      <c r="D803" s="71">
        <v>250</v>
      </c>
      <c r="E803" s="131">
        <f t="shared" si="178"/>
        <v>4360</v>
      </c>
      <c r="F803" s="21">
        <f t="shared" si="180"/>
        <v>5275.5999999999995</v>
      </c>
      <c r="G803" s="21"/>
      <c r="H803" s="135">
        <f t="shared" si="185"/>
        <v>0</v>
      </c>
      <c r="I803" s="294">
        <v>45273</v>
      </c>
      <c r="J803" s="294"/>
      <c r="K803" s="10">
        <f>0.6*4844</f>
        <v>2906.4</v>
      </c>
      <c r="L803" s="11"/>
      <c r="M803" s="11"/>
      <c r="N803" s="100"/>
      <c r="O803" s="11">
        <f t="shared" si="181"/>
        <v>2906.4</v>
      </c>
      <c r="P803" s="11">
        <f t="shared" si="182"/>
        <v>2906.4</v>
      </c>
      <c r="Q803" s="11">
        <v>1.5</v>
      </c>
      <c r="R803" s="11">
        <f t="shared" si="183"/>
        <v>4359.6000000000004</v>
      </c>
      <c r="S803" s="11"/>
      <c r="T803" s="136">
        <f t="shared" si="184"/>
        <v>0</v>
      </c>
    </row>
    <row r="804" spans="1:20" ht="15.75" customHeight="1">
      <c r="A804" s="149">
        <v>21</v>
      </c>
      <c r="B804" s="273"/>
      <c r="C804" s="28" t="s">
        <v>44153</v>
      </c>
      <c r="D804" s="71">
        <v>580</v>
      </c>
      <c r="E804" s="131">
        <f t="shared" si="178"/>
        <v>9710</v>
      </c>
      <c r="F804" s="21">
        <f t="shared" si="180"/>
        <v>11749.1</v>
      </c>
      <c r="G804" s="21"/>
      <c r="H804" s="135">
        <f t="shared" si="185"/>
        <v>0</v>
      </c>
      <c r="I804" s="294">
        <v>45273</v>
      </c>
      <c r="J804" s="294"/>
      <c r="K804" s="10">
        <f>0.6*10787</f>
        <v>6472.2</v>
      </c>
      <c r="L804" s="11"/>
      <c r="M804" s="11"/>
      <c r="N804" s="100"/>
      <c r="O804" s="11">
        <f t="shared" si="181"/>
        <v>6472.2</v>
      </c>
      <c r="P804" s="11">
        <f t="shared" si="182"/>
        <v>6472.2</v>
      </c>
      <c r="Q804" s="11">
        <v>1.5</v>
      </c>
      <c r="R804" s="11">
        <f t="shared" si="183"/>
        <v>9708.2999999999993</v>
      </c>
      <c r="S804" s="11"/>
      <c r="T804" s="136">
        <f t="shared" si="184"/>
        <v>0</v>
      </c>
    </row>
    <row r="805" spans="1:20" ht="15.75" customHeight="1">
      <c r="A805" s="149" t="s">
        <v>3714</v>
      </c>
      <c r="B805" s="273"/>
      <c r="C805" s="28" t="s">
        <v>44291</v>
      </c>
      <c r="D805" s="71">
        <v>620</v>
      </c>
      <c r="E805" s="131">
        <f t="shared" si="178"/>
        <v>14030</v>
      </c>
      <c r="F805" s="21">
        <f t="shared" si="180"/>
        <v>16976.3</v>
      </c>
      <c r="G805" s="21"/>
      <c r="H805" s="135">
        <f t="shared" si="185"/>
        <v>0</v>
      </c>
      <c r="I805" s="294">
        <v>45273</v>
      </c>
      <c r="J805" s="294">
        <v>45324</v>
      </c>
      <c r="K805" s="10">
        <f>0.6*12432*2</f>
        <v>14918.4</v>
      </c>
      <c r="L805" s="11">
        <f>0.7*0.9*14842</f>
        <v>9350.4600000000009</v>
      </c>
      <c r="M805" s="11"/>
      <c r="N805" s="100"/>
      <c r="O805" s="11">
        <f t="shared" si="181"/>
        <v>9350.4600000000009</v>
      </c>
      <c r="P805" s="11">
        <f t="shared" si="182"/>
        <v>9350.4600000000009</v>
      </c>
      <c r="Q805" s="11">
        <v>1.5</v>
      </c>
      <c r="R805" s="11">
        <f t="shared" si="183"/>
        <v>14025.690000000002</v>
      </c>
      <c r="S805" s="11"/>
      <c r="T805" s="136">
        <f t="shared" si="184"/>
        <v>0</v>
      </c>
    </row>
    <row r="806" spans="1:20" ht="15.75" customHeight="1">
      <c r="A806" s="149">
        <v>21</v>
      </c>
      <c r="B806" s="273"/>
      <c r="C806" s="28" t="s">
        <v>4149</v>
      </c>
      <c r="D806" s="71">
        <v>0</v>
      </c>
      <c r="E806" s="131">
        <f t="shared" si="178"/>
        <v>12310</v>
      </c>
      <c r="F806" s="21">
        <f t="shared" si="180"/>
        <v>14895.1</v>
      </c>
      <c r="G806" s="21"/>
      <c r="H806" s="135">
        <f t="shared" si="185"/>
        <v>0</v>
      </c>
      <c r="I806" s="294">
        <v>45273</v>
      </c>
      <c r="J806" s="294">
        <v>45329</v>
      </c>
      <c r="K806" s="10">
        <f>0.6*14650</f>
        <v>8790</v>
      </c>
      <c r="L806" s="11"/>
      <c r="M806" s="11"/>
      <c r="N806" s="100"/>
      <c r="O806" s="11">
        <f t="shared" si="181"/>
        <v>8790</v>
      </c>
      <c r="P806" s="11">
        <f t="shared" si="182"/>
        <v>8790</v>
      </c>
      <c r="Q806" s="11">
        <v>1.4</v>
      </c>
      <c r="R806" s="11">
        <f t="shared" si="183"/>
        <v>12306</v>
      </c>
      <c r="S806" s="11"/>
      <c r="T806" s="136">
        <f t="shared" si="184"/>
        <v>0</v>
      </c>
    </row>
    <row r="807" spans="1:20" ht="15.75" customHeight="1">
      <c r="A807" s="149">
        <v>21</v>
      </c>
      <c r="B807" s="273"/>
      <c r="C807" s="28" t="s">
        <v>4060</v>
      </c>
      <c r="D807" s="71">
        <v>680</v>
      </c>
      <c r="E807" s="131">
        <f t="shared" si="178"/>
        <v>13610</v>
      </c>
      <c r="F807" s="21">
        <f t="shared" si="180"/>
        <v>16468.099999999999</v>
      </c>
      <c r="G807" s="21"/>
      <c r="H807" s="135">
        <f t="shared" si="185"/>
        <v>0</v>
      </c>
      <c r="I807" s="294">
        <v>45310</v>
      </c>
      <c r="J807" s="294">
        <v>45329</v>
      </c>
      <c r="K807" s="10">
        <f>0.6*16199</f>
        <v>9719.4</v>
      </c>
      <c r="L807" s="11"/>
      <c r="M807" s="11"/>
      <c r="N807" s="100"/>
      <c r="O807" s="11">
        <f t="shared" si="181"/>
        <v>9719.4</v>
      </c>
      <c r="P807" s="11">
        <f t="shared" si="182"/>
        <v>9719.4</v>
      </c>
      <c r="Q807" s="11">
        <v>1.4</v>
      </c>
      <c r="R807" s="11">
        <f t="shared" si="183"/>
        <v>13607.159999999998</v>
      </c>
      <c r="S807" s="11"/>
      <c r="T807" s="136">
        <f t="shared" si="184"/>
        <v>0</v>
      </c>
    </row>
    <row r="808" spans="1:20" ht="15.75" customHeight="1">
      <c r="A808" s="149">
        <v>21</v>
      </c>
      <c r="B808" s="273"/>
      <c r="C808" s="28" t="s">
        <v>4150</v>
      </c>
      <c r="D808" s="71">
        <v>690</v>
      </c>
      <c r="E808" s="131">
        <f t="shared" si="178"/>
        <v>0</v>
      </c>
      <c r="F808" s="21">
        <f t="shared" si="180"/>
        <v>0</v>
      </c>
      <c r="G808" s="21"/>
      <c r="H808" s="135">
        <f t="shared" si="185"/>
        <v>0</v>
      </c>
      <c r="I808" s="294">
        <v>45076</v>
      </c>
      <c r="J808" s="294">
        <v>45170</v>
      </c>
      <c r="K808" s="10">
        <f>0.6*9375</f>
        <v>5625</v>
      </c>
      <c r="L808" s="11"/>
      <c r="M808" s="11"/>
      <c r="N808" s="100"/>
      <c r="O808" s="11">
        <f t="shared" si="181"/>
        <v>5625</v>
      </c>
      <c r="P808" s="11">
        <f t="shared" si="182"/>
        <v>5625</v>
      </c>
      <c r="Q808" s="11"/>
      <c r="R808" s="11">
        <f t="shared" si="183"/>
        <v>0</v>
      </c>
      <c r="S808" s="11"/>
      <c r="T808" s="136">
        <f t="shared" si="184"/>
        <v>0</v>
      </c>
    </row>
    <row r="809" spans="1:20" ht="15.75" customHeight="1">
      <c r="A809" s="149">
        <v>21</v>
      </c>
      <c r="B809" s="273"/>
      <c r="C809" s="28" t="s">
        <v>4081</v>
      </c>
      <c r="D809" s="71">
        <v>670</v>
      </c>
      <c r="E809" s="131">
        <f t="shared" si="178"/>
        <v>14230</v>
      </c>
      <c r="F809" s="21">
        <f t="shared" si="180"/>
        <v>17218.3</v>
      </c>
      <c r="G809" s="21"/>
      <c r="H809" s="135">
        <f t="shared" si="185"/>
        <v>0</v>
      </c>
      <c r="I809" s="294">
        <v>45273</v>
      </c>
      <c r="J809" s="294">
        <v>45359</v>
      </c>
      <c r="K809" s="10">
        <f>0.6*16930</f>
        <v>10158</v>
      </c>
      <c r="L809" s="11"/>
      <c r="M809" s="11"/>
      <c r="N809" s="100"/>
      <c r="O809" s="11">
        <f t="shared" si="181"/>
        <v>10158</v>
      </c>
      <c r="P809" s="11">
        <f t="shared" si="182"/>
        <v>10158</v>
      </c>
      <c r="Q809" s="11">
        <v>1.4</v>
      </c>
      <c r="R809" s="11">
        <f t="shared" si="183"/>
        <v>14221.199999999999</v>
      </c>
      <c r="S809" s="11"/>
      <c r="T809" s="136">
        <f t="shared" si="184"/>
        <v>0</v>
      </c>
    </row>
    <row r="810" spans="1:20" ht="15.75" customHeight="1">
      <c r="A810" s="149">
        <v>21</v>
      </c>
      <c r="B810" s="273"/>
      <c r="C810" s="28" t="s">
        <v>4058</v>
      </c>
      <c r="D810" s="71">
        <v>450</v>
      </c>
      <c r="E810" s="131">
        <f t="shared" si="178"/>
        <v>7940</v>
      </c>
      <c r="F810" s="21">
        <f t="shared" si="180"/>
        <v>9607.4</v>
      </c>
      <c r="G810" s="21"/>
      <c r="H810" s="135">
        <f t="shared" si="185"/>
        <v>0</v>
      </c>
      <c r="I810" s="294">
        <v>45273</v>
      </c>
      <c r="J810" s="294">
        <v>45359</v>
      </c>
      <c r="K810" s="10">
        <f>0.6*9444</f>
        <v>5666.4</v>
      </c>
      <c r="L810" s="11"/>
      <c r="M810" s="11"/>
      <c r="N810" s="100"/>
      <c r="O810" s="11">
        <f t="shared" si="181"/>
        <v>5666.4</v>
      </c>
      <c r="P810" s="11">
        <f t="shared" si="182"/>
        <v>5666.4</v>
      </c>
      <c r="Q810" s="11">
        <v>1.4</v>
      </c>
      <c r="R810" s="11">
        <f t="shared" si="183"/>
        <v>7932.9599999999991</v>
      </c>
      <c r="S810" s="11"/>
      <c r="T810" s="136">
        <f t="shared" si="184"/>
        <v>0</v>
      </c>
    </row>
    <row r="811" spans="1:20" ht="15.75" customHeight="1">
      <c r="A811" s="149">
        <v>21</v>
      </c>
      <c r="B811" s="273"/>
      <c r="C811" s="28" t="s">
        <v>4059</v>
      </c>
      <c r="D811" s="71">
        <v>490</v>
      </c>
      <c r="E811" s="131">
        <f t="shared" si="178"/>
        <v>8530</v>
      </c>
      <c r="F811" s="21">
        <f t="shared" si="180"/>
        <v>10321.299999999999</v>
      </c>
      <c r="G811" s="21"/>
      <c r="H811" s="135">
        <f t="shared" si="185"/>
        <v>0</v>
      </c>
      <c r="I811" s="294">
        <v>45273</v>
      </c>
      <c r="J811" s="294">
        <v>45329</v>
      </c>
      <c r="K811" s="10">
        <f>0.6*10154</f>
        <v>6092.4</v>
      </c>
      <c r="L811" s="11"/>
      <c r="M811" s="11"/>
      <c r="N811" s="100"/>
      <c r="O811" s="11">
        <f t="shared" si="181"/>
        <v>6092.4</v>
      </c>
      <c r="P811" s="11">
        <f t="shared" si="182"/>
        <v>6092.4</v>
      </c>
      <c r="Q811" s="11">
        <v>1.4</v>
      </c>
      <c r="R811" s="11">
        <f t="shared" si="183"/>
        <v>8529.3599999999988</v>
      </c>
      <c r="S811" s="11"/>
      <c r="T811" s="136">
        <f t="shared" si="184"/>
        <v>0</v>
      </c>
    </row>
    <row r="812" spans="1:20" ht="15.75" customHeight="1">
      <c r="A812" s="149">
        <v>38</v>
      </c>
      <c r="B812" s="273"/>
      <c r="C812" s="28" t="s">
        <v>3936</v>
      </c>
      <c r="D812" s="71">
        <v>490</v>
      </c>
      <c r="E812" s="131">
        <f t="shared" si="178"/>
        <v>4710</v>
      </c>
      <c r="F812" s="21">
        <f t="shared" si="180"/>
        <v>5699.0999999999995</v>
      </c>
      <c r="G812" s="21"/>
      <c r="H812" s="135">
        <f t="shared" si="185"/>
        <v>4170</v>
      </c>
      <c r="I812" s="294">
        <v>45138</v>
      </c>
      <c r="J812" s="294">
        <v>45293</v>
      </c>
      <c r="K812" s="10">
        <f>+PROVEEDORES!$D$32*2.99</f>
        <v>3139.5</v>
      </c>
      <c r="L812" s="11"/>
      <c r="M812" s="11"/>
      <c r="N812" s="100">
        <v>2777</v>
      </c>
      <c r="O812" s="11">
        <f t="shared" si="181"/>
        <v>3139.5</v>
      </c>
      <c r="P812" s="11">
        <f t="shared" si="182"/>
        <v>3139.5</v>
      </c>
      <c r="Q812" s="11">
        <v>1.5</v>
      </c>
      <c r="R812" s="11">
        <f t="shared" si="183"/>
        <v>4709.25</v>
      </c>
      <c r="S812" s="11"/>
      <c r="T812" s="136">
        <f t="shared" si="184"/>
        <v>4165.5</v>
      </c>
    </row>
    <row r="813" spans="1:20" ht="15.75" customHeight="1">
      <c r="A813" s="149">
        <v>38</v>
      </c>
      <c r="B813" s="273"/>
      <c r="C813" s="28" t="s">
        <v>3937</v>
      </c>
      <c r="D813" s="71">
        <v>490</v>
      </c>
      <c r="E813" s="131">
        <f t="shared" si="178"/>
        <v>4080</v>
      </c>
      <c r="F813" s="21">
        <f t="shared" si="180"/>
        <v>4936.8</v>
      </c>
      <c r="G813" s="21"/>
      <c r="H813" s="135">
        <f t="shared" si="185"/>
        <v>3600</v>
      </c>
      <c r="I813" s="294">
        <v>45138</v>
      </c>
      <c r="J813" s="294">
        <v>45293</v>
      </c>
      <c r="K813" s="10">
        <f>+PROVEEDORES!D32*2.59</f>
        <v>2719.5</v>
      </c>
      <c r="L813" s="11"/>
      <c r="M813" s="11"/>
      <c r="N813" s="100">
        <v>2399</v>
      </c>
      <c r="O813" s="11">
        <f t="shared" si="181"/>
        <v>2719.5</v>
      </c>
      <c r="P813" s="11">
        <f t="shared" si="182"/>
        <v>2719.5</v>
      </c>
      <c r="Q813" s="11">
        <v>1.5</v>
      </c>
      <c r="R813" s="11">
        <f t="shared" si="183"/>
        <v>4079.25</v>
      </c>
      <c r="S813" s="11"/>
      <c r="T813" s="136">
        <f t="shared" si="184"/>
        <v>3598.5</v>
      </c>
    </row>
    <row r="814" spans="1:20" ht="15.75" customHeight="1">
      <c r="A814" s="149">
        <v>30</v>
      </c>
      <c r="B814" s="273"/>
      <c r="C814" s="28" t="s">
        <v>1474</v>
      </c>
      <c r="D814" s="71">
        <v>880</v>
      </c>
      <c r="E814" s="131">
        <f t="shared" si="178"/>
        <v>0</v>
      </c>
      <c r="F814" s="21">
        <f t="shared" si="180"/>
        <v>0</v>
      </c>
      <c r="G814" s="21"/>
      <c r="H814" s="135">
        <f t="shared" si="185"/>
        <v>0</v>
      </c>
      <c r="I814" s="294">
        <v>45036</v>
      </c>
      <c r="J814" s="294">
        <v>43906</v>
      </c>
      <c r="K814" s="10">
        <f>556*1.05*1.2</f>
        <v>700.56000000000006</v>
      </c>
      <c r="L814" s="11"/>
      <c r="M814" s="11"/>
      <c r="N814" s="100"/>
      <c r="O814" s="11">
        <f t="shared" si="181"/>
        <v>700.56000000000006</v>
      </c>
      <c r="P814" s="11">
        <f t="shared" si="182"/>
        <v>700.56000000000006</v>
      </c>
      <c r="Q814" s="11"/>
      <c r="R814" s="11">
        <f t="shared" si="183"/>
        <v>0</v>
      </c>
      <c r="S814" s="11"/>
      <c r="T814" s="136">
        <f t="shared" si="184"/>
        <v>0</v>
      </c>
    </row>
    <row r="815" spans="1:20" ht="15.75" customHeight="1">
      <c r="A815" s="149"/>
      <c r="B815" s="273"/>
      <c r="C815" s="28" t="s">
        <v>2107</v>
      </c>
      <c r="D815" s="71">
        <v>130</v>
      </c>
      <c r="E815" s="131">
        <f t="shared" si="178"/>
        <v>0</v>
      </c>
      <c r="F815" s="21">
        <f t="shared" si="180"/>
        <v>0</v>
      </c>
      <c r="G815" s="21"/>
      <c r="H815" s="135">
        <f t="shared" si="185"/>
        <v>0</v>
      </c>
      <c r="I815" s="294">
        <v>45036</v>
      </c>
      <c r="J815" s="294">
        <v>43739</v>
      </c>
      <c r="K815" s="10">
        <f>85*1.5</f>
        <v>127.5</v>
      </c>
      <c r="L815" s="11"/>
      <c r="M815" s="11"/>
      <c r="N815" s="100"/>
      <c r="O815" s="11">
        <f t="shared" si="181"/>
        <v>127.5</v>
      </c>
      <c r="P815" s="11">
        <f t="shared" si="182"/>
        <v>127.5</v>
      </c>
      <c r="Q815" s="11"/>
      <c r="R815" s="11">
        <f t="shared" si="183"/>
        <v>0</v>
      </c>
      <c r="S815" s="11"/>
      <c r="T815" s="136">
        <f t="shared" si="184"/>
        <v>0</v>
      </c>
    </row>
    <row r="816" spans="1:20" ht="15.75" customHeight="1">
      <c r="A816" s="149">
        <v>65</v>
      </c>
      <c r="B816" s="273"/>
      <c r="C816" s="28" t="s">
        <v>1475</v>
      </c>
      <c r="D816" s="71">
        <v>0</v>
      </c>
      <c r="E816" s="131">
        <f t="shared" si="178"/>
        <v>42000</v>
      </c>
      <c r="F816" s="21">
        <f t="shared" si="180"/>
        <v>50820</v>
      </c>
      <c r="G816" s="21"/>
      <c r="H816" s="135">
        <f t="shared" si="185"/>
        <v>0</v>
      </c>
      <c r="I816" s="294">
        <v>45286</v>
      </c>
      <c r="J816" s="294"/>
      <c r="K816" s="10">
        <v>30000</v>
      </c>
      <c r="L816" s="148"/>
      <c r="M816" s="11"/>
      <c r="N816" s="100"/>
      <c r="O816" s="11">
        <f t="shared" si="181"/>
        <v>30000</v>
      </c>
      <c r="P816" s="11">
        <f t="shared" si="182"/>
        <v>30000</v>
      </c>
      <c r="Q816" s="11">
        <v>1.4</v>
      </c>
      <c r="R816" s="11">
        <f t="shared" si="183"/>
        <v>42000</v>
      </c>
      <c r="S816" s="11"/>
      <c r="T816" s="136">
        <f t="shared" si="184"/>
        <v>0</v>
      </c>
    </row>
    <row r="817" spans="1:20" ht="15.75" customHeight="1">
      <c r="A817" s="149">
        <v>65</v>
      </c>
      <c r="B817" s="273"/>
      <c r="C817" s="28" t="s">
        <v>1476</v>
      </c>
      <c r="D817" s="71">
        <v>0</v>
      </c>
      <c r="E817" s="131">
        <f t="shared" si="178"/>
        <v>19600</v>
      </c>
      <c r="F817" s="21">
        <f t="shared" si="180"/>
        <v>23716</v>
      </c>
      <c r="G817" s="21"/>
      <c r="H817" s="135">
        <f t="shared" si="185"/>
        <v>0</v>
      </c>
      <c r="I817" s="294">
        <v>45286</v>
      </c>
      <c r="J817" s="294"/>
      <c r="K817" s="10">
        <v>14000</v>
      </c>
      <c r="L817" s="11"/>
      <c r="M817" s="11"/>
      <c r="N817" s="100"/>
      <c r="O817" s="11">
        <f t="shared" si="181"/>
        <v>14000</v>
      </c>
      <c r="P817" s="11">
        <f t="shared" si="182"/>
        <v>14000</v>
      </c>
      <c r="Q817" s="11">
        <v>1.4</v>
      </c>
      <c r="R817" s="11">
        <f t="shared" si="183"/>
        <v>19600</v>
      </c>
      <c r="S817" s="11"/>
      <c r="T817" s="136">
        <f t="shared" si="184"/>
        <v>0</v>
      </c>
    </row>
    <row r="818" spans="1:20" ht="15.75" customHeight="1">
      <c r="A818" s="149">
        <v>33</v>
      </c>
      <c r="B818" s="273"/>
      <c r="C818" s="28" t="s">
        <v>2608</v>
      </c>
      <c r="D818" s="71"/>
      <c r="E818" s="131">
        <f t="shared" si="178"/>
        <v>2090</v>
      </c>
      <c r="F818" s="21">
        <f t="shared" si="180"/>
        <v>2528.9</v>
      </c>
      <c r="G818" s="21"/>
      <c r="H818" s="135">
        <f t="shared" si="185"/>
        <v>0</v>
      </c>
      <c r="I818" s="294"/>
      <c r="J818" s="294">
        <v>44383</v>
      </c>
      <c r="K818" s="11">
        <f>0.7*0.64*3099</f>
        <v>1388.3519999999999</v>
      </c>
      <c r="L818" s="11"/>
      <c r="M818" s="11"/>
      <c r="N818" s="100"/>
      <c r="O818" s="11">
        <f t="shared" si="181"/>
        <v>1388.3519999999999</v>
      </c>
      <c r="P818" s="11">
        <f t="shared" si="182"/>
        <v>1388.3519999999999</v>
      </c>
      <c r="Q818" s="11">
        <v>1.5</v>
      </c>
      <c r="R818" s="11">
        <f t="shared" si="183"/>
        <v>2082.5279999999998</v>
      </c>
      <c r="S818" s="11"/>
      <c r="T818" s="136">
        <f t="shared" si="184"/>
        <v>0</v>
      </c>
    </row>
    <row r="819" spans="1:20" ht="15.75" customHeight="1">
      <c r="A819" s="149">
        <v>33</v>
      </c>
      <c r="B819" s="273"/>
      <c r="C819" s="28" t="s">
        <v>1478</v>
      </c>
      <c r="D819" s="71">
        <v>1530</v>
      </c>
      <c r="E819" s="131">
        <f t="shared" si="178"/>
        <v>2870</v>
      </c>
      <c r="F819" s="21">
        <f t="shared" si="180"/>
        <v>3472.7</v>
      </c>
      <c r="G819" s="21"/>
      <c r="H819" s="135">
        <f t="shared" si="185"/>
        <v>0</v>
      </c>
      <c r="I819" s="294"/>
      <c r="J819" s="294">
        <v>44383</v>
      </c>
      <c r="K819" s="11">
        <f>0.7*0.64*4261</f>
        <v>1908.9279999999999</v>
      </c>
      <c r="L819" s="11"/>
      <c r="M819" s="11"/>
      <c r="N819" s="100"/>
      <c r="O819" s="11">
        <f t="shared" si="181"/>
        <v>1908.9279999999999</v>
      </c>
      <c r="P819" s="11">
        <f t="shared" si="182"/>
        <v>1908.9279999999999</v>
      </c>
      <c r="Q819" s="11">
        <v>1.5</v>
      </c>
      <c r="R819" s="11">
        <f t="shared" si="183"/>
        <v>2863.3919999999998</v>
      </c>
      <c r="S819" s="11"/>
      <c r="T819" s="136">
        <f t="shared" si="184"/>
        <v>0</v>
      </c>
    </row>
    <row r="820" spans="1:20" ht="15.75" customHeight="1">
      <c r="A820" s="149">
        <v>33</v>
      </c>
      <c r="B820" s="273"/>
      <c r="C820" s="28" t="s">
        <v>1479</v>
      </c>
      <c r="D820" s="71">
        <v>2150</v>
      </c>
      <c r="E820" s="131">
        <f t="shared" si="178"/>
        <v>4040</v>
      </c>
      <c r="F820" s="21">
        <f t="shared" ref="F820:F851" si="186">+E820*1.21</f>
        <v>4888.3999999999996</v>
      </c>
      <c r="G820" s="21"/>
      <c r="H820" s="135">
        <f t="shared" si="185"/>
        <v>0</v>
      </c>
      <c r="I820" s="294"/>
      <c r="J820" s="294">
        <v>44383</v>
      </c>
      <c r="K820" s="11">
        <f>0.7*0.64*6003</f>
        <v>2689.3439999999996</v>
      </c>
      <c r="L820" s="11"/>
      <c r="M820" s="11"/>
      <c r="N820" s="100"/>
      <c r="O820" s="11">
        <f t="shared" si="181"/>
        <v>2689.3439999999996</v>
      </c>
      <c r="P820" s="11">
        <f t="shared" si="182"/>
        <v>2689.3439999999996</v>
      </c>
      <c r="Q820" s="11">
        <v>1.5</v>
      </c>
      <c r="R820" s="11">
        <f t="shared" si="183"/>
        <v>4034.0159999999996</v>
      </c>
      <c r="S820" s="11"/>
      <c r="T820" s="136">
        <f t="shared" si="184"/>
        <v>0</v>
      </c>
    </row>
    <row r="821" spans="1:20" ht="15.75" customHeight="1">
      <c r="A821" s="149">
        <v>39</v>
      </c>
      <c r="B821" s="273"/>
      <c r="C821" s="28" t="s">
        <v>2584</v>
      </c>
      <c r="D821" s="71"/>
      <c r="E821" s="131">
        <f t="shared" si="178"/>
        <v>0</v>
      </c>
      <c r="F821" s="21">
        <f t="shared" si="186"/>
        <v>0</v>
      </c>
      <c r="G821" s="21"/>
      <c r="H821" s="135">
        <f t="shared" si="185"/>
        <v>0</v>
      </c>
      <c r="I821" s="294">
        <v>44993</v>
      </c>
      <c r="J821" s="294">
        <v>45092</v>
      </c>
      <c r="K821" s="11">
        <f>12500*1.15*1.35</f>
        <v>19406.25</v>
      </c>
      <c r="L821" s="11"/>
      <c r="M821" s="11"/>
      <c r="N821" s="100"/>
      <c r="O821" s="11">
        <f t="shared" si="181"/>
        <v>19406.25</v>
      </c>
      <c r="P821" s="11">
        <f t="shared" si="182"/>
        <v>19406.25</v>
      </c>
      <c r="Q821" s="11"/>
      <c r="R821" s="11">
        <f t="shared" si="183"/>
        <v>0</v>
      </c>
      <c r="S821" s="11"/>
      <c r="T821" s="136">
        <f t="shared" si="184"/>
        <v>0</v>
      </c>
    </row>
    <row r="822" spans="1:20" ht="15.75" customHeight="1">
      <c r="A822" s="149">
        <v>39</v>
      </c>
      <c r="B822" s="273"/>
      <c r="C822" s="28" t="s">
        <v>1477</v>
      </c>
      <c r="D822" s="71">
        <v>3380</v>
      </c>
      <c r="E822" s="131">
        <f t="shared" si="178"/>
        <v>0</v>
      </c>
      <c r="F822" s="21">
        <f t="shared" si="186"/>
        <v>0</v>
      </c>
      <c r="G822" s="21"/>
      <c r="H822" s="135">
        <f t="shared" si="185"/>
        <v>0</v>
      </c>
      <c r="I822" s="294">
        <v>45297</v>
      </c>
      <c r="J822" s="294"/>
      <c r="K822" s="11">
        <v>90000</v>
      </c>
      <c r="L822" s="148"/>
      <c r="M822" s="11"/>
      <c r="N822" s="100"/>
      <c r="O822" s="11">
        <f t="shared" si="181"/>
        <v>90000</v>
      </c>
      <c r="P822" s="11">
        <f t="shared" si="182"/>
        <v>90000</v>
      </c>
      <c r="Q822" s="11"/>
      <c r="R822" s="11">
        <f t="shared" si="183"/>
        <v>0</v>
      </c>
      <c r="S822" s="11"/>
      <c r="T822" s="136">
        <f t="shared" si="184"/>
        <v>0</v>
      </c>
    </row>
    <row r="823" spans="1:20" ht="15.75" customHeight="1">
      <c r="A823" s="149">
        <v>41</v>
      </c>
      <c r="B823" s="273"/>
      <c r="C823" s="28" t="s">
        <v>2198</v>
      </c>
      <c r="D823" s="71">
        <v>4780</v>
      </c>
      <c r="E823" s="131">
        <f t="shared" si="178"/>
        <v>81910</v>
      </c>
      <c r="F823" s="21">
        <f t="shared" si="186"/>
        <v>99111.099999999991</v>
      </c>
      <c r="G823" s="21"/>
      <c r="H823" s="135">
        <f t="shared" si="185"/>
        <v>0</v>
      </c>
      <c r="I823" s="294"/>
      <c r="J823" s="294">
        <v>45107</v>
      </c>
      <c r="K823" s="11">
        <f>56.7*0.9*PROVEEDORES!D35</f>
        <v>54602.1</v>
      </c>
      <c r="L823" s="196"/>
      <c r="M823" s="11"/>
      <c r="N823" s="100"/>
      <c r="O823" s="11">
        <f t="shared" si="181"/>
        <v>54602.1</v>
      </c>
      <c r="P823" s="11">
        <f t="shared" si="182"/>
        <v>54602.1</v>
      </c>
      <c r="Q823" s="11">
        <v>1.5</v>
      </c>
      <c r="R823" s="11">
        <f t="shared" si="183"/>
        <v>81903.149999999994</v>
      </c>
      <c r="S823" s="11"/>
      <c r="T823" s="136">
        <f t="shared" si="184"/>
        <v>0</v>
      </c>
    </row>
    <row r="824" spans="1:20" ht="15.75" customHeight="1">
      <c r="A824" s="149">
        <v>23</v>
      </c>
      <c r="B824" s="273"/>
      <c r="C824" s="28" t="s">
        <v>3869</v>
      </c>
      <c r="D824" s="71">
        <v>400</v>
      </c>
      <c r="E824" s="131">
        <f t="shared" si="178"/>
        <v>11730</v>
      </c>
      <c r="F824" s="21">
        <f t="shared" si="186"/>
        <v>14193.3</v>
      </c>
      <c r="G824" s="21"/>
      <c r="H824" s="135">
        <f t="shared" si="185"/>
        <v>0</v>
      </c>
      <c r="I824" s="294">
        <v>45351</v>
      </c>
      <c r="J824" s="294"/>
      <c r="K824" s="134">
        <f>0.75*10420</f>
        <v>7815</v>
      </c>
      <c r="L824" s="11"/>
      <c r="M824" s="11"/>
      <c r="N824" s="100"/>
      <c r="O824" s="11">
        <f t="shared" si="181"/>
        <v>7815</v>
      </c>
      <c r="P824" s="11">
        <f t="shared" si="182"/>
        <v>7815</v>
      </c>
      <c r="Q824" s="11">
        <v>1.5</v>
      </c>
      <c r="R824" s="11">
        <f t="shared" si="183"/>
        <v>11722.5</v>
      </c>
      <c r="S824" s="11"/>
      <c r="T824" s="136">
        <f t="shared" si="184"/>
        <v>0</v>
      </c>
    </row>
    <row r="825" spans="1:20" ht="15.75" customHeight="1">
      <c r="A825" s="149">
        <v>23</v>
      </c>
      <c r="B825" s="273"/>
      <c r="C825" s="28" t="s">
        <v>2152</v>
      </c>
      <c r="D825" s="71">
        <v>690</v>
      </c>
      <c r="E825" s="131">
        <f t="shared" si="178"/>
        <v>14100</v>
      </c>
      <c r="F825" s="21">
        <f t="shared" si="186"/>
        <v>17061</v>
      </c>
      <c r="G825" s="21"/>
      <c r="H825" s="135">
        <f t="shared" si="185"/>
        <v>0</v>
      </c>
      <c r="I825" s="294">
        <v>45351</v>
      </c>
      <c r="J825" s="294"/>
      <c r="K825" s="134">
        <f>0.75*12530</f>
        <v>9397.5</v>
      </c>
      <c r="L825" s="11"/>
      <c r="M825" s="11"/>
      <c r="N825" s="100"/>
      <c r="O825" s="11">
        <f t="shared" si="181"/>
        <v>9397.5</v>
      </c>
      <c r="P825" s="11">
        <f t="shared" si="182"/>
        <v>9397.5</v>
      </c>
      <c r="Q825" s="11">
        <v>1.5</v>
      </c>
      <c r="R825" s="11">
        <f t="shared" si="183"/>
        <v>14096.25</v>
      </c>
      <c r="S825" s="11"/>
      <c r="T825" s="136">
        <f t="shared" si="184"/>
        <v>0</v>
      </c>
    </row>
    <row r="826" spans="1:20" ht="15.75" customHeight="1">
      <c r="A826" s="150">
        <v>50</v>
      </c>
      <c r="B826" s="280"/>
      <c r="C826" s="28" t="s">
        <v>44252</v>
      </c>
      <c r="D826" s="162">
        <v>5150</v>
      </c>
      <c r="E826" s="139">
        <f t="shared" si="178"/>
        <v>172140</v>
      </c>
      <c r="F826" s="21">
        <f t="shared" si="186"/>
        <v>208289.4</v>
      </c>
      <c r="G826" s="21"/>
      <c r="H826" s="135">
        <f t="shared" si="185"/>
        <v>164650</v>
      </c>
      <c r="I826" s="294">
        <v>45385</v>
      </c>
      <c r="J826" s="294"/>
      <c r="K826" s="43">
        <f>PROVEEDORES!$D$44*0.58*248.4</f>
        <v>127503.71999999999</v>
      </c>
      <c r="L826" s="11"/>
      <c r="M826" s="11"/>
      <c r="N826" s="171">
        <f>PROVEEDORES!$D$44*0.58*237.6</f>
        <v>121960.07999999999</v>
      </c>
      <c r="O826" s="11">
        <f t="shared" si="181"/>
        <v>127503.71999999999</v>
      </c>
      <c r="P826" s="11">
        <f t="shared" si="182"/>
        <v>127503.71999999999</v>
      </c>
      <c r="Q826" s="11">
        <v>1.35</v>
      </c>
      <c r="R826" s="11">
        <f t="shared" si="183"/>
        <v>172130.022</v>
      </c>
      <c r="S826" s="11"/>
      <c r="T826" s="136">
        <f t="shared" si="184"/>
        <v>164646.10800000001</v>
      </c>
    </row>
    <row r="827" spans="1:20" ht="15.75" customHeight="1">
      <c r="A827" s="149">
        <v>50</v>
      </c>
      <c r="B827" s="273"/>
      <c r="C827" s="28" t="s">
        <v>44251</v>
      </c>
      <c r="D827" s="162">
        <v>5340</v>
      </c>
      <c r="E827" s="139">
        <f t="shared" si="178"/>
        <v>176690</v>
      </c>
      <c r="F827" s="21">
        <f t="shared" si="186"/>
        <v>213794.9</v>
      </c>
      <c r="G827" s="21"/>
      <c r="H827" s="135">
        <f t="shared" si="185"/>
        <v>169220</v>
      </c>
      <c r="I827" s="294">
        <v>45385</v>
      </c>
      <c r="J827" s="294"/>
      <c r="K827" s="43">
        <f>PROVEEDORES!$D$44*0.58*254.98</f>
        <v>130881.23399999998</v>
      </c>
      <c r="L827" s="11"/>
      <c r="M827" s="11"/>
      <c r="N827" s="171">
        <f>PROVEEDORES!$D$44*0.58*244.2</f>
        <v>125347.85999999999</v>
      </c>
      <c r="O827" s="11">
        <f t="shared" si="181"/>
        <v>130881.23399999998</v>
      </c>
      <c r="P827" s="11">
        <f t="shared" si="182"/>
        <v>130881.23399999998</v>
      </c>
      <c r="Q827" s="11">
        <v>1.35</v>
      </c>
      <c r="R827" s="11">
        <f t="shared" si="183"/>
        <v>176689.66589999999</v>
      </c>
      <c r="S827" s="11"/>
      <c r="T827" s="136">
        <f t="shared" si="184"/>
        <v>169219.611</v>
      </c>
    </row>
    <row r="828" spans="1:20" ht="15.75" customHeight="1">
      <c r="A828" s="149"/>
      <c r="B828" s="273"/>
      <c r="C828" s="28" t="s">
        <v>1480</v>
      </c>
      <c r="D828" s="71"/>
      <c r="E828" s="131">
        <f t="shared" si="178"/>
        <v>0</v>
      </c>
      <c r="F828" s="21">
        <f t="shared" si="186"/>
        <v>0</v>
      </c>
      <c r="G828" s="21"/>
      <c r="H828" s="135">
        <f t="shared" si="185"/>
        <v>0</v>
      </c>
      <c r="I828" s="294"/>
      <c r="J828" s="294"/>
      <c r="K828" s="10">
        <f>+(617.06+30)*0.82*1.3</f>
        <v>689.76595999999984</v>
      </c>
      <c r="L828" s="11"/>
      <c r="M828" s="11"/>
      <c r="N828" s="100"/>
      <c r="O828" s="11">
        <f t="shared" si="181"/>
        <v>689.76595999999984</v>
      </c>
      <c r="P828" s="11">
        <f t="shared" si="182"/>
        <v>689.76595999999984</v>
      </c>
      <c r="Q828" s="11"/>
      <c r="R828" s="11">
        <f t="shared" si="183"/>
        <v>0</v>
      </c>
      <c r="S828" s="11"/>
      <c r="T828" s="136">
        <f t="shared" si="184"/>
        <v>0</v>
      </c>
    </row>
    <row r="829" spans="1:20" ht="15.75" customHeight="1">
      <c r="A829" s="149">
        <v>50</v>
      </c>
      <c r="B829" s="273">
        <f>ROUNDUP(E829*1.105,-1)</f>
        <v>227890</v>
      </c>
      <c r="C829" s="28" t="s">
        <v>44253</v>
      </c>
      <c r="D829" s="142">
        <v>6240</v>
      </c>
      <c r="E829" s="139">
        <f t="shared" si="178"/>
        <v>206230</v>
      </c>
      <c r="F829" s="21">
        <f t="shared" si="186"/>
        <v>249538.3</v>
      </c>
      <c r="G829" s="21"/>
      <c r="H829" s="135">
        <f t="shared" si="185"/>
        <v>188930</v>
      </c>
      <c r="I829" s="294">
        <v>45385</v>
      </c>
      <c r="J829" s="294"/>
      <c r="K829" s="43">
        <f>PROVEEDORES!$D$44*0.58*286.97</f>
        <v>147301.701</v>
      </c>
      <c r="L829" s="11"/>
      <c r="M829" s="11"/>
      <c r="N829" s="171">
        <f>PROVEEDORES!$D$44*0.58*262.9</f>
        <v>134946.56999999998</v>
      </c>
      <c r="O829" s="11">
        <f t="shared" si="181"/>
        <v>147301.701</v>
      </c>
      <c r="P829" s="11">
        <f t="shared" si="182"/>
        <v>147301.701</v>
      </c>
      <c r="Q829" s="11">
        <v>1.4</v>
      </c>
      <c r="R829" s="11">
        <f t="shared" si="183"/>
        <v>206222.38139999998</v>
      </c>
      <c r="S829" s="11"/>
      <c r="T829" s="136">
        <f t="shared" si="184"/>
        <v>188925.19799999995</v>
      </c>
    </row>
    <row r="830" spans="1:20" ht="15.75" customHeight="1">
      <c r="A830" s="149">
        <v>50</v>
      </c>
      <c r="B830" s="273">
        <f>ROUNDUP(E830*1.105,-1)</f>
        <v>144950</v>
      </c>
      <c r="C830" s="28" t="s">
        <v>3734</v>
      </c>
      <c r="D830" s="142">
        <v>4800</v>
      </c>
      <c r="E830" s="139">
        <f t="shared" si="178"/>
        <v>131170</v>
      </c>
      <c r="F830" s="21">
        <f t="shared" si="186"/>
        <v>158715.69999999998</v>
      </c>
      <c r="G830" s="21"/>
      <c r="H830" s="135">
        <f t="shared" si="185"/>
        <v>120160</v>
      </c>
      <c r="I830" s="294">
        <v>45385</v>
      </c>
      <c r="J830" s="294"/>
      <c r="K830" s="43">
        <f>PROVEEDORES!$D$44*0.58*182.52</f>
        <v>93687.516000000003</v>
      </c>
      <c r="L830" s="11"/>
      <c r="M830" s="11"/>
      <c r="N830" s="171">
        <f>PROVEEDORES!$D$44*0.58*167.2</f>
        <v>85823.75999999998</v>
      </c>
      <c r="O830" s="11">
        <f t="shared" si="181"/>
        <v>93687.516000000003</v>
      </c>
      <c r="P830" s="11">
        <f t="shared" si="182"/>
        <v>93687.516000000003</v>
      </c>
      <c r="Q830" s="11">
        <v>1.4</v>
      </c>
      <c r="R830" s="11">
        <f t="shared" si="183"/>
        <v>131162.52239999999</v>
      </c>
      <c r="S830" s="11"/>
      <c r="T830" s="136">
        <f t="shared" si="184"/>
        <v>120153.26399999997</v>
      </c>
    </row>
    <row r="831" spans="1:20" ht="15.75" customHeight="1">
      <c r="A831" s="149">
        <v>50</v>
      </c>
      <c r="B831" s="273">
        <f>ROUNDUP(E831*1.105,-1)</f>
        <v>150230</v>
      </c>
      <c r="C831" s="28" t="s">
        <v>3735</v>
      </c>
      <c r="D831" s="142">
        <v>5100</v>
      </c>
      <c r="E831" s="139">
        <f t="shared" si="178"/>
        <v>135950</v>
      </c>
      <c r="F831" s="21">
        <f t="shared" si="186"/>
        <v>164499.5</v>
      </c>
      <c r="G831" s="21"/>
      <c r="H831" s="135">
        <f t="shared" si="185"/>
        <v>124900</v>
      </c>
      <c r="I831" s="294">
        <v>45385</v>
      </c>
      <c r="J831" s="294"/>
      <c r="K831" s="43">
        <f>PROVEEDORES!$D$44*0.58*189.17</f>
        <v>97100.960999999981</v>
      </c>
      <c r="L831" s="11"/>
      <c r="M831" s="11"/>
      <c r="N831" s="171">
        <f>PROVEEDORES!$D$44*0.58*173.8</f>
        <v>89211.54</v>
      </c>
      <c r="O831" s="11">
        <f t="shared" si="181"/>
        <v>97100.960999999981</v>
      </c>
      <c r="P831" s="11">
        <f t="shared" si="182"/>
        <v>97100.960999999981</v>
      </c>
      <c r="Q831" s="11">
        <v>1.4</v>
      </c>
      <c r="R831" s="11">
        <f t="shared" si="183"/>
        <v>135941.34539999996</v>
      </c>
      <c r="S831" s="11"/>
      <c r="T831" s="136">
        <f t="shared" si="184"/>
        <v>124896.15599999999</v>
      </c>
    </row>
    <row r="832" spans="1:20" ht="15.75" customHeight="1">
      <c r="A832" s="149">
        <v>50</v>
      </c>
      <c r="B832" s="273">
        <f>ROUNDUP(E832*1.105,-1)</f>
        <v>322740</v>
      </c>
      <c r="C832" s="28" t="s">
        <v>44250</v>
      </c>
      <c r="D832" s="158">
        <v>9800</v>
      </c>
      <c r="E832" s="139">
        <f t="shared" ref="E832:E902" si="187">ROUNDUP(R832,-1)</f>
        <v>292070</v>
      </c>
      <c r="F832" s="21">
        <f t="shared" si="186"/>
        <v>353404.7</v>
      </c>
      <c r="G832" s="21"/>
      <c r="H832" s="135">
        <f t="shared" si="185"/>
        <v>260860</v>
      </c>
      <c r="I832" s="294">
        <v>45385</v>
      </c>
      <c r="J832" s="294"/>
      <c r="K832" s="43">
        <f>PROVEEDORES!$D$44*0.58*406.43</f>
        <v>208620.51899999997</v>
      </c>
      <c r="N832" s="171">
        <f>PROVEEDORES!$D$44*0.58*363</f>
        <v>186327.9</v>
      </c>
      <c r="O832" s="11">
        <f>MIN(K832:M832)</f>
        <v>208620.51899999997</v>
      </c>
      <c r="P832" s="11">
        <f t="shared" si="182"/>
        <v>208620.51899999997</v>
      </c>
      <c r="Q832" s="11">
        <v>1.4</v>
      </c>
      <c r="R832" s="11">
        <f t="shared" si="183"/>
        <v>292068.72659999994</v>
      </c>
      <c r="S832" s="11"/>
      <c r="T832" s="136">
        <f t="shared" si="184"/>
        <v>260859.05999999997</v>
      </c>
    </row>
    <row r="833" spans="1:20" ht="15.75" customHeight="1">
      <c r="A833" s="149" t="s">
        <v>4421</v>
      </c>
      <c r="B833" s="273"/>
      <c r="C833" s="28" t="s">
        <v>44269</v>
      </c>
      <c r="D833" s="41">
        <v>410</v>
      </c>
      <c r="E833" s="131">
        <f t="shared" si="187"/>
        <v>9410</v>
      </c>
      <c r="F833" s="21">
        <f t="shared" si="186"/>
        <v>11386.1</v>
      </c>
      <c r="G833" s="21"/>
      <c r="H833" s="135">
        <f t="shared" si="185"/>
        <v>0</v>
      </c>
      <c r="I833" s="294">
        <v>45286</v>
      </c>
      <c r="J833" s="294">
        <v>45330</v>
      </c>
      <c r="K833" s="10"/>
      <c r="L833" s="10">
        <f>0.7*0.9*5284*2</f>
        <v>6657.84</v>
      </c>
      <c r="M833" s="100">
        <v>5532</v>
      </c>
      <c r="N833" s="10"/>
      <c r="O833" s="11">
        <f>MIN(K833:M833)</f>
        <v>5532</v>
      </c>
      <c r="P833" s="11">
        <f t="shared" si="182"/>
        <v>5532</v>
      </c>
      <c r="Q833" s="11">
        <v>1.7</v>
      </c>
      <c r="R833" s="11">
        <f t="shared" si="183"/>
        <v>9404.4</v>
      </c>
      <c r="S833" s="11"/>
      <c r="T833" s="136">
        <f t="shared" si="184"/>
        <v>0</v>
      </c>
    </row>
    <row r="834" spans="1:20" ht="15.75" customHeight="1">
      <c r="A834" s="149">
        <v>51</v>
      </c>
      <c r="B834" s="273"/>
      <c r="C834" s="28" t="s">
        <v>4576</v>
      </c>
      <c r="D834" s="71">
        <v>3500</v>
      </c>
      <c r="E834" s="199">
        <f>ROUNDUP(R834,-1)</f>
        <v>68620</v>
      </c>
      <c r="F834" s="21">
        <f>+E834*1.21</f>
        <v>83030.2</v>
      </c>
      <c r="G834" s="21"/>
      <c r="H834" s="135">
        <f>ROUNDUP(T834,-1)</f>
        <v>0</v>
      </c>
      <c r="I834" s="294">
        <v>45383</v>
      </c>
      <c r="J834" s="294"/>
      <c r="K834" s="10">
        <f>0.85*53812</f>
        <v>45740.2</v>
      </c>
      <c r="L834" s="10"/>
      <c r="M834" s="10"/>
      <c r="N834" s="100"/>
      <c r="O834" s="11">
        <f>MIN(K834:M834)</f>
        <v>45740.2</v>
      </c>
      <c r="P834" s="11">
        <f t="shared" si="182"/>
        <v>45740.2</v>
      </c>
      <c r="Q834" s="11">
        <v>1.5</v>
      </c>
      <c r="R834" s="11">
        <f t="shared" si="183"/>
        <v>68610.299999999988</v>
      </c>
      <c r="S834" s="11"/>
      <c r="T834" s="136">
        <f>+N834*Q834</f>
        <v>0</v>
      </c>
    </row>
    <row r="835" spans="1:20" ht="15.75" customHeight="1">
      <c r="A835" s="149">
        <v>12</v>
      </c>
      <c r="B835" s="273"/>
      <c r="C835" s="28" t="s">
        <v>4535</v>
      </c>
      <c r="D835" s="71">
        <v>95</v>
      </c>
      <c r="E835" s="131">
        <f t="shared" si="187"/>
        <v>0</v>
      </c>
      <c r="F835" s="21">
        <f t="shared" si="186"/>
        <v>0</v>
      </c>
      <c r="G835" s="21"/>
      <c r="H835" s="135">
        <f t="shared" si="185"/>
        <v>0</v>
      </c>
      <c r="I835" s="294">
        <v>45222</v>
      </c>
      <c r="J835" s="294">
        <v>45257</v>
      </c>
      <c r="K835" s="10">
        <v>868</v>
      </c>
      <c r="L835" s="10"/>
      <c r="M835" s="10"/>
      <c r="N835" s="100"/>
      <c r="O835" s="11">
        <f t="shared" si="181"/>
        <v>868</v>
      </c>
      <c r="P835" s="11">
        <f t="shared" si="182"/>
        <v>868</v>
      </c>
      <c r="Q835" s="11"/>
      <c r="R835" s="11">
        <f t="shared" si="183"/>
        <v>0</v>
      </c>
      <c r="S835" s="11"/>
      <c r="T835" s="136">
        <f t="shared" si="184"/>
        <v>0</v>
      </c>
    </row>
    <row r="836" spans="1:20" ht="15.75" customHeight="1">
      <c r="A836" s="149">
        <v>38</v>
      </c>
      <c r="B836" s="273"/>
      <c r="C836" s="28" t="s">
        <v>1481</v>
      </c>
      <c r="D836" s="41">
        <v>160</v>
      </c>
      <c r="E836" s="131">
        <f t="shared" si="187"/>
        <v>2400</v>
      </c>
      <c r="F836" s="21">
        <f t="shared" si="186"/>
        <v>2904</v>
      </c>
      <c r="G836" s="21"/>
      <c r="H836" s="135">
        <f t="shared" si="185"/>
        <v>2080</v>
      </c>
      <c r="I836" s="294">
        <v>45138</v>
      </c>
      <c r="J836" s="294">
        <v>45274</v>
      </c>
      <c r="K836" s="11">
        <f>+PROVEEDORES!$D$32*1.52</f>
        <v>1596</v>
      </c>
      <c r="L836" s="10"/>
      <c r="M836" s="10"/>
      <c r="N836" s="100">
        <v>1386</v>
      </c>
      <c r="O836" s="11">
        <f t="shared" si="181"/>
        <v>1596</v>
      </c>
      <c r="P836" s="11">
        <f t="shared" si="182"/>
        <v>1596</v>
      </c>
      <c r="Q836" s="11">
        <v>1.5</v>
      </c>
      <c r="R836" s="11">
        <f t="shared" si="183"/>
        <v>2394</v>
      </c>
      <c r="S836" s="11"/>
      <c r="T836" s="136">
        <f t="shared" si="184"/>
        <v>2079</v>
      </c>
    </row>
    <row r="837" spans="1:20" ht="15.75" customHeight="1">
      <c r="A837" s="149">
        <v>38</v>
      </c>
      <c r="B837" s="273"/>
      <c r="C837" s="28" t="s">
        <v>2884</v>
      </c>
      <c r="D837" s="41"/>
      <c r="E837" s="131">
        <f t="shared" si="187"/>
        <v>2270</v>
      </c>
      <c r="F837" s="21">
        <f t="shared" si="186"/>
        <v>2746.7</v>
      </c>
      <c r="G837" s="21"/>
      <c r="H837" s="135">
        <f t="shared" si="185"/>
        <v>1980</v>
      </c>
      <c r="I837" s="294">
        <v>45138</v>
      </c>
      <c r="J837" s="294">
        <v>45274</v>
      </c>
      <c r="K837" s="11">
        <f>+PROVEEDORES!$D$32*1.44</f>
        <v>1512</v>
      </c>
      <c r="L837" s="10"/>
      <c r="M837" s="10"/>
      <c r="N837" s="100">
        <v>1314</v>
      </c>
      <c r="O837" s="11">
        <f t="shared" si="181"/>
        <v>1512</v>
      </c>
      <c r="P837" s="11">
        <f t="shared" si="182"/>
        <v>1512</v>
      </c>
      <c r="Q837" s="11">
        <v>1.5</v>
      </c>
      <c r="R837" s="11">
        <f t="shared" si="183"/>
        <v>2268</v>
      </c>
      <c r="S837" s="11"/>
      <c r="T837" s="136">
        <f t="shared" si="184"/>
        <v>1971</v>
      </c>
    </row>
    <row r="838" spans="1:20" ht="15.75" customHeight="1">
      <c r="A838" s="149">
        <v>38</v>
      </c>
      <c r="B838" s="273"/>
      <c r="C838" s="28" t="s">
        <v>1482</v>
      </c>
      <c r="D838" s="41">
        <v>370</v>
      </c>
      <c r="E838" s="131">
        <f t="shared" si="187"/>
        <v>6190</v>
      </c>
      <c r="F838" s="21">
        <f t="shared" si="186"/>
        <v>7489.9</v>
      </c>
      <c r="G838" s="21"/>
      <c r="H838" s="135">
        <f t="shared" si="185"/>
        <v>5370</v>
      </c>
      <c r="I838" s="294">
        <v>45138</v>
      </c>
      <c r="J838" s="294">
        <v>45274</v>
      </c>
      <c r="K838" s="11">
        <f>+PROVEEDORES!$D$32*3.93</f>
        <v>4126.5</v>
      </c>
      <c r="L838" s="11"/>
      <c r="M838" s="10"/>
      <c r="N838" s="100">
        <v>3578</v>
      </c>
      <c r="O838" s="11">
        <f t="shared" si="181"/>
        <v>4126.5</v>
      </c>
      <c r="P838" s="11">
        <f t="shared" si="182"/>
        <v>4126.5</v>
      </c>
      <c r="Q838" s="11">
        <v>1.5</v>
      </c>
      <c r="R838" s="11">
        <f t="shared" si="183"/>
        <v>6189.75</v>
      </c>
      <c r="S838" s="11"/>
      <c r="T838" s="136">
        <f t="shared" si="184"/>
        <v>5367</v>
      </c>
    </row>
    <row r="839" spans="1:20" ht="15.75" customHeight="1">
      <c r="A839" s="149">
        <v>38</v>
      </c>
      <c r="B839" s="273"/>
      <c r="C839" s="28" t="s">
        <v>3775</v>
      </c>
      <c r="D839" s="41"/>
      <c r="E839" s="131">
        <f t="shared" si="187"/>
        <v>3970</v>
      </c>
      <c r="F839" s="21">
        <f t="shared" si="186"/>
        <v>4803.7</v>
      </c>
      <c r="G839" s="21"/>
      <c r="H839" s="135">
        <f t="shared" si="185"/>
        <v>3450</v>
      </c>
      <c r="I839" s="294">
        <v>45138</v>
      </c>
      <c r="J839" s="294">
        <v>45274</v>
      </c>
      <c r="K839" s="11">
        <f>+PROVEEDORES!$D$32*2.52</f>
        <v>2646</v>
      </c>
      <c r="L839" s="11"/>
      <c r="M839" s="10"/>
      <c r="N839" s="100">
        <v>2294</v>
      </c>
      <c r="O839" s="11">
        <f t="shared" si="181"/>
        <v>2646</v>
      </c>
      <c r="P839" s="11">
        <f t="shared" si="182"/>
        <v>2646</v>
      </c>
      <c r="Q839" s="11">
        <v>1.5</v>
      </c>
      <c r="R839" s="11">
        <f t="shared" si="183"/>
        <v>3969</v>
      </c>
      <c r="S839" s="11"/>
      <c r="T839" s="136">
        <f t="shared" si="184"/>
        <v>3441</v>
      </c>
    </row>
    <row r="840" spans="1:20" ht="15.75" customHeight="1">
      <c r="A840" s="149">
        <v>38</v>
      </c>
      <c r="B840" s="273"/>
      <c r="C840" s="28" t="s">
        <v>2885</v>
      </c>
      <c r="D840" s="41"/>
      <c r="E840" s="131">
        <f t="shared" si="187"/>
        <v>4680</v>
      </c>
      <c r="F840" s="21">
        <f t="shared" si="186"/>
        <v>5662.8</v>
      </c>
      <c r="G840" s="21"/>
      <c r="H840" s="135">
        <f t="shared" si="185"/>
        <v>4050</v>
      </c>
      <c r="I840" s="294">
        <v>45138</v>
      </c>
      <c r="J840" s="294">
        <v>45274</v>
      </c>
      <c r="K840" s="11">
        <f>+PROVEEDORES!$D$32*2.97</f>
        <v>3118.5</v>
      </c>
      <c r="L840" s="11"/>
      <c r="M840" s="10"/>
      <c r="N840" s="100">
        <v>2700</v>
      </c>
      <c r="O840" s="11">
        <f t="shared" si="181"/>
        <v>3118.5</v>
      </c>
      <c r="P840" s="11">
        <f t="shared" si="182"/>
        <v>3118.5</v>
      </c>
      <c r="Q840" s="11">
        <v>1.5</v>
      </c>
      <c r="R840" s="11">
        <f t="shared" si="183"/>
        <v>4677.75</v>
      </c>
      <c r="S840" s="11"/>
      <c r="T840" s="136">
        <f t="shared" si="184"/>
        <v>4050</v>
      </c>
    </row>
    <row r="841" spans="1:20" ht="15.75" customHeight="1">
      <c r="A841" s="149">
        <v>12</v>
      </c>
      <c r="B841" s="273"/>
      <c r="C841" s="28" t="s">
        <v>62628</v>
      </c>
      <c r="D841" s="41">
        <v>650</v>
      </c>
      <c r="E841" s="131">
        <f t="shared" si="187"/>
        <v>880</v>
      </c>
      <c r="F841" s="21">
        <f t="shared" si="186"/>
        <v>1064.8</v>
      </c>
      <c r="G841" s="21"/>
      <c r="H841" s="135">
        <f t="shared" si="185"/>
        <v>0</v>
      </c>
      <c r="I841" s="294">
        <v>45294</v>
      </c>
      <c r="J841" s="294">
        <v>45348</v>
      </c>
      <c r="K841" s="10">
        <v>583</v>
      </c>
      <c r="L841" s="11"/>
      <c r="M841" s="11"/>
      <c r="N841" s="100"/>
      <c r="O841" s="11">
        <f>MIN(K841:M841)*'AUMENTOS %'!$B$9</f>
        <v>583</v>
      </c>
      <c r="P841" s="11">
        <f t="shared" si="182"/>
        <v>583</v>
      </c>
      <c r="Q841" s="11">
        <v>1.5</v>
      </c>
      <c r="R841" s="11">
        <f t="shared" si="183"/>
        <v>874.5</v>
      </c>
      <c r="S841" s="11"/>
      <c r="T841" s="136">
        <f t="shared" si="184"/>
        <v>0</v>
      </c>
    </row>
    <row r="842" spans="1:20" ht="15.75" customHeight="1">
      <c r="A842" s="149">
        <v>12</v>
      </c>
      <c r="B842" s="273"/>
      <c r="C842" s="28" t="s">
        <v>44335</v>
      </c>
      <c r="D842" s="41">
        <v>650</v>
      </c>
      <c r="E842" s="131">
        <f t="shared" ref="E842" si="188">ROUNDUP(R842,-1)</f>
        <v>2520</v>
      </c>
      <c r="F842" s="21">
        <f t="shared" ref="F842" si="189">+E842*1.21</f>
        <v>3049.2</v>
      </c>
      <c r="G842" s="21"/>
      <c r="H842" s="135">
        <f t="shared" ref="H842" si="190">ROUNDUP(T842,-1)</f>
        <v>0</v>
      </c>
      <c r="I842" s="294">
        <v>45294</v>
      </c>
      <c r="J842" s="294">
        <v>45338</v>
      </c>
      <c r="K842" s="10">
        <v>1676</v>
      </c>
      <c r="L842" s="11"/>
      <c r="M842" s="11"/>
      <c r="N842" s="100"/>
      <c r="O842" s="11">
        <f>MIN(K842:M842)*'AUMENTOS %'!$B$9</f>
        <v>1676</v>
      </c>
      <c r="P842" s="11">
        <f t="shared" ref="P842" si="191">+O842</f>
        <v>1676</v>
      </c>
      <c r="Q842" s="11">
        <v>1.5</v>
      </c>
      <c r="R842" s="11">
        <f t="shared" ref="R842" si="192">+P842*Q842</f>
        <v>2514</v>
      </c>
      <c r="S842" s="11"/>
      <c r="T842" s="136">
        <f t="shared" ref="T842" si="193">+N842*Q842</f>
        <v>0</v>
      </c>
    </row>
    <row r="843" spans="1:20" ht="15.75" customHeight="1">
      <c r="A843" s="149">
        <v>12</v>
      </c>
      <c r="B843" s="273"/>
      <c r="C843" s="28" t="s">
        <v>44330</v>
      </c>
      <c r="D843" s="41">
        <v>650</v>
      </c>
      <c r="E843" s="131">
        <f t="shared" si="187"/>
        <v>4570</v>
      </c>
      <c r="F843" s="21">
        <f t="shared" si="186"/>
        <v>5529.7</v>
      </c>
      <c r="G843" s="21"/>
      <c r="H843" s="135">
        <f t="shared" si="185"/>
        <v>0</v>
      </c>
      <c r="I843" s="294">
        <v>45288</v>
      </c>
      <c r="J843" s="294">
        <v>45338</v>
      </c>
      <c r="K843" s="10">
        <v>3045</v>
      </c>
      <c r="L843" s="11"/>
      <c r="M843" s="11"/>
      <c r="N843" s="100"/>
      <c r="O843" s="11">
        <f>MIN(K843:M843)*'AUMENTOS %'!$B$9</f>
        <v>3045</v>
      </c>
      <c r="P843" s="11">
        <f t="shared" si="182"/>
        <v>3045</v>
      </c>
      <c r="Q843" s="11">
        <v>1.5</v>
      </c>
      <c r="R843" s="11">
        <f t="shared" si="183"/>
        <v>4567.5</v>
      </c>
      <c r="S843" s="11"/>
      <c r="T843" s="136">
        <f t="shared" si="184"/>
        <v>0</v>
      </c>
    </row>
    <row r="844" spans="1:20" ht="15.75" customHeight="1">
      <c r="A844" s="149">
        <v>38</v>
      </c>
      <c r="B844" s="273"/>
      <c r="C844" s="28" t="s">
        <v>3804</v>
      </c>
      <c r="D844" s="41">
        <v>250</v>
      </c>
      <c r="E844" s="131">
        <f t="shared" si="187"/>
        <v>1790</v>
      </c>
      <c r="F844" s="21">
        <f t="shared" si="186"/>
        <v>2165.9</v>
      </c>
      <c r="G844" s="21"/>
      <c r="H844" s="135">
        <f t="shared" si="185"/>
        <v>0</v>
      </c>
      <c r="I844" s="294">
        <v>45138</v>
      </c>
      <c r="J844" s="294"/>
      <c r="K844" s="10">
        <f>+'AUMENTOS %'!C14*1192</f>
        <v>1192</v>
      </c>
      <c r="L844" s="11"/>
      <c r="M844" s="11"/>
      <c r="N844" s="100"/>
      <c r="O844" s="11">
        <f t="shared" si="181"/>
        <v>1192</v>
      </c>
      <c r="P844" s="11">
        <f t="shared" si="182"/>
        <v>1192</v>
      </c>
      <c r="Q844" s="11">
        <v>1.5</v>
      </c>
      <c r="R844" s="11">
        <f t="shared" si="183"/>
        <v>1788</v>
      </c>
      <c r="S844" s="11"/>
      <c r="T844" s="136">
        <f t="shared" si="184"/>
        <v>0</v>
      </c>
    </row>
    <row r="845" spans="1:20" ht="15.75" customHeight="1">
      <c r="A845" s="149">
        <v>38</v>
      </c>
      <c r="B845" s="273"/>
      <c r="C845" s="28" t="s">
        <v>2628</v>
      </c>
      <c r="D845" s="41">
        <v>430</v>
      </c>
      <c r="E845" s="131">
        <f t="shared" si="187"/>
        <v>8400</v>
      </c>
      <c r="F845" s="21">
        <f t="shared" si="186"/>
        <v>10164</v>
      </c>
      <c r="G845" s="21"/>
      <c r="H845" s="135">
        <f t="shared" si="185"/>
        <v>0</v>
      </c>
      <c r="I845" s="294">
        <v>45138</v>
      </c>
      <c r="J845" s="294"/>
      <c r="K845" s="10">
        <f>+'AUMENTOS %'!$C$14*5600</f>
        <v>5600</v>
      </c>
      <c r="L845" s="11"/>
      <c r="M845" s="11"/>
      <c r="N845" s="100"/>
      <c r="O845" s="11">
        <f t="shared" si="181"/>
        <v>5600</v>
      </c>
      <c r="P845" s="11">
        <f t="shared" si="182"/>
        <v>5600</v>
      </c>
      <c r="Q845" s="11">
        <v>1.5</v>
      </c>
      <c r="R845" s="11">
        <f t="shared" si="183"/>
        <v>8400</v>
      </c>
      <c r="S845" s="11"/>
      <c r="T845" s="136">
        <f t="shared" si="184"/>
        <v>0</v>
      </c>
    </row>
    <row r="846" spans="1:20" ht="15.75" customHeight="1">
      <c r="A846" s="149" t="s">
        <v>2432</v>
      </c>
      <c r="B846" s="273"/>
      <c r="C846" s="28" t="s">
        <v>44313</v>
      </c>
      <c r="D846" s="41">
        <v>350</v>
      </c>
      <c r="E846" s="131">
        <f t="shared" si="187"/>
        <v>7970</v>
      </c>
      <c r="F846" s="21">
        <f t="shared" si="186"/>
        <v>9643.6999999999989</v>
      </c>
      <c r="G846" s="21"/>
      <c r="H846" s="135">
        <f t="shared" si="185"/>
        <v>0</v>
      </c>
      <c r="I846" s="294">
        <v>45287</v>
      </c>
      <c r="J846" s="294">
        <v>45329</v>
      </c>
      <c r="K846" s="11">
        <v>4980</v>
      </c>
      <c r="L846" s="11">
        <f>0.6*9140</f>
        <v>5484</v>
      </c>
      <c r="M846" s="11"/>
      <c r="N846" s="100"/>
      <c r="O846" s="11">
        <f t="shared" si="181"/>
        <v>4980</v>
      </c>
      <c r="P846" s="11">
        <f t="shared" si="182"/>
        <v>4980</v>
      </c>
      <c r="Q846" s="11">
        <v>1.6</v>
      </c>
      <c r="R846" s="11">
        <f t="shared" si="183"/>
        <v>7968</v>
      </c>
      <c r="S846" s="11"/>
      <c r="T846" s="136">
        <f t="shared" si="184"/>
        <v>0</v>
      </c>
    </row>
    <row r="847" spans="1:20" ht="15.75" customHeight="1">
      <c r="A847" s="149">
        <v>21</v>
      </c>
      <c r="B847" s="273"/>
      <c r="C847" s="28" t="s">
        <v>2619</v>
      </c>
      <c r="D847" s="41"/>
      <c r="E847" s="131">
        <f t="shared" si="187"/>
        <v>241670</v>
      </c>
      <c r="F847" s="21">
        <f t="shared" si="186"/>
        <v>292420.7</v>
      </c>
      <c r="G847" s="21"/>
      <c r="H847" s="135">
        <f t="shared" si="185"/>
        <v>0</v>
      </c>
      <c r="I847" s="294">
        <v>45273</v>
      </c>
      <c r="J847" s="294"/>
      <c r="K847" s="10">
        <f>0.6*PROVEEDORES!D15*325.08</f>
        <v>172617.47999999998</v>
      </c>
      <c r="L847" s="10"/>
      <c r="M847" s="11"/>
      <c r="N847" s="100"/>
      <c r="O847" s="11">
        <f t="shared" si="181"/>
        <v>172617.47999999998</v>
      </c>
      <c r="P847" s="11">
        <f t="shared" si="182"/>
        <v>172617.47999999998</v>
      </c>
      <c r="Q847" s="11">
        <v>1.4</v>
      </c>
      <c r="R847" s="11">
        <f t="shared" si="183"/>
        <v>241664.47199999995</v>
      </c>
      <c r="S847" s="11"/>
      <c r="T847" s="136">
        <f t="shared" si="184"/>
        <v>0</v>
      </c>
    </row>
    <row r="848" spans="1:20" ht="15.75" customHeight="1">
      <c r="A848" s="149">
        <v>47</v>
      </c>
      <c r="B848" s="273"/>
      <c r="C848" s="36" t="s">
        <v>1483</v>
      </c>
      <c r="D848" s="41">
        <v>13120</v>
      </c>
      <c r="E848" s="131">
        <f t="shared" si="187"/>
        <v>0</v>
      </c>
      <c r="F848" s="21">
        <f t="shared" si="186"/>
        <v>0</v>
      </c>
      <c r="G848" s="21"/>
      <c r="H848" s="135">
        <f t="shared" si="185"/>
        <v>0</v>
      </c>
      <c r="I848" s="294"/>
      <c r="J848" s="294"/>
      <c r="K848" s="11">
        <f>180*100/1.21</f>
        <v>14876.03305785124</v>
      </c>
      <c r="L848" s="11"/>
      <c r="M848" s="10">
        <f>14419*0.65*1.4*2</f>
        <v>26242.579999999998</v>
      </c>
      <c r="N848" s="100"/>
      <c r="O848" s="11">
        <f t="shared" si="181"/>
        <v>14876.03305785124</v>
      </c>
      <c r="P848" s="11">
        <f t="shared" si="182"/>
        <v>14876.03305785124</v>
      </c>
      <c r="Q848" s="11"/>
      <c r="R848" s="11">
        <f t="shared" si="183"/>
        <v>0</v>
      </c>
      <c r="S848" s="11"/>
      <c r="T848" s="136">
        <f t="shared" si="184"/>
        <v>0</v>
      </c>
    </row>
    <row r="849" spans="1:20" ht="15.75" customHeight="1">
      <c r="A849" s="149">
        <v>30</v>
      </c>
      <c r="B849" s="273"/>
      <c r="C849" s="28" t="s">
        <v>1484</v>
      </c>
      <c r="D849" s="41">
        <v>16410</v>
      </c>
      <c r="E849" s="131">
        <f t="shared" si="187"/>
        <v>391980</v>
      </c>
      <c r="F849" s="21">
        <f t="shared" si="186"/>
        <v>474295.8</v>
      </c>
      <c r="G849" s="21"/>
      <c r="H849" s="135">
        <f t="shared" si="185"/>
        <v>0</v>
      </c>
      <c r="I849" s="294">
        <v>45278</v>
      </c>
      <c r="J849" s="294"/>
      <c r="K849" s="11">
        <f>0.67*PROVEEDORES!$D$24*455.9</f>
        <v>270325.90500000003</v>
      </c>
      <c r="L849" s="11"/>
      <c r="M849" s="11"/>
      <c r="N849" s="100"/>
      <c r="O849" s="11">
        <f t="shared" si="181"/>
        <v>270325.90500000003</v>
      </c>
      <c r="P849" s="11">
        <f t="shared" si="182"/>
        <v>270325.90500000003</v>
      </c>
      <c r="Q849" s="11">
        <v>1.45</v>
      </c>
      <c r="R849" s="11">
        <f t="shared" si="183"/>
        <v>391972.56225000002</v>
      </c>
      <c r="S849" s="11"/>
      <c r="T849" s="136">
        <f t="shared" si="184"/>
        <v>0</v>
      </c>
    </row>
    <row r="850" spans="1:20" ht="15.75" customHeight="1">
      <c r="A850" s="149"/>
      <c r="B850" s="273"/>
      <c r="C850" s="28" t="s">
        <v>4410</v>
      </c>
      <c r="D850" s="41"/>
      <c r="E850" s="131">
        <f t="shared" si="187"/>
        <v>40500</v>
      </c>
      <c r="F850" s="21">
        <f t="shared" si="186"/>
        <v>49005</v>
      </c>
      <c r="G850" s="21"/>
      <c r="H850" s="135">
        <f t="shared" si="185"/>
        <v>0</v>
      </c>
      <c r="I850" s="294">
        <v>45295</v>
      </c>
      <c r="J850" s="294"/>
      <c r="K850" s="11">
        <v>27000</v>
      </c>
      <c r="L850" s="11"/>
      <c r="M850" s="11"/>
      <c r="N850" s="100"/>
      <c r="O850" s="11">
        <f t="shared" si="181"/>
        <v>27000</v>
      </c>
      <c r="P850" s="11">
        <f t="shared" si="182"/>
        <v>27000</v>
      </c>
      <c r="Q850" s="11">
        <v>1.5</v>
      </c>
      <c r="R850" s="11">
        <f t="shared" si="183"/>
        <v>40500</v>
      </c>
      <c r="S850" s="11"/>
      <c r="T850" s="136">
        <f t="shared" si="184"/>
        <v>0</v>
      </c>
    </row>
    <row r="851" spans="1:20" ht="15.75" customHeight="1">
      <c r="A851" s="149"/>
      <c r="B851" s="273"/>
      <c r="C851" s="28" t="s">
        <v>3946</v>
      </c>
      <c r="D851" s="41"/>
      <c r="E851" s="131">
        <f t="shared" si="187"/>
        <v>405000</v>
      </c>
      <c r="F851" s="21">
        <f t="shared" si="186"/>
        <v>490050</v>
      </c>
      <c r="G851" s="21">
        <v>390000</v>
      </c>
      <c r="H851" s="135">
        <f t="shared" si="185"/>
        <v>0</v>
      </c>
      <c r="I851" s="294">
        <v>45355</v>
      </c>
      <c r="J851" s="294"/>
      <c r="K851" s="11">
        <v>270000</v>
      </c>
      <c r="L851" s="11"/>
      <c r="M851" s="11"/>
      <c r="N851" s="100"/>
      <c r="O851" s="11">
        <f t="shared" si="181"/>
        <v>270000</v>
      </c>
      <c r="P851" s="11">
        <f t="shared" si="182"/>
        <v>270000</v>
      </c>
      <c r="Q851" s="11">
        <v>1.5</v>
      </c>
      <c r="R851" s="11">
        <f t="shared" si="183"/>
        <v>405000</v>
      </c>
      <c r="S851" s="11"/>
      <c r="T851" s="136">
        <f t="shared" si="184"/>
        <v>0</v>
      </c>
    </row>
    <row r="852" spans="1:20" ht="15.75" customHeight="1">
      <c r="A852" s="149"/>
      <c r="B852" s="273"/>
      <c r="C852" s="28" t="s">
        <v>4411</v>
      </c>
      <c r="D852" s="41"/>
      <c r="E852" s="131">
        <f t="shared" si="187"/>
        <v>33000</v>
      </c>
      <c r="F852" s="21">
        <f>+E852*1.21</f>
        <v>39930</v>
      </c>
      <c r="G852" s="21"/>
      <c r="H852" s="135">
        <f t="shared" si="185"/>
        <v>0</v>
      </c>
      <c r="I852" s="294">
        <v>45295</v>
      </c>
      <c r="J852" s="294"/>
      <c r="K852" s="11">
        <v>22000</v>
      </c>
      <c r="L852" s="11"/>
      <c r="M852" s="11"/>
      <c r="N852" s="100"/>
      <c r="O852" s="11">
        <f t="shared" si="181"/>
        <v>22000</v>
      </c>
      <c r="P852" s="11">
        <f t="shared" si="182"/>
        <v>22000</v>
      </c>
      <c r="Q852" s="11">
        <v>1.5</v>
      </c>
      <c r="R852" s="11">
        <f t="shared" si="183"/>
        <v>33000</v>
      </c>
      <c r="S852" s="11"/>
      <c r="T852" s="136">
        <f t="shared" si="184"/>
        <v>0</v>
      </c>
    </row>
    <row r="853" spans="1:20" ht="15.75" customHeight="1">
      <c r="A853" s="149"/>
      <c r="B853" s="273"/>
      <c r="C853" s="28" t="s">
        <v>3947</v>
      </c>
      <c r="D853" s="41"/>
      <c r="E853" s="131">
        <f t="shared" si="187"/>
        <v>0</v>
      </c>
      <c r="F853" s="21">
        <f>+E853*1.21</f>
        <v>0</v>
      </c>
      <c r="G853" s="21"/>
      <c r="H853" s="135">
        <f t="shared" si="185"/>
        <v>0</v>
      </c>
      <c r="I853" s="294">
        <v>45155</v>
      </c>
      <c r="J853" s="294"/>
      <c r="K853" s="11">
        <v>82800</v>
      </c>
      <c r="L853" s="11"/>
      <c r="M853" s="11"/>
      <c r="N853" s="100"/>
      <c r="O853" s="11">
        <f t="shared" ref="O853:O930" si="194">MIN(K853:M853)</f>
        <v>82800</v>
      </c>
      <c r="P853" s="11">
        <f t="shared" si="182"/>
        <v>82800</v>
      </c>
      <c r="Q853" s="11"/>
      <c r="R853" s="11">
        <f t="shared" si="183"/>
        <v>0</v>
      </c>
      <c r="S853" s="11"/>
      <c r="T853" s="136">
        <f t="shared" si="184"/>
        <v>0</v>
      </c>
    </row>
    <row r="854" spans="1:20" ht="15.75" customHeight="1">
      <c r="A854" s="149"/>
      <c r="B854" s="273"/>
      <c r="C854" s="28" t="s">
        <v>3948</v>
      </c>
      <c r="D854" s="41"/>
      <c r="E854" s="131">
        <f t="shared" si="187"/>
        <v>63000</v>
      </c>
      <c r="F854" s="21">
        <f>+E854*1.21</f>
        <v>76230</v>
      </c>
      <c r="G854" s="21"/>
      <c r="H854" s="135">
        <f t="shared" si="185"/>
        <v>0</v>
      </c>
      <c r="I854" s="294">
        <v>45295</v>
      </c>
      <c r="J854" s="294"/>
      <c r="K854" s="11">
        <v>42000</v>
      </c>
      <c r="L854" s="11"/>
      <c r="M854" s="11"/>
      <c r="N854" s="100"/>
      <c r="O854" s="11">
        <f t="shared" si="194"/>
        <v>42000</v>
      </c>
      <c r="P854" s="11">
        <f t="shared" si="182"/>
        <v>42000</v>
      </c>
      <c r="Q854" s="11">
        <v>1.5</v>
      </c>
      <c r="R854" s="11">
        <f t="shared" si="183"/>
        <v>63000</v>
      </c>
      <c r="S854" s="11"/>
      <c r="T854" s="136">
        <f t="shared" si="184"/>
        <v>0</v>
      </c>
    </row>
    <row r="855" spans="1:20" ht="15.75" customHeight="1">
      <c r="A855" s="149"/>
      <c r="B855" s="273"/>
      <c r="C855" s="28" t="s">
        <v>3949</v>
      </c>
      <c r="D855" s="41"/>
      <c r="E855" s="131">
        <f t="shared" si="187"/>
        <v>0</v>
      </c>
      <c r="F855" s="21">
        <f>+E855*1.21</f>
        <v>0</v>
      </c>
      <c r="G855" s="21"/>
      <c r="H855" s="135">
        <f t="shared" si="185"/>
        <v>0</v>
      </c>
      <c r="I855" s="294">
        <v>45155</v>
      </c>
      <c r="J855" s="294"/>
      <c r="K855" s="11">
        <v>156700</v>
      </c>
      <c r="L855" s="11"/>
      <c r="M855" s="11"/>
      <c r="N855" s="100"/>
      <c r="O855" s="11">
        <f t="shared" si="194"/>
        <v>156700</v>
      </c>
      <c r="P855" s="11">
        <f t="shared" si="182"/>
        <v>156700</v>
      </c>
      <c r="Q855" s="11"/>
      <c r="R855" s="11">
        <f t="shared" si="183"/>
        <v>0</v>
      </c>
      <c r="S855" s="11"/>
      <c r="T855" s="136">
        <f t="shared" si="184"/>
        <v>0</v>
      </c>
    </row>
    <row r="856" spans="1:20" ht="15.75" customHeight="1">
      <c r="A856" s="149">
        <v>38</v>
      </c>
      <c r="B856" s="273"/>
      <c r="C856" s="28" t="s">
        <v>4471</v>
      </c>
      <c r="D856" s="41">
        <v>3530</v>
      </c>
      <c r="E856" s="131">
        <f t="shared" si="187"/>
        <v>162200</v>
      </c>
      <c r="F856" s="21" t="s">
        <v>1248</v>
      </c>
      <c r="G856" s="21">
        <f>+E856*1.105</f>
        <v>179231</v>
      </c>
      <c r="H856" s="135">
        <f t="shared" si="185"/>
        <v>0</v>
      </c>
      <c r="I856" s="294">
        <v>45138</v>
      </c>
      <c r="J856" s="294"/>
      <c r="K856" s="10">
        <f>+PROVEEDORES!D32*106.53</f>
        <v>111856.5</v>
      </c>
      <c r="L856" s="11"/>
      <c r="M856" s="11"/>
      <c r="N856" s="100"/>
      <c r="O856" s="11">
        <f t="shared" si="194"/>
        <v>111856.5</v>
      </c>
      <c r="P856" s="11">
        <f t="shared" si="182"/>
        <v>111856.5</v>
      </c>
      <c r="Q856" s="11">
        <v>1.45</v>
      </c>
      <c r="R856" s="11">
        <f t="shared" si="183"/>
        <v>162191.92499999999</v>
      </c>
      <c r="S856" s="11"/>
      <c r="T856" s="136">
        <f t="shared" si="184"/>
        <v>0</v>
      </c>
    </row>
    <row r="857" spans="1:20" ht="15.75" customHeight="1">
      <c r="A857" s="149">
        <v>52</v>
      </c>
      <c r="B857" s="273"/>
      <c r="C857" s="28" t="s">
        <v>4427</v>
      </c>
      <c r="D857" s="41">
        <v>3530</v>
      </c>
      <c r="E857" s="131">
        <f>ROUNDUP(R857,-1)</f>
        <v>0</v>
      </c>
      <c r="F857" s="21" t="s">
        <v>1248</v>
      </c>
      <c r="G857" s="21">
        <f>+E857*1.105</f>
        <v>0</v>
      </c>
      <c r="H857" s="135">
        <f>ROUNDUP(T857,-1)</f>
        <v>0</v>
      </c>
      <c r="I857" s="294">
        <v>45112</v>
      </c>
      <c r="J857" s="294"/>
      <c r="K857" s="134">
        <f>+PROVEEDORES!D46*0.85*0.95*0.93*99</f>
        <v>78063.851250000007</v>
      </c>
      <c r="L857" s="11"/>
      <c r="M857" s="11"/>
      <c r="N857" s="100"/>
      <c r="O857" s="11">
        <f>MIN(K857:M857)</f>
        <v>78063.851250000007</v>
      </c>
      <c r="P857" s="11">
        <f>+O857</f>
        <v>78063.851250000007</v>
      </c>
      <c r="Q857" s="11"/>
      <c r="R857" s="11">
        <f>+P857*Q857</f>
        <v>0</v>
      </c>
      <c r="S857" s="11"/>
      <c r="T857" s="136">
        <f>+N857*Q857</f>
        <v>0</v>
      </c>
    </row>
    <row r="858" spans="1:20" ht="15.75" customHeight="1">
      <c r="A858" s="149">
        <v>52</v>
      </c>
      <c r="B858" s="273"/>
      <c r="C858" s="28" t="s">
        <v>4419</v>
      </c>
      <c r="D858" s="41">
        <v>3530</v>
      </c>
      <c r="E858" s="131">
        <f t="shared" si="187"/>
        <v>165580</v>
      </c>
      <c r="F858" s="21" t="s">
        <v>1248</v>
      </c>
      <c r="G858" s="21">
        <f>+E858*1.105</f>
        <v>182965.9</v>
      </c>
      <c r="H858" s="135">
        <f t="shared" si="185"/>
        <v>133980</v>
      </c>
      <c r="I858" s="294"/>
      <c r="J858" s="294">
        <v>45195</v>
      </c>
      <c r="K858" s="134">
        <f>+PROVEEDORES!D46*0.75*145</f>
        <v>114187.5</v>
      </c>
      <c r="L858" s="11"/>
      <c r="M858" s="11"/>
      <c r="N858" s="100">
        <v>92400</v>
      </c>
      <c r="O858" s="11">
        <f t="shared" si="194"/>
        <v>114187.5</v>
      </c>
      <c r="P858" s="11">
        <f t="shared" ref="P858:P934" si="195">+O858</f>
        <v>114187.5</v>
      </c>
      <c r="Q858" s="11">
        <v>1.45</v>
      </c>
      <c r="R858" s="11">
        <f t="shared" ref="R858:R934" si="196">+P858*Q858</f>
        <v>165571.875</v>
      </c>
      <c r="S858" s="11"/>
      <c r="T858" s="136">
        <f t="shared" si="184"/>
        <v>133980</v>
      </c>
    </row>
    <row r="859" spans="1:20" ht="15.75" customHeight="1">
      <c r="A859" s="149">
        <v>41</v>
      </c>
      <c r="B859" s="273">
        <f>ROUNDUP(E859*1.06,-1)</f>
        <v>1168330</v>
      </c>
      <c r="C859" s="28" t="s">
        <v>4280</v>
      </c>
      <c r="D859" s="41"/>
      <c r="E859" s="132">
        <f t="shared" si="187"/>
        <v>1102190</v>
      </c>
      <c r="F859" s="21" t="s">
        <v>1248</v>
      </c>
      <c r="G859" s="21">
        <f>+E859*1.105</f>
        <v>1217919.95</v>
      </c>
      <c r="H859" s="135">
        <f t="shared" si="185"/>
        <v>920880</v>
      </c>
      <c r="I859" s="294">
        <v>45311</v>
      </c>
      <c r="J859" s="294"/>
      <c r="K859" s="10">
        <f>+PROVEEDORES!$D$35*0.9*0.9*942</f>
        <v>816431.4</v>
      </c>
      <c r="L859" s="11"/>
      <c r="M859" s="11"/>
      <c r="N859" s="100">
        <f>0.9*0.95*0.95*839800</f>
        <v>682127.54999999993</v>
      </c>
      <c r="O859" s="11">
        <f t="shared" si="194"/>
        <v>816431.4</v>
      </c>
      <c r="P859" s="11">
        <f t="shared" si="195"/>
        <v>816431.4</v>
      </c>
      <c r="Q859" s="11">
        <v>1.35</v>
      </c>
      <c r="R859" s="11">
        <f t="shared" si="196"/>
        <v>1102182.3900000001</v>
      </c>
      <c r="S859" s="11"/>
      <c r="T859" s="136">
        <f t="shared" si="184"/>
        <v>920872.1925</v>
      </c>
    </row>
    <row r="860" spans="1:20" ht="15.75" customHeight="1">
      <c r="A860" s="149">
        <v>21</v>
      </c>
      <c r="B860" s="273"/>
      <c r="C860" s="28" t="s">
        <v>2515</v>
      </c>
      <c r="D860" s="41">
        <v>30</v>
      </c>
      <c r="E860" s="131">
        <f t="shared" si="187"/>
        <v>2070</v>
      </c>
      <c r="F860" s="21">
        <f t="shared" ref="F860:F891" si="197">+E860*1.21</f>
        <v>2504.6999999999998</v>
      </c>
      <c r="G860" s="21"/>
      <c r="H860" s="135">
        <f t="shared" si="185"/>
        <v>0</v>
      </c>
      <c r="I860" s="294">
        <v>45273</v>
      </c>
      <c r="J860" s="294">
        <v>45329</v>
      </c>
      <c r="K860" s="10">
        <f>0.6*2293</f>
        <v>1375.8</v>
      </c>
      <c r="L860" s="11"/>
      <c r="M860" s="11"/>
      <c r="N860" s="100"/>
      <c r="O860" s="11">
        <f t="shared" si="194"/>
        <v>1375.8</v>
      </c>
      <c r="P860" s="11">
        <f t="shared" si="195"/>
        <v>1375.8</v>
      </c>
      <c r="Q860" s="11">
        <v>1.5</v>
      </c>
      <c r="R860" s="11">
        <f t="shared" si="196"/>
        <v>2063.6999999999998</v>
      </c>
      <c r="S860" s="11"/>
      <c r="T860" s="136">
        <f t="shared" si="184"/>
        <v>0</v>
      </c>
    </row>
    <row r="861" spans="1:20" ht="15.75" customHeight="1">
      <c r="A861" s="149">
        <v>21</v>
      </c>
      <c r="B861" s="273"/>
      <c r="C861" s="28" t="s">
        <v>2514</v>
      </c>
      <c r="D861" s="41">
        <v>25</v>
      </c>
      <c r="E861" s="131">
        <f t="shared" si="187"/>
        <v>1680</v>
      </c>
      <c r="F861" s="21">
        <f t="shared" si="197"/>
        <v>2032.8</v>
      </c>
      <c r="G861" s="21"/>
      <c r="H861" s="135">
        <f t="shared" si="185"/>
        <v>0</v>
      </c>
      <c r="I861" s="294">
        <v>45273</v>
      </c>
      <c r="J861" s="294">
        <v>45329</v>
      </c>
      <c r="K861" s="10">
        <f>0.6*1862</f>
        <v>1117.2</v>
      </c>
      <c r="L861" s="11"/>
      <c r="M861" s="11"/>
      <c r="N861" s="100"/>
      <c r="O861" s="11">
        <f t="shared" si="194"/>
        <v>1117.2</v>
      </c>
      <c r="P861" s="11">
        <f t="shared" si="195"/>
        <v>1117.2</v>
      </c>
      <c r="Q861" s="11">
        <v>1.5</v>
      </c>
      <c r="R861" s="11">
        <f t="shared" si="196"/>
        <v>1675.8000000000002</v>
      </c>
      <c r="S861" s="11"/>
      <c r="T861" s="136">
        <f t="shared" si="184"/>
        <v>0</v>
      </c>
    </row>
    <row r="862" spans="1:20" ht="15.75" customHeight="1">
      <c r="A862" s="149">
        <v>21</v>
      </c>
      <c r="B862" s="273"/>
      <c r="C862" s="28" t="s">
        <v>2516</v>
      </c>
      <c r="D862" s="41">
        <v>45</v>
      </c>
      <c r="E862" s="131">
        <f t="shared" si="187"/>
        <v>3040</v>
      </c>
      <c r="F862" s="21">
        <f t="shared" si="197"/>
        <v>3678.4</v>
      </c>
      <c r="G862" s="21"/>
      <c r="H862" s="135">
        <f t="shared" si="185"/>
        <v>0</v>
      </c>
      <c r="I862" s="294">
        <v>45273</v>
      </c>
      <c r="J862" s="294">
        <v>45329</v>
      </c>
      <c r="K862" s="10">
        <f>0.6*3371</f>
        <v>2022.6</v>
      </c>
      <c r="L862" s="11"/>
      <c r="M862" s="11"/>
      <c r="N862" s="100"/>
      <c r="O862" s="11">
        <f t="shared" si="194"/>
        <v>2022.6</v>
      </c>
      <c r="P862" s="11">
        <f t="shared" si="195"/>
        <v>2022.6</v>
      </c>
      <c r="Q862" s="11">
        <v>1.5</v>
      </c>
      <c r="R862" s="11">
        <f t="shared" si="196"/>
        <v>3033.8999999999996</v>
      </c>
      <c r="S862" s="11"/>
      <c r="T862" s="136">
        <f t="shared" si="184"/>
        <v>0</v>
      </c>
    </row>
    <row r="863" spans="1:20" ht="15.75" customHeight="1">
      <c r="A863" s="149">
        <v>21</v>
      </c>
      <c r="B863" s="273"/>
      <c r="C863" s="28" t="s">
        <v>2517</v>
      </c>
      <c r="D863" s="41">
        <v>50</v>
      </c>
      <c r="E863" s="131">
        <f t="shared" si="187"/>
        <v>3230</v>
      </c>
      <c r="F863" s="21">
        <f t="shared" si="197"/>
        <v>3908.2999999999997</v>
      </c>
      <c r="G863" s="21"/>
      <c r="H863" s="135">
        <f t="shared" si="185"/>
        <v>0</v>
      </c>
      <c r="I863" s="294">
        <v>45273</v>
      </c>
      <c r="J863" s="294">
        <v>45329</v>
      </c>
      <c r="K863" s="10">
        <f>0.6*3586</f>
        <v>2151.6</v>
      </c>
      <c r="L863" s="11"/>
      <c r="M863" s="11"/>
      <c r="N863" s="100"/>
      <c r="O863" s="11">
        <f t="shared" si="194"/>
        <v>2151.6</v>
      </c>
      <c r="P863" s="11">
        <f t="shared" si="195"/>
        <v>2151.6</v>
      </c>
      <c r="Q863" s="11">
        <v>1.5</v>
      </c>
      <c r="R863" s="11">
        <f t="shared" si="196"/>
        <v>3227.3999999999996</v>
      </c>
      <c r="S863" s="11"/>
      <c r="T863" s="136">
        <f t="shared" si="184"/>
        <v>0</v>
      </c>
    </row>
    <row r="864" spans="1:20" ht="15.75" customHeight="1">
      <c r="A864" s="149">
        <v>21</v>
      </c>
      <c r="B864" s="273"/>
      <c r="C864" s="28" t="s">
        <v>2513</v>
      </c>
      <c r="D864" s="41">
        <v>50</v>
      </c>
      <c r="E864" s="131">
        <f t="shared" si="187"/>
        <v>3670</v>
      </c>
      <c r="F864" s="21">
        <f t="shared" si="197"/>
        <v>4440.7</v>
      </c>
      <c r="G864" s="21"/>
      <c r="H864" s="135">
        <f t="shared" si="185"/>
        <v>0</v>
      </c>
      <c r="I864" s="294">
        <v>45273</v>
      </c>
      <c r="J864" s="294">
        <v>45329</v>
      </c>
      <c r="K864" s="10">
        <f>0.6*4068</f>
        <v>2440.7999999999997</v>
      </c>
      <c r="L864" s="11"/>
      <c r="M864" s="11"/>
      <c r="N864" s="100"/>
      <c r="O864" s="11">
        <f t="shared" si="194"/>
        <v>2440.7999999999997</v>
      </c>
      <c r="P864" s="11">
        <f t="shared" si="195"/>
        <v>2440.7999999999997</v>
      </c>
      <c r="Q864" s="11">
        <v>1.5</v>
      </c>
      <c r="R864" s="11">
        <f t="shared" si="196"/>
        <v>3661.2</v>
      </c>
      <c r="S864" s="11"/>
      <c r="T864" s="136">
        <f t="shared" ref="T864:T943" si="198">+N864*Q864</f>
        <v>0</v>
      </c>
    </row>
    <row r="865" spans="1:20" ht="15.75" customHeight="1">
      <c r="A865" s="149">
        <v>12</v>
      </c>
      <c r="B865" s="273"/>
      <c r="C865" s="28" t="s">
        <v>4434</v>
      </c>
      <c r="D865" s="41">
        <v>100</v>
      </c>
      <c r="E865" s="131">
        <f t="shared" si="187"/>
        <v>2540</v>
      </c>
      <c r="F865" s="21">
        <f t="shared" si="197"/>
        <v>3073.4</v>
      </c>
      <c r="G865" s="21"/>
      <c r="H865" s="135">
        <f t="shared" si="185"/>
        <v>0</v>
      </c>
      <c r="I865" s="294">
        <v>45222</v>
      </c>
      <c r="J865" s="294">
        <v>45338</v>
      </c>
      <c r="K865" s="10">
        <v>1494</v>
      </c>
      <c r="L865" s="11"/>
      <c r="M865" s="11"/>
      <c r="N865" s="100"/>
      <c r="O865" s="11">
        <f t="shared" si="194"/>
        <v>1494</v>
      </c>
      <c r="P865" s="11">
        <f t="shared" si="195"/>
        <v>1494</v>
      </c>
      <c r="Q865" s="11">
        <v>1.7</v>
      </c>
      <c r="R865" s="11">
        <f t="shared" si="196"/>
        <v>2539.7999999999997</v>
      </c>
      <c r="S865" s="11"/>
      <c r="T865" s="136">
        <f t="shared" si="198"/>
        <v>0</v>
      </c>
    </row>
    <row r="866" spans="1:20" ht="15.75" customHeight="1">
      <c r="A866" s="149"/>
      <c r="B866" s="273"/>
      <c r="C866" s="28" t="s">
        <v>1493</v>
      </c>
      <c r="D866" s="41">
        <v>55</v>
      </c>
      <c r="E866" s="131">
        <f t="shared" si="187"/>
        <v>2460</v>
      </c>
      <c r="F866" s="21">
        <f t="shared" si="197"/>
        <v>2976.6</v>
      </c>
      <c r="G866" s="21"/>
      <c r="H866" s="135">
        <f t="shared" ref="H866:H945" si="199">ROUNDUP(T866,-1)</f>
        <v>0</v>
      </c>
      <c r="I866" s="294"/>
      <c r="J866" s="294">
        <v>44418</v>
      </c>
      <c r="K866" s="10">
        <f>+PROVEEDORES!D36*1.68*1.1</f>
        <v>1635.48</v>
      </c>
      <c r="L866" s="11"/>
      <c r="M866" s="11"/>
      <c r="N866" s="100"/>
      <c r="O866" s="11">
        <f t="shared" si="194"/>
        <v>1635.48</v>
      </c>
      <c r="P866" s="11">
        <f t="shared" si="195"/>
        <v>1635.48</v>
      </c>
      <c r="Q866" s="11">
        <v>1.5</v>
      </c>
      <c r="R866" s="11">
        <f t="shared" si="196"/>
        <v>2453.2200000000003</v>
      </c>
      <c r="S866" s="11"/>
      <c r="T866" s="136">
        <f t="shared" si="198"/>
        <v>0</v>
      </c>
    </row>
    <row r="867" spans="1:20" ht="15.75" customHeight="1">
      <c r="A867" s="149">
        <v>33</v>
      </c>
      <c r="B867" s="273"/>
      <c r="C867" s="28" t="s">
        <v>1486</v>
      </c>
      <c r="D867" s="41">
        <v>390</v>
      </c>
      <c r="E867" s="131">
        <f t="shared" si="187"/>
        <v>0</v>
      </c>
      <c r="F867" s="21">
        <f t="shared" si="197"/>
        <v>0</v>
      </c>
      <c r="G867" s="56"/>
      <c r="H867" s="135">
        <f t="shared" si="199"/>
        <v>0</v>
      </c>
      <c r="I867" s="298">
        <v>43601</v>
      </c>
      <c r="J867" s="299">
        <v>43661</v>
      </c>
      <c r="K867" s="11">
        <f>260*1.5*1.8*1.05*1.04</f>
        <v>766.58400000000006</v>
      </c>
      <c r="L867" s="11"/>
      <c r="M867" s="11"/>
      <c r="N867" s="100"/>
      <c r="O867" s="11">
        <f t="shared" si="194"/>
        <v>766.58400000000006</v>
      </c>
      <c r="P867" s="11">
        <f t="shared" si="195"/>
        <v>766.58400000000006</v>
      </c>
      <c r="Q867" s="11"/>
      <c r="R867" s="11">
        <f t="shared" si="196"/>
        <v>0</v>
      </c>
      <c r="S867" s="11"/>
      <c r="T867" s="136">
        <f t="shared" si="198"/>
        <v>0</v>
      </c>
    </row>
    <row r="868" spans="1:20" ht="15.75" customHeight="1">
      <c r="A868" s="149">
        <v>33</v>
      </c>
      <c r="B868" s="273"/>
      <c r="C868" s="28" t="s">
        <v>1485</v>
      </c>
      <c r="D868" s="41">
        <v>620</v>
      </c>
      <c r="E868" s="131">
        <f t="shared" si="187"/>
        <v>0</v>
      </c>
      <c r="F868" s="21">
        <f t="shared" si="197"/>
        <v>0</v>
      </c>
      <c r="G868" s="56"/>
      <c r="H868" s="135">
        <f t="shared" si="199"/>
        <v>0</v>
      </c>
      <c r="I868" s="298">
        <v>43601</v>
      </c>
      <c r="J868" s="299">
        <v>43661</v>
      </c>
      <c r="K868" s="11">
        <f>416*1.5*1.05*1.04</f>
        <v>681.40800000000002</v>
      </c>
      <c r="L868" s="11"/>
      <c r="M868" s="11"/>
      <c r="N868" s="100"/>
      <c r="O868" s="11">
        <f t="shared" si="194"/>
        <v>681.40800000000002</v>
      </c>
      <c r="P868" s="11">
        <f t="shared" si="195"/>
        <v>681.40800000000002</v>
      </c>
      <c r="Q868" s="11"/>
      <c r="R868" s="11">
        <f t="shared" si="196"/>
        <v>0</v>
      </c>
      <c r="S868" s="11"/>
      <c r="T868" s="136">
        <f t="shared" si="198"/>
        <v>0</v>
      </c>
    </row>
    <row r="869" spans="1:20" ht="15.75" customHeight="1">
      <c r="A869" s="149">
        <v>12</v>
      </c>
      <c r="B869" s="273"/>
      <c r="C869" s="28" t="s">
        <v>4536</v>
      </c>
      <c r="D869" s="41">
        <v>55</v>
      </c>
      <c r="E869" s="131">
        <f t="shared" si="187"/>
        <v>9130</v>
      </c>
      <c r="F869" s="21">
        <f t="shared" si="197"/>
        <v>11047.3</v>
      </c>
      <c r="G869" s="21"/>
      <c r="H869" s="135">
        <f t="shared" si="199"/>
        <v>0</v>
      </c>
      <c r="I869" s="294">
        <v>45274</v>
      </c>
      <c r="J869" s="23">
        <v>45338</v>
      </c>
      <c r="K869" s="10">
        <v>6084</v>
      </c>
      <c r="L869" s="11"/>
      <c r="M869" s="11"/>
      <c r="N869" s="100"/>
      <c r="O869" s="11">
        <f t="shared" si="194"/>
        <v>6084</v>
      </c>
      <c r="P869" s="11">
        <f t="shared" si="195"/>
        <v>6084</v>
      </c>
      <c r="Q869" s="11">
        <v>1.5</v>
      </c>
      <c r="R869" s="11">
        <f t="shared" si="196"/>
        <v>9126</v>
      </c>
      <c r="S869" s="11"/>
      <c r="T869" s="136">
        <f t="shared" si="198"/>
        <v>0</v>
      </c>
    </row>
    <row r="870" spans="1:20" ht="15.75" customHeight="1">
      <c r="A870" s="149">
        <v>12</v>
      </c>
      <c r="B870" s="273"/>
      <c r="C870" s="28" t="s">
        <v>62637</v>
      </c>
      <c r="D870" s="41">
        <v>55</v>
      </c>
      <c r="E870" s="131">
        <f t="shared" ref="E870" si="200">ROUNDUP(R870,-1)</f>
        <v>8130</v>
      </c>
      <c r="F870" s="21">
        <f t="shared" ref="F870" si="201">+E870*1.21</f>
        <v>9837.2999999999993</v>
      </c>
      <c r="G870" s="21"/>
      <c r="H870" s="135">
        <f t="shared" ref="H870" si="202">ROUNDUP(T870,-1)</f>
        <v>0</v>
      </c>
      <c r="I870" s="294">
        <v>45350</v>
      </c>
      <c r="J870" s="23"/>
      <c r="K870" s="10">
        <v>5418</v>
      </c>
      <c r="L870" s="11"/>
      <c r="M870" s="11"/>
      <c r="N870" s="100"/>
      <c r="O870" s="11">
        <f t="shared" ref="O870" si="203">MIN(K870:M870)</f>
        <v>5418</v>
      </c>
      <c r="P870" s="11">
        <f t="shared" ref="P870" si="204">+O870</f>
        <v>5418</v>
      </c>
      <c r="Q870" s="11">
        <v>1.5</v>
      </c>
      <c r="R870" s="11">
        <f t="shared" ref="R870" si="205">+P870*Q870</f>
        <v>8127</v>
      </c>
      <c r="S870" s="11"/>
      <c r="T870" s="136">
        <f t="shared" ref="T870" si="206">+N870*Q870</f>
        <v>0</v>
      </c>
    </row>
    <row r="871" spans="1:20" ht="15.75" customHeight="1">
      <c r="A871" s="149">
        <v>12</v>
      </c>
      <c r="B871" s="273"/>
      <c r="C871" s="28" t="s">
        <v>62639</v>
      </c>
      <c r="D871" s="41">
        <v>55</v>
      </c>
      <c r="E871" s="131">
        <f t="shared" ref="E871" si="207">ROUNDUP(R871,-1)</f>
        <v>9820</v>
      </c>
      <c r="F871" s="21">
        <f t="shared" ref="F871" si="208">+E871*1.21</f>
        <v>11882.199999999999</v>
      </c>
      <c r="G871" s="21"/>
      <c r="H871" s="135">
        <f t="shared" ref="H871" si="209">ROUNDUP(T871,-1)</f>
        <v>0</v>
      </c>
      <c r="I871" s="294">
        <v>45350</v>
      </c>
      <c r="J871" s="23"/>
      <c r="K871" s="10">
        <v>6541</v>
      </c>
      <c r="L871" s="11"/>
      <c r="M871" s="11"/>
      <c r="N871" s="100"/>
      <c r="O871" s="11">
        <f t="shared" ref="O871" si="210">MIN(K871:M871)</f>
        <v>6541</v>
      </c>
      <c r="P871" s="11">
        <f t="shared" ref="P871" si="211">+O871</f>
        <v>6541</v>
      </c>
      <c r="Q871" s="11">
        <v>1.5</v>
      </c>
      <c r="R871" s="11">
        <f t="shared" ref="R871" si="212">+P871*Q871</f>
        <v>9811.5</v>
      </c>
      <c r="S871" s="11"/>
      <c r="T871" s="136">
        <f t="shared" ref="T871" si="213">+N871*Q871</f>
        <v>0</v>
      </c>
    </row>
    <row r="872" spans="1:20" ht="15.75" customHeight="1">
      <c r="A872" s="149">
        <v>24</v>
      </c>
      <c r="B872" s="273"/>
      <c r="C872" s="28" t="s">
        <v>1487</v>
      </c>
      <c r="D872" s="41">
        <v>930</v>
      </c>
      <c r="E872" s="131">
        <f t="shared" si="187"/>
        <v>0</v>
      </c>
      <c r="F872" s="21">
        <f t="shared" si="197"/>
        <v>0</v>
      </c>
      <c r="G872" s="253"/>
      <c r="H872" s="135">
        <f t="shared" si="199"/>
        <v>0</v>
      </c>
      <c r="I872" s="294"/>
      <c r="J872" s="294"/>
      <c r="K872" s="10">
        <f>830*0.8*0.94*1.5</f>
        <v>936.24</v>
      </c>
      <c r="L872" s="11"/>
      <c r="M872" s="11"/>
      <c r="N872" s="100"/>
      <c r="O872" s="11">
        <f t="shared" si="194"/>
        <v>936.24</v>
      </c>
      <c r="P872" s="11">
        <f t="shared" si="195"/>
        <v>936.24</v>
      </c>
      <c r="Q872" s="11"/>
      <c r="R872" s="11">
        <f t="shared" si="196"/>
        <v>0</v>
      </c>
      <c r="S872" s="11"/>
      <c r="T872" s="136">
        <f t="shared" si="198"/>
        <v>0</v>
      </c>
    </row>
    <row r="873" spans="1:20" ht="15.75" customHeight="1">
      <c r="A873" s="149">
        <v>24</v>
      </c>
      <c r="B873" s="273"/>
      <c r="C873" s="28" t="s">
        <v>1491</v>
      </c>
      <c r="D873" s="41">
        <v>100</v>
      </c>
      <c r="E873" s="131">
        <f t="shared" si="187"/>
        <v>0</v>
      </c>
      <c r="F873" s="21">
        <f t="shared" si="197"/>
        <v>0</v>
      </c>
      <c r="G873" s="21"/>
      <c r="H873" s="135">
        <f t="shared" si="199"/>
        <v>0</v>
      </c>
      <c r="I873" s="294"/>
      <c r="J873" s="294"/>
      <c r="K873" s="10">
        <f>87*0.8*1.5</f>
        <v>104.4</v>
      </c>
      <c r="L873" s="11"/>
      <c r="M873" s="11"/>
      <c r="N873" s="100"/>
      <c r="O873" s="11">
        <f t="shared" si="194"/>
        <v>104.4</v>
      </c>
      <c r="P873" s="11">
        <f t="shared" si="195"/>
        <v>104.4</v>
      </c>
      <c r="Q873" s="11"/>
      <c r="R873" s="11">
        <f t="shared" si="196"/>
        <v>0</v>
      </c>
      <c r="S873" s="11"/>
      <c r="T873" s="136">
        <f t="shared" si="198"/>
        <v>0</v>
      </c>
    </row>
    <row r="874" spans="1:20" ht="15.75" customHeight="1">
      <c r="A874" s="149">
        <v>24</v>
      </c>
      <c r="B874" s="273"/>
      <c r="C874" s="28" t="s">
        <v>1492</v>
      </c>
      <c r="D874" s="41">
        <v>100</v>
      </c>
      <c r="E874" s="131">
        <f t="shared" si="187"/>
        <v>0</v>
      </c>
      <c r="F874" s="21">
        <f t="shared" si="197"/>
        <v>0</v>
      </c>
      <c r="G874" s="21"/>
      <c r="H874" s="135">
        <f t="shared" si="199"/>
        <v>0</v>
      </c>
      <c r="I874" s="294"/>
      <c r="J874" s="294"/>
      <c r="K874" s="10">
        <f>87*0.8*1.5</f>
        <v>104.4</v>
      </c>
      <c r="L874" s="11"/>
      <c r="M874" s="11"/>
      <c r="N874" s="100"/>
      <c r="O874" s="11">
        <f t="shared" si="194"/>
        <v>104.4</v>
      </c>
      <c r="P874" s="11">
        <f t="shared" si="195"/>
        <v>104.4</v>
      </c>
      <c r="Q874" s="11"/>
      <c r="R874" s="11">
        <f t="shared" si="196"/>
        <v>0</v>
      </c>
      <c r="S874" s="11"/>
      <c r="T874" s="136">
        <f t="shared" si="198"/>
        <v>0</v>
      </c>
    </row>
    <row r="875" spans="1:20" ht="15.75" customHeight="1">
      <c r="A875" s="149">
        <v>24</v>
      </c>
      <c r="B875" s="273"/>
      <c r="C875" s="28" t="s">
        <v>1488</v>
      </c>
      <c r="D875" s="41">
        <v>100</v>
      </c>
      <c r="E875" s="131">
        <f t="shared" si="187"/>
        <v>0</v>
      </c>
      <c r="F875" s="21">
        <f t="shared" si="197"/>
        <v>0</v>
      </c>
      <c r="G875" s="253"/>
      <c r="H875" s="135">
        <f t="shared" si="199"/>
        <v>0</v>
      </c>
      <c r="I875" s="294"/>
      <c r="J875" s="294"/>
      <c r="K875" s="10">
        <f>87*0.8*1.5</f>
        <v>104.4</v>
      </c>
      <c r="L875" s="11"/>
      <c r="M875" s="11"/>
      <c r="N875" s="100"/>
      <c r="O875" s="11">
        <f t="shared" si="194"/>
        <v>104.4</v>
      </c>
      <c r="P875" s="11">
        <f t="shared" si="195"/>
        <v>104.4</v>
      </c>
      <c r="Q875" s="11"/>
      <c r="R875" s="11">
        <f t="shared" si="196"/>
        <v>0</v>
      </c>
      <c r="S875" s="11"/>
      <c r="T875" s="136">
        <f t="shared" si="198"/>
        <v>0</v>
      </c>
    </row>
    <row r="876" spans="1:20" ht="15.75" customHeight="1">
      <c r="A876" s="149">
        <v>24</v>
      </c>
      <c r="B876" s="273"/>
      <c r="C876" s="28" t="s">
        <v>1489</v>
      </c>
      <c r="D876" s="41">
        <v>150</v>
      </c>
      <c r="E876" s="131">
        <f t="shared" si="187"/>
        <v>0</v>
      </c>
      <c r="F876" s="21">
        <f t="shared" si="197"/>
        <v>0</v>
      </c>
      <c r="G876" s="21"/>
      <c r="H876" s="135">
        <f t="shared" si="199"/>
        <v>0</v>
      </c>
      <c r="I876" s="294"/>
      <c r="J876" s="294"/>
      <c r="K876" s="10">
        <f>87*0.8*1.5</f>
        <v>104.4</v>
      </c>
      <c r="L876" s="11"/>
      <c r="M876" s="11"/>
      <c r="N876" s="100"/>
      <c r="O876" s="11">
        <f t="shared" si="194"/>
        <v>104.4</v>
      </c>
      <c r="P876" s="11">
        <f t="shared" si="195"/>
        <v>104.4</v>
      </c>
      <c r="Q876" s="11"/>
      <c r="R876" s="11">
        <f t="shared" si="196"/>
        <v>0</v>
      </c>
      <c r="S876" s="11"/>
      <c r="T876" s="136">
        <f t="shared" si="198"/>
        <v>0</v>
      </c>
    </row>
    <row r="877" spans="1:20" ht="15.75" customHeight="1">
      <c r="A877" s="149">
        <v>24</v>
      </c>
      <c r="B877" s="273"/>
      <c r="C877" s="28" t="s">
        <v>1490</v>
      </c>
      <c r="D877" s="41">
        <v>190</v>
      </c>
      <c r="E877" s="131">
        <f t="shared" si="187"/>
        <v>0</v>
      </c>
      <c r="F877" s="21">
        <f t="shared" si="197"/>
        <v>0</v>
      </c>
      <c r="G877" s="21"/>
      <c r="H877" s="135">
        <f t="shared" si="199"/>
        <v>0</v>
      </c>
      <c r="I877" s="294">
        <v>44806</v>
      </c>
      <c r="J877" s="294"/>
      <c r="K877" s="10">
        <f>0.8*908</f>
        <v>726.40000000000009</v>
      </c>
      <c r="L877" s="11"/>
      <c r="M877" s="11"/>
      <c r="N877" s="100"/>
      <c r="O877" s="11">
        <f t="shared" si="194"/>
        <v>726.40000000000009</v>
      </c>
      <c r="P877" s="11">
        <f t="shared" si="195"/>
        <v>726.40000000000009</v>
      </c>
      <c r="Q877" s="11"/>
      <c r="R877" s="11">
        <f t="shared" si="196"/>
        <v>0</v>
      </c>
      <c r="S877" s="11"/>
      <c r="T877" s="136">
        <f t="shared" si="198"/>
        <v>0</v>
      </c>
    </row>
    <row r="878" spans="1:20" ht="15.75" customHeight="1">
      <c r="A878" s="149" t="s">
        <v>2402</v>
      </c>
      <c r="B878" s="273"/>
      <c r="C878" s="28" t="s">
        <v>2510</v>
      </c>
      <c r="D878" s="41">
        <v>55</v>
      </c>
      <c r="E878" s="131">
        <f t="shared" si="187"/>
        <v>1010</v>
      </c>
      <c r="F878" s="21">
        <f t="shared" si="197"/>
        <v>1222.0999999999999</v>
      </c>
      <c r="G878" s="55"/>
      <c r="H878" s="135">
        <f t="shared" si="199"/>
        <v>0</v>
      </c>
      <c r="I878" s="294">
        <v>45273</v>
      </c>
      <c r="J878" s="294"/>
      <c r="K878" s="10">
        <f>0.6*1117</f>
        <v>670.19999999999993</v>
      </c>
      <c r="L878" s="11"/>
      <c r="M878" s="11"/>
      <c r="N878" s="100"/>
      <c r="O878" s="11">
        <f t="shared" si="194"/>
        <v>670.19999999999993</v>
      </c>
      <c r="P878" s="11">
        <f t="shared" si="195"/>
        <v>670.19999999999993</v>
      </c>
      <c r="Q878" s="11">
        <v>1.5</v>
      </c>
      <c r="R878" s="11">
        <f t="shared" si="196"/>
        <v>1005.3</v>
      </c>
      <c r="S878" s="11"/>
      <c r="T878" s="136">
        <f t="shared" si="198"/>
        <v>0</v>
      </c>
    </row>
    <row r="879" spans="1:20" ht="15.75" customHeight="1">
      <c r="A879" s="149" t="s">
        <v>2402</v>
      </c>
      <c r="B879" s="273"/>
      <c r="C879" s="28" t="s">
        <v>2511</v>
      </c>
      <c r="D879" s="41">
        <v>96</v>
      </c>
      <c r="E879" s="131">
        <f t="shared" si="187"/>
        <v>1470</v>
      </c>
      <c r="F879" s="21">
        <f t="shared" si="197"/>
        <v>1778.7</v>
      </c>
      <c r="G879" s="56"/>
      <c r="H879" s="135">
        <f t="shared" si="199"/>
        <v>0</v>
      </c>
      <c r="I879" s="294">
        <v>45273</v>
      </c>
      <c r="J879" s="294"/>
      <c r="K879" s="10">
        <f>0.6*1630</f>
        <v>978</v>
      </c>
      <c r="L879" s="11"/>
      <c r="M879" s="11"/>
      <c r="N879" s="100"/>
      <c r="O879" s="11">
        <f t="shared" si="194"/>
        <v>978</v>
      </c>
      <c r="P879" s="11">
        <f t="shared" si="195"/>
        <v>978</v>
      </c>
      <c r="Q879" s="11">
        <v>1.5</v>
      </c>
      <c r="R879" s="11">
        <f t="shared" si="196"/>
        <v>1467</v>
      </c>
      <c r="S879" s="11"/>
      <c r="T879" s="136">
        <f t="shared" si="198"/>
        <v>0</v>
      </c>
    </row>
    <row r="880" spans="1:20" ht="15.75" customHeight="1">
      <c r="A880" s="149" t="s">
        <v>2402</v>
      </c>
      <c r="B880" s="273"/>
      <c r="C880" s="28" t="s">
        <v>2512</v>
      </c>
      <c r="D880" s="41">
        <v>96</v>
      </c>
      <c r="E880" s="131">
        <f t="shared" si="187"/>
        <v>0</v>
      </c>
      <c r="F880" s="21">
        <f t="shared" si="197"/>
        <v>0</v>
      </c>
      <c r="G880" s="55"/>
      <c r="H880" s="135">
        <f t="shared" si="199"/>
        <v>0</v>
      </c>
      <c r="I880" s="298">
        <v>44973</v>
      </c>
      <c r="J880" s="299"/>
      <c r="K880" s="10">
        <f>0.6*1343</f>
        <v>805.8</v>
      </c>
      <c r="L880" s="11"/>
      <c r="M880" s="11"/>
      <c r="N880" s="100"/>
      <c r="O880" s="11">
        <f t="shared" si="194"/>
        <v>805.8</v>
      </c>
      <c r="P880" s="11">
        <f t="shared" si="195"/>
        <v>805.8</v>
      </c>
      <c r="Q880" s="11"/>
      <c r="R880" s="11">
        <f t="shared" si="196"/>
        <v>0</v>
      </c>
      <c r="S880" s="11"/>
      <c r="T880" s="136">
        <f t="shared" si="198"/>
        <v>0</v>
      </c>
    </row>
    <row r="881" spans="1:20" ht="15.75" customHeight="1">
      <c r="A881" s="149">
        <v>12</v>
      </c>
      <c r="B881" s="273"/>
      <c r="C881" s="28" t="s">
        <v>62638</v>
      </c>
      <c r="D881" s="41"/>
      <c r="E881" s="131">
        <f t="shared" ref="E881" si="214">ROUNDUP(R881,-1)</f>
        <v>1550</v>
      </c>
      <c r="F881" s="21">
        <f t="shared" ref="F881" si="215">+E881*1.21</f>
        <v>1875.5</v>
      </c>
      <c r="G881" s="56"/>
      <c r="H881" s="135">
        <f t="shared" ref="H881" si="216">ROUNDUP(T881,-1)</f>
        <v>0</v>
      </c>
      <c r="I881" s="294">
        <v>45350</v>
      </c>
      <c r="J881" s="23"/>
      <c r="K881" s="10">
        <v>1031</v>
      </c>
      <c r="L881" s="11"/>
      <c r="M881" s="11"/>
      <c r="N881" s="100"/>
      <c r="O881" s="11">
        <f t="shared" ref="O881" si="217">MIN(K881:M881)</f>
        <v>1031</v>
      </c>
      <c r="P881" s="11">
        <f t="shared" ref="P881" si="218">+O881</f>
        <v>1031</v>
      </c>
      <c r="Q881" s="11">
        <v>1.5</v>
      </c>
      <c r="R881" s="11">
        <f t="shared" ref="R881" si="219">+P881*Q881</f>
        <v>1546.5</v>
      </c>
      <c r="S881" s="11"/>
      <c r="T881" s="136">
        <f t="shared" ref="T881" si="220">+N881*Q881</f>
        <v>0</v>
      </c>
    </row>
    <row r="882" spans="1:20" ht="15.75" customHeight="1">
      <c r="A882" s="149">
        <v>12</v>
      </c>
      <c r="B882" s="273"/>
      <c r="C882" s="28" t="s">
        <v>4125</v>
      </c>
      <c r="D882" s="41"/>
      <c r="E882" s="131">
        <f t="shared" si="187"/>
        <v>2800</v>
      </c>
      <c r="F882" s="21">
        <f t="shared" si="197"/>
        <v>3388</v>
      </c>
      <c r="G882" s="56"/>
      <c r="H882" s="135">
        <f t="shared" si="199"/>
        <v>0</v>
      </c>
      <c r="I882" s="294">
        <v>45274</v>
      </c>
      <c r="J882" s="23">
        <v>45338</v>
      </c>
      <c r="K882" s="10">
        <v>1862</v>
      </c>
      <c r="L882" s="11"/>
      <c r="M882" s="11"/>
      <c r="N882" s="100"/>
      <c r="O882" s="11">
        <f t="shared" si="194"/>
        <v>1862</v>
      </c>
      <c r="P882" s="11">
        <f t="shared" si="195"/>
        <v>1862</v>
      </c>
      <c r="Q882" s="11">
        <v>1.5</v>
      </c>
      <c r="R882" s="11">
        <f t="shared" si="196"/>
        <v>2793</v>
      </c>
      <c r="S882" s="11"/>
      <c r="T882" s="136">
        <f t="shared" si="198"/>
        <v>0</v>
      </c>
    </row>
    <row r="883" spans="1:20" ht="15.75" customHeight="1">
      <c r="A883" s="149" t="s">
        <v>2402</v>
      </c>
      <c r="B883" s="273"/>
      <c r="C883" s="28" t="s">
        <v>2504</v>
      </c>
      <c r="D883" s="41">
        <v>35</v>
      </c>
      <c r="E883" s="131">
        <f t="shared" si="187"/>
        <v>0</v>
      </c>
      <c r="F883" s="21">
        <f t="shared" si="197"/>
        <v>0</v>
      </c>
      <c r="G883" s="55"/>
      <c r="H883" s="135">
        <f t="shared" si="199"/>
        <v>0</v>
      </c>
      <c r="I883" s="298">
        <v>44973</v>
      </c>
      <c r="J883" s="299"/>
      <c r="K883" s="10">
        <f>0.6*233</f>
        <v>139.79999999999998</v>
      </c>
      <c r="L883" s="11"/>
      <c r="M883" s="11"/>
      <c r="N883" s="100"/>
      <c r="O883" s="11">
        <f t="shared" si="194"/>
        <v>139.79999999999998</v>
      </c>
      <c r="P883" s="11">
        <f t="shared" si="195"/>
        <v>139.79999999999998</v>
      </c>
      <c r="Q883" s="11"/>
      <c r="R883" s="11">
        <f t="shared" si="196"/>
        <v>0</v>
      </c>
      <c r="S883" s="11"/>
      <c r="T883" s="136">
        <f t="shared" si="198"/>
        <v>0</v>
      </c>
    </row>
    <row r="884" spans="1:20" ht="15.75" customHeight="1">
      <c r="A884" s="149" t="s">
        <v>2402</v>
      </c>
      <c r="B884" s="273"/>
      <c r="C884" s="28" t="s">
        <v>2506</v>
      </c>
      <c r="D884" s="41">
        <v>30</v>
      </c>
      <c r="E884" s="131">
        <f t="shared" si="187"/>
        <v>0</v>
      </c>
      <c r="F884" s="21">
        <f t="shared" si="197"/>
        <v>0</v>
      </c>
      <c r="G884" s="56"/>
      <c r="H884" s="135">
        <f t="shared" si="199"/>
        <v>0</v>
      </c>
      <c r="I884" s="298">
        <v>44973</v>
      </c>
      <c r="J884" s="299"/>
      <c r="K884" s="10">
        <f>0.6*255</f>
        <v>153</v>
      </c>
      <c r="L884" s="11"/>
      <c r="M884" s="11"/>
      <c r="N884" s="100"/>
      <c r="O884" s="11">
        <f t="shared" si="194"/>
        <v>153</v>
      </c>
      <c r="P884" s="11">
        <f t="shared" si="195"/>
        <v>153</v>
      </c>
      <c r="Q884" s="11"/>
      <c r="R884" s="11">
        <f t="shared" si="196"/>
        <v>0</v>
      </c>
      <c r="S884" s="11"/>
      <c r="T884" s="136">
        <f t="shared" si="198"/>
        <v>0</v>
      </c>
    </row>
    <row r="885" spans="1:20" ht="15.75" customHeight="1">
      <c r="A885" s="149" t="s">
        <v>2402</v>
      </c>
      <c r="B885" s="273"/>
      <c r="C885" s="28" t="s">
        <v>2507</v>
      </c>
      <c r="D885" s="41">
        <v>60</v>
      </c>
      <c r="E885" s="131">
        <f t="shared" si="187"/>
        <v>0</v>
      </c>
      <c r="F885" s="21">
        <f t="shared" si="197"/>
        <v>0</v>
      </c>
      <c r="G885" s="56"/>
      <c r="H885" s="135">
        <f t="shared" si="199"/>
        <v>0</v>
      </c>
      <c r="I885" s="298">
        <v>44973</v>
      </c>
      <c r="J885" s="299"/>
      <c r="K885" s="10">
        <f>0.6*423</f>
        <v>253.79999999999998</v>
      </c>
      <c r="L885" s="11"/>
      <c r="M885" s="11"/>
      <c r="N885" s="100"/>
      <c r="O885" s="11">
        <f t="shared" si="194"/>
        <v>253.79999999999998</v>
      </c>
      <c r="P885" s="11">
        <f t="shared" si="195"/>
        <v>253.79999999999998</v>
      </c>
      <c r="Q885" s="11"/>
      <c r="R885" s="11">
        <f t="shared" si="196"/>
        <v>0</v>
      </c>
      <c r="S885" s="11"/>
      <c r="T885" s="136">
        <f t="shared" si="198"/>
        <v>0</v>
      </c>
    </row>
    <row r="886" spans="1:20" ht="15.75" customHeight="1">
      <c r="A886" s="149" t="s">
        <v>2402</v>
      </c>
      <c r="B886" s="273"/>
      <c r="C886" s="28" t="s">
        <v>2508</v>
      </c>
      <c r="D886" s="41">
        <v>66</v>
      </c>
      <c r="E886" s="131">
        <f t="shared" si="187"/>
        <v>900</v>
      </c>
      <c r="F886" s="21">
        <f t="shared" si="197"/>
        <v>1089</v>
      </c>
      <c r="G886" s="56"/>
      <c r="H886" s="135">
        <f t="shared" si="199"/>
        <v>0</v>
      </c>
      <c r="I886" s="294">
        <v>45273</v>
      </c>
      <c r="J886" s="294"/>
      <c r="K886" s="10">
        <f>0.6*992</f>
        <v>595.19999999999993</v>
      </c>
      <c r="L886" s="11"/>
      <c r="M886" s="11"/>
      <c r="N886" s="100"/>
      <c r="O886" s="11">
        <f t="shared" si="194"/>
        <v>595.19999999999993</v>
      </c>
      <c r="P886" s="11">
        <f t="shared" si="195"/>
        <v>595.19999999999993</v>
      </c>
      <c r="Q886" s="11">
        <v>1.5</v>
      </c>
      <c r="R886" s="11">
        <f t="shared" si="196"/>
        <v>892.8</v>
      </c>
      <c r="S886" s="11"/>
      <c r="T886" s="136">
        <f t="shared" si="198"/>
        <v>0</v>
      </c>
    </row>
    <row r="887" spans="1:20" ht="15.75" customHeight="1">
      <c r="A887" s="149" t="s">
        <v>2402</v>
      </c>
      <c r="B887" s="273"/>
      <c r="C887" s="28" t="s">
        <v>2505</v>
      </c>
      <c r="D887" s="41">
        <v>80</v>
      </c>
      <c r="E887" s="131">
        <f t="shared" si="187"/>
        <v>1410</v>
      </c>
      <c r="F887" s="21">
        <f t="shared" si="197"/>
        <v>1706.1</v>
      </c>
      <c r="G887" s="56"/>
      <c r="H887" s="135">
        <f t="shared" si="199"/>
        <v>0</v>
      </c>
      <c r="I887" s="294">
        <v>45273</v>
      </c>
      <c r="J887" s="294"/>
      <c r="K887" s="10">
        <f>0.6*1561</f>
        <v>936.59999999999991</v>
      </c>
      <c r="L887" s="11"/>
      <c r="M887" s="11"/>
      <c r="N887" s="100"/>
      <c r="O887" s="11">
        <f t="shared" si="194"/>
        <v>936.59999999999991</v>
      </c>
      <c r="P887" s="11">
        <f t="shared" si="195"/>
        <v>936.59999999999991</v>
      </c>
      <c r="Q887" s="11">
        <v>1.5</v>
      </c>
      <c r="R887" s="11">
        <f t="shared" si="196"/>
        <v>1404.8999999999999</v>
      </c>
      <c r="S887" s="11"/>
      <c r="T887" s="136">
        <f t="shared" si="198"/>
        <v>0</v>
      </c>
    </row>
    <row r="888" spans="1:20" ht="15.75" customHeight="1">
      <c r="A888" s="149" t="s">
        <v>2402</v>
      </c>
      <c r="B888" s="273"/>
      <c r="C888" s="28" t="s">
        <v>2509</v>
      </c>
      <c r="D888" s="41">
        <v>120</v>
      </c>
      <c r="E888" s="131">
        <f t="shared" si="187"/>
        <v>0</v>
      </c>
      <c r="F888" s="21">
        <f t="shared" si="197"/>
        <v>0</v>
      </c>
      <c r="G888" s="56"/>
      <c r="H888" s="135">
        <f t="shared" si="199"/>
        <v>0</v>
      </c>
      <c r="I888" s="298">
        <v>44973</v>
      </c>
      <c r="J888" s="299"/>
      <c r="K888" s="10">
        <f>0.6*1018</f>
        <v>610.79999999999995</v>
      </c>
      <c r="L888" s="11"/>
      <c r="M888" s="11"/>
      <c r="N888" s="100"/>
      <c r="O888" s="11">
        <f t="shared" si="194"/>
        <v>610.79999999999995</v>
      </c>
      <c r="P888" s="11">
        <f t="shared" si="195"/>
        <v>610.79999999999995</v>
      </c>
      <c r="Q888" s="11"/>
      <c r="R888" s="11">
        <f t="shared" si="196"/>
        <v>0</v>
      </c>
      <c r="S888" s="11"/>
      <c r="T888" s="136">
        <f t="shared" si="198"/>
        <v>0</v>
      </c>
    </row>
    <row r="889" spans="1:20" ht="15.75" customHeight="1">
      <c r="A889" s="149" t="s">
        <v>2402</v>
      </c>
      <c r="B889" s="273"/>
      <c r="C889" s="28" t="s">
        <v>44154</v>
      </c>
      <c r="D889" s="41">
        <v>60</v>
      </c>
      <c r="E889" s="131">
        <f t="shared" si="187"/>
        <v>790</v>
      </c>
      <c r="F889" s="21">
        <f t="shared" si="197"/>
        <v>955.9</v>
      </c>
      <c r="G889" s="56"/>
      <c r="H889" s="135">
        <f t="shared" si="199"/>
        <v>0</v>
      </c>
      <c r="I889" s="294">
        <v>45273</v>
      </c>
      <c r="J889" s="294"/>
      <c r="K889" s="10">
        <f>0.6*867</f>
        <v>520.19999999999993</v>
      </c>
      <c r="L889" s="11"/>
      <c r="M889" s="11"/>
      <c r="N889" s="100"/>
      <c r="O889" s="11">
        <f t="shared" si="194"/>
        <v>520.19999999999993</v>
      </c>
      <c r="P889" s="11">
        <f t="shared" si="195"/>
        <v>520.19999999999993</v>
      </c>
      <c r="Q889" s="11">
        <v>1.5</v>
      </c>
      <c r="R889" s="11">
        <f t="shared" si="196"/>
        <v>780.3</v>
      </c>
      <c r="S889" s="11"/>
      <c r="T889" s="136">
        <f t="shared" si="198"/>
        <v>0</v>
      </c>
    </row>
    <row r="890" spans="1:20" ht="15.75" customHeight="1">
      <c r="A890" s="149">
        <v>12</v>
      </c>
      <c r="B890" s="273"/>
      <c r="C890" s="28" t="s">
        <v>4126</v>
      </c>
      <c r="D890" s="41"/>
      <c r="E890" s="131">
        <f t="shared" si="187"/>
        <v>2660</v>
      </c>
      <c r="F890" s="21">
        <f t="shared" si="197"/>
        <v>3218.6</v>
      </c>
      <c r="G890" s="56"/>
      <c r="H890" s="135">
        <f t="shared" si="199"/>
        <v>0</v>
      </c>
      <c r="I890" s="294">
        <v>45222</v>
      </c>
      <c r="J890" s="23">
        <v>45338</v>
      </c>
      <c r="K890" s="10">
        <v>1768</v>
      </c>
      <c r="L890" s="11"/>
      <c r="M890" s="11"/>
      <c r="N890" s="100"/>
      <c r="O890" s="11">
        <f t="shared" si="194"/>
        <v>1768</v>
      </c>
      <c r="P890" s="11">
        <f t="shared" si="195"/>
        <v>1768</v>
      </c>
      <c r="Q890" s="11">
        <v>1.5</v>
      </c>
      <c r="R890" s="11">
        <f t="shared" si="196"/>
        <v>2652</v>
      </c>
      <c r="S890" s="11"/>
      <c r="T890" s="136">
        <f t="shared" si="198"/>
        <v>0</v>
      </c>
    </row>
    <row r="891" spans="1:20" ht="15.75" customHeight="1">
      <c r="A891" s="149" t="s">
        <v>2387</v>
      </c>
      <c r="B891" s="273"/>
      <c r="C891" s="28" t="s">
        <v>2136</v>
      </c>
      <c r="D891" s="41">
        <v>580</v>
      </c>
      <c r="E891" s="131">
        <f t="shared" si="187"/>
        <v>3490</v>
      </c>
      <c r="F891" s="21">
        <f t="shared" si="197"/>
        <v>4222.8999999999996</v>
      </c>
      <c r="G891" s="21"/>
      <c r="H891" s="135">
        <f t="shared" si="199"/>
        <v>0</v>
      </c>
      <c r="I891" s="294">
        <v>45173</v>
      </c>
      <c r="J891" s="294"/>
      <c r="K891" s="10"/>
      <c r="L891" s="10">
        <f>+'AUMENTOS %'!C14*2326</f>
        <v>2326</v>
      </c>
      <c r="M891" s="10"/>
      <c r="N891" s="100"/>
      <c r="O891" s="11">
        <f t="shared" si="194"/>
        <v>2326</v>
      </c>
      <c r="P891" s="11">
        <f t="shared" si="195"/>
        <v>2326</v>
      </c>
      <c r="Q891" s="11">
        <v>1.5</v>
      </c>
      <c r="R891" s="11">
        <f t="shared" si="196"/>
        <v>3489</v>
      </c>
      <c r="S891" s="11"/>
      <c r="T891" s="136">
        <f t="shared" si="198"/>
        <v>0</v>
      </c>
    </row>
    <row r="892" spans="1:20" ht="15.75" customHeight="1">
      <c r="A892" s="149">
        <v>18</v>
      </c>
      <c r="B892" s="273">
        <f>ROUNDUP(E892*1.06,-1)</f>
        <v>182070</v>
      </c>
      <c r="C892" s="36" t="s">
        <v>44371</v>
      </c>
      <c r="D892" s="41"/>
      <c r="E892" s="131">
        <f t="shared" si="187"/>
        <v>171760</v>
      </c>
      <c r="F892" s="21" t="s">
        <v>1248</v>
      </c>
      <c r="G892" s="21">
        <f>+E892*1.105</f>
        <v>189794.8</v>
      </c>
      <c r="H892" s="135">
        <f t="shared" si="199"/>
        <v>0</v>
      </c>
      <c r="I892" s="23">
        <v>45323</v>
      </c>
      <c r="J892" s="294"/>
      <c r="K892" s="10">
        <f>0.8*0.94*0.98*168882</f>
        <v>124459.27871999999</v>
      </c>
      <c r="L892" s="10"/>
      <c r="M892" s="11"/>
      <c r="N892" s="100"/>
      <c r="O892" s="11">
        <f t="shared" si="194"/>
        <v>124459.27871999999</v>
      </c>
      <c r="P892" s="11">
        <f>+O892*'AUMENTOS %'!$B$5</f>
        <v>124459.27871999999</v>
      </c>
      <c r="Q892" s="11">
        <v>1.38</v>
      </c>
      <c r="R892" s="11">
        <f t="shared" si="196"/>
        <v>171753.80463359997</v>
      </c>
      <c r="S892" s="11"/>
      <c r="T892" s="136">
        <f t="shared" si="198"/>
        <v>0</v>
      </c>
    </row>
    <row r="893" spans="1:20" ht="15.75" customHeight="1">
      <c r="A893" s="149">
        <v>12</v>
      </c>
      <c r="B893" s="273"/>
      <c r="C893" s="28" t="s">
        <v>62677</v>
      </c>
      <c r="D893" s="41"/>
      <c r="E893" s="131">
        <f t="shared" si="187"/>
        <v>17900</v>
      </c>
      <c r="F893" s="21">
        <f t="shared" ref="F893" si="221">+E893*1.21</f>
        <v>21659</v>
      </c>
      <c r="G893" s="21"/>
      <c r="H893" s="135">
        <f t="shared" si="199"/>
        <v>0</v>
      </c>
      <c r="I893" s="294"/>
      <c r="J893" s="294">
        <v>45371</v>
      </c>
      <c r="K893" s="10">
        <v>11928</v>
      </c>
      <c r="L893" s="10"/>
      <c r="M893" s="11"/>
      <c r="N893" s="100"/>
      <c r="O893" s="11">
        <f t="shared" si="194"/>
        <v>11928</v>
      </c>
      <c r="P893" s="11">
        <f t="shared" ref="P893" si="222">+O893</f>
        <v>11928</v>
      </c>
      <c r="Q893" s="11">
        <v>1.5</v>
      </c>
      <c r="R893" s="11">
        <f t="shared" si="196"/>
        <v>17892</v>
      </c>
      <c r="S893" s="11"/>
      <c r="T893" s="136">
        <f t="shared" si="198"/>
        <v>0</v>
      </c>
    </row>
    <row r="894" spans="1:20" ht="15.75" customHeight="1">
      <c r="A894" s="149">
        <v>18</v>
      </c>
      <c r="B894" s="273"/>
      <c r="C894" s="36" t="s">
        <v>3676</v>
      </c>
      <c r="D894" s="41"/>
      <c r="E894" s="131">
        <f t="shared" si="187"/>
        <v>3510</v>
      </c>
      <c r="F894" s="21">
        <f t="shared" ref="F894:F934" si="223">+E894*1.21</f>
        <v>4247.0999999999995</v>
      </c>
      <c r="G894" s="21"/>
      <c r="H894" s="135">
        <f t="shared" si="199"/>
        <v>0</v>
      </c>
      <c r="I894" s="23">
        <v>45323</v>
      </c>
      <c r="J894" s="294"/>
      <c r="K894" s="10">
        <f>0.8*0.94*0.98*2973</f>
        <v>2190.9820799999998</v>
      </c>
      <c r="L894" s="196"/>
      <c r="M894" s="11"/>
      <c r="N894" s="100"/>
      <c r="O894" s="11">
        <f t="shared" si="194"/>
        <v>2190.9820799999998</v>
      </c>
      <c r="P894" s="11">
        <f>+O894*'AUMENTOS %'!$B$5</f>
        <v>2190.9820799999998</v>
      </c>
      <c r="Q894" s="11">
        <v>1.6</v>
      </c>
      <c r="R894" s="11">
        <f t="shared" si="196"/>
        <v>3505.571328</v>
      </c>
      <c r="S894" s="11"/>
      <c r="T894" s="136">
        <f t="shared" si="198"/>
        <v>0</v>
      </c>
    </row>
    <row r="895" spans="1:20" ht="15.75" customHeight="1">
      <c r="A895" s="149">
        <v>18</v>
      </c>
      <c r="B895" s="273"/>
      <c r="C895" s="36" t="s">
        <v>3663</v>
      </c>
      <c r="D895" s="41"/>
      <c r="E895" s="131">
        <f t="shared" si="187"/>
        <v>1250</v>
      </c>
      <c r="F895" s="21">
        <f t="shared" si="223"/>
        <v>1512.5</v>
      </c>
      <c r="G895" s="21"/>
      <c r="H895" s="135">
        <f t="shared" si="199"/>
        <v>0</v>
      </c>
      <c r="I895" s="23">
        <v>45323</v>
      </c>
      <c r="J895" s="294"/>
      <c r="K895" s="10">
        <f>0.8*0.94*0.98*1052</f>
        <v>775.2819199999999</v>
      </c>
      <c r="L895" s="11"/>
      <c r="M895" s="11"/>
      <c r="N895" s="100"/>
      <c r="O895" s="11">
        <f t="shared" si="194"/>
        <v>775.2819199999999</v>
      </c>
      <c r="P895" s="11">
        <f>+O895*'AUMENTOS %'!$B$5</f>
        <v>775.2819199999999</v>
      </c>
      <c r="Q895" s="11">
        <v>1.6</v>
      </c>
      <c r="R895" s="11">
        <f t="shared" si="196"/>
        <v>1240.4510719999998</v>
      </c>
      <c r="S895" s="11"/>
      <c r="T895" s="136">
        <f t="shared" si="198"/>
        <v>0</v>
      </c>
    </row>
    <row r="896" spans="1:20" ht="15.75" customHeight="1">
      <c r="A896" s="149">
        <v>18</v>
      </c>
      <c r="B896" s="273"/>
      <c r="C896" s="36" t="s">
        <v>3675</v>
      </c>
      <c r="D896" s="41"/>
      <c r="E896" s="131">
        <f t="shared" si="187"/>
        <v>0</v>
      </c>
      <c r="F896" s="21">
        <f t="shared" si="223"/>
        <v>0</v>
      </c>
      <c r="G896" s="21"/>
      <c r="H896" s="135">
        <f t="shared" si="199"/>
        <v>0</v>
      </c>
      <c r="I896" s="23">
        <v>45323</v>
      </c>
      <c r="J896" s="294"/>
      <c r="K896" s="10">
        <f>0.8*0.94*0.98*805</f>
        <v>593.25279999999998</v>
      </c>
      <c r="L896" s="11"/>
      <c r="M896" s="11"/>
      <c r="N896" s="100"/>
      <c r="O896" s="11">
        <f t="shared" si="194"/>
        <v>593.25279999999998</v>
      </c>
      <c r="P896" s="11">
        <f>+O896*'AUMENTOS %'!$B$5</f>
        <v>593.25279999999998</v>
      </c>
      <c r="Q896" s="11"/>
      <c r="R896" s="11">
        <f t="shared" si="196"/>
        <v>0</v>
      </c>
      <c r="S896" s="11"/>
      <c r="T896" s="136">
        <f t="shared" si="198"/>
        <v>0</v>
      </c>
    </row>
    <row r="897" spans="1:20" ht="15.75" customHeight="1">
      <c r="A897" s="149">
        <v>18</v>
      </c>
      <c r="B897" s="273"/>
      <c r="C897" s="36" t="s">
        <v>4117</v>
      </c>
      <c r="D897" s="41"/>
      <c r="E897" s="131">
        <f t="shared" si="187"/>
        <v>2110</v>
      </c>
      <c r="F897" s="21">
        <f t="shared" si="223"/>
        <v>2553.1</v>
      </c>
      <c r="G897" s="21"/>
      <c r="H897" s="135">
        <f t="shared" si="199"/>
        <v>0</v>
      </c>
      <c r="I897" s="23">
        <v>45323</v>
      </c>
      <c r="J897" s="294"/>
      <c r="K897" s="10">
        <f>0.8*0.94*0.98*1784</f>
        <v>1314.7366399999999</v>
      </c>
      <c r="L897" s="11"/>
      <c r="M897" s="11"/>
      <c r="N897" s="100"/>
      <c r="O897" s="11">
        <f t="shared" si="194"/>
        <v>1314.7366399999999</v>
      </c>
      <c r="P897" s="11">
        <f>+O897*'AUMENTOS %'!$B$5</f>
        <v>1314.7366399999999</v>
      </c>
      <c r="Q897" s="11">
        <v>1.6</v>
      </c>
      <c r="R897" s="11">
        <f t="shared" si="196"/>
        <v>2103.5786239999998</v>
      </c>
      <c r="S897" s="11"/>
      <c r="T897" s="136"/>
    </row>
    <row r="898" spans="1:20" ht="15.75" customHeight="1">
      <c r="A898" s="149">
        <v>18</v>
      </c>
      <c r="B898" s="273"/>
      <c r="C898" s="36" t="s">
        <v>3664</v>
      </c>
      <c r="D898" s="41"/>
      <c r="E898" s="131">
        <f t="shared" si="187"/>
        <v>4700</v>
      </c>
      <c r="F898" s="21">
        <f t="shared" si="223"/>
        <v>5687</v>
      </c>
      <c r="G898" s="21"/>
      <c r="H898" s="135">
        <f t="shared" si="199"/>
        <v>0</v>
      </c>
      <c r="I898" s="23">
        <v>45323</v>
      </c>
      <c r="J898" s="294"/>
      <c r="K898" s="10">
        <f>0.8*0.94*0.98*3979</f>
        <v>2932.36384</v>
      </c>
      <c r="L898" s="11"/>
      <c r="M898" s="11"/>
      <c r="N898" s="100"/>
      <c r="O898" s="11">
        <f t="shared" si="194"/>
        <v>2932.36384</v>
      </c>
      <c r="P898" s="11">
        <f>+O898*'AUMENTOS %'!$B$5</f>
        <v>2932.36384</v>
      </c>
      <c r="Q898" s="11">
        <v>1.6</v>
      </c>
      <c r="R898" s="11">
        <f t="shared" si="196"/>
        <v>4691.7821439999998</v>
      </c>
      <c r="S898" s="11"/>
      <c r="T898" s="136">
        <f t="shared" si="198"/>
        <v>0</v>
      </c>
    </row>
    <row r="899" spans="1:20" ht="15.75" customHeight="1">
      <c r="A899" s="149" t="s">
        <v>2398</v>
      </c>
      <c r="B899" s="273"/>
      <c r="C899" s="28" t="s">
        <v>1494</v>
      </c>
      <c r="D899" s="41">
        <v>590</v>
      </c>
      <c r="E899" s="131">
        <f t="shared" si="187"/>
        <v>15480</v>
      </c>
      <c r="F899" s="21">
        <f t="shared" si="223"/>
        <v>18730.8</v>
      </c>
      <c r="G899" s="21"/>
      <c r="H899" s="135">
        <f t="shared" si="199"/>
        <v>0</v>
      </c>
      <c r="I899" s="23">
        <v>45323</v>
      </c>
      <c r="J899" s="294"/>
      <c r="K899" s="10">
        <f>0.8*0.94*0.98*13550</f>
        <v>9985.8079999999991</v>
      </c>
      <c r="L899" s="11"/>
      <c r="M899" s="11"/>
      <c r="N899" s="100"/>
      <c r="O899" s="11">
        <f t="shared" si="194"/>
        <v>9985.8079999999991</v>
      </c>
      <c r="P899" s="11">
        <f>+O899*'AUMENTOS %'!$B$5</f>
        <v>9985.8079999999991</v>
      </c>
      <c r="Q899" s="11">
        <v>1.55</v>
      </c>
      <c r="R899" s="11">
        <f t="shared" si="196"/>
        <v>15478.002399999999</v>
      </c>
      <c r="S899" s="11"/>
      <c r="T899" s="136">
        <f t="shared" si="198"/>
        <v>0</v>
      </c>
    </row>
    <row r="900" spans="1:20" ht="15.75" customHeight="1">
      <c r="A900" s="149" t="s">
        <v>2398</v>
      </c>
      <c r="B900" s="273"/>
      <c r="C900" s="28" t="s">
        <v>37242</v>
      </c>
      <c r="D900" s="41">
        <v>590</v>
      </c>
      <c r="E900" s="131">
        <f>ROUNDUP(R900,-1)</f>
        <v>24400</v>
      </c>
      <c r="F900" s="21">
        <f>+E900*1.21</f>
        <v>29524</v>
      </c>
      <c r="G900" s="21"/>
      <c r="H900" s="135">
        <f>ROUNDUP(T900,-1)</f>
        <v>0</v>
      </c>
      <c r="I900" s="23">
        <v>45323</v>
      </c>
      <c r="J900" s="294"/>
      <c r="K900" s="10">
        <f>0.8*0.94*0.98*21358</f>
        <v>15739.991679999999</v>
      </c>
      <c r="L900" s="11"/>
      <c r="M900" s="11"/>
      <c r="N900" s="100"/>
      <c r="O900" s="11">
        <f>MIN(K900:M900)</f>
        <v>15739.991679999999</v>
      </c>
      <c r="P900" s="11">
        <f>+O900*'AUMENTOS %'!$B$5</f>
        <v>15739.991679999999</v>
      </c>
      <c r="Q900" s="11">
        <v>1.55</v>
      </c>
      <c r="R900" s="11">
        <f>+P900*Q900</f>
        <v>24396.987104</v>
      </c>
      <c r="S900" s="11"/>
      <c r="T900" s="136">
        <f>+N900*Q900</f>
        <v>0</v>
      </c>
    </row>
    <row r="901" spans="1:20" ht="15.75" customHeight="1">
      <c r="A901" s="149">
        <v>18</v>
      </c>
      <c r="B901" s="273"/>
      <c r="C901" s="28" t="s">
        <v>3719</v>
      </c>
      <c r="D901" s="41"/>
      <c r="E901" s="131">
        <f t="shared" si="187"/>
        <v>8890</v>
      </c>
      <c r="F901" s="21">
        <f t="shared" si="223"/>
        <v>10756.9</v>
      </c>
      <c r="G901" s="21"/>
      <c r="H901" s="135">
        <f t="shared" si="199"/>
        <v>0</v>
      </c>
      <c r="I901" s="23">
        <v>45323</v>
      </c>
      <c r="J901" s="294"/>
      <c r="K901" s="10">
        <f>0.8*0.94*0.98*7775</f>
        <v>5729.8639999999996</v>
      </c>
      <c r="L901" s="11"/>
      <c r="M901" s="11"/>
      <c r="N901" s="100"/>
      <c r="O901" s="11">
        <f t="shared" si="194"/>
        <v>5729.8639999999996</v>
      </c>
      <c r="P901" s="11">
        <f>+O901*'AUMENTOS %'!$B$5</f>
        <v>5729.8639999999996</v>
      </c>
      <c r="Q901" s="11">
        <v>1.55</v>
      </c>
      <c r="R901" s="11">
        <f t="shared" si="196"/>
        <v>8881.2891999999993</v>
      </c>
      <c r="S901" s="11"/>
      <c r="T901" s="136">
        <f t="shared" si="198"/>
        <v>0</v>
      </c>
    </row>
    <row r="902" spans="1:20" ht="15.75" customHeight="1">
      <c r="A902" s="149">
        <v>18</v>
      </c>
      <c r="B902" s="273"/>
      <c r="C902" s="28" t="s">
        <v>3985</v>
      </c>
      <c r="D902" s="41"/>
      <c r="E902" s="131">
        <f t="shared" si="187"/>
        <v>21420</v>
      </c>
      <c r="F902" s="21">
        <f t="shared" si="223"/>
        <v>25918.2</v>
      </c>
      <c r="G902" s="21"/>
      <c r="H902" s="135">
        <f t="shared" si="199"/>
        <v>0</v>
      </c>
      <c r="I902" s="23">
        <v>45323</v>
      </c>
      <c r="J902" s="294"/>
      <c r="K902" s="10">
        <f>0.8*0.94*0.98*18751</f>
        <v>13818.736959999998</v>
      </c>
      <c r="L902" s="11"/>
      <c r="M902" s="11"/>
      <c r="N902" s="100"/>
      <c r="O902" s="11">
        <f t="shared" si="194"/>
        <v>13818.736959999998</v>
      </c>
      <c r="P902" s="11">
        <f>+O902*'AUMENTOS %'!$B$5</f>
        <v>13818.736959999998</v>
      </c>
      <c r="Q902" s="11">
        <v>1.55</v>
      </c>
      <c r="R902" s="11">
        <f t="shared" si="196"/>
        <v>21419.042287999997</v>
      </c>
      <c r="S902" s="11"/>
      <c r="T902" s="136">
        <f t="shared" si="198"/>
        <v>0</v>
      </c>
    </row>
    <row r="903" spans="1:20" ht="15.75" customHeight="1">
      <c r="A903" s="149">
        <v>18</v>
      </c>
      <c r="B903" s="273"/>
      <c r="C903" s="28" t="s">
        <v>3537</v>
      </c>
      <c r="D903" s="41">
        <v>590</v>
      </c>
      <c r="E903" s="131">
        <f t="shared" ref="E903:E971" si="224">ROUNDUP(R903,-1)</f>
        <v>28530</v>
      </c>
      <c r="F903" s="21">
        <f t="shared" si="223"/>
        <v>34521.299999999996</v>
      </c>
      <c r="G903" s="21"/>
      <c r="H903" s="135">
        <f t="shared" si="199"/>
        <v>0</v>
      </c>
      <c r="I903" s="23">
        <v>45323</v>
      </c>
      <c r="J903" s="294"/>
      <c r="K903" s="10">
        <f>0.8*0.94*0.98*24971</f>
        <v>18402.62816</v>
      </c>
      <c r="L903" s="11"/>
      <c r="M903" s="11"/>
      <c r="N903" s="100"/>
      <c r="O903" s="11">
        <f t="shared" si="194"/>
        <v>18402.62816</v>
      </c>
      <c r="P903" s="11">
        <f>+O903*'AUMENTOS %'!$B$5</f>
        <v>18402.62816</v>
      </c>
      <c r="Q903" s="11">
        <v>1.55</v>
      </c>
      <c r="R903" s="11">
        <f t="shared" si="196"/>
        <v>28524.073648000001</v>
      </c>
      <c r="S903" s="11"/>
      <c r="T903" s="136">
        <f t="shared" si="198"/>
        <v>0</v>
      </c>
    </row>
    <row r="904" spans="1:20" ht="15.75" customHeight="1">
      <c r="A904" s="149">
        <v>18</v>
      </c>
      <c r="B904" s="273"/>
      <c r="C904" s="28" t="s">
        <v>3897</v>
      </c>
      <c r="D904" s="41"/>
      <c r="E904" s="131">
        <f t="shared" si="224"/>
        <v>10240</v>
      </c>
      <c r="F904" s="21">
        <f t="shared" si="223"/>
        <v>12390.4</v>
      </c>
      <c r="G904" s="21"/>
      <c r="H904" s="135">
        <f t="shared" si="199"/>
        <v>0</v>
      </c>
      <c r="I904" s="23">
        <v>45323</v>
      </c>
      <c r="J904" s="294"/>
      <c r="K904" s="10">
        <f>0.8*0.94*0.98*8964</f>
        <v>6606.1094399999993</v>
      </c>
      <c r="L904" s="11"/>
      <c r="M904" s="11"/>
      <c r="N904" s="100"/>
      <c r="O904" s="11">
        <f t="shared" si="194"/>
        <v>6606.1094399999993</v>
      </c>
      <c r="P904" s="11">
        <f>+O904*'AUMENTOS %'!$B$5</f>
        <v>6606.1094399999993</v>
      </c>
      <c r="Q904" s="11">
        <v>1.55</v>
      </c>
      <c r="R904" s="11">
        <f t="shared" si="196"/>
        <v>10239.469631999998</v>
      </c>
      <c r="S904" s="11"/>
      <c r="T904" s="136">
        <f t="shared" si="198"/>
        <v>0</v>
      </c>
    </row>
    <row r="905" spans="1:20" ht="15.75" customHeight="1">
      <c r="A905" s="149">
        <v>18</v>
      </c>
      <c r="B905" s="273"/>
      <c r="C905" s="28" t="s">
        <v>3898</v>
      </c>
      <c r="D905" s="41">
        <v>590</v>
      </c>
      <c r="E905" s="131">
        <f t="shared" si="224"/>
        <v>28630</v>
      </c>
      <c r="F905" s="21">
        <f t="shared" si="223"/>
        <v>34642.299999999996</v>
      </c>
      <c r="G905" s="21"/>
      <c r="H905" s="135">
        <f t="shared" si="199"/>
        <v>0</v>
      </c>
      <c r="I905" s="23">
        <v>45323</v>
      </c>
      <c r="J905" s="294"/>
      <c r="K905" s="10">
        <f>0.8*0.94*0.98*25062</f>
        <v>18469.69152</v>
      </c>
      <c r="L905" s="11"/>
      <c r="M905" s="11"/>
      <c r="N905" s="100"/>
      <c r="O905" s="11">
        <f t="shared" si="194"/>
        <v>18469.69152</v>
      </c>
      <c r="P905" s="11">
        <f>+O905*'AUMENTOS %'!$B$5</f>
        <v>18469.69152</v>
      </c>
      <c r="Q905" s="11">
        <v>1.55</v>
      </c>
      <c r="R905" s="11">
        <f t="shared" si="196"/>
        <v>28628.021856000003</v>
      </c>
      <c r="S905" s="11"/>
      <c r="T905" s="136">
        <f t="shared" si="198"/>
        <v>0</v>
      </c>
    </row>
    <row r="906" spans="1:20" ht="15.75" customHeight="1">
      <c r="A906" s="149">
        <v>106</v>
      </c>
      <c r="B906" s="273"/>
      <c r="C906" s="28" t="s">
        <v>62626</v>
      </c>
      <c r="D906" s="41"/>
      <c r="E906" s="131">
        <f t="shared" ref="E906:E911" si="225">ROUNDUP(R906,-1)</f>
        <v>590</v>
      </c>
      <c r="F906" s="21">
        <f t="shared" ref="F906:F911" si="226">+E906*1.21</f>
        <v>713.9</v>
      </c>
      <c r="G906" s="21"/>
      <c r="H906" s="135">
        <f t="shared" ref="H906:H911" si="227">ROUNDUP(T906,-1)</f>
        <v>0</v>
      </c>
      <c r="I906" s="294">
        <v>45343</v>
      </c>
      <c r="J906" s="294"/>
      <c r="K906" s="10">
        <f>0.82*473</f>
        <v>387.85999999999996</v>
      </c>
      <c r="L906" s="11"/>
      <c r="M906" s="11"/>
      <c r="N906" s="100"/>
      <c r="O906" s="11">
        <f t="shared" ref="O906:O911" si="228">MIN(K906:M906)</f>
        <v>387.85999999999996</v>
      </c>
      <c r="P906" s="11">
        <f t="shared" ref="P906:P911" si="229">+O906</f>
        <v>387.85999999999996</v>
      </c>
      <c r="Q906" s="11">
        <v>1.5</v>
      </c>
      <c r="R906" s="11">
        <f t="shared" ref="R906:R911" si="230">+P906*Q906</f>
        <v>581.79</v>
      </c>
      <c r="S906" s="11"/>
      <c r="T906" s="136">
        <f t="shared" ref="T906:T911" si="231">+N906*Q906</f>
        <v>0</v>
      </c>
    </row>
    <row r="907" spans="1:20" ht="15.75" customHeight="1">
      <c r="A907" s="149">
        <v>106</v>
      </c>
      <c r="B907" s="273"/>
      <c r="C907" s="28" t="s">
        <v>4550</v>
      </c>
      <c r="D907" s="41"/>
      <c r="E907" s="131">
        <f t="shared" si="225"/>
        <v>1130</v>
      </c>
      <c r="F907" s="21">
        <f t="shared" si="226"/>
        <v>1367.3</v>
      </c>
      <c r="G907" s="21"/>
      <c r="H907" s="135">
        <f t="shared" si="227"/>
        <v>0</v>
      </c>
      <c r="I907" s="294">
        <v>45274</v>
      </c>
      <c r="J907" s="294">
        <v>45334</v>
      </c>
      <c r="K907" s="10">
        <f>0.82*918</f>
        <v>752.76</v>
      </c>
      <c r="L907" s="11"/>
      <c r="M907" s="11"/>
      <c r="N907" s="100"/>
      <c r="O907" s="11">
        <f t="shared" si="228"/>
        <v>752.76</v>
      </c>
      <c r="P907" s="11">
        <f t="shared" si="229"/>
        <v>752.76</v>
      </c>
      <c r="Q907" s="11">
        <v>1.5</v>
      </c>
      <c r="R907" s="11">
        <f t="shared" si="230"/>
        <v>1129.1399999999999</v>
      </c>
      <c r="S907" s="11"/>
      <c r="T907" s="136">
        <f t="shared" si="231"/>
        <v>0</v>
      </c>
    </row>
    <row r="908" spans="1:20" ht="15.75" customHeight="1">
      <c r="A908" s="149">
        <v>106</v>
      </c>
      <c r="B908" s="273"/>
      <c r="C908" s="28" t="s">
        <v>4551</v>
      </c>
      <c r="D908" s="41"/>
      <c r="E908" s="131">
        <f t="shared" si="225"/>
        <v>1730</v>
      </c>
      <c r="F908" s="21">
        <f t="shared" si="226"/>
        <v>2093.2999999999997</v>
      </c>
      <c r="G908" s="21"/>
      <c r="H908" s="135">
        <f t="shared" si="227"/>
        <v>0</v>
      </c>
      <c r="I908" s="294">
        <v>45274</v>
      </c>
      <c r="J908" s="294">
        <v>45334</v>
      </c>
      <c r="K908" s="10">
        <f>0.82*1400</f>
        <v>1148</v>
      </c>
      <c r="L908" s="11"/>
      <c r="M908" s="11"/>
      <c r="N908" s="100"/>
      <c r="O908" s="11">
        <f t="shared" si="228"/>
        <v>1148</v>
      </c>
      <c r="P908" s="11">
        <f t="shared" si="229"/>
        <v>1148</v>
      </c>
      <c r="Q908" s="11">
        <v>1.5</v>
      </c>
      <c r="R908" s="11">
        <f t="shared" si="230"/>
        <v>1722</v>
      </c>
      <c r="S908" s="11"/>
      <c r="T908" s="136">
        <f t="shared" si="231"/>
        <v>0</v>
      </c>
    </row>
    <row r="909" spans="1:20" ht="15.75" customHeight="1">
      <c r="A909" s="149">
        <v>106</v>
      </c>
      <c r="B909" s="273"/>
      <c r="C909" s="28" t="s">
        <v>62640</v>
      </c>
      <c r="D909" s="41"/>
      <c r="E909" s="131">
        <f t="shared" si="225"/>
        <v>4110</v>
      </c>
      <c r="F909" s="21">
        <f t="shared" si="226"/>
        <v>4973.0999999999995</v>
      </c>
      <c r="G909" s="21"/>
      <c r="H909" s="135">
        <f t="shared" si="227"/>
        <v>0</v>
      </c>
      <c r="I909" s="294">
        <v>45350</v>
      </c>
      <c r="J909" s="294"/>
      <c r="K909" s="10">
        <f>0.82*3341</f>
        <v>2739.62</v>
      </c>
      <c r="L909" s="11"/>
      <c r="M909" s="11"/>
      <c r="N909" s="100"/>
      <c r="O909" s="11">
        <f t="shared" si="228"/>
        <v>2739.62</v>
      </c>
      <c r="P909" s="11">
        <f t="shared" si="229"/>
        <v>2739.62</v>
      </c>
      <c r="Q909" s="11">
        <v>1.5</v>
      </c>
      <c r="R909" s="11">
        <f t="shared" si="230"/>
        <v>4109.43</v>
      </c>
      <c r="S909" s="11"/>
      <c r="T909" s="136">
        <f t="shared" si="231"/>
        <v>0</v>
      </c>
    </row>
    <row r="910" spans="1:20" ht="15.75" customHeight="1">
      <c r="A910" s="149">
        <v>106</v>
      </c>
      <c r="B910" s="273"/>
      <c r="C910" s="28" t="s">
        <v>62641</v>
      </c>
      <c r="D910" s="41"/>
      <c r="E910" s="131">
        <f t="shared" si="225"/>
        <v>10350</v>
      </c>
      <c r="F910" s="21">
        <f t="shared" si="226"/>
        <v>12523.5</v>
      </c>
      <c r="G910" s="21"/>
      <c r="H910" s="135">
        <f t="shared" si="227"/>
        <v>0</v>
      </c>
      <c r="I910" s="294">
        <v>45350</v>
      </c>
      <c r="J910" s="294"/>
      <c r="K910" s="10">
        <f>0.82*8413</f>
        <v>6898.66</v>
      </c>
      <c r="L910" s="11"/>
      <c r="M910" s="11"/>
      <c r="N910" s="100"/>
      <c r="O910" s="11">
        <f t="shared" si="228"/>
        <v>6898.66</v>
      </c>
      <c r="P910" s="11">
        <f t="shared" si="229"/>
        <v>6898.66</v>
      </c>
      <c r="Q910" s="11">
        <v>1.5</v>
      </c>
      <c r="R910" s="11">
        <f t="shared" si="230"/>
        <v>10347.99</v>
      </c>
      <c r="S910" s="11"/>
      <c r="T910" s="136">
        <f t="shared" si="231"/>
        <v>0</v>
      </c>
    </row>
    <row r="911" spans="1:20" ht="15.75" customHeight="1">
      <c r="A911" s="149">
        <v>106</v>
      </c>
      <c r="B911" s="273"/>
      <c r="C911" s="28" t="s">
        <v>62642</v>
      </c>
      <c r="D911" s="41"/>
      <c r="E911" s="131">
        <f t="shared" si="225"/>
        <v>15060</v>
      </c>
      <c r="F911" s="21">
        <f t="shared" si="226"/>
        <v>18222.599999999999</v>
      </c>
      <c r="G911" s="21"/>
      <c r="H911" s="135">
        <f t="shared" si="227"/>
        <v>0</v>
      </c>
      <c r="I911" s="294">
        <v>45350</v>
      </c>
      <c r="J911" s="294"/>
      <c r="K911" s="10">
        <f>0.82*12242</f>
        <v>10038.439999999999</v>
      </c>
      <c r="L911" s="11"/>
      <c r="M911" s="11"/>
      <c r="N911" s="100"/>
      <c r="O911" s="11">
        <f t="shared" si="228"/>
        <v>10038.439999999999</v>
      </c>
      <c r="P911" s="11">
        <f t="shared" si="229"/>
        <v>10038.439999999999</v>
      </c>
      <c r="Q911" s="11">
        <v>1.5</v>
      </c>
      <c r="R911" s="11">
        <f t="shared" si="230"/>
        <v>15057.659999999998</v>
      </c>
      <c r="S911" s="11"/>
      <c r="T911" s="136">
        <f t="shared" si="231"/>
        <v>0</v>
      </c>
    </row>
    <row r="912" spans="1:20" ht="15.75" customHeight="1">
      <c r="A912" s="149">
        <v>106</v>
      </c>
      <c r="B912" s="273"/>
      <c r="C912" s="28" t="s">
        <v>4110</v>
      </c>
      <c r="D912" s="41"/>
      <c r="E912" s="131">
        <f t="shared" si="224"/>
        <v>12840</v>
      </c>
      <c r="F912" s="21">
        <f t="shared" si="223"/>
        <v>15536.4</v>
      </c>
      <c r="G912" s="21"/>
      <c r="H912" s="135">
        <f t="shared" si="199"/>
        <v>0</v>
      </c>
      <c r="I912" s="294">
        <v>45274</v>
      </c>
      <c r="J912" s="294">
        <v>45334</v>
      </c>
      <c r="K912" s="10">
        <f>0.82*10438</f>
        <v>8559.16</v>
      </c>
      <c r="L912" s="11"/>
      <c r="M912" s="11"/>
      <c r="N912" s="100"/>
      <c r="O912" s="11">
        <f t="shared" si="194"/>
        <v>8559.16</v>
      </c>
      <c r="P912" s="11">
        <f t="shared" si="195"/>
        <v>8559.16</v>
      </c>
      <c r="Q912" s="11">
        <v>1.5</v>
      </c>
      <c r="R912" s="11">
        <f t="shared" si="196"/>
        <v>12838.74</v>
      </c>
      <c r="S912" s="11"/>
      <c r="T912" s="136">
        <f t="shared" si="198"/>
        <v>0</v>
      </c>
    </row>
    <row r="913" spans="1:20" ht="15.75" customHeight="1">
      <c r="A913" s="149" t="s">
        <v>2387</v>
      </c>
      <c r="B913" s="273"/>
      <c r="C913" s="28" t="s">
        <v>2450</v>
      </c>
      <c r="D913" s="163"/>
      <c r="E913" s="131">
        <f t="shared" si="224"/>
        <v>1000</v>
      </c>
      <c r="F913" s="21">
        <f t="shared" si="223"/>
        <v>1210</v>
      </c>
      <c r="G913" s="21"/>
      <c r="H913" s="135">
        <f t="shared" si="199"/>
        <v>0</v>
      </c>
      <c r="I913" s="294">
        <v>45173</v>
      </c>
      <c r="J913" s="294"/>
      <c r="K913" s="10"/>
      <c r="L913" s="11">
        <f>+'AUMENTOS %'!$C$11*555</f>
        <v>555</v>
      </c>
      <c r="M913" s="11"/>
      <c r="N913" s="100"/>
      <c r="O913" s="11">
        <f t="shared" si="194"/>
        <v>555</v>
      </c>
      <c r="P913" s="11">
        <f>+O913*'AUMENTOS %'!$D$11</f>
        <v>555</v>
      </c>
      <c r="Q913" s="11">
        <v>1.8</v>
      </c>
      <c r="R913" s="11">
        <f t="shared" si="196"/>
        <v>999</v>
      </c>
      <c r="S913" s="11"/>
      <c r="T913" s="136">
        <f t="shared" si="198"/>
        <v>0</v>
      </c>
    </row>
    <row r="914" spans="1:20" ht="15.75" customHeight="1">
      <c r="A914" s="149" t="s">
        <v>2387</v>
      </c>
      <c r="B914" s="273"/>
      <c r="C914" s="28" t="s">
        <v>2449</v>
      </c>
      <c r="D914" s="41">
        <v>70</v>
      </c>
      <c r="E914" s="131">
        <f t="shared" si="224"/>
        <v>600</v>
      </c>
      <c r="F914" s="21">
        <f t="shared" si="223"/>
        <v>726</v>
      </c>
      <c r="G914" s="21"/>
      <c r="H914" s="135">
        <f t="shared" si="199"/>
        <v>0</v>
      </c>
      <c r="I914" s="294">
        <v>45173</v>
      </c>
      <c r="J914" s="294"/>
      <c r="K914" s="10"/>
      <c r="L914" s="11">
        <f>+'AUMENTOS %'!$C$11*333</f>
        <v>333</v>
      </c>
      <c r="M914" s="11"/>
      <c r="N914" s="100"/>
      <c r="O914" s="11">
        <f t="shared" si="194"/>
        <v>333</v>
      </c>
      <c r="P914" s="11">
        <f>+O914*'AUMENTOS %'!$D$11</f>
        <v>333</v>
      </c>
      <c r="Q914" s="11">
        <v>1.8</v>
      </c>
      <c r="R914" s="11">
        <f t="shared" si="196"/>
        <v>599.4</v>
      </c>
      <c r="S914" s="11"/>
      <c r="T914" s="136">
        <f t="shared" si="198"/>
        <v>0</v>
      </c>
    </row>
    <row r="915" spans="1:20" ht="15.75" customHeight="1">
      <c r="A915" s="149" t="s">
        <v>2387</v>
      </c>
      <c r="B915" s="273"/>
      <c r="C915" s="28" t="s">
        <v>1495</v>
      </c>
      <c r="D915" s="41">
        <v>70</v>
      </c>
      <c r="E915" s="131">
        <f t="shared" si="224"/>
        <v>600</v>
      </c>
      <c r="F915" s="21">
        <f t="shared" si="223"/>
        <v>726</v>
      </c>
      <c r="G915" s="21"/>
      <c r="H915" s="135">
        <f t="shared" si="199"/>
        <v>0</v>
      </c>
      <c r="I915" s="294">
        <v>45173</v>
      </c>
      <c r="J915" s="294"/>
      <c r="K915" s="10"/>
      <c r="L915" s="11">
        <f>+'AUMENTOS %'!$C$11*333</f>
        <v>333</v>
      </c>
      <c r="M915" s="11"/>
      <c r="N915" s="100"/>
      <c r="O915" s="11">
        <f t="shared" si="194"/>
        <v>333</v>
      </c>
      <c r="P915" s="11">
        <f>+O915*'AUMENTOS %'!$D$11</f>
        <v>333</v>
      </c>
      <c r="Q915" s="11">
        <v>1.8</v>
      </c>
      <c r="R915" s="11">
        <f t="shared" si="196"/>
        <v>599.4</v>
      </c>
      <c r="S915" s="11"/>
      <c r="T915" s="136">
        <f t="shared" si="198"/>
        <v>0</v>
      </c>
    </row>
    <row r="916" spans="1:20" ht="15.75" customHeight="1">
      <c r="A916" s="149" t="s">
        <v>2387</v>
      </c>
      <c r="B916" s="273"/>
      <c r="C916" s="28" t="s">
        <v>2451</v>
      </c>
      <c r="D916" s="41"/>
      <c r="E916" s="131">
        <f t="shared" si="224"/>
        <v>930</v>
      </c>
      <c r="F916" s="21">
        <f t="shared" si="223"/>
        <v>1125.3</v>
      </c>
      <c r="G916" s="21"/>
      <c r="H916" s="135">
        <f t="shared" si="199"/>
        <v>0</v>
      </c>
      <c r="I916" s="294">
        <v>45173</v>
      </c>
      <c r="J916" s="294"/>
      <c r="K916" s="10"/>
      <c r="L916" s="11">
        <f>+'AUMENTOS %'!$C$11*515</f>
        <v>515</v>
      </c>
      <c r="M916" s="11"/>
      <c r="N916" s="100"/>
      <c r="O916" s="11">
        <f t="shared" si="194"/>
        <v>515</v>
      </c>
      <c r="P916" s="11">
        <f>+O916*'AUMENTOS %'!$D$11</f>
        <v>515</v>
      </c>
      <c r="Q916" s="11">
        <v>1.8</v>
      </c>
      <c r="R916" s="11">
        <f t="shared" si="196"/>
        <v>927</v>
      </c>
      <c r="S916" s="11"/>
      <c r="T916" s="136">
        <f t="shared" si="198"/>
        <v>0</v>
      </c>
    </row>
    <row r="917" spans="1:20" ht="15.75" customHeight="1">
      <c r="A917" s="149" t="s">
        <v>2387</v>
      </c>
      <c r="B917" s="273"/>
      <c r="C917" s="28" t="s">
        <v>2452</v>
      </c>
      <c r="D917" s="41"/>
      <c r="E917" s="131">
        <f t="shared" si="224"/>
        <v>1480</v>
      </c>
      <c r="F917" s="21">
        <f t="shared" si="223"/>
        <v>1790.8</v>
      </c>
      <c r="G917" s="21"/>
      <c r="H917" s="135">
        <f t="shared" si="199"/>
        <v>0</v>
      </c>
      <c r="I917" s="294">
        <v>45173</v>
      </c>
      <c r="J917" s="294"/>
      <c r="K917" s="10"/>
      <c r="L917" s="11">
        <f>+'AUMENTOS %'!$C$11*817</f>
        <v>817</v>
      </c>
      <c r="M917" s="11"/>
      <c r="N917" s="100"/>
      <c r="O917" s="11">
        <f t="shared" si="194"/>
        <v>817</v>
      </c>
      <c r="P917" s="11">
        <f>+O917*'AUMENTOS %'!$D$11</f>
        <v>817</v>
      </c>
      <c r="Q917" s="11">
        <v>1.8</v>
      </c>
      <c r="R917" s="11">
        <f t="shared" si="196"/>
        <v>1470.6000000000001</v>
      </c>
      <c r="S917" s="11"/>
      <c r="T917" s="136">
        <f t="shared" si="198"/>
        <v>0</v>
      </c>
    </row>
    <row r="918" spans="1:20" ht="15.75" customHeight="1">
      <c r="A918" s="149" t="s">
        <v>2387</v>
      </c>
      <c r="B918" s="273"/>
      <c r="C918" s="28" t="s">
        <v>4356</v>
      </c>
      <c r="D918" s="41"/>
      <c r="E918" s="131">
        <f t="shared" si="224"/>
        <v>1740</v>
      </c>
      <c r="F918" s="21">
        <f t="shared" si="223"/>
        <v>2105.4</v>
      </c>
      <c r="G918" s="21"/>
      <c r="H918" s="135">
        <f t="shared" si="199"/>
        <v>0</v>
      </c>
      <c r="I918" s="294">
        <v>45173</v>
      </c>
      <c r="J918" s="294"/>
      <c r="K918" s="10"/>
      <c r="L918" s="11">
        <f>+'AUMENTOS %'!$C$11*1086</f>
        <v>1086</v>
      </c>
      <c r="M918" s="11"/>
      <c r="N918" s="100"/>
      <c r="O918" s="11">
        <f t="shared" si="194"/>
        <v>1086</v>
      </c>
      <c r="P918" s="11">
        <f>+O918*'AUMENTOS %'!$D$11</f>
        <v>1086</v>
      </c>
      <c r="Q918" s="11">
        <v>1.6</v>
      </c>
      <c r="R918" s="11">
        <f t="shared" si="196"/>
        <v>1737.6000000000001</v>
      </c>
      <c r="S918" s="11"/>
      <c r="T918" s="136">
        <f t="shared" si="198"/>
        <v>0</v>
      </c>
    </row>
    <row r="919" spans="1:20" ht="15.75" customHeight="1">
      <c r="A919" s="149" t="s">
        <v>2387</v>
      </c>
      <c r="B919" s="273"/>
      <c r="C919" s="28" t="s">
        <v>4357</v>
      </c>
      <c r="D919" s="41"/>
      <c r="E919" s="131">
        <f t="shared" si="224"/>
        <v>1740</v>
      </c>
      <c r="F919" s="21">
        <f t="shared" si="223"/>
        <v>2105.4</v>
      </c>
      <c r="G919" s="21"/>
      <c r="H919" s="135">
        <f t="shared" si="199"/>
        <v>0</v>
      </c>
      <c r="I919" s="294">
        <v>45173</v>
      </c>
      <c r="J919" s="294"/>
      <c r="K919" s="10"/>
      <c r="L919" s="11">
        <f>+'AUMENTOS %'!$C$11*1086</f>
        <v>1086</v>
      </c>
      <c r="M919" s="11"/>
      <c r="N919" s="100"/>
      <c r="O919" s="11">
        <f t="shared" si="194"/>
        <v>1086</v>
      </c>
      <c r="P919" s="11">
        <f>+O919*'AUMENTOS %'!$D$11</f>
        <v>1086</v>
      </c>
      <c r="Q919" s="11">
        <v>1.6</v>
      </c>
      <c r="R919" s="11">
        <f t="shared" si="196"/>
        <v>1737.6000000000001</v>
      </c>
      <c r="S919" s="11"/>
      <c r="T919" s="136">
        <f t="shared" si="198"/>
        <v>0</v>
      </c>
    </row>
    <row r="920" spans="1:20" ht="15.75" customHeight="1">
      <c r="A920" s="149">
        <v>41</v>
      </c>
      <c r="B920" s="273"/>
      <c r="C920" s="28" t="s">
        <v>4321</v>
      </c>
      <c r="D920" s="41">
        <v>4390</v>
      </c>
      <c r="E920" s="132">
        <f t="shared" si="224"/>
        <v>94910</v>
      </c>
      <c r="F920" s="21">
        <f t="shared" si="223"/>
        <v>114841.09999999999</v>
      </c>
      <c r="G920" s="21"/>
      <c r="H920" s="135">
        <f t="shared" si="199"/>
        <v>70390</v>
      </c>
      <c r="I920" s="294">
        <v>45278</v>
      </c>
      <c r="J920" s="294"/>
      <c r="K920" s="10">
        <f>+PROVEEDORES!$D$35*0.9*0.9*73</f>
        <v>63269.100000000006</v>
      </c>
      <c r="L920" s="11"/>
      <c r="M920" s="11"/>
      <c r="N920" s="100">
        <f>0.9*0.95*54880</f>
        <v>46922.400000000001</v>
      </c>
      <c r="O920" s="11">
        <f t="shared" si="194"/>
        <v>63269.100000000006</v>
      </c>
      <c r="P920" s="11">
        <f t="shared" si="195"/>
        <v>63269.100000000006</v>
      </c>
      <c r="Q920" s="11">
        <v>1.5</v>
      </c>
      <c r="R920" s="11">
        <f t="shared" si="196"/>
        <v>94903.650000000009</v>
      </c>
      <c r="S920" s="11"/>
      <c r="T920" s="136">
        <f t="shared" si="198"/>
        <v>70383.600000000006</v>
      </c>
    </row>
    <row r="921" spans="1:20" ht="15.75" customHeight="1">
      <c r="A921" s="149">
        <v>41</v>
      </c>
      <c r="B921" s="273"/>
      <c r="C921" s="28" t="s">
        <v>4322</v>
      </c>
      <c r="D921" s="275">
        <v>6670</v>
      </c>
      <c r="E921" s="132">
        <f t="shared" si="224"/>
        <v>104010</v>
      </c>
      <c r="F921" s="21">
        <f t="shared" si="223"/>
        <v>125852.09999999999</v>
      </c>
      <c r="G921" s="306"/>
      <c r="H921" s="135">
        <f t="shared" si="199"/>
        <v>76670</v>
      </c>
      <c r="I921" s="294">
        <v>45278</v>
      </c>
      <c r="J921" s="294"/>
      <c r="K921" s="10">
        <f>+PROVEEDORES!$D$35*0.9*0.9*80</f>
        <v>69336</v>
      </c>
      <c r="L921" s="11"/>
      <c r="M921" s="100"/>
      <c r="N921" s="100">
        <f>0.9*0.95*59780</f>
        <v>51111.9</v>
      </c>
      <c r="O921" s="11">
        <f t="shared" si="194"/>
        <v>69336</v>
      </c>
      <c r="P921" s="11">
        <f t="shared" si="195"/>
        <v>69336</v>
      </c>
      <c r="Q921" s="11">
        <v>1.5</v>
      </c>
      <c r="R921" s="11">
        <f t="shared" si="196"/>
        <v>104004</v>
      </c>
      <c r="S921" s="11"/>
      <c r="T921" s="136">
        <f t="shared" si="198"/>
        <v>76667.850000000006</v>
      </c>
    </row>
    <row r="922" spans="1:20" ht="15.75" customHeight="1">
      <c r="A922" s="149">
        <v>41</v>
      </c>
      <c r="B922" s="273"/>
      <c r="C922" s="28" t="s">
        <v>4323</v>
      </c>
      <c r="D922" s="41">
        <v>7100</v>
      </c>
      <c r="E922" s="132">
        <f t="shared" si="224"/>
        <v>141710</v>
      </c>
      <c r="F922" s="21">
        <f t="shared" si="223"/>
        <v>171469.1</v>
      </c>
      <c r="G922" s="21"/>
      <c r="H922" s="135">
        <f t="shared" si="199"/>
        <v>104320</v>
      </c>
      <c r="I922" s="294">
        <v>45278</v>
      </c>
      <c r="J922" s="294"/>
      <c r="K922" s="10">
        <f>+PROVEEDORES!$D$35*0.9*0.9*109</f>
        <v>94470.3</v>
      </c>
      <c r="L922" s="11"/>
      <c r="M922" s="11"/>
      <c r="N922" s="100">
        <f>0.9*0.95*81340</f>
        <v>69545.7</v>
      </c>
      <c r="O922" s="11">
        <f t="shared" si="194"/>
        <v>94470.3</v>
      </c>
      <c r="P922" s="11">
        <f t="shared" si="195"/>
        <v>94470.3</v>
      </c>
      <c r="Q922" s="11">
        <v>1.5</v>
      </c>
      <c r="R922" s="11">
        <f t="shared" si="196"/>
        <v>141705.45000000001</v>
      </c>
      <c r="S922" s="11"/>
      <c r="T922" s="136">
        <f t="shared" si="198"/>
        <v>104318.54999999999</v>
      </c>
    </row>
    <row r="923" spans="1:20" ht="15.75" customHeight="1">
      <c r="A923" s="149">
        <v>28</v>
      </c>
      <c r="B923" s="273"/>
      <c r="C923" s="36" t="s">
        <v>4420</v>
      </c>
      <c r="D923" s="41">
        <v>250</v>
      </c>
      <c r="E923" s="131">
        <f>ROUNDUP(R923,-1)</f>
        <v>87500</v>
      </c>
      <c r="F923" s="21">
        <f>+E923*1.21</f>
        <v>105875</v>
      </c>
      <c r="G923" s="33"/>
      <c r="H923" s="135">
        <f>ROUNDUP(T923,-1)</f>
        <v>0</v>
      </c>
      <c r="I923" s="294">
        <v>45083</v>
      </c>
      <c r="J923" s="40"/>
      <c r="K923" s="10">
        <v>60342</v>
      </c>
      <c r="L923" s="11"/>
      <c r="M923" s="11"/>
      <c r="N923" s="11"/>
      <c r="O923" s="11">
        <f t="shared" si="194"/>
        <v>60342</v>
      </c>
      <c r="P923" s="11">
        <f>+O923</f>
        <v>60342</v>
      </c>
      <c r="Q923" s="11">
        <v>1.45</v>
      </c>
      <c r="R923" s="11">
        <f>+P923*Q923</f>
        <v>87495.9</v>
      </c>
      <c r="S923" s="11"/>
      <c r="T923" s="136">
        <f>+N923*Q923</f>
        <v>0</v>
      </c>
    </row>
    <row r="924" spans="1:20" ht="15.75" customHeight="1">
      <c r="A924" s="149" t="s">
        <v>44321</v>
      </c>
      <c r="B924" s="273"/>
      <c r="C924" s="36" t="s">
        <v>4050</v>
      </c>
      <c r="D924" s="71">
        <v>590</v>
      </c>
      <c r="E924" s="131">
        <f t="shared" si="224"/>
        <v>15620</v>
      </c>
      <c r="F924" s="21">
        <f t="shared" si="223"/>
        <v>18900.2</v>
      </c>
      <c r="G924" s="21"/>
      <c r="H924" s="135">
        <f t="shared" si="199"/>
        <v>0</v>
      </c>
      <c r="I924" s="294">
        <v>45222</v>
      </c>
      <c r="J924" s="294">
        <v>45331</v>
      </c>
      <c r="K924" s="10">
        <f>6737*2</f>
        <v>13474</v>
      </c>
      <c r="L924" s="10">
        <f>0.8*0.94*14323</f>
        <v>10770.896000000001</v>
      </c>
      <c r="M924" s="11"/>
      <c r="N924" s="100"/>
      <c r="O924" s="11">
        <f t="shared" si="194"/>
        <v>10770.896000000001</v>
      </c>
      <c r="P924" s="11">
        <f t="shared" si="195"/>
        <v>10770.896000000001</v>
      </c>
      <c r="Q924" s="11">
        <v>1.45</v>
      </c>
      <c r="R924" s="11">
        <f t="shared" si="196"/>
        <v>15617.799200000001</v>
      </c>
      <c r="S924" s="11"/>
      <c r="T924" s="136">
        <f t="shared" si="198"/>
        <v>0</v>
      </c>
    </row>
    <row r="925" spans="1:20" ht="15.75" customHeight="1">
      <c r="A925" s="149">
        <v>38</v>
      </c>
      <c r="B925" s="273"/>
      <c r="C925" s="28" t="s">
        <v>2454</v>
      </c>
      <c r="D925" s="41">
        <v>130</v>
      </c>
      <c r="E925" s="131">
        <f t="shared" si="224"/>
        <v>920</v>
      </c>
      <c r="F925" s="21">
        <f t="shared" si="223"/>
        <v>1113.2</v>
      </c>
      <c r="G925" s="21"/>
      <c r="H925" s="135">
        <f t="shared" si="199"/>
        <v>0</v>
      </c>
      <c r="I925" s="294">
        <v>45138</v>
      </c>
      <c r="J925" s="294"/>
      <c r="K925" s="11">
        <f>+'AUMENTOS %'!$B$9*569</f>
        <v>569</v>
      </c>
      <c r="L925" s="11"/>
      <c r="M925" s="11"/>
      <c r="N925" s="100"/>
      <c r="O925" s="11">
        <f>MIN(K925:M925)*'AUMENTOS %'!$B$9</f>
        <v>569</v>
      </c>
      <c r="P925" s="11">
        <f t="shared" si="195"/>
        <v>569</v>
      </c>
      <c r="Q925" s="11">
        <v>1.6</v>
      </c>
      <c r="R925" s="11">
        <f t="shared" si="196"/>
        <v>910.40000000000009</v>
      </c>
      <c r="S925" s="11"/>
      <c r="T925" s="136">
        <f t="shared" si="198"/>
        <v>0</v>
      </c>
    </row>
    <row r="926" spans="1:20" ht="15.75" customHeight="1">
      <c r="A926" s="149">
        <v>38</v>
      </c>
      <c r="B926" s="273"/>
      <c r="C926" s="28" t="s">
        <v>2453</v>
      </c>
      <c r="D926" s="41">
        <v>85</v>
      </c>
      <c r="E926" s="131">
        <f t="shared" si="224"/>
        <v>430</v>
      </c>
      <c r="F926" s="21">
        <f t="shared" si="223"/>
        <v>520.29999999999995</v>
      </c>
      <c r="G926" s="21"/>
      <c r="H926" s="135">
        <f t="shared" si="199"/>
        <v>0</v>
      </c>
      <c r="I926" s="294">
        <v>45138</v>
      </c>
      <c r="J926" s="294"/>
      <c r="K926" s="11">
        <f>+'AUMENTOS %'!$B$9*265</f>
        <v>265</v>
      </c>
      <c r="L926" s="11"/>
      <c r="M926" s="11"/>
      <c r="N926" s="100"/>
      <c r="O926" s="11">
        <f>MIN(K926:M926)*'AUMENTOS %'!$B$9</f>
        <v>265</v>
      </c>
      <c r="P926" s="11">
        <f t="shared" si="195"/>
        <v>265</v>
      </c>
      <c r="Q926" s="11">
        <v>1.6</v>
      </c>
      <c r="R926" s="11">
        <f t="shared" si="196"/>
        <v>424</v>
      </c>
      <c r="S926" s="11"/>
      <c r="T926" s="136">
        <f t="shared" si="198"/>
        <v>0</v>
      </c>
    </row>
    <row r="927" spans="1:20" ht="15.75" customHeight="1">
      <c r="A927" s="149">
        <v>12</v>
      </c>
      <c r="B927" s="273"/>
      <c r="C927" s="36" t="s">
        <v>4537</v>
      </c>
      <c r="D927" s="71">
        <v>590</v>
      </c>
      <c r="E927" s="131">
        <f>ROUNDUP(R927,-1)</f>
        <v>0</v>
      </c>
      <c r="F927" s="21">
        <f>+E927*1.21</f>
        <v>0</v>
      </c>
      <c r="G927" s="21"/>
      <c r="H927" s="135">
        <f>ROUNDUP(T927,-1)</f>
        <v>0</v>
      </c>
      <c r="I927" s="294">
        <v>45222</v>
      </c>
      <c r="J927" s="294">
        <v>45257</v>
      </c>
      <c r="K927" s="10">
        <v>5132</v>
      </c>
      <c r="L927" s="11"/>
      <c r="M927" s="11"/>
      <c r="N927" s="100"/>
      <c r="O927" s="11">
        <f>MIN(K927:M927)</f>
        <v>5132</v>
      </c>
      <c r="P927" s="11">
        <f>+O927</f>
        <v>5132</v>
      </c>
      <c r="Q927" s="11"/>
      <c r="R927" s="11">
        <f>+P927*Q927</f>
        <v>0</v>
      </c>
      <c r="S927" s="11"/>
      <c r="T927" s="136">
        <f>+N927*Q927</f>
        <v>0</v>
      </c>
    </row>
    <row r="928" spans="1:20" ht="15.75" customHeight="1">
      <c r="A928" s="149" t="s">
        <v>2406</v>
      </c>
      <c r="B928" s="273"/>
      <c r="C928" s="36" t="s">
        <v>1496</v>
      </c>
      <c r="D928" s="41">
        <v>110</v>
      </c>
      <c r="E928" s="131">
        <f t="shared" si="224"/>
        <v>2180</v>
      </c>
      <c r="F928" s="21">
        <f t="shared" si="223"/>
        <v>2637.7999999999997</v>
      </c>
      <c r="G928" s="21"/>
      <c r="H928" s="135">
        <f t="shared" si="199"/>
        <v>0</v>
      </c>
      <c r="I928" s="294">
        <v>45352</v>
      </c>
      <c r="J928" s="40"/>
      <c r="K928" s="11">
        <f>0.3*4844</f>
        <v>1453.2</v>
      </c>
      <c r="L928" s="11"/>
      <c r="M928" s="11"/>
      <c r="N928" s="100"/>
      <c r="O928" s="11">
        <f t="shared" si="194"/>
        <v>1453.2</v>
      </c>
      <c r="P928" s="11">
        <f t="shared" si="195"/>
        <v>1453.2</v>
      </c>
      <c r="Q928" s="11">
        <v>1.5</v>
      </c>
      <c r="R928" s="11">
        <f t="shared" si="196"/>
        <v>2179.8000000000002</v>
      </c>
      <c r="S928" s="11"/>
      <c r="T928" s="136">
        <f t="shared" si="198"/>
        <v>0</v>
      </c>
    </row>
    <row r="929" spans="1:20" ht="15.75" customHeight="1">
      <c r="A929" s="149" t="s">
        <v>2406</v>
      </c>
      <c r="B929" s="273"/>
      <c r="C929" s="36" t="s">
        <v>1497</v>
      </c>
      <c r="D929" s="41">
        <v>100</v>
      </c>
      <c r="E929" s="131">
        <f t="shared" si="224"/>
        <v>1910</v>
      </c>
      <c r="F929" s="21">
        <f t="shared" si="223"/>
        <v>2311.1</v>
      </c>
      <c r="G929" s="21"/>
      <c r="H929" s="135">
        <f t="shared" si="199"/>
        <v>0</v>
      </c>
      <c r="I929" s="294">
        <v>45352</v>
      </c>
      <c r="J929" s="40"/>
      <c r="K929" s="11">
        <f>0.3*4235</f>
        <v>1270.5</v>
      </c>
      <c r="L929" s="143"/>
      <c r="M929" s="11"/>
      <c r="N929" s="100"/>
      <c r="O929" s="11">
        <f t="shared" si="194"/>
        <v>1270.5</v>
      </c>
      <c r="P929" s="11">
        <f t="shared" si="195"/>
        <v>1270.5</v>
      </c>
      <c r="Q929" s="11">
        <v>1.5</v>
      </c>
      <c r="R929" s="11">
        <f t="shared" si="196"/>
        <v>1905.75</v>
      </c>
      <c r="S929" s="11"/>
      <c r="T929" s="136">
        <f t="shared" si="198"/>
        <v>0</v>
      </c>
    </row>
    <row r="930" spans="1:20" ht="15.75" customHeight="1">
      <c r="A930" s="149" t="s">
        <v>2406</v>
      </c>
      <c r="B930" s="273"/>
      <c r="C930" s="36" t="s">
        <v>2195</v>
      </c>
      <c r="D930" s="41">
        <v>130</v>
      </c>
      <c r="E930" s="131">
        <f t="shared" si="224"/>
        <v>2420</v>
      </c>
      <c r="F930" s="21">
        <f t="shared" si="223"/>
        <v>2928.2</v>
      </c>
      <c r="G930" s="21"/>
      <c r="H930" s="135">
        <f t="shared" si="199"/>
        <v>0</v>
      </c>
      <c r="I930" s="294">
        <v>45352</v>
      </c>
      <c r="J930" s="40"/>
      <c r="K930" s="11">
        <f>0.3*5368</f>
        <v>1610.3999999999999</v>
      </c>
      <c r="L930" s="11"/>
      <c r="M930" s="11"/>
      <c r="N930" s="100"/>
      <c r="O930" s="11">
        <f t="shared" si="194"/>
        <v>1610.3999999999999</v>
      </c>
      <c r="P930" s="11">
        <f t="shared" si="195"/>
        <v>1610.3999999999999</v>
      </c>
      <c r="Q930" s="11">
        <v>1.5</v>
      </c>
      <c r="R930" s="11">
        <f t="shared" si="196"/>
        <v>2415.6</v>
      </c>
      <c r="S930" s="11"/>
      <c r="T930" s="136">
        <f t="shared" si="198"/>
        <v>0</v>
      </c>
    </row>
    <row r="931" spans="1:20" ht="15.75" customHeight="1">
      <c r="A931" s="149" t="s">
        <v>2406</v>
      </c>
      <c r="B931" s="273"/>
      <c r="C931" s="36" t="s">
        <v>2854</v>
      </c>
      <c r="D931" s="41">
        <v>160</v>
      </c>
      <c r="E931" s="131">
        <f t="shared" si="224"/>
        <v>2980</v>
      </c>
      <c r="F931" s="21">
        <f t="shared" si="223"/>
        <v>3605.7999999999997</v>
      </c>
      <c r="G931" s="21"/>
      <c r="H931" s="135">
        <f t="shared" si="199"/>
        <v>0</v>
      </c>
      <c r="I931" s="294">
        <v>45352</v>
      </c>
      <c r="J931" s="40">
        <v>45371</v>
      </c>
      <c r="K931" s="10">
        <f>0.3*6605</f>
        <v>1981.5</v>
      </c>
      <c r="L931" s="11"/>
      <c r="M931" s="11"/>
      <c r="N931" s="100"/>
      <c r="O931" s="11">
        <f t="shared" ref="O931:O993" si="232">MIN(K931:M931)</f>
        <v>1981.5</v>
      </c>
      <c r="P931" s="11">
        <f t="shared" si="195"/>
        <v>1981.5</v>
      </c>
      <c r="Q931" s="11">
        <v>1.5</v>
      </c>
      <c r="R931" s="11">
        <f t="shared" si="196"/>
        <v>2972.25</v>
      </c>
      <c r="S931" s="11"/>
      <c r="T931" s="136">
        <f t="shared" si="198"/>
        <v>0</v>
      </c>
    </row>
    <row r="932" spans="1:20" ht="15.75" customHeight="1">
      <c r="A932" s="149" t="s">
        <v>2406</v>
      </c>
      <c r="B932" s="273"/>
      <c r="C932" s="36" t="s">
        <v>2819</v>
      </c>
      <c r="D932" s="41"/>
      <c r="E932" s="131">
        <f t="shared" si="224"/>
        <v>2140</v>
      </c>
      <c r="F932" s="21">
        <f t="shared" si="223"/>
        <v>2589.4</v>
      </c>
      <c r="G932" s="33"/>
      <c r="H932" s="135">
        <f t="shared" si="199"/>
        <v>0</v>
      </c>
      <c r="I932" s="294">
        <v>45352</v>
      </c>
      <c r="J932" s="40"/>
      <c r="K932" s="10">
        <f>0.3*4753</f>
        <v>1425.8999999999999</v>
      </c>
      <c r="L932" s="99"/>
      <c r="M932" s="11"/>
      <c r="N932" s="100"/>
      <c r="O932" s="11">
        <f t="shared" si="232"/>
        <v>1425.8999999999999</v>
      </c>
      <c r="P932" s="11">
        <f t="shared" si="195"/>
        <v>1425.8999999999999</v>
      </c>
      <c r="Q932" s="11">
        <v>1.5</v>
      </c>
      <c r="R932" s="11">
        <f t="shared" si="196"/>
        <v>2138.85</v>
      </c>
      <c r="S932" s="11"/>
      <c r="T932" s="136">
        <f t="shared" si="198"/>
        <v>0</v>
      </c>
    </row>
    <row r="933" spans="1:20" ht="15.75" customHeight="1">
      <c r="A933" s="149" t="s">
        <v>2406</v>
      </c>
      <c r="B933" s="273"/>
      <c r="C933" s="36" t="s">
        <v>1498</v>
      </c>
      <c r="D933" s="41">
        <v>250</v>
      </c>
      <c r="E933" s="131">
        <f t="shared" si="224"/>
        <v>4750</v>
      </c>
      <c r="F933" s="21">
        <f t="shared" si="223"/>
        <v>5747.5</v>
      </c>
      <c r="G933" s="320"/>
      <c r="H933" s="135">
        <f t="shared" si="199"/>
        <v>0</v>
      </c>
      <c r="I933" s="294">
        <v>45352</v>
      </c>
      <c r="J933" s="40">
        <v>45371</v>
      </c>
      <c r="K933" s="10">
        <f>0.3*10540</f>
        <v>3162</v>
      </c>
      <c r="L933" s="11"/>
      <c r="M933" s="11"/>
      <c r="N933" s="100"/>
      <c r="O933" s="11">
        <f t="shared" si="232"/>
        <v>3162</v>
      </c>
      <c r="P933" s="11">
        <f t="shared" si="195"/>
        <v>3162</v>
      </c>
      <c r="Q933" s="11">
        <v>1.5</v>
      </c>
      <c r="R933" s="11">
        <f t="shared" si="196"/>
        <v>4743</v>
      </c>
      <c r="S933" s="11"/>
      <c r="T933" s="136">
        <f t="shared" si="198"/>
        <v>0</v>
      </c>
    </row>
    <row r="934" spans="1:20" ht="15.75" customHeight="1">
      <c r="A934" s="149" t="s">
        <v>2406</v>
      </c>
      <c r="B934" s="273"/>
      <c r="C934" s="36" t="s">
        <v>2827</v>
      </c>
      <c r="D934" s="41"/>
      <c r="E934" s="131">
        <f t="shared" si="224"/>
        <v>3420</v>
      </c>
      <c r="F934" s="21">
        <f t="shared" si="223"/>
        <v>4138.2</v>
      </c>
      <c r="G934" s="33"/>
      <c r="H934" s="135">
        <f t="shared" si="199"/>
        <v>0</v>
      </c>
      <c r="I934" s="294">
        <v>45352</v>
      </c>
      <c r="J934" s="40"/>
      <c r="K934" s="10">
        <f>0.3*7590</f>
        <v>2277</v>
      </c>
      <c r="L934" s="99"/>
      <c r="M934" s="11"/>
      <c r="N934" s="100"/>
      <c r="O934" s="11">
        <f t="shared" si="232"/>
        <v>2277</v>
      </c>
      <c r="P934" s="11">
        <f t="shared" si="195"/>
        <v>2277</v>
      </c>
      <c r="Q934" s="11">
        <v>1.5</v>
      </c>
      <c r="R934" s="11">
        <f t="shared" si="196"/>
        <v>3415.5</v>
      </c>
      <c r="S934" s="11"/>
      <c r="T934" s="136">
        <f t="shared" si="198"/>
        <v>0</v>
      </c>
    </row>
    <row r="935" spans="1:20" ht="15.75" customHeight="1">
      <c r="A935" s="149" t="s">
        <v>2406</v>
      </c>
      <c r="B935" s="273"/>
      <c r="C935" s="36" t="s">
        <v>2175</v>
      </c>
      <c r="D935" s="41">
        <v>430</v>
      </c>
      <c r="E935" s="131">
        <f>ROUNDUP(R935,-1)</f>
        <v>8030</v>
      </c>
      <c r="F935" s="21">
        <f>+E935*1.21</f>
        <v>9716.2999999999993</v>
      </c>
      <c r="G935" s="33"/>
      <c r="H935" s="135">
        <f>ROUNDUP(T935,-1)</f>
        <v>0</v>
      </c>
      <c r="I935" s="294">
        <v>45352</v>
      </c>
      <c r="J935" s="40"/>
      <c r="K935" s="10">
        <f>0.3*17826</f>
        <v>5347.8</v>
      </c>
      <c r="L935" s="99"/>
      <c r="M935" s="11"/>
      <c r="N935" s="100"/>
      <c r="O935" s="11">
        <f>MIN(K935:M935)</f>
        <v>5347.8</v>
      </c>
      <c r="P935" s="11">
        <f t="shared" ref="P935:P993" si="233">+O935</f>
        <v>5347.8</v>
      </c>
      <c r="Q935" s="11">
        <v>1.5</v>
      </c>
      <c r="R935" s="11">
        <f t="shared" ref="R935:R993" si="234">+P935*Q935</f>
        <v>8021.7000000000007</v>
      </c>
      <c r="S935" s="11"/>
      <c r="T935" s="136">
        <f>+N935*Q935</f>
        <v>0</v>
      </c>
    </row>
    <row r="936" spans="1:20" ht="15.75" customHeight="1">
      <c r="A936" s="149" t="s">
        <v>2406</v>
      </c>
      <c r="B936" s="273"/>
      <c r="C936" s="36" t="s">
        <v>1499</v>
      </c>
      <c r="D936" s="41">
        <v>500</v>
      </c>
      <c r="E936" s="131">
        <f>ROUNDUP(R936,-1)</f>
        <v>9390</v>
      </c>
      <c r="F936" s="21">
        <f>+E936*1.21</f>
        <v>11361.9</v>
      </c>
      <c r="G936" s="21"/>
      <c r="H936" s="135">
        <f>ROUNDUP(T936,-1)</f>
        <v>0</v>
      </c>
      <c r="I936" s="294">
        <v>45352</v>
      </c>
      <c r="J936" s="40"/>
      <c r="K936" s="10">
        <f>0.3*20857</f>
        <v>6257.0999999999995</v>
      </c>
      <c r="L936" s="11"/>
      <c r="M936" s="11"/>
      <c r="N936" s="100"/>
      <c r="O936" s="11">
        <f>MIN(K936:M936)</f>
        <v>6257.0999999999995</v>
      </c>
      <c r="P936" s="11">
        <f t="shared" si="233"/>
        <v>6257.0999999999995</v>
      </c>
      <c r="Q936" s="11">
        <v>1.5</v>
      </c>
      <c r="R936" s="11">
        <f t="shared" si="234"/>
        <v>9385.65</v>
      </c>
      <c r="S936" s="11"/>
      <c r="T936" s="136">
        <f>+N936*Q936</f>
        <v>0</v>
      </c>
    </row>
    <row r="937" spans="1:20" ht="15.75" customHeight="1">
      <c r="A937" s="149" t="s">
        <v>2406</v>
      </c>
      <c r="B937" s="273"/>
      <c r="C937" s="36" t="s">
        <v>4212</v>
      </c>
      <c r="D937" s="41">
        <v>500</v>
      </c>
      <c r="E937" s="131">
        <f>ROUNDUP(R937,-1)</f>
        <v>0</v>
      </c>
      <c r="F937" s="21">
        <f>+E937*1.21</f>
        <v>0</v>
      </c>
      <c r="G937" s="21"/>
      <c r="H937" s="135">
        <f>ROUNDUP(T937,-1)</f>
        <v>0</v>
      </c>
      <c r="I937" s="294">
        <v>45352</v>
      </c>
      <c r="J937" s="40"/>
      <c r="K937" s="10">
        <f>3495.11*0.82*0.59*0.95*1.18*1.09*1.12*1.1*1.1*1.2*1.2*1.12</f>
        <v>4515.8835147692525</v>
      </c>
      <c r="L937" s="11"/>
      <c r="M937" s="11"/>
      <c r="N937" s="100"/>
      <c r="O937" s="11">
        <f>MIN(K937:M937)</f>
        <v>4515.8835147692525</v>
      </c>
      <c r="P937" s="11">
        <f t="shared" si="233"/>
        <v>4515.8835147692525</v>
      </c>
      <c r="Q937" s="11"/>
      <c r="R937" s="11">
        <f t="shared" si="234"/>
        <v>0</v>
      </c>
      <c r="S937" s="11"/>
      <c r="T937" s="136">
        <f>+N937*Q937</f>
        <v>0</v>
      </c>
    </row>
    <row r="938" spans="1:20" ht="15.75" customHeight="1">
      <c r="A938" s="149" t="s">
        <v>2435</v>
      </c>
      <c r="B938" s="273"/>
      <c r="C938" s="28" t="s">
        <v>62654</v>
      </c>
      <c r="D938" s="41">
        <v>3410</v>
      </c>
      <c r="E938" s="131">
        <f t="shared" ref="E938" si="235">ROUNDUP(R938,-1)</f>
        <v>32700</v>
      </c>
      <c r="F938" s="21">
        <f t="shared" ref="F938" si="236">+E938*1.21</f>
        <v>39567</v>
      </c>
      <c r="G938" s="245"/>
      <c r="H938" s="135">
        <f t="shared" ref="H938" si="237">ROUNDUP(T938,-1)</f>
        <v>0</v>
      </c>
      <c r="I938" s="294">
        <v>45278</v>
      </c>
      <c r="J938" s="294">
        <v>45358</v>
      </c>
      <c r="K938" s="11">
        <f>+PROVEEDORES!$D$24*25.48</f>
        <v>22549.8</v>
      </c>
      <c r="L938" s="11"/>
      <c r="M938" s="11"/>
      <c r="N938" s="100"/>
      <c r="O938" s="11">
        <f t="shared" ref="O938" si="238">MIN(K938:M938)</f>
        <v>22549.8</v>
      </c>
      <c r="P938" s="11">
        <f t="shared" si="233"/>
        <v>22549.8</v>
      </c>
      <c r="Q938" s="11">
        <v>1.45</v>
      </c>
      <c r="R938" s="11">
        <f t="shared" si="234"/>
        <v>32697.21</v>
      </c>
      <c r="S938" s="11"/>
      <c r="T938" s="136">
        <f t="shared" ref="T938" si="239">+N938*Q938</f>
        <v>0</v>
      </c>
    </row>
    <row r="939" spans="1:20" ht="15.75" customHeight="1">
      <c r="A939" s="149">
        <v>39</v>
      </c>
      <c r="B939" s="273"/>
      <c r="C939" s="36" t="s">
        <v>1500</v>
      </c>
      <c r="D939" s="41">
        <v>35380</v>
      </c>
      <c r="E939" s="131">
        <f t="shared" si="224"/>
        <v>1478000</v>
      </c>
      <c r="F939" s="21" t="s">
        <v>1248</v>
      </c>
      <c r="G939" s="21">
        <f t="shared" ref="G939:G944" si="240">+E939*1.105</f>
        <v>1633190</v>
      </c>
      <c r="H939" s="135">
        <f t="shared" si="199"/>
        <v>0</v>
      </c>
      <c r="I939" s="294">
        <v>45350</v>
      </c>
      <c r="J939" s="294"/>
      <c r="K939" s="11">
        <f>0.9*0.9*1258400</f>
        <v>1019304.0000000001</v>
      </c>
      <c r="L939" s="11"/>
      <c r="M939" s="10"/>
      <c r="N939" s="100"/>
      <c r="O939" s="11">
        <f t="shared" si="232"/>
        <v>1019304.0000000001</v>
      </c>
      <c r="P939" s="11">
        <f t="shared" si="233"/>
        <v>1019304.0000000001</v>
      </c>
      <c r="Q939" s="143">
        <v>1.45</v>
      </c>
      <c r="R939" s="11">
        <f t="shared" si="234"/>
        <v>1477990.8</v>
      </c>
      <c r="S939" s="11"/>
      <c r="T939" s="136">
        <f t="shared" si="198"/>
        <v>0</v>
      </c>
    </row>
    <row r="940" spans="1:20" ht="15.75" customHeight="1">
      <c r="A940" s="149">
        <v>39</v>
      </c>
      <c r="B940" s="273"/>
      <c r="C940" s="36" t="s">
        <v>1501</v>
      </c>
      <c r="D940" s="41">
        <v>12250</v>
      </c>
      <c r="E940" s="131">
        <f t="shared" si="224"/>
        <v>511620</v>
      </c>
      <c r="F940" s="21" t="s">
        <v>1248</v>
      </c>
      <c r="G940" s="21">
        <f t="shared" si="240"/>
        <v>565340.1</v>
      </c>
      <c r="H940" s="135">
        <f t="shared" si="199"/>
        <v>0</v>
      </c>
      <c r="I940" s="294">
        <v>45350</v>
      </c>
      <c r="J940" s="294"/>
      <c r="K940" s="10">
        <f>0.9*0.9*435600</f>
        <v>352836</v>
      </c>
      <c r="L940" s="10"/>
      <c r="M940" s="10"/>
      <c r="N940" s="100"/>
      <c r="O940" s="11">
        <f t="shared" si="232"/>
        <v>352836</v>
      </c>
      <c r="P940" s="11">
        <f t="shared" si="233"/>
        <v>352836</v>
      </c>
      <c r="Q940" s="11">
        <v>1.45</v>
      </c>
      <c r="R940" s="11">
        <f t="shared" si="234"/>
        <v>511612.2</v>
      </c>
      <c r="S940" s="11"/>
      <c r="T940" s="136">
        <f t="shared" si="198"/>
        <v>0</v>
      </c>
    </row>
    <row r="941" spans="1:20" ht="15.75" customHeight="1">
      <c r="A941" s="149">
        <v>41</v>
      </c>
      <c r="B941" s="273">
        <f>ROUNDUP(E941*1.06,-1)</f>
        <v>3681340</v>
      </c>
      <c r="C941" s="28" t="s">
        <v>4278</v>
      </c>
      <c r="D941" s="41">
        <v>226870</v>
      </c>
      <c r="E941" s="132">
        <f t="shared" si="224"/>
        <v>3472960</v>
      </c>
      <c r="F941" s="21" t="s">
        <v>1248</v>
      </c>
      <c r="G941" s="21">
        <f t="shared" si="240"/>
        <v>3837620.8</v>
      </c>
      <c r="H941" s="135">
        <f t="shared" si="199"/>
        <v>3428330</v>
      </c>
      <c r="I941" s="294">
        <v>45311</v>
      </c>
      <c r="J941" s="294"/>
      <c r="K941" s="11">
        <f>PROVEEDORES!$D$35*0.9*2812*0.95</f>
        <v>2572558.1999999997</v>
      </c>
      <c r="L941" s="11"/>
      <c r="M941" s="11"/>
      <c r="N941" s="100">
        <f>0.9*0.95*0.95*3126500</f>
        <v>2539499.6249999995</v>
      </c>
      <c r="O941" s="11">
        <f t="shared" si="232"/>
        <v>2572558.1999999997</v>
      </c>
      <c r="P941" s="11">
        <f t="shared" si="233"/>
        <v>2572558.1999999997</v>
      </c>
      <c r="Q941" s="11">
        <v>1.35</v>
      </c>
      <c r="R941" s="11">
        <f t="shared" si="234"/>
        <v>3472953.57</v>
      </c>
      <c r="S941" s="11"/>
      <c r="T941" s="136">
        <f t="shared" si="198"/>
        <v>3428324.4937499994</v>
      </c>
    </row>
    <row r="942" spans="1:20" ht="15.75" customHeight="1">
      <c r="A942" s="149">
        <v>41</v>
      </c>
      <c r="B942" s="273">
        <f>ROUNDUP(E942*1.06,-1)</f>
        <v>6479000</v>
      </c>
      <c r="C942" s="28" t="s">
        <v>4276</v>
      </c>
      <c r="D942" s="41">
        <v>334460</v>
      </c>
      <c r="E942" s="132">
        <f t="shared" si="224"/>
        <v>6112260</v>
      </c>
      <c r="F942" s="21" t="s">
        <v>1248</v>
      </c>
      <c r="G942" s="21">
        <f t="shared" si="240"/>
        <v>6754047.2999999998</v>
      </c>
      <c r="H942" s="135">
        <f t="shared" si="199"/>
        <v>6029860</v>
      </c>
      <c r="I942" s="294">
        <v>45311</v>
      </c>
      <c r="J942" s="294"/>
      <c r="K942" s="11">
        <f>PROVEEDORES!$D$35*0.9*4949*0.95</f>
        <v>4527592.6499999994</v>
      </c>
      <c r="L942" s="11"/>
      <c r="M942" s="11"/>
      <c r="N942" s="100">
        <f>0.9*0.95*0.95*5499000</f>
        <v>4466562.75</v>
      </c>
      <c r="O942" s="11">
        <f t="shared" si="232"/>
        <v>4527592.6499999994</v>
      </c>
      <c r="P942" s="11">
        <f t="shared" si="233"/>
        <v>4527592.6499999994</v>
      </c>
      <c r="Q942" s="11">
        <v>1.35</v>
      </c>
      <c r="R942" s="11">
        <f t="shared" si="234"/>
        <v>6112250.0774999997</v>
      </c>
      <c r="S942" s="11"/>
      <c r="T942" s="136">
        <f t="shared" si="198"/>
        <v>6029859.7125000004</v>
      </c>
    </row>
    <row r="943" spans="1:20" ht="15.75" customHeight="1">
      <c r="A943" s="149">
        <v>41</v>
      </c>
      <c r="B943" s="273">
        <f>ROUNDUP(E943*1.06,-1)</f>
        <v>0</v>
      </c>
      <c r="C943" s="28" t="s">
        <v>4279</v>
      </c>
      <c r="D943" s="41">
        <v>360190</v>
      </c>
      <c r="E943" s="132">
        <f t="shared" si="224"/>
        <v>0</v>
      </c>
      <c r="F943" s="21" t="s">
        <v>1248</v>
      </c>
      <c r="G943" s="21">
        <f t="shared" si="240"/>
        <v>0</v>
      </c>
      <c r="H943" s="135">
        <f t="shared" si="199"/>
        <v>0</v>
      </c>
      <c r="I943" s="294">
        <v>45106</v>
      </c>
      <c r="J943" s="294">
        <v>45176</v>
      </c>
      <c r="K943" s="11">
        <f>PROVEEDORES!$D$35*0.9*0.9*5311</f>
        <v>4603043.7</v>
      </c>
      <c r="L943" s="11"/>
      <c r="M943" s="11"/>
      <c r="N943" s="100"/>
      <c r="O943" s="11">
        <f t="shared" si="232"/>
        <v>4603043.7</v>
      </c>
      <c r="P943" s="11">
        <f t="shared" si="233"/>
        <v>4603043.7</v>
      </c>
      <c r="Q943" s="11"/>
      <c r="R943" s="11">
        <f t="shared" si="234"/>
        <v>0</v>
      </c>
      <c r="S943" s="11"/>
      <c r="T943" s="136">
        <f t="shared" si="198"/>
        <v>0</v>
      </c>
    </row>
    <row r="944" spans="1:20" ht="15.75" customHeight="1">
      <c r="A944" s="149"/>
      <c r="B944" s="273"/>
      <c r="C944" s="28" t="s">
        <v>1502</v>
      </c>
      <c r="D944" s="41">
        <v>98500</v>
      </c>
      <c r="E944" s="131">
        <f t="shared" si="224"/>
        <v>0</v>
      </c>
      <c r="F944" s="21" t="s">
        <v>1248</v>
      </c>
      <c r="G944" s="21">
        <f t="shared" si="240"/>
        <v>0</v>
      </c>
      <c r="H944" s="135">
        <f t="shared" si="199"/>
        <v>0</v>
      </c>
      <c r="I944" s="294"/>
      <c r="J944" s="294">
        <v>43082</v>
      </c>
      <c r="K944" s="10">
        <f>140000*1.5</f>
        <v>210000</v>
      </c>
      <c r="L944" s="11"/>
      <c r="M944" s="11"/>
      <c r="N944" s="100"/>
      <c r="O944" s="11">
        <f t="shared" si="232"/>
        <v>210000</v>
      </c>
      <c r="P944" s="11">
        <f t="shared" si="233"/>
        <v>210000</v>
      </c>
      <c r="Q944" s="11"/>
      <c r="R944" s="11">
        <f t="shared" si="234"/>
        <v>0</v>
      </c>
      <c r="S944" s="11"/>
      <c r="T944" s="136">
        <f t="shared" ref="T944:T1003" si="241">+N944*Q944</f>
        <v>0</v>
      </c>
    </row>
    <row r="945" spans="1:20" ht="15.75" customHeight="1">
      <c r="A945" s="149" t="s">
        <v>2398</v>
      </c>
      <c r="B945" s="273">
        <f>ROUNDUP(E945*1.105,-1)</f>
        <v>162040</v>
      </c>
      <c r="C945" s="28" t="s">
        <v>44295</v>
      </c>
      <c r="D945" s="41"/>
      <c r="E945" s="131">
        <f t="shared" si="224"/>
        <v>146640</v>
      </c>
      <c r="F945" s="21">
        <f t="shared" ref="F945:F950" si="242">+E945*1.21</f>
        <v>177434.4</v>
      </c>
      <c r="G945" s="21"/>
      <c r="H945" s="135">
        <f t="shared" si="199"/>
        <v>0</v>
      </c>
      <c r="I945" s="294">
        <v>45323</v>
      </c>
      <c r="J945" s="294"/>
      <c r="K945" s="10">
        <f>0.8*0.94*0.98*144183</f>
        <v>106257.10367999999</v>
      </c>
      <c r="L945" s="11"/>
      <c r="M945" s="11"/>
      <c r="N945" s="100"/>
      <c r="O945" s="11">
        <f t="shared" si="232"/>
        <v>106257.10367999999</v>
      </c>
      <c r="P945" s="11">
        <f>+O945*'AUMENTOS %'!$B$5</f>
        <v>106257.10367999999</v>
      </c>
      <c r="Q945" s="11">
        <v>1.38</v>
      </c>
      <c r="R945" s="11">
        <f t="shared" si="234"/>
        <v>146634.80307839997</v>
      </c>
      <c r="S945" s="11"/>
      <c r="T945" s="136">
        <f t="shared" si="241"/>
        <v>0</v>
      </c>
    </row>
    <row r="946" spans="1:20" ht="15.75" customHeight="1">
      <c r="A946" s="149">
        <v>41</v>
      </c>
      <c r="B946" s="273"/>
      <c r="C946" s="28" t="s">
        <v>4324</v>
      </c>
      <c r="D946" s="41">
        <v>360190</v>
      </c>
      <c r="E946" s="132">
        <f t="shared" si="224"/>
        <v>53370</v>
      </c>
      <c r="F946" s="21">
        <f t="shared" si="242"/>
        <v>64577.7</v>
      </c>
      <c r="G946" s="21"/>
      <c r="H946" s="135">
        <f t="shared" ref="H946:H972" si="243">ROUNDUP(T946,-1)</f>
        <v>0</v>
      </c>
      <c r="I946" s="294"/>
      <c r="J946" s="294">
        <v>44685</v>
      </c>
      <c r="K946" s="11">
        <f>PROVEEDORES!$D$35*0.9*32.6</f>
        <v>31393.800000000003</v>
      </c>
      <c r="L946" s="11"/>
      <c r="M946" s="11"/>
      <c r="N946" s="100"/>
      <c r="O946" s="11">
        <f t="shared" si="232"/>
        <v>31393.800000000003</v>
      </c>
      <c r="P946" s="11">
        <f t="shared" si="233"/>
        <v>31393.800000000003</v>
      </c>
      <c r="Q946" s="11">
        <v>1.7</v>
      </c>
      <c r="R946" s="11">
        <f t="shared" si="234"/>
        <v>53369.460000000006</v>
      </c>
      <c r="S946" s="11"/>
      <c r="T946" s="136">
        <f t="shared" si="241"/>
        <v>0</v>
      </c>
    </row>
    <row r="947" spans="1:20" ht="15.75" customHeight="1">
      <c r="A947" s="149"/>
      <c r="B947" s="273"/>
      <c r="C947" s="28" t="s">
        <v>2204</v>
      </c>
      <c r="D947" s="41">
        <v>210</v>
      </c>
      <c r="E947" s="131">
        <f t="shared" si="224"/>
        <v>0</v>
      </c>
      <c r="F947" s="21">
        <f t="shared" si="242"/>
        <v>0</v>
      </c>
      <c r="G947" s="21"/>
      <c r="H947" s="135">
        <f t="shared" si="243"/>
        <v>0</v>
      </c>
      <c r="I947" s="294">
        <v>43873</v>
      </c>
      <c r="J947" s="294"/>
      <c r="K947" s="10">
        <f>222*0.7*0.9*1.5</f>
        <v>209.78999999999996</v>
      </c>
      <c r="L947" s="11"/>
      <c r="M947" s="11"/>
      <c r="N947" s="100"/>
      <c r="O947" s="11">
        <f t="shared" si="232"/>
        <v>209.78999999999996</v>
      </c>
      <c r="P947" s="11">
        <f t="shared" si="233"/>
        <v>209.78999999999996</v>
      </c>
      <c r="Q947" s="11"/>
      <c r="R947" s="11">
        <f t="shared" si="234"/>
        <v>0</v>
      </c>
      <c r="S947" s="11"/>
      <c r="T947" s="136">
        <f t="shared" si="241"/>
        <v>0</v>
      </c>
    </row>
    <row r="948" spans="1:20" ht="15.75" customHeight="1">
      <c r="A948" s="149">
        <v>44</v>
      </c>
      <c r="B948" s="273"/>
      <c r="C948" s="28" t="s">
        <v>4112</v>
      </c>
      <c r="D948" s="41">
        <v>16150</v>
      </c>
      <c r="E948" s="140">
        <f t="shared" si="224"/>
        <v>23910</v>
      </c>
      <c r="F948" s="21">
        <f t="shared" si="242"/>
        <v>28931.1</v>
      </c>
      <c r="G948" s="21"/>
      <c r="H948" s="135">
        <f t="shared" si="243"/>
        <v>0</v>
      </c>
      <c r="I948" s="294">
        <v>45254</v>
      </c>
      <c r="J948" s="40"/>
      <c r="K948" s="10">
        <f>+PROVEEDORES!$D$38*18.01</f>
        <v>15938.850000000002</v>
      </c>
      <c r="L948" s="11"/>
      <c r="M948" s="11"/>
      <c r="N948" s="100"/>
      <c r="O948" s="11">
        <f t="shared" si="232"/>
        <v>15938.850000000002</v>
      </c>
      <c r="P948" s="11">
        <f t="shared" si="233"/>
        <v>15938.850000000002</v>
      </c>
      <c r="Q948" s="11">
        <v>1.5</v>
      </c>
      <c r="R948" s="11">
        <f t="shared" si="234"/>
        <v>23908.275000000001</v>
      </c>
      <c r="S948" s="11"/>
      <c r="T948" s="136">
        <f t="shared" si="241"/>
        <v>0</v>
      </c>
    </row>
    <row r="949" spans="1:20" ht="15.75" customHeight="1">
      <c r="A949" s="149">
        <v>50</v>
      </c>
      <c r="B949" s="273"/>
      <c r="C949" s="28" t="s">
        <v>1503</v>
      </c>
      <c r="D949" s="41">
        <v>30</v>
      </c>
      <c r="E949" s="139">
        <f t="shared" si="224"/>
        <v>400</v>
      </c>
      <c r="F949" s="21">
        <f t="shared" si="242"/>
        <v>484</v>
      </c>
      <c r="G949" s="21"/>
      <c r="H949" s="135">
        <f t="shared" si="243"/>
        <v>0</v>
      </c>
      <c r="I949" s="294">
        <v>45275</v>
      </c>
      <c r="J949" s="294">
        <v>45385</v>
      </c>
      <c r="K949" s="43">
        <f>200*1</f>
        <v>200</v>
      </c>
      <c r="L949" s="11"/>
      <c r="M949" s="11"/>
      <c r="N949" s="171"/>
      <c r="O949" s="11">
        <f t="shared" si="232"/>
        <v>200</v>
      </c>
      <c r="P949" s="11">
        <f t="shared" si="233"/>
        <v>200</v>
      </c>
      <c r="Q949" s="11">
        <v>2</v>
      </c>
      <c r="R949" s="11">
        <f t="shared" si="234"/>
        <v>400</v>
      </c>
      <c r="S949" s="11"/>
      <c r="T949" s="136">
        <f t="shared" si="241"/>
        <v>0</v>
      </c>
    </row>
    <row r="950" spans="1:20" ht="15.75" customHeight="1">
      <c r="A950" s="149"/>
      <c r="B950" s="273"/>
      <c r="C950" s="28" t="s">
        <v>1504</v>
      </c>
      <c r="D950" s="41">
        <v>1050</v>
      </c>
      <c r="E950" s="131">
        <f t="shared" si="224"/>
        <v>0</v>
      </c>
      <c r="F950" s="21">
        <f t="shared" si="242"/>
        <v>0</v>
      </c>
      <c r="G950" s="21"/>
      <c r="H950" s="135">
        <f t="shared" si="243"/>
        <v>0</v>
      </c>
      <c r="I950" s="294">
        <v>43662</v>
      </c>
      <c r="J950" s="294"/>
      <c r="K950" s="10">
        <f>703*1.5</f>
        <v>1054.5</v>
      </c>
      <c r="L950" s="11"/>
      <c r="M950" s="11"/>
      <c r="N950" s="100"/>
      <c r="O950" s="11">
        <f t="shared" si="232"/>
        <v>1054.5</v>
      </c>
      <c r="P950" s="11">
        <f t="shared" si="233"/>
        <v>1054.5</v>
      </c>
      <c r="Q950" s="11"/>
      <c r="R950" s="11">
        <f t="shared" si="234"/>
        <v>0</v>
      </c>
      <c r="S950" s="11"/>
      <c r="T950" s="136">
        <f t="shared" si="241"/>
        <v>0</v>
      </c>
    </row>
    <row r="951" spans="1:20" ht="15.75" customHeight="1">
      <c r="A951" s="149"/>
      <c r="B951" s="273"/>
      <c r="C951" s="28" t="s">
        <v>3731</v>
      </c>
      <c r="D951" s="41">
        <v>110</v>
      </c>
      <c r="E951" s="131">
        <f t="shared" si="224"/>
        <v>4410</v>
      </c>
      <c r="F951" s="21">
        <f t="shared" ref="F951:F977" si="244">+E951*1.21</f>
        <v>5336.0999999999995</v>
      </c>
      <c r="G951" s="21"/>
      <c r="H951" s="135">
        <f t="shared" si="243"/>
        <v>0</v>
      </c>
      <c r="I951" s="294"/>
      <c r="J951" s="294">
        <v>44622</v>
      </c>
      <c r="K951" s="10">
        <f>918*3</f>
        <v>2754</v>
      </c>
      <c r="L951" s="11"/>
      <c r="M951" s="11"/>
      <c r="N951" s="100"/>
      <c r="O951" s="11">
        <f>MIN(K951:M951)*'AUMENTOS %'!$B$9</f>
        <v>2754</v>
      </c>
      <c r="P951" s="11">
        <f t="shared" si="233"/>
        <v>2754</v>
      </c>
      <c r="Q951" s="11">
        <v>1.6</v>
      </c>
      <c r="R951" s="11">
        <f t="shared" si="234"/>
        <v>4406.4000000000005</v>
      </c>
      <c r="S951" s="11"/>
      <c r="T951" s="136">
        <f t="shared" si="241"/>
        <v>0</v>
      </c>
    </row>
    <row r="952" spans="1:20" ht="15.75" customHeight="1">
      <c r="A952" s="149"/>
      <c r="B952" s="273"/>
      <c r="C952" s="28" t="s">
        <v>1505</v>
      </c>
      <c r="D952" s="41">
        <v>50</v>
      </c>
      <c r="E952" s="131">
        <f t="shared" si="224"/>
        <v>0</v>
      </c>
      <c r="F952" s="21">
        <f t="shared" si="244"/>
        <v>0</v>
      </c>
      <c r="G952" s="21"/>
      <c r="H952" s="135">
        <f t="shared" si="243"/>
        <v>0</v>
      </c>
      <c r="I952" s="294"/>
      <c r="J952" s="294">
        <v>42852</v>
      </c>
      <c r="K952" s="10">
        <f>26*2</f>
        <v>52</v>
      </c>
      <c r="L952" s="11"/>
      <c r="M952" s="11"/>
      <c r="N952" s="100"/>
      <c r="O952" s="11">
        <f t="shared" si="232"/>
        <v>52</v>
      </c>
      <c r="P952" s="11">
        <f t="shared" si="233"/>
        <v>52</v>
      </c>
      <c r="Q952" s="11"/>
      <c r="R952" s="11">
        <f t="shared" si="234"/>
        <v>0</v>
      </c>
      <c r="S952" s="11"/>
      <c r="T952" s="136">
        <f t="shared" si="241"/>
        <v>0</v>
      </c>
    </row>
    <row r="953" spans="1:20" ht="15.75" customHeight="1">
      <c r="A953" s="149">
        <v>41</v>
      </c>
      <c r="B953" s="273"/>
      <c r="C953" s="28" t="s">
        <v>3429</v>
      </c>
      <c r="D953" s="41">
        <v>320</v>
      </c>
      <c r="E953" s="132">
        <f t="shared" si="224"/>
        <v>36380</v>
      </c>
      <c r="F953" s="21">
        <f t="shared" si="244"/>
        <v>44019.799999999996</v>
      </c>
      <c r="G953" s="21"/>
      <c r="H953" s="135">
        <f t="shared" si="243"/>
        <v>0</v>
      </c>
      <c r="I953" s="294"/>
      <c r="J953" s="294">
        <v>44392</v>
      </c>
      <c r="K953" s="10">
        <f>+PROVEEDORES!D35*20</f>
        <v>21400</v>
      </c>
      <c r="L953" s="11"/>
      <c r="M953" s="11"/>
      <c r="N953" s="100"/>
      <c r="O953" s="11">
        <f t="shared" si="232"/>
        <v>21400</v>
      </c>
      <c r="P953" s="11">
        <f t="shared" si="233"/>
        <v>21400</v>
      </c>
      <c r="Q953" s="11">
        <v>1.7</v>
      </c>
      <c r="R953" s="11">
        <f t="shared" si="234"/>
        <v>36380</v>
      </c>
      <c r="S953" s="11"/>
      <c r="T953" s="136">
        <f t="shared" si="241"/>
        <v>0</v>
      </c>
    </row>
    <row r="954" spans="1:20" ht="15.75" customHeight="1">
      <c r="A954" s="149">
        <v>44</v>
      </c>
      <c r="B954" s="273"/>
      <c r="C954" s="28" t="s">
        <v>3819</v>
      </c>
      <c r="D954" s="41"/>
      <c r="E954" s="140">
        <f t="shared" si="224"/>
        <v>0</v>
      </c>
      <c r="F954" s="21">
        <f t="shared" si="244"/>
        <v>0</v>
      </c>
      <c r="G954" s="21"/>
      <c r="H954" s="135">
        <f t="shared" si="243"/>
        <v>0</v>
      </c>
      <c r="I954" s="294"/>
      <c r="J954" s="294"/>
      <c r="K954" s="10">
        <v>1200</v>
      </c>
      <c r="L954" s="11"/>
      <c r="M954" s="11"/>
      <c r="N954" s="100"/>
      <c r="O954" s="11">
        <f t="shared" si="232"/>
        <v>1200</v>
      </c>
      <c r="P954" s="11">
        <f t="shared" si="233"/>
        <v>1200</v>
      </c>
      <c r="Q954" s="11"/>
      <c r="R954" s="11">
        <f t="shared" si="234"/>
        <v>0</v>
      </c>
      <c r="S954" s="11"/>
      <c r="T954" s="136">
        <f t="shared" si="241"/>
        <v>0</v>
      </c>
    </row>
    <row r="955" spans="1:20" ht="15.75" customHeight="1">
      <c r="A955" s="149">
        <v>25</v>
      </c>
      <c r="B955" s="273"/>
      <c r="C955" s="28" t="s">
        <v>1506</v>
      </c>
      <c r="D955" s="41">
        <v>1870</v>
      </c>
      <c r="E955" s="131">
        <f t="shared" si="224"/>
        <v>67230</v>
      </c>
      <c r="F955" s="21">
        <f t="shared" si="244"/>
        <v>81348.3</v>
      </c>
      <c r="G955" s="21"/>
      <c r="H955" s="135">
        <f t="shared" si="243"/>
        <v>0</v>
      </c>
      <c r="I955" s="294"/>
      <c r="J955" s="294">
        <v>45078</v>
      </c>
      <c r="K955" s="10">
        <f>24900*1.8</f>
        <v>44820</v>
      </c>
      <c r="L955" s="11"/>
      <c r="M955" s="11"/>
      <c r="N955" s="100"/>
      <c r="O955" s="11">
        <f t="shared" si="232"/>
        <v>44820</v>
      </c>
      <c r="P955" s="11">
        <f t="shared" si="233"/>
        <v>44820</v>
      </c>
      <c r="Q955" s="11">
        <v>1.5</v>
      </c>
      <c r="R955" s="11">
        <f t="shared" si="234"/>
        <v>67230</v>
      </c>
      <c r="S955" s="11"/>
      <c r="T955" s="136">
        <f t="shared" si="241"/>
        <v>0</v>
      </c>
    </row>
    <row r="956" spans="1:20" ht="15.75" customHeight="1">
      <c r="A956" s="149">
        <v>25</v>
      </c>
      <c r="B956" s="273"/>
      <c r="C956" s="28" t="s">
        <v>1507</v>
      </c>
      <c r="D956" s="41">
        <v>2550</v>
      </c>
      <c r="E956" s="131">
        <f t="shared" si="224"/>
        <v>0</v>
      </c>
      <c r="F956" s="21">
        <f t="shared" si="244"/>
        <v>0</v>
      </c>
      <c r="G956" s="21"/>
      <c r="H956" s="135">
        <f t="shared" si="243"/>
        <v>0</v>
      </c>
      <c r="I956" s="294">
        <v>43356</v>
      </c>
      <c r="J956" s="294"/>
      <c r="K956" s="10">
        <f>1696*1.5</f>
        <v>2544</v>
      </c>
      <c r="L956" s="11"/>
      <c r="M956" s="11"/>
      <c r="N956" s="100"/>
      <c r="O956" s="11">
        <f t="shared" si="232"/>
        <v>2544</v>
      </c>
      <c r="P956" s="11">
        <f t="shared" si="233"/>
        <v>2544</v>
      </c>
      <c r="Q956" s="11"/>
      <c r="R956" s="11">
        <f t="shared" si="234"/>
        <v>0</v>
      </c>
      <c r="S956" s="11"/>
      <c r="T956" s="136">
        <f t="shared" si="241"/>
        <v>0</v>
      </c>
    </row>
    <row r="957" spans="1:20" ht="15.75" customHeight="1">
      <c r="A957" s="149">
        <v>25</v>
      </c>
      <c r="B957" s="273"/>
      <c r="C957" s="28" t="s">
        <v>1508</v>
      </c>
      <c r="D957" s="41">
        <v>3800</v>
      </c>
      <c r="E957" s="131">
        <f t="shared" si="224"/>
        <v>0</v>
      </c>
      <c r="F957" s="21">
        <f t="shared" si="244"/>
        <v>0</v>
      </c>
      <c r="G957" s="21"/>
      <c r="H957" s="135">
        <f t="shared" si="243"/>
        <v>0</v>
      </c>
      <c r="I957" s="294">
        <v>43356</v>
      </c>
      <c r="J957" s="294"/>
      <c r="K957" s="10">
        <f>2537*1.5*1.45</f>
        <v>5517.9749999999995</v>
      </c>
      <c r="L957" s="11"/>
      <c r="M957" s="11"/>
      <c r="N957" s="100"/>
      <c r="O957" s="11">
        <f t="shared" si="232"/>
        <v>5517.9749999999995</v>
      </c>
      <c r="P957" s="11">
        <f t="shared" si="233"/>
        <v>5517.9749999999995</v>
      </c>
      <c r="Q957" s="11"/>
      <c r="R957" s="11">
        <f t="shared" si="234"/>
        <v>0</v>
      </c>
      <c r="S957" s="11"/>
      <c r="T957" s="136">
        <f t="shared" si="241"/>
        <v>0</v>
      </c>
    </row>
    <row r="958" spans="1:20" ht="15.75" customHeight="1">
      <c r="A958" s="149">
        <v>20</v>
      </c>
      <c r="B958" s="273"/>
      <c r="C958" s="28" t="s">
        <v>1509</v>
      </c>
      <c r="D958" s="41">
        <v>3290</v>
      </c>
      <c r="E958" s="131">
        <f t="shared" si="224"/>
        <v>0</v>
      </c>
      <c r="F958" s="21">
        <f t="shared" si="244"/>
        <v>0</v>
      </c>
      <c r="G958" s="21"/>
      <c r="H958" s="135">
        <f t="shared" si="243"/>
        <v>0</v>
      </c>
      <c r="I958" s="294"/>
      <c r="J958" s="294">
        <v>43627</v>
      </c>
      <c r="K958" s="10">
        <f>2273*1.45</f>
        <v>3295.85</v>
      </c>
      <c r="L958" s="11"/>
      <c r="M958" s="11"/>
      <c r="N958" s="100"/>
      <c r="O958" s="11">
        <f t="shared" si="232"/>
        <v>3295.85</v>
      </c>
      <c r="P958" s="11">
        <f t="shared" si="233"/>
        <v>3295.85</v>
      </c>
      <c r="Q958" s="11"/>
      <c r="R958" s="11">
        <f t="shared" si="234"/>
        <v>0</v>
      </c>
      <c r="S958" s="11"/>
      <c r="T958" s="136">
        <f t="shared" si="241"/>
        <v>0</v>
      </c>
    </row>
    <row r="959" spans="1:20" ht="15.75" customHeight="1">
      <c r="A959" s="149" t="s">
        <v>62603</v>
      </c>
      <c r="B959" s="273"/>
      <c r="C959" s="28" t="s">
        <v>3889</v>
      </c>
      <c r="D959" s="41">
        <v>570</v>
      </c>
      <c r="E959" s="131">
        <f t="shared" si="224"/>
        <v>18260</v>
      </c>
      <c r="F959" s="21">
        <f t="shared" si="244"/>
        <v>22094.6</v>
      </c>
      <c r="G959" s="21"/>
      <c r="H959" s="135">
        <f t="shared" si="243"/>
        <v>0</v>
      </c>
      <c r="I959" s="294">
        <v>45156</v>
      </c>
      <c r="J959" s="294">
        <v>45329</v>
      </c>
      <c r="K959" s="11">
        <f>0.8*0.94*17783</f>
        <v>13372.816000000001</v>
      </c>
      <c r="L959" s="11">
        <f>0.92*12402</f>
        <v>11409.84</v>
      </c>
      <c r="M959" s="11"/>
      <c r="N959" s="100"/>
      <c r="O959" s="11">
        <f t="shared" si="232"/>
        <v>11409.84</v>
      </c>
      <c r="P959" s="11">
        <f t="shared" si="233"/>
        <v>11409.84</v>
      </c>
      <c r="Q959" s="11">
        <v>1.6</v>
      </c>
      <c r="R959" s="11">
        <f t="shared" si="234"/>
        <v>18255.744000000002</v>
      </c>
      <c r="S959" s="11"/>
      <c r="T959" s="136">
        <f t="shared" si="241"/>
        <v>0</v>
      </c>
    </row>
    <row r="960" spans="1:20" ht="15.75" customHeight="1">
      <c r="A960" s="149" t="s">
        <v>62603</v>
      </c>
      <c r="B960" s="273"/>
      <c r="C960" s="28" t="s">
        <v>3887</v>
      </c>
      <c r="D960" s="41">
        <v>390</v>
      </c>
      <c r="E960" s="131">
        <f t="shared" si="224"/>
        <v>14850</v>
      </c>
      <c r="F960" s="21">
        <f t="shared" si="244"/>
        <v>17968.5</v>
      </c>
      <c r="G960" s="21"/>
      <c r="H960" s="135">
        <f t="shared" si="243"/>
        <v>0</v>
      </c>
      <c r="I960" s="294">
        <v>45156</v>
      </c>
      <c r="J960" s="294">
        <v>45329</v>
      </c>
      <c r="K960" s="11">
        <f>0.8*0.94*12340</f>
        <v>9279.68</v>
      </c>
      <c r="L960" s="11">
        <f>0.92*8605*2</f>
        <v>15833.2</v>
      </c>
      <c r="M960" s="32"/>
      <c r="N960" s="100"/>
      <c r="O960" s="11">
        <f t="shared" si="232"/>
        <v>9279.68</v>
      </c>
      <c r="P960" s="11">
        <f t="shared" si="233"/>
        <v>9279.68</v>
      </c>
      <c r="Q960" s="11">
        <v>1.6</v>
      </c>
      <c r="R960" s="11">
        <f t="shared" si="234"/>
        <v>14847.488000000001</v>
      </c>
      <c r="S960" s="11"/>
      <c r="T960" s="136">
        <f t="shared" si="241"/>
        <v>0</v>
      </c>
    </row>
    <row r="961" spans="1:20" ht="15.75" customHeight="1">
      <c r="A961" s="149" t="s">
        <v>62603</v>
      </c>
      <c r="B961" s="273"/>
      <c r="C961" s="28" t="s">
        <v>3888</v>
      </c>
      <c r="D961" s="41">
        <v>350</v>
      </c>
      <c r="E961" s="131">
        <f t="shared" si="224"/>
        <v>13330</v>
      </c>
      <c r="F961" s="21">
        <f t="shared" si="244"/>
        <v>16129.3</v>
      </c>
      <c r="G961" s="21"/>
      <c r="H961" s="135">
        <f t="shared" si="243"/>
        <v>0</v>
      </c>
      <c r="I961" s="294">
        <v>45156</v>
      </c>
      <c r="J961" s="294">
        <v>45329</v>
      </c>
      <c r="K961" s="11">
        <f>0.8*0.94*11073</f>
        <v>8326.8960000000006</v>
      </c>
      <c r="L961" s="11">
        <f>0.92*7722*2</f>
        <v>14208.480000000001</v>
      </c>
      <c r="M961" s="32"/>
      <c r="N961" s="100"/>
      <c r="O961" s="11">
        <f t="shared" si="232"/>
        <v>8326.8960000000006</v>
      </c>
      <c r="P961" s="11">
        <f t="shared" si="233"/>
        <v>8326.8960000000006</v>
      </c>
      <c r="Q961" s="11">
        <v>1.6</v>
      </c>
      <c r="R961" s="11">
        <f t="shared" si="234"/>
        <v>13323.033600000002</v>
      </c>
      <c r="S961" s="11"/>
      <c r="T961" s="136">
        <f t="shared" si="241"/>
        <v>0</v>
      </c>
    </row>
    <row r="962" spans="1:20" ht="15.75" customHeight="1">
      <c r="A962" s="149" t="s">
        <v>44322</v>
      </c>
      <c r="B962" s="273"/>
      <c r="C962" s="28" t="s">
        <v>62602</v>
      </c>
      <c r="D962" s="41"/>
      <c r="E962" s="131">
        <f>ROUNDUP(R962,-1)</f>
        <v>15980</v>
      </c>
      <c r="F962" s="21">
        <f>+E962*1.21</f>
        <v>19335.8</v>
      </c>
      <c r="G962" s="21"/>
      <c r="H962" s="135">
        <f>ROUNDUP(T962,-1)</f>
        <v>0</v>
      </c>
      <c r="I962" s="294">
        <v>44802</v>
      </c>
      <c r="J962" s="294">
        <v>45329</v>
      </c>
      <c r="K962" s="11">
        <f>0.8*0.94*13280</f>
        <v>9986.56</v>
      </c>
      <c r="L962" s="11">
        <f>0.92*9522*2</f>
        <v>17520.48</v>
      </c>
      <c r="M962" s="32"/>
      <c r="N962" s="100"/>
      <c r="O962" s="11">
        <f>MIN(K962:M962)</f>
        <v>9986.56</v>
      </c>
      <c r="P962" s="11">
        <f>+O962</f>
        <v>9986.56</v>
      </c>
      <c r="Q962" s="11">
        <v>1.6</v>
      </c>
      <c r="R962" s="11">
        <f>+P962*Q962</f>
        <v>15978.495999999999</v>
      </c>
      <c r="S962" s="11"/>
      <c r="T962" s="136">
        <f>+N962*Q962</f>
        <v>0</v>
      </c>
    </row>
    <row r="963" spans="1:20" ht="15.75" customHeight="1">
      <c r="A963" s="149" t="s">
        <v>44322</v>
      </c>
      <c r="B963" s="273"/>
      <c r="C963" s="28" t="s">
        <v>3891</v>
      </c>
      <c r="D963" s="41"/>
      <c r="E963" s="131">
        <f t="shared" si="224"/>
        <v>11740</v>
      </c>
      <c r="F963" s="21">
        <f t="shared" si="244"/>
        <v>14205.4</v>
      </c>
      <c r="G963" s="21"/>
      <c r="H963" s="135">
        <f t="shared" si="243"/>
        <v>0</v>
      </c>
      <c r="I963" s="294">
        <v>44802</v>
      </c>
      <c r="J963" s="294">
        <v>45329</v>
      </c>
      <c r="K963" s="11">
        <f>0.8*0.94*9755</f>
        <v>7335.76</v>
      </c>
      <c r="L963" s="11">
        <f>0.92*6996*2</f>
        <v>12872.640000000001</v>
      </c>
      <c r="M963" s="32"/>
      <c r="N963" s="100"/>
      <c r="O963" s="11">
        <f t="shared" si="232"/>
        <v>7335.76</v>
      </c>
      <c r="P963" s="11">
        <f t="shared" si="233"/>
        <v>7335.76</v>
      </c>
      <c r="Q963" s="11">
        <v>1.6</v>
      </c>
      <c r="R963" s="11">
        <f t="shared" si="234"/>
        <v>11737.216</v>
      </c>
      <c r="S963" s="11"/>
      <c r="T963" s="136">
        <f t="shared" si="241"/>
        <v>0</v>
      </c>
    </row>
    <row r="964" spans="1:20" ht="15.75" customHeight="1">
      <c r="A964" s="149" t="s">
        <v>44322</v>
      </c>
      <c r="B964" s="273"/>
      <c r="C964" s="28" t="s">
        <v>3890</v>
      </c>
      <c r="D964" s="41"/>
      <c r="E964" s="131">
        <f t="shared" si="224"/>
        <v>9240</v>
      </c>
      <c r="F964" s="21">
        <f t="shared" si="244"/>
        <v>11180.4</v>
      </c>
      <c r="G964" s="21"/>
      <c r="H964" s="135">
        <f t="shared" si="243"/>
        <v>0</v>
      </c>
      <c r="I964" s="294">
        <v>44802</v>
      </c>
      <c r="J964" s="294">
        <v>45329</v>
      </c>
      <c r="K964" s="11">
        <f>0.92*6275</f>
        <v>5773</v>
      </c>
      <c r="L964" s="11"/>
      <c r="M964" s="32"/>
      <c r="N964" s="34"/>
      <c r="O964" s="11">
        <f t="shared" si="232"/>
        <v>5773</v>
      </c>
      <c r="P964" s="11">
        <f t="shared" si="233"/>
        <v>5773</v>
      </c>
      <c r="Q964" s="11">
        <v>1.6</v>
      </c>
      <c r="R964" s="11">
        <f t="shared" si="234"/>
        <v>9236.8000000000011</v>
      </c>
      <c r="S964" s="11"/>
      <c r="T964" s="136">
        <f t="shared" si="241"/>
        <v>0</v>
      </c>
    </row>
    <row r="965" spans="1:20" ht="15.75" customHeight="1">
      <c r="A965" s="149" t="s">
        <v>44322</v>
      </c>
      <c r="B965" s="273"/>
      <c r="C965" s="28" t="s">
        <v>4400</v>
      </c>
      <c r="D965" s="41"/>
      <c r="E965" s="131">
        <f t="shared" si="224"/>
        <v>9430</v>
      </c>
      <c r="F965" s="21">
        <f t="shared" si="244"/>
        <v>11410.3</v>
      </c>
      <c r="G965" s="21"/>
      <c r="H965" s="135">
        <f t="shared" si="243"/>
        <v>0</v>
      </c>
      <c r="I965" s="294">
        <v>44802</v>
      </c>
      <c r="J965" s="294">
        <v>45329</v>
      </c>
      <c r="K965" s="11">
        <f>0.92*6400</f>
        <v>5888</v>
      </c>
      <c r="L965" s="11"/>
      <c r="M965" s="32"/>
      <c r="N965" s="34"/>
      <c r="O965" s="11">
        <f t="shared" si="232"/>
        <v>5888</v>
      </c>
      <c r="P965" s="11">
        <f t="shared" si="233"/>
        <v>5888</v>
      </c>
      <c r="Q965" s="11">
        <v>1.6</v>
      </c>
      <c r="R965" s="11">
        <f t="shared" si="234"/>
        <v>9420.8000000000011</v>
      </c>
      <c r="S965" s="11"/>
      <c r="T965" s="136">
        <f t="shared" si="241"/>
        <v>0</v>
      </c>
    </row>
    <row r="966" spans="1:20" ht="15.75" customHeight="1">
      <c r="A966" s="149"/>
      <c r="B966" s="273"/>
      <c r="C966" s="28" t="s">
        <v>2084</v>
      </c>
      <c r="D966" s="41">
        <v>8500</v>
      </c>
      <c r="E966" s="131">
        <f t="shared" si="224"/>
        <v>0</v>
      </c>
      <c r="F966" s="21">
        <f t="shared" si="244"/>
        <v>0</v>
      </c>
      <c r="G966" s="21"/>
      <c r="H966" s="135">
        <f t="shared" si="243"/>
        <v>0</v>
      </c>
      <c r="I966" s="294">
        <v>43714</v>
      </c>
      <c r="J966" s="40"/>
      <c r="K966" s="11">
        <f>5664*1.5</f>
        <v>8496</v>
      </c>
      <c r="L966" s="11"/>
      <c r="M966" s="32"/>
      <c r="N966" s="100"/>
      <c r="O966" s="11">
        <f t="shared" si="232"/>
        <v>8496</v>
      </c>
      <c r="P966" s="11">
        <f t="shared" si="233"/>
        <v>8496</v>
      </c>
      <c r="Q966" s="11"/>
      <c r="R966" s="11">
        <f t="shared" si="234"/>
        <v>0</v>
      </c>
      <c r="S966" s="11"/>
      <c r="T966" s="136">
        <f t="shared" si="241"/>
        <v>0</v>
      </c>
    </row>
    <row r="967" spans="1:20" ht="15.75" customHeight="1">
      <c r="A967" s="149">
        <v>18</v>
      </c>
      <c r="B967" s="273"/>
      <c r="C967" s="28" t="s">
        <v>2944</v>
      </c>
      <c r="D967" s="41">
        <v>1370</v>
      </c>
      <c r="E967" s="131">
        <f t="shared" si="224"/>
        <v>59320</v>
      </c>
      <c r="F967" s="21">
        <f t="shared" si="244"/>
        <v>71777.2</v>
      </c>
      <c r="G967" s="21"/>
      <c r="H967" s="135">
        <f t="shared" si="243"/>
        <v>0</v>
      </c>
      <c r="I967" s="23">
        <v>45323</v>
      </c>
      <c r="J967" s="40"/>
      <c r="K967" s="10">
        <f>0.8*0.94*0.98*50307</f>
        <v>37074.246719999996</v>
      </c>
      <c r="L967" s="11"/>
      <c r="M967" s="11"/>
      <c r="N967" s="100"/>
      <c r="O967" s="11">
        <f t="shared" si="232"/>
        <v>37074.246719999996</v>
      </c>
      <c r="P967" s="11">
        <f>+O967*'AUMENTOS %'!$B$5</f>
        <v>37074.246719999996</v>
      </c>
      <c r="Q967" s="11">
        <v>1.6</v>
      </c>
      <c r="R967" s="11">
        <f t="shared" si="234"/>
        <v>59318.794751999994</v>
      </c>
      <c r="S967" s="11"/>
      <c r="T967" s="136">
        <f t="shared" si="241"/>
        <v>0</v>
      </c>
    </row>
    <row r="968" spans="1:20" ht="15.75" customHeight="1">
      <c r="A968" s="149"/>
      <c r="B968" s="273"/>
      <c r="C968" s="28" t="s">
        <v>3784</v>
      </c>
      <c r="D968" s="41">
        <v>1370</v>
      </c>
      <c r="E968" s="131">
        <f t="shared" si="224"/>
        <v>15210</v>
      </c>
      <c r="F968" s="21">
        <f t="shared" si="244"/>
        <v>18404.099999999999</v>
      </c>
      <c r="G968" s="21"/>
      <c r="H968" s="135">
        <f t="shared" si="243"/>
        <v>0</v>
      </c>
      <c r="I968" s="294"/>
      <c r="J968" s="40">
        <v>44720</v>
      </c>
      <c r="K968" s="11">
        <v>9504</v>
      </c>
      <c r="L968" s="11"/>
      <c r="M968" s="11"/>
      <c r="N968" s="100"/>
      <c r="O968" s="11">
        <f>MIN(K968:M968)*'AUMENTOS %'!$B$9</f>
        <v>9504</v>
      </c>
      <c r="P968" s="11">
        <f t="shared" si="233"/>
        <v>9504</v>
      </c>
      <c r="Q968" s="11">
        <v>1.6</v>
      </c>
      <c r="R968" s="11">
        <f t="shared" si="234"/>
        <v>15206.400000000001</v>
      </c>
      <c r="S968" s="11"/>
      <c r="T968" s="136">
        <f t="shared" si="241"/>
        <v>0</v>
      </c>
    </row>
    <row r="969" spans="1:20" ht="15.75" customHeight="1">
      <c r="A969" s="149">
        <v>12</v>
      </c>
      <c r="B969" s="273"/>
      <c r="C969" s="28" t="s">
        <v>1510</v>
      </c>
      <c r="D969" s="41">
        <v>2880</v>
      </c>
      <c r="E969" s="131">
        <f t="shared" si="224"/>
        <v>0</v>
      </c>
      <c r="F969" s="21">
        <f t="shared" si="244"/>
        <v>0</v>
      </c>
      <c r="G969" s="21"/>
      <c r="H969" s="135">
        <f t="shared" si="243"/>
        <v>0</v>
      </c>
      <c r="I969" s="294">
        <v>44774</v>
      </c>
      <c r="J969" s="40"/>
      <c r="K969" s="11">
        <f>13082*1.2</f>
        <v>15698.4</v>
      </c>
      <c r="L969" s="11"/>
      <c r="M969" s="11"/>
      <c r="N969" s="100"/>
      <c r="O969" s="11">
        <f t="shared" si="232"/>
        <v>15698.4</v>
      </c>
      <c r="P969" s="11">
        <f t="shared" si="233"/>
        <v>15698.4</v>
      </c>
      <c r="Q969" s="11"/>
      <c r="R969" s="11">
        <f t="shared" si="234"/>
        <v>0</v>
      </c>
      <c r="S969" s="11"/>
      <c r="T969" s="136">
        <f t="shared" si="241"/>
        <v>0</v>
      </c>
    </row>
    <row r="970" spans="1:20" ht="15.75" customHeight="1">
      <c r="A970" s="149"/>
      <c r="B970" s="273"/>
      <c r="C970" s="28" t="s">
        <v>3450</v>
      </c>
      <c r="D970" s="41">
        <v>2230</v>
      </c>
      <c r="E970" s="131">
        <f t="shared" si="224"/>
        <v>83580</v>
      </c>
      <c r="F970" s="21">
        <f t="shared" si="244"/>
        <v>101131.8</v>
      </c>
      <c r="G970" s="21"/>
      <c r="H970" s="135">
        <f t="shared" si="243"/>
        <v>0</v>
      </c>
      <c r="I970" s="294">
        <v>45377</v>
      </c>
      <c r="J970" s="294"/>
      <c r="K970" s="10">
        <v>52231.4</v>
      </c>
      <c r="L970" s="11"/>
      <c r="M970" s="11"/>
      <c r="N970" s="100"/>
      <c r="O970" s="11">
        <f>MIN(K970:M970)*'AUMENTOS %'!$B$9</f>
        <v>52231.4</v>
      </c>
      <c r="P970" s="11">
        <f t="shared" si="233"/>
        <v>52231.4</v>
      </c>
      <c r="Q970" s="11">
        <v>1.6</v>
      </c>
      <c r="R970" s="11">
        <f t="shared" si="234"/>
        <v>83570.240000000005</v>
      </c>
      <c r="S970" s="11"/>
      <c r="T970" s="136">
        <f t="shared" si="241"/>
        <v>0</v>
      </c>
    </row>
    <row r="971" spans="1:20" ht="15.75" customHeight="1">
      <c r="A971" s="149"/>
      <c r="B971" s="273"/>
      <c r="C971" s="28" t="s">
        <v>44288</v>
      </c>
      <c r="D971" s="41">
        <v>6500</v>
      </c>
      <c r="E971" s="131">
        <f t="shared" si="224"/>
        <v>27010</v>
      </c>
      <c r="F971" s="21">
        <f t="shared" si="244"/>
        <v>32682.1</v>
      </c>
      <c r="G971" s="21"/>
      <c r="H971" s="135">
        <f t="shared" si="243"/>
        <v>0</v>
      </c>
      <c r="I971" s="23">
        <v>45275</v>
      </c>
      <c r="J971" s="294"/>
      <c r="K971" s="10">
        <f>0.8*0.98*0.94*17620*1.3</f>
        <v>16880.805759999999</v>
      </c>
      <c r="L971" s="11"/>
      <c r="M971" s="11"/>
      <c r="N971" s="100"/>
      <c r="O971" s="11">
        <f t="shared" si="232"/>
        <v>16880.805759999999</v>
      </c>
      <c r="P971" s="11">
        <f t="shared" si="233"/>
        <v>16880.805759999999</v>
      </c>
      <c r="Q971" s="11">
        <v>1.6</v>
      </c>
      <c r="R971" s="11">
        <f t="shared" si="234"/>
        <v>27009.289216000001</v>
      </c>
      <c r="S971" s="11"/>
      <c r="T971" s="136">
        <f t="shared" si="241"/>
        <v>0</v>
      </c>
    </row>
    <row r="972" spans="1:20" ht="15.75" customHeight="1">
      <c r="A972" s="149"/>
      <c r="B972" s="273"/>
      <c r="C972" s="28" t="s">
        <v>2185</v>
      </c>
      <c r="D972" s="41">
        <v>9750</v>
      </c>
      <c r="E972" s="131">
        <f t="shared" ref="E972:E1038" si="245">ROUNDUP(R972,-1)</f>
        <v>0</v>
      </c>
      <c r="F972" s="21">
        <f t="shared" si="244"/>
        <v>0</v>
      </c>
      <c r="G972" s="21"/>
      <c r="H972" s="135">
        <f t="shared" si="243"/>
        <v>0</v>
      </c>
      <c r="I972" s="294">
        <v>43846</v>
      </c>
      <c r="J972" s="294"/>
      <c r="K972" s="10">
        <f>6500*1.5</f>
        <v>9750</v>
      </c>
      <c r="L972" s="11"/>
      <c r="M972" s="11"/>
      <c r="N972" s="100"/>
      <c r="O972" s="11">
        <f t="shared" si="232"/>
        <v>9750</v>
      </c>
      <c r="P972" s="11">
        <f t="shared" si="233"/>
        <v>9750</v>
      </c>
      <c r="Q972" s="11"/>
      <c r="R972" s="11">
        <f t="shared" si="234"/>
        <v>0</v>
      </c>
      <c r="S972" s="11"/>
      <c r="T972" s="136">
        <f t="shared" si="241"/>
        <v>0</v>
      </c>
    </row>
    <row r="973" spans="1:20" ht="15.75" customHeight="1">
      <c r="A973" s="149"/>
      <c r="B973" s="273"/>
      <c r="C973" s="28" t="s">
        <v>3732</v>
      </c>
      <c r="D973" s="41"/>
      <c r="E973" s="131">
        <f t="shared" si="245"/>
        <v>550</v>
      </c>
      <c r="F973" s="21">
        <f t="shared" si="244"/>
        <v>665.5</v>
      </c>
      <c r="G973" s="21"/>
      <c r="H973" s="135"/>
      <c r="I973" s="294"/>
      <c r="J973" s="294">
        <v>44642</v>
      </c>
      <c r="K973" s="10">
        <v>338</v>
      </c>
      <c r="L973" s="11"/>
      <c r="M973" s="11"/>
      <c r="N973" s="100"/>
      <c r="O973" s="11">
        <f>MIN(K973:M973)*'AUMENTOS %'!$B$9</f>
        <v>338</v>
      </c>
      <c r="P973" s="11">
        <f t="shared" si="233"/>
        <v>338</v>
      </c>
      <c r="Q973" s="11">
        <v>1.6</v>
      </c>
      <c r="R973" s="11">
        <f t="shared" si="234"/>
        <v>540.80000000000007</v>
      </c>
      <c r="S973" s="11"/>
      <c r="T973" s="136">
        <f t="shared" si="241"/>
        <v>0</v>
      </c>
    </row>
    <row r="974" spans="1:20" ht="15.75" customHeight="1">
      <c r="A974" s="149">
        <v>12</v>
      </c>
      <c r="B974" s="273"/>
      <c r="C974" s="28" t="s">
        <v>44357</v>
      </c>
      <c r="D974" s="41">
        <v>1530</v>
      </c>
      <c r="E974" s="131">
        <f>ROUNDUP(R974,-1)</f>
        <v>25020</v>
      </c>
      <c r="F974" s="21">
        <f>+E974*1.21</f>
        <v>30274.2</v>
      </c>
      <c r="G974" s="21"/>
      <c r="H974" s="135">
        <f>ROUNDUP(T974,-1)</f>
        <v>0</v>
      </c>
      <c r="I974" s="294">
        <v>45314</v>
      </c>
      <c r="J974" s="294">
        <v>45338</v>
      </c>
      <c r="K974" s="10">
        <v>16675</v>
      </c>
      <c r="L974" s="11"/>
      <c r="M974" s="11"/>
      <c r="N974" s="100"/>
      <c r="O974" s="11">
        <f>MIN(K974:M974)</f>
        <v>16675</v>
      </c>
      <c r="P974" s="11">
        <f>+O974</f>
        <v>16675</v>
      </c>
      <c r="Q974" s="11">
        <v>1.5</v>
      </c>
      <c r="R974" s="11">
        <f>+P974*Q974</f>
        <v>25012.5</v>
      </c>
      <c r="S974" s="11"/>
      <c r="T974" s="136">
        <f>+N974*Q974</f>
        <v>0</v>
      </c>
    </row>
    <row r="975" spans="1:20" ht="15.75" customHeight="1">
      <c r="A975" s="149">
        <v>21</v>
      </c>
      <c r="B975" s="273"/>
      <c r="C975" s="28" t="s">
        <v>3931</v>
      </c>
      <c r="D975" s="41">
        <v>1530</v>
      </c>
      <c r="E975" s="131">
        <f t="shared" si="245"/>
        <v>0</v>
      </c>
      <c r="F975" s="21">
        <f t="shared" si="244"/>
        <v>0</v>
      </c>
      <c r="G975" s="21"/>
      <c r="H975" s="135">
        <f t="shared" ref="H975:H1006" si="246">ROUNDUP(T975,-1)</f>
        <v>0</v>
      </c>
      <c r="I975" s="294">
        <v>44889</v>
      </c>
      <c r="J975" s="294"/>
      <c r="K975" s="10">
        <f>0.6*5965</f>
        <v>3579</v>
      </c>
      <c r="L975" s="11"/>
      <c r="M975" s="11"/>
      <c r="N975" s="100"/>
      <c r="O975" s="11">
        <f t="shared" si="232"/>
        <v>3579</v>
      </c>
      <c r="P975" s="11">
        <f t="shared" si="233"/>
        <v>3579</v>
      </c>
      <c r="Q975" s="11"/>
      <c r="R975" s="11">
        <f t="shared" si="234"/>
        <v>0</v>
      </c>
      <c r="S975" s="11"/>
      <c r="T975" s="136">
        <f t="shared" si="241"/>
        <v>0</v>
      </c>
    </row>
    <row r="976" spans="1:20" ht="15.75" customHeight="1">
      <c r="A976" s="149"/>
      <c r="B976" s="273"/>
      <c r="C976" s="28" t="s">
        <v>1511</v>
      </c>
      <c r="D976" s="41">
        <v>1560</v>
      </c>
      <c r="E976" s="131">
        <f t="shared" si="245"/>
        <v>0</v>
      </c>
      <c r="F976" s="21">
        <f t="shared" si="244"/>
        <v>0</v>
      </c>
      <c r="G976" s="21"/>
      <c r="H976" s="135">
        <f t="shared" si="246"/>
        <v>0</v>
      </c>
      <c r="I976" s="294"/>
      <c r="J976" s="294">
        <v>43605</v>
      </c>
      <c r="K976" s="10">
        <f>1483*0.5*1.5*1.4</f>
        <v>1557.1499999999999</v>
      </c>
      <c r="L976" s="11"/>
      <c r="M976" s="11"/>
      <c r="N976" s="100"/>
      <c r="O976" s="11">
        <f t="shared" si="232"/>
        <v>1557.1499999999999</v>
      </c>
      <c r="P976" s="11">
        <f t="shared" si="233"/>
        <v>1557.1499999999999</v>
      </c>
      <c r="Q976" s="11"/>
      <c r="R976" s="11">
        <f t="shared" si="234"/>
        <v>0</v>
      </c>
      <c r="S976" s="11"/>
      <c r="T976" s="136">
        <f t="shared" si="241"/>
        <v>0</v>
      </c>
    </row>
    <row r="977" spans="1:20" ht="15.75" customHeight="1">
      <c r="A977" s="149" t="s">
        <v>2408</v>
      </c>
      <c r="B977" s="273"/>
      <c r="C977" s="28" t="s">
        <v>4077</v>
      </c>
      <c r="D977" s="41">
        <v>2390</v>
      </c>
      <c r="E977" s="131">
        <f t="shared" si="245"/>
        <v>58920</v>
      </c>
      <c r="F977" s="21">
        <f t="shared" si="244"/>
        <v>71293.2</v>
      </c>
      <c r="G977" s="21"/>
      <c r="H977" s="135">
        <f t="shared" si="246"/>
        <v>0</v>
      </c>
      <c r="I977" s="294">
        <v>45273</v>
      </c>
      <c r="J977" s="294"/>
      <c r="K977" s="10">
        <f>0.6*67722</f>
        <v>40633.199999999997</v>
      </c>
      <c r="L977" s="11"/>
      <c r="M977" s="11"/>
      <c r="N977" s="100"/>
      <c r="O977" s="11">
        <f t="shared" si="232"/>
        <v>40633.199999999997</v>
      </c>
      <c r="P977" s="11">
        <f t="shared" si="233"/>
        <v>40633.199999999997</v>
      </c>
      <c r="Q977" s="11">
        <v>1.45</v>
      </c>
      <c r="R977" s="11">
        <f t="shared" si="234"/>
        <v>58918.139999999992</v>
      </c>
      <c r="S977" s="11"/>
      <c r="T977" s="136">
        <f t="shared" si="241"/>
        <v>0</v>
      </c>
    </row>
    <row r="978" spans="1:20" ht="15.75" customHeight="1">
      <c r="A978" s="149" t="s">
        <v>2408</v>
      </c>
      <c r="B978" s="273"/>
      <c r="C978" s="28" t="s">
        <v>2912</v>
      </c>
      <c r="D978" s="41">
        <v>4180</v>
      </c>
      <c r="E978" s="131">
        <f>ROUNDUP(R978,-1)</f>
        <v>131940</v>
      </c>
      <c r="F978" s="21" t="s">
        <v>1248</v>
      </c>
      <c r="G978" s="21">
        <f>+E978*1.105</f>
        <v>145793.70000000001</v>
      </c>
      <c r="H978" s="135">
        <f>ROUNDUP(T978,-1)</f>
        <v>0</v>
      </c>
      <c r="I978" s="294">
        <v>45273</v>
      </c>
      <c r="J978" s="40">
        <v>45329</v>
      </c>
      <c r="K978" s="10">
        <f>0.6*151649</f>
        <v>90989.4</v>
      </c>
      <c r="L978" s="11"/>
      <c r="M978" s="11"/>
      <c r="N978" s="100"/>
      <c r="O978" s="11">
        <f>MIN(K978:M978)</f>
        <v>90989.4</v>
      </c>
      <c r="P978" s="11">
        <f t="shared" si="233"/>
        <v>90989.4</v>
      </c>
      <c r="Q978" s="11">
        <v>1.45</v>
      </c>
      <c r="R978" s="11">
        <f t="shared" si="234"/>
        <v>131934.62999999998</v>
      </c>
      <c r="S978" s="11"/>
      <c r="T978" s="136">
        <f>+N978*Q978</f>
        <v>0</v>
      </c>
    </row>
    <row r="979" spans="1:20" ht="15.75" customHeight="1">
      <c r="A979" s="149" t="s">
        <v>2408</v>
      </c>
      <c r="B979" s="273"/>
      <c r="C979" s="28" t="s">
        <v>2913</v>
      </c>
      <c r="D979" s="41">
        <v>4260</v>
      </c>
      <c r="E979" s="131">
        <f>ROUNDUP(R979,-1)</f>
        <v>133570</v>
      </c>
      <c r="F979" s="21" t="s">
        <v>1248</v>
      </c>
      <c r="G979" s="21">
        <f>+E979*1.105</f>
        <v>147594.85</v>
      </c>
      <c r="H979" s="135">
        <f>ROUNDUP(T979,-1)</f>
        <v>0</v>
      </c>
      <c r="I979" s="294">
        <v>45273</v>
      </c>
      <c r="J979" s="294">
        <v>45329</v>
      </c>
      <c r="K979" s="10">
        <f>0.6*153521</f>
        <v>92112.599999999991</v>
      </c>
      <c r="L979" s="11"/>
      <c r="M979" s="11"/>
      <c r="N979" s="100"/>
      <c r="O979" s="11">
        <f>MIN(K979:M979)</f>
        <v>92112.599999999991</v>
      </c>
      <c r="P979" s="11">
        <f t="shared" si="233"/>
        <v>92112.599999999991</v>
      </c>
      <c r="Q979" s="11">
        <v>1.45</v>
      </c>
      <c r="R979" s="11">
        <f t="shared" si="234"/>
        <v>133563.26999999999</v>
      </c>
      <c r="S979" s="11"/>
      <c r="T979" s="136">
        <f>+N979*Q979</f>
        <v>0</v>
      </c>
    </row>
    <row r="980" spans="1:20" ht="15.75" customHeight="1">
      <c r="A980" s="149" t="s">
        <v>2408</v>
      </c>
      <c r="B980" s="273"/>
      <c r="C980" s="28" t="s">
        <v>3772</v>
      </c>
      <c r="D980" s="41"/>
      <c r="E980" s="131">
        <f t="shared" si="245"/>
        <v>154740</v>
      </c>
      <c r="F980" s="21" t="s">
        <v>1248</v>
      </c>
      <c r="G980" s="21">
        <f t="shared" ref="G980:G985" si="247">+E980*1.105</f>
        <v>170987.7</v>
      </c>
      <c r="H980" s="135">
        <f t="shared" si="246"/>
        <v>0</v>
      </c>
      <c r="I980" s="294">
        <v>45273</v>
      </c>
      <c r="J980" s="294">
        <v>45329</v>
      </c>
      <c r="K980" s="10">
        <f>0.6*177860</f>
        <v>106716</v>
      </c>
      <c r="L980" s="11"/>
      <c r="M980" s="11"/>
      <c r="N980" s="100"/>
      <c r="O980" s="11">
        <f t="shared" si="232"/>
        <v>106716</v>
      </c>
      <c r="P980" s="11">
        <f t="shared" si="233"/>
        <v>106716</v>
      </c>
      <c r="Q980" s="11">
        <v>1.45</v>
      </c>
      <c r="R980" s="11">
        <f t="shared" si="234"/>
        <v>154738.19999999998</v>
      </c>
      <c r="S980" s="11"/>
      <c r="T980" s="136">
        <f t="shared" si="241"/>
        <v>0</v>
      </c>
    </row>
    <row r="981" spans="1:20" ht="15.75" customHeight="1">
      <c r="A981" s="149" t="s">
        <v>2408</v>
      </c>
      <c r="B981" s="273"/>
      <c r="C981" s="28" t="s">
        <v>2914</v>
      </c>
      <c r="D981" s="41">
        <v>5200</v>
      </c>
      <c r="E981" s="131">
        <f t="shared" si="245"/>
        <v>164520</v>
      </c>
      <c r="F981" s="21" t="s">
        <v>1248</v>
      </c>
      <c r="G981" s="21">
        <f t="shared" si="247"/>
        <v>181794.6</v>
      </c>
      <c r="H981" s="135">
        <f t="shared" si="246"/>
        <v>0</v>
      </c>
      <c r="I981" s="294">
        <v>45273</v>
      </c>
      <c r="J981" s="294">
        <v>45329</v>
      </c>
      <c r="K981" s="10">
        <f>0.6*189093</f>
        <v>113455.8</v>
      </c>
      <c r="L981" s="11"/>
      <c r="M981" s="11"/>
      <c r="N981" s="100"/>
      <c r="O981" s="11">
        <f t="shared" si="232"/>
        <v>113455.8</v>
      </c>
      <c r="P981" s="11">
        <f t="shared" si="233"/>
        <v>113455.8</v>
      </c>
      <c r="Q981" s="11">
        <v>1.45</v>
      </c>
      <c r="R981" s="11">
        <f t="shared" si="234"/>
        <v>164510.91</v>
      </c>
      <c r="S981" s="11"/>
      <c r="T981" s="136">
        <f t="shared" si="241"/>
        <v>0</v>
      </c>
    </row>
    <row r="982" spans="1:20" ht="15.75" customHeight="1">
      <c r="A982" s="149">
        <v>45</v>
      </c>
      <c r="B982" s="273"/>
      <c r="C982" s="28" t="s">
        <v>1512</v>
      </c>
      <c r="D982" s="41">
        <v>3090</v>
      </c>
      <c r="E982" s="131">
        <f t="shared" si="245"/>
        <v>0</v>
      </c>
      <c r="F982" s="21" t="s">
        <v>1248</v>
      </c>
      <c r="G982" s="21">
        <f t="shared" si="247"/>
        <v>0</v>
      </c>
      <c r="H982" s="135">
        <f t="shared" si="246"/>
        <v>0</v>
      </c>
      <c r="I982" s="294">
        <v>43521</v>
      </c>
      <c r="J982" s="294">
        <v>44531</v>
      </c>
      <c r="K982" s="11">
        <f>52*41*1.45</f>
        <v>3091.4</v>
      </c>
      <c r="L982" s="10"/>
      <c r="M982" s="10"/>
      <c r="N982" s="100"/>
      <c r="O982" s="11">
        <f t="shared" si="232"/>
        <v>3091.4</v>
      </c>
      <c r="P982" s="11">
        <f t="shared" si="233"/>
        <v>3091.4</v>
      </c>
      <c r="Q982" s="11"/>
      <c r="R982" s="11">
        <f t="shared" si="234"/>
        <v>0</v>
      </c>
      <c r="S982" s="11"/>
      <c r="T982" s="136">
        <f t="shared" si="241"/>
        <v>0</v>
      </c>
    </row>
    <row r="983" spans="1:20" ht="15.75" customHeight="1">
      <c r="A983" s="149">
        <v>45</v>
      </c>
      <c r="B983" s="273"/>
      <c r="C983" s="28" t="s">
        <v>1513</v>
      </c>
      <c r="D983" s="41">
        <v>14400</v>
      </c>
      <c r="E983" s="131">
        <f t="shared" si="245"/>
        <v>0</v>
      </c>
      <c r="F983" s="21" t="s">
        <v>1248</v>
      </c>
      <c r="G983" s="21">
        <f t="shared" si="247"/>
        <v>0</v>
      </c>
      <c r="H983" s="135">
        <f t="shared" si="246"/>
        <v>0</v>
      </c>
      <c r="I983" s="294">
        <v>43521</v>
      </c>
      <c r="J983" s="294"/>
      <c r="K983" s="10">
        <f>260*41*1.35</f>
        <v>14391.000000000002</v>
      </c>
      <c r="L983" s="11"/>
      <c r="M983" s="11"/>
      <c r="N983" s="100"/>
      <c r="O983" s="11">
        <f t="shared" si="232"/>
        <v>14391.000000000002</v>
      </c>
      <c r="P983" s="11">
        <f t="shared" si="233"/>
        <v>14391.000000000002</v>
      </c>
      <c r="Q983" s="11"/>
      <c r="R983" s="11">
        <f t="shared" si="234"/>
        <v>0</v>
      </c>
      <c r="S983" s="11"/>
      <c r="T983" s="136">
        <f t="shared" si="241"/>
        <v>0</v>
      </c>
    </row>
    <row r="984" spans="1:20" ht="15.75" customHeight="1">
      <c r="A984" s="149">
        <v>108</v>
      </c>
      <c r="B984" s="273"/>
      <c r="C984" s="28" t="s">
        <v>4557</v>
      </c>
      <c r="D984" s="131"/>
      <c r="E984" s="131">
        <f t="shared" si="245"/>
        <v>54370</v>
      </c>
      <c r="F984" s="21" t="s">
        <v>1248</v>
      </c>
      <c r="G984" s="305">
        <f>+E984*1.105</f>
        <v>60078.85</v>
      </c>
      <c r="H984" s="135">
        <f t="shared" si="246"/>
        <v>0</v>
      </c>
      <c r="I984" s="294">
        <v>45252</v>
      </c>
      <c r="J984" s="294">
        <v>45370</v>
      </c>
      <c r="K984" s="10">
        <f>0.765*49008</f>
        <v>37491.120000000003</v>
      </c>
      <c r="L984" s="11"/>
      <c r="M984" s="100"/>
      <c r="N984" s="100"/>
      <c r="O984" s="11">
        <f t="shared" si="232"/>
        <v>37491.120000000003</v>
      </c>
      <c r="P984" s="11">
        <f t="shared" si="233"/>
        <v>37491.120000000003</v>
      </c>
      <c r="Q984" s="11">
        <v>1.45</v>
      </c>
      <c r="R984" s="11">
        <f t="shared" si="234"/>
        <v>54362.124000000003</v>
      </c>
      <c r="S984" s="11"/>
      <c r="T984" s="136">
        <f t="shared" si="241"/>
        <v>0</v>
      </c>
    </row>
    <row r="985" spans="1:20" ht="15.75" customHeight="1">
      <c r="A985" s="149">
        <v>52</v>
      </c>
      <c r="B985" s="273"/>
      <c r="C985" s="28" t="s">
        <v>1514</v>
      </c>
      <c r="D985" s="41">
        <v>2740</v>
      </c>
      <c r="E985" s="131">
        <f t="shared" si="245"/>
        <v>0</v>
      </c>
      <c r="F985" s="21" t="s">
        <v>1248</v>
      </c>
      <c r="G985" s="21">
        <f t="shared" si="247"/>
        <v>0</v>
      </c>
      <c r="H985" s="135">
        <f t="shared" si="246"/>
        <v>0</v>
      </c>
      <c r="I985" s="294">
        <v>44385</v>
      </c>
      <c r="J985" s="294"/>
      <c r="K985" s="134">
        <f>+PROVEEDORES!D46*0.9*0.93*79</f>
        <v>69429.150000000009</v>
      </c>
      <c r="L985" s="11"/>
      <c r="M985" s="11"/>
      <c r="N985" s="100"/>
      <c r="O985" s="11">
        <f t="shared" si="232"/>
        <v>69429.150000000009</v>
      </c>
      <c r="P985" s="11">
        <f t="shared" si="233"/>
        <v>69429.150000000009</v>
      </c>
      <c r="Q985" s="11"/>
      <c r="R985" s="11">
        <f t="shared" si="234"/>
        <v>0</v>
      </c>
      <c r="S985" s="11"/>
      <c r="T985" s="136">
        <f t="shared" si="241"/>
        <v>0</v>
      </c>
    </row>
    <row r="986" spans="1:20" ht="15.75" customHeight="1">
      <c r="A986" s="149">
        <v>59</v>
      </c>
      <c r="B986" s="273"/>
      <c r="C986" s="28" t="s">
        <v>3434</v>
      </c>
      <c r="D986" s="41">
        <v>17540</v>
      </c>
      <c r="E986" s="131">
        <f t="shared" si="245"/>
        <v>338520</v>
      </c>
      <c r="F986" s="21">
        <f t="shared" ref="F986:F1018" si="248">+E986*1.21</f>
        <v>409609.2</v>
      </c>
      <c r="G986" s="21"/>
      <c r="H986" s="135">
        <f t="shared" si="246"/>
        <v>0</v>
      </c>
      <c r="I986" s="294">
        <v>44925</v>
      </c>
      <c r="J986" s="294">
        <v>44999</v>
      </c>
      <c r="K986" s="11">
        <f>300*0.85*PROVEEDORES!J6</f>
        <v>225675</v>
      </c>
      <c r="L986" s="11"/>
      <c r="M986" s="11"/>
      <c r="N986" s="100"/>
      <c r="O986" s="11">
        <f t="shared" si="232"/>
        <v>225675</v>
      </c>
      <c r="P986" s="11">
        <f t="shared" si="233"/>
        <v>225675</v>
      </c>
      <c r="Q986" s="11">
        <v>1.5</v>
      </c>
      <c r="R986" s="11">
        <f t="shared" si="234"/>
        <v>338512.5</v>
      </c>
      <c r="S986" s="11"/>
      <c r="T986" s="136">
        <f t="shared" si="241"/>
        <v>0</v>
      </c>
    </row>
    <row r="987" spans="1:20" ht="15.75" customHeight="1">
      <c r="A987" s="149">
        <v>59</v>
      </c>
      <c r="B987" s="273"/>
      <c r="C987" s="28" t="s">
        <v>1515</v>
      </c>
      <c r="D987" s="41">
        <v>22200</v>
      </c>
      <c r="E987" s="131">
        <f t="shared" si="245"/>
        <v>421260</v>
      </c>
      <c r="F987" s="21">
        <f t="shared" si="248"/>
        <v>509724.6</v>
      </c>
      <c r="G987" s="21"/>
      <c r="H987" s="135">
        <f t="shared" si="246"/>
        <v>0</v>
      </c>
      <c r="I987" s="294">
        <v>44925</v>
      </c>
      <c r="J987" s="294"/>
      <c r="K987" s="11">
        <f>400*0.85*PROVEEDORES!J6</f>
        <v>300900</v>
      </c>
      <c r="L987" s="11"/>
      <c r="M987" s="11"/>
      <c r="N987" s="100"/>
      <c r="O987" s="11">
        <f t="shared" si="232"/>
        <v>300900</v>
      </c>
      <c r="P987" s="11">
        <f t="shared" si="233"/>
        <v>300900</v>
      </c>
      <c r="Q987" s="11">
        <v>1.4</v>
      </c>
      <c r="R987" s="11">
        <f t="shared" si="234"/>
        <v>421260</v>
      </c>
      <c r="S987" s="11"/>
      <c r="T987" s="136">
        <f t="shared" si="241"/>
        <v>0</v>
      </c>
    </row>
    <row r="988" spans="1:20" ht="15.75" customHeight="1">
      <c r="A988" s="149"/>
      <c r="B988" s="273"/>
      <c r="C988" s="28" t="s">
        <v>1516</v>
      </c>
      <c r="D988" s="41">
        <v>12580</v>
      </c>
      <c r="E988" s="131">
        <f t="shared" si="245"/>
        <v>0</v>
      </c>
      <c r="F988" s="21">
        <f t="shared" si="248"/>
        <v>0</v>
      </c>
      <c r="G988" s="21"/>
      <c r="H988" s="135">
        <f t="shared" si="246"/>
        <v>0</v>
      </c>
      <c r="I988" s="294">
        <v>43323</v>
      </c>
      <c r="J988" s="294"/>
      <c r="K988" s="11">
        <f>7483*1.4*1.2</f>
        <v>12571.439999999999</v>
      </c>
      <c r="L988" s="11"/>
      <c r="M988" s="57"/>
      <c r="N988" s="100"/>
      <c r="O988" s="11">
        <f t="shared" si="232"/>
        <v>12571.439999999999</v>
      </c>
      <c r="P988" s="11">
        <f t="shared" si="233"/>
        <v>12571.439999999999</v>
      </c>
      <c r="Q988" s="11"/>
      <c r="R988" s="11">
        <f t="shared" si="234"/>
        <v>0</v>
      </c>
      <c r="S988" s="11"/>
      <c r="T988" s="136">
        <f t="shared" si="241"/>
        <v>0</v>
      </c>
    </row>
    <row r="989" spans="1:20" ht="15.75" customHeight="1">
      <c r="A989" s="149"/>
      <c r="B989" s="273"/>
      <c r="C989" s="28" t="s">
        <v>1517</v>
      </c>
      <c r="D989" s="41">
        <v>12340</v>
      </c>
      <c r="E989" s="131">
        <f t="shared" si="245"/>
        <v>0</v>
      </c>
      <c r="F989" s="21">
        <f t="shared" si="248"/>
        <v>0</v>
      </c>
      <c r="G989" s="21"/>
      <c r="H989" s="135">
        <f t="shared" si="246"/>
        <v>0</v>
      </c>
      <c r="I989" s="294"/>
      <c r="J989" s="294">
        <v>43195</v>
      </c>
      <c r="K989" s="11">
        <f>6780*1.4*1.3</f>
        <v>12339.6</v>
      </c>
      <c r="L989" s="11"/>
      <c r="M989" s="57"/>
      <c r="N989" s="100"/>
      <c r="O989" s="11">
        <f t="shared" si="232"/>
        <v>12339.6</v>
      </c>
      <c r="P989" s="11">
        <f t="shared" si="233"/>
        <v>12339.6</v>
      </c>
      <c r="Q989" s="11"/>
      <c r="R989" s="11">
        <f t="shared" si="234"/>
        <v>0</v>
      </c>
      <c r="S989" s="11"/>
      <c r="T989" s="136">
        <f t="shared" si="241"/>
        <v>0</v>
      </c>
    </row>
    <row r="990" spans="1:20" ht="15.75" customHeight="1">
      <c r="A990" s="149">
        <v>24</v>
      </c>
      <c r="B990" s="273"/>
      <c r="C990" s="28" t="s">
        <v>1518</v>
      </c>
      <c r="D990" s="41">
        <v>8090</v>
      </c>
      <c r="E990" s="131">
        <f t="shared" si="245"/>
        <v>0</v>
      </c>
      <c r="F990" s="21">
        <f t="shared" si="248"/>
        <v>0</v>
      </c>
      <c r="G990" s="21"/>
      <c r="H990" s="135">
        <f t="shared" si="246"/>
        <v>0</v>
      </c>
      <c r="I990" s="294"/>
      <c r="J990" s="294">
        <v>44116</v>
      </c>
      <c r="K990" s="10">
        <f>+PROVEEDORES!D18*0.5*165</f>
        <v>87450</v>
      </c>
      <c r="L990" s="11"/>
      <c r="M990" s="11"/>
      <c r="N990" s="100"/>
      <c r="O990" s="11">
        <f t="shared" si="232"/>
        <v>87450</v>
      </c>
      <c r="P990" s="11">
        <f t="shared" si="233"/>
        <v>87450</v>
      </c>
      <c r="Q990" s="11"/>
      <c r="R990" s="11">
        <f t="shared" si="234"/>
        <v>0</v>
      </c>
      <c r="S990" s="11"/>
      <c r="T990" s="136">
        <f t="shared" si="241"/>
        <v>0</v>
      </c>
    </row>
    <row r="991" spans="1:20" ht="15.75" customHeight="1">
      <c r="A991" s="149">
        <v>38</v>
      </c>
      <c r="B991" s="273"/>
      <c r="C991" s="28" t="s">
        <v>3933</v>
      </c>
      <c r="D991" s="41">
        <v>5810</v>
      </c>
      <c r="E991" s="131">
        <f t="shared" si="245"/>
        <v>210700</v>
      </c>
      <c r="F991" s="21">
        <f t="shared" si="248"/>
        <v>254947</v>
      </c>
      <c r="G991" s="21"/>
      <c r="H991" s="135">
        <f t="shared" si="246"/>
        <v>182600</v>
      </c>
      <c r="I991" s="294">
        <v>45138</v>
      </c>
      <c r="J991" s="294">
        <v>45274</v>
      </c>
      <c r="K991" s="11">
        <f>+PROVEEDORES!D32*143.33</f>
        <v>150496.5</v>
      </c>
      <c r="L991" s="10"/>
      <c r="M991" s="10"/>
      <c r="N991" s="100">
        <v>130426</v>
      </c>
      <c r="O991" s="11">
        <f t="shared" si="232"/>
        <v>150496.5</v>
      </c>
      <c r="P991" s="11">
        <f t="shared" si="233"/>
        <v>150496.5</v>
      </c>
      <c r="Q991" s="11">
        <v>1.4</v>
      </c>
      <c r="R991" s="11">
        <f t="shared" si="234"/>
        <v>210695.09999999998</v>
      </c>
      <c r="S991" s="11"/>
      <c r="T991" s="136">
        <f t="shared" si="241"/>
        <v>182596.4</v>
      </c>
    </row>
    <row r="992" spans="1:20" ht="15.75" customHeight="1">
      <c r="A992" s="149">
        <v>38</v>
      </c>
      <c r="B992" s="273"/>
      <c r="C992" s="28" t="s">
        <v>3402</v>
      </c>
      <c r="D992" s="41">
        <v>5810</v>
      </c>
      <c r="E992" s="131">
        <f t="shared" si="245"/>
        <v>178460</v>
      </c>
      <c r="F992" s="21">
        <f t="shared" si="248"/>
        <v>215936.6</v>
      </c>
      <c r="G992" s="21"/>
      <c r="H992" s="135">
        <f t="shared" si="246"/>
        <v>154670</v>
      </c>
      <c r="I992" s="294">
        <v>45138</v>
      </c>
      <c r="J992" s="294">
        <v>45274</v>
      </c>
      <c r="K992" s="11">
        <f>+PROVEEDORES!$D$32*121.4</f>
        <v>127470</v>
      </c>
      <c r="L992" s="10"/>
      <c r="M992" s="10"/>
      <c r="N992" s="100">
        <v>110475</v>
      </c>
      <c r="O992" s="11">
        <f t="shared" si="232"/>
        <v>127470</v>
      </c>
      <c r="P992" s="11">
        <f t="shared" si="233"/>
        <v>127470</v>
      </c>
      <c r="Q992" s="11">
        <v>1.4</v>
      </c>
      <c r="R992" s="11">
        <f t="shared" si="234"/>
        <v>178458</v>
      </c>
      <c r="S992" s="11"/>
      <c r="T992" s="136">
        <f t="shared" si="241"/>
        <v>154665</v>
      </c>
    </row>
    <row r="993" spans="1:20" ht="15.75" customHeight="1">
      <c r="A993" s="149"/>
      <c r="B993" s="273"/>
      <c r="C993" s="28" t="s">
        <v>1519</v>
      </c>
      <c r="D993" s="41"/>
      <c r="E993" s="131">
        <f t="shared" si="245"/>
        <v>501760</v>
      </c>
      <c r="F993" s="21">
        <f t="shared" si="248"/>
        <v>607129.59999999998</v>
      </c>
      <c r="G993" s="21"/>
      <c r="H993" s="135">
        <f t="shared" si="246"/>
        <v>0</v>
      </c>
      <c r="I993" s="294"/>
      <c r="J993" s="294">
        <v>42744</v>
      </c>
      <c r="K993" s="10">
        <f>+PROVEEDORES!J6*460*0.85</f>
        <v>346035</v>
      </c>
      <c r="L993" s="11"/>
      <c r="M993" s="11"/>
      <c r="N993" s="100"/>
      <c r="O993" s="11">
        <f t="shared" si="232"/>
        <v>346035</v>
      </c>
      <c r="P993" s="11">
        <f t="shared" si="233"/>
        <v>346035</v>
      </c>
      <c r="Q993" s="11">
        <v>1.45</v>
      </c>
      <c r="R993" s="11">
        <f t="shared" si="234"/>
        <v>501750.75</v>
      </c>
      <c r="S993" s="11"/>
      <c r="T993" s="136">
        <f t="shared" si="241"/>
        <v>0</v>
      </c>
    </row>
    <row r="994" spans="1:20" ht="15.75" customHeight="1">
      <c r="A994" s="149"/>
      <c r="B994" s="273"/>
      <c r="C994" s="28" t="s">
        <v>1520</v>
      </c>
      <c r="D994" s="41">
        <v>20170</v>
      </c>
      <c r="E994" s="131">
        <f t="shared" si="245"/>
        <v>0</v>
      </c>
      <c r="F994" s="21">
        <f t="shared" si="248"/>
        <v>0</v>
      </c>
      <c r="G994" s="21"/>
      <c r="H994" s="135">
        <f t="shared" si="246"/>
        <v>0</v>
      </c>
      <c r="I994" s="294"/>
      <c r="J994" s="294">
        <v>43570</v>
      </c>
      <c r="K994" s="10">
        <f>332*45*1.35</f>
        <v>20169</v>
      </c>
      <c r="L994" s="11"/>
      <c r="M994" s="11"/>
      <c r="N994" s="100"/>
      <c r="O994" s="11">
        <f t="shared" ref="O994:O1060" si="249">MIN(K994:M994)</f>
        <v>20169</v>
      </c>
      <c r="P994" s="11">
        <f t="shared" ref="P994:P1059" si="250">+O994</f>
        <v>20169</v>
      </c>
      <c r="Q994" s="11"/>
      <c r="R994" s="11">
        <f t="shared" ref="R994:R1059" si="251">+P994*Q994</f>
        <v>0</v>
      </c>
      <c r="S994" s="11"/>
      <c r="T994" s="136">
        <f t="shared" si="241"/>
        <v>0</v>
      </c>
    </row>
    <row r="995" spans="1:20" ht="15.75" customHeight="1">
      <c r="A995" s="149">
        <v>50</v>
      </c>
      <c r="B995" s="273">
        <f>ROUNDUP(E995*1.105,-1)</f>
        <v>338150</v>
      </c>
      <c r="C995" s="58" t="s">
        <v>44254</v>
      </c>
      <c r="D995" s="164">
        <v>10080</v>
      </c>
      <c r="E995" s="131">
        <f t="shared" si="245"/>
        <v>306010</v>
      </c>
      <c r="F995" s="59">
        <f t="shared" si="248"/>
        <v>370272.1</v>
      </c>
      <c r="G995" s="60"/>
      <c r="H995" s="135">
        <f t="shared" si="246"/>
        <v>297330</v>
      </c>
      <c r="I995" s="294">
        <v>45385</v>
      </c>
      <c r="J995" s="23"/>
      <c r="K995" s="43">
        <f>PROVEEDORES!$D$44*0.58*441.6</f>
        <v>226673.28</v>
      </c>
      <c r="L995" s="10"/>
      <c r="M995" s="11"/>
      <c r="N995" s="171">
        <f>PROVEEDORES!$D$44*0.5985*415.8</f>
        <v>220237.82550000001</v>
      </c>
      <c r="O995" s="11">
        <f t="shared" si="249"/>
        <v>226673.28</v>
      </c>
      <c r="P995" s="11">
        <f t="shared" si="250"/>
        <v>226673.28</v>
      </c>
      <c r="Q995" s="11">
        <v>1.35</v>
      </c>
      <c r="R995" s="11">
        <f t="shared" si="251"/>
        <v>306008.92800000001</v>
      </c>
      <c r="S995" s="11"/>
      <c r="T995" s="136">
        <f t="shared" si="241"/>
        <v>297321.06442500005</v>
      </c>
    </row>
    <row r="996" spans="1:20" ht="15.75" customHeight="1">
      <c r="A996" s="149"/>
      <c r="B996" s="273"/>
      <c r="C996" s="58" t="s">
        <v>1521</v>
      </c>
      <c r="D996" s="41">
        <v>1890</v>
      </c>
      <c r="E996" s="131">
        <f t="shared" si="245"/>
        <v>0</v>
      </c>
      <c r="F996" s="59">
        <f t="shared" si="248"/>
        <v>0</v>
      </c>
      <c r="G996" s="60"/>
      <c r="H996" s="135">
        <f t="shared" si="246"/>
        <v>0</v>
      </c>
      <c r="I996" s="23">
        <v>43355</v>
      </c>
      <c r="J996" s="23"/>
      <c r="K996" s="10">
        <f>1462*0.75*1.5*1.15</f>
        <v>1891.4624999999999</v>
      </c>
      <c r="L996" s="10"/>
      <c r="M996" s="11"/>
      <c r="N996" s="100"/>
      <c r="O996" s="11">
        <f t="shared" si="249"/>
        <v>1891.4624999999999</v>
      </c>
      <c r="P996" s="11">
        <f t="shared" si="250"/>
        <v>1891.4624999999999</v>
      </c>
      <c r="Q996" s="11"/>
      <c r="R996" s="11">
        <f t="shared" si="251"/>
        <v>0</v>
      </c>
      <c r="S996" s="11"/>
      <c r="T996" s="136">
        <f t="shared" si="241"/>
        <v>0</v>
      </c>
    </row>
    <row r="997" spans="1:20" ht="15.75" customHeight="1">
      <c r="A997" s="149"/>
      <c r="B997" s="273"/>
      <c r="C997" s="58" t="s">
        <v>3736</v>
      </c>
      <c r="D997" s="41">
        <v>1340</v>
      </c>
      <c r="E997" s="131">
        <f t="shared" si="245"/>
        <v>9660</v>
      </c>
      <c r="F997" s="59">
        <f t="shared" si="248"/>
        <v>11688.6</v>
      </c>
      <c r="G997" s="60"/>
      <c r="H997" s="135">
        <f t="shared" si="246"/>
        <v>0</v>
      </c>
      <c r="I997" s="23">
        <v>44757</v>
      </c>
      <c r="J997" s="23"/>
      <c r="K997" s="10">
        <f>4500*1.1*1.3</f>
        <v>6435</v>
      </c>
      <c r="L997" s="10">
        <f>11502*0.6</f>
        <v>6901.2</v>
      </c>
      <c r="M997" s="11"/>
      <c r="N997" s="100"/>
      <c r="O997" s="11">
        <f t="shared" si="249"/>
        <v>6435</v>
      </c>
      <c r="P997" s="11">
        <f t="shared" si="250"/>
        <v>6435</v>
      </c>
      <c r="Q997" s="11">
        <v>1.5</v>
      </c>
      <c r="R997" s="11">
        <f t="shared" si="251"/>
        <v>9652.5</v>
      </c>
      <c r="S997" s="11"/>
      <c r="T997" s="136">
        <f t="shared" si="241"/>
        <v>0</v>
      </c>
    </row>
    <row r="998" spans="1:20" ht="15.75" customHeight="1">
      <c r="A998" s="149">
        <v>59</v>
      </c>
      <c r="B998" s="273">
        <f>ROUNDUP(E998*1.105,-1)</f>
        <v>291120</v>
      </c>
      <c r="C998" s="28" t="s">
        <v>2878</v>
      </c>
      <c r="D998" s="41">
        <v>2230</v>
      </c>
      <c r="E998" s="131">
        <f t="shared" si="245"/>
        <v>263450</v>
      </c>
      <c r="F998" s="21">
        <f t="shared" si="248"/>
        <v>318774.5</v>
      </c>
      <c r="G998" s="21"/>
      <c r="H998" s="135">
        <f t="shared" si="246"/>
        <v>0</v>
      </c>
      <c r="I998" s="294">
        <v>44637</v>
      </c>
      <c r="J998" s="294"/>
      <c r="K998" s="11">
        <f>PROVEEDORES!J6*0.9*245</f>
        <v>195142.5</v>
      </c>
      <c r="L998" s="11"/>
      <c r="M998" s="11"/>
      <c r="N998" s="100"/>
      <c r="O998" s="11">
        <f t="shared" si="249"/>
        <v>195142.5</v>
      </c>
      <c r="P998" s="11">
        <f t="shared" si="250"/>
        <v>195142.5</v>
      </c>
      <c r="Q998" s="11">
        <v>1.35</v>
      </c>
      <c r="R998" s="11">
        <f t="shared" si="251"/>
        <v>263442.375</v>
      </c>
      <c r="S998" s="11"/>
      <c r="T998" s="136">
        <f t="shared" si="241"/>
        <v>0</v>
      </c>
    </row>
    <row r="999" spans="1:20" ht="15.75" customHeight="1">
      <c r="A999" s="149"/>
      <c r="B999" s="273"/>
      <c r="C999" s="28" t="s">
        <v>1522</v>
      </c>
      <c r="D999" s="41">
        <v>5535</v>
      </c>
      <c r="E999" s="131">
        <f t="shared" si="245"/>
        <v>0</v>
      </c>
      <c r="F999" s="21">
        <f t="shared" si="248"/>
        <v>0</v>
      </c>
      <c r="G999" s="21"/>
      <c r="H999" s="135">
        <f t="shared" si="246"/>
        <v>0</v>
      </c>
      <c r="I999" s="294">
        <v>42837</v>
      </c>
      <c r="J999" s="294"/>
      <c r="K999" s="10">
        <f>4100.25*1.35</f>
        <v>5535.3375000000005</v>
      </c>
      <c r="L999" s="11"/>
      <c r="M999" s="11"/>
      <c r="N999" s="100"/>
      <c r="O999" s="11">
        <f t="shared" si="249"/>
        <v>5535.3375000000005</v>
      </c>
      <c r="P999" s="11">
        <f t="shared" si="250"/>
        <v>5535.3375000000005</v>
      </c>
      <c r="Q999" s="11"/>
      <c r="R999" s="11">
        <f t="shared" si="251"/>
        <v>0</v>
      </c>
      <c r="S999" s="11"/>
      <c r="T999" s="136">
        <f t="shared" si="241"/>
        <v>0</v>
      </c>
    </row>
    <row r="1000" spans="1:20" ht="15.75" customHeight="1">
      <c r="A1000" s="149">
        <v>59</v>
      </c>
      <c r="B1000" s="273">
        <f>ROUNDUP(E1000*1.105,-1)</f>
        <v>205570</v>
      </c>
      <c r="C1000" s="28" t="s">
        <v>3437</v>
      </c>
      <c r="D1000" s="41">
        <v>2230</v>
      </c>
      <c r="E1000" s="131">
        <f t="shared" si="245"/>
        <v>186030</v>
      </c>
      <c r="F1000" s="21">
        <f t="shared" si="248"/>
        <v>225096.3</v>
      </c>
      <c r="G1000" s="21"/>
      <c r="H1000" s="135">
        <f t="shared" si="246"/>
        <v>0</v>
      </c>
      <c r="I1000" s="294">
        <v>44637</v>
      </c>
      <c r="J1000" s="294"/>
      <c r="K1000" s="11">
        <f>PROVEEDORES!J6*0.9*173</f>
        <v>137794.5</v>
      </c>
      <c r="L1000" s="11"/>
      <c r="M1000" s="11"/>
      <c r="N1000" s="100"/>
      <c r="O1000" s="11">
        <f t="shared" si="249"/>
        <v>137794.5</v>
      </c>
      <c r="P1000" s="11">
        <f t="shared" si="250"/>
        <v>137794.5</v>
      </c>
      <c r="Q1000" s="11">
        <v>1.35</v>
      </c>
      <c r="R1000" s="11">
        <f t="shared" si="251"/>
        <v>186022.57500000001</v>
      </c>
      <c r="S1000" s="11"/>
      <c r="T1000" s="136">
        <f t="shared" si="241"/>
        <v>0</v>
      </c>
    </row>
    <row r="1001" spans="1:20" ht="15.75" customHeight="1">
      <c r="A1001" s="149"/>
      <c r="B1001" s="273"/>
      <c r="C1001" s="28" t="s">
        <v>1523</v>
      </c>
      <c r="D1001" s="41">
        <v>5450</v>
      </c>
      <c r="E1001" s="131">
        <f t="shared" si="245"/>
        <v>0</v>
      </c>
      <c r="F1001" s="21">
        <f t="shared" si="248"/>
        <v>0</v>
      </c>
      <c r="G1001" s="21"/>
      <c r="H1001" s="135">
        <f t="shared" si="246"/>
        <v>0</v>
      </c>
      <c r="I1001" s="294"/>
      <c r="J1001" s="294"/>
      <c r="K1001" s="10">
        <f>4930*0.85*1.3</f>
        <v>5447.6500000000005</v>
      </c>
      <c r="L1001" s="11"/>
      <c r="M1001" s="11"/>
      <c r="N1001" s="100"/>
      <c r="O1001" s="11">
        <f t="shared" si="249"/>
        <v>5447.6500000000005</v>
      </c>
      <c r="P1001" s="11">
        <f t="shared" si="250"/>
        <v>5447.6500000000005</v>
      </c>
      <c r="Q1001" s="11"/>
      <c r="R1001" s="11">
        <f t="shared" si="251"/>
        <v>0</v>
      </c>
      <c r="S1001" s="11"/>
      <c r="T1001" s="136">
        <f t="shared" si="241"/>
        <v>0</v>
      </c>
    </row>
    <row r="1002" spans="1:20" ht="15.75" customHeight="1">
      <c r="A1002" s="149" t="s">
        <v>3737</v>
      </c>
      <c r="B1002" s="273"/>
      <c r="C1002" s="28" t="s">
        <v>1524</v>
      </c>
      <c r="D1002" s="41">
        <v>340</v>
      </c>
      <c r="E1002" s="131">
        <f t="shared" si="245"/>
        <v>0</v>
      </c>
      <c r="F1002" s="21">
        <f t="shared" si="248"/>
        <v>0</v>
      </c>
      <c r="G1002" s="21"/>
      <c r="H1002" s="135">
        <f t="shared" si="246"/>
        <v>0</v>
      </c>
      <c r="I1002" s="294"/>
      <c r="J1002" s="294">
        <v>43725</v>
      </c>
      <c r="K1002" s="10">
        <f>187*1.8</f>
        <v>336.6</v>
      </c>
      <c r="L1002" s="10"/>
      <c r="M1002" s="11"/>
      <c r="N1002" s="100"/>
      <c r="O1002" s="11">
        <f t="shared" si="249"/>
        <v>336.6</v>
      </c>
      <c r="P1002" s="11">
        <f t="shared" si="250"/>
        <v>336.6</v>
      </c>
      <c r="Q1002" s="11"/>
      <c r="R1002" s="11">
        <f t="shared" si="251"/>
        <v>0</v>
      </c>
      <c r="S1002" s="11"/>
      <c r="T1002" s="136">
        <f t="shared" si="241"/>
        <v>0</v>
      </c>
    </row>
    <row r="1003" spans="1:20" ht="15.75" customHeight="1">
      <c r="A1003" s="149" t="s">
        <v>3737</v>
      </c>
      <c r="B1003" s="273"/>
      <c r="C1003" s="28" t="s">
        <v>3842</v>
      </c>
      <c r="D1003" s="41">
        <v>440</v>
      </c>
      <c r="E1003" s="131">
        <f t="shared" si="245"/>
        <v>7840</v>
      </c>
      <c r="F1003" s="21">
        <f t="shared" si="248"/>
        <v>9486.4</v>
      </c>
      <c r="G1003" s="21"/>
      <c r="H1003" s="135">
        <f t="shared" si="246"/>
        <v>8210</v>
      </c>
      <c r="I1003" s="294">
        <v>45282</v>
      </c>
      <c r="J1003" s="294">
        <v>45364</v>
      </c>
      <c r="K1003" s="11"/>
      <c r="L1003" s="11">
        <f>+L378+0.6*5836</f>
        <v>4897.2</v>
      </c>
      <c r="M1003" s="10"/>
      <c r="N1003" s="100">
        <f>0.9*4147+L378</f>
        <v>5127.8999999999996</v>
      </c>
      <c r="O1003" s="11">
        <f t="shared" si="249"/>
        <v>4897.2</v>
      </c>
      <c r="P1003" s="11">
        <f t="shared" si="250"/>
        <v>4897.2</v>
      </c>
      <c r="Q1003" s="11">
        <v>1.6</v>
      </c>
      <c r="R1003" s="11">
        <f t="shared" si="251"/>
        <v>7835.52</v>
      </c>
      <c r="S1003" s="11"/>
      <c r="T1003" s="136">
        <f t="shared" si="241"/>
        <v>8204.64</v>
      </c>
    </row>
    <row r="1004" spans="1:20" ht="15.75" customHeight="1">
      <c r="A1004" s="149" t="s">
        <v>3737</v>
      </c>
      <c r="B1004" s="273"/>
      <c r="C1004" s="28" t="s">
        <v>44156</v>
      </c>
      <c r="D1004" s="41">
        <v>800</v>
      </c>
      <c r="E1004" s="131">
        <f t="shared" si="245"/>
        <v>8140</v>
      </c>
      <c r="F1004" s="21">
        <f t="shared" si="248"/>
        <v>9849.4</v>
      </c>
      <c r="G1004" s="21"/>
      <c r="H1004" s="135">
        <f t="shared" si="246"/>
        <v>0</v>
      </c>
      <c r="I1004" s="294">
        <v>45282</v>
      </c>
      <c r="J1004" s="294">
        <v>45310</v>
      </c>
      <c r="K1004" s="10"/>
      <c r="L1004" s="11">
        <f>L378+0.6*6153</f>
        <v>5087.3999999999996</v>
      </c>
      <c r="M1004" s="11"/>
      <c r="N1004" s="100"/>
      <c r="O1004" s="11">
        <f t="shared" si="249"/>
        <v>5087.3999999999996</v>
      </c>
      <c r="P1004" s="11">
        <f t="shared" si="250"/>
        <v>5087.3999999999996</v>
      </c>
      <c r="Q1004" s="11">
        <v>1.6</v>
      </c>
      <c r="R1004" s="11">
        <f t="shared" si="251"/>
        <v>8139.84</v>
      </c>
      <c r="S1004" s="11"/>
      <c r="T1004" s="136">
        <f t="shared" ref="T1004:T1069" si="252">+N1004*Q1004</f>
        <v>0</v>
      </c>
    </row>
    <row r="1005" spans="1:20" ht="15.75" customHeight="1">
      <c r="A1005" s="149" t="s">
        <v>3737</v>
      </c>
      <c r="B1005" s="273"/>
      <c r="C1005" s="28" t="s">
        <v>44155</v>
      </c>
      <c r="D1005" s="41">
        <v>150</v>
      </c>
      <c r="E1005" s="131">
        <f t="shared" si="245"/>
        <v>5620</v>
      </c>
      <c r="F1005" s="21">
        <f t="shared" si="248"/>
        <v>6800.2</v>
      </c>
      <c r="G1005" s="21"/>
      <c r="H1005" s="135">
        <f t="shared" si="246"/>
        <v>0</v>
      </c>
      <c r="I1005" s="294">
        <v>45282</v>
      </c>
      <c r="J1005" s="294">
        <v>45359</v>
      </c>
      <c r="K1005" s="11"/>
      <c r="L1005" s="11">
        <f>L381+0.6*2321</f>
        <v>3510.7499999999995</v>
      </c>
      <c r="M1005" s="11"/>
      <c r="N1005" s="100"/>
      <c r="O1005" s="11">
        <f t="shared" si="249"/>
        <v>3510.7499999999995</v>
      </c>
      <c r="P1005" s="11">
        <f t="shared" si="250"/>
        <v>3510.7499999999995</v>
      </c>
      <c r="Q1005" s="11">
        <v>1.6</v>
      </c>
      <c r="R1005" s="11">
        <f t="shared" si="251"/>
        <v>5617.2</v>
      </c>
      <c r="S1005" s="11"/>
      <c r="T1005" s="136">
        <f t="shared" si="252"/>
        <v>0</v>
      </c>
    </row>
    <row r="1006" spans="1:20" ht="15.75" customHeight="1">
      <c r="A1006" s="149">
        <v>21</v>
      </c>
      <c r="B1006" s="273"/>
      <c r="C1006" s="28" t="s">
        <v>4039</v>
      </c>
      <c r="D1006" s="41">
        <v>140</v>
      </c>
      <c r="E1006" s="131">
        <f t="shared" si="245"/>
        <v>3010</v>
      </c>
      <c r="F1006" s="21">
        <f t="shared" si="248"/>
        <v>3642.1</v>
      </c>
      <c r="G1006" s="21"/>
      <c r="H1006" s="135">
        <f t="shared" si="246"/>
        <v>0</v>
      </c>
      <c r="I1006" s="294">
        <v>45273</v>
      </c>
      <c r="J1006" s="294"/>
      <c r="K1006" s="10">
        <f>0.6*3451</f>
        <v>2070.6</v>
      </c>
      <c r="L1006" s="11"/>
      <c r="M1006" s="11"/>
      <c r="N1006" s="100"/>
      <c r="O1006" s="11">
        <f t="shared" si="249"/>
        <v>2070.6</v>
      </c>
      <c r="P1006" s="11">
        <f t="shared" si="250"/>
        <v>2070.6</v>
      </c>
      <c r="Q1006" s="11">
        <v>1.45</v>
      </c>
      <c r="R1006" s="11">
        <f t="shared" si="251"/>
        <v>3002.37</v>
      </c>
      <c r="S1006" s="11"/>
      <c r="T1006" s="136">
        <f t="shared" si="252"/>
        <v>0</v>
      </c>
    </row>
    <row r="1007" spans="1:20" ht="15.75" customHeight="1">
      <c r="A1007" s="149">
        <v>21</v>
      </c>
      <c r="B1007" s="273"/>
      <c r="C1007" s="28" t="s">
        <v>4040</v>
      </c>
      <c r="D1007" s="41">
        <v>140</v>
      </c>
      <c r="E1007" s="131">
        <f t="shared" si="245"/>
        <v>3410</v>
      </c>
      <c r="F1007" s="21">
        <f t="shared" si="248"/>
        <v>4126.0999999999995</v>
      </c>
      <c r="G1007" s="21"/>
      <c r="H1007" s="135">
        <f t="shared" ref="H1007:H1040" si="253">ROUNDUP(T1007,-1)</f>
        <v>0</v>
      </c>
      <c r="I1007" s="294">
        <v>45273</v>
      </c>
      <c r="J1007" s="294"/>
      <c r="K1007" s="10">
        <f>0.6*3918</f>
        <v>2350.7999999999997</v>
      </c>
      <c r="L1007" s="11"/>
      <c r="M1007" s="11"/>
      <c r="N1007" s="100"/>
      <c r="O1007" s="11">
        <f t="shared" si="249"/>
        <v>2350.7999999999997</v>
      </c>
      <c r="P1007" s="11">
        <f t="shared" si="250"/>
        <v>2350.7999999999997</v>
      </c>
      <c r="Q1007" s="11">
        <v>1.45</v>
      </c>
      <c r="R1007" s="11">
        <f t="shared" si="251"/>
        <v>3408.6599999999994</v>
      </c>
      <c r="S1007" s="11"/>
      <c r="T1007" s="136">
        <f t="shared" si="252"/>
        <v>0</v>
      </c>
    </row>
    <row r="1008" spans="1:20" ht="15.75" customHeight="1">
      <c r="A1008" s="149">
        <v>21</v>
      </c>
      <c r="B1008" s="273"/>
      <c r="C1008" s="28" t="s">
        <v>4113</v>
      </c>
      <c r="D1008" s="41">
        <v>150</v>
      </c>
      <c r="E1008" s="131">
        <f t="shared" si="245"/>
        <v>4160</v>
      </c>
      <c r="F1008" s="21">
        <f t="shared" si="248"/>
        <v>5033.5999999999995</v>
      </c>
      <c r="G1008" s="21"/>
      <c r="H1008" s="135">
        <f t="shared" si="253"/>
        <v>0</v>
      </c>
      <c r="I1008" s="294">
        <v>45273</v>
      </c>
      <c r="J1008" s="294"/>
      <c r="K1008" s="10">
        <f>0.6*4774</f>
        <v>2864.4</v>
      </c>
      <c r="L1008" s="11"/>
      <c r="M1008" s="11"/>
      <c r="N1008" s="100"/>
      <c r="O1008" s="11">
        <f t="shared" si="249"/>
        <v>2864.4</v>
      </c>
      <c r="P1008" s="11">
        <f t="shared" si="250"/>
        <v>2864.4</v>
      </c>
      <c r="Q1008" s="11">
        <v>1.45</v>
      </c>
      <c r="R1008" s="11">
        <f t="shared" si="251"/>
        <v>4153.38</v>
      </c>
      <c r="S1008" s="11"/>
      <c r="T1008" s="136">
        <f t="shared" si="252"/>
        <v>0</v>
      </c>
    </row>
    <row r="1009" spans="1:20" ht="15.75" customHeight="1">
      <c r="A1009" s="149" t="s">
        <v>2387</v>
      </c>
      <c r="B1009" s="273"/>
      <c r="C1009" s="28" t="s">
        <v>2888</v>
      </c>
      <c r="D1009" s="41">
        <v>330</v>
      </c>
      <c r="E1009" s="131">
        <f t="shared" si="245"/>
        <v>7720</v>
      </c>
      <c r="F1009" s="21">
        <f t="shared" si="248"/>
        <v>9341.1999999999989</v>
      </c>
      <c r="G1009" s="21"/>
      <c r="H1009" s="135">
        <f t="shared" si="253"/>
        <v>6380</v>
      </c>
      <c r="I1009" s="294">
        <v>45173</v>
      </c>
      <c r="J1009" s="294">
        <v>45274</v>
      </c>
      <c r="K1009" s="11">
        <f>+PROVEEDORES!$D$18*0.5*9.7</f>
        <v>5141</v>
      </c>
      <c r="L1009" s="11">
        <f>+PROVEEDORES!$D$32*4.67*2</f>
        <v>9807</v>
      </c>
      <c r="M1009" s="11"/>
      <c r="N1009" s="100">
        <v>4252</v>
      </c>
      <c r="O1009" s="11">
        <f t="shared" si="249"/>
        <v>5141</v>
      </c>
      <c r="P1009" s="11">
        <f t="shared" si="250"/>
        <v>5141</v>
      </c>
      <c r="Q1009" s="11">
        <v>1.5</v>
      </c>
      <c r="R1009" s="11">
        <f t="shared" si="251"/>
        <v>7711.5</v>
      </c>
      <c r="S1009" s="11"/>
      <c r="T1009" s="136">
        <f t="shared" si="252"/>
        <v>6378</v>
      </c>
    </row>
    <row r="1010" spans="1:20" ht="15.75" customHeight="1">
      <c r="A1010" s="149" t="s">
        <v>2387</v>
      </c>
      <c r="B1010" s="273"/>
      <c r="C1010" s="28" t="s">
        <v>2889</v>
      </c>
      <c r="D1010" s="41">
        <v>540</v>
      </c>
      <c r="E1010" s="131">
        <f t="shared" si="245"/>
        <v>10840</v>
      </c>
      <c r="F1010" s="21">
        <f t="shared" si="248"/>
        <v>13116.4</v>
      </c>
      <c r="G1010" s="21"/>
      <c r="H1010" s="135">
        <f t="shared" si="253"/>
        <v>9390</v>
      </c>
      <c r="I1010" s="294">
        <v>45173</v>
      </c>
      <c r="J1010" s="294">
        <v>45274</v>
      </c>
      <c r="K1010" s="11">
        <f>+PROVEEDORES!$D$18*0.5*25</f>
        <v>13250</v>
      </c>
      <c r="L1010" s="11">
        <f>+PROVEEDORES!$D$32*6.88</f>
        <v>7224</v>
      </c>
      <c r="M1010" s="11"/>
      <c r="N1010" s="100">
        <v>6259</v>
      </c>
      <c r="O1010" s="11">
        <f t="shared" si="249"/>
        <v>7224</v>
      </c>
      <c r="P1010" s="11">
        <f t="shared" si="250"/>
        <v>7224</v>
      </c>
      <c r="Q1010" s="11">
        <v>1.5</v>
      </c>
      <c r="R1010" s="11">
        <f t="shared" si="251"/>
        <v>10836</v>
      </c>
      <c r="S1010" s="11"/>
      <c r="T1010" s="136">
        <f t="shared" si="252"/>
        <v>9388.5</v>
      </c>
    </row>
    <row r="1011" spans="1:20" ht="15.75" customHeight="1">
      <c r="A1011" s="149">
        <v>21</v>
      </c>
      <c r="B1011" s="273"/>
      <c r="C1011" s="28" t="s">
        <v>3874</v>
      </c>
      <c r="D1011" s="41">
        <v>0</v>
      </c>
      <c r="E1011" s="131">
        <f t="shared" si="245"/>
        <v>7360</v>
      </c>
      <c r="F1011" s="21">
        <f t="shared" si="248"/>
        <v>8905.6</v>
      </c>
      <c r="G1011" s="21"/>
      <c r="H1011" s="135">
        <f t="shared" si="253"/>
        <v>0</v>
      </c>
      <c r="I1011" s="294">
        <v>45274</v>
      </c>
      <c r="J1011" s="294">
        <v>45338</v>
      </c>
      <c r="K1011" s="10">
        <f>0.6*8455</f>
        <v>5073</v>
      </c>
      <c r="L1011" s="11"/>
      <c r="M1011" s="11"/>
      <c r="N1011" s="100"/>
      <c r="O1011" s="11">
        <f t="shared" si="249"/>
        <v>5073</v>
      </c>
      <c r="P1011" s="11">
        <f t="shared" si="250"/>
        <v>5073</v>
      </c>
      <c r="Q1011" s="11">
        <v>1.45</v>
      </c>
      <c r="R1011" s="11">
        <f t="shared" si="251"/>
        <v>7355.8499999999995</v>
      </c>
      <c r="S1011" s="11"/>
      <c r="T1011" s="136">
        <f t="shared" si="252"/>
        <v>0</v>
      </c>
    </row>
    <row r="1012" spans="1:20" ht="15.75" customHeight="1">
      <c r="A1012" s="149">
        <v>21</v>
      </c>
      <c r="B1012" s="273"/>
      <c r="C1012" s="28" t="s">
        <v>3875</v>
      </c>
      <c r="D1012" s="41">
        <v>220</v>
      </c>
      <c r="E1012" s="131">
        <f t="shared" si="245"/>
        <v>8380</v>
      </c>
      <c r="F1012" s="21">
        <f t="shared" si="248"/>
        <v>10139.799999999999</v>
      </c>
      <c r="G1012" s="21"/>
      <c r="H1012" s="135">
        <f t="shared" si="253"/>
        <v>0</v>
      </c>
      <c r="I1012" s="294">
        <v>45274</v>
      </c>
      <c r="J1012" s="294">
        <v>45338</v>
      </c>
      <c r="K1012" s="10">
        <f>0.6*9629</f>
        <v>5777.4</v>
      </c>
      <c r="L1012" s="11"/>
      <c r="M1012" s="11"/>
      <c r="N1012" s="100"/>
      <c r="O1012" s="11">
        <f t="shared" si="249"/>
        <v>5777.4</v>
      </c>
      <c r="P1012" s="11">
        <f t="shared" si="250"/>
        <v>5777.4</v>
      </c>
      <c r="Q1012" s="11">
        <v>1.45</v>
      </c>
      <c r="R1012" s="11">
        <f t="shared" si="251"/>
        <v>8377.23</v>
      </c>
      <c r="S1012" s="11"/>
      <c r="T1012" s="136">
        <f t="shared" si="252"/>
        <v>0</v>
      </c>
    </row>
    <row r="1013" spans="1:20" ht="15.75" customHeight="1">
      <c r="A1013" s="149">
        <v>21</v>
      </c>
      <c r="B1013" s="273"/>
      <c r="C1013" s="28" t="s">
        <v>3872</v>
      </c>
      <c r="D1013" s="41">
        <v>240</v>
      </c>
      <c r="E1013" s="131">
        <f t="shared" si="245"/>
        <v>9910</v>
      </c>
      <c r="F1013" s="21">
        <f t="shared" si="248"/>
        <v>11991.1</v>
      </c>
      <c r="G1013" s="21"/>
      <c r="H1013" s="135">
        <f t="shared" si="253"/>
        <v>0</v>
      </c>
      <c r="I1013" s="294">
        <v>45274</v>
      </c>
      <c r="J1013" s="294">
        <v>45338</v>
      </c>
      <c r="K1013" s="10">
        <f>0.6*11383</f>
        <v>6829.8</v>
      </c>
      <c r="L1013" s="11"/>
      <c r="M1013" s="11"/>
      <c r="N1013" s="100"/>
      <c r="O1013" s="11">
        <f t="shared" si="249"/>
        <v>6829.8</v>
      </c>
      <c r="P1013" s="11">
        <f t="shared" si="250"/>
        <v>6829.8</v>
      </c>
      <c r="Q1013" s="11">
        <v>1.45</v>
      </c>
      <c r="R1013" s="11">
        <f t="shared" si="251"/>
        <v>9903.2099999999991</v>
      </c>
      <c r="S1013" s="11"/>
      <c r="T1013" s="136">
        <f t="shared" si="252"/>
        <v>0</v>
      </c>
    </row>
    <row r="1014" spans="1:20" ht="15.75" customHeight="1">
      <c r="A1014" s="149">
        <v>44</v>
      </c>
      <c r="B1014" s="273"/>
      <c r="C1014" s="28" t="s">
        <v>1525</v>
      </c>
      <c r="D1014" s="41">
        <v>450</v>
      </c>
      <c r="E1014" s="140">
        <f t="shared" si="245"/>
        <v>22820</v>
      </c>
      <c r="F1014" s="21">
        <f t="shared" si="248"/>
        <v>27612.2</v>
      </c>
      <c r="G1014" s="21"/>
      <c r="H1014" s="135">
        <f t="shared" si="253"/>
        <v>0</v>
      </c>
      <c r="I1014" s="294">
        <v>45254</v>
      </c>
      <c r="J1014" s="294"/>
      <c r="K1014" s="10">
        <f>+PROVEEDORES!$D$38*17.19</f>
        <v>15213.150000000001</v>
      </c>
      <c r="L1014" s="11"/>
      <c r="M1014" s="10"/>
      <c r="N1014" s="100"/>
      <c r="O1014" s="11">
        <f t="shared" si="249"/>
        <v>15213.150000000001</v>
      </c>
      <c r="P1014" s="11">
        <f t="shared" si="250"/>
        <v>15213.150000000001</v>
      </c>
      <c r="Q1014" s="11">
        <v>1.5</v>
      </c>
      <c r="R1014" s="11">
        <f t="shared" si="251"/>
        <v>22819.725000000002</v>
      </c>
      <c r="S1014" s="11"/>
      <c r="T1014" s="136">
        <f t="shared" si="252"/>
        <v>0</v>
      </c>
    </row>
    <row r="1015" spans="1:20" ht="15.75" customHeight="1">
      <c r="A1015" s="149" t="s">
        <v>2403</v>
      </c>
      <c r="B1015" s="273"/>
      <c r="C1015" s="28" t="s">
        <v>4041</v>
      </c>
      <c r="D1015" s="41">
        <v>610</v>
      </c>
      <c r="E1015" s="131">
        <f t="shared" si="245"/>
        <v>12600</v>
      </c>
      <c r="F1015" s="21">
        <f t="shared" si="248"/>
        <v>15246</v>
      </c>
      <c r="G1015" s="21"/>
      <c r="H1015" s="135">
        <f t="shared" si="253"/>
        <v>0</v>
      </c>
      <c r="I1015" s="294">
        <v>45273</v>
      </c>
      <c r="J1015" s="294">
        <v>45338</v>
      </c>
      <c r="K1015" s="10">
        <f>0.6*14474</f>
        <v>8684.4</v>
      </c>
      <c r="L1015" s="10"/>
      <c r="M1015" s="11"/>
      <c r="N1015" s="100"/>
      <c r="O1015" s="11">
        <f t="shared" si="249"/>
        <v>8684.4</v>
      </c>
      <c r="P1015" s="11">
        <f t="shared" si="250"/>
        <v>8684.4</v>
      </c>
      <c r="Q1015" s="11">
        <v>1.45</v>
      </c>
      <c r="R1015" s="11">
        <f t="shared" si="251"/>
        <v>12592.38</v>
      </c>
      <c r="S1015" s="11"/>
      <c r="T1015" s="136">
        <f t="shared" si="252"/>
        <v>0</v>
      </c>
    </row>
    <row r="1016" spans="1:20" ht="15.75" customHeight="1">
      <c r="A1016" s="149" t="s">
        <v>2403</v>
      </c>
      <c r="B1016" s="273"/>
      <c r="C1016" s="28" t="s">
        <v>4042</v>
      </c>
      <c r="D1016" s="41">
        <v>690</v>
      </c>
      <c r="E1016" s="131">
        <f t="shared" si="245"/>
        <v>15130</v>
      </c>
      <c r="F1016" s="21">
        <f t="shared" si="248"/>
        <v>18307.3</v>
      </c>
      <c r="G1016" s="21"/>
      <c r="H1016" s="135">
        <f t="shared" si="253"/>
        <v>0</v>
      </c>
      <c r="I1016" s="294">
        <v>45273</v>
      </c>
      <c r="J1016" s="294">
        <v>45338</v>
      </c>
      <c r="K1016" s="10">
        <f>0.6*17385</f>
        <v>10431</v>
      </c>
      <c r="L1016" s="10"/>
      <c r="M1016" s="11"/>
      <c r="N1016" s="100"/>
      <c r="O1016" s="11">
        <f t="shared" si="249"/>
        <v>10431</v>
      </c>
      <c r="P1016" s="11">
        <f t="shared" si="250"/>
        <v>10431</v>
      </c>
      <c r="Q1016" s="11">
        <v>1.45</v>
      </c>
      <c r="R1016" s="11">
        <f t="shared" si="251"/>
        <v>15124.949999999999</v>
      </c>
      <c r="S1016" s="11"/>
      <c r="T1016" s="136">
        <f t="shared" si="252"/>
        <v>0</v>
      </c>
    </row>
    <row r="1017" spans="1:20" ht="15.75" customHeight="1">
      <c r="A1017" s="149">
        <v>21</v>
      </c>
      <c r="B1017" s="273"/>
      <c r="C1017" s="28" t="s">
        <v>2518</v>
      </c>
      <c r="D1017" s="41"/>
      <c r="E1017" s="131">
        <f t="shared" si="245"/>
        <v>0</v>
      </c>
      <c r="F1017" s="21">
        <f t="shared" si="248"/>
        <v>0</v>
      </c>
      <c r="G1017" s="21"/>
      <c r="H1017" s="135">
        <f t="shared" si="253"/>
        <v>0</v>
      </c>
      <c r="I1017" s="294">
        <v>45029</v>
      </c>
      <c r="J1017" s="294">
        <v>45350</v>
      </c>
      <c r="K1017" s="10">
        <f>0.6*6929</f>
        <v>4157.3999999999996</v>
      </c>
      <c r="L1017" s="11"/>
      <c r="M1017" s="11"/>
      <c r="N1017" s="100"/>
      <c r="O1017" s="11">
        <f t="shared" si="249"/>
        <v>4157.3999999999996</v>
      </c>
      <c r="P1017" s="11">
        <f t="shared" si="250"/>
        <v>4157.3999999999996</v>
      </c>
      <c r="Q1017" s="11"/>
      <c r="R1017" s="11">
        <f t="shared" si="251"/>
        <v>0</v>
      </c>
      <c r="S1017" s="11"/>
      <c r="T1017" s="136">
        <f t="shared" si="252"/>
        <v>0</v>
      </c>
    </row>
    <row r="1018" spans="1:20" ht="15.75" customHeight="1">
      <c r="A1018" s="149">
        <v>21</v>
      </c>
      <c r="B1018" s="273"/>
      <c r="C1018" s="28" t="s">
        <v>2519</v>
      </c>
      <c r="D1018" s="41"/>
      <c r="E1018" s="131">
        <f t="shared" si="245"/>
        <v>0</v>
      </c>
      <c r="F1018" s="21">
        <f t="shared" si="248"/>
        <v>0</v>
      </c>
      <c r="G1018" s="21"/>
      <c r="H1018" s="135">
        <f t="shared" si="253"/>
        <v>0</v>
      </c>
      <c r="I1018" s="294">
        <v>45029</v>
      </c>
      <c r="J1018" s="294">
        <v>45350</v>
      </c>
      <c r="K1018" s="10">
        <f>0.6*8188</f>
        <v>4912.8</v>
      </c>
      <c r="L1018" s="11"/>
      <c r="M1018" s="11"/>
      <c r="N1018" s="100"/>
      <c r="O1018" s="11">
        <f t="shared" si="249"/>
        <v>4912.8</v>
      </c>
      <c r="P1018" s="11">
        <f t="shared" si="250"/>
        <v>4912.8</v>
      </c>
      <c r="Q1018" s="11"/>
      <c r="R1018" s="11">
        <f t="shared" si="251"/>
        <v>0</v>
      </c>
      <c r="S1018" s="11"/>
      <c r="T1018" s="136">
        <f t="shared" si="252"/>
        <v>0</v>
      </c>
    </row>
    <row r="1019" spans="1:20" ht="15.75" customHeight="1">
      <c r="A1019" s="149"/>
      <c r="B1019" s="273"/>
      <c r="C1019" s="28" t="s">
        <v>1526</v>
      </c>
      <c r="D1019" s="41">
        <v>1020</v>
      </c>
      <c r="E1019" s="131">
        <f t="shared" si="245"/>
        <v>0</v>
      </c>
      <c r="F1019" s="21" t="s">
        <v>1248</v>
      </c>
      <c r="G1019" s="21"/>
      <c r="H1019" s="135">
        <f t="shared" si="253"/>
        <v>0</v>
      </c>
      <c r="I1019" s="294">
        <v>43294</v>
      </c>
      <c r="J1019" s="294"/>
      <c r="K1019" s="11">
        <f>803*0.5*1.4*1.2*1.5</f>
        <v>1011.7799999999997</v>
      </c>
      <c r="L1019" s="11"/>
      <c r="M1019" s="11"/>
      <c r="N1019" s="100"/>
      <c r="O1019" s="11">
        <f t="shared" si="249"/>
        <v>1011.7799999999997</v>
      </c>
      <c r="P1019" s="11">
        <f t="shared" si="250"/>
        <v>1011.7799999999997</v>
      </c>
      <c r="Q1019" s="11"/>
      <c r="R1019" s="11">
        <f t="shared" si="251"/>
        <v>0</v>
      </c>
      <c r="S1019" s="11"/>
      <c r="T1019" s="136">
        <f t="shared" si="252"/>
        <v>0</v>
      </c>
    </row>
    <row r="1020" spans="1:20" ht="15.75" customHeight="1">
      <c r="A1020" s="149"/>
      <c r="B1020" s="273"/>
      <c r="C1020" s="28" t="s">
        <v>1527</v>
      </c>
      <c r="D1020" s="41">
        <v>710</v>
      </c>
      <c r="E1020" s="131">
        <f t="shared" si="245"/>
        <v>0</v>
      </c>
      <c r="F1020" s="21" t="s">
        <v>1248</v>
      </c>
      <c r="G1020" s="21"/>
      <c r="H1020" s="135">
        <f t="shared" si="253"/>
        <v>0</v>
      </c>
      <c r="I1020" s="294">
        <v>43294</v>
      </c>
      <c r="J1020" s="294"/>
      <c r="K1020" s="11">
        <f>16.5*0.9*100</f>
        <v>1485</v>
      </c>
      <c r="L1020" s="11"/>
      <c r="M1020" s="11"/>
      <c r="N1020" s="100"/>
      <c r="O1020" s="11">
        <f t="shared" si="249"/>
        <v>1485</v>
      </c>
      <c r="P1020" s="11">
        <f t="shared" si="250"/>
        <v>1485</v>
      </c>
      <c r="Q1020" s="11"/>
      <c r="R1020" s="11">
        <f t="shared" si="251"/>
        <v>0</v>
      </c>
      <c r="S1020" s="11"/>
      <c r="T1020" s="136">
        <f t="shared" si="252"/>
        <v>0</v>
      </c>
    </row>
    <row r="1021" spans="1:20" ht="15.75" customHeight="1">
      <c r="A1021" s="149">
        <v>30</v>
      </c>
      <c r="B1021" s="273"/>
      <c r="C1021" s="28" t="s">
        <v>44209</v>
      </c>
      <c r="D1021" s="41">
        <v>630</v>
      </c>
      <c r="E1021" s="131">
        <f t="shared" si="245"/>
        <v>48350</v>
      </c>
      <c r="F1021" s="21">
        <f t="shared" ref="F1021:F1055" si="254">+E1021*1.21</f>
        <v>58503.5</v>
      </c>
      <c r="G1021" s="21"/>
      <c r="H1021" s="135">
        <f t="shared" si="253"/>
        <v>0</v>
      </c>
      <c r="I1021" s="294">
        <v>45278</v>
      </c>
      <c r="J1021" s="294"/>
      <c r="K1021" s="11">
        <f>0.67*PROVEEDORES!$D$24*56.23</f>
        <v>33341.578500000003</v>
      </c>
      <c r="L1021" s="11"/>
      <c r="M1021" s="10"/>
      <c r="N1021" s="100"/>
      <c r="O1021" s="11">
        <f t="shared" si="249"/>
        <v>33341.578500000003</v>
      </c>
      <c r="P1021" s="11">
        <f t="shared" si="250"/>
        <v>33341.578500000003</v>
      </c>
      <c r="Q1021" s="11">
        <v>1.45</v>
      </c>
      <c r="R1021" s="11">
        <f t="shared" si="251"/>
        <v>48345.288825000003</v>
      </c>
      <c r="S1021" s="11"/>
      <c r="T1021" s="136">
        <f t="shared" si="252"/>
        <v>0</v>
      </c>
    </row>
    <row r="1022" spans="1:20" ht="15.75" customHeight="1">
      <c r="A1022" s="149">
        <v>30</v>
      </c>
      <c r="B1022" s="273"/>
      <c r="C1022" s="28" t="s">
        <v>44206</v>
      </c>
      <c r="D1022" s="41">
        <v>630</v>
      </c>
      <c r="E1022" s="131">
        <f t="shared" si="245"/>
        <v>42070</v>
      </c>
      <c r="F1022" s="21">
        <f t="shared" si="254"/>
        <v>50904.7</v>
      </c>
      <c r="G1022" s="21"/>
      <c r="H1022" s="135">
        <f t="shared" si="253"/>
        <v>0</v>
      </c>
      <c r="I1022" s="294">
        <v>45278</v>
      </c>
      <c r="J1022" s="294"/>
      <c r="K1022" s="11">
        <f>0.67*PROVEEDORES!$D$24*48.93</f>
        <v>29013.043500000003</v>
      </c>
      <c r="L1022" s="10"/>
      <c r="M1022" s="10"/>
      <c r="N1022" s="100"/>
      <c r="O1022" s="11">
        <f t="shared" si="249"/>
        <v>29013.043500000003</v>
      </c>
      <c r="P1022" s="11">
        <f t="shared" si="250"/>
        <v>29013.043500000003</v>
      </c>
      <c r="Q1022" s="11">
        <v>1.45</v>
      </c>
      <c r="R1022" s="11">
        <f t="shared" si="251"/>
        <v>42068.913075000004</v>
      </c>
      <c r="S1022" s="11"/>
      <c r="T1022" s="136">
        <f t="shared" si="252"/>
        <v>0</v>
      </c>
    </row>
    <row r="1023" spans="1:20" ht="15.75" customHeight="1">
      <c r="A1023" s="149">
        <v>30</v>
      </c>
      <c r="B1023" s="273"/>
      <c r="C1023" s="28" t="s">
        <v>44207</v>
      </c>
      <c r="D1023" s="41">
        <v>630</v>
      </c>
      <c r="E1023" s="131">
        <f t="shared" si="245"/>
        <v>69930</v>
      </c>
      <c r="F1023" s="21">
        <f t="shared" si="254"/>
        <v>84615.3</v>
      </c>
      <c r="G1023" s="21"/>
      <c r="H1023" s="135">
        <f t="shared" si="253"/>
        <v>0</v>
      </c>
      <c r="I1023" s="294">
        <v>45278</v>
      </c>
      <c r="J1023" s="294"/>
      <c r="K1023" s="11">
        <f>0.67*PROVEEDORES!$D$24*81.33</f>
        <v>48224.623500000002</v>
      </c>
      <c r="L1023" s="10"/>
      <c r="M1023" s="10"/>
      <c r="N1023" s="100"/>
      <c r="O1023" s="11">
        <f t="shared" si="249"/>
        <v>48224.623500000002</v>
      </c>
      <c r="P1023" s="11">
        <f t="shared" si="250"/>
        <v>48224.623500000002</v>
      </c>
      <c r="Q1023" s="11">
        <v>1.45</v>
      </c>
      <c r="R1023" s="11">
        <f t="shared" si="251"/>
        <v>69925.704075000001</v>
      </c>
      <c r="S1023" s="11"/>
      <c r="T1023" s="136">
        <f t="shared" si="252"/>
        <v>0</v>
      </c>
    </row>
    <row r="1024" spans="1:20" ht="15.75" customHeight="1">
      <c r="A1024" s="149">
        <v>30</v>
      </c>
      <c r="B1024" s="273"/>
      <c r="C1024" s="28" t="s">
        <v>44208</v>
      </c>
      <c r="D1024" s="41">
        <v>630</v>
      </c>
      <c r="E1024" s="131">
        <f t="shared" si="245"/>
        <v>96840</v>
      </c>
      <c r="F1024" s="21">
        <f t="shared" si="254"/>
        <v>117176.4</v>
      </c>
      <c r="G1024" s="21"/>
      <c r="H1024" s="135">
        <f t="shared" si="253"/>
        <v>0</v>
      </c>
      <c r="I1024" s="294">
        <v>45278</v>
      </c>
      <c r="J1024" s="294"/>
      <c r="K1024" s="11">
        <f>0.67*PROVEEDORES!$D$24*112.63</f>
        <v>66783.958500000008</v>
      </c>
      <c r="L1024" s="10"/>
      <c r="M1024" s="10"/>
      <c r="N1024" s="100"/>
      <c r="O1024" s="11">
        <f t="shared" si="249"/>
        <v>66783.958500000008</v>
      </c>
      <c r="P1024" s="11">
        <f t="shared" si="250"/>
        <v>66783.958500000008</v>
      </c>
      <c r="Q1024" s="11">
        <v>1.45</v>
      </c>
      <c r="R1024" s="11">
        <f t="shared" si="251"/>
        <v>96836.739825000011</v>
      </c>
      <c r="S1024" s="11"/>
      <c r="T1024" s="136">
        <f t="shared" si="252"/>
        <v>0</v>
      </c>
    </row>
    <row r="1025" spans="1:20" ht="15.75" customHeight="1">
      <c r="A1025" s="149">
        <v>30</v>
      </c>
      <c r="B1025" s="273">
        <v>0</v>
      </c>
      <c r="C1025" s="28" t="s">
        <v>44205</v>
      </c>
      <c r="D1025" s="41">
        <v>630</v>
      </c>
      <c r="E1025" s="131">
        <f>ROUNDUP(R1025,-1)</f>
        <v>133660</v>
      </c>
      <c r="F1025" s="21">
        <f>+E1025*1.21</f>
        <v>161728.6</v>
      </c>
      <c r="G1025" s="21"/>
      <c r="H1025" s="135">
        <f>ROUNDUP(T1025,-1)</f>
        <v>0</v>
      </c>
      <c r="I1025" s="294">
        <v>45278</v>
      </c>
      <c r="J1025" s="294"/>
      <c r="K1025" s="11">
        <f>PROVEEDORES!$D$24*107.87</f>
        <v>95464.95</v>
      </c>
      <c r="L1025" s="10"/>
      <c r="M1025" s="10"/>
      <c r="N1025" s="100"/>
      <c r="O1025" s="11">
        <f>MIN(K1025:M1025)</f>
        <v>95464.95</v>
      </c>
      <c r="P1025" s="11">
        <f>+O1025</f>
        <v>95464.95</v>
      </c>
      <c r="Q1025" s="11">
        <v>1.4</v>
      </c>
      <c r="R1025" s="11">
        <f>+P1025*Q1025</f>
        <v>133650.93</v>
      </c>
      <c r="S1025" s="11"/>
      <c r="T1025" s="136">
        <f>+N1025*Q1025</f>
        <v>0</v>
      </c>
    </row>
    <row r="1026" spans="1:20" ht="15.75" customHeight="1">
      <c r="A1026" s="149" t="s">
        <v>3918</v>
      </c>
      <c r="B1026" s="273"/>
      <c r="C1026" s="28" t="s">
        <v>44270</v>
      </c>
      <c r="D1026" s="41">
        <v>150</v>
      </c>
      <c r="E1026" s="131">
        <f t="shared" si="245"/>
        <v>2700</v>
      </c>
      <c r="F1026" s="21">
        <f t="shared" si="254"/>
        <v>3267</v>
      </c>
      <c r="G1026" s="21"/>
      <c r="H1026" s="135">
        <f t="shared" si="253"/>
        <v>0</v>
      </c>
      <c r="I1026" s="294">
        <v>45254</v>
      </c>
      <c r="J1026" s="294">
        <v>45385</v>
      </c>
      <c r="K1026" s="10"/>
      <c r="L1026" s="11">
        <f>603*2.5*2</f>
        <v>3015</v>
      </c>
      <c r="M1026" s="11">
        <f>0.7*0.9*2850</f>
        <v>1795.5</v>
      </c>
      <c r="N1026" s="100"/>
      <c r="O1026" s="11">
        <f t="shared" si="249"/>
        <v>1795.5</v>
      </c>
      <c r="P1026" s="11">
        <f t="shared" si="250"/>
        <v>1795.5</v>
      </c>
      <c r="Q1026" s="11">
        <v>1.5</v>
      </c>
      <c r="R1026" s="11">
        <f t="shared" si="251"/>
        <v>2693.25</v>
      </c>
      <c r="S1026" s="11"/>
      <c r="T1026" s="136">
        <f t="shared" si="252"/>
        <v>0</v>
      </c>
    </row>
    <row r="1027" spans="1:20" ht="15.75" customHeight="1">
      <c r="A1027" s="149">
        <v>101</v>
      </c>
      <c r="B1027" s="273"/>
      <c r="C1027" s="28" t="s">
        <v>44271</v>
      </c>
      <c r="D1027" s="41">
        <v>150</v>
      </c>
      <c r="E1027" s="131">
        <f>ROUNDUP(R1027,-1)</f>
        <v>3930</v>
      </c>
      <c r="F1027" s="21">
        <f>+E1027*1.21</f>
        <v>4755.3</v>
      </c>
      <c r="G1027" s="21"/>
      <c r="H1027" s="135">
        <f>ROUNDUP(T1027,-1)</f>
        <v>0</v>
      </c>
      <c r="I1027" s="294">
        <v>45254</v>
      </c>
      <c r="J1027" s="294">
        <v>45385</v>
      </c>
      <c r="K1027" s="11">
        <f>0.7*0.9*4150</f>
        <v>2614.5</v>
      </c>
      <c r="L1027" s="11"/>
      <c r="M1027" s="11"/>
      <c r="N1027" s="100"/>
      <c r="O1027" s="11">
        <f>MIN(K1027:M1027)</f>
        <v>2614.5</v>
      </c>
      <c r="P1027" s="11">
        <f>+O1027</f>
        <v>2614.5</v>
      </c>
      <c r="Q1027" s="11">
        <v>1.5</v>
      </c>
      <c r="R1027" s="11">
        <f>+P1027*Q1027</f>
        <v>3921.75</v>
      </c>
      <c r="S1027" s="11"/>
      <c r="T1027" s="136">
        <f>+N1027*Q1027</f>
        <v>0</v>
      </c>
    </row>
    <row r="1028" spans="1:20" ht="15.75" customHeight="1">
      <c r="A1028" s="149" t="s">
        <v>2402</v>
      </c>
      <c r="B1028" s="273"/>
      <c r="C1028" s="28" t="s">
        <v>2774</v>
      </c>
      <c r="D1028" s="41">
        <v>30</v>
      </c>
      <c r="E1028" s="131">
        <f t="shared" si="245"/>
        <v>3350</v>
      </c>
      <c r="F1028" s="21">
        <f t="shared" si="254"/>
        <v>4053.5</v>
      </c>
      <c r="G1028" s="21"/>
      <c r="H1028" s="135">
        <f t="shared" si="253"/>
        <v>0</v>
      </c>
      <c r="I1028" s="294">
        <v>45217</v>
      </c>
      <c r="J1028" s="294">
        <v>45329</v>
      </c>
      <c r="K1028" s="10">
        <f>0.6*3722</f>
        <v>2233.1999999999998</v>
      </c>
      <c r="L1028" s="11"/>
      <c r="M1028" s="11"/>
      <c r="N1028" s="100"/>
      <c r="O1028" s="11">
        <f t="shared" si="249"/>
        <v>2233.1999999999998</v>
      </c>
      <c r="P1028" s="11">
        <f t="shared" si="250"/>
        <v>2233.1999999999998</v>
      </c>
      <c r="Q1028" s="11">
        <v>1.5</v>
      </c>
      <c r="R1028" s="11">
        <f t="shared" si="251"/>
        <v>3349.7999999999997</v>
      </c>
      <c r="S1028" s="11"/>
      <c r="T1028" s="136">
        <f t="shared" si="252"/>
        <v>0</v>
      </c>
    </row>
    <row r="1029" spans="1:20" ht="15.75" customHeight="1">
      <c r="A1029" s="149" t="s">
        <v>2402</v>
      </c>
      <c r="B1029" s="273"/>
      <c r="C1029" s="28" t="s">
        <v>2775</v>
      </c>
      <c r="D1029" s="41">
        <v>32</v>
      </c>
      <c r="E1029" s="131">
        <f t="shared" si="245"/>
        <v>3420</v>
      </c>
      <c r="F1029" s="21">
        <f t="shared" si="254"/>
        <v>4138.2</v>
      </c>
      <c r="G1029" s="21"/>
      <c r="H1029" s="135">
        <f t="shared" si="253"/>
        <v>0</v>
      </c>
      <c r="I1029" s="294">
        <v>45217</v>
      </c>
      <c r="J1029" s="294">
        <v>45329</v>
      </c>
      <c r="K1029" s="10">
        <f>0.6*3791</f>
        <v>2274.6</v>
      </c>
      <c r="L1029" s="11"/>
      <c r="M1029" s="11"/>
      <c r="N1029" s="100"/>
      <c r="O1029" s="11">
        <f t="shared" si="249"/>
        <v>2274.6</v>
      </c>
      <c r="P1029" s="11">
        <f t="shared" si="250"/>
        <v>2274.6</v>
      </c>
      <c r="Q1029" s="11">
        <v>1.5</v>
      </c>
      <c r="R1029" s="11">
        <f t="shared" si="251"/>
        <v>3411.8999999999996</v>
      </c>
      <c r="S1029" s="11"/>
      <c r="T1029" s="136">
        <f t="shared" si="252"/>
        <v>0</v>
      </c>
    </row>
    <row r="1030" spans="1:20" ht="15.75" customHeight="1">
      <c r="A1030" s="149" t="s">
        <v>2402</v>
      </c>
      <c r="B1030" s="273"/>
      <c r="C1030" s="28" t="s">
        <v>2776</v>
      </c>
      <c r="D1030" s="41">
        <v>35</v>
      </c>
      <c r="E1030" s="131">
        <f t="shared" si="245"/>
        <v>3460</v>
      </c>
      <c r="F1030" s="21">
        <f t="shared" si="254"/>
        <v>4186.5999999999995</v>
      </c>
      <c r="G1030" s="21"/>
      <c r="H1030" s="135">
        <f t="shared" si="253"/>
        <v>0</v>
      </c>
      <c r="I1030" s="294">
        <v>45217</v>
      </c>
      <c r="J1030" s="294">
        <v>45329</v>
      </c>
      <c r="K1030" s="11">
        <f>0.6*3836</f>
        <v>2301.6</v>
      </c>
      <c r="L1030" s="11"/>
      <c r="M1030" s="11"/>
      <c r="N1030" s="100"/>
      <c r="O1030" s="11">
        <f t="shared" si="249"/>
        <v>2301.6</v>
      </c>
      <c r="P1030" s="11">
        <f t="shared" si="250"/>
        <v>2301.6</v>
      </c>
      <c r="Q1030" s="11">
        <v>1.5</v>
      </c>
      <c r="R1030" s="11">
        <f t="shared" si="251"/>
        <v>3452.3999999999996</v>
      </c>
      <c r="S1030" s="11"/>
      <c r="T1030" s="136">
        <f t="shared" si="252"/>
        <v>0</v>
      </c>
    </row>
    <row r="1031" spans="1:20" ht="15.75" customHeight="1">
      <c r="A1031" s="149">
        <v>38</v>
      </c>
      <c r="B1031" s="273"/>
      <c r="C1031" s="28" t="s">
        <v>3750</v>
      </c>
      <c r="D1031" s="41"/>
      <c r="E1031" s="131">
        <f t="shared" si="245"/>
        <v>4810</v>
      </c>
      <c r="F1031" s="21">
        <f t="shared" si="254"/>
        <v>5820.0999999999995</v>
      </c>
      <c r="G1031" s="21"/>
      <c r="H1031" s="135">
        <f t="shared" si="253"/>
        <v>4160</v>
      </c>
      <c r="I1031" s="294">
        <v>45138</v>
      </c>
      <c r="J1031" s="294">
        <v>45274</v>
      </c>
      <c r="K1031" s="11">
        <f>+PROVEEDORES!$D$32*3.05</f>
        <v>3202.5</v>
      </c>
      <c r="L1031" s="11"/>
      <c r="M1031" s="11"/>
      <c r="N1031" s="100">
        <v>2771</v>
      </c>
      <c r="O1031" s="11">
        <f t="shared" si="249"/>
        <v>3202.5</v>
      </c>
      <c r="P1031" s="11">
        <f t="shared" si="250"/>
        <v>3202.5</v>
      </c>
      <c r="Q1031" s="11">
        <v>1.5</v>
      </c>
      <c r="R1031" s="11">
        <f t="shared" si="251"/>
        <v>4803.75</v>
      </c>
      <c r="S1031" s="11"/>
      <c r="T1031" s="136">
        <f t="shared" si="252"/>
        <v>4156.5</v>
      </c>
    </row>
    <row r="1032" spans="1:20" ht="15.75" customHeight="1">
      <c r="A1032" s="149"/>
      <c r="B1032" s="273"/>
      <c r="C1032" s="28" t="s">
        <v>2194</v>
      </c>
      <c r="D1032" s="41">
        <v>490</v>
      </c>
      <c r="E1032" s="131">
        <f t="shared" si="245"/>
        <v>1490</v>
      </c>
      <c r="F1032" s="21">
        <f t="shared" si="254"/>
        <v>1802.8999999999999</v>
      </c>
      <c r="G1032" s="21"/>
      <c r="H1032" s="135">
        <f t="shared" si="253"/>
        <v>0</v>
      </c>
      <c r="I1032" s="294">
        <v>44422</v>
      </c>
      <c r="J1032" s="294"/>
      <c r="K1032" s="11">
        <f>300*1.5*1.1*2</f>
        <v>990.00000000000011</v>
      </c>
      <c r="L1032" s="11"/>
      <c r="M1032" s="11"/>
      <c r="N1032" s="100"/>
      <c r="O1032" s="11">
        <f t="shared" si="249"/>
        <v>990.00000000000011</v>
      </c>
      <c r="P1032" s="11">
        <f t="shared" si="250"/>
        <v>990.00000000000011</v>
      </c>
      <c r="Q1032" s="11">
        <v>1.5</v>
      </c>
      <c r="R1032" s="11">
        <f t="shared" si="251"/>
        <v>1485.0000000000002</v>
      </c>
      <c r="S1032" s="11"/>
      <c r="T1032" s="136">
        <f t="shared" si="252"/>
        <v>0</v>
      </c>
    </row>
    <row r="1033" spans="1:20" ht="15.75" customHeight="1">
      <c r="A1033" s="149" t="s">
        <v>2403</v>
      </c>
      <c r="B1033" s="273"/>
      <c r="C1033" s="28" t="s">
        <v>2520</v>
      </c>
      <c r="D1033" s="41">
        <v>230</v>
      </c>
      <c r="E1033" s="131">
        <f t="shared" si="245"/>
        <v>2860</v>
      </c>
      <c r="F1033" s="21">
        <f t="shared" si="254"/>
        <v>3460.6</v>
      </c>
      <c r="G1033" s="21"/>
      <c r="H1033" s="135">
        <f t="shared" si="253"/>
        <v>0</v>
      </c>
      <c r="I1033" s="294">
        <v>45273</v>
      </c>
      <c r="J1033" s="294"/>
      <c r="K1033" s="10"/>
      <c r="L1033" s="10">
        <f>0.6*3172</f>
        <v>1903.1999999999998</v>
      </c>
      <c r="M1033" s="11"/>
      <c r="N1033" s="100"/>
      <c r="O1033" s="11">
        <f t="shared" si="249"/>
        <v>1903.1999999999998</v>
      </c>
      <c r="P1033" s="11">
        <f t="shared" si="250"/>
        <v>1903.1999999999998</v>
      </c>
      <c r="Q1033" s="11">
        <v>1.5</v>
      </c>
      <c r="R1033" s="11">
        <f t="shared" si="251"/>
        <v>2854.7999999999997</v>
      </c>
      <c r="S1033" s="11"/>
      <c r="T1033" s="136">
        <f t="shared" si="252"/>
        <v>0</v>
      </c>
    </row>
    <row r="1034" spans="1:20" ht="15.75" customHeight="1">
      <c r="A1034" s="149" t="s">
        <v>2403</v>
      </c>
      <c r="B1034" s="273"/>
      <c r="C1034" s="28" t="s">
        <v>3756</v>
      </c>
      <c r="D1034" s="41">
        <v>230</v>
      </c>
      <c r="E1034" s="131">
        <f t="shared" si="245"/>
        <v>3650</v>
      </c>
      <c r="F1034" s="21">
        <f t="shared" si="254"/>
        <v>4416.5</v>
      </c>
      <c r="G1034" s="21"/>
      <c r="H1034" s="135">
        <f t="shared" si="253"/>
        <v>0</v>
      </c>
      <c r="I1034" s="294">
        <v>45273</v>
      </c>
      <c r="J1034" s="294"/>
      <c r="K1034" s="10"/>
      <c r="L1034" s="10">
        <f>0.6*4048</f>
        <v>2428.7999999999997</v>
      </c>
      <c r="M1034" s="11"/>
      <c r="N1034" s="100"/>
      <c r="O1034" s="11">
        <f t="shared" si="249"/>
        <v>2428.7999999999997</v>
      </c>
      <c r="P1034" s="11">
        <f t="shared" si="250"/>
        <v>2428.7999999999997</v>
      </c>
      <c r="Q1034" s="11">
        <v>1.5</v>
      </c>
      <c r="R1034" s="11">
        <f t="shared" si="251"/>
        <v>3643.2</v>
      </c>
      <c r="S1034" s="11"/>
      <c r="T1034" s="136">
        <f t="shared" si="252"/>
        <v>0</v>
      </c>
    </row>
    <row r="1035" spans="1:20" ht="15.75" customHeight="1">
      <c r="A1035" s="149" t="s">
        <v>2403</v>
      </c>
      <c r="B1035" s="273"/>
      <c r="C1035" s="28" t="s">
        <v>3757</v>
      </c>
      <c r="D1035" s="41">
        <v>230</v>
      </c>
      <c r="E1035" s="131">
        <f t="shared" si="245"/>
        <v>5580</v>
      </c>
      <c r="F1035" s="21">
        <f t="shared" si="254"/>
        <v>6751.8</v>
      </c>
      <c r="G1035" s="21"/>
      <c r="H1035" s="135">
        <f t="shared" si="253"/>
        <v>0</v>
      </c>
      <c r="I1035" s="294">
        <v>45273</v>
      </c>
      <c r="J1035" s="294"/>
      <c r="K1035" s="10"/>
      <c r="L1035" s="10">
        <f>0.6*6193</f>
        <v>3715.7999999999997</v>
      </c>
      <c r="M1035" s="11"/>
      <c r="N1035" s="100"/>
      <c r="O1035" s="11">
        <f t="shared" si="249"/>
        <v>3715.7999999999997</v>
      </c>
      <c r="P1035" s="11">
        <f t="shared" si="250"/>
        <v>3715.7999999999997</v>
      </c>
      <c r="Q1035" s="11">
        <v>1.5</v>
      </c>
      <c r="R1035" s="11">
        <f t="shared" si="251"/>
        <v>5573.7</v>
      </c>
      <c r="S1035" s="11"/>
      <c r="T1035" s="136">
        <f t="shared" si="252"/>
        <v>0</v>
      </c>
    </row>
    <row r="1036" spans="1:20" ht="15.75" customHeight="1">
      <c r="A1036" s="149" t="s">
        <v>2403</v>
      </c>
      <c r="B1036" s="273"/>
      <c r="C1036" s="28" t="s">
        <v>4043</v>
      </c>
      <c r="D1036" s="41"/>
      <c r="E1036" s="131">
        <f t="shared" si="245"/>
        <v>2290</v>
      </c>
      <c r="F1036" s="21">
        <f t="shared" si="254"/>
        <v>2770.9</v>
      </c>
      <c r="G1036" s="21"/>
      <c r="H1036" s="135">
        <f t="shared" si="253"/>
        <v>0</v>
      </c>
      <c r="I1036" s="294">
        <v>45273</v>
      </c>
      <c r="J1036" s="294"/>
      <c r="K1036" s="11"/>
      <c r="L1036" s="11">
        <f>0.6*2537</f>
        <v>1522.2</v>
      </c>
      <c r="M1036" s="11"/>
      <c r="N1036" s="100"/>
      <c r="O1036" s="11">
        <f t="shared" si="249"/>
        <v>1522.2</v>
      </c>
      <c r="P1036" s="11">
        <f t="shared" si="250"/>
        <v>1522.2</v>
      </c>
      <c r="Q1036" s="11">
        <v>1.5</v>
      </c>
      <c r="R1036" s="11">
        <f t="shared" si="251"/>
        <v>2283.3000000000002</v>
      </c>
      <c r="S1036" s="11"/>
      <c r="T1036" s="136">
        <f t="shared" si="252"/>
        <v>0</v>
      </c>
    </row>
    <row r="1037" spans="1:20" ht="15.75" customHeight="1">
      <c r="A1037" s="149" t="s">
        <v>2403</v>
      </c>
      <c r="B1037" s="273"/>
      <c r="C1037" s="28" t="s">
        <v>4044</v>
      </c>
      <c r="D1037" s="41"/>
      <c r="E1037" s="131">
        <f t="shared" si="245"/>
        <v>2390</v>
      </c>
      <c r="F1037" s="21">
        <f t="shared" si="254"/>
        <v>2891.9</v>
      </c>
      <c r="G1037" s="21"/>
      <c r="H1037" s="135">
        <f t="shared" si="253"/>
        <v>0</v>
      </c>
      <c r="I1037" s="294">
        <v>45273</v>
      </c>
      <c r="J1037" s="294"/>
      <c r="K1037" s="11"/>
      <c r="L1037" s="11">
        <f>0.6*2649</f>
        <v>1589.3999999999999</v>
      </c>
      <c r="M1037" s="11"/>
      <c r="N1037" s="100"/>
      <c r="O1037" s="11">
        <f t="shared" si="249"/>
        <v>1589.3999999999999</v>
      </c>
      <c r="P1037" s="11">
        <f t="shared" si="250"/>
        <v>1589.3999999999999</v>
      </c>
      <c r="Q1037" s="11">
        <v>1.5</v>
      </c>
      <c r="R1037" s="11">
        <f t="shared" si="251"/>
        <v>2384.1</v>
      </c>
      <c r="S1037" s="11"/>
      <c r="T1037" s="136">
        <f t="shared" si="252"/>
        <v>0</v>
      </c>
    </row>
    <row r="1038" spans="1:20" ht="15.75" customHeight="1">
      <c r="A1038" s="149" t="s">
        <v>2403</v>
      </c>
      <c r="B1038" s="273"/>
      <c r="C1038" s="28" t="s">
        <v>2521</v>
      </c>
      <c r="D1038" s="41">
        <v>260</v>
      </c>
      <c r="E1038" s="131">
        <f t="shared" si="245"/>
        <v>3180</v>
      </c>
      <c r="F1038" s="21">
        <f t="shared" si="254"/>
        <v>3847.7999999999997</v>
      </c>
      <c r="G1038" s="21"/>
      <c r="H1038" s="135">
        <f t="shared" si="253"/>
        <v>0</v>
      </c>
      <c r="I1038" s="294">
        <v>45273</v>
      </c>
      <c r="J1038" s="294"/>
      <c r="K1038" s="11"/>
      <c r="L1038" s="10">
        <f>0.6*3526</f>
        <v>2115.6</v>
      </c>
      <c r="M1038" s="11"/>
      <c r="N1038" s="100"/>
      <c r="O1038" s="11">
        <f t="shared" si="249"/>
        <v>2115.6</v>
      </c>
      <c r="P1038" s="11">
        <f t="shared" si="250"/>
        <v>2115.6</v>
      </c>
      <c r="Q1038" s="11">
        <v>1.5</v>
      </c>
      <c r="R1038" s="11">
        <f t="shared" si="251"/>
        <v>3173.3999999999996</v>
      </c>
      <c r="S1038" s="11"/>
      <c r="T1038" s="136">
        <f t="shared" si="252"/>
        <v>0</v>
      </c>
    </row>
    <row r="1039" spans="1:20" ht="15.75" customHeight="1">
      <c r="A1039" s="149" t="s">
        <v>2403</v>
      </c>
      <c r="B1039" s="273"/>
      <c r="C1039" s="28" t="s">
        <v>4045</v>
      </c>
      <c r="D1039" s="41"/>
      <c r="E1039" s="131">
        <f t="shared" ref="E1039:E1106" si="255">ROUNDUP(R1039,-1)</f>
        <v>2590</v>
      </c>
      <c r="F1039" s="21">
        <f t="shared" si="254"/>
        <v>3133.9</v>
      </c>
      <c r="G1039" s="21"/>
      <c r="H1039" s="135">
        <f t="shared" si="253"/>
        <v>0</v>
      </c>
      <c r="I1039" s="294">
        <v>45273</v>
      </c>
      <c r="J1039" s="294"/>
      <c r="K1039" s="11"/>
      <c r="L1039" s="11">
        <f>0.6*2873</f>
        <v>1723.8</v>
      </c>
      <c r="M1039" s="11"/>
      <c r="N1039" s="100"/>
      <c r="O1039" s="11">
        <f t="shared" si="249"/>
        <v>1723.8</v>
      </c>
      <c r="P1039" s="11">
        <f t="shared" si="250"/>
        <v>1723.8</v>
      </c>
      <c r="Q1039" s="11">
        <v>1.5</v>
      </c>
      <c r="R1039" s="11">
        <f t="shared" si="251"/>
        <v>2585.6999999999998</v>
      </c>
      <c r="S1039" s="11"/>
      <c r="T1039" s="136">
        <f t="shared" si="252"/>
        <v>0</v>
      </c>
    </row>
    <row r="1040" spans="1:20" ht="15.75" customHeight="1">
      <c r="A1040" s="149" t="s">
        <v>2403</v>
      </c>
      <c r="B1040" s="273"/>
      <c r="C1040" s="28" t="s">
        <v>2522</v>
      </c>
      <c r="D1040" s="41">
        <v>280</v>
      </c>
      <c r="E1040" s="131">
        <f t="shared" si="255"/>
        <v>3510</v>
      </c>
      <c r="F1040" s="21">
        <f t="shared" si="254"/>
        <v>4247.0999999999995</v>
      </c>
      <c r="G1040" s="21"/>
      <c r="H1040" s="135">
        <f t="shared" si="253"/>
        <v>0</v>
      </c>
      <c r="I1040" s="294">
        <v>45273</v>
      </c>
      <c r="J1040" s="294"/>
      <c r="K1040" s="11"/>
      <c r="L1040" s="11">
        <f>0.6*3899</f>
        <v>2339.4</v>
      </c>
      <c r="M1040" s="11"/>
      <c r="N1040" s="100"/>
      <c r="O1040" s="11">
        <f t="shared" si="249"/>
        <v>2339.4</v>
      </c>
      <c r="P1040" s="11">
        <f t="shared" si="250"/>
        <v>2339.4</v>
      </c>
      <c r="Q1040" s="11">
        <v>1.5</v>
      </c>
      <c r="R1040" s="11">
        <f t="shared" si="251"/>
        <v>3509.1000000000004</v>
      </c>
      <c r="S1040" s="11"/>
      <c r="T1040" s="136">
        <f t="shared" si="252"/>
        <v>0</v>
      </c>
    </row>
    <row r="1041" spans="1:20" ht="15.75" customHeight="1">
      <c r="A1041" s="149" t="s">
        <v>2403</v>
      </c>
      <c r="B1041" s="273"/>
      <c r="C1041" s="28" t="s">
        <v>4046</v>
      </c>
      <c r="D1041" s="41"/>
      <c r="E1041" s="131">
        <f t="shared" si="255"/>
        <v>2670</v>
      </c>
      <c r="F1041" s="21">
        <f t="shared" si="254"/>
        <v>3230.7</v>
      </c>
      <c r="G1041" s="21"/>
      <c r="H1041" s="135">
        <f t="shared" ref="H1041:H1071" si="256">ROUNDUP(T1041,-1)</f>
        <v>0</v>
      </c>
      <c r="I1041" s="294">
        <v>45273</v>
      </c>
      <c r="J1041" s="294"/>
      <c r="K1041" s="11"/>
      <c r="L1041" s="11">
        <f>0.6*2966</f>
        <v>1779.6</v>
      </c>
      <c r="M1041" s="11"/>
      <c r="N1041" s="100"/>
      <c r="O1041" s="11">
        <f t="shared" si="249"/>
        <v>1779.6</v>
      </c>
      <c r="P1041" s="11">
        <f t="shared" si="250"/>
        <v>1779.6</v>
      </c>
      <c r="Q1041" s="11">
        <v>1.5</v>
      </c>
      <c r="R1041" s="11">
        <f t="shared" si="251"/>
        <v>2669.3999999999996</v>
      </c>
      <c r="S1041" s="11"/>
      <c r="T1041" s="136">
        <f t="shared" si="252"/>
        <v>0</v>
      </c>
    </row>
    <row r="1042" spans="1:20" ht="15.75" customHeight="1">
      <c r="A1042" s="149" t="s">
        <v>2403</v>
      </c>
      <c r="B1042" s="273"/>
      <c r="C1042" s="28" t="s">
        <v>4047</v>
      </c>
      <c r="D1042" s="41"/>
      <c r="E1042" s="131">
        <f t="shared" si="255"/>
        <v>2790</v>
      </c>
      <c r="F1042" s="21">
        <f t="shared" si="254"/>
        <v>3375.9</v>
      </c>
      <c r="G1042" s="21"/>
      <c r="H1042" s="135">
        <f t="shared" si="256"/>
        <v>0</v>
      </c>
      <c r="I1042" s="294">
        <v>45273</v>
      </c>
      <c r="J1042" s="294"/>
      <c r="K1042" s="11"/>
      <c r="L1042" s="11">
        <f>0.6*3097</f>
        <v>1858.1999999999998</v>
      </c>
      <c r="M1042" s="11"/>
      <c r="N1042" s="100"/>
      <c r="O1042" s="11">
        <f t="shared" si="249"/>
        <v>1858.1999999999998</v>
      </c>
      <c r="P1042" s="11">
        <f t="shared" si="250"/>
        <v>1858.1999999999998</v>
      </c>
      <c r="Q1042" s="11">
        <v>1.5</v>
      </c>
      <c r="R1042" s="11">
        <f t="shared" si="251"/>
        <v>2787.2999999999997</v>
      </c>
      <c r="S1042" s="11"/>
      <c r="T1042" s="136">
        <f t="shared" si="252"/>
        <v>0</v>
      </c>
    </row>
    <row r="1043" spans="1:20" ht="15.75" customHeight="1">
      <c r="A1043" s="149" t="s">
        <v>2403</v>
      </c>
      <c r="B1043" s="273"/>
      <c r="C1043" s="28" t="s">
        <v>2523</v>
      </c>
      <c r="D1043" s="41">
        <v>300</v>
      </c>
      <c r="E1043" s="131">
        <f t="shared" si="255"/>
        <v>4190</v>
      </c>
      <c r="F1043" s="21">
        <f t="shared" si="254"/>
        <v>5069.8999999999996</v>
      </c>
      <c r="G1043" s="21"/>
      <c r="H1043" s="135">
        <f t="shared" si="256"/>
        <v>0</v>
      </c>
      <c r="I1043" s="294">
        <v>45273</v>
      </c>
      <c r="J1043" s="294"/>
      <c r="K1043" s="11"/>
      <c r="L1043" s="10">
        <f>0.6*4645</f>
        <v>2787</v>
      </c>
      <c r="M1043" s="11"/>
      <c r="N1043" s="100"/>
      <c r="O1043" s="11">
        <f t="shared" si="249"/>
        <v>2787</v>
      </c>
      <c r="P1043" s="11">
        <f t="shared" si="250"/>
        <v>2787</v>
      </c>
      <c r="Q1043" s="11">
        <v>1.5</v>
      </c>
      <c r="R1043" s="11">
        <f t="shared" si="251"/>
        <v>4180.5</v>
      </c>
      <c r="S1043" s="11"/>
      <c r="T1043" s="136">
        <f t="shared" si="252"/>
        <v>0</v>
      </c>
    </row>
    <row r="1044" spans="1:20" ht="15.75" customHeight="1">
      <c r="A1044" s="149">
        <v>21</v>
      </c>
      <c r="B1044" s="273"/>
      <c r="C1044" s="28" t="s">
        <v>2524</v>
      </c>
      <c r="D1044" s="41">
        <v>70</v>
      </c>
      <c r="E1044" s="131">
        <f t="shared" si="255"/>
        <v>1360</v>
      </c>
      <c r="F1044" s="21">
        <f t="shared" si="254"/>
        <v>1645.6</v>
      </c>
      <c r="G1044" s="21"/>
      <c r="H1044" s="135">
        <f t="shared" si="256"/>
        <v>0</v>
      </c>
      <c r="I1044" s="294">
        <v>45273</v>
      </c>
      <c r="J1044" s="294"/>
      <c r="K1044" s="10">
        <f>0.6*1505</f>
        <v>903</v>
      </c>
      <c r="L1044" s="11"/>
      <c r="M1044" s="11"/>
      <c r="N1044" s="100"/>
      <c r="O1044" s="11">
        <f t="shared" si="249"/>
        <v>903</v>
      </c>
      <c r="P1044" s="11">
        <f t="shared" si="250"/>
        <v>903</v>
      </c>
      <c r="Q1044" s="11">
        <v>1.5</v>
      </c>
      <c r="R1044" s="11">
        <f t="shared" si="251"/>
        <v>1354.5</v>
      </c>
      <c r="S1044" s="11"/>
      <c r="T1044" s="136">
        <f t="shared" si="252"/>
        <v>0</v>
      </c>
    </row>
    <row r="1045" spans="1:20" ht="15.75" customHeight="1">
      <c r="A1045" s="149">
        <v>21</v>
      </c>
      <c r="B1045" s="273"/>
      <c r="C1045" s="28" t="s">
        <v>2525</v>
      </c>
      <c r="D1045" s="41">
        <v>70</v>
      </c>
      <c r="E1045" s="131">
        <f t="shared" si="255"/>
        <v>1920</v>
      </c>
      <c r="F1045" s="21">
        <f t="shared" si="254"/>
        <v>2323.1999999999998</v>
      </c>
      <c r="G1045" s="21">
        <f>1280*1.45</f>
        <v>1856</v>
      </c>
      <c r="H1045" s="135">
        <f t="shared" si="256"/>
        <v>0</v>
      </c>
      <c r="I1045" s="294">
        <v>45387</v>
      </c>
      <c r="J1045" s="294"/>
      <c r="K1045" s="10">
        <f>0.6*2129</f>
        <v>1277.3999999999999</v>
      </c>
      <c r="L1045" s="11"/>
      <c r="M1045" s="11"/>
      <c r="N1045" s="100"/>
      <c r="O1045" s="11">
        <f t="shared" si="249"/>
        <v>1277.3999999999999</v>
      </c>
      <c r="P1045" s="11">
        <f t="shared" si="250"/>
        <v>1277.3999999999999</v>
      </c>
      <c r="Q1045" s="11">
        <v>1.5</v>
      </c>
      <c r="R1045" s="11">
        <f t="shared" si="251"/>
        <v>1916.1</v>
      </c>
      <c r="S1045" s="11"/>
      <c r="T1045" s="136">
        <f t="shared" si="252"/>
        <v>0</v>
      </c>
    </row>
    <row r="1046" spans="1:20" ht="15.75" customHeight="1">
      <c r="A1046" s="149" t="s">
        <v>3714</v>
      </c>
      <c r="B1046" s="273"/>
      <c r="C1046" s="28" t="s">
        <v>2526</v>
      </c>
      <c r="D1046" s="41">
        <v>80</v>
      </c>
      <c r="E1046" s="131">
        <f t="shared" si="255"/>
        <v>1760</v>
      </c>
      <c r="F1046" s="21">
        <f t="shared" si="254"/>
        <v>2129.6</v>
      </c>
      <c r="G1046" s="21"/>
      <c r="H1046" s="135">
        <f t="shared" si="256"/>
        <v>0</v>
      </c>
      <c r="I1046" s="294">
        <v>45359</v>
      </c>
      <c r="J1046" s="294"/>
      <c r="K1046" s="10">
        <f>0.6*1950</f>
        <v>1170</v>
      </c>
      <c r="L1046" s="11"/>
      <c r="M1046" s="11"/>
      <c r="N1046" s="100"/>
      <c r="O1046" s="11">
        <f t="shared" si="249"/>
        <v>1170</v>
      </c>
      <c r="P1046" s="11">
        <f t="shared" si="250"/>
        <v>1170</v>
      </c>
      <c r="Q1046" s="11">
        <v>1.5</v>
      </c>
      <c r="R1046" s="11">
        <f t="shared" si="251"/>
        <v>1755</v>
      </c>
      <c r="S1046" s="11"/>
      <c r="T1046" s="136">
        <f t="shared" si="252"/>
        <v>0</v>
      </c>
    </row>
    <row r="1047" spans="1:20" ht="15.75" customHeight="1">
      <c r="A1047" s="149">
        <v>21</v>
      </c>
      <c r="B1047" s="273"/>
      <c r="C1047" s="28" t="s">
        <v>2527</v>
      </c>
      <c r="D1047" s="41">
        <v>90</v>
      </c>
      <c r="E1047" s="131">
        <f t="shared" si="255"/>
        <v>1850</v>
      </c>
      <c r="F1047" s="21">
        <f t="shared" si="254"/>
        <v>2238.5</v>
      </c>
      <c r="G1047" s="21"/>
      <c r="H1047" s="135">
        <f t="shared" si="256"/>
        <v>0</v>
      </c>
      <c r="I1047" s="294">
        <v>45359</v>
      </c>
      <c r="J1047" s="294"/>
      <c r="K1047" s="10">
        <f>0.6*2045</f>
        <v>1227</v>
      </c>
      <c r="L1047" s="11"/>
      <c r="M1047" s="11"/>
      <c r="N1047" s="100"/>
      <c r="O1047" s="11">
        <f t="shared" si="249"/>
        <v>1227</v>
      </c>
      <c r="P1047" s="11">
        <f t="shared" si="250"/>
        <v>1227</v>
      </c>
      <c r="Q1047" s="11">
        <v>1.5</v>
      </c>
      <c r="R1047" s="11">
        <f t="shared" si="251"/>
        <v>1840.5</v>
      </c>
      <c r="S1047" s="11"/>
      <c r="T1047" s="136">
        <f t="shared" si="252"/>
        <v>0</v>
      </c>
    </row>
    <row r="1048" spans="1:20" ht="15.75" customHeight="1">
      <c r="A1048" s="149">
        <v>21</v>
      </c>
      <c r="B1048" s="273"/>
      <c r="C1048" s="28" t="s">
        <v>2528</v>
      </c>
      <c r="D1048" s="41">
        <v>120</v>
      </c>
      <c r="E1048" s="131">
        <f t="shared" si="255"/>
        <v>2670</v>
      </c>
      <c r="F1048" s="21">
        <f t="shared" si="254"/>
        <v>3230.7</v>
      </c>
      <c r="G1048" s="21"/>
      <c r="H1048" s="135">
        <f t="shared" si="256"/>
        <v>0</v>
      </c>
      <c r="I1048" s="294">
        <v>45359</v>
      </c>
      <c r="J1048" s="294"/>
      <c r="K1048" s="11">
        <f>0.6*2960</f>
        <v>1776</v>
      </c>
      <c r="L1048" s="11"/>
      <c r="M1048" s="11"/>
      <c r="N1048" s="100"/>
      <c r="O1048" s="11">
        <f t="shared" si="249"/>
        <v>1776</v>
      </c>
      <c r="P1048" s="11">
        <f t="shared" si="250"/>
        <v>1776</v>
      </c>
      <c r="Q1048" s="11">
        <v>1.5</v>
      </c>
      <c r="R1048" s="11">
        <f t="shared" si="251"/>
        <v>2664</v>
      </c>
      <c r="S1048" s="11"/>
      <c r="T1048" s="136">
        <f t="shared" si="252"/>
        <v>0</v>
      </c>
    </row>
    <row r="1049" spans="1:20" ht="15.75" customHeight="1">
      <c r="A1049" s="149">
        <v>21</v>
      </c>
      <c r="B1049" s="273"/>
      <c r="C1049" s="28" t="s">
        <v>2529</v>
      </c>
      <c r="D1049" s="41">
        <v>140</v>
      </c>
      <c r="E1049" s="131">
        <f t="shared" si="255"/>
        <v>2410</v>
      </c>
      <c r="F1049" s="21">
        <f t="shared" si="254"/>
        <v>2916.1</v>
      </c>
      <c r="G1049" s="21"/>
      <c r="H1049" s="135">
        <f t="shared" si="256"/>
        <v>0</v>
      </c>
      <c r="I1049" s="294">
        <v>45273</v>
      </c>
      <c r="J1049" s="294"/>
      <c r="K1049" s="11">
        <f>0.6*2668</f>
        <v>1600.8</v>
      </c>
      <c r="L1049" s="11"/>
      <c r="M1049" s="11"/>
      <c r="N1049" s="100"/>
      <c r="O1049" s="11">
        <f t="shared" si="249"/>
        <v>1600.8</v>
      </c>
      <c r="P1049" s="11">
        <f t="shared" si="250"/>
        <v>1600.8</v>
      </c>
      <c r="Q1049" s="11">
        <v>1.5</v>
      </c>
      <c r="R1049" s="11">
        <f t="shared" si="251"/>
        <v>2401.1999999999998</v>
      </c>
      <c r="S1049" s="11"/>
      <c r="T1049" s="136">
        <f t="shared" si="252"/>
        <v>0</v>
      </c>
    </row>
    <row r="1050" spans="1:20" ht="15.75" customHeight="1">
      <c r="A1050" s="149">
        <v>21</v>
      </c>
      <c r="B1050" s="273"/>
      <c r="C1050" s="28" t="s">
        <v>2530</v>
      </c>
      <c r="D1050" s="41">
        <v>160</v>
      </c>
      <c r="E1050" s="131">
        <f t="shared" si="255"/>
        <v>2910</v>
      </c>
      <c r="F1050" s="21">
        <f t="shared" si="254"/>
        <v>3521.1</v>
      </c>
      <c r="G1050" s="21"/>
      <c r="H1050" s="135">
        <f t="shared" si="256"/>
        <v>0</v>
      </c>
      <c r="I1050" s="294">
        <v>45273</v>
      </c>
      <c r="J1050" s="294"/>
      <c r="K1050" s="11">
        <f>0.6*3226</f>
        <v>1935.6</v>
      </c>
      <c r="L1050" s="11"/>
      <c r="M1050" s="11"/>
      <c r="N1050" s="100"/>
      <c r="O1050" s="11">
        <f t="shared" si="249"/>
        <v>1935.6</v>
      </c>
      <c r="P1050" s="11">
        <f t="shared" si="250"/>
        <v>1935.6</v>
      </c>
      <c r="Q1050" s="11">
        <v>1.5</v>
      </c>
      <c r="R1050" s="11">
        <f t="shared" si="251"/>
        <v>2903.3999999999996</v>
      </c>
      <c r="S1050" s="11"/>
      <c r="T1050" s="136">
        <f t="shared" si="252"/>
        <v>0</v>
      </c>
    </row>
    <row r="1051" spans="1:20" ht="15.75" customHeight="1">
      <c r="A1051" s="149">
        <v>38</v>
      </c>
      <c r="B1051" s="273"/>
      <c r="C1051" s="28" t="s">
        <v>37257</v>
      </c>
      <c r="D1051" s="41">
        <v>290</v>
      </c>
      <c r="E1051" s="131">
        <f t="shared" si="255"/>
        <v>15680</v>
      </c>
      <c r="F1051" s="21">
        <f t="shared" si="254"/>
        <v>18972.8</v>
      </c>
      <c r="G1051" s="21"/>
      <c r="H1051" s="135">
        <f t="shared" si="256"/>
        <v>13590</v>
      </c>
      <c r="I1051" s="294">
        <v>45210</v>
      </c>
      <c r="J1051" s="294">
        <v>45274</v>
      </c>
      <c r="K1051" s="11">
        <f>+PROVEEDORES!D32*9.95</f>
        <v>10447.5</v>
      </c>
      <c r="L1051" s="11"/>
      <c r="M1051" s="11"/>
      <c r="N1051" s="100">
        <v>9059</v>
      </c>
      <c r="O1051" s="11">
        <f t="shared" si="249"/>
        <v>10447.5</v>
      </c>
      <c r="P1051" s="11">
        <f t="shared" si="250"/>
        <v>10447.5</v>
      </c>
      <c r="Q1051" s="11">
        <v>1.5</v>
      </c>
      <c r="R1051" s="11">
        <f t="shared" si="251"/>
        <v>15671.25</v>
      </c>
      <c r="S1051" s="11"/>
      <c r="T1051" s="136">
        <f t="shared" si="252"/>
        <v>13588.5</v>
      </c>
    </row>
    <row r="1052" spans="1:20" ht="15.75" customHeight="1">
      <c r="A1052" s="149">
        <v>106</v>
      </c>
      <c r="B1052" s="273"/>
      <c r="C1052" s="28" t="s">
        <v>4230</v>
      </c>
      <c r="D1052" s="41">
        <v>290</v>
      </c>
      <c r="E1052" s="131">
        <f>ROUNDUP(R1052,-1)</f>
        <v>6530</v>
      </c>
      <c r="F1052" s="21">
        <f>+E1052*1.21</f>
        <v>7901.3</v>
      </c>
      <c r="G1052" s="21"/>
      <c r="H1052" s="135">
        <f>ROUNDUP(T1052,-1)</f>
        <v>0</v>
      </c>
      <c r="I1052" s="294">
        <v>45274</v>
      </c>
      <c r="J1052" s="294">
        <v>45334</v>
      </c>
      <c r="K1052" s="11">
        <f>0.82*5304</f>
        <v>4349.28</v>
      </c>
      <c r="L1052" s="11"/>
      <c r="M1052" s="11"/>
      <c r="N1052" s="100"/>
      <c r="O1052" s="11">
        <f>MIN(K1052:M1052)</f>
        <v>4349.28</v>
      </c>
      <c r="P1052" s="11">
        <f t="shared" si="250"/>
        <v>4349.28</v>
      </c>
      <c r="Q1052" s="11">
        <v>1.5</v>
      </c>
      <c r="R1052" s="11">
        <f t="shared" si="251"/>
        <v>6523.92</v>
      </c>
      <c r="S1052" s="11"/>
      <c r="T1052" s="136">
        <f>+N1052*Q1052</f>
        <v>0</v>
      </c>
    </row>
    <row r="1053" spans="1:20" ht="15.75" customHeight="1">
      <c r="A1053" s="149">
        <v>12</v>
      </c>
      <c r="B1053" s="273"/>
      <c r="C1053" s="28" t="s">
        <v>1528</v>
      </c>
      <c r="D1053" s="41">
        <v>290</v>
      </c>
      <c r="E1053" s="131">
        <f t="shared" si="255"/>
        <v>0</v>
      </c>
      <c r="F1053" s="21">
        <f t="shared" si="254"/>
        <v>0</v>
      </c>
      <c r="G1053" s="21"/>
      <c r="H1053" s="135">
        <f t="shared" si="256"/>
        <v>0</v>
      </c>
      <c r="I1053" s="294">
        <v>44749</v>
      </c>
      <c r="J1053" s="294"/>
      <c r="K1053" s="11">
        <f>925*1.2</f>
        <v>1110</v>
      </c>
      <c r="L1053" s="11"/>
      <c r="M1053" s="11"/>
      <c r="N1053" s="100"/>
      <c r="O1053" s="11">
        <f t="shared" si="249"/>
        <v>1110</v>
      </c>
      <c r="P1053" s="11">
        <f t="shared" si="250"/>
        <v>1110</v>
      </c>
      <c r="Q1053" s="11"/>
      <c r="R1053" s="11">
        <f t="shared" si="251"/>
        <v>0</v>
      </c>
      <c r="S1053" s="11"/>
      <c r="T1053" s="136">
        <f t="shared" si="252"/>
        <v>0</v>
      </c>
    </row>
    <row r="1054" spans="1:20" ht="15.75" customHeight="1">
      <c r="A1054" s="149">
        <v>12</v>
      </c>
      <c r="B1054" s="273"/>
      <c r="C1054" s="28" t="s">
        <v>1529</v>
      </c>
      <c r="D1054" s="41">
        <v>260</v>
      </c>
      <c r="E1054" s="131">
        <f t="shared" si="255"/>
        <v>0</v>
      </c>
      <c r="F1054" s="21">
        <f t="shared" si="254"/>
        <v>0</v>
      </c>
      <c r="G1054" s="21"/>
      <c r="H1054" s="135">
        <f t="shared" si="256"/>
        <v>0</v>
      </c>
      <c r="I1054" s="294">
        <v>44749</v>
      </c>
      <c r="J1054" s="294"/>
      <c r="K1054" s="11">
        <v>429</v>
      </c>
      <c r="L1054" s="11"/>
      <c r="M1054" s="11"/>
      <c r="N1054" s="100"/>
      <c r="O1054" s="11">
        <f t="shared" si="249"/>
        <v>429</v>
      </c>
      <c r="P1054" s="11">
        <f t="shared" si="250"/>
        <v>429</v>
      </c>
      <c r="Q1054" s="11"/>
      <c r="R1054" s="11">
        <f t="shared" si="251"/>
        <v>0</v>
      </c>
      <c r="S1054" s="11"/>
      <c r="T1054" s="136">
        <f t="shared" si="252"/>
        <v>0</v>
      </c>
    </row>
    <row r="1055" spans="1:20" ht="15.75" customHeight="1">
      <c r="A1055" s="149">
        <v>12</v>
      </c>
      <c r="B1055" s="273"/>
      <c r="C1055" s="28" t="s">
        <v>1530</v>
      </c>
      <c r="D1055" s="41">
        <v>260</v>
      </c>
      <c r="E1055" s="131">
        <f t="shared" si="255"/>
        <v>0</v>
      </c>
      <c r="F1055" s="21">
        <f t="shared" si="254"/>
        <v>0</v>
      </c>
      <c r="G1055" s="21"/>
      <c r="H1055" s="135">
        <f t="shared" si="256"/>
        <v>0</v>
      </c>
      <c r="I1055" s="294">
        <v>44749</v>
      </c>
      <c r="J1055" s="294"/>
      <c r="K1055" s="11">
        <v>496</v>
      </c>
      <c r="L1055" s="11"/>
      <c r="M1055" s="11"/>
      <c r="N1055" s="100"/>
      <c r="O1055" s="11">
        <f t="shared" si="249"/>
        <v>496</v>
      </c>
      <c r="P1055" s="11">
        <f t="shared" si="250"/>
        <v>496</v>
      </c>
      <c r="Q1055" s="11"/>
      <c r="R1055" s="11">
        <f t="shared" si="251"/>
        <v>0</v>
      </c>
      <c r="S1055" s="11"/>
      <c r="T1055" s="136">
        <f t="shared" si="252"/>
        <v>0</v>
      </c>
    </row>
    <row r="1056" spans="1:20" ht="15.75" customHeight="1">
      <c r="A1056" s="149">
        <v>12</v>
      </c>
      <c r="B1056" s="273"/>
      <c r="C1056" s="28" t="s">
        <v>1531</v>
      </c>
      <c r="D1056" s="41">
        <v>290</v>
      </c>
      <c r="E1056" s="131">
        <f t="shared" si="255"/>
        <v>0</v>
      </c>
      <c r="F1056" s="21">
        <f t="shared" ref="F1056:F1070" si="257">+E1056*1.21</f>
        <v>0</v>
      </c>
      <c r="G1056" s="21"/>
      <c r="H1056" s="135">
        <f t="shared" si="256"/>
        <v>0</v>
      </c>
      <c r="I1056" s="294">
        <v>44749</v>
      </c>
      <c r="J1056" s="294"/>
      <c r="K1056" s="11">
        <v>563</v>
      </c>
      <c r="L1056" s="11"/>
      <c r="M1056" s="11"/>
      <c r="N1056" s="100"/>
      <c r="O1056" s="11">
        <f t="shared" si="249"/>
        <v>563</v>
      </c>
      <c r="P1056" s="11">
        <f t="shared" si="250"/>
        <v>563</v>
      </c>
      <c r="Q1056" s="11"/>
      <c r="R1056" s="11">
        <f t="shared" si="251"/>
        <v>0</v>
      </c>
      <c r="S1056" s="11"/>
      <c r="T1056" s="136">
        <f t="shared" si="252"/>
        <v>0</v>
      </c>
    </row>
    <row r="1057" spans="1:20" ht="15.75" customHeight="1">
      <c r="A1057" s="149">
        <v>12</v>
      </c>
      <c r="B1057" s="273"/>
      <c r="C1057" s="28" t="s">
        <v>1532</v>
      </c>
      <c r="D1057" s="41">
        <v>270</v>
      </c>
      <c r="E1057" s="131">
        <f t="shared" si="255"/>
        <v>0</v>
      </c>
      <c r="F1057" s="21">
        <f t="shared" si="257"/>
        <v>0</v>
      </c>
      <c r="G1057" s="21"/>
      <c r="H1057" s="135">
        <f t="shared" si="256"/>
        <v>0</v>
      </c>
      <c r="I1057" s="294">
        <v>44749</v>
      </c>
      <c r="J1057" s="294"/>
      <c r="K1057" s="11">
        <v>644</v>
      </c>
      <c r="L1057" s="11"/>
      <c r="M1057" s="11"/>
      <c r="N1057" s="100"/>
      <c r="O1057" s="11">
        <f t="shared" si="249"/>
        <v>644</v>
      </c>
      <c r="P1057" s="11">
        <f t="shared" si="250"/>
        <v>644</v>
      </c>
      <c r="Q1057" s="11"/>
      <c r="R1057" s="11">
        <f t="shared" si="251"/>
        <v>0</v>
      </c>
      <c r="S1057" s="11"/>
      <c r="T1057" s="136">
        <f t="shared" si="252"/>
        <v>0</v>
      </c>
    </row>
    <row r="1058" spans="1:20" ht="15.75" customHeight="1">
      <c r="A1058" s="149">
        <v>12</v>
      </c>
      <c r="B1058" s="273"/>
      <c r="C1058" s="28" t="s">
        <v>1533</v>
      </c>
      <c r="D1058" s="41">
        <v>480</v>
      </c>
      <c r="E1058" s="131">
        <f t="shared" si="255"/>
        <v>0</v>
      </c>
      <c r="F1058" s="21">
        <f t="shared" si="257"/>
        <v>0</v>
      </c>
      <c r="G1058" s="21"/>
      <c r="H1058" s="135">
        <f t="shared" si="256"/>
        <v>0</v>
      </c>
      <c r="I1058" s="294">
        <v>44749</v>
      </c>
      <c r="J1058" s="294"/>
      <c r="K1058" s="11">
        <v>845</v>
      </c>
      <c r="L1058" s="11"/>
      <c r="M1058" s="11"/>
      <c r="N1058" s="100"/>
      <c r="O1058" s="11">
        <f t="shared" si="249"/>
        <v>845</v>
      </c>
      <c r="P1058" s="11">
        <f t="shared" si="250"/>
        <v>845</v>
      </c>
      <c r="Q1058" s="11"/>
      <c r="R1058" s="11">
        <f t="shared" si="251"/>
        <v>0</v>
      </c>
      <c r="S1058" s="11"/>
      <c r="T1058" s="136">
        <f t="shared" si="252"/>
        <v>0</v>
      </c>
    </row>
    <row r="1059" spans="1:20" ht="15.75" customHeight="1">
      <c r="A1059" s="149">
        <v>12</v>
      </c>
      <c r="B1059" s="273"/>
      <c r="C1059" s="28" t="s">
        <v>1534</v>
      </c>
      <c r="D1059" s="41">
        <v>490</v>
      </c>
      <c r="E1059" s="131">
        <f t="shared" si="255"/>
        <v>0</v>
      </c>
      <c r="F1059" s="21">
        <f t="shared" si="257"/>
        <v>0</v>
      </c>
      <c r="G1059" s="21"/>
      <c r="H1059" s="135">
        <f t="shared" si="256"/>
        <v>0</v>
      </c>
      <c r="I1059" s="294">
        <v>44749</v>
      </c>
      <c r="J1059" s="294"/>
      <c r="K1059" s="11">
        <v>1005</v>
      </c>
      <c r="L1059" s="11"/>
      <c r="M1059" s="11"/>
      <c r="N1059" s="100"/>
      <c r="O1059" s="11">
        <f t="shared" si="249"/>
        <v>1005</v>
      </c>
      <c r="P1059" s="11">
        <f t="shared" si="250"/>
        <v>1005</v>
      </c>
      <c r="Q1059" s="11"/>
      <c r="R1059" s="11">
        <f t="shared" si="251"/>
        <v>0</v>
      </c>
      <c r="S1059" s="11"/>
      <c r="T1059" s="136">
        <f t="shared" si="252"/>
        <v>0</v>
      </c>
    </row>
    <row r="1060" spans="1:20" ht="15.75" customHeight="1">
      <c r="A1060" s="149">
        <v>12</v>
      </c>
      <c r="B1060" s="273"/>
      <c r="C1060" s="28" t="s">
        <v>1535</v>
      </c>
      <c r="D1060" s="41">
        <v>800</v>
      </c>
      <c r="E1060" s="131">
        <f t="shared" si="255"/>
        <v>0</v>
      </c>
      <c r="F1060" s="21">
        <f t="shared" si="257"/>
        <v>0</v>
      </c>
      <c r="G1060" s="21"/>
      <c r="H1060" s="135">
        <f t="shared" si="256"/>
        <v>0</v>
      </c>
      <c r="I1060" s="294">
        <v>44749</v>
      </c>
      <c r="J1060" s="294"/>
      <c r="K1060" s="11">
        <v>1005</v>
      </c>
      <c r="L1060" s="11"/>
      <c r="M1060" s="11"/>
      <c r="N1060" s="100"/>
      <c r="O1060" s="11">
        <f t="shared" si="249"/>
        <v>1005</v>
      </c>
      <c r="P1060" s="11">
        <f t="shared" ref="P1060:P1122" si="258">+O1060</f>
        <v>1005</v>
      </c>
      <c r="Q1060" s="11"/>
      <c r="R1060" s="11">
        <f t="shared" ref="R1060:R1122" si="259">+P1060*Q1060</f>
        <v>0</v>
      </c>
      <c r="S1060" s="11"/>
      <c r="T1060" s="136">
        <f t="shared" si="252"/>
        <v>0</v>
      </c>
    </row>
    <row r="1061" spans="1:20" ht="15.75" customHeight="1">
      <c r="A1061" s="149">
        <v>12</v>
      </c>
      <c r="B1061" s="273"/>
      <c r="C1061" s="28" t="s">
        <v>1536</v>
      </c>
      <c r="D1061" s="41">
        <v>510</v>
      </c>
      <c r="E1061" s="131">
        <f t="shared" si="255"/>
        <v>0</v>
      </c>
      <c r="F1061" s="21">
        <f t="shared" si="257"/>
        <v>0</v>
      </c>
      <c r="G1061" s="21"/>
      <c r="H1061" s="135">
        <f t="shared" si="256"/>
        <v>0</v>
      </c>
      <c r="I1061" s="294">
        <v>44749</v>
      </c>
      <c r="J1061" s="294"/>
      <c r="K1061" s="11">
        <v>1059</v>
      </c>
      <c r="L1061" s="11"/>
      <c r="M1061" s="11"/>
      <c r="N1061" s="100"/>
      <c r="O1061" s="11">
        <f t="shared" ref="O1061:O1127" si="260">MIN(K1061:M1061)</f>
        <v>1059</v>
      </c>
      <c r="P1061" s="11">
        <f t="shared" si="258"/>
        <v>1059</v>
      </c>
      <c r="Q1061" s="11"/>
      <c r="R1061" s="11">
        <f t="shared" si="259"/>
        <v>0</v>
      </c>
      <c r="S1061" s="11"/>
      <c r="T1061" s="136">
        <f t="shared" si="252"/>
        <v>0</v>
      </c>
    </row>
    <row r="1062" spans="1:20" ht="15.75" customHeight="1">
      <c r="A1062" s="149">
        <v>12</v>
      </c>
      <c r="B1062" s="273"/>
      <c r="C1062" s="28" t="s">
        <v>1537</v>
      </c>
      <c r="D1062" s="41">
        <v>290</v>
      </c>
      <c r="E1062" s="131">
        <f t="shared" si="255"/>
        <v>0</v>
      </c>
      <c r="F1062" s="21">
        <f t="shared" si="257"/>
        <v>0</v>
      </c>
      <c r="G1062" s="21"/>
      <c r="H1062" s="135">
        <f t="shared" si="256"/>
        <v>0</v>
      </c>
      <c r="I1062" s="294">
        <v>44749</v>
      </c>
      <c r="J1062" s="294"/>
      <c r="K1062" s="11">
        <v>563</v>
      </c>
      <c r="L1062" s="11"/>
      <c r="M1062" s="11"/>
      <c r="N1062" s="100"/>
      <c r="O1062" s="11">
        <f t="shared" si="260"/>
        <v>563</v>
      </c>
      <c r="P1062" s="11">
        <f t="shared" si="258"/>
        <v>563</v>
      </c>
      <c r="Q1062" s="11"/>
      <c r="R1062" s="11">
        <f t="shared" si="259"/>
        <v>0</v>
      </c>
      <c r="S1062" s="11"/>
      <c r="T1062" s="136">
        <f t="shared" si="252"/>
        <v>0</v>
      </c>
    </row>
    <row r="1063" spans="1:20" ht="15.75" customHeight="1">
      <c r="A1063" s="149">
        <v>41</v>
      </c>
      <c r="B1063" s="273"/>
      <c r="C1063" s="28" t="s">
        <v>1538</v>
      </c>
      <c r="D1063" s="41">
        <v>250</v>
      </c>
      <c r="E1063" s="132">
        <f t="shared" si="255"/>
        <v>9820</v>
      </c>
      <c r="F1063" s="21">
        <f t="shared" si="257"/>
        <v>11882.199999999999</v>
      </c>
      <c r="G1063" s="21"/>
      <c r="H1063" s="135">
        <f t="shared" si="256"/>
        <v>7130</v>
      </c>
      <c r="I1063" s="294">
        <v>45278</v>
      </c>
      <c r="J1063" s="294"/>
      <c r="K1063" s="11">
        <f>PROVEEDORES!$D$35*0.9*0.9*7.55</f>
        <v>6543.585</v>
      </c>
      <c r="L1063" s="11"/>
      <c r="M1063" s="11"/>
      <c r="N1063" s="100">
        <f>0.9*0.95*5557</f>
        <v>4751.2349999999997</v>
      </c>
      <c r="O1063" s="11">
        <f t="shared" si="260"/>
        <v>6543.585</v>
      </c>
      <c r="P1063" s="11">
        <f t="shared" si="258"/>
        <v>6543.585</v>
      </c>
      <c r="Q1063" s="11">
        <v>1.5</v>
      </c>
      <c r="R1063" s="11">
        <f t="shared" si="259"/>
        <v>9815.3775000000005</v>
      </c>
      <c r="S1063" s="11"/>
      <c r="T1063" s="136">
        <f t="shared" si="252"/>
        <v>7126.8524999999991</v>
      </c>
    </row>
    <row r="1064" spans="1:20" ht="15.75" customHeight="1">
      <c r="A1064" s="149">
        <v>36</v>
      </c>
      <c r="B1064" s="273"/>
      <c r="C1064" s="28" t="s">
        <v>62687</v>
      </c>
      <c r="D1064" s="41">
        <v>400</v>
      </c>
      <c r="E1064" s="131">
        <f t="shared" si="255"/>
        <v>13930</v>
      </c>
      <c r="F1064" s="21">
        <f t="shared" si="257"/>
        <v>16855.3</v>
      </c>
      <c r="G1064" s="21"/>
      <c r="H1064" s="135">
        <f t="shared" si="256"/>
        <v>0</v>
      </c>
      <c r="I1064" s="294">
        <v>45377</v>
      </c>
      <c r="J1064" s="294"/>
      <c r="K1064" s="10">
        <f>12343*0.8*0.94</f>
        <v>9281.9360000000015</v>
      </c>
      <c r="L1064" s="10">
        <f>+PROVEEDORES!D15*0.6*20</f>
        <v>10620</v>
      </c>
      <c r="M1064" s="10"/>
      <c r="N1064" s="100"/>
      <c r="O1064" s="11">
        <f t="shared" si="260"/>
        <v>9281.9360000000015</v>
      </c>
      <c r="P1064" s="11">
        <f t="shared" si="258"/>
        <v>9281.9360000000015</v>
      </c>
      <c r="Q1064" s="11">
        <v>1.5</v>
      </c>
      <c r="R1064" s="11">
        <f t="shared" si="259"/>
        <v>13922.904000000002</v>
      </c>
      <c r="S1064" s="11"/>
      <c r="T1064" s="136">
        <f t="shared" si="252"/>
        <v>0</v>
      </c>
    </row>
    <row r="1065" spans="1:20" ht="15.75" customHeight="1">
      <c r="A1065" s="149" t="s">
        <v>62623</v>
      </c>
      <c r="B1065" s="273"/>
      <c r="C1065" s="28" t="s">
        <v>4127</v>
      </c>
      <c r="D1065" s="41"/>
      <c r="E1065" s="131">
        <f t="shared" si="255"/>
        <v>13930</v>
      </c>
      <c r="F1065" s="21">
        <f t="shared" si="257"/>
        <v>16855.3</v>
      </c>
      <c r="G1065" s="21"/>
      <c r="H1065" s="135">
        <f t="shared" si="256"/>
        <v>0</v>
      </c>
      <c r="I1065" s="294">
        <v>45259</v>
      </c>
      <c r="J1065" s="294">
        <v>45338</v>
      </c>
      <c r="K1065" s="10">
        <f>2915*4</f>
        <v>11660</v>
      </c>
      <c r="L1065" s="10">
        <f>+PROVEEDORES!D16*0.6*11.06*2</f>
        <v>11745.720000000001</v>
      </c>
      <c r="M1065" s="10">
        <f>12343*0.8*0.94</f>
        <v>9281.9360000000015</v>
      </c>
      <c r="N1065" s="100"/>
      <c r="O1065" s="11">
        <f t="shared" si="260"/>
        <v>9281.9360000000015</v>
      </c>
      <c r="P1065" s="11">
        <f t="shared" si="258"/>
        <v>9281.9360000000015</v>
      </c>
      <c r="Q1065" s="11">
        <v>1.5</v>
      </c>
      <c r="R1065" s="11">
        <f t="shared" si="259"/>
        <v>13922.904000000002</v>
      </c>
      <c r="S1065" s="11"/>
      <c r="T1065" s="136">
        <f t="shared" si="252"/>
        <v>0</v>
      </c>
    </row>
    <row r="1066" spans="1:20" ht="15.75" customHeight="1">
      <c r="A1066" s="149">
        <v>23</v>
      </c>
      <c r="B1066" s="273"/>
      <c r="C1066" s="28" t="s">
        <v>1540</v>
      </c>
      <c r="D1066" s="41">
        <v>1440</v>
      </c>
      <c r="E1066" s="131">
        <f>ROUNDUP(R1066,-1)</f>
        <v>38580</v>
      </c>
      <c r="F1066" s="21">
        <f>+E1066*1.21</f>
        <v>46681.799999999996</v>
      </c>
      <c r="G1066" s="70"/>
      <c r="H1066" s="135">
        <f>ROUNDUP(T1066,-1)</f>
        <v>0</v>
      </c>
      <c r="I1066" s="294">
        <v>45351</v>
      </c>
      <c r="J1066" s="294"/>
      <c r="K1066" s="42">
        <f>0.9*29560</f>
        <v>26604</v>
      </c>
      <c r="L1066" s="34"/>
      <c r="M1066" s="11"/>
      <c r="N1066" s="100"/>
      <c r="O1066" s="11">
        <f>MIN(K1066:M1066)</f>
        <v>26604</v>
      </c>
      <c r="P1066" s="11">
        <f t="shared" si="258"/>
        <v>26604</v>
      </c>
      <c r="Q1066" s="11">
        <v>1.45</v>
      </c>
      <c r="R1066" s="11">
        <f t="shared" si="259"/>
        <v>38575.799999999996</v>
      </c>
      <c r="S1066" s="11"/>
      <c r="T1066" s="136">
        <f>+N1066*Q1066</f>
        <v>0</v>
      </c>
    </row>
    <row r="1067" spans="1:20" ht="15.75" customHeight="1">
      <c r="A1067" s="149">
        <v>23</v>
      </c>
      <c r="B1067" s="273"/>
      <c r="C1067" s="28" t="s">
        <v>1541</v>
      </c>
      <c r="D1067" s="41">
        <v>2000</v>
      </c>
      <c r="E1067" s="131">
        <f t="shared" si="255"/>
        <v>52060</v>
      </c>
      <c r="F1067" s="21">
        <f t="shared" si="257"/>
        <v>62992.6</v>
      </c>
      <c r="G1067" s="21"/>
      <c r="H1067" s="135">
        <f t="shared" si="256"/>
        <v>0</v>
      </c>
      <c r="I1067" s="294">
        <v>45351</v>
      </c>
      <c r="J1067" s="294"/>
      <c r="K1067" s="42">
        <f>0.9*39890</f>
        <v>35901</v>
      </c>
      <c r="L1067" s="34"/>
      <c r="M1067" s="11"/>
      <c r="N1067" s="100"/>
      <c r="O1067" s="11">
        <f t="shared" si="260"/>
        <v>35901</v>
      </c>
      <c r="P1067" s="11">
        <f t="shared" si="258"/>
        <v>35901</v>
      </c>
      <c r="Q1067" s="11">
        <v>1.45</v>
      </c>
      <c r="R1067" s="11">
        <f t="shared" si="259"/>
        <v>52056.45</v>
      </c>
      <c r="S1067" s="11"/>
      <c r="T1067" s="136">
        <f t="shared" si="252"/>
        <v>0</v>
      </c>
    </row>
    <row r="1068" spans="1:20" ht="15.75" customHeight="1">
      <c r="A1068" s="149">
        <v>23</v>
      </c>
      <c r="B1068" s="273"/>
      <c r="C1068" s="28" t="s">
        <v>1542</v>
      </c>
      <c r="D1068" s="41">
        <v>2200</v>
      </c>
      <c r="E1068" s="131">
        <f t="shared" si="255"/>
        <v>65390</v>
      </c>
      <c r="F1068" s="21">
        <f t="shared" si="257"/>
        <v>79121.899999999994</v>
      </c>
      <c r="G1068" s="277"/>
      <c r="H1068" s="135">
        <f t="shared" si="256"/>
        <v>0</v>
      </c>
      <c r="I1068" s="294">
        <v>45351</v>
      </c>
      <c r="J1068" s="294"/>
      <c r="K1068" s="42">
        <f>0.9*50100</f>
        <v>45090</v>
      </c>
      <c r="L1068" s="34"/>
      <c r="M1068" s="11"/>
      <c r="N1068" s="100"/>
      <c r="O1068" s="11">
        <f t="shared" si="260"/>
        <v>45090</v>
      </c>
      <c r="P1068" s="11">
        <f t="shared" si="258"/>
        <v>45090</v>
      </c>
      <c r="Q1068" s="11">
        <v>1.45</v>
      </c>
      <c r="R1068" s="11">
        <f t="shared" si="259"/>
        <v>65380.5</v>
      </c>
      <c r="S1068" s="11"/>
      <c r="T1068" s="136">
        <f t="shared" si="252"/>
        <v>0</v>
      </c>
    </row>
    <row r="1069" spans="1:20" ht="15.75" customHeight="1">
      <c r="A1069" s="149">
        <v>23</v>
      </c>
      <c r="B1069" s="273"/>
      <c r="C1069" s="28" t="s">
        <v>1543</v>
      </c>
      <c r="D1069" s="41">
        <v>2760</v>
      </c>
      <c r="E1069" s="131">
        <f t="shared" si="255"/>
        <v>103350</v>
      </c>
      <c r="F1069" s="21">
        <f t="shared" si="257"/>
        <v>125053.5</v>
      </c>
      <c r="G1069" s="21"/>
      <c r="H1069" s="135">
        <f t="shared" si="256"/>
        <v>0</v>
      </c>
      <c r="I1069" s="294">
        <v>45351</v>
      </c>
      <c r="J1069" s="294"/>
      <c r="K1069" s="42">
        <f>0.9*79190</f>
        <v>71271</v>
      </c>
      <c r="L1069" s="34"/>
      <c r="M1069" s="11"/>
      <c r="N1069" s="100"/>
      <c r="O1069" s="11">
        <f t="shared" si="260"/>
        <v>71271</v>
      </c>
      <c r="P1069" s="11">
        <f t="shared" si="258"/>
        <v>71271</v>
      </c>
      <c r="Q1069" s="11">
        <v>1.45</v>
      </c>
      <c r="R1069" s="11">
        <f t="shared" si="259"/>
        <v>103342.95</v>
      </c>
      <c r="S1069" s="11"/>
      <c r="T1069" s="136">
        <f t="shared" si="252"/>
        <v>0</v>
      </c>
    </row>
    <row r="1070" spans="1:20" ht="15.75" customHeight="1">
      <c r="A1070" s="149">
        <v>23</v>
      </c>
      <c r="B1070" s="273"/>
      <c r="C1070" s="28" t="s">
        <v>62648</v>
      </c>
      <c r="D1070" s="41">
        <v>13870</v>
      </c>
      <c r="E1070" s="131">
        <f t="shared" si="255"/>
        <v>493900</v>
      </c>
      <c r="F1070" s="21">
        <f t="shared" si="257"/>
        <v>597619</v>
      </c>
      <c r="G1070" s="21"/>
      <c r="H1070" s="135">
        <f t="shared" si="256"/>
        <v>0</v>
      </c>
      <c r="I1070" s="294">
        <v>45351</v>
      </c>
      <c r="J1070" s="294"/>
      <c r="K1070" s="143">
        <f>0.9*378460</f>
        <v>340614</v>
      </c>
      <c r="L1070" s="34"/>
      <c r="M1070" s="11"/>
      <c r="N1070" s="100"/>
      <c r="O1070" s="11">
        <f t="shared" si="260"/>
        <v>340614</v>
      </c>
      <c r="P1070" s="11">
        <f t="shared" si="258"/>
        <v>340614</v>
      </c>
      <c r="Q1070" s="11">
        <v>1.45</v>
      </c>
      <c r="R1070" s="11">
        <f t="shared" si="259"/>
        <v>493890.3</v>
      </c>
      <c r="S1070" s="11"/>
      <c r="T1070" s="136">
        <f t="shared" ref="T1070:T1137" si="261">+N1070*Q1070</f>
        <v>0</v>
      </c>
    </row>
    <row r="1071" spans="1:20" ht="15.75" customHeight="1">
      <c r="A1071" s="149">
        <v>41</v>
      </c>
      <c r="B1071" s="273">
        <f>ROUNDUP(E1071*1.06,-1)</f>
        <v>354890</v>
      </c>
      <c r="C1071" s="28" t="s">
        <v>3477</v>
      </c>
      <c r="D1071" s="41"/>
      <c r="E1071" s="132">
        <f t="shared" si="255"/>
        <v>334800</v>
      </c>
      <c r="F1071" s="21" t="s">
        <v>1248</v>
      </c>
      <c r="G1071" s="21">
        <f>+E1071*1.105</f>
        <v>369954</v>
      </c>
      <c r="H1071" s="135">
        <f t="shared" si="256"/>
        <v>3428330</v>
      </c>
      <c r="I1071" s="294">
        <v>45311</v>
      </c>
      <c r="J1071" s="294"/>
      <c r="K1071" s="143">
        <f>PROVEEDORES!$D$35*0.9*0.9*2812</f>
        <v>2437160.4</v>
      </c>
      <c r="L1071" s="34">
        <f>20*12400</f>
        <v>248000</v>
      </c>
      <c r="M1071" s="11"/>
      <c r="N1071" s="100">
        <f>0.9*0.95*0.95*3126500</f>
        <v>2539499.6249999995</v>
      </c>
      <c r="O1071" s="11">
        <f t="shared" si="260"/>
        <v>248000</v>
      </c>
      <c r="P1071" s="11">
        <f t="shared" si="258"/>
        <v>248000</v>
      </c>
      <c r="Q1071" s="11">
        <v>1.35</v>
      </c>
      <c r="R1071" s="11">
        <f t="shared" si="259"/>
        <v>334800</v>
      </c>
      <c r="S1071" s="11"/>
      <c r="T1071" s="136">
        <f t="shared" si="261"/>
        <v>3428324.4937499994</v>
      </c>
    </row>
    <row r="1072" spans="1:20" ht="15.75" customHeight="1">
      <c r="A1072" s="149">
        <v>87</v>
      </c>
      <c r="B1072" s="273"/>
      <c r="C1072" s="28" t="s">
        <v>1539</v>
      </c>
      <c r="D1072" s="41">
        <v>1400</v>
      </c>
      <c r="E1072" s="131">
        <f t="shared" si="255"/>
        <v>24000</v>
      </c>
      <c r="F1072" s="21">
        <f t="shared" ref="F1072:F1114" si="262">+E1072*1.21</f>
        <v>29040</v>
      </c>
      <c r="G1072" s="21"/>
      <c r="H1072" s="135">
        <f t="shared" ref="H1072:H1093" si="263">ROUNDUP(T1072,-1)</f>
        <v>0</v>
      </c>
      <c r="I1072" s="294">
        <v>45323</v>
      </c>
      <c r="J1072" s="294"/>
      <c r="K1072" s="134">
        <v>15000</v>
      </c>
      <c r="L1072" s="11"/>
      <c r="M1072" s="11"/>
      <c r="N1072" s="100"/>
      <c r="O1072" s="11">
        <f t="shared" si="260"/>
        <v>15000</v>
      </c>
      <c r="P1072" s="11">
        <f t="shared" si="258"/>
        <v>15000</v>
      </c>
      <c r="Q1072" s="11">
        <v>1.6</v>
      </c>
      <c r="R1072" s="11">
        <f t="shared" si="259"/>
        <v>24000</v>
      </c>
      <c r="S1072" s="11"/>
      <c r="T1072" s="136">
        <f t="shared" si="261"/>
        <v>0</v>
      </c>
    </row>
    <row r="1073" spans="1:20" ht="15.75" customHeight="1">
      <c r="A1073" s="149">
        <v>87</v>
      </c>
      <c r="B1073" s="273"/>
      <c r="C1073" s="28" t="s">
        <v>2872</v>
      </c>
      <c r="D1073" s="41"/>
      <c r="E1073" s="131">
        <f>ROUNDUP(R1073,-1)</f>
        <v>48000</v>
      </c>
      <c r="F1073" s="21">
        <f>+E1073*1.21</f>
        <v>58080</v>
      </c>
      <c r="G1073" s="21"/>
      <c r="H1073" s="135">
        <f>ROUNDUP(T1073,-1)</f>
        <v>0</v>
      </c>
      <c r="I1073" s="294">
        <v>45323</v>
      </c>
      <c r="J1073" s="294"/>
      <c r="K1073" s="42">
        <v>30000</v>
      </c>
      <c r="L1073" s="34"/>
      <c r="M1073" s="11"/>
      <c r="N1073" s="100"/>
      <c r="O1073" s="11">
        <f>MIN(K1073:M1073)</f>
        <v>30000</v>
      </c>
      <c r="P1073" s="11">
        <f t="shared" si="258"/>
        <v>30000</v>
      </c>
      <c r="Q1073" s="11">
        <v>1.6</v>
      </c>
      <c r="R1073" s="11">
        <f t="shared" si="259"/>
        <v>48000</v>
      </c>
      <c r="S1073" s="11"/>
      <c r="T1073" s="136">
        <f>+N1073*Q1073</f>
        <v>0</v>
      </c>
    </row>
    <row r="1074" spans="1:20" ht="15.75" customHeight="1">
      <c r="A1074" s="149">
        <v>10</v>
      </c>
      <c r="B1074" s="273"/>
      <c r="C1074" s="28" t="s">
        <v>4078</v>
      </c>
      <c r="D1074" s="41"/>
      <c r="E1074" s="131">
        <f>ROUNDUP(R1074,-1)</f>
        <v>2090</v>
      </c>
      <c r="F1074" s="21">
        <f>+E1074*1.21</f>
        <v>2528.9</v>
      </c>
      <c r="G1074" s="21"/>
      <c r="H1074" s="135">
        <f>ROUNDUP(T1074,-1)</f>
        <v>0</v>
      </c>
      <c r="I1074" s="294">
        <v>44909</v>
      </c>
      <c r="J1074" s="294"/>
      <c r="K1074" s="42">
        <f>1425*0.86</f>
        <v>1225.5</v>
      </c>
      <c r="L1074" s="34"/>
      <c r="M1074" s="11"/>
      <c r="N1074" s="100"/>
      <c r="O1074" s="11">
        <f>MIN(K1074:M1074)</f>
        <v>1225.5</v>
      </c>
      <c r="P1074" s="11">
        <f t="shared" si="258"/>
        <v>1225.5</v>
      </c>
      <c r="Q1074" s="11">
        <v>1.7</v>
      </c>
      <c r="R1074" s="11">
        <f t="shared" si="259"/>
        <v>2083.35</v>
      </c>
      <c r="S1074" s="11"/>
      <c r="T1074" s="136">
        <f>+N1074*Q1074</f>
        <v>0</v>
      </c>
    </row>
    <row r="1075" spans="1:20" ht="15.75" customHeight="1">
      <c r="A1075" s="149">
        <v>41</v>
      </c>
      <c r="B1075" s="273"/>
      <c r="C1075" s="28" t="s">
        <v>1544</v>
      </c>
      <c r="D1075" s="41"/>
      <c r="E1075" s="132">
        <f t="shared" si="255"/>
        <v>0</v>
      </c>
      <c r="F1075" s="21">
        <f t="shared" si="262"/>
        <v>0</v>
      </c>
      <c r="G1075" s="21"/>
      <c r="H1075" s="135">
        <f t="shared" si="263"/>
        <v>0</v>
      </c>
      <c r="I1075" s="294"/>
      <c r="J1075" s="294"/>
      <c r="K1075" s="10">
        <f>+PROVEEDORES!D35*0.9*830</f>
        <v>799290</v>
      </c>
      <c r="L1075" s="11"/>
      <c r="M1075" s="11"/>
      <c r="N1075" s="100"/>
      <c r="O1075" s="11">
        <f t="shared" si="260"/>
        <v>799290</v>
      </c>
      <c r="P1075" s="11">
        <f t="shared" si="258"/>
        <v>799290</v>
      </c>
      <c r="Q1075" s="11"/>
      <c r="R1075" s="11">
        <f t="shared" si="259"/>
        <v>0</v>
      </c>
      <c r="S1075" s="11"/>
      <c r="T1075" s="136">
        <f t="shared" si="261"/>
        <v>0</v>
      </c>
    </row>
    <row r="1076" spans="1:20" ht="15.75" customHeight="1">
      <c r="A1076" s="149">
        <v>41</v>
      </c>
      <c r="B1076" s="273"/>
      <c r="C1076" s="28" t="s">
        <v>4283</v>
      </c>
      <c r="D1076" s="41"/>
      <c r="E1076" s="132">
        <f t="shared" si="255"/>
        <v>3287420</v>
      </c>
      <c r="F1076" s="21">
        <f t="shared" si="262"/>
        <v>3977778.1999999997</v>
      </c>
      <c r="G1076" s="21"/>
      <c r="H1076" s="135">
        <f t="shared" si="263"/>
        <v>3278710</v>
      </c>
      <c r="I1076" s="294">
        <v>45278</v>
      </c>
      <c r="J1076" s="294"/>
      <c r="K1076" s="10">
        <f>+PROVEEDORES!D35*0.9*0.9*2463*1.1</f>
        <v>2348150.3100000005</v>
      </c>
      <c r="L1076" s="11"/>
      <c r="M1076" s="11"/>
      <c r="N1076" s="100">
        <f>0.9*0.95*2739100</f>
        <v>2341930.5</v>
      </c>
      <c r="O1076" s="11">
        <f t="shared" si="260"/>
        <v>2348150.3100000005</v>
      </c>
      <c r="P1076" s="11">
        <f t="shared" si="258"/>
        <v>2348150.3100000005</v>
      </c>
      <c r="Q1076" s="11">
        <v>1.4</v>
      </c>
      <c r="R1076" s="11">
        <f t="shared" si="259"/>
        <v>3287410.4340000004</v>
      </c>
      <c r="S1076" s="11"/>
      <c r="T1076" s="136">
        <f t="shared" si="261"/>
        <v>3278702.6999999997</v>
      </c>
    </row>
    <row r="1077" spans="1:20" ht="15.75" customHeight="1">
      <c r="A1077" s="149">
        <v>38</v>
      </c>
      <c r="B1077" s="273"/>
      <c r="C1077" s="28" t="s">
        <v>3487</v>
      </c>
      <c r="D1077" s="41"/>
      <c r="E1077" s="131">
        <f t="shared" si="255"/>
        <v>6340</v>
      </c>
      <c r="F1077" s="21">
        <f t="shared" si="262"/>
        <v>7671.4</v>
      </c>
      <c r="G1077" s="21"/>
      <c r="H1077" s="135">
        <f t="shared" si="263"/>
        <v>5490</v>
      </c>
      <c r="I1077" s="294">
        <v>45138</v>
      </c>
      <c r="J1077" s="294">
        <v>45274</v>
      </c>
      <c r="K1077" s="10">
        <f>+PROVEEDORES!D32*4.02</f>
        <v>4221</v>
      </c>
      <c r="L1077" s="11"/>
      <c r="M1077" s="11"/>
      <c r="N1077" s="100">
        <v>3660</v>
      </c>
      <c r="O1077" s="11">
        <f t="shared" si="260"/>
        <v>4221</v>
      </c>
      <c r="P1077" s="11">
        <f t="shared" si="258"/>
        <v>4221</v>
      </c>
      <c r="Q1077" s="11">
        <v>1.5</v>
      </c>
      <c r="R1077" s="11">
        <f t="shared" si="259"/>
        <v>6331.5</v>
      </c>
      <c r="S1077" s="11"/>
      <c r="T1077" s="136">
        <f t="shared" si="261"/>
        <v>5490</v>
      </c>
    </row>
    <row r="1078" spans="1:20" ht="15.75" customHeight="1">
      <c r="A1078" s="149">
        <v>19</v>
      </c>
      <c r="B1078" s="273"/>
      <c r="C1078" s="28" t="s">
        <v>62655</v>
      </c>
      <c r="D1078" s="41">
        <v>150</v>
      </c>
      <c r="E1078" s="131">
        <f t="shared" si="255"/>
        <v>12750</v>
      </c>
      <c r="F1078" s="21">
        <f t="shared" si="262"/>
        <v>15427.5</v>
      </c>
      <c r="G1078" s="21"/>
      <c r="H1078" s="135">
        <f t="shared" si="263"/>
        <v>0</v>
      </c>
      <c r="I1078" s="294"/>
      <c r="J1078" s="294">
        <v>45359</v>
      </c>
      <c r="K1078" s="11">
        <v>8500</v>
      </c>
      <c r="L1078" s="11"/>
      <c r="M1078" s="11"/>
      <c r="N1078" s="100"/>
      <c r="O1078" s="11">
        <f t="shared" si="260"/>
        <v>8500</v>
      </c>
      <c r="P1078" s="11">
        <f t="shared" si="258"/>
        <v>8500</v>
      </c>
      <c r="Q1078" s="11">
        <v>1.5</v>
      </c>
      <c r="R1078" s="11">
        <f t="shared" si="259"/>
        <v>12750</v>
      </c>
      <c r="S1078" s="11"/>
      <c r="T1078" s="136">
        <f t="shared" si="261"/>
        <v>0</v>
      </c>
    </row>
    <row r="1079" spans="1:20" ht="15.75" customHeight="1">
      <c r="A1079" s="149">
        <v>29</v>
      </c>
      <c r="B1079" s="273"/>
      <c r="C1079" s="28" t="s">
        <v>2835</v>
      </c>
      <c r="D1079" s="41">
        <v>300</v>
      </c>
      <c r="E1079" s="131">
        <f t="shared" si="255"/>
        <v>13180</v>
      </c>
      <c r="F1079" s="21">
        <f t="shared" si="262"/>
        <v>15947.8</v>
      </c>
      <c r="G1079" s="21"/>
      <c r="H1079" s="135">
        <f t="shared" si="263"/>
        <v>0</v>
      </c>
      <c r="I1079" s="294">
        <v>45286</v>
      </c>
      <c r="J1079" s="294">
        <v>45314</v>
      </c>
      <c r="K1079" s="11">
        <v>8786</v>
      </c>
      <c r="L1079" s="11"/>
      <c r="M1079" s="11"/>
      <c r="N1079" s="100"/>
      <c r="O1079" s="11">
        <f t="shared" si="260"/>
        <v>8786</v>
      </c>
      <c r="P1079" s="11">
        <f t="shared" si="258"/>
        <v>8786</v>
      </c>
      <c r="Q1079" s="11">
        <v>1.5</v>
      </c>
      <c r="R1079" s="11">
        <f t="shared" si="259"/>
        <v>13179</v>
      </c>
      <c r="S1079" s="11"/>
      <c r="T1079" s="136">
        <f t="shared" si="261"/>
        <v>0</v>
      </c>
    </row>
    <row r="1080" spans="1:20" ht="15.75" customHeight="1">
      <c r="A1080" s="149">
        <v>65</v>
      </c>
      <c r="B1080" s="273"/>
      <c r="C1080" s="28" t="s">
        <v>1545</v>
      </c>
      <c r="D1080" s="41">
        <v>0</v>
      </c>
      <c r="E1080" s="131">
        <f t="shared" si="255"/>
        <v>37800</v>
      </c>
      <c r="F1080" s="21">
        <f t="shared" si="262"/>
        <v>45738</v>
      </c>
      <c r="G1080" s="21"/>
      <c r="H1080" s="135">
        <f t="shared" si="263"/>
        <v>0</v>
      </c>
      <c r="I1080" s="294">
        <v>45286</v>
      </c>
      <c r="J1080" s="294"/>
      <c r="K1080" s="10">
        <v>27000</v>
      </c>
      <c r="L1080" s="11"/>
      <c r="M1080" s="11"/>
      <c r="N1080" s="100"/>
      <c r="O1080" s="11">
        <f t="shared" si="260"/>
        <v>27000</v>
      </c>
      <c r="P1080" s="11">
        <f t="shared" si="258"/>
        <v>27000</v>
      </c>
      <c r="Q1080" s="11">
        <v>1.4</v>
      </c>
      <c r="R1080" s="11">
        <f t="shared" si="259"/>
        <v>37800</v>
      </c>
      <c r="S1080" s="11"/>
      <c r="T1080" s="136">
        <f t="shared" si="261"/>
        <v>0</v>
      </c>
    </row>
    <row r="1081" spans="1:20" ht="15.75" customHeight="1">
      <c r="A1081" s="149">
        <v>30</v>
      </c>
      <c r="B1081" s="273"/>
      <c r="C1081" s="28" t="s">
        <v>1546</v>
      </c>
      <c r="D1081" s="41">
        <v>1120</v>
      </c>
      <c r="E1081" s="131">
        <f t="shared" si="255"/>
        <v>0</v>
      </c>
      <c r="F1081" s="21">
        <f t="shared" si="262"/>
        <v>0</v>
      </c>
      <c r="G1081" s="21"/>
      <c r="H1081" s="135">
        <f t="shared" si="263"/>
        <v>0</v>
      </c>
      <c r="I1081" s="294">
        <v>43843</v>
      </c>
      <c r="J1081" s="294"/>
      <c r="K1081" s="10">
        <f>649*1.5*1.15</f>
        <v>1119.5249999999999</v>
      </c>
      <c r="L1081" s="11"/>
      <c r="M1081" s="11"/>
      <c r="N1081" s="100"/>
      <c r="O1081" s="11">
        <f t="shared" si="260"/>
        <v>1119.5249999999999</v>
      </c>
      <c r="P1081" s="11">
        <f t="shared" si="258"/>
        <v>1119.5249999999999</v>
      </c>
      <c r="Q1081" s="11"/>
      <c r="R1081" s="11">
        <f t="shared" si="259"/>
        <v>0</v>
      </c>
      <c r="S1081" s="11"/>
      <c r="T1081" s="136">
        <f t="shared" si="261"/>
        <v>0</v>
      </c>
    </row>
    <row r="1082" spans="1:20" ht="15.75" customHeight="1">
      <c r="A1082" s="149">
        <v>65</v>
      </c>
      <c r="B1082" s="273"/>
      <c r="C1082" s="28" t="s">
        <v>1547</v>
      </c>
      <c r="D1082" s="41">
        <v>0</v>
      </c>
      <c r="E1082" s="131">
        <f t="shared" si="255"/>
        <v>39150</v>
      </c>
      <c r="F1082" s="21">
        <f t="shared" si="262"/>
        <v>47371.5</v>
      </c>
      <c r="G1082" s="21"/>
      <c r="H1082" s="135">
        <f t="shared" si="263"/>
        <v>0</v>
      </c>
      <c r="I1082" s="294">
        <v>45286</v>
      </c>
      <c r="J1082" s="294"/>
      <c r="K1082" s="10">
        <v>27000</v>
      </c>
      <c r="L1082" s="148"/>
      <c r="M1082" s="11"/>
      <c r="N1082" s="100"/>
      <c r="O1082" s="11">
        <f t="shared" si="260"/>
        <v>27000</v>
      </c>
      <c r="P1082" s="11">
        <f t="shared" si="258"/>
        <v>27000</v>
      </c>
      <c r="Q1082" s="11">
        <v>1.45</v>
      </c>
      <c r="R1082" s="11">
        <f t="shared" si="259"/>
        <v>39150</v>
      </c>
      <c r="S1082" s="11"/>
      <c r="T1082" s="136">
        <f t="shared" si="261"/>
        <v>0</v>
      </c>
    </row>
    <row r="1083" spans="1:20" ht="15.75" customHeight="1">
      <c r="A1083" s="149">
        <v>65</v>
      </c>
      <c r="B1083" s="273"/>
      <c r="C1083" s="28" t="s">
        <v>1548</v>
      </c>
      <c r="D1083" s="41">
        <v>0</v>
      </c>
      <c r="E1083" s="131">
        <f t="shared" si="255"/>
        <v>39150</v>
      </c>
      <c r="F1083" s="21">
        <f t="shared" si="262"/>
        <v>47371.5</v>
      </c>
      <c r="G1083" s="21"/>
      <c r="H1083" s="135">
        <f t="shared" si="263"/>
        <v>0</v>
      </c>
      <c r="I1083" s="294">
        <v>45286</v>
      </c>
      <c r="J1083" s="294"/>
      <c r="K1083" s="10">
        <v>27000</v>
      </c>
      <c r="L1083" s="11"/>
      <c r="M1083" s="11"/>
      <c r="N1083" s="100"/>
      <c r="O1083" s="11">
        <f t="shared" si="260"/>
        <v>27000</v>
      </c>
      <c r="P1083" s="11">
        <f t="shared" si="258"/>
        <v>27000</v>
      </c>
      <c r="Q1083" s="11">
        <v>1.45</v>
      </c>
      <c r="R1083" s="11">
        <f t="shared" si="259"/>
        <v>39150</v>
      </c>
      <c r="S1083" s="11"/>
      <c r="T1083" s="136">
        <f t="shared" si="261"/>
        <v>0</v>
      </c>
    </row>
    <row r="1084" spans="1:20" ht="15.75" customHeight="1">
      <c r="A1084" s="149">
        <v>65</v>
      </c>
      <c r="B1084" s="273"/>
      <c r="C1084" s="28" t="s">
        <v>1549</v>
      </c>
      <c r="D1084" s="41">
        <v>0</v>
      </c>
      <c r="E1084" s="131">
        <f t="shared" si="255"/>
        <v>39150</v>
      </c>
      <c r="F1084" s="21">
        <f t="shared" si="262"/>
        <v>47371.5</v>
      </c>
      <c r="G1084" s="21"/>
      <c r="H1084" s="135">
        <f t="shared" si="263"/>
        <v>0</v>
      </c>
      <c r="I1084" s="294">
        <v>45286</v>
      </c>
      <c r="J1084" s="294"/>
      <c r="K1084" s="10">
        <v>27000</v>
      </c>
      <c r="L1084" s="148"/>
      <c r="M1084" s="11"/>
      <c r="N1084" s="100"/>
      <c r="O1084" s="11">
        <f t="shared" si="260"/>
        <v>27000</v>
      </c>
      <c r="P1084" s="11">
        <f t="shared" si="258"/>
        <v>27000</v>
      </c>
      <c r="Q1084" s="11">
        <v>1.45</v>
      </c>
      <c r="R1084" s="11">
        <f t="shared" si="259"/>
        <v>39150</v>
      </c>
      <c r="S1084" s="11"/>
      <c r="T1084" s="136">
        <f t="shared" si="261"/>
        <v>0</v>
      </c>
    </row>
    <row r="1085" spans="1:20" ht="15.75" customHeight="1">
      <c r="A1085" s="149">
        <v>65</v>
      </c>
      <c r="B1085" s="273"/>
      <c r="C1085" s="28" t="s">
        <v>1550</v>
      </c>
      <c r="D1085" s="41">
        <v>0</v>
      </c>
      <c r="E1085" s="131">
        <f t="shared" si="255"/>
        <v>39150</v>
      </c>
      <c r="F1085" s="21">
        <f t="shared" si="262"/>
        <v>47371.5</v>
      </c>
      <c r="G1085" s="21"/>
      <c r="H1085" s="135">
        <f t="shared" si="263"/>
        <v>0</v>
      </c>
      <c r="I1085" s="294">
        <v>45286</v>
      </c>
      <c r="J1085" s="294"/>
      <c r="K1085" s="10">
        <v>27000</v>
      </c>
      <c r="L1085" s="148"/>
      <c r="M1085" s="11"/>
      <c r="N1085" s="100"/>
      <c r="O1085" s="11">
        <f t="shared" si="260"/>
        <v>27000</v>
      </c>
      <c r="P1085" s="11">
        <f t="shared" si="258"/>
        <v>27000</v>
      </c>
      <c r="Q1085" s="11">
        <v>1.45</v>
      </c>
      <c r="R1085" s="11">
        <f t="shared" si="259"/>
        <v>39150</v>
      </c>
      <c r="S1085" s="11"/>
      <c r="T1085" s="136">
        <f t="shared" si="261"/>
        <v>0</v>
      </c>
    </row>
    <row r="1086" spans="1:20" ht="15.75" customHeight="1">
      <c r="A1086" s="149">
        <v>65</v>
      </c>
      <c r="B1086" s="273"/>
      <c r="C1086" s="28" t="s">
        <v>1551</v>
      </c>
      <c r="D1086" s="41">
        <v>0</v>
      </c>
      <c r="E1086" s="131">
        <f t="shared" si="255"/>
        <v>39150</v>
      </c>
      <c r="F1086" s="21">
        <f t="shared" si="262"/>
        <v>47371.5</v>
      </c>
      <c r="G1086" s="21"/>
      <c r="H1086" s="135">
        <f t="shared" si="263"/>
        <v>0</v>
      </c>
      <c r="I1086" s="294">
        <v>45286</v>
      </c>
      <c r="J1086" s="294"/>
      <c r="K1086" s="10">
        <v>27000</v>
      </c>
      <c r="L1086" s="148"/>
      <c r="M1086" s="11"/>
      <c r="N1086" s="100"/>
      <c r="O1086" s="11">
        <f t="shared" si="260"/>
        <v>27000</v>
      </c>
      <c r="P1086" s="11">
        <f t="shared" si="258"/>
        <v>27000</v>
      </c>
      <c r="Q1086" s="11">
        <v>1.45</v>
      </c>
      <c r="R1086" s="11">
        <f t="shared" si="259"/>
        <v>39150</v>
      </c>
      <c r="S1086" s="11"/>
      <c r="T1086" s="136">
        <f t="shared" si="261"/>
        <v>0</v>
      </c>
    </row>
    <row r="1087" spans="1:20" ht="15.75" customHeight="1">
      <c r="A1087" s="149">
        <v>30</v>
      </c>
      <c r="B1087" s="273"/>
      <c r="C1087" s="28" t="s">
        <v>1552</v>
      </c>
      <c r="D1087" s="41">
        <v>1120</v>
      </c>
      <c r="E1087" s="131">
        <f t="shared" si="255"/>
        <v>0</v>
      </c>
      <c r="F1087" s="21">
        <f t="shared" si="262"/>
        <v>0</v>
      </c>
      <c r="G1087" s="21"/>
      <c r="H1087" s="135">
        <f t="shared" si="263"/>
        <v>0</v>
      </c>
      <c r="I1087" s="40">
        <v>43843</v>
      </c>
      <c r="J1087" s="294">
        <v>43906</v>
      </c>
      <c r="K1087" s="10">
        <f>743*1.4</f>
        <v>1040.2</v>
      </c>
      <c r="L1087" s="11"/>
      <c r="M1087" s="11"/>
      <c r="N1087" s="100"/>
      <c r="O1087" s="11">
        <f t="shared" si="260"/>
        <v>1040.2</v>
      </c>
      <c r="P1087" s="11">
        <f t="shared" si="258"/>
        <v>1040.2</v>
      </c>
      <c r="Q1087" s="11"/>
      <c r="R1087" s="11">
        <f t="shared" si="259"/>
        <v>0</v>
      </c>
      <c r="S1087" s="11"/>
      <c r="T1087" s="136">
        <f t="shared" si="261"/>
        <v>0</v>
      </c>
    </row>
    <row r="1088" spans="1:20" ht="15.75" customHeight="1">
      <c r="A1088" s="149">
        <v>65</v>
      </c>
      <c r="B1088" s="273"/>
      <c r="C1088" s="28" t="s">
        <v>1553</v>
      </c>
      <c r="D1088" s="41">
        <v>0</v>
      </c>
      <c r="E1088" s="131">
        <f t="shared" si="255"/>
        <v>43500</v>
      </c>
      <c r="F1088" s="21">
        <f t="shared" si="262"/>
        <v>52635</v>
      </c>
      <c r="G1088" s="21"/>
      <c r="H1088" s="135">
        <f t="shared" si="263"/>
        <v>0</v>
      </c>
      <c r="I1088" s="294">
        <v>45286</v>
      </c>
      <c r="J1088" s="294"/>
      <c r="K1088" s="10">
        <v>30000</v>
      </c>
      <c r="L1088" s="148"/>
      <c r="M1088" s="11"/>
      <c r="N1088" s="100"/>
      <c r="O1088" s="11">
        <f t="shared" si="260"/>
        <v>30000</v>
      </c>
      <c r="P1088" s="11">
        <f t="shared" si="258"/>
        <v>30000</v>
      </c>
      <c r="Q1088" s="11">
        <v>1.45</v>
      </c>
      <c r="R1088" s="11">
        <f t="shared" si="259"/>
        <v>43500</v>
      </c>
      <c r="S1088" s="11"/>
      <c r="T1088" s="136">
        <f t="shared" si="261"/>
        <v>0</v>
      </c>
    </row>
    <row r="1089" spans="1:20" ht="15.75" customHeight="1">
      <c r="A1089" s="149">
        <v>30</v>
      </c>
      <c r="B1089" s="273"/>
      <c r="C1089" s="28" t="s">
        <v>1554</v>
      </c>
      <c r="D1089" s="41">
        <v>1190</v>
      </c>
      <c r="E1089" s="131">
        <f t="shared" si="255"/>
        <v>0</v>
      </c>
      <c r="F1089" s="21">
        <f t="shared" si="262"/>
        <v>0</v>
      </c>
      <c r="G1089" s="21"/>
      <c r="H1089" s="135">
        <f t="shared" si="263"/>
        <v>0</v>
      </c>
      <c r="I1089" s="40">
        <v>43843</v>
      </c>
      <c r="J1089" s="294">
        <v>43906</v>
      </c>
      <c r="K1089" s="10">
        <f>781*1.3</f>
        <v>1015.3000000000001</v>
      </c>
      <c r="L1089" s="11"/>
      <c r="M1089" s="11"/>
      <c r="N1089" s="100"/>
      <c r="O1089" s="11">
        <f t="shared" si="260"/>
        <v>1015.3000000000001</v>
      </c>
      <c r="P1089" s="11">
        <f t="shared" si="258"/>
        <v>1015.3000000000001</v>
      </c>
      <c r="Q1089" s="11"/>
      <c r="R1089" s="11">
        <f t="shared" si="259"/>
        <v>0</v>
      </c>
      <c r="S1089" s="11"/>
      <c r="T1089" s="136">
        <f t="shared" si="261"/>
        <v>0</v>
      </c>
    </row>
    <row r="1090" spans="1:20" ht="15.75" customHeight="1">
      <c r="A1090" s="149">
        <v>30</v>
      </c>
      <c r="B1090" s="273"/>
      <c r="C1090" s="28" t="s">
        <v>1555</v>
      </c>
      <c r="D1090" s="41">
        <v>1130</v>
      </c>
      <c r="E1090" s="131">
        <f t="shared" si="255"/>
        <v>0</v>
      </c>
      <c r="F1090" s="21">
        <f t="shared" si="262"/>
        <v>0</v>
      </c>
      <c r="G1090" s="21"/>
      <c r="H1090" s="135">
        <f t="shared" si="263"/>
        <v>0</v>
      </c>
      <c r="I1090" s="40">
        <v>43843</v>
      </c>
      <c r="J1090" s="294"/>
      <c r="K1090" s="10">
        <f>649*1.5*1.15</f>
        <v>1119.5249999999999</v>
      </c>
      <c r="L1090" s="11"/>
      <c r="M1090" s="11"/>
      <c r="N1090" s="100"/>
      <c r="O1090" s="11">
        <f t="shared" si="260"/>
        <v>1119.5249999999999</v>
      </c>
      <c r="P1090" s="11">
        <f t="shared" si="258"/>
        <v>1119.5249999999999</v>
      </c>
      <c r="Q1090" s="11"/>
      <c r="R1090" s="11">
        <f t="shared" si="259"/>
        <v>0</v>
      </c>
      <c r="S1090" s="11"/>
      <c r="T1090" s="136">
        <f t="shared" si="261"/>
        <v>0</v>
      </c>
    </row>
    <row r="1091" spans="1:20" ht="15.75" customHeight="1">
      <c r="A1091" s="149">
        <v>65</v>
      </c>
      <c r="B1091" s="273"/>
      <c r="C1091" s="28" t="s">
        <v>1556</v>
      </c>
      <c r="D1091" s="41">
        <v>0</v>
      </c>
      <c r="E1091" s="131">
        <f t="shared" si="255"/>
        <v>55100</v>
      </c>
      <c r="F1091" s="21">
        <f t="shared" si="262"/>
        <v>66671</v>
      </c>
      <c r="G1091" s="21"/>
      <c r="H1091" s="135">
        <f t="shared" si="263"/>
        <v>0</v>
      </c>
      <c r="I1091" s="294">
        <v>45286</v>
      </c>
      <c r="J1091" s="294"/>
      <c r="K1091" s="10">
        <v>38000</v>
      </c>
      <c r="L1091" s="148"/>
      <c r="M1091" s="11"/>
      <c r="N1091" s="100"/>
      <c r="O1091" s="11">
        <f t="shared" si="260"/>
        <v>38000</v>
      </c>
      <c r="P1091" s="11">
        <f t="shared" si="258"/>
        <v>38000</v>
      </c>
      <c r="Q1091" s="11">
        <v>1.45</v>
      </c>
      <c r="R1091" s="11">
        <f t="shared" si="259"/>
        <v>55100</v>
      </c>
      <c r="S1091" s="11"/>
      <c r="T1091" s="136">
        <f t="shared" si="261"/>
        <v>0</v>
      </c>
    </row>
    <row r="1092" spans="1:20" ht="15.75" customHeight="1">
      <c r="A1092" s="149">
        <v>30</v>
      </c>
      <c r="B1092" s="273"/>
      <c r="C1092" s="28" t="s">
        <v>1557</v>
      </c>
      <c r="D1092" s="41">
        <v>1780</v>
      </c>
      <c r="E1092" s="131">
        <f t="shared" si="255"/>
        <v>0</v>
      </c>
      <c r="F1092" s="21">
        <f t="shared" si="262"/>
        <v>0</v>
      </c>
      <c r="G1092" s="21"/>
      <c r="H1092" s="135">
        <f t="shared" si="263"/>
        <v>0</v>
      </c>
      <c r="I1092" s="294">
        <v>43843</v>
      </c>
      <c r="J1092" s="294">
        <v>43906</v>
      </c>
      <c r="K1092" s="10">
        <f>1183*1.5</f>
        <v>1774.5</v>
      </c>
      <c r="L1092" s="11"/>
      <c r="M1092" s="11"/>
      <c r="N1092" s="100"/>
      <c r="O1092" s="11">
        <f t="shared" si="260"/>
        <v>1774.5</v>
      </c>
      <c r="P1092" s="11">
        <f t="shared" si="258"/>
        <v>1774.5</v>
      </c>
      <c r="Q1092" s="11"/>
      <c r="R1092" s="11">
        <f t="shared" si="259"/>
        <v>0</v>
      </c>
      <c r="S1092" s="11"/>
      <c r="T1092" s="136">
        <f t="shared" si="261"/>
        <v>0</v>
      </c>
    </row>
    <row r="1093" spans="1:20" ht="15.75" customHeight="1">
      <c r="A1093" s="149">
        <v>42</v>
      </c>
      <c r="B1093" s="273"/>
      <c r="C1093" s="28" t="s">
        <v>3868</v>
      </c>
      <c r="D1093" s="41">
        <v>50</v>
      </c>
      <c r="E1093" s="131">
        <f t="shared" si="255"/>
        <v>1530</v>
      </c>
      <c r="F1093" s="21">
        <f t="shared" si="262"/>
        <v>1851.3</v>
      </c>
      <c r="G1093" s="21"/>
      <c r="H1093" s="135">
        <f t="shared" si="263"/>
        <v>970</v>
      </c>
      <c r="I1093" s="294"/>
      <c r="J1093" s="294">
        <v>45387</v>
      </c>
      <c r="K1093" s="10">
        <f>+PROVEEDORES!D36*1.15</f>
        <v>1017.7499999999999</v>
      </c>
      <c r="L1093" s="11"/>
      <c r="M1093" s="11"/>
      <c r="N1093" s="100">
        <v>644</v>
      </c>
      <c r="O1093" s="11">
        <f t="shared" si="260"/>
        <v>1017.7499999999999</v>
      </c>
      <c r="P1093" s="11">
        <f t="shared" si="258"/>
        <v>1017.7499999999999</v>
      </c>
      <c r="Q1093" s="11">
        <v>1.5</v>
      </c>
      <c r="R1093" s="11">
        <f t="shared" si="259"/>
        <v>1526.6249999999998</v>
      </c>
      <c r="S1093" s="11"/>
      <c r="T1093" s="136">
        <f t="shared" si="261"/>
        <v>966</v>
      </c>
    </row>
    <row r="1094" spans="1:20" ht="15.75" customHeight="1">
      <c r="A1094" s="149">
        <v>42</v>
      </c>
      <c r="B1094" s="273"/>
      <c r="C1094" s="28" t="s">
        <v>4412</v>
      </c>
      <c r="D1094" s="41">
        <v>50</v>
      </c>
      <c r="E1094" s="131">
        <f>ROUNDUP(R1094,-1)</f>
        <v>1250</v>
      </c>
      <c r="F1094" s="21">
        <f>+E1094*1.21</f>
        <v>1512.5</v>
      </c>
      <c r="G1094" s="21"/>
      <c r="H1094" s="135">
        <f>ROUNDUP(T1094,-1)</f>
        <v>1000</v>
      </c>
      <c r="I1094" s="294"/>
      <c r="J1094" s="294">
        <v>45387</v>
      </c>
      <c r="K1094" s="10">
        <f>+PROVEEDORES!$D$36*0.78</f>
        <v>690.30000000000007</v>
      </c>
      <c r="L1094" s="11"/>
      <c r="M1094" s="11"/>
      <c r="N1094" s="100">
        <v>554</v>
      </c>
      <c r="O1094" s="11">
        <f>MIN(K1094:M1094)</f>
        <v>690.30000000000007</v>
      </c>
      <c r="P1094" s="11">
        <f>+O1094</f>
        <v>690.30000000000007</v>
      </c>
      <c r="Q1094" s="11">
        <v>1.8</v>
      </c>
      <c r="R1094" s="11">
        <f>+P1094*Q1094</f>
        <v>1242.5400000000002</v>
      </c>
      <c r="S1094" s="11"/>
      <c r="T1094" s="136">
        <f>+N1094*Q1094</f>
        <v>997.2</v>
      </c>
    </row>
    <row r="1095" spans="1:20" ht="15.75" customHeight="1">
      <c r="A1095" s="149">
        <v>42</v>
      </c>
      <c r="B1095" s="273"/>
      <c r="C1095" s="28" t="s">
        <v>4144</v>
      </c>
      <c r="D1095" s="41"/>
      <c r="E1095" s="131">
        <f t="shared" si="255"/>
        <v>2330</v>
      </c>
      <c r="F1095" s="21">
        <f t="shared" si="262"/>
        <v>2819.2999999999997</v>
      </c>
      <c r="G1095" s="21"/>
      <c r="H1095" s="135">
        <f>ROUNDUP(T1095,-1)</f>
        <v>1710</v>
      </c>
      <c r="I1095" s="294"/>
      <c r="J1095" s="294">
        <v>45387</v>
      </c>
      <c r="K1095" s="10">
        <f>+PROVEEDORES!D36*1.75</f>
        <v>1548.75</v>
      </c>
      <c r="L1095" s="11"/>
      <c r="M1095" s="11"/>
      <c r="N1095" s="100">
        <v>1139</v>
      </c>
      <c r="O1095" s="11">
        <f t="shared" si="260"/>
        <v>1548.75</v>
      </c>
      <c r="P1095" s="11">
        <f t="shared" si="258"/>
        <v>1548.75</v>
      </c>
      <c r="Q1095" s="11">
        <v>1.5</v>
      </c>
      <c r="R1095" s="11">
        <f t="shared" si="259"/>
        <v>2323.125</v>
      </c>
      <c r="S1095" s="11"/>
      <c r="T1095" s="136">
        <f t="shared" si="261"/>
        <v>1708.5</v>
      </c>
    </row>
    <row r="1096" spans="1:20" ht="15.75" customHeight="1">
      <c r="A1096" s="149">
        <v>42</v>
      </c>
      <c r="B1096" s="273"/>
      <c r="C1096" s="28" t="s">
        <v>4156</v>
      </c>
      <c r="D1096" s="41">
        <v>370</v>
      </c>
      <c r="E1096" s="131">
        <f t="shared" si="255"/>
        <v>17000</v>
      </c>
      <c r="F1096" s="21">
        <f t="shared" si="262"/>
        <v>20570</v>
      </c>
      <c r="G1096" s="21"/>
      <c r="H1096" s="135">
        <f t="shared" ref="H1096:H1129" si="264">ROUNDUP(T1096,-1)</f>
        <v>12700</v>
      </c>
      <c r="I1096" s="294"/>
      <c r="J1096" s="294">
        <v>45338</v>
      </c>
      <c r="K1096" s="10">
        <f>+PROVEEDORES!D36*12.8</f>
        <v>11328</v>
      </c>
      <c r="L1096" s="10"/>
      <c r="M1096" s="11"/>
      <c r="N1096" s="100">
        <v>8466</v>
      </c>
      <c r="O1096" s="11">
        <f t="shared" si="260"/>
        <v>11328</v>
      </c>
      <c r="P1096" s="11">
        <f t="shared" si="258"/>
        <v>11328</v>
      </c>
      <c r="Q1096" s="11">
        <v>1.5</v>
      </c>
      <c r="R1096" s="11">
        <f t="shared" si="259"/>
        <v>16992</v>
      </c>
      <c r="S1096" s="11"/>
      <c r="T1096" s="136">
        <f t="shared" si="261"/>
        <v>12699</v>
      </c>
    </row>
    <row r="1097" spans="1:20" ht="15.75" customHeight="1">
      <c r="A1097" s="149">
        <v>42</v>
      </c>
      <c r="B1097" s="273"/>
      <c r="C1097" s="28" t="s">
        <v>62634</v>
      </c>
      <c r="D1097" s="41"/>
      <c r="E1097" s="131">
        <f t="shared" si="255"/>
        <v>7570</v>
      </c>
      <c r="F1097" s="21">
        <f t="shared" si="262"/>
        <v>9159.6999999999989</v>
      </c>
      <c r="G1097" s="21"/>
      <c r="H1097" s="135">
        <f t="shared" si="264"/>
        <v>0</v>
      </c>
      <c r="I1097" s="294"/>
      <c r="J1097" s="294">
        <v>45348</v>
      </c>
      <c r="K1097" s="10">
        <f>+PROVEEDORES!D36*5.7</f>
        <v>5044.5</v>
      </c>
      <c r="L1097" s="11"/>
      <c r="M1097" s="11"/>
      <c r="N1097" s="100"/>
      <c r="O1097" s="11">
        <f t="shared" si="260"/>
        <v>5044.5</v>
      </c>
      <c r="P1097" s="11">
        <f t="shared" si="258"/>
        <v>5044.5</v>
      </c>
      <c r="Q1097" s="11">
        <v>1.5</v>
      </c>
      <c r="R1097" s="11">
        <f t="shared" si="259"/>
        <v>7566.75</v>
      </c>
      <c r="S1097" s="11"/>
      <c r="T1097" s="136">
        <f t="shared" si="261"/>
        <v>0</v>
      </c>
    </row>
    <row r="1098" spans="1:20" ht="15.75" customHeight="1">
      <c r="A1098" s="149">
        <v>42</v>
      </c>
      <c r="B1098" s="273"/>
      <c r="C1098" s="28" t="s">
        <v>37263</v>
      </c>
      <c r="D1098" s="41"/>
      <c r="E1098" s="131">
        <f>ROUNDUP(R1098,-1)</f>
        <v>7440</v>
      </c>
      <c r="F1098" s="21">
        <f>+E1098*1.21</f>
        <v>9002.4</v>
      </c>
      <c r="G1098" s="21"/>
      <c r="H1098" s="135">
        <f>ROUNDUP(T1098,-1)</f>
        <v>0</v>
      </c>
      <c r="I1098" s="294"/>
      <c r="J1098" s="294">
        <v>45348</v>
      </c>
      <c r="K1098" s="10">
        <f>+PROVEEDORES!D36*5.6</f>
        <v>4956</v>
      </c>
      <c r="L1098" s="11"/>
      <c r="M1098" s="11"/>
      <c r="N1098" s="100"/>
      <c r="O1098" s="11">
        <f>MIN(K1098:M1098)</f>
        <v>4956</v>
      </c>
      <c r="P1098" s="11">
        <f>+O1098</f>
        <v>4956</v>
      </c>
      <c r="Q1098" s="11">
        <v>1.5</v>
      </c>
      <c r="R1098" s="11">
        <f>+P1098*Q1098</f>
        <v>7434</v>
      </c>
      <c r="S1098" s="11"/>
      <c r="T1098" s="136">
        <f>+N1098*Q1098</f>
        <v>0</v>
      </c>
    </row>
    <row r="1099" spans="1:20" ht="15.75" customHeight="1">
      <c r="A1099" s="149">
        <v>42</v>
      </c>
      <c r="B1099" s="273"/>
      <c r="C1099" s="28" t="s">
        <v>44273</v>
      </c>
      <c r="D1099" s="41">
        <v>410</v>
      </c>
      <c r="E1099" s="131">
        <f t="shared" si="255"/>
        <v>24170</v>
      </c>
      <c r="F1099" s="21">
        <f t="shared" si="262"/>
        <v>29245.7</v>
      </c>
      <c r="G1099" s="21"/>
      <c r="H1099" s="135">
        <f t="shared" si="264"/>
        <v>18790</v>
      </c>
      <c r="I1099" s="294"/>
      <c r="J1099" s="294">
        <v>45387</v>
      </c>
      <c r="K1099" s="10">
        <f>+PROVEEDORES!D36*18.2</f>
        <v>16107</v>
      </c>
      <c r="L1099" s="11"/>
      <c r="M1099" s="11"/>
      <c r="N1099" s="100">
        <v>12525</v>
      </c>
      <c r="O1099" s="11">
        <f t="shared" si="260"/>
        <v>16107</v>
      </c>
      <c r="P1099" s="11">
        <f t="shared" si="258"/>
        <v>16107</v>
      </c>
      <c r="Q1099" s="11">
        <v>1.5</v>
      </c>
      <c r="R1099" s="11">
        <f t="shared" si="259"/>
        <v>24160.5</v>
      </c>
      <c r="S1099" s="11"/>
      <c r="T1099" s="136">
        <f t="shared" si="261"/>
        <v>18787.5</v>
      </c>
    </row>
    <row r="1100" spans="1:20" ht="15.75" customHeight="1">
      <c r="A1100" s="149">
        <v>42</v>
      </c>
      <c r="B1100" s="273"/>
      <c r="C1100" s="28" t="s">
        <v>62618</v>
      </c>
      <c r="D1100" s="41">
        <v>930</v>
      </c>
      <c r="E1100" s="131">
        <f t="shared" si="255"/>
        <v>31860</v>
      </c>
      <c r="F1100" s="21">
        <f t="shared" si="262"/>
        <v>38550.6</v>
      </c>
      <c r="G1100" s="21"/>
      <c r="H1100" s="135">
        <f t="shared" si="264"/>
        <v>23970</v>
      </c>
      <c r="I1100" s="294"/>
      <c r="J1100" s="294">
        <v>45338</v>
      </c>
      <c r="K1100" s="10">
        <f>+PROVEEDORES!D36*24</f>
        <v>21240</v>
      </c>
      <c r="L1100" s="10" t="s">
        <v>3717</v>
      </c>
      <c r="M1100" s="11"/>
      <c r="N1100" s="100">
        <v>15975</v>
      </c>
      <c r="O1100" s="11">
        <f t="shared" si="260"/>
        <v>21240</v>
      </c>
      <c r="P1100" s="11">
        <f t="shared" si="258"/>
        <v>21240</v>
      </c>
      <c r="Q1100" s="11">
        <v>1.5</v>
      </c>
      <c r="R1100" s="11">
        <f t="shared" si="259"/>
        <v>31860</v>
      </c>
      <c r="S1100" s="11"/>
      <c r="T1100" s="136">
        <f t="shared" si="261"/>
        <v>23962.5</v>
      </c>
    </row>
    <row r="1101" spans="1:20" ht="15.75" customHeight="1">
      <c r="A1101" s="149">
        <v>42</v>
      </c>
      <c r="B1101" s="273"/>
      <c r="C1101" s="28" t="s">
        <v>4118</v>
      </c>
      <c r="D1101" s="41">
        <v>65</v>
      </c>
      <c r="E1101" s="131">
        <f t="shared" si="255"/>
        <v>2260</v>
      </c>
      <c r="F1101" s="21">
        <f t="shared" si="262"/>
        <v>2734.6</v>
      </c>
      <c r="G1101" s="21"/>
      <c r="H1101" s="135">
        <f t="shared" si="264"/>
        <v>1440</v>
      </c>
      <c r="I1101" s="294"/>
      <c r="J1101" s="294">
        <v>45387</v>
      </c>
      <c r="K1101" s="10">
        <f>+PROVEEDORES!D36*1.7</f>
        <v>1504.5</v>
      </c>
      <c r="L1101" s="11"/>
      <c r="M1101" s="11"/>
      <c r="N1101" s="100">
        <v>956</v>
      </c>
      <c r="O1101" s="11">
        <f t="shared" si="260"/>
        <v>1504.5</v>
      </c>
      <c r="P1101" s="11">
        <f t="shared" si="258"/>
        <v>1504.5</v>
      </c>
      <c r="Q1101" s="11">
        <v>1.5</v>
      </c>
      <c r="R1101" s="11">
        <f t="shared" si="259"/>
        <v>2256.75</v>
      </c>
      <c r="S1101" s="11"/>
      <c r="T1101" s="136">
        <f t="shared" si="261"/>
        <v>1434</v>
      </c>
    </row>
    <row r="1102" spans="1:20" ht="15.75" customHeight="1">
      <c r="A1102" s="149">
        <v>42</v>
      </c>
      <c r="B1102" s="273"/>
      <c r="C1102" s="28" t="s">
        <v>4413</v>
      </c>
      <c r="D1102" s="41">
        <v>50</v>
      </c>
      <c r="E1102" s="131">
        <f t="shared" si="255"/>
        <v>1250</v>
      </c>
      <c r="F1102" s="21">
        <f t="shared" si="262"/>
        <v>1512.5</v>
      </c>
      <c r="G1102" s="21"/>
      <c r="H1102" s="135">
        <f t="shared" si="264"/>
        <v>1000</v>
      </c>
      <c r="I1102" s="294"/>
      <c r="J1102" s="294">
        <v>45387</v>
      </c>
      <c r="K1102" s="10">
        <f>+PROVEEDORES!$D$36*0.78</f>
        <v>690.30000000000007</v>
      </c>
      <c r="L1102" s="11"/>
      <c r="M1102" s="11"/>
      <c r="N1102" s="100">
        <v>554</v>
      </c>
      <c r="O1102" s="11">
        <f t="shared" si="260"/>
        <v>690.30000000000007</v>
      </c>
      <c r="P1102" s="11">
        <f t="shared" si="258"/>
        <v>690.30000000000007</v>
      </c>
      <c r="Q1102" s="11">
        <v>1.8</v>
      </c>
      <c r="R1102" s="11">
        <f t="shared" si="259"/>
        <v>1242.5400000000002</v>
      </c>
      <c r="S1102" s="11"/>
      <c r="T1102" s="136">
        <f t="shared" si="261"/>
        <v>997.2</v>
      </c>
    </row>
    <row r="1103" spans="1:20" ht="15.75" customHeight="1">
      <c r="A1103" s="149">
        <v>42</v>
      </c>
      <c r="B1103" s="273"/>
      <c r="C1103" s="28" t="s">
        <v>4145</v>
      </c>
      <c r="D1103" s="41"/>
      <c r="E1103" s="131">
        <f t="shared" si="255"/>
        <v>2260</v>
      </c>
      <c r="F1103" s="21">
        <f t="shared" si="262"/>
        <v>2734.6</v>
      </c>
      <c r="G1103" s="44"/>
      <c r="H1103" s="135">
        <f t="shared" si="264"/>
        <v>1600</v>
      </c>
      <c r="I1103" s="294"/>
      <c r="J1103" s="294">
        <v>45387</v>
      </c>
      <c r="K1103" s="10">
        <f>+PROVEEDORES!D36*1.7</f>
        <v>1504.5</v>
      </c>
      <c r="L1103" s="11"/>
      <c r="M1103" s="11"/>
      <c r="N1103" s="100">
        <v>1062</v>
      </c>
      <c r="O1103" s="11">
        <f t="shared" si="260"/>
        <v>1504.5</v>
      </c>
      <c r="P1103" s="11">
        <f t="shared" si="258"/>
        <v>1504.5</v>
      </c>
      <c r="Q1103" s="11">
        <v>1.5</v>
      </c>
      <c r="R1103" s="11">
        <f t="shared" si="259"/>
        <v>2256.75</v>
      </c>
      <c r="S1103" s="11"/>
      <c r="T1103" s="136">
        <f t="shared" si="261"/>
        <v>1593</v>
      </c>
    </row>
    <row r="1104" spans="1:20" ht="15.75" customHeight="1">
      <c r="A1104" s="149">
        <v>42</v>
      </c>
      <c r="B1104" s="273"/>
      <c r="C1104" s="28" t="s">
        <v>4155</v>
      </c>
      <c r="D1104" s="41">
        <v>310</v>
      </c>
      <c r="E1104" s="131">
        <f t="shared" si="255"/>
        <v>10620</v>
      </c>
      <c r="F1104" s="21">
        <f t="shared" si="262"/>
        <v>12850.199999999999</v>
      </c>
      <c r="G1104" s="21"/>
      <c r="H1104" s="135">
        <f t="shared" si="264"/>
        <v>7920</v>
      </c>
      <c r="I1104" s="294"/>
      <c r="J1104" s="294">
        <v>45338</v>
      </c>
      <c r="K1104" s="10">
        <f>+PROVEEDORES!$D$36*8</f>
        <v>7080</v>
      </c>
      <c r="L1104" s="11"/>
      <c r="M1104" s="11"/>
      <c r="N1104" s="100">
        <v>5276</v>
      </c>
      <c r="O1104" s="11">
        <f t="shared" si="260"/>
        <v>7080</v>
      </c>
      <c r="P1104" s="11">
        <f t="shared" si="258"/>
        <v>7080</v>
      </c>
      <c r="Q1104" s="11">
        <v>1.5</v>
      </c>
      <c r="R1104" s="11">
        <f t="shared" si="259"/>
        <v>10620</v>
      </c>
      <c r="S1104" s="11"/>
      <c r="T1104" s="136">
        <f t="shared" si="261"/>
        <v>7914</v>
      </c>
    </row>
    <row r="1105" spans="1:20" ht="15.75" customHeight="1">
      <c r="A1105" s="149">
        <v>42</v>
      </c>
      <c r="B1105" s="273"/>
      <c r="C1105" s="28" t="s">
        <v>62635</v>
      </c>
      <c r="D1105" s="41"/>
      <c r="E1105" s="131">
        <f t="shared" si="255"/>
        <v>3320</v>
      </c>
      <c r="F1105" s="21">
        <f t="shared" si="262"/>
        <v>4017.2</v>
      </c>
      <c r="G1105" s="21"/>
      <c r="H1105" s="135">
        <f t="shared" si="264"/>
        <v>0</v>
      </c>
      <c r="I1105" s="294"/>
      <c r="J1105" s="294">
        <v>45348</v>
      </c>
      <c r="K1105" s="10">
        <f>+PROVEEDORES!D36*2.5</f>
        <v>2212.5</v>
      </c>
      <c r="L1105" s="11"/>
      <c r="M1105" s="11"/>
      <c r="N1105" s="100"/>
      <c r="O1105" s="11">
        <f t="shared" si="260"/>
        <v>2212.5</v>
      </c>
      <c r="P1105" s="11">
        <f t="shared" si="258"/>
        <v>2212.5</v>
      </c>
      <c r="Q1105" s="11">
        <v>1.5</v>
      </c>
      <c r="R1105" s="11">
        <f t="shared" si="259"/>
        <v>3318.75</v>
      </c>
      <c r="S1105" s="11"/>
      <c r="T1105" s="136">
        <f t="shared" si="261"/>
        <v>0</v>
      </c>
    </row>
    <row r="1106" spans="1:20" ht="15.75" customHeight="1">
      <c r="A1106" s="149">
        <v>42</v>
      </c>
      <c r="B1106" s="273"/>
      <c r="C1106" s="28" t="s">
        <v>44274</v>
      </c>
      <c r="D1106" s="41">
        <v>390</v>
      </c>
      <c r="E1106" s="131">
        <f t="shared" si="255"/>
        <v>9920</v>
      </c>
      <c r="F1106" s="21">
        <f t="shared" si="262"/>
        <v>12003.199999999999</v>
      </c>
      <c r="G1106" s="21"/>
      <c r="H1106" s="135">
        <f t="shared" si="264"/>
        <v>12100</v>
      </c>
      <c r="I1106" s="294"/>
      <c r="J1106" s="294">
        <v>45387</v>
      </c>
      <c r="K1106" s="10">
        <f>+PROVEEDORES!D36*12.1</f>
        <v>10708.5</v>
      </c>
      <c r="L1106" s="11">
        <f>99187/15</f>
        <v>6612.4666666666662</v>
      </c>
      <c r="M1106" s="11">
        <f>+N1106*1.5*1.5</f>
        <v>18144</v>
      </c>
      <c r="N1106" s="100">
        <v>8064</v>
      </c>
      <c r="O1106" s="11">
        <f t="shared" si="260"/>
        <v>6612.4666666666662</v>
      </c>
      <c r="P1106" s="11">
        <f t="shared" si="258"/>
        <v>6612.4666666666662</v>
      </c>
      <c r="Q1106" s="11">
        <v>1.5</v>
      </c>
      <c r="R1106" s="11">
        <f t="shared" si="259"/>
        <v>9918.6999999999989</v>
      </c>
      <c r="S1106" s="11"/>
      <c r="T1106" s="136">
        <f t="shared" si="261"/>
        <v>12096</v>
      </c>
    </row>
    <row r="1107" spans="1:20" ht="15.75" customHeight="1">
      <c r="A1107" s="149">
        <v>42</v>
      </c>
      <c r="B1107" s="273"/>
      <c r="C1107" s="28" t="s">
        <v>44275</v>
      </c>
      <c r="D1107" s="41">
        <v>570</v>
      </c>
      <c r="E1107" s="131">
        <f t="shared" ref="E1107:E1172" si="265">ROUNDUP(R1107,-1)</f>
        <v>24560</v>
      </c>
      <c r="F1107" s="21">
        <f t="shared" si="262"/>
        <v>29717.599999999999</v>
      </c>
      <c r="G1107" s="21"/>
      <c r="H1107" s="135">
        <f t="shared" si="264"/>
        <v>18860</v>
      </c>
      <c r="I1107" s="294"/>
      <c r="J1107" s="294">
        <v>45387</v>
      </c>
      <c r="K1107" s="10">
        <f>+PROVEEDORES!D36*18.5</f>
        <v>16372.5</v>
      </c>
      <c r="L1107" s="30"/>
      <c r="M1107" s="11">
        <f>+N1107*1.5*1.5</f>
        <v>28275.75</v>
      </c>
      <c r="N1107" s="100">
        <v>12567</v>
      </c>
      <c r="O1107" s="11">
        <f t="shared" si="260"/>
        <v>16372.5</v>
      </c>
      <c r="P1107" s="11">
        <f t="shared" si="258"/>
        <v>16372.5</v>
      </c>
      <c r="Q1107" s="11">
        <v>1.5</v>
      </c>
      <c r="R1107" s="11">
        <f t="shared" si="259"/>
        <v>24558.75</v>
      </c>
      <c r="S1107" s="11"/>
      <c r="T1107" s="136">
        <f t="shared" si="261"/>
        <v>18850.5</v>
      </c>
    </row>
    <row r="1108" spans="1:20" ht="15.75" customHeight="1">
      <c r="A1108" s="149">
        <v>42</v>
      </c>
      <c r="B1108" s="273"/>
      <c r="C1108" s="28" t="s">
        <v>3864</v>
      </c>
      <c r="D1108" s="41">
        <v>570</v>
      </c>
      <c r="E1108" s="131">
        <f t="shared" si="265"/>
        <v>22430</v>
      </c>
      <c r="F1108" s="21">
        <f t="shared" si="262"/>
        <v>27140.3</v>
      </c>
      <c r="G1108" s="21"/>
      <c r="H1108" s="135">
        <f t="shared" si="264"/>
        <v>0</v>
      </c>
      <c r="I1108" s="294"/>
      <c r="J1108" s="40">
        <v>44783</v>
      </c>
      <c r="K1108" s="10">
        <f>+PROVEEDORES!D36*14.08*1.2</f>
        <v>14952.96</v>
      </c>
      <c r="L1108" s="30"/>
      <c r="M1108" s="11"/>
      <c r="N1108" s="100"/>
      <c r="O1108" s="11">
        <f t="shared" si="260"/>
        <v>14952.96</v>
      </c>
      <c r="P1108" s="11">
        <f t="shared" si="258"/>
        <v>14952.96</v>
      </c>
      <c r="Q1108" s="11">
        <v>1.5</v>
      </c>
      <c r="R1108" s="11">
        <f t="shared" si="259"/>
        <v>22429.439999999999</v>
      </c>
      <c r="S1108" s="11"/>
      <c r="T1108" s="136">
        <f t="shared" si="261"/>
        <v>0</v>
      </c>
    </row>
    <row r="1109" spans="1:20" ht="15.75" customHeight="1">
      <c r="A1109" s="149">
        <v>42</v>
      </c>
      <c r="B1109" s="273"/>
      <c r="C1109" s="28" t="s">
        <v>1558</v>
      </c>
      <c r="D1109" s="41">
        <v>340</v>
      </c>
      <c r="E1109" s="131">
        <f t="shared" si="265"/>
        <v>8630</v>
      </c>
      <c r="F1109" s="21">
        <f t="shared" si="262"/>
        <v>10442.299999999999</v>
      </c>
      <c r="G1109" s="21"/>
      <c r="H1109" s="135">
        <f t="shared" si="264"/>
        <v>0</v>
      </c>
      <c r="I1109" s="294">
        <v>44586</v>
      </c>
      <c r="J1109" s="294">
        <v>45189</v>
      </c>
      <c r="K1109" s="10">
        <f>+PROVEEDORES!D36*5.2*1.25</f>
        <v>5752.5</v>
      </c>
      <c r="L1109" s="11"/>
      <c r="M1109" s="11"/>
      <c r="N1109" s="100"/>
      <c r="O1109" s="11">
        <f t="shared" si="260"/>
        <v>5752.5</v>
      </c>
      <c r="P1109" s="11">
        <f t="shared" si="258"/>
        <v>5752.5</v>
      </c>
      <c r="Q1109" s="11">
        <v>1.5</v>
      </c>
      <c r="R1109" s="11">
        <f t="shared" si="259"/>
        <v>8628.75</v>
      </c>
      <c r="S1109" s="11"/>
      <c r="T1109" s="136">
        <f t="shared" si="261"/>
        <v>0</v>
      </c>
    </row>
    <row r="1110" spans="1:20" ht="15.75" customHeight="1">
      <c r="A1110" s="149">
        <v>42</v>
      </c>
      <c r="B1110" s="273"/>
      <c r="C1110" s="28" t="s">
        <v>1559</v>
      </c>
      <c r="D1110" s="41">
        <v>150</v>
      </c>
      <c r="E1110" s="131">
        <f t="shared" si="265"/>
        <v>0</v>
      </c>
      <c r="F1110" s="21">
        <f t="shared" si="262"/>
        <v>0</v>
      </c>
      <c r="G1110" s="21"/>
      <c r="H1110" s="135">
        <f t="shared" si="264"/>
        <v>0</v>
      </c>
      <c r="I1110" s="40">
        <v>43476</v>
      </c>
      <c r="J1110" s="40"/>
      <c r="K1110" s="10">
        <f>96*1.5*1.8</f>
        <v>259.2</v>
      </c>
      <c r="L1110" s="11"/>
      <c r="M1110" s="11"/>
      <c r="N1110" s="100"/>
      <c r="O1110" s="11">
        <f t="shared" si="260"/>
        <v>259.2</v>
      </c>
      <c r="P1110" s="11">
        <f t="shared" si="258"/>
        <v>259.2</v>
      </c>
      <c r="Q1110" s="11"/>
      <c r="R1110" s="11">
        <f t="shared" si="259"/>
        <v>0</v>
      </c>
      <c r="S1110" s="11"/>
      <c r="T1110" s="136">
        <f t="shared" si="261"/>
        <v>0</v>
      </c>
    </row>
    <row r="1111" spans="1:20" ht="15.75" customHeight="1">
      <c r="A1111" s="149">
        <v>42</v>
      </c>
      <c r="B1111" s="273"/>
      <c r="C1111" s="28" t="s">
        <v>4493</v>
      </c>
      <c r="D1111" s="41">
        <v>390</v>
      </c>
      <c r="E1111" s="131">
        <f t="shared" si="265"/>
        <v>12590</v>
      </c>
      <c r="F1111" s="21">
        <f t="shared" si="262"/>
        <v>15233.9</v>
      </c>
      <c r="G1111" s="21"/>
      <c r="H1111" s="135">
        <f t="shared" si="264"/>
        <v>0</v>
      </c>
      <c r="I1111" s="294">
        <v>44901</v>
      </c>
      <c r="J1111" s="40">
        <v>45348</v>
      </c>
      <c r="K1111" s="10">
        <f>+PROVEEDORES!D36*7.9</f>
        <v>6991.5</v>
      </c>
      <c r="L1111" s="11"/>
      <c r="M1111" s="11"/>
      <c r="N1111" s="100"/>
      <c r="O1111" s="11">
        <f t="shared" si="260"/>
        <v>6991.5</v>
      </c>
      <c r="P1111" s="11">
        <f t="shared" si="258"/>
        <v>6991.5</v>
      </c>
      <c r="Q1111" s="11">
        <v>1.8</v>
      </c>
      <c r="R1111" s="11">
        <f t="shared" si="259"/>
        <v>12584.7</v>
      </c>
      <c r="S1111" s="11"/>
      <c r="T1111" s="136">
        <f t="shared" si="261"/>
        <v>0</v>
      </c>
    </row>
    <row r="1112" spans="1:20" ht="15.75" customHeight="1">
      <c r="A1112" s="149"/>
      <c r="B1112" s="273"/>
      <c r="C1112" s="28" t="s">
        <v>1560</v>
      </c>
      <c r="D1112" s="41">
        <v>450</v>
      </c>
      <c r="E1112" s="131">
        <f t="shared" si="265"/>
        <v>780</v>
      </c>
      <c r="F1112" s="21">
        <f t="shared" si="262"/>
        <v>943.8</v>
      </c>
      <c r="G1112" s="21"/>
      <c r="H1112" s="135">
        <f t="shared" si="264"/>
        <v>0</v>
      </c>
      <c r="I1112" s="40"/>
      <c r="J1112" s="40">
        <v>44096</v>
      </c>
      <c r="K1112" s="10">
        <f>357*0.8*1.5</f>
        <v>428.40000000000003</v>
      </c>
      <c r="L1112" s="11">
        <f>250*2</f>
        <v>500</v>
      </c>
      <c r="M1112" s="11"/>
      <c r="N1112" s="100"/>
      <c r="O1112" s="11">
        <f t="shared" si="260"/>
        <v>428.40000000000003</v>
      </c>
      <c r="P1112" s="11">
        <f t="shared" si="258"/>
        <v>428.40000000000003</v>
      </c>
      <c r="Q1112" s="11">
        <v>1.8</v>
      </c>
      <c r="R1112" s="11">
        <f t="shared" si="259"/>
        <v>771.12000000000012</v>
      </c>
      <c r="S1112" s="11"/>
      <c r="T1112" s="136">
        <f t="shared" si="261"/>
        <v>0</v>
      </c>
    </row>
    <row r="1113" spans="1:20" ht="15.75" customHeight="1">
      <c r="A1113" s="149">
        <v>29</v>
      </c>
      <c r="B1113" s="273"/>
      <c r="C1113" s="28" t="s">
        <v>2193</v>
      </c>
      <c r="D1113" s="41">
        <v>200</v>
      </c>
      <c r="E1113" s="131">
        <f t="shared" si="265"/>
        <v>8640</v>
      </c>
      <c r="F1113" s="21">
        <f t="shared" si="262"/>
        <v>10454.4</v>
      </c>
      <c r="G1113" s="21"/>
      <c r="H1113" s="135">
        <f t="shared" si="264"/>
        <v>0</v>
      </c>
      <c r="I1113" s="40">
        <v>45376</v>
      </c>
      <c r="J1113" s="40"/>
      <c r="K1113" s="10">
        <f>2878*2</f>
        <v>5756</v>
      </c>
      <c r="L1113" s="11"/>
      <c r="M1113" s="11"/>
      <c r="N1113" s="100"/>
      <c r="O1113" s="11">
        <f t="shared" si="260"/>
        <v>5756</v>
      </c>
      <c r="P1113" s="11">
        <f t="shared" si="258"/>
        <v>5756</v>
      </c>
      <c r="Q1113" s="11">
        <v>1.5</v>
      </c>
      <c r="R1113" s="11">
        <f t="shared" si="259"/>
        <v>8634</v>
      </c>
      <c r="S1113" s="11"/>
      <c r="T1113" s="136">
        <f t="shared" si="261"/>
        <v>0</v>
      </c>
    </row>
    <row r="1114" spans="1:20" ht="15.75" customHeight="1">
      <c r="A1114" s="149"/>
      <c r="B1114" s="273"/>
      <c r="C1114" s="28" t="s">
        <v>4389</v>
      </c>
      <c r="D1114" s="41">
        <v>680</v>
      </c>
      <c r="E1114" s="131">
        <f t="shared" si="265"/>
        <v>2190</v>
      </c>
      <c r="F1114" s="21">
        <f t="shared" si="262"/>
        <v>2649.9</v>
      </c>
      <c r="G1114" s="21"/>
      <c r="H1114" s="135">
        <f t="shared" si="264"/>
        <v>0</v>
      </c>
      <c r="I1114" s="40">
        <v>45358</v>
      </c>
      <c r="J1114" s="40"/>
      <c r="K1114" s="10">
        <v>1454</v>
      </c>
      <c r="L1114" s="11"/>
      <c r="M1114" s="11"/>
      <c r="N1114" s="100"/>
      <c r="O1114" s="11">
        <f t="shared" si="260"/>
        <v>1454</v>
      </c>
      <c r="P1114" s="11">
        <f t="shared" si="258"/>
        <v>1454</v>
      </c>
      <c r="Q1114" s="11">
        <v>1.5</v>
      </c>
      <c r="R1114" s="11">
        <f t="shared" si="259"/>
        <v>2181</v>
      </c>
      <c r="S1114" s="11"/>
      <c r="T1114" s="136">
        <f t="shared" si="261"/>
        <v>0</v>
      </c>
    </row>
    <row r="1115" spans="1:20" ht="15.75" customHeight="1">
      <c r="A1115" s="149">
        <v>42</v>
      </c>
      <c r="B1115" s="273"/>
      <c r="C1115" s="28" t="s">
        <v>4120</v>
      </c>
      <c r="D1115" s="41">
        <v>570</v>
      </c>
      <c r="E1115" s="131">
        <f t="shared" si="265"/>
        <v>14080</v>
      </c>
      <c r="F1115" s="21" t="s">
        <v>1248</v>
      </c>
      <c r="G1115" s="21">
        <f>+E1115*1.105</f>
        <v>15558.4</v>
      </c>
      <c r="H1115" s="135">
        <f t="shared" si="264"/>
        <v>9290</v>
      </c>
      <c r="I1115" s="294"/>
      <c r="J1115" s="294">
        <v>45338</v>
      </c>
      <c r="K1115" s="10">
        <f>+PROVEEDORES!D36*10.6</f>
        <v>9381</v>
      </c>
      <c r="L1115" s="30"/>
      <c r="M1115" s="11"/>
      <c r="N1115" s="100">
        <v>6187</v>
      </c>
      <c r="O1115" s="11">
        <f t="shared" si="260"/>
        <v>9381</v>
      </c>
      <c r="P1115" s="11">
        <f t="shared" si="258"/>
        <v>9381</v>
      </c>
      <c r="Q1115" s="11">
        <v>1.5</v>
      </c>
      <c r="R1115" s="11">
        <f t="shared" si="259"/>
        <v>14071.5</v>
      </c>
      <c r="S1115" s="11"/>
      <c r="T1115" s="136">
        <f t="shared" si="261"/>
        <v>9280.5</v>
      </c>
    </row>
    <row r="1116" spans="1:20" ht="15.75" customHeight="1">
      <c r="A1116" s="149">
        <v>41</v>
      </c>
      <c r="B1116" s="273">
        <f t="shared" ref="B1116:B1123" si="266">ROUNDUP(E1116*1.06,-1)</f>
        <v>1595670</v>
      </c>
      <c r="C1116" s="28" t="s">
        <v>4259</v>
      </c>
      <c r="D1116" s="41">
        <v>76250</v>
      </c>
      <c r="E1116" s="132">
        <f t="shared" si="265"/>
        <v>1505340</v>
      </c>
      <c r="F1116" s="21" t="s">
        <v>1248</v>
      </c>
      <c r="G1116" s="21">
        <f t="shared" ref="G1116:G1121" si="267">+E1116*1.105</f>
        <v>1663400.7</v>
      </c>
      <c r="H1116" s="135">
        <f t="shared" si="264"/>
        <v>1294360</v>
      </c>
      <c r="I1116" s="294">
        <v>45311</v>
      </c>
      <c r="J1116" s="40"/>
      <c r="K1116" s="10">
        <f>PROVEEDORES!$D$35*0.9*0.9*1286.56</f>
        <v>1115061.5519999999</v>
      </c>
      <c r="L1116" s="47"/>
      <c r="M1116" s="11"/>
      <c r="N1116" s="100">
        <f>0.9*0.95*0.95*1180400</f>
        <v>958779.89999999991</v>
      </c>
      <c r="O1116" s="11">
        <f t="shared" si="260"/>
        <v>1115061.5519999999</v>
      </c>
      <c r="P1116" s="11">
        <f t="shared" si="258"/>
        <v>1115061.5519999999</v>
      </c>
      <c r="Q1116" s="11">
        <v>1.35</v>
      </c>
      <c r="R1116" s="11">
        <f t="shared" si="259"/>
        <v>1505333.0951999999</v>
      </c>
      <c r="S1116" s="11"/>
      <c r="T1116" s="136">
        <f t="shared" si="261"/>
        <v>1294352.865</v>
      </c>
    </row>
    <row r="1117" spans="1:20" ht="15.75" customHeight="1">
      <c r="A1117" s="149">
        <v>41</v>
      </c>
      <c r="B1117" s="273">
        <f t="shared" si="266"/>
        <v>0</v>
      </c>
      <c r="C1117" s="28" t="s">
        <v>4260</v>
      </c>
      <c r="D1117" s="41">
        <v>55200</v>
      </c>
      <c r="E1117" s="132">
        <f t="shared" si="265"/>
        <v>0</v>
      </c>
      <c r="F1117" s="21" t="s">
        <v>1248</v>
      </c>
      <c r="G1117" s="21">
        <f t="shared" si="267"/>
        <v>0</v>
      </c>
      <c r="H1117" s="135">
        <f t="shared" si="264"/>
        <v>0</v>
      </c>
      <c r="I1117" s="294"/>
      <c r="J1117" s="40">
        <v>45059</v>
      </c>
      <c r="K1117" s="10">
        <f>PROVEEDORES!$D$35*0.9*0.9*810</f>
        <v>702027</v>
      </c>
      <c r="L1117" s="47"/>
      <c r="M1117" s="11"/>
      <c r="N1117" s="100"/>
      <c r="O1117" s="11">
        <f t="shared" si="260"/>
        <v>702027</v>
      </c>
      <c r="P1117" s="11">
        <f t="shared" si="258"/>
        <v>702027</v>
      </c>
      <c r="Q1117" s="11"/>
      <c r="R1117" s="11">
        <f t="shared" si="259"/>
        <v>0</v>
      </c>
      <c r="S1117" s="11"/>
      <c r="T1117" s="136">
        <f t="shared" si="261"/>
        <v>0</v>
      </c>
    </row>
    <row r="1118" spans="1:20" ht="15.75" customHeight="1">
      <c r="A1118" s="149">
        <v>41</v>
      </c>
      <c r="B1118" s="273">
        <f t="shared" si="266"/>
        <v>1090070</v>
      </c>
      <c r="C1118" s="28" t="s">
        <v>4261</v>
      </c>
      <c r="D1118" s="41">
        <v>53330</v>
      </c>
      <c r="E1118" s="132">
        <f t="shared" si="265"/>
        <v>1028360</v>
      </c>
      <c r="F1118" s="21" t="s">
        <v>1248</v>
      </c>
      <c r="G1118" s="21">
        <f t="shared" si="267"/>
        <v>1136337.8</v>
      </c>
      <c r="H1118" s="135">
        <f t="shared" si="264"/>
        <v>859580</v>
      </c>
      <c r="I1118" s="294">
        <v>45311</v>
      </c>
      <c r="J1118" s="40"/>
      <c r="K1118" s="10">
        <f>PROVEEDORES!$D$35*0.9*0.9*799*1.1</f>
        <v>761742.63000000012</v>
      </c>
      <c r="L1118" s="30"/>
      <c r="M1118" s="47"/>
      <c r="N1118" s="100">
        <f>0.9*0.95*0.95*783900</f>
        <v>636722.77499999991</v>
      </c>
      <c r="O1118" s="11">
        <f t="shared" si="260"/>
        <v>761742.63000000012</v>
      </c>
      <c r="P1118" s="11">
        <f t="shared" si="258"/>
        <v>761742.63000000012</v>
      </c>
      <c r="Q1118" s="11">
        <v>1.35</v>
      </c>
      <c r="R1118" s="11">
        <f t="shared" si="259"/>
        <v>1028352.5505000002</v>
      </c>
      <c r="S1118" s="11"/>
      <c r="T1118" s="136">
        <f t="shared" si="261"/>
        <v>859575.74624999997</v>
      </c>
    </row>
    <row r="1119" spans="1:20" ht="15.75" customHeight="1">
      <c r="A1119" s="149">
        <v>41</v>
      </c>
      <c r="B1119" s="273">
        <f t="shared" si="266"/>
        <v>1596910</v>
      </c>
      <c r="C1119" s="28" t="s">
        <v>4262</v>
      </c>
      <c r="D1119" s="41">
        <v>76250</v>
      </c>
      <c r="E1119" s="132">
        <f t="shared" si="265"/>
        <v>1506510</v>
      </c>
      <c r="F1119" s="21" t="s">
        <v>1248</v>
      </c>
      <c r="G1119" s="21">
        <f t="shared" si="267"/>
        <v>1664693.55</v>
      </c>
      <c r="H1119" s="135">
        <f t="shared" si="264"/>
        <v>1294360</v>
      </c>
      <c r="I1119" s="294">
        <v>45311</v>
      </c>
      <c r="J1119" s="294"/>
      <c r="K1119" s="10">
        <f>PROVEEDORES!$D$35*0.9*0.9*1287.56</f>
        <v>1115928.2520000001</v>
      </c>
      <c r="L1119" s="47"/>
      <c r="M1119" s="11"/>
      <c r="N1119" s="100">
        <f>0.9*0.95*0.95*1180400</f>
        <v>958779.89999999991</v>
      </c>
      <c r="O1119" s="11">
        <f t="shared" si="260"/>
        <v>1115928.2520000001</v>
      </c>
      <c r="P1119" s="11">
        <f t="shared" si="258"/>
        <v>1115928.2520000001</v>
      </c>
      <c r="Q1119" s="11">
        <v>1.35</v>
      </c>
      <c r="R1119" s="11">
        <f t="shared" si="259"/>
        <v>1506503.1402000003</v>
      </c>
      <c r="S1119" s="11"/>
      <c r="T1119" s="136">
        <f t="shared" si="261"/>
        <v>1294352.865</v>
      </c>
    </row>
    <row r="1120" spans="1:20" ht="15.75" customHeight="1">
      <c r="A1120" s="149">
        <v>41</v>
      </c>
      <c r="B1120" s="273">
        <f t="shared" si="266"/>
        <v>0</v>
      </c>
      <c r="C1120" s="28" t="s">
        <v>4263</v>
      </c>
      <c r="D1120" s="41">
        <v>53330</v>
      </c>
      <c r="E1120" s="132">
        <f t="shared" si="265"/>
        <v>0</v>
      </c>
      <c r="F1120" s="21" t="s">
        <v>1248</v>
      </c>
      <c r="G1120" s="21">
        <f t="shared" si="267"/>
        <v>0</v>
      </c>
      <c r="H1120" s="135">
        <f t="shared" si="264"/>
        <v>0</v>
      </c>
      <c r="I1120" s="294">
        <v>45059</v>
      </c>
      <c r="J1120" s="294"/>
      <c r="K1120" s="10">
        <f>PROVEEDORES!$D$35*0.9*0.9*800</f>
        <v>693360</v>
      </c>
      <c r="L1120" s="30"/>
      <c r="M1120" s="11"/>
      <c r="N1120" s="100"/>
      <c r="O1120" s="11">
        <f t="shared" si="260"/>
        <v>693360</v>
      </c>
      <c r="P1120" s="11">
        <f t="shared" si="258"/>
        <v>693360</v>
      </c>
      <c r="Q1120" s="11"/>
      <c r="R1120" s="11">
        <f t="shared" si="259"/>
        <v>0</v>
      </c>
      <c r="S1120" s="11"/>
      <c r="T1120" s="136">
        <f t="shared" si="261"/>
        <v>0</v>
      </c>
    </row>
    <row r="1121" spans="1:20" ht="15.75" customHeight="1">
      <c r="A1121" s="149">
        <v>41</v>
      </c>
      <c r="B1121" s="273">
        <f t="shared" si="266"/>
        <v>0</v>
      </c>
      <c r="C1121" s="28" t="s">
        <v>4264</v>
      </c>
      <c r="D1121" s="41">
        <v>55200</v>
      </c>
      <c r="E1121" s="132">
        <f>ROUNDUP(R1121,-1)</f>
        <v>0</v>
      </c>
      <c r="F1121" s="21" t="s">
        <v>1248</v>
      </c>
      <c r="G1121" s="21">
        <f t="shared" si="267"/>
        <v>0</v>
      </c>
      <c r="H1121" s="135">
        <f>ROUNDUP(T1121,-1)</f>
        <v>0</v>
      </c>
      <c r="I1121" s="294">
        <v>45059</v>
      </c>
      <c r="J1121" s="294"/>
      <c r="K1121" s="10">
        <f>PROVEEDORES!$D$35*0.9*0.9*863</f>
        <v>747962.10000000009</v>
      </c>
      <c r="L1121" s="47"/>
      <c r="M1121" s="11"/>
      <c r="N1121" s="100"/>
      <c r="O1121" s="11">
        <f>MIN(K1121:M1121)</f>
        <v>747962.10000000009</v>
      </c>
      <c r="P1121" s="11">
        <f t="shared" si="258"/>
        <v>747962.10000000009</v>
      </c>
      <c r="Q1121" s="11"/>
      <c r="R1121" s="11">
        <f t="shared" si="259"/>
        <v>0</v>
      </c>
      <c r="S1121" s="11"/>
      <c r="T1121" s="136">
        <f>+N1121*Q1121</f>
        <v>0</v>
      </c>
    </row>
    <row r="1122" spans="1:20" ht="15.75" customHeight="1">
      <c r="A1122" s="149">
        <v>41</v>
      </c>
      <c r="B1122" s="273">
        <f t="shared" si="266"/>
        <v>2592780</v>
      </c>
      <c r="C1122" s="28" t="s">
        <v>4265</v>
      </c>
      <c r="D1122" s="41">
        <v>108800</v>
      </c>
      <c r="E1122" s="132">
        <f>ROUNDUP(R1122,-1)</f>
        <v>2446010</v>
      </c>
      <c r="F1122" s="21" t="s">
        <v>1248</v>
      </c>
      <c r="G1122" s="21">
        <f>+E1122*1.105</f>
        <v>2702841.05</v>
      </c>
      <c r="H1122" s="135">
        <f>ROUNDUP(T1122,-1)</f>
        <v>1950090</v>
      </c>
      <c r="I1122" s="294">
        <v>45311</v>
      </c>
      <c r="J1122" s="294"/>
      <c r="K1122" s="10">
        <f>PROVEEDORES!$D$35*0.9*0.9*2090.52</f>
        <v>1811853.6840000001</v>
      </c>
      <c r="L1122" s="11"/>
      <c r="M1122" s="10"/>
      <c r="N1122" s="100">
        <f>0.9*0.95*0.95*1778400</f>
        <v>1444505.4</v>
      </c>
      <c r="O1122" s="11">
        <f>MIN(K1122:M1122)</f>
        <v>1811853.6840000001</v>
      </c>
      <c r="P1122" s="11">
        <f t="shared" si="258"/>
        <v>1811853.6840000001</v>
      </c>
      <c r="Q1122" s="11">
        <v>1.35</v>
      </c>
      <c r="R1122" s="11">
        <f t="shared" si="259"/>
        <v>2446002.4734000005</v>
      </c>
      <c r="S1122" s="11"/>
      <c r="T1122" s="136">
        <f>+N1122*Q1122</f>
        <v>1950082.29</v>
      </c>
    </row>
    <row r="1123" spans="1:20" ht="15.75" customHeight="1">
      <c r="A1123" s="149">
        <v>41</v>
      </c>
      <c r="B1123" s="273">
        <f t="shared" si="266"/>
        <v>1504430</v>
      </c>
      <c r="C1123" s="28" t="s">
        <v>4266</v>
      </c>
      <c r="D1123" s="41">
        <v>73630</v>
      </c>
      <c r="E1123" s="132">
        <f>ROUNDUP(R1123,-1)</f>
        <v>1419270</v>
      </c>
      <c r="F1123" s="21" t="s">
        <v>1248</v>
      </c>
      <c r="G1123" s="21">
        <f>+E1123*1.105</f>
        <v>1568293.3499999999</v>
      </c>
      <c r="H1123" s="135">
        <f>ROUNDUP(T1123,-1)</f>
        <v>1298630</v>
      </c>
      <c r="I1123" s="294">
        <v>45311</v>
      </c>
      <c r="J1123" s="294"/>
      <c r="K1123" s="10">
        <f>PROVEEDORES!$D$35*0.9*0.9*1213</f>
        <v>1051307.1000000001</v>
      </c>
      <c r="L1123" s="47"/>
      <c r="M1123" s="11"/>
      <c r="N1123" s="100">
        <f>0.9*0.95*0.95*1184300</f>
        <v>961947.67499999993</v>
      </c>
      <c r="O1123" s="11">
        <f>MIN(K1123:M1123)</f>
        <v>1051307.1000000001</v>
      </c>
      <c r="P1123" s="11">
        <f t="shared" ref="P1123:P1189" si="268">+O1123</f>
        <v>1051307.1000000001</v>
      </c>
      <c r="Q1123" s="11">
        <v>1.35</v>
      </c>
      <c r="R1123" s="11">
        <f t="shared" ref="R1123:R1189" si="269">+P1123*Q1123</f>
        <v>1419264.5850000002</v>
      </c>
      <c r="S1123" s="11"/>
      <c r="T1123" s="136">
        <f>+N1123*Q1123</f>
        <v>1298629.3612500001</v>
      </c>
    </row>
    <row r="1124" spans="1:20" ht="15.75" customHeight="1">
      <c r="A1124" s="149">
        <v>96</v>
      </c>
      <c r="B1124" s="273"/>
      <c r="C1124" s="28" t="s">
        <v>1561</v>
      </c>
      <c r="D1124" s="41">
        <v>20850</v>
      </c>
      <c r="E1124" s="131">
        <f t="shared" si="265"/>
        <v>0</v>
      </c>
      <c r="F1124" s="21" t="s">
        <v>1248</v>
      </c>
      <c r="G1124" s="21"/>
      <c r="H1124" s="135">
        <f t="shared" si="264"/>
        <v>0</v>
      </c>
      <c r="I1124" s="294">
        <v>42028</v>
      </c>
      <c r="J1124" s="294"/>
      <c r="K1124" s="11">
        <f>18163*1.35*0.85</f>
        <v>20842.042500000003</v>
      </c>
      <c r="L1124" s="11"/>
      <c r="M1124" s="11"/>
      <c r="N1124" s="100"/>
      <c r="O1124" s="11">
        <f t="shared" si="260"/>
        <v>20842.042500000003</v>
      </c>
      <c r="P1124" s="11">
        <f t="shared" si="268"/>
        <v>20842.042500000003</v>
      </c>
      <c r="Q1124" s="11"/>
      <c r="R1124" s="11">
        <f t="shared" si="269"/>
        <v>0</v>
      </c>
      <c r="S1124" s="11"/>
      <c r="T1124" s="136">
        <f t="shared" si="261"/>
        <v>0</v>
      </c>
    </row>
    <row r="1125" spans="1:20" ht="15.75" customHeight="1">
      <c r="A1125" s="149">
        <v>35</v>
      </c>
      <c r="B1125" s="273"/>
      <c r="C1125" s="28" t="s">
        <v>1562</v>
      </c>
      <c r="D1125" s="41">
        <v>26950</v>
      </c>
      <c r="E1125" s="131">
        <f t="shared" si="265"/>
        <v>376960</v>
      </c>
      <c r="F1125" s="21">
        <f t="shared" ref="F1125:F1158" si="270">+E1125*1.21</f>
        <v>456121.59999999998</v>
      </c>
      <c r="G1125" s="21"/>
      <c r="H1125" s="135">
        <f t="shared" si="264"/>
        <v>0</v>
      </c>
      <c r="I1125" s="294">
        <v>44876</v>
      </c>
      <c r="J1125" s="294">
        <v>45329</v>
      </c>
      <c r="K1125" s="11">
        <f>+(357)*PROVEEDORES!D29*0.8*2</f>
        <v>505512</v>
      </c>
      <c r="L1125" s="11">
        <f>0.8*314130</f>
        <v>251304</v>
      </c>
      <c r="M1125" s="196"/>
      <c r="N1125" s="100"/>
      <c r="O1125" s="11">
        <f t="shared" si="260"/>
        <v>251304</v>
      </c>
      <c r="P1125" s="11">
        <f t="shared" si="268"/>
        <v>251304</v>
      </c>
      <c r="Q1125" s="11">
        <v>1.5</v>
      </c>
      <c r="R1125" s="11">
        <f t="shared" si="269"/>
        <v>376956</v>
      </c>
      <c r="S1125" s="11"/>
      <c r="T1125" s="136">
        <f t="shared" si="261"/>
        <v>0</v>
      </c>
    </row>
    <row r="1126" spans="1:20" ht="15.75" customHeight="1">
      <c r="A1126" s="149">
        <v>41</v>
      </c>
      <c r="B1126" s="273"/>
      <c r="C1126" s="36" t="s">
        <v>4291</v>
      </c>
      <c r="D1126" s="41"/>
      <c r="E1126" s="132">
        <f t="shared" si="265"/>
        <v>333030</v>
      </c>
      <c r="F1126" s="21">
        <f t="shared" si="270"/>
        <v>402966.3</v>
      </c>
      <c r="G1126" s="21"/>
      <c r="H1126" s="135">
        <f t="shared" si="264"/>
        <v>320000</v>
      </c>
      <c r="I1126" s="294">
        <v>45311</v>
      </c>
      <c r="J1126" s="294"/>
      <c r="K1126" s="10">
        <f>PROVEEDORES!$D$35*0.9*0.9*(232+33)</f>
        <v>229675.5</v>
      </c>
      <c r="L1126" s="11"/>
      <c r="M1126" s="32"/>
      <c r="N1126" s="100">
        <f>0.9*0.95*0.95*(237900+33800)</f>
        <v>220688.32499999998</v>
      </c>
      <c r="O1126" s="11">
        <f t="shared" si="260"/>
        <v>229675.5</v>
      </c>
      <c r="P1126" s="11">
        <f t="shared" si="268"/>
        <v>229675.5</v>
      </c>
      <c r="Q1126" s="11">
        <v>1.45</v>
      </c>
      <c r="R1126" s="11">
        <f t="shared" si="269"/>
        <v>333029.47499999998</v>
      </c>
      <c r="S1126" s="11"/>
      <c r="T1126" s="136">
        <f t="shared" si="261"/>
        <v>319998.07124999998</v>
      </c>
    </row>
    <row r="1127" spans="1:20" ht="15.75" customHeight="1">
      <c r="A1127" s="149">
        <v>41</v>
      </c>
      <c r="B1127" s="273"/>
      <c r="C1127" s="36" t="s">
        <v>4292</v>
      </c>
      <c r="D1127" s="41">
        <v>28940</v>
      </c>
      <c r="E1127" s="132">
        <f t="shared" si="265"/>
        <v>334030</v>
      </c>
      <c r="F1127" s="21">
        <f t="shared" si="270"/>
        <v>404176.3</v>
      </c>
      <c r="G1127" s="21"/>
      <c r="H1127" s="135">
        <f t="shared" si="264"/>
        <v>341440</v>
      </c>
      <c r="I1127" s="294">
        <v>45311</v>
      </c>
      <c r="J1127" s="294"/>
      <c r="K1127" s="10">
        <f>PROVEEDORES!$D$35*0.9*0.9*(249+33)*2</f>
        <v>488818.80000000005</v>
      </c>
      <c r="L1127" s="11">
        <f>141600*0.9*0.9+110400*0.9*0.9+32400*0.9*0.9</f>
        <v>230364</v>
      </c>
      <c r="M1127" s="11"/>
      <c r="N1127" s="100">
        <f>0.9*0.95*0.95*(256100+33800)</f>
        <v>235471.27499999997</v>
      </c>
      <c r="O1127" s="11">
        <f t="shared" si="260"/>
        <v>230364</v>
      </c>
      <c r="P1127" s="11">
        <f t="shared" si="268"/>
        <v>230364</v>
      </c>
      <c r="Q1127" s="11">
        <v>1.45</v>
      </c>
      <c r="R1127" s="11">
        <f t="shared" si="269"/>
        <v>334027.8</v>
      </c>
      <c r="S1127" s="11"/>
      <c r="T1127" s="136">
        <f t="shared" si="261"/>
        <v>341433.34874999995</v>
      </c>
    </row>
    <row r="1128" spans="1:20" ht="15.75" customHeight="1">
      <c r="A1128" s="149" t="s">
        <v>3737</v>
      </c>
      <c r="B1128" s="273"/>
      <c r="C1128" s="28" t="s">
        <v>4098</v>
      </c>
      <c r="D1128" s="41">
        <v>80</v>
      </c>
      <c r="E1128" s="131">
        <f t="shared" si="265"/>
        <v>1450</v>
      </c>
      <c r="F1128" s="21">
        <f t="shared" si="270"/>
        <v>1754.5</v>
      </c>
      <c r="G1128" s="21"/>
      <c r="H1128" s="135">
        <f t="shared" si="264"/>
        <v>0</v>
      </c>
      <c r="I1128" s="294">
        <v>45273</v>
      </c>
      <c r="J1128" s="294">
        <v>45376</v>
      </c>
      <c r="K1128" s="10"/>
      <c r="L1128" s="10">
        <f>0.6*1608</f>
        <v>964.8</v>
      </c>
      <c r="M1128" s="11"/>
      <c r="N1128" s="100"/>
      <c r="O1128" s="11">
        <f t="shared" ref="O1128:O1196" si="271">MIN(K1128:M1128)</f>
        <v>964.8</v>
      </c>
      <c r="P1128" s="11">
        <f t="shared" si="268"/>
        <v>964.8</v>
      </c>
      <c r="Q1128" s="11">
        <v>1.5</v>
      </c>
      <c r="R1128" s="11">
        <f t="shared" si="269"/>
        <v>1447.1999999999998</v>
      </c>
      <c r="S1128" s="11"/>
      <c r="T1128" s="136">
        <f t="shared" si="261"/>
        <v>0</v>
      </c>
    </row>
    <row r="1129" spans="1:20" ht="15.75" customHeight="1">
      <c r="A1129" s="149"/>
      <c r="B1129" s="273"/>
      <c r="C1129" s="28" t="s">
        <v>2199</v>
      </c>
      <c r="D1129" s="41">
        <v>80</v>
      </c>
      <c r="E1129" s="131">
        <f t="shared" si="265"/>
        <v>0</v>
      </c>
      <c r="F1129" s="21">
        <f t="shared" si="270"/>
        <v>0</v>
      </c>
      <c r="G1129" s="21"/>
      <c r="H1129" s="135">
        <f t="shared" si="264"/>
        <v>0</v>
      </c>
      <c r="I1129" s="294">
        <v>45264</v>
      </c>
      <c r="J1129" s="294"/>
      <c r="K1129" s="10">
        <f>0.7*0.9*1106</f>
        <v>696.78</v>
      </c>
      <c r="L1129" s="11"/>
      <c r="M1129" s="11"/>
      <c r="N1129" s="100"/>
      <c r="O1129" s="11">
        <f t="shared" si="271"/>
        <v>696.78</v>
      </c>
      <c r="P1129" s="11">
        <f t="shared" si="268"/>
        <v>696.78</v>
      </c>
      <c r="Q1129" s="11"/>
      <c r="R1129" s="11">
        <f t="shared" si="269"/>
        <v>0</v>
      </c>
      <c r="S1129" s="11"/>
      <c r="T1129" s="136">
        <f t="shared" si="261"/>
        <v>0</v>
      </c>
    </row>
    <row r="1130" spans="1:20" ht="15.75" customHeight="1">
      <c r="A1130" s="149" t="s">
        <v>4506</v>
      </c>
      <c r="B1130" s="273"/>
      <c r="C1130" s="28" t="s">
        <v>4507</v>
      </c>
      <c r="D1130" s="41">
        <v>160</v>
      </c>
      <c r="E1130" s="131">
        <f t="shared" si="265"/>
        <v>3340</v>
      </c>
      <c r="F1130" s="21">
        <f t="shared" si="270"/>
        <v>4041.4</v>
      </c>
      <c r="G1130" s="21"/>
      <c r="H1130" s="135">
        <f t="shared" ref="H1130:H1164" si="272">ROUNDUP(T1130,-1)</f>
        <v>3660</v>
      </c>
      <c r="I1130" s="294">
        <v>45273</v>
      </c>
      <c r="J1130" s="294">
        <v>45385</v>
      </c>
      <c r="K1130" s="10">
        <f>0.7*0.9*2651*2</f>
        <v>3340.26</v>
      </c>
      <c r="L1130" s="10">
        <f>0.6*3709</f>
        <v>2225.4</v>
      </c>
      <c r="M1130" s="11"/>
      <c r="N1130" s="100">
        <v>2438</v>
      </c>
      <c r="O1130" s="11">
        <f t="shared" si="271"/>
        <v>2225.4</v>
      </c>
      <c r="P1130" s="11">
        <f t="shared" si="268"/>
        <v>2225.4</v>
      </c>
      <c r="Q1130" s="11">
        <v>1.5</v>
      </c>
      <c r="R1130" s="11">
        <f t="shared" si="269"/>
        <v>3338.1000000000004</v>
      </c>
      <c r="S1130" s="11"/>
      <c r="T1130" s="136">
        <f t="shared" si="261"/>
        <v>3657</v>
      </c>
    </row>
    <row r="1131" spans="1:20" ht="15.75" customHeight="1">
      <c r="A1131" s="149" t="s">
        <v>4578</v>
      </c>
      <c r="B1131" s="273"/>
      <c r="C1131" s="28" t="s">
        <v>3919</v>
      </c>
      <c r="D1131" s="41">
        <v>160</v>
      </c>
      <c r="E1131" s="131">
        <f t="shared" si="265"/>
        <v>3620</v>
      </c>
      <c r="F1131" s="21">
        <f t="shared" si="270"/>
        <v>4380.2</v>
      </c>
      <c r="G1131" s="21"/>
      <c r="H1131" s="135">
        <f t="shared" si="272"/>
        <v>4330</v>
      </c>
      <c r="I1131" s="294">
        <v>45273</v>
      </c>
      <c r="J1131" s="294">
        <v>45385</v>
      </c>
      <c r="K1131" s="10">
        <f>0.7*0.9*3080*2</f>
        <v>3880.8</v>
      </c>
      <c r="L1131" s="10">
        <f>0.6*4021</f>
        <v>2412.6</v>
      </c>
      <c r="M1131" s="11"/>
      <c r="N1131" s="100">
        <v>2881</v>
      </c>
      <c r="O1131" s="11">
        <f t="shared" si="271"/>
        <v>2412.6</v>
      </c>
      <c r="P1131" s="11">
        <f t="shared" si="268"/>
        <v>2412.6</v>
      </c>
      <c r="Q1131" s="11">
        <v>1.5</v>
      </c>
      <c r="R1131" s="11">
        <f t="shared" si="269"/>
        <v>3618.8999999999996</v>
      </c>
      <c r="S1131" s="11"/>
      <c r="T1131" s="136">
        <f t="shared" si="261"/>
        <v>4321.5</v>
      </c>
    </row>
    <row r="1132" spans="1:20" ht="15.75" customHeight="1">
      <c r="A1132" s="149" t="s">
        <v>4578</v>
      </c>
      <c r="B1132" s="273"/>
      <c r="C1132" s="28" t="s">
        <v>3920</v>
      </c>
      <c r="D1132" s="41">
        <v>190</v>
      </c>
      <c r="E1132" s="131">
        <f t="shared" si="265"/>
        <v>4050</v>
      </c>
      <c r="F1132" s="21">
        <f t="shared" si="270"/>
        <v>4900.5</v>
      </c>
      <c r="G1132" s="21"/>
      <c r="H1132" s="135">
        <f t="shared" si="272"/>
        <v>4140</v>
      </c>
      <c r="I1132" s="294">
        <v>45273</v>
      </c>
      <c r="J1132" s="294">
        <v>45385</v>
      </c>
      <c r="K1132" s="10">
        <f>0.7*0.9*3538*2</f>
        <v>4457.88</v>
      </c>
      <c r="L1132" s="10">
        <f>0.6*4497</f>
        <v>2698.2</v>
      </c>
      <c r="M1132" s="11"/>
      <c r="N1132" s="100">
        <v>2759</v>
      </c>
      <c r="O1132" s="11">
        <f t="shared" si="271"/>
        <v>2698.2</v>
      </c>
      <c r="P1132" s="11">
        <f t="shared" si="268"/>
        <v>2698.2</v>
      </c>
      <c r="Q1132" s="11">
        <v>1.5</v>
      </c>
      <c r="R1132" s="11">
        <f t="shared" si="269"/>
        <v>4047.2999999999997</v>
      </c>
      <c r="S1132" s="11"/>
      <c r="T1132" s="136">
        <f t="shared" si="261"/>
        <v>4138.5</v>
      </c>
    </row>
    <row r="1133" spans="1:20" ht="15.75" customHeight="1">
      <c r="A1133" s="149" t="s">
        <v>3738</v>
      </c>
      <c r="B1133" s="273"/>
      <c r="C1133" s="28" t="s">
        <v>44280</v>
      </c>
      <c r="D1133" s="41">
        <v>55</v>
      </c>
      <c r="E1133" s="131">
        <f t="shared" si="265"/>
        <v>910</v>
      </c>
      <c r="F1133" s="21">
        <f t="shared" si="270"/>
        <v>1101.0999999999999</v>
      </c>
      <c r="G1133" s="21"/>
      <c r="H1133" s="135">
        <f t="shared" si="272"/>
        <v>0</v>
      </c>
      <c r="I1133" s="294">
        <v>45217</v>
      </c>
      <c r="J1133" s="294">
        <v>45306</v>
      </c>
      <c r="K1133" s="10">
        <f>0.65*126.13*8</f>
        <v>655.87599999999998</v>
      </c>
      <c r="L1133" s="10">
        <f>0.6*1010</f>
        <v>606</v>
      </c>
      <c r="M1133" s="11"/>
      <c r="N1133" s="100"/>
      <c r="O1133" s="11">
        <f t="shared" si="271"/>
        <v>606</v>
      </c>
      <c r="P1133" s="11">
        <f t="shared" si="268"/>
        <v>606</v>
      </c>
      <c r="Q1133" s="11">
        <v>1.5</v>
      </c>
      <c r="R1133" s="11">
        <f t="shared" si="269"/>
        <v>909</v>
      </c>
      <c r="S1133" s="11"/>
      <c r="T1133" s="136">
        <f t="shared" si="261"/>
        <v>0</v>
      </c>
    </row>
    <row r="1134" spans="1:20" ht="15.75" customHeight="1">
      <c r="A1134" s="149">
        <v>21</v>
      </c>
      <c r="B1134" s="273"/>
      <c r="C1134" s="28" t="s">
        <v>1563</v>
      </c>
      <c r="D1134" s="41">
        <v>210</v>
      </c>
      <c r="E1134" s="131">
        <f t="shared" si="265"/>
        <v>0</v>
      </c>
      <c r="F1134" s="21">
        <f t="shared" si="270"/>
        <v>0</v>
      </c>
      <c r="G1134" s="21"/>
      <c r="H1134" s="135">
        <f t="shared" si="272"/>
        <v>0</v>
      </c>
      <c r="I1134" s="294">
        <v>44545</v>
      </c>
      <c r="J1134" s="294"/>
      <c r="K1134" s="10">
        <f>0.6*823</f>
        <v>493.79999999999995</v>
      </c>
      <c r="L1134" s="11"/>
      <c r="M1134" s="11"/>
      <c r="N1134" s="100"/>
      <c r="O1134" s="11">
        <f t="shared" si="271"/>
        <v>493.79999999999995</v>
      </c>
      <c r="P1134" s="11">
        <f t="shared" si="268"/>
        <v>493.79999999999995</v>
      </c>
      <c r="Q1134" s="11"/>
      <c r="R1134" s="11">
        <f t="shared" si="269"/>
        <v>0</v>
      </c>
      <c r="S1134" s="11"/>
      <c r="T1134" s="136">
        <f t="shared" si="261"/>
        <v>0</v>
      </c>
    </row>
    <row r="1135" spans="1:20" ht="15.75" customHeight="1">
      <c r="A1135" s="149" t="s">
        <v>3738</v>
      </c>
      <c r="B1135" s="273"/>
      <c r="C1135" s="28" t="s">
        <v>44281</v>
      </c>
      <c r="D1135" s="41">
        <v>60</v>
      </c>
      <c r="E1135" s="131">
        <f t="shared" si="265"/>
        <v>1100</v>
      </c>
      <c r="F1135" s="21">
        <f t="shared" si="270"/>
        <v>1331</v>
      </c>
      <c r="G1135" s="21"/>
      <c r="H1135" s="135">
        <f t="shared" si="272"/>
        <v>0</v>
      </c>
      <c r="I1135" s="294">
        <v>45274</v>
      </c>
      <c r="J1135" s="40">
        <v>45306</v>
      </c>
      <c r="K1135" s="10">
        <f>0.6*1218</f>
        <v>730.8</v>
      </c>
      <c r="L1135" s="11"/>
      <c r="M1135" s="11"/>
      <c r="N1135" s="100"/>
      <c r="O1135" s="11">
        <f t="shared" si="271"/>
        <v>730.8</v>
      </c>
      <c r="P1135" s="11">
        <f t="shared" si="268"/>
        <v>730.8</v>
      </c>
      <c r="Q1135" s="11">
        <v>1.5</v>
      </c>
      <c r="R1135" s="11">
        <f t="shared" si="269"/>
        <v>1096.1999999999998</v>
      </c>
      <c r="S1135" s="11"/>
      <c r="T1135" s="136">
        <f t="shared" si="261"/>
        <v>0</v>
      </c>
    </row>
    <row r="1136" spans="1:20" ht="15.75" customHeight="1">
      <c r="A1136" s="149" t="s">
        <v>3737</v>
      </c>
      <c r="B1136" s="273"/>
      <c r="C1136" s="28" t="s">
        <v>44289</v>
      </c>
      <c r="D1136" s="41">
        <v>45</v>
      </c>
      <c r="E1136" s="131">
        <f t="shared" si="265"/>
        <v>650</v>
      </c>
      <c r="F1136" s="21">
        <f t="shared" si="270"/>
        <v>786.5</v>
      </c>
      <c r="G1136" s="21"/>
      <c r="H1136" s="135">
        <f t="shared" si="272"/>
        <v>730</v>
      </c>
      <c r="I1136" s="294">
        <v>45352</v>
      </c>
      <c r="J1136" s="294">
        <v>45376</v>
      </c>
      <c r="K1136" s="11">
        <f>232*0.7*0.9*3</f>
        <v>438.48</v>
      </c>
      <c r="L1136" s="11">
        <f>0.6*628</f>
        <v>376.8</v>
      </c>
      <c r="M1136" s="11"/>
      <c r="N1136" s="100">
        <f>475*0.9</f>
        <v>427.5</v>
      </c>
      <c r="O1136" s="11">
        <f t="shared" si="271"/>
        <v>376.8</v>
      </c>
      <c r="P1136" s="11">
        <f t="shared" si="268"/>
        <v>376.8</v>
      </c>
      <c r="Q1136" s="11">
        <v>1.7</v>
      </c>
      <c r="R1136" s="11">
        <f t="shared" si="269"/>
        <v>640.56000000000006</v>
      </c>
      <c r="S1136" s="11"/>
      <c r="T1136" s="136">
        <f t="shared" si="261"/>
        <v>726.75</v>
      </c>
    </row>
    <row r="1137" spans="1:20" ht="15.75" customHeight="1">
      <c r="A1137" s="149" t="s">
        <v>3737</v>
      </c>
      <c r="B1137" s="273"/>
      <c r="C1137" s="28" t="s">
        <v>4146</v>
      </c>
      <c r="D1137" s="41">
        <v>55</v>
      </c>
      <c r="E1137" s="131">
        <f t="shared" si="265"/>
        <v>730</v>
      </c>
      <c r="F1137" s="21">
        <f t="shared" si="270"/>
        <v>883.3</v>
      </c>
      <c r="G1137" s="21"/>
      <c r="H1137" s="135">
        <f t="shared" si="272"/>
        <v>860</v>
      </c>
      <c r="I1137" s="294">
        <v>45352</v>
      </c>
      <c r="J1137" s="294">
        <v>45338</v>
      </c>
      <c r="K1137" s="11">
        <f>251*0.7*0.9*3</f>
        <v>474.39</v>
      </c>
      <c r="L1137" s="11">
        <f>0.6*710</f>
        <v>426</v>
      </c>
      <c r="M1137" s="11"/>
      <c r="N1137" s="100">
        <f>558*0.9</f>
        <v>502.2</v>
      </c>
      <c r="O1137" s="11">
        <f t="shared" si="271"/>
        <v>426</v>
      </c>
      <c r="P1137" s="11">
        <f t="shared" si="268"/>
        <v>426</v>
      </c>
      <c r="Q1137" s="11">
        <v>1.7</v>
      </c>
      <c r="R1137" s="11">
        <f t="shared" si="269"/>
        <v>724.19999999999993</v>
      </c>
      <c r="S1137" s="11"/>
      <c r="T1137" s="136">
        <f t="shared" si="261"/>
        <v>853.74</v>
      </c>
    </row>
    <row r="1138" spans="1:20" ht="15.75" customHeight="1">
      <c r="A1138" s="149" t="s">
        <v>3737</v>
      </c>
      <c r="B1138" s="273"/>
      <c r="C1138" s="28" t="s">
        <v>44290</v>
      </c>
      <c r="D1138" s="41">
        <v>75</v>
      </c>
      <c r="E1138" s="131">
        <f t="shared" si="265"/>
        <v>880</v>
      </c>
      <c r="F1138" s="21">
        <f t="shared" si="270"/>
        <v>1064.8</v>
      </c>
      <c r="G1138" s="21"/>
      <c r="H1138" s="135">
        <f t="shared" si="272"/>
        <v>1090</v>
      </c>
      <c r="I1138" s="294">
        <v>45352</v>
      </c>
      <c r="J1138" s="294"/>
      <c r="K1138" s="11"/>
      <c r="L1138" s="10">
        <f>0.6*860</f>
        <v>516</v>
      </c>
      <c r="M1138" s="143"/>
      <c r="N1138" s="100">
        <f>709*0.9</f>
        <v>638.1</v>
      </c>
      <c r="O1138" s="11">
        <f t="shared" si="271"/>
        <v>516</v>
      </c>
      <c r="P1138" s="11">
        <f t="shared" si="268"/>
        <v>516</v>
      </c>
      <c r="Q1138" s="11">
        <v>1.7</v>
      </c>
      <c r="R1138" s="11">
        <f t="shared" si="269"/>
        <v>877.19999999999993</v>
      </c>
      <c r="S1138" s="11"/>
      <c r="T1138" s="136">
        <f t="shared" ref="T1138:T1206" si="273">+N1138*Q1138</f>
        <v>1084.77</v>
      </c>
    </row>
    <row r="1139" spans="1:20" ht="15.75" customHeight="1">
      <c r="A1139" s="149" t="s">
        <v>2398</v>
      </c>
      <c r="B1139" s="273">
        <f>ROUNDUP(E1139*1.105,-1)</f>
        <v>260010</v>
      </c>
      <c r="C1139" s="36" t="s">
        <v>37130</v>
      </c>
      <c r="D1139" s="41">
        <v>12930</v>
      </c>
      <c r="E1139" s="131">
        <f t="shared" si="265"/>
        <v>235300</v>
      </c>
      <c r="F1139" s="21">
        <f t="shared" si="270"/>
        <v>284713</v>
      </c>
      <c r="G1139" s="21"/>
      <c r="H1139" s="135">
        <f t="shared" si="272"/>
        <v>0</v>
      </c>
      <c r="I1139" s="23">
        <v>45323</v>
      </c>
      <c r="J1139" s="294"/>
      <c r="K1139" s="10">
        <f>0.8*0.98*0.94*0.95*243537</f>
        <v>170503.176144</v>
      </c>
      <c r="L1139" s="10"/>
      <c r="M1139" s="11"/>
      <c r="N1139" s="100"/>
      <c r="O1139" s="11">
        <f t="shared" si="271"/>
        <v>170503.176144</v>
      </c>
      <c r="P1139" s="11">
        <f>+O1139*'AUMENTOS %'!$B$5</f>
        <v>170503.176144</v>
      </c>
      <c r="Q1139" s="11">
        <v>1.38</v>
      </c>
      <c r="R1139" s="11">
        <f t="shared" si="269"/>
        <v>235294.38307871998</v>
      </c>
      <c r="S1139" s="11"/>
      <c r="T1139" s="136">
        <f t="shared" si="273"/>
        <v>0</v>
      </c>
    </row>
    <row r="1140" spans="1:20" ht="15.75" customHeight="1">
      <c r="A1140" s="149" t="s">
        <v>2398</v>
      </c>
      <c r="B1140" s="273">
        <f>ROUNDUP(E1140*1.105,-1)</f>
        <v>1178000</v>
      </c>
      <c r="C1140" s="28" t="s">
        <v>37131</v>
      </c>
      <c r="D1140" s="41">
        <v>44200</v>
      </c>
      <c r="E1140" s="131">
        <f t="shared" si="265"/>
        <v>1066060</v>
      </c>
      <c r="F1140" s="21">
        <f t="shared" si="270"/>
        <v>1289932.5999999999</v>
      </c>
      <c r="G1140" s="21"/>
      <c r="H1140" s="135">
        <f t="shared" si="272"/>
        <v>0</v>
      </c>
      <c r="I1140" s="23">
        <v>45323</v>
      </c>
      <c r="J1140" s="294"/>
      <c r="K1140" s="10">
        <f>0.8*0.98*0.94*0.95*1103397</f>
        <v>772501.48046399991</v>
      </c>
      <c r="L1140" s="11"/>
      <c r="M1140" s="11"/>
      <c r="N1140" s="100"/>
      <c r="O1140" s="11">
        <f t="shared" si="271"/>
        <v>772501.48046399991</v>
      </c>
      <c r="P1140" s="11">
        <f>+O1140*'AUMENTOS %'!$B$5</f>
        <v>772501.48046399991</v>
      </c>
      <c r="Q1140" s="11">
        <v>1.38</v>
      </c>
      <c r="R1140" s="11">
        <f t="shared" si="269"/>
        <v>1066052.0430403198</v>
      </c>
      <c r="S1140" s="11"/>
      <c r="T1140" s="136">
        <f t="shared" si="273"/>
        <v>0</v>
      </c>
    </row>
    <row r="1141" spans="1:20" ht="15.75" customHeight="1">
      <c r="A1141" s="149" t="s">
        <v>2398</v>
      </c>
      <c r="B1141" s="273">
        <f>ROUNDUP(E1141*1.105,-1)</f>
        <v>211460</v>
      </c>
      <c r="C1141" s="36" t="s">
        <v>37132</v>
      </c>
      <c r="D1141" s="41">
        <v>44200</v>
      </c>
      <c r="E1141" s="131">
        <f t="shared" si="265"/>
        <v>191360</v>
      </c>
      <c r="F1141" s="21">
        <f t="shared" si="270"/>
        <v>231545.60000000001</v>
      </c>
      <c r="G1141" s="21"/>
      <c r="H1141" s="135">
        <f t="shared" si="272"/>
        <v>0</v>
      </c>
      <c r="I1141" s="294">
        <v>45323</v>
      </c>
      <c r="J1141" s="294"/>
      <c r="K1141" s="10">
        <f>0.8*0.98*0.94*0.95*198055</f>
        <v>138660.68216</v>
      </c>
      <c r="L1141" s="11"/>
      <c r="M1141" s="11"/>
      <c r="N1141" s="100"/>
      <c r="O1141" s="11">
        <f t="shared" si="271"/>
        <v>138660.68216</v>
      </c>
      <c r="P1141" s="11">
        <f>+O1141*'AUMENTOS %'!$B$5</f>
        <v>138660.68216</v>
      </c>
      <c r="Q1141" s="11">
        <v>1.38</v>
      </c>
      <c r="R1141" s="11">
        <f t="shared" si="269"/>
        <v>191351.74138079997</v>
      </c>
      <c r="S1141" s="11"/>
      <c r="T1141" s="136">
        <f t="shared" si="273"/>
        <v>0</v>
      </c>
    </row>
    <row r="1142" spans="1:20" ht="15.75" customHeight="1">
      <c r="A1142" s="149">
        <v>91</v>
      </c>
      <c r="B1142" s="273"/>
      <c r="C1142" s="28" t="s">
        <v>1564</v>
      </c>
      <c r="D1142" s="41">
        <v>4950</v>
      </c>
      <c r="E1142" s="131">
        <f t="shared" si="265"/>
        <v>0</v>
      </c>
      <c r="F1142" s="21">
        <f t="shared" si="270"/>
        <v>0</v>
      </c>
      <c r="G1142" s="21"/>
      <c r="H1142" s="135">
        <f t="shared" si="272"/>
        <v>0</v>
      </c>
      <c r="I1142" s="294">
        <v>43075</v>
      </c>
      <c r="J1142" s="294">
        <v>43166</v>
      </c>
      <c r="K1142" s="10">
        <f>3000*1.5</f>
        <v>4500</v>
      </c>
      <c r="L1142" s="11"/>
      <c r="M1142" s="11"/>
      <c r="N1142" s="100"/>
      <c r="O1142" s="11">
        <f t="shared" si="271"/>
        <v>4500</v>
      </c>
      <c r="P1142" s="11">
        <f t="shared" si="268"/>
        <v>4500</v>
      </c>
      <c r="Q1142" s="11"/>
      <c r="R1142" s="11">
        <f t="shared" si="269"/>
        <v>0</v>
      </c>
      <c r="S1142" s="11"/>
      <c r="T1142" s="136">
        <f t="shared" si="273"/>
        <v>0</v>
      </c>
    </row>
    <row r="1143" spans="1:20" ht="15.75" customHeight="1">
      <c r="A1143" s="149">
        <v>21</v>
      </c>
      <c r="B1143" s="273"/>
      <c r="C1143" s="28" t="s">
        <v>2844</v>
      </c>
      <c r="D1143" s="41">
        <v>180</v>
      </c>
      <c r="E1143" s="131">
        <f t="shared" si="265"/>
        <v>0</v>
      </c>
      <c r="F1143" s="21">
        <f t="shared" si="270"/>
        <v>0</v>
      </c>
      <c r="G1143" s="21"/>
      <c r="H1143" s="135">
        <f t="shared" si="272"/>
        <v>0</v>
      </c>
      <c r="I1143" s="294">
        <v>44385</v>
      </c>
      <c r="J1143" s="294"/>
      <c r="K1143" s="10">
        <v>290</v>
      </c>
      <c r="L1143" s="11"/>
      <c r="M1143" s="11"/>
      <c r="N1143" s="100"/>
      <c r="O1143" s="11">
        <f t="shared" si="271"/>
        <v>290</v>
      </c>
      <c r="P1143" s="11">
        <f t="shared" si="268"/>
        <v>290</v>
      </c>
      <c r="Q1143" s="11"/>
      <c r="R1143" s="11">
        <f t="shared" si="269"/>
        <v>0</v>
      </c>
      <c r="S1143" s="11"/>
      <c r="T1143" s="136">
        <f t="shared" si="273"/>
        <v>0</v>
      </c>
    </row>
    <row r="1144" spans="1:20" ht="15.75" customHeight="1">
      <c r="A1144" s="149" t="s">
        <v>2441</v>
      </c>
      <c r="B1144" s="273"/>
      <c r="C1144" s="28" t="s">
        <v>3662</v>
      </c>
      <c r="D1144" s="41">
        <v>1130</v>
      </c>
      <c r="E1144" s="131">
        <f t="shared" si="265"/>
        <v>0</v>
      </c>
      <c r="F1144" s="21">
        <f t="shared" si="270"/>
        <v>0</v>
      </c>
      <c r="G1144" s="21"/>
      <c r="H1144" s="135">
        <f t="shared" si="272"/>
        <v>0</v>
      </c>
      <c r="I1144" s="294"/>
      <c r="J1144" s="294">
        <v>44762</v>
      </c>
      <c r="K1144" s="11">
        <f>0.6*2674*2</f>
        <v>3208.7999999999997</v>
      </c>
      <c r="L1144" s="11">
        <f>1861*0.9*1.05</f>
        <v>1758.6450000000002</v>
      </c>
      <c r="M1144" s="10"/>
      <c r="N1144" s="38"/>
      <c r="O1144" s="11">
        <f t="shared" si="271"/>
        <v>1758.6450000000002</v>
      </c>
      <c r="P1144" s="11">
        <f t="shared" si="268"/>
        <v>1758.6450000000002</v>
      </c>
      <c r="Q1144" s="11"/>
      <c r="R1144" s="11">
        <f t="shared" si="269"/>
        <v>0</v>
      </c>
      <c r="S1144" s="11"/>
      <c r="T1144" s="136">
        <f t="shared" si="273"/>
        <v>0</v>
      </c>
    </row>
    <row r="1145" spans="1:20" ht="15.75" customHeight="1">
      <c r="A1145" s="149"/>
      <c r="B1145" s="273"/>
      <c r="C1145" s="28" t="s">
        <v>3980</v>
      </c>
      <c r="D1145" s="41">
        <v>1650</v>
      </c>
      <c r="E1145" s="131">
        <f t="shared" si="265"/>
        <v>3560</v>
      </c>
      <c r="F1145" s="21">
        <f t="shared" si="270"/>
        <v>4307.5999999999995</v>
      </c>
      <c r="G1145" s="21"/>
      <c r="H1145" s="135">
        <f t="shared" si="272"/>
        <v>0</v>
      </c>
      <c r="I1145" s="294"/>
      <c r="J1145" s="40">
        <v>44855</v>
      </c>
      <c r="K1145" s="10">
        <v>2224</v>
      </c>
      <c r="L1145" s="11"/>
      <c r="M1145" s="11"/>
      <c r="N1145" s="100"/>
      <c r="O1145" s="11">
        <f t="shared" si="271"/>
        <v>2224</v>
      </c>
      <c r="P1145" s="11">
        <f t="shared" si="268"/>
        <v>2224</v>
      </c>
      <c r="Q1145" s="11">
        <v>1.6</v>
      </c>
      <c r="R1145" s="11">
        <f t="shared" si="269"/>
        <v>3558.4</v>
      </c>
      <c r="S1145" s="11"/>
      <c r="T1145" s="136">
        <f t="shared" si="273"/>
        <v>0</v>
      </c>
    </row>
    <row r="1146" spans="1:20" ht="15.75" customHeight="1">
      <c r="A1146" s="149">
        <v>21</v>
      </c>
      <c r="B1146" s="273"/>
      <c r="C1146" s="28" t="s">
        <v>3661</v>
      </c>
      <c r="D1146" s="41">
        <v>1080</v>
      </c>
      <c r="E1146" s="131">
        <f t="shared" si="265"/>
        <v>0</v>
      </c>
      <c r="F1146" s="21">
        <f t="shared" si="270"/>
        <v>0</v>
      </c>
      <c r="G1146" s="21"/>
      <c r="H1146" s="135">
        <f t="shared" si="272"/>
        <v>0</v>
      </c>
      <c r="I1146" s="294">
        <v>44270</v>
      </c>
      <c r="J1146" s="294"/>
      <c r="K1146" s="11">
        <f>916*1.08</f>
        <v>989.28000000000009</v>
      </c>
      <c r="L1146" s="11"/>
      <c r="M1146" s="11"/>
      <c r="N1146" s="100"/>
      <c r="O1146" s="11">
        <f t="shared" si="271"/>
        <v>989.28000000000009</v>
      </c>
      <c r="P1146" s="11">
        <f t="shared" si="268"/>
        <v>989.28000000000009</v>
      </c>
      <c r="Q1146" s="11"/>
      <c r="R1146" s="11">
        <f t="shared" si="269"/>
        <v>0</v>
      </c>
      <c r="S1146" s="11"/>
      <c r="T1146" s="136">
        <f t="shared" si="273"/>
        <v>0</v>
      </c>
    </row>
    <row r="1147" spans="1:20" ht="15.75" customHeight="1">
      <c r="A1147" s="149" t="s">
        <v>2441</v>
      </c>
      <c r="B1147" s="273"/>
      <c r="C1147" s="28" t="s">
        <v>44282</v>
      </c>
      <c r="D1147" s="41">
        <v>1130</v>
      </c>
      <c r="E1147" s="131">
        <f t="shared" si="265"/>
        <v>12610</v>
      </c>
      <c r="F1147" s="21">
        <f t="shared" si="270"/>
        <v>15258.1</v>
      </c>
      <c r="G1147" s="21"/>
      <c r="H1147" s="135">
        <f t="shared" si="272"/>
        <v>0</v>
      </c>
      <c r="I1147" s="294">
        <v>45273</v>
      </c>
      <c r="J1147" s="294"/>
      <c r="K1147" s="11">
        <f>0.6*12353</f>
        <v>7411.7999999999993</v>
      </c>
      <c r="L1147" s="11"/>
      <c r="M1147" s="10"/>
      <c r="N1147" s="38"/>
      <c r="O1147" s="11">
        <f t="shared" si="271"/>
        <v>7411.7999999999993</v>
      </c>
      <c r="P1147" s="11">
        <f t="shared" si="268"/>
        <v>7411.7999999999993</v>
      </c>
      <c r="Q1147" s="11">
        <v>1.7</v>
      </c>
      <c r="R1147" s="11">
        <f t="shared" si="269"/>
        <v>12600.059999999998</v>
      </c>
      <c r="S1147" s="11"/>
      <c r="T1147" s="136">
        <f t="shared" si="273"/>
        <v>0</v>
      </c>
    </row>
    <row r="1148" spans="1:20" ht="15.75" customHeight="1">
      <c r="A1148" s="149"/>
      <c r="B1148" s="273"/>
      <c r="C1148" s="28" t="s">
        <v>3981</v>
      </c>
      <c r="D1148" s="41">
        <v>1650</v>
      </c>
      <c r="E1148" s="131">
        <f t="shared" si="265"/>
        <v>5610</v>
      </c>
      <c r="F1148" s="21">
        <f t="shared" si="270"/>
        <v>6788.0999999999995</v>
      </c>
      <c r="G1148" s="21"/>
      <c r="H1148" s="135">
        <f t="shared" si="272"/>
        <v>0</v>
      </c>
      <c r="I1148" s="294"/>
      <c r="J1148" s="40">
        <v>44855</v>
      </c>
      <c r="K1148" s="10">
        <v>2802</v>
      </c>
      <c r="L1148" s="11"/>
      <c r="M1148" s="11"/>
      <c r="N1148" s="100"/>
      <c r="O1148" s="11">
        <f t="shared" si="271"/>
        <v>2802</v>
      </c>
      <c r="P1148" s="11">
        <f t="shared" si="268"/>
        <v>2802</v>
      </c>
      <c r="Q1148" s="11">
        <v>2</v>
      </c>
      <c r="R1148" s="11">
        <f t="shared" si="269"/>
        <v>5604</v>
      </c>
      <c r="S1148" s="11"/>
      <c r="T1148" s="136">
        <f t="shared" si="273"/>
        <v>0</v>
      </c>
    </row>
    <row r="1149" spans="1:20" ht="15.75" customHeight="1">
      <c r="A1149" s="149">
        <v>21</v>
      </c>
      <c r="B1149" s="273"/>
      <c r="C1149" s="28" t="s">
        <v>44283</v>
      </c>
      <c r="D1149" s="41">
        <v>1650</v>
      </c>
      <c r="E1149" s="131">
        <f t="shared" si="265"/>
        <v>14230</v>
      </c>
      <c r="F1149" s="21">
        <f t="shared" si="270"/>
        <v>17218.3</v>
      </c>
      <c r="G1149" s="21"/>
      <c r="H1149" s="135">
        <f t="shared" si="272"/>
        <v>0</v>
      </c>
      <c r="I1149" s="294">
        <v>45273</v>
      </c>
      <c r="J1149" s="40"/>
      <c r="K1149" s="10">
        <f>0.6*13950</f>
        <v>8370</v>
      </c>
      <c r="L1149" s="11"/>
      <c r="M1149" s="11"/>
      <c r="N1149" s="100"/>
      <c r="O1149" s="11">
        <f t="shared" si="271"/>
        <v>8370</v>
      </c>
      <c r="P1149" s="11">
        <f t="shared" si="268"/>
        <v>8370</v>
      </c>
      <c r="Q1149" s="11">
        <v>1.7</v>
      </c>
      <c r="R1149" s="11">
        <f t="shared" si="269"/>
        <v>14229</v>
      </c>
      <c r="S1149" s="11"/>
      <c r="T1149" s="136">
        <f t="shared" si="273"/>
        <v>0</v>
      </c>
    </row>
    <row r="1150" spans="1:20" ht="15.75" customHeight="1">
      <c r="A1150" s="149">
        <v>106</v>
      </c>
      <c r="B1150" s="273"/>
      <c r="C1150" s="28" t="s">
        <v>4111</v>
      </c>
      <c r="D1150" s="41"/>
      <c r="E1150" s="131">
        <f t="shared" si="265"/>
        <v>13500</v>
      </c>
      <c r="F1150" s="21">
        <f t="shared" si="270"/>
        <v>16335</v>
      </c>
      <c r="G1150" s="21"/>
      <c r="H1150" s="135">
        <f t="shared" si="272"/>
        <v>0</v>
      </c>
      <c r="I1150" s="294">
        <v>45257</v>
      </c>
      <c r="J1150" s="40">
        <v>45338</v>
      </c>
      <c r="K1150" s="10">
        <f>0.82*10288</f>
        <v>8436.16</v>
      </c>
      <c r="L1150" s="11"/>
      <c r="M1150" s="11"/>
      <c r="N1150" s="100"/>
      <c r="O1150" s="11">
        <f t="shared" si="271"/>
        <v>8436.16</v>
      </c>
      <c r="P1150" s="11">
        <f t="shared" si="268"/>
        <v>8436.16</v>
      </c>
      <c r="Q1150" s="11">
        <v>1.6</v>
      </c>
      <c r="R1150" s="11">
        <f t="shared" si="269"/>
        <v>13497.856</v>
      </c>
      <c r="S1150" s="11"/>
      <c r="T1150" s="136">
        <f t="shared" si="273"/>
        <v>0</v>
      </c>
    </row>
    <row r="1151" spans="1:20" ht="15.75" customHeight="1">
      <c r="A1151" s="149">
        <v>106</v>
      </c>
      <c r="B1151" s="273"/>
      <c r="C1151" s="28" t="s">
        <v>44323</v>
      </c>
      <c r="D1151" s="41"/>
      <c r="E1151" s="131">
        <f t="shared" ref="E1151" si="274">ROUNDUP(R1151,-1)</f>
        <v>3600</v>
      </c>
      <c r="F1151" s="21">
        <f t="shared" ref="F1151" si="275">+E1151*1.21</f>
        <v>4356</v>
      </c>
      <c r="G1151" s="21"/>
      <c r="H1151" s="135">
        <f t="shared" ref="H1151" si="276">ROUNDUP(T1151,-1)</f>
        <v>0</v>
      </c>
      <c r="I1151" s="294">
        <v>45281</v>
      </c>
      <c r="J1151" s="40"/>
      <c r="K1151" s="10">
        <f>0.82*2741</f>
        <v>2247.62</v>
      </c>
      <c r="L1151" s="11"/>
      <c r="M1151" s="11"/>
      <c r="N1151" s="100"/>
      <c r="O1151" s="11">
        <f t="shared" ref="O1151" si="277">MIN(K1151:M1151)</f>
        <v>2247.62</v>
      </c>
      <c r="P1151" s="11">
        <f t="shared" ref="P1151" si="278">+O1151</f>
        <v>2247.62</v>
      </c>
      <c r="Q1151" s="11">
        <v>1.6</v>
      </c>
      <c r="R1151" s="11">
        <f t="shared" ref="R1151" si="279">+P1151*Q1151</f>
        <v>3596.192</v>
      </c>
      <c r="S1151" s="11"/>
      <c r="T1151" s="136">
        <f t="shared" ref="T1151" si="280">+N1151*Q1151</f>
        <v>0</v>
      </c>
    </row>
    <row r="1152" spans="1:20" ht="15.75" customHeight="1">
      <c r="A1152" s="149">
        <v>31</v>
      </c>
      <c r="B1152" s="273"/>
      <c r="C1152" s="28" t="s">
        <v>1565</v>
      </c>
      <c r="D1152" s="41">
        <v>1310</v>
      </c>
      <c r="E1152" s="131">
        <f t="shared" si="265"/>
        <v>0</v>
      </c>
      <c r="F1152" s="21">
        <f t="shared" si="270"/>
        <v>0</v>
      </c>
      <c r="G1152" s="21"/>
      <c r="H1152" s="135">
        <f t="shared" si="272"/>
        <v>0</v>
      </c>
      <c r="I1152" s="294"/>
      <c r="J1152" s="294">
        <v>43389</v>
      </c>
      <c r="K1152" s="10">
        <f>900*1.45</f>
        <v>1305</v>
      </c>
      <c r="L1152" s="11">
        <v>1129.5</v>
      </c>
      <c r="M1152" s="11"/>
      <c r="N1152" s="100"/>
      <c r="O1152" s="11">
        <f t="shared" si="271"/>
        <v>1129.5</v>
      </c>
      <c r="P1152" s="11">
        <f t="shared" si="268"/>
        <v>1129.5</v>
      </c>
      <c r="Q1152" s="11"/>
      <c r="R1152" s="11">
        <f t="shared" si="269"/>
        <v>0</v>
      </c>
      <c r="S1152" s="11"/>
      <c r="T1152" s="136">
        <f t="shared" si="273"/>
        <v>0</v>
      </c>
    </row>
    <row r="1153" spans="1:20" ht="15.75" customHeight="1">
      <c r="A1153" s="149" t="s">
        <v>2445</v>
      </c>
      <c r="B1153" s="273"/>
      <c r="C1153" s="28" t="s">
        <v>2444</v>
      </c>
      <c r="D1153" s="41">
        <v>720</v>
      </c>
      <c r="E1153" s="131">
        <f t="shared" si="265"/>
        <v>0</v>
      </c>
      <c r="F1153" s="21">
        <f t="shared" si="270"/>
        <v>0</v>
      </c>
      <c r="G1153" s="21"/>
      <c r="H1153" s="135">
        <f t="shared" si="272"/>
        <v>0</v>
      </c>
      <c r="I1153" s="294">
        <v>43892</v>
      </c>
      <c r="J1153" s="294"/>
      <c r="K1153" s="11">
        <f>452*0.65*1.7</f>
        <v>499.46</v>
      </c>
      <c r="L1153" s="10">
        <v>723</v>
      </c>
      <c r="M1153" s="11"/>
      <c r="N1153" s="100"/>
      <c r="O1153" s="11">
        <f t="shared" si="271"/>
        <v>499.46</v>
      </c>
      <c r="P1153" s="11">
        <f t="shared" si="268"/>
        <v>499.46</v>
      </c>
      <c r="Q1153" s="11"/>
      <c r="R1153" s="11">
        <f t="shared" si="269"/>
        <v>0</v>
      </c>
      <c r="S1153" s="11"/>
      <c r="T1153" s="136">
        <f t="shared" si="273"/>
        <v>0</v>
      </c>
    </row>
    <row r="1154" spans="1:20" ht="15.75" customHeight="1">
      <c r="A1154" s="149">
        <v>44</v>
      </c>
      <c r="B1154" s="273"/>
      <c r="C1154" s="28" t="s">
        <v>1566</v>
      </c>
      <c r="D1154" s="41">
        <v>590</v>
      </c>
      <c r="E1154" s="140">
        <f t="shared" si="265"/>
        <v>27850</v>
      </c>
      <c r="F1154" s="21">
        <f t="shared" si="270"/>
        <v>33698.5</v>
      </c>
      <c r="G1154" s="21"/>
      <c r="H1154" s="135">
        <f t="shared" si="272"/>
        <v>0</v>
      </c>
      <c r="I1154" s="294">
        <v>45254</v>
      </c>
      <c r="J1154" s="40"/>
      <c r="K1154" s="10">
        <f>+PROVEEDORES!$D$38*22.47</f>
        <v>19885.95</v>
      </c>
      <c r="L1154" s="11"/>
      <c r="M1154" s="11"/>
      <c r="N1154" s="100"/>
      <c r="O1154" s="11">
        <f t="shared" si="271"/>
        <v>19885.95</v>
      </c>
      <c r="P1154" s="11">
        <f t="shared" si="268"/>
        <v>19885.95</v>
      </c>
      <c r="Q1154" s="11">
        <v>1.4</v>
      </c>
      <c r="R1154" s="11">
        <f t="shared" si="269"/>
        <v>27840.329999999998</v>
      </c>
      <c r="S1154" s="11"/>
      <c r="T1154" s="136">
        <f t="shared" si="273"/>
        <v>0</v>
      </c>
    </row>
    <row r="1155" spans="1:20" ht="15.75" customHeight="1">
      <c r="A1155" s="149">
        <v>29</v>
      </c>
      <c r="B1155" s="273"/>
      <c r="C1155" s="28" t="s">
        <v>4512</v>
      </c>
      <c r="D1155" s="41">
        <v>70</v>
      </c>
      <c r="E1155" s="131">
        <f t="shared" si="265"/>
        <v>1120</v>
      </c>
      <c r="F1155" s="21">
        <f t="shared" si="270"/>
        <v>1355.2</v>
      </c>
      <c r="G1155" s="21"/>
      <c r="H1155" s="135">
        <f t="shared" si="272"/>
        <v>0</v>
      </c>
      <c r="I1155" s="294">
        <v>45286</v>
      </c>
      <c r="J1155" s="294"/>
      <c r="K1155" s="10">
        <f>+PROVEEDORES!D23*0.63</f>
        <v>557.54999999999995</v>
      </c>
      <c r="L1155" s="11"/>
      <c r="M1155" s="11"/>
      <c r="N1155" s="100"/>
      <c r="O1155" s="11">
        <f t="shared" si="271"/>
        <v>557.54999999999995</v>
      </c>
      <c r="P1155" s="11">
        <f t="shared" si="268"/>
        <v>557.54999999999995</v>
      </c>
      <c r="Q1155" s="11">
        <v>2</v>
      </c>
      <c r="R1155" s="11">
        <f t="shared" si="269"/>
        <v>1115.0999999999999</v>
      </c>
      <c r="S1155" s="11"/>
      <c r="T1155" s="136">
        <f t="shared" si="273"/>
        <v>0</v>
      </c>
    </row>
    <row r="1156" spans="1:20" ht="15.75" customHeight="1">
      <c r="A1156" s="149">
        <v>31</v>
      </c>
      <c r="B1156" s="273"/>
      <c r="C1156" s="28" t="s">
        <v>2117</v>
      </c>
      <c r="D1156" s="41">
        <v>3090</v>
      </c>
      <c r="E1156" s="131">
        <f t="shared" si="265"/>
        <v>0</v>
      </c>
      <c r="F1156" s="21">
        <f t="shared" si="270"/>
        <v>0</v>
      </c>
      <c r="G1156" s="21">
        <f>650*0.93*111.82*1.35</f>
        <v>91253.506500000003</v>
      </c>
      <c r="H1156" s="135">
        <f t="shared" si="272"/>
        <v>0</v>
      </c>
      <c r="I1156" s="294"/>
      <c r="J1156" s="294">
        <v>43773</v>
      </c>
      <c r="K1156" s="10">
        <f>1700*1.5*1.1*1.1</f>
        <v>3085.5000000000005</v>
      </c>
      <c r="L1156" s="11"/>
      <c r="M1156" s="11"/>
      <c r="N1156" s="100"/>
      <c r="O1156" s="11">
        <f t="shared" si="271"/>
        <v>3085.5000000000005</v>
      </c>
      <c r="P1156" s="11">
        <f t="shared" si="268"/>
        <v>3085.5000000000005</v>
      </c>
      <c r="Q1156" s="11"/>
      <c r="R1156" s="11">
        <f t="shared" si="269"/>
        <v>0</v>
      </c>
      <c r="S1156" s="11"/>
      <c r="T1156" s="136">
        <f t="shared" si="273"/>
        <v>0</v>
      </c>
    </row>
    <row r="1157" spans="1:20" ht="15.75" customHeight="1">
      <c r="A1157" s="149">
        <v>31</v>
      </c>
      <c r="B1157" s="273"/>
      <c r="C1157" s="28" t="s">
        <v>1567</v>
      </c>
      <c r="D1157" s="41">
        <v>4520</v>
      </c>
      <c r="E1157" s="131">
        <f t="shared" si="265"/>
        <v>0</v>
      </c>
      <c r="F1157" s="21">
        <f t="shared" si="270"/>
        <v>0</v>
      </c>
      <c r="G1157" s="21">
        <f>+G1156*1.105</f>
        <v>100835.1246825</v>
      </c>
      <c r="H1157" s="135">
        <f t="shared" si="272"/>
        <v>0</v>
      </c>
      <c r="I1157" s="294"/>
      <c r="J1157" s="294">
        <v>43773</v>
      </c>
      <c r="K1157" s="10">
        <f>+(1700+790)*1.5*1.1*1.1</f>
        <v>4519.3500000000004</v>
      </c>
      <c r="L1157" s="11"/>
      <c r="M1157" s="11"/>
      <c r="N1157" s="100"/>
      <c r="O1157" s="11">
        <f t="shared" si="271"/>
        <v>4519.3500000000004</v>
      </c>
      <c r="P1157" s="11">
        <f t="shared" si="268"/>
        <v>4519.3500000000004</v>
      </c>
      <c r="Q1157" s="11"/>
      <c r="R1157" s="11">
        <f t="shared" si="269"/>
        <v>0</v>
      </c>
      <c r="S1157" s="11"/>
      <c r="T1157" s="136">
        <f t="shared" si="273"/>
        <v>0</v>
      </c>
    </row>
    <row r="1158" spans="1:20" ht="15.75" customHeight="1">
      <c r="A1158" s="149">
        <v>44</v>
      </c>
      <c r="B1158" s="273"/>
      <c r="C1158" s="28" t="s">
        <v>2178</v>
      </c>
      <c r="D1158" s="41">
        <v>540</v>
      </c>
      <c r="E1158" s="140">
        <f t="shared" si="265"/>
        <v>15230</v>
      </c>
      <c r="F1158" s="21">
        <f t="shared" si="270"/>
        <v>18428.3</v>
      </c>
      <c r="G1158" s="21"/>
      <c r="H1158" s="135">
        <f t="shared" si="272"/>
        <v>0</v>
      </c>
      <c r="I1158" s="294">
        <v>45254</v>
      </c>
      <c r="J1158" s="294"/>
      <c r="K1158" s="10">
        <f>+PROVEEDORES!$D$38*10.75</f>
        <v>9513.75</v>
      </c>
      <c r="L1158" s="11"/>
      <c r="M1158" s="11"/>
      <c r="N1158" s="100"/>
      <c r="O1158" s="11">
        <f t="shared" si="271"/>
        <v>9513.75</v>
      </c>
      <c r="P1158" s="11">
        <f t="shared" si="268"/>
        <v>9513.75</v>
      </c>
      <c r="Q1158" s="11">
        <v>1.6</v>
      </c>
      <c r="R1158" s="11">
        <f t="shared" si="269"/>
        <v>15222</v>
      </c>
      <c r="S1158" s="11"/>
      <c r="T1158" s="136">
        <f t="shared" si="273"/>
        <v>0</v>
      </c>
    </row>
    <row r="1159" spans="1:20" ht="15.75" customHeight="1">
      <c r="A1159" s="149">
        <v>109</v>
      </c>
      <c r="B1159" s="273">
        <f>ROUNDUP(E1159*1.06,-1)</f>
        <v>1025990</v>
      </c>
      <c r="C1159" s="28" t="s">
        <v>44356</v>
      </c>
      <c r="D1159" s="41">
        <v>26500</v>
      </c>
      <c r="E1159" s="131">
        <f t="shared" ref="E1159" si="281">ROUNDUP(R1159,-1)</f>
        <v>967910</v>
      </c>
      <c r="F1159" s="21" t="s">
        <v>1248</v>
      </c>
      <c r="G1159" s="21">
        <f t="shared" ref="G1159" si="282">+E1159*1.105</f>
        <v>1069540.55</v>
      </c>
      <c r="H1159" s="135">
        <f t="shared" ref="H1159" si="283">ROUNDUP(T1159,-1)</f>
        <v>0</v>
      </c>
      <c r="I1159" s="40">
        <v>45313</v>
      </c>
      <c r="J1159" s="294"/>
      <c r="K1159" s="10">
        <f>1.038*690718</f>
        <v>716965.28399999999</v>
      </c>
      <c r="L1159" s="11"/>
      <c r="M1159" s="11"/>
      <c r="N1159" s="100"/>
      <c r="O1159" s="11">
        <f t="shared" ref="O1159" si="284">MIN(K1159:M1159)</f>
        <v>716965.28399999999</v>
      </c>
      <c r="P1159" s="11">
        <f t="shared" ref="P1159" si="285">+O1159</f>
        <v>716965.28399999999</v>
      </c>
      <c r="Q1159" s="11">
        <v>1.35</v>
      </c>
      <c r="R1159" s="11">
        <f t="shared" ref="R1159" si="286">+P1159*Q1159</f>
        <v>967903.13340000005</v>
      </c>
      <c r="S1159" s="11"/>
      <c r="T1159" s="136">
        <f t="shared" ref="T1159" si="287">+N1159*Q1159</f>
        <v>0</v>
      </c>
    </row>
    <row r="1160" spans="1:20" ht="15.75" customHeight="1">
      <c r="A1160" s="149">
        <v>53</v>
      </c>
      <c r="B1160" s="273">
        <f>ROUNDUP(E1160*1.06,-1)</f>
        <v>475380</v>
      </c>
      <c r="C1160" s="28" t="s">
        <v>1568</v>
      </c>
      <c r="D1160" s="41">
        <v>26500</v>
      </c>
      <c r="E1160" s="131">
        <f t="shared" si="265"/>
        <v>448470</v>
      </c>
      <c r="F1160" s="21" t="s">
        <v>1248</v>
      </c>
      <c r="G1160" s="21">
        <f t="shared" ref="G1160:G1177" si="288">+E1160*1.105</f>
        <v>495559.35</v>
      </c>
      <c r="H1160" s="135">
        <f t="shared" si="272"/>
        <v>0</v>
      </c>
      <c r="I1160" s="40"/>
      <c r="J1160" s="294">
        <v>44229</v>
      </c>
      <c r="K1160" s="10">
        <f>+PROVEEDORES!D47*0.75*0.93*491</f>
        <v>332198.32500000001</v>
      </c>
      <c r="L1160" s="11"/>
      <c r="M1160" s="11"/>
      <c r="N1160" s="100"/>
      <c r="O1160" s="11">
        <f t="shared" si="271"/>
        <v>332198.32500000001</v>
      </c>
      <c r="P1160" s="11">
        <f t="shared" si="268"/>
        <v>332198.32500000001</v>
      </c>
      <c r="Q1160" s="11">
        <v>1.35</v>
      </c>
      <c r="R1160" s="11">
        <f t="shared" si="269"/>
        <v>448467.73875000002</v>
      </c>
      <c r="S1160" s="11"/>
      <c r="T1160" s="136">
        <f t="shared" si="273"/>
        <v>0</v>
      </c>
    </row>
    <row r="1161" spans="1:20" ht="15.75" customHeight="1">
      <c r="A1161" s="149">
        <v>53</v>
      </c>
      <c r="B1161" s="273">
        <f>ROUNDUP(E1161*1.06,-1)</f>
        <v>1006070</v>
      </c>
      <c r="C1161" s="28" t="s">
        <v>4106</v>
      </c>
      <c r="D1161" s="41">
        <v>80980</v>
      </c>
      <c r="E1161" s="131">
        <f t="shared" si="265"/>
        <v>949120</v>
      </c>
      <c r="F1161" s="21" t="s">
        <v>1248</v>
      </c>
      <c r="G1161" s="21">
        <f t="shared" si="288"/>
        <v>1048777.6000000001</v>
      </c>
      <c r="H1161" s="135">
        <f t="shared" si="272"/>
        <v>0</v>
      </c>
      <c r="I1161" s="40">
        <v>44882</v>
      </c>
      <c r="J1161" s="294">
        <v>45002</v>
      </c>
      <c r="K1161" s="10">
        <f>PROVEEDORES!$D$47*0.65*0.93*1199</f>
        <v>703051.63500000001</v>
      </c>
      <c r="L1161" s="10"/>
      <c r="M1161" s="11"/>
      <c r="N1161" s="100"/>
      <c r="O1161" s="11">
        <f t="shared" si="271"/>
        <v>703051.63500000001</v>
      </c>
      <c r="P1161" s="11">
        <f t="shared" si="268"/>
        <v>703051.63500000001</v>
      </c>
      <c r="Q1161" s="11">
        <v>1.35</v>
      </c>
      <c r="R1161" s="11">
        <f t="shared" si="269"/>
        <v>949119.70725000009</v>
      </c>
      <c r="S1161" s="11"/>
      <c r="T1161" s="136">
        <f t="shared" si="273"/>
        <v>0</v>
      </c>
    </row>
    <row r="1162" spans="1:20" ht="15.75" customHeight="1">
      <c r="A1162" s="149">
        <v>53</v>
      </c>
      <c r="B1162" s="273">
        <f>ROUNDUP(E1162*1.06,-1)</f>
        <v>1058100</v>
      </c>
      <c r="C1162" s="28" t="s">
        <v>1569</v>
      </c>
      <c r="D1162" s="41">
        <v>80980</v>
      </c>
      <c r="E1162" s="131">
        <f>ROUNDUP(R1162,-1)</f>
        <v>998200</v>
      </c>
      <c r="F1162" s="21" t="s">
        <v>1248</v>
      </c>
      <c r="G1162" s="21">
        <f>+E1162*1.105</f>
        <v>1103011</v>
      </c>
      <c r="H1162" s="135">
        <f>ROUNDUP(T1162,-1)</f>
        <v>0</v>
      </c>
      <c r="I1162" s="40">
        <v>44882</v>
      </c>
      <c r="J1162" s="294">
        <v>44907</v>
      </c>
      <c r="K1162" s="10">
        <f>PROVEEDORES!$D$47*0.65*0.93*1261</f>
        <v>739406.26500000001</v>
      </c>
      <c r="L1162" s="10"/>
      <c r="M1162" s="11"/>
      <c r="N1162" s="100"/>
      <c r="O1162" s="11">
        <f>MIN(K1162:M1162)</f>
        <v>739406.26500000001</v>
      </c>
      <c r="P1162" s="11">
        <f t="shared" si="268"/>
        <v>739406.26500000001</v>
      </c>
      <c r="Q1162" s="11">
        <v>1.35</v>
      </c>
      <c r="R1162" s="11">
        <f t="shared" si="269"/>
        <v>998198.45775000006</v>
      </c>
      <c r="S1162" s="11"/>
      <c r="T1162" s="136">
        <f>+N1162*Q1162</f>
        <v>0</v>
      </c>
    </row>
    <row r="1163" spans="1:20" ht="15.75" customHeight="1">
      <c r="A1163" s="149">
        <v>41</v>
      </c>
      <c r="B1163" s="273"/>
      <c r="C1163" s="28" t="s">
        <v>1570</v>
      </c>
      <c r="D1163" s="41"/>
      <c r="E1163" s="132">
        <f t="shared" si="265"/>
        <v>0</v>
      </c>
      <c r="F1163" s="21" t="s">
        <v>1248</v>
      </c>
      <c r="G1163" s="21">
        <f t="shared" si="288"/>
        <v>0</v>
      </c>
      <c r="H1163" s="135">
        <f t="shared" si="272"/>
        <v>0</v>
      </c>
      <c r="I1163" s="294">
        <v>42706</v>
      </c>
      <c r="J1163" s="294"/>
      <c r="K1163" s="10">
        <f>585*16.1*1.35</f>
        <v>12714.975</v>
      </c>
      <c r="L1163" s="11"/>
      <c r="M1163" s="11"/>
      <c r="N1163" s="100"/>
      <c r="O1163" s="11">
        <f t="shared" si="271"/>
        <v>12714.975</v>
      </c>
      <c r="P1163" s="11">
        <f t="shared" si="268"/>
        <v>12714.975</v>
      </c>
      <c r="Q1163" s="11"/>
      <c r="R1163" s="11">
        <f t="shared" si="269"/>
        <v>0</v>
      </c>
      <c r="S1163" s="11"/>
      <c r="T1163" s="136">
        <f t="shared" si="273"/>
        <v>0</v>
      </c>
    </row>
    <row r="1164" spans="1:20" ht="15.75" customHeight="1">
      <c r="A1164" s="149">
        <v>41</v>
      </c>
      <c r="B1164" s="273"/>
      <c r="C1164" s="28" t="s">
        <v>1571</v>
      </c>
      <c r="D1164" s="41"/>
      <c r="E1164" s="132">
        <f t="shared" si="265"/>
        <v>0</v>
      </c>
      <c r="F1164" s="21" t="s">
        <v>1248</v>
      </c>
      <c r="G1164" s="21">
        <f t="shared" si="288"/>
        <v>0</v>
      </c>
      <c r="H1164" s="135">
        <f t="shared" si="272"/>
        <v>0</v>
      </c>
      <c r="I1164" s="294">
        <v>42706</v>
      </c>
      <c r="J1164" s="294"/>
      <c r="K1164" s="10">
        <f>312*16.1*1.35</f>
        <v>6781.3200000000015</v>
      </c>
      <c r="L1164" s="11"/>
      <c r="M1164" s="11"/>
      <c r="N1164" s="100"/>
      <c r="O1164" s="11">
        <f t="shared" si="271"/>
        <v>6781.3200000000015</v>
      </c>
      <c r="P1164" s="11">
        <f t="shared" si="268"/>
        <v>6781.3200000000015</v>
      </c>
      <c r="Q1164" s="11"/>
      <c r="R1164" s="11">
        <f t="shared" si="269"/>
        <v>0</v>
      </c>
      <c r="S1164" s="11"/>
      <c r="T1164" s="136">
        <f t="shared" si="273"/>
        <v>0</v>
      </c>
    </row>
    <row r="1165" spans="1:20" ht="15.75" customHeight="1">
      <c r="A1165" s="149">
        <v>41</v>
      </c>
      <c r="B1165" s="273"/>
      <c r="C1165" s="28" t="s">
        <v>1572</v>
      </c>
      <c r="D1165" s="41"/>
      <c r="E1165" s="132">
        <f t="shared" si="265"/>
        <v>0</v>
      </c>
      <c r="F1165" s="21" t="s">
        <v>1248</v>
      </c>
      <c r="G1165" s="21">
        <f t="shared" si="288"/>
        <v>0</v>
      </c>
      <c r="H1165" s="135">
        <f t="shared" ref="H1165:H1200" si="289">ROUNDUP(T1165,-1)</f>
        <v>0</v>
      </c>
      <c r="I1165" s="294">
        <v>42706</v>
      </c>
      <c r="J1165" s="294"/>
      <c r="K1165" s="10">
        <f>598*16.1*1.35</f>
        <v>12997.530000000002</v>
      </c>
      <c r="L1165" s="11"/>
      <c r="M1165" s="11"/>
      <c r="N1165" s="100"/>
      <c r="O1165" s="11">
        <f t="shared" si="271"/>
        <v>12997.530000000002</v>
      </c>
      <c r="P1165" s="11">
        <f t="shared" si="268"/>
        <v>12997.530000000002</v>
      </c>
      <c r="Q1165" s="11"/>
      <c r="R1165" s="11">
        <f t="shared" si="269"/>
        <v>0</v>
      </c>
      <c r="S1165" s="11"/>
      <c r="T1165" s="136">
        <f t="shared" si="273"/>
        <v>0</v>
      </c>
    </row>
    <row r="1166" spans="1:20" ht="15.75" customHeight="1">
      <c r="A1166" s="149">
        <v>41</v>
      </c>
      <c r="B1166" s="273"/>
      <c r="C1166" s="28" t="s">
        <v>1573</v>
      </c>
      <c r="D1166" s="41"/>
      <c r="E1166" s="132">
        <f t="shared" si="265"/>
        <v>0</v>
      </c>
      <c r="F1166" s="21" t="s">
        <v>1248</v>
      </c>
      <c r="G1166" s="21">
        <f t="shared" si="288"/>
        <v>0</v>
      </c>
      <c r="H1166" s="135">
        <f t="shared" si="289"/>
        <v>0</v>
      </c>
      <c r="I1166" s="294">
        <v>42706</v>
      </c>
      <c r="J1166" s="294"/>
      <c r="K1166" s="10">
        <f>735*40*1.35</f>
        <v>39690</v>
      </c>
      <c r="L1166" s="11"/>
      <c r="M1166" s="11"/>
      <c r="N1166" s="100"/>
      <c r="O1166" s="11">
        <f t="shared" si="271"/>
        <v>39690</v>
      </c>
      <c r="P1166" s="11">
        <f t="shared" si="268"/>
        <v>39690</v>
      </c>
      <c r="Q1166" s="11"/>
      <c r="R1166" s="11">
        <f t="shared" si="269"/>
        <v>0</v>
      </c>
      <c r="S1166" s="11"/>
      <c r="T1166" s="136">
        <f t="shared" si="273"/>
        <v>0</v>
      </c>
    </row>
    <row r="1167" spans="1:20" ht="15.75" customHeight="1">
      <c r="A1167" s="149">
        <v>41</v>
      </c>
      <c r="B1167" s="273"/>
      <c r="C1167" s="28" t="s">
        <v>1574</v>
      </c>
      <c r="D1167" s="41"/>
      <c r="E1167" s="132">
        <f t="shared" si="265"/>
        <v>0</v>
      </c>
      <c r="F1167" s="21" t="s">
        <v>1248</v>
      </c>
      <c r="G1167" s="21">
        <f t="shared" si="288"/>
        <v>0</v>
      </c>
      <c r="H1167" s="135">
        <f t="shared" si="289"/>
        <v>0</v>
      </c>
      <c r="I1167" s="294">
        <v>42706</v>
      </c>
      <c r="J1167" s="294"/>
      <c r="K1167" s="10">
        <f>2127*16.1*1.35</f>
        <v>46230.345000000008</v>
      </c>
      <c r="L1167" s="11"/>
      <c r="M1167" s="11"/>
      <c r="N1167" s="100"/>
      <c r="O1167" s="11">
        <f t="shared" si="271"/>
        <v>46230.345000000008</v>
      </c>
      <c r="P1167" s="11">
        <f t="shared" si="268"/>
        <v>46230.345000000008</v>
      </c>
      <c r="Q1167" s="11"/>
      <c r="R1167" s="11">
        <f t="shared" si="269"/>
        <v>0</v>
      </c>
      <c r="S1167" s="11"/>
      <c r="T1167" s="136">
        <f t="shared" si="273"/>
        <v>0</v>
      </c>
    </row>
    <row r="1168" spans="1:20" ht="15.75" customHeight="1">
      <c r="A1168" s="149">
        <v>41</v>
      </c>
      <c r="B1168" s="273"/>
      <c r="C1168" s="28" t="s">
        <v>1575</v>
      </c>
      <c r="D1168" s="41"/>
      <c r="E1168" s="132">
        <f t="shared" si="265"/>
        <v>0</v>
      </c>
      <c r="F1168" s="21" t="s">
        <v>1248</v>
      </c>
      <c r="G1168" s="21">
        <f t="shared" si="288"/>
        <v>0</v>
      </c>
      <c r="H1168" s="135">
        <f t="shared" si="289"/>
        <v>0</v>
      </c>
      <c r="I1168" s="294">
        <v>42706</v>
      </c>
      <c r="J1168" s="294"/>
      <c r="K1168" s="10">
        <f>122*16.5*1.35</f>
        <v>2717.55</v>
      </c>
      <c r="L1168" s="11"/>
      <c r="M1168" s="11"/>
      <c r="N1168" s="100"/>
      <c r="O1168" s="11">
        <f t="shared" si="271"/>
        <v>2717.55</v>
      </c>
      <c r="P1168" s="11">
        <f t="shared" si="268"/>
        <v>2717.55</v>
      </c>
      <c r="Q1168" s="11"/>
      <c r="R1168" s="11">
        <f t="shared" si="269"/>
        <v>0</v>
      </c>
      <c r="S1168" s="11"/>
      <c r="T1168" s="136">
        <f t="shared" si="273"/>
        <v>0</v>
      </c>
    </row>
    <row r="1169" spans="1:20" ht="15.75" customHeight="1">
      <c r="A1169" s="149">
        <v>52</v>
      </c>
      <c r="B1169" s="273">
        <f t="shared" ref="B1169:B1178" si="290">ROUNDUP(E1169*1.06,-1)</f>
        <v>0</v>
      </c>
      <c r="C1169" s="28" t="s">
        <v>1576</v>
      </c>
      <c r="D1169" s="41">
        <v>18740</v>
      </c>
      <c r="E1169" s="131">
        <f t="shared" si="265"/>
        <v>0</v>
      </c>
      <c r="F1169" s="21" t="s">
        <v>1248</v>
      </c>
      <c r="G1169" s="21">
        <f t="shared" si="288"/>
        <v>0</v>
      </c>
      <c r="H1169" s="135">
        <f t="shared" si="289"/>
        <v>0</v>
      </c>
      <c r="I1169" s="294">
        <v>44385</v>
      </c>
      <c r="J1169" s="294"/>
      <c r="K1169" s="134">
        <f>+PROVEEDORES!D46*0.9*0.93*313</f>
        <v>275080.05</v>
      </c>
      <c r="L1169" s="11"/>
      <c r="M1169" s="11"/>
      <c r="N1169" s="100"/>
      <c r="O1169" s="11">
        <f t="shared" si="271"/>
        <v>275080.05</v>
      </c>
      <c r="P1169" s="11">
        <f t="shared" si="268"/>
        <v>275080.05</v>
      </c>
      <c r="Q1169" s="11"/>
      <c r="R1169" s="11">
        <f t="shared" si="269"/>
        <v>0</v>
      </c>
      <c r="S1169" s="11"/>
      <c r="T1169" s="136">
        <f t="shared" si="273"/>
        <v>0</v>
      </c>
    </row>
    <row r="1170" spans="1:20" ht="15.75" customHeight="1">
      <c r="A1170" s="149">
        <v>52</v>
      </c>
      <c r="B1170" s="273">
        <f t="shared" si="290"/>
        <v>524030</v>
      </c>
      <c r="C1170" s="28" t="s">
        <v>3709</v>
      </c>
      <c r="D1170" s="41"/>
      <c r="E1170" s="131">
        <f t="shared" si="265"/>
        <v>494360</v>
      </c>
      <c r="F1170" s="21" t="s">
        <v>1248</v>
      </c>
      <c r="G1170" s="21">
        <f t="shared" si="288"/>
        <v>546267.80000000005</v>
      </c>
      <c r="H1170" s="135">
        <f t="shared" si="289"/>
        <v>0</v>
      </c>
      <c r="I1170" s="294"/>
      <c r="J1170" s="294">
        <v>45377</v>
      </c>
      <c r="K1170" s="11">
        <f>+PROVEEDORES!$D$46*0.75*465</f>
        <v>366187.5</v>
      </c>
      <c r="L1170" s="11"/>
      <c r="M1170" s="11"/>
      <c r="N1170" s="100"/>
      <c r="O1170" s="11">
        <f t="shared" si="271"/>
        <v>366187.5</v>
      </c>
      <c r="P1170" s="11">
        <f t="shared" si="268"/>
        <v>366187.5</v>
      </c>
      <c r="Q1170" s="11">
        <v>1.35</v>
      </c>
      <c r="R1170" s="11">
        <f t="shared" si="269"/>
        <v>494353.12500000006</v>
      </c>
      <c r="S1170" s="11"/>
      <c r="T1170" s="136">
        <f t="shared" si="273"/>
        <v>0</v>
      </c>
    </row>
    <row r="1171" spans="1:20" ht="15.75" customHeight="1">
      <c r="A1171" s="149">
        <v>52</v>
      </c>
      <c r="B1171" s="273">
        <f t="shared" si="290"/>
        <v>0</v>
      </c>
      <c r="C1171" s="28" t="s">
        <v>1577</v>
      </c>
      <c r="D1171" s="41">
        <v>25060</v>
      </c>
      <c r="E1171" s="131">
        <f t="shared" si="265"/>
        <v>0</v>
      </c>
      <c r="F1171" s="21" t="s">
        <v>1248</v>
      </c>
      <c r="G1171" s="21">
        <f t="shared" si="288"/>
        <v>0</v>
      </c>
      <c r="H1171" s="135">
        <f t="shared" si="289"/>
        <v>0</v>
      </c>
      <c r="I1171" s="294"/>
      <c r="J1171" s="294">
        <v>43795</v>
      </c>
      <c r="K1171" s="10">
        <f>370*66*0.9*0.95*1.35</f>
        <v>28186.785</v>
      </c>
      <c r="L1171" s="11"/>
      <c r="M1171" s="10"/>
      <c r="N1171" s="100"/>
      <c r="O1171" s="11">
        <f t="shared" si="271"/>
        <v>28186.785</v>
      </c>
      <c r="P1171" s="11">
        <f t="shared" si="268"/>
        <v>28186.785</v>
      </c>
      <c r="Q1171" s="11"/>
      <c r="R1171" s="11">
        <f t="shared" si="269"/>
        <v>0</v>
      </c>
      <c r="S1171" s="11"/>
      <c r="T1171" s="136">
        <f t="shared" si="273"/>
        <v>0</v>
      </c>
    </row>
    <row r="1172" spans="1:20" ht="15.75" customHeight="1">
      <c r="A1172" s="149">
        <v>52</v>
      </c>
      <c r="B1172" s="273">
        <f t="shared" si="290"/>
        <v>909430</v>
      </c>
      <c r="C1172" s="28" t="s">
        <v>2895</v>
      </c>
      <c r="D1172" s="41">
        <v>34550</v>
      </c>
      <c r="E1172" s="131">
        <f t="shared" si="265"/>
        <v>857950</v>
      </c>
      <c r="F1172" s="21" t="s">
        <v>1248</v>
      </c>
      <c r="G1172" s="21">
        <f t="shared" si="288"/>
        <v>948034.75</v>
      </c>
      <c r="H1172" s="135">
        <f t="shared" si="289"/>
        <v>0</v>
      </c>
      <c r="I1172" s="294">
        <v>45112</v>
      </c>
      <c r="J1172" s="294">
        <v>45195</v>
      </c>
      <c r="K1172" s="11">
        <f>+PROVEEDORES!$D$46*0.75*807</f>
        <v>635512.5</v>
      </c>
      <c r="L1172" s="11"/>
      <c r="M1172" s="10"/>
      <c r="N1172" s="100"/>
      <c r="O1172" s="11">
        <f t="shared" si="271"/>
        <v>635512.5</v>
      </c>
      <c r="P1172" s="11">
        <f t="shared" si="268"/>
        <v>635512.5</v>
      </c>
      <c r="Q1172" s="11">
        <v>1.35</v>
      </c>
      <c r="R1172" s="11">
        <f t="shared" si="269"/>
        <v>857941.875</v>
      </c>
      <c r="S1172" s="11"/>
      <c r="T1172" s="136">
        <f t="shared" si="273"/>
        <v>0</v>
      </c>
    </row>
    <row r="1173" spans="1:20" ht="15.75" customHeight="1">
      <c r="A1173" s="149">
        <v>52</v>
      </c>
      <c r="B1173" s="273">
        <f>ROUNDUP(E1173*1.06,-1)</f>
        <v>1026080</v>
      </c>
      <c r="C1173" s="28" t="s">
        <v>2566</v>
      </c>
      <c r="D1173" s="41"/>
      <c r="E1173" s="131">
        <f>ROUNDUP(R1173,-1)</f>
        <v>968000</v>
      </c>
      <c r="F1173" s="21" t="s">
        <v>1248</v>
      </c>
      <c r="G1173" s="21">
        <f>+E1173*1.105</f>
        <v>1069640</v>
      </c>
      <c r="H1173" s="135">
        <f>ROUNDUP(T1173,-1)</f>
        <v>0</v>
      </c>
      <c r="I1173" s="294">
        <v>44385</v>
      </c>
      <c r="J1173" s="294">
        <v>45195</v>
      </c>
      <c r="K1173" s="11">
        <f>+PROVEEDORES!D46*0.75*878</f>
        <v>691425</v>
      </c>
      <c r="L1173" s="11"/>
      <c r="M1173" s="11"/>
      <c r="N1173" s="100"/>
      <c r="O1173" s="11">
        <f>MIN(K1173:M1173)</f>
        <v>691425</v>
      </c>
      <c r="P1173" s="11">
        <f t="shared" si="268"/>
        <v>691425</v>
      </c>
      <c r="Q1173" s="11">
        <v>1.4</v>
      </c>
      <c r="R1173" s="11">
        <f t="shared" si="269"/>
        <v>967994.99999999988</v>
      </c>
      <c r="S1173" s="11"/>
      <c r="T1173" s="136">
        <f>+N1173*Q1173</f>
        <v>0</v>
      </c>
    </row>
    <row r="1174" spans="1:20" ht="15.75" customHeight="1">
      <c r="A1174" s="149">
        <v>52</v>
      </c>
      <c r="B1174" s="273">
        <f t="shared" si="290"/>
        <v>938860</v>
      </c>
      <c r="C1174" s="28" t="s">
        <v>3710</v>
      </c>
      <c r="D1174" s="41">
        <v>49130</v>
      </c>
      <c r="E1174" s="131">
        <f t="shared" ref="E1174:E1243" si="291">ROUNDUP(R1174,-1)</f>
        <v>885710</v>
      </c>
      <c r="F1174" s="21" t="s">
        <v>1248</v>
      </c>
      <c r="G1174" s="21">
        <f t="shared" si="288"/>
        <v>978709.54999999993</v>
      </c>
      <c r="H1174" s="135">
        <f t="shared" si="289"/>
        <v>0</v>
      </c>
      <c r="I1174" s="294">
        <v>44865</v>
      </c>
      <c r="J1174" s="294">
        <v>45323</v>
      </c>
      <c r="K1174" s="11">
        <f>+PROVEEDORES!$D$46*0.75*815</f>
        <v>641812.5</v>
      </c>
      <c r="L1174" s="11"/>
      <c r="M1174" s="196"/>
      <c r="N1174" s="100"/>
      <c r="O1174" s="11">
        <f t="shared" si="271"/>
        <v>641812.5</v>
      </c>
      <c r="P1174" s="11">
        <f t="shared" si="268"/>
        <v>641812.5</v>
      </c>
      <c r="Q1174" s="11">
        <v>1.38</v>
      </c>
      <c r="R1174" s="11">
        <f t="shared" si="269"/>
        <v>885701.24999999988</v>
      </c>
      <c r="S1174" s="11"/>
      <c r="T1174" s="136">
        <f t="shared" si="273"/>
        <v>0</v>
      </c>
    </row>
    <row r="1175" spans="1:20" ht="15.75" customHeight="1">
      <c r="A1175" s="149">
        <v>52</v>
      </c>
      <c r="B1175" s="273">
        <f t="shared" si="290"/>
        <v>0</v>
      </c>
      <c r="C1175" s="28" t="s">
        <v>1578</v>
      </c>
      <c r="D1175" s="41">
        <v>56570</v>
      </c>
      <c r="E1175" s="131">
        <f t="shared" si="291"/>
        <v>0</v>
      </c>
      <c r="F1175" s="21" t="s">
        <v>1248</v>
      </c>
      <c r="G1175" s="21">
        <f t="shared" si="288"/>
        <v>0</v>
      </c>
      <c r="H1175" s="135">
        <f t="shared" si="289"/>
        <v>0</v>
      </c>
      <c r="I1175" s="294"/>
      <c r="J1175" s="294">
        <v>43902</v>
      </c>
      <c r="K1175" s="11">
        <f>704*0.9*0.93*1.35*80</f>
        <v>63638.784000000007</v>
      </c>
      <c r="L1175" s="100"/>
      <c r="M1175" s="11"/>
      <c r="N1175" s="100"/>
      <c r="O1175" s="11">
        <f t="shared" si="271"/>
        <v>63638.784000000007</v>
      </c>
      <c r="P1175" s="11">
        <f t="shared" si="268"/>
        <v>63638.784000000007</v>
      </c>
      <c r="Q1175" s="11"/>
      <c r="R1175" s="11">
        <f t="shared" si="269"/>
        <v>0</v>
      </c>
      <c r="S1175" s="11"/>
      <c r="T1175" s="136">
        <f t="shared" si="273"/>
        <v>0</v>
      </c>
    </row>
    <row r="1176" spans="1:20" ht="15.75" customHeight="1">
      <c r="A1176" s="149">
        <v>52</v>
      </c>
      <c r="B1176" s="273">
        <f t="shared" si="290"/>
        <v>0</v>
      </c>
      <c r="C1176" s="28" t="s">
        <v>2108</v>
      </c>
      <c r="D1176" s="41">
        <v>50470</v>
      </c>
      <c r="E1176" s="131">
        <f t="shared" si="291"/>
        <v>0</v>
      </c>
      <c r="F1176" s="21" t="s">
        <v>1248</v>
      </c>
      <c r="G1176" s="21">
        <f t="shared" si="288"/>
        <v>0</v>
      </c>
      <c r="H1176" s="135">
        <f t="shared" si="289"/>
        <v>0</v>
      </c>
      <c r="I1176" s="294">
        <v>44385</v>
      </c>
      <c r="J1176" s="294"/>
      <c r="K1176" s="11">
        <f>PROVEEDORES!D46*0.9*0.93*818</f>
        <v>718899.3</v>
      </c>
      <c r="L1176" s="11"/>
      <c r="M1176" s="11"/>
      <c r="N1176" s="100"/>
      <c r="O1176" s="11">
        <f t="shared" si="271"/>
        <v>718899.3</v>
      </c>
      <c r="P1176" s="11">
        <f t="shared" si="268"/>
        <v>718899.3</v>
      </c>
      <c r="Q1176" s="11"/>
      <c r="R1176" s="11">
        <f t="shared" si="269"/>
        <v>0</v>
      </c>
      <c r="S1176" s="11"/>
      <c r="T1176" s="136">
        <f t="shared" si="273"/>
        <v>0</v>
      </c>
    </row>
    <row r="1177" spans="1:20" ht="15.75" customHeight="1">
      <c r="A1177" s="149">
        <v>52</v>
      </c>
      <c r="B1177" s="273">
        <f t="shared" si="290"/>
        <v>1301590</v>
      </c>
      <c r="C1177" s="28" t="s">
        <v>2934</v>
      </c>
      <c r="D1177" s="41">
        <v>193240</v>
      </c>
      <c r="E1177" s="131">
        <f t="shared" si="291"/>
        <v>1227910</v>
      </c>
      <c r="F1177" s="21" t="s">
        <v>1248</v>
      </c>
      <c r="G1177" s="21">
        <f t="shared" si="288"/>
        <v>1356840.55</v>
      </c>
      <c r="H1177" s="135">
        <f t="shared" si="289"/>
        <v>0</v>
      </c>
      <c r="I1177" s="294">
        <v>44385</v>
      </c>
      <c r="J1177" s="294">
        <v>45195</v>
      </c>
      <c r="K1177" s="11">
        <f>+PROVEEDORES!D46*0.75*1155</f>
        <v>909562.5</v>
      </c>
      <c r="L1177" s="11"/>
      <c r="M1177" s="11"/>
      <c r="N1177" s="100"/>
      <c r="O1177" s="11">
        <f t="shared" si="271"/>
        <v>909562.5</v>
      </c>
      <c r="P1177" s="11">
        <f t="shared" si="268"/>
        <v>909562.5</v>
      </c>
      <c r="Q1177" s="11">
        <v>1.35</v>
      </c>
      <c r="R1177" s="11">
        <f t="shared" si="269"/>
        <v>1227909.375</v>
      </c>
      <c r="S1177" s="11"/>
      <c r="T1177" s="136">
        <f t="shared" si="273"/>
        <v>0</v>
      </c>
    </row>
    <row r="1178" spans="1:20" ht="15.75" customHeight="1">
      <c r="A1178" s="149">
        <v>12</v>
      </c>
      <c r="B1178" s="273">
        <f t="shared" si="290"/>
        <v>0</v>
      </c>
      <c r="C1178" s="28" t="s">
        <v>1579</v>
      </c>
      <c r="D1178" s="41">
        <v>17540</v>
      </c>
      <c r="E1178" s="131">
        <f t="shared" si="291"/>
        <v>0</v>
      </c>
      <c r="F1178" s="21" t="s">
        <v>1248</v>
      </c>
      <c r="G1178" s="21"/>
      <c r="H1178" s="135">
        <f t="shared" si="289"/>
        <v>0</v>
      </c>
      <c r="I1178" s="40"/>
      <c r="J1178" s="294">
        <v>43103</v>
      </c>
      <c r="K1178" s="10">
        <f>12990*1.35</f>
        <v>17536.5</v>
      </c>
      <c r="L1178" s="11"/>
      <c r="M1178" s="11"/>
      <c r="N1178" s="100"/>
      <c r="O1178" s="11">
        <f t="shared" si="271"/>
        <v>17536.5</v>
      </c>
      <c r="P1178" s="11">
        <f t="shared" si="268"/>
        <v>17536.5</v>
      </c>
      <c r="Q1178" s="11"/>
      <c r="R1178" s="11">
        <f t="shared" si="269"/>
        <v>0</v>
      </c>
      <c r="S1178" s="11"/>
      <c r="T1178" s="136">
        <f t="shared" si="273"/>
        <v>0</v>
      </c>
    </row>
    <row r="1179" spans="1:20" ht="15.75" customHeight="1">
      <c r="A1179" s="149">
        <v>12</v>
      </c>
      <c r="B1179" s="273"/>
      <c r="C1179" s="28" t="s">
        <v>4437</v>
      </c>
      <c r="D1179" s="41"/>
      <c r="E1179" s="131">
        <f t="shared" si="291"/>
        <v>0</v>
      </c>
      <c r="F1179" s="21">
        <f t="shared" ref="F1179:F1224" si="292">+E1179*1.21</f>
        <v>0</v>
      </c>
      <c r="G1179" s="21"/>
      <c r="H1179" s="135">
        <f t="shared" si="289"/>
        <v>0</v>
      </c>
      <c r="I1179" s="294">
        <v>45108</v>
      </c>
      <c r="J1179" s="294">
        <v>45139</v>
      </c>
      <c r="K1179" s="10">
        <v>2654</v>
      </c>
      <c r="L1179" s="11"/>
      <c r="M1179" s="11"/>
      <c r="N1179" s="100"/>
      <c r="O1179" s="11">
        <f t="shared" si="271"/>
        <v>2654</v>
      </c>
      <c r="P1179" s="11">
        <f t="shared" si="268"/>
        <v>2654</v>
      </c>
      <c r="Q1179" s="11"/>
      <c r="R1179" s="11">
        <f t="shared" si="269"/>
        <v>0</v>
      </c>
      <c r="S1179" s="11"/>
      <c r="T1179" s="136">
        <f t="shared" si="273"/>
        <v>0</v>
      </c>
    </row>
    <row r="1180" spans="1:20" ht="15.75" customHeight="1">
      <c r="A1180" s="149">
        <v>21</v>
      </c>
      <c r="B1180" s="273"/>
      <c r="C1180" s="28" t="s">
        <v>1580</v>
      </c>
      <c r="D1180" s="41">
        <v>110</v>
      </c>
      <c r="E1180" s="131">
        <f t="shared" si="291"/>
        <v>0</v>
      </c>
      <c r="F1180" s="21">
        <f t="shared" si="292"/>
        <v>0</v>
      </c>
      <c r="G1180" s="21"/>
      <c r="H1180" s="135">
        <f t="shared" si="289"/>
        <v>0</v>
      </c>
      <c r="I1180" s="294">
        <v>44845</v>
      </c>
      <c r="J1180" s="294"/>
      <c r="K1180" s="10">
        <f>0.6*365</f>
        <v>219</v>
      </c>
      <c r="L1180" s="11"/>
      <c r="M1180" s="11"/>
      <c r="N1180" s="100"/>
      <c r="O1180" s="11">
        <f t="shared" si="271"/>
        <v>219</v>
      </c>
      <c r="P1180" s="11">
        <f t="shared" si="268"/>
        <v>219</v>
      </c>
      <c r="Q1180" s="11"/>
      <c r="R1180" s="11">
        <f t="shared" si="269"/>
        <v>0</v>
      </c>
      <c r="S1180" s="11"/>
      <c r="T1180" s="136">
        <f t="shared" si="273"/>
        <v>0</v>
      </c>
    </row>
    <row r="1181" spans="1:20" ht="15.75" customHeight="1">
      <c r="A1181" s="149">
        <v>21</v>
      </c>
      <c r="B1181" s="273"/>
      <c r="C1181" s="28" t="s">
        <v>2531</v>
      </c>
      <c r="D1181" s="41">
        <v>190</v>
      </c>
      <c r="E1181" s="131">
        <f t="shared" si="291"/>
        <v>0</v>
      </c>
      <c r="F1181" s="21">
        <f t="shared" si="292"/>
        <v>0</v>
      </c>
      <c r="G1181" s="21"/>
      <c r="H1181" s="135">
        <f t="shared" si="289"/>
        <v>0</v>
      </c>
      <c r="I1181" s="294">
        <v>44845</v>
      </c>
      <c r="J1181" s="294"/>
      <c r="K1181" s="10">
        <f>0.6*596</f>
        <v>357.59999999999997</v>
      </c>
      <c r="L1181" s="11"/>
      <c r="M1181" s="11"/>
      <c r="N1181" s="100"/>
      <c r="O1181" s="11">
        <f t="shared" si="271"/>
        <v>357.59999999999997</v>
      </c>
      <c r="P1181" s="11">
        <f t="shared" si="268"/>
        <v>357.59999999999997</v>
      </c>
      <c r="Q1181" s="11"/>
      <c r="R1181" s="11">
        <f t="shared" si="269"/>
        <v>0</v>
      </c>
      <c r="S1181" s="11"/>
      <c r="T1181" s="136">
        <f t="shared" si="273"/>
        <v>0</v>
      </c>
    </row>
    <row r="1182" spans="1:20" ht="15.75" customHeight="1">
      <c r="A1182" s="149">
        <v>21</v>
      </c>
      <c r="B1182" s="273"/>
      <c r="C1182" s="28" t="s">
        <v>4224</v>
      </c>
      <c r="D1182" s="41">
        <v>280</v>
      </c>
      <c r="E1182" s="131">
        <f t="shared" si="291"/>
        <v>5610</v>
      </c>
      <c r="F1182" s="21">
        <f t="shared" si="292"/>
        <v>6788.0999999999995</v>
      </c>
      <c r="G1182" s="21"/>
      <c r="H1182" s="135">
        <f t="shared" si="289"/>
        <v>0</v>
      </c>
      <c r="I1182" s="294">
        <v>45306</v>
      </c>
      <c r="J1182" s="294">
        <v>45338</v>
      </c>
      <c r="K1182" s="10">
        <f>0.6*6230</f>
        <v>3738</v>
      </c>
      <c r="L1182" s="11"/>
      <c r="M1182" s="11"/>
      <c r="N1182" s="100"/>
      <c r="O1182" s="11">
        <f t="shared" si="271"/>
        <v>3738</v>
      </c>
      <c r="P1182" s="11">
        <f t="shared" si="268"/>
        <v>3738</v>
      </c>
      <c r="Q1182" s="11">
        <v>1.5</v>
      </c>
      <c r="R1182" s="11">
        <f t="shared" si="269"/>
        <v>5607</v>
      </c>
      <c r="S1182" s="11"/>
      <c r="T1182" s="136">
        <f t="shared" si="273"/>
        <v>0</v>
      </c>
    </row>
    <row r="1183" spans="1:20" ht="15.75" customHeight="1">
      <c r="A1183" s="149"/>
      <c r="B1183" s="273"/>
      <c r="C1183" s="28" t="s">
        <v>2625</v>
      </c>
      <c r="D1183" s="41">
        <v>1320</v>
      </c>
      <c r="E1183" s="131">
        <f t="shared" si="291"/>
        <v>0</v>
      </c>
      <c r="F1183" s="21">
        <f t="shared" si="292"/>
        <v>0</v>
      </c>
      <c r="G1183" s="21"/>
      <c r="H1183" s="135">
        <f t="shared" si="289"/>
        <v>0</v>
      </c>
      <c r="I1183" s="294">
        <v>44126</v>
      </c>
      <c r="J1183" s="40">
        <v>44139</v>
      </c>
      <c r="K1183" s="10">
        <f>0.6*1618*3</f>
        <v>2912.3999999999996</v>
      </c>
      <c r="L1183" s="11">
        <v>2200</v>
      </c>
      <c r="M1183" s="11"/>
      <c r="N1183" s="100"/>
      <c r="O1183" s="11">
        <f t="shared" si="271"/>
        <v>2200</v>
      </c>
      <c r="P1183" s="11">
        <f t="shared" si="268"/>
        <v>2200</v>
      </c>
      <c r="Q1183" s="11"/>
      <c r="R1183" s="11">
        <f t="shared" si="269"/>
        <v>0</v>
      </c>
      <c r="S1183" s="11"/>
      <c r="T1183" s="136">
        <f t="shared" si="273"/>
        <v>0</v>
      </c>
    </row>
    <row r="1184" spans="1:20" ht="15.75" customHeight="1">
      <c r="A1184" s="149">
        <v>101</v>
      </c>
      <c r="B1184" s="273"/>
      <c r="C1184" s="28" t="s">
        <v>44298</v>
      </c>
      <c r="D1184" s="41">
        <v>390</v>
      </c>
      <c r="E1184" s="131">
        <f t="shared" si="291"/>
        <v>4310</v>
      </c>
      <c r="F1184" s="21">
        <f t="shared" si="292"/>
        <v>5215.0999999999995</v>
      </c>
      <c r="G1184" s="21"/>
      <c r="H1184" s="135">
        <f t="shared" si="289"/>
        <v>0</v>
      </c>
      <c r="I1184" s="294">
        <v>45264</v>
      </c>
      <c r="J1184" s="294">
        <v>45351</v>
      </c>
      <c r="K1184" s="11">
        <f>0.7*0.9*4558</f>
        <v>2871.54</v>
      </c>
      <c r="L1184" s="11"/>
      <c r="M1184" s="11"/>
      <c r="N1184" s="100"/>
      <c r="O1184" s="11">
        <f t="shared" si="271"/>
        <v>2871.54</v>
      </c>
      <c r="P1184" s="11">
        <f t="shared" si="268"/>
        <v>2871.54</v>
      </c>
      <c r="Q1184" s="11">
        <v>1.5</v>
      </c>
      <c r="R1184" s="11">
        <f t="shared" si="269"/>
        <v>4307.3099999999995</v>
      </c>
      <c r="S1184" s="11"/>
      <c r="T1184" s="136">
        <f t="shared" si="273"/>
        <v>0</v>
      </c>
    </row>
    <row r="1185" spans="1:20" ht="15.75" customHeight="1">
      <c r="A1185" s="149">
        <v>45</v>
      </c>
      <c r="B1185" s="273"/>
      <c r="C1185" s="28" t="s">
        <v>4488</v>
      </c>
      <c r="D1185" s="41"/>
      <c r="E1185" s="131">
        <f>ROUNDUP(R1185,-1)</f>
        <v>23050</v>
      </c>
      <c r="F1185" s="21">
        <f>+E1185*1.21</f>
        <v>27890.5</v>
      </c>
      <c r="G1185" s="21"/>
      <c r="H1185" s="135">
        <f>ROUNDUP(T1185,-1)</f>
        <v>0</v>
      </c>
      <c r="I1185" s="294"/>
      <c r="J1185" s="294">
        <v>45329</v>
      </c>
      <c r="K1185" s="11">
        <f>0.59*0.95*27407</f>
        <v>15361.6235</v>
      </c>
      <c r="L1185" s="11"/>
      <c r="M1185" s="11"/>
      <c r="N1185" s="100"/>
      <c r="O1185" s="11">
        <f>MIN(K1185:M1185)</f>
        <v>15361.6235</v>
      </c>
      <c r="P1185" s="11">
        <f>+O1185</f>
        <v>15361.6235</v>
      </c>
      <c r="Q1185" s="11">
        <v>1.5</v>
      </c>
      <c r="R1185" s="11">
        <f>+P1185*Q1185</f>
        <v>23042.435249999999</v>
      </c>
      <c r="S1185" s="11"/>
      <c r="T1185" s="136">
        <f>+N1185*Q1185</f>
        <v>0</v>
      </c>
    </row>
    <row r="1186" spans="1:20" ht="15.75" customHeight="1">
      <c r="A1186" s="149">
        <v>12</v>
      </c>
      <c r="B1186" s="273"/>
      <c r="C1186" s="28" t="s">
        <v>4438</v>
      </c>
      <c r="D1186" s="41"/>
      <c r="E1186" s="131">
        <f t="shared" si="291"/>
        <v>0</v>
      </c>
      <c r="F1186" s="21">
        <f t="shared" si="292"/>
        <v>0</v>
      </c>
      <c r="G1186" s="21"/>
      <c r="H1186" s="135">
        <f t="shared" si="289"/>
        <v>0</v>
      </c>
      <c r="I1186" s="294">
        <v>45108</v>
      </c>
      <c r="J1186" s="40"/>
      <c r="K1186" s="10">
        <v>14589</v>
      </c>
      <c r="L1186" s="11"/>
      <c r="M1186" s="11"/>
      <c r="N1186" s="100"/>
      <c r="O1186" s="11">
        <f t="shared" si="271"/>
        <v>14589</v>
      </c>
      <c r="P1186" s="11">
        <f t="shared" si="268"/>
        <v>14589</v>
      </c>
      <c r="Q1186" s="11"/>
      <c r="R1186" s="11">
        <f t="shared" si="269"/>
        <v>0</v>
      </c>
      <c r="S1186" s="11"/>
      <c r="T1186" s="136">
        <f t="shared" si="273"/>
        <v>0</v>
      </c>
    </row>
    <row r="1187" spans="1:20" ht="15.75" customHeight="1">
      <c r="A1187" s="149">
        <v>12</v>
      </c>
      <c r="B1187" s="273"/>
      <c r="C1187" s="28" t="s">
        <v>4439</v>
      </c>
      <c r="D1187" s="41"/>
      <c r="E1187" s="131">
        <f t="shared" si="291"/>
        <v>0</v>
      </c>
      <c r="F1187" s="21">
        <f t="shared" si="292"/>
        <v>0</v>
      </c>
      <c r="G1187" s="21"/>
      <c r="H1187" s="135">
        <f t="shared" si="289"/>
        <v>0</v>
      </c>
      <c r="I1187" s="294">
        <v>45108</v>
      </c>
      <c r="J1187" s="294"/>
      <c r="K1187" s="11">
        <v>3413</v>
      </c>
      <c r="L1187" s="11"/>
      <c r="M1187" s="11"/>
      <c r="N1187" s="100"/>
      <c r="O1187" s="11">
        <f t="shared" si="271"/>
        <v>3413</v>
      </c>
      <c r="P1187" s="11">
        <f t="shared" si="268"/>
        <v>3413</v>
      </c>
      <c r="Q1187" s="11"/>
      <c r="R1187" s="11">
        <f t="shared" si="269"/>
        <v>0</v>
      </c>
      <c r="S1187" s="11"/>
      <c r="T1187" s="136">
        <f t="shared" si="273"/>
        <v>0</v>
      </c>
    </row>
    <row r="1188" spans="1:20" ht="15.75" customHeight="1">
      <c r="A1188" s="149">
        <v>12</v>
      </c>
      <c r="B1188" s="273"/>
      <c r="C1188" s="28" t="s">
        <v>4440</v>
      </c>
      <c r="D1188" s="41"/>
      <c r="E1188" s="131">
        <f t="shared" si="291"/>
        <v>0</v>
      </c>
      <c r="F1188" s="21">
        <f t="shared" si="292"/>
        <v>0</v>
      </c>
      <c r="G1188" s="21"/>
      <c r="H1188" s="135">
        <f t="shared" si="289"/>
        <v>0</v>
      </c>
      <c r="I1188" s="294">
        <v>45108</v>
      </c>
      <c r="J1188" s="294"/>
      <c r="K1188" s="11">
        <v>1772</v>
      </c>
      <c r="L1188" s="11"/>
      <c r="M1188" s="11"/>
      <c r="N1188" s="100"/>
      <c r="O1188" s="11">
        <f t="shared" si="271"/>
        <v>1772</v>
      </c>
      <c r="P1188" s="11">
        <f t="shared" si="268"/>
        <v>1772</v>
      </c>
      <c r="Q1188" s="11"/>
      <c r="R1188" s="11">
        <f t="shared" si="269"/>
        <v>0</v>
      </c>
      <c r="S1188" s="11"/>
      <c r="T1188" s="136">
        <f t="shared" si="273"/>
        <v>0</v>
      </c>
    </row>
    <row r="1189" spans="1:20" ht="15.75" customHeight="1">
      <c r="A1189" s="149"/>
      <c r="B1189" s="273"/>
      <c r="C1189" s="28" t="s">
        <v>3498</v>
      </c>
      <c r="D1189" s="41">
        <v>1320</v>
      </c>
      <c r="E1189" s="131">
        <f t="shared" si="291"/>
        <v>3820</v>
      </c>
      <c r="F1189" s="21">
        <f t="shared" si="292"/>
        <v>4622.2</v>
      </c>
      <c r="G1189" s="21"/>
      <c r="H1189" s="135">
        <f t="shared" si="289"/>
        <v>0</v>
      </c>
      <c r="I1189" s="294">
        <v>44845</v>
      </c>
      <c r="J1189" s="40"/>
      <c r="K1189" s="11">
        <f>0.6*4238</f>
        <v>2542.7999999999997</v>
      </c>
      <c r="L1189" s="11"/>
      <c r="M1189" s="11"/>
      <c r="N1189" s="100"/>
      <c r="O1189" s="11">
        <f t="shared" si="271"/>
        <v>2542.7999999999997</v>
      </c>
      <c r="P1189" s="11">
        <f t="shared" si="268"/>
        <v>2542.7999999999997</v>
      </c>
      <c r="Q1189" s="11">
        <v>1.5</v>
      </c>
      <c r="R1189" s="11">
        <f t="shared" si="269"/>
        <v>3814.2</v>
      </c>
      <c r="S1189" s="11"/>
      <c r="T1189" s="136">
        <f t="shared" si="273"/>
        <v>0</v>
      </c>
    </row>
    <row r="1190" spans="1:20" ht="15.75" customHeight="1">
      <c r="A1190" s="149"/>
      <c r="B1190" s="273"/>
      <c r="C1190" s="28" t="s">
        <v>2624</v>
      </c>
      <c r="D1190" s="41">
        <v>390</v>
      </c>
      <c r="E1190" s="131">
        <f t="shared" si="291"/>
        <v>0</v>
      </c>
      <c r="F1190" s="21">
        <f t="shared" si="292"/>
        <v>0</v>
      </c>
      <c r="G1190" s="21"/>
      <c r="H1190" s="135">
        <f t="shared" si="289"/>
        <v>0</v>
      </c>
      <c r="I1190" s="294">
        <v>44062</v>
      </c>
      <c r="J1190" s="294">
        <v>44139</v>
      </c>
      <c r="K1190" s="11">
        <f>0.65*828.11</f>
        <v>538.27150000000006</v>
      </c>
      <c r="L1190" s="11">
        <v>420</v>
      </c>
      <c r="M1190" s="11"/>
      <c r="N1190" s="100"/>
      <c r="O1190" s="11">
        <f t="shared" si="271"/>
        <v>420</v>
      </c>
      <c r="P1190" s="11">
        <f t="shared" ref="P1190:P1255" si="293">+O1190</f>
        <v>420</v>
      </c>
      <c r="Q1190" s="11"/>
      <c r="R1190" s="11">
        <f t="shared" ref="R1190:R1255" si="294">+P1190*Q1190</f>
        <v>0</v>
      </c>
      <c r="S1190" s="11"/>
      <c r="T1190" s="136">
        <f t="shared" si="273"/>
        <v>0</v>
      </c>
    </row>
    <row r="1191" spans="1:20" ht="15.75" customHeight="1">
      <c r="A1191" s="149">
        <v>99</v>
      </c>
      <c r="B1191" s="273"/>
      <c r="C1191" s="28" t="s">
        <v>44129</v>
      </c>
      <c r="D1191" s="41"/>
      <c r="E1191" s="131">
        <f>ROUNDUP(R1191,-1)</f>
        <v>1770</v>
      </c>
      <c r="F1191" s="21">
        <f>+E1191*1.21</f>
        <v>2141.6999999999998</v>
      </c>
      <c r="G1191" s="21"/>
      <c r="H1191" s="135">
        <f>ROUNDUP(T1191,-1)</f>
        <v>0</v>
      </c>
      <c r="I1191" s="294">
        <v>45278</v>
      </c>
      <c r="J1191" s="294">
        <v>45349</v>
      </c>
      <c r="K1191" s="11">
        <f>0.95*1240</f>
        <v>1178</v>
      </c>
      <c r="L1191" s="11"/>
      <c r="M1191" s="11"/>
      <c r="N1191" s="11"/>
      <c r="O1191" s="11">
        <f>MIN(K1191:M1191)</f>
        <v>1178</v>
      </c>
      <c r="P1191" s="11">
        <f>+O1191</f>
        <v>1178</v>
      </c>
      <c r="Q1191" s="11">
        <v>1.5</v>
      </c>
      <c r="R1191" s="11">
        <f>+P1191*Q1191</f>
        <v>1767</v>
      </c>
      <c r="S1191" s="11"/>
      <c r="T1191" s="136">
        <f>+N1191*Q1191</f>
        <v>0</v>
      </c>
    </row>
    <row r="1192" spans="1:20" ht="15.75" customHeight="1">
      <c r="A1192" s="149">
        <v>99</v>
      </c>
      <c r="B1192" s="273"/>
      <c r="C1192" s="28" t="s">
        <v>44130</v>
      </c>
      <c r="D1192" s="41"/>
      <c r="E1192" s="131">
        <f t="shared" si="291"/>
        <v>3060</v>
      </c>
      <c r="F1192" s="21">
        <f t="shared" si="292"/>
        <v>3702.6</v>
      </c>
      <c r="G1192" s="21"/>
      <c r="H1192" s="135">
        <f t="shared" si="289"/>
        <v>0</v>
      </c>
      <c r="I1192" s="294">
        <v>45278</v>
      </c>
      <c r="J1192" s="294">
        <v>45349</v>
      </c>
      <c r="K1192" s="11">
        <f>0.95*2143</f>
        <v>2035.85</v>
      </c>
      <c r="L1192" s="11"/>
      <c r="M1192" s="11"/>
      <c r="N1192" s="11"/>
      <c r="O1192" s="11">
        <f t="shared" si="271"/>
        <v>2035.85</v>
      </c>
      <c r="P1192" s="11">
        <f t="shared" si="293"/>
        <v>2035.85</v>
      </c>
      <c r="Q1192" s="11">
        <v>1.5</v>
      </c>
      <c r="R1192" s="11">
        <f t="shared" si="294"/>
        <v>3053.7749999999996</v>
      </c>
      <c r="S1192" s="11"/>
      <c r="T1192" s="136">
        <f t="shared" si="273"/>
        <v>0</v>
      </c>
    </row>
    <row r="1193" spans="1:20" ht="15.75" customHeight="1">
      <c r="A1193" s="149">
        <v>99</v>
      </c>
      <c r="B1193" s="273"/>
      <c r="C1193" s="28" t="s">
        <v>44131</v>
      </c>
      <c r="D1193" s="41"/>
      <c r="E1193" s="131">
        <f>ROUNDUP(R1193,-1)</f>
        <v>5170</v>
      </c>
      <c r="F1193" s="21">
        <f>+E1193*1.21</f>
        <v>6255.7</v>
      </c>
      <c r="G1193" s="21"/>
      <c r="H1193" s="135">
        <f>ROUNDUP(T1193,-1)</f>
        <v>0</v>
      </c>
      <c r="I1193" s="294">
        <v>45278</v>
      </c>
      <c r="J1193" s="294">
        <v>45349</v>
      </c>
      <c r="K1193" s="11">
        <f>0.95*3624</f>
        <v>3442.7999999999997</v>
      </c>
      <c r="L1193" s="11"/>
      <c r="M1193" s="11"/>
      <c r="N1193" s="100"/>
      <c r="O1193" s="11">
        <f>MIN(K1193:M1193)</f>
        <v>3442.7999999999997</v>
      </c>
      <c r="P1193" s="11">
        <f>+O1193</f>
        <v>3442.7999999999997</v>
      </c>
      <c r="Q1193" s="11">
        <v>1.5</v>
      </c>
      <c r="R1193" s="11">
        <f>+P1193*Q1193</f>
        <v>5164.2</v>
      </c>
      <c r="S1193" s="11"/>
      <c r="T1193" s="136">
        <f>+N1193*Q1193</f>
        <v>0</v>
      </c>
    </row>
    <row r="1194" spans="1:20" ht="15.75" customHeight="1">
      <c r="A1194" s="149"/>
      <c r="B1194" s="273"/>
      <c r="C1194" s="28" t="s">
        <v>3996</v>
      </c>
      <c r="D1194" s="41">
        <v>1320</v>
      </c>
      <c r="E1194" s="131">
        <f t="shared" si="291"/>
        <v>870</v>
      </c>
      <c r="F1194" s="21">
        <f t="shared" si="292"/>
        <v>1052.7</v>
      </c>
      <c r="G1194" s="21"/>
      <c r="H1194" s="135">
        <f t="shared" si="289"/>
        <v>0</v>
      </c>
      <c r="I1194" s="294">
        <v>44973</v>
      </c>
      <c r="J1194" s="40"/>
      <c r="K1194" s="11">
        <f>491*1.07*1.1</f>
        <v>577.90700000000004</v>
      </c>
      <c r="L1194" s="11"/>
      <c r="M1194" s="11"/>
      <c r="N1194" s="100"/>
      <c r="O1194" s="11">
        <f t="shared" si="271"/>
        <v>577.90700000000004</v>
      </c>
      <c r="P1194" s="11">
        <f t="shared" si="293"/>
        <v>577.90700000000004</v>
      </c>
      <c r="Q1194" s="11">
        <v>1.5</v>
      </c>
      <c r="R1194" s="11">
        <f t="shared" si="294"/>
        <v>866.8605</v>
      </c>
      <c r="S1194" s="11"/>
      <c r="T1194" s="136">
        <f t="shared" si="273"/>
        <v>0</v>
      </c>
    </row>
    <row r="1195" spans="1:20" ht="15.75" customHeight="1">
      <c r="A1195" s="149"/>
      <c r="B1195" s="273"/>
      <c r="C1195" s="28" t="s">
        <v>3995</v>
      </c>
      <c r="D1195" s="41">
        <v>1320</v>
      </c>
      <c r="E1195" s="131">
        <f t="shared" si="291"/>
        <v>820</v>
      </c>
      <c r="F1195" s="21">
        <f t="shared" si="292"/>
        <v>992.19999999999993</v>
      </c>
      <c r="G1195" s="21"/>
      <c r="H1195" s="135">
        <f t="shared" si="289"/>
        <v>0</v>
      </c>
      <c r="I1195" s="294">
        <v>44973</v>
      </c>
      <c r="J1195" s="40"/>
      <c r="K1195" s="11">
        <f>462*1.07*1.1</f>
        <v>543.77400000000011</v>
      </c>
      <c r="L1195" s="11"/>
      <c r="M1195" s="11"/>
      <c r="N1195" s="100"/>
      <c r="O1195" s="11">
        <f t="shared" si="271"/>
        <v>543.77400000000011</v>
      </c>
      <c r="P1195" s="11">
        <f t="shared" si="293"/>
        <v>543.77400000000011</v>
      </c>
      <c r="Q1195" s="11">
        <v>1.5</v>
      </c>
      <c r="R1195" s="11">
        <f t="shared" si="294"/>
        <v>815.66100000000017</v>
      </c>
      <c r="S1195" s="11"/>
      <c r="T1195" s="136">
        <f t="shared" si="273"/>
        <v>0</v>
      </c>
    </row>
    <row r="1196" spans="1:20" ht="15.75" customHeight="1">
      <c r="A1196" s="149"/>
      <c r="B1196" s="273"/>
      <c r="C1196" s="28" t="s">
        <v>1581</v>
      </c>
      <c r="D1196" s="41">
        <v>100</v>
      </c>
      <c r="E1196" s="131">
        <f t="shared" si="291"/>
        <v>0</v>
      </c>
      <c r="F1196" s="21">
        <f t="shared" si="292"/>
        <v>0</v>
      </c>
      <c r="G1196" s="21"/>
      <c r="H1196" s="135">
        <f t="shared" si="289"/>
        <v>0</v>
      </c>
      <c r="I1196" s="294">
        <v>43025</v>
      </c>
      <c r="J1196" s="294"/>
      <c r="K1196" s="10">
        <f>50.1666666666667*0.737*1.5</f>
        <v>55.459250000000033</v>
      </c>
      <c r="L1196" s="11"/>
      <c r="M1196" s="11"/>
      <c r="N1196" s="100"/>
      <c r="O1196" s="11">
        <f t="shared" si="271"/>
        <v>55.459250000000033</v>
      </c>
      <c r="P1196" s="11">
        <f t="shared" si="293"/>
        <v>55.459250000000033</v>
      </c>
      <c r="Q1196" s="11"/>
      <c r="R1196" s="11">
        <f t="shared" si="294"/>
        <v>0</v>
      </c>
      <c r="S1196" s="11"/>
      <c r="T1196" s="136">
        <f t="shared" si="273"/>
        <v>0</v>
      </c>
    </row>
    <row r="1197" spans="1:20" ht="15.75" customHeight="1">
      <c r="A1197" s="149">
        <v>98</v>
      </c>
      <c r="B1197" s="273"/>
      <c r="C1197" s="28" t="s">
        <v>1582</v>
      </c>
      <c r="D1197" s="41">
        <v>230</v>
      </c>
      <c r="E1197" s="131">
        <f>ROUNDUP(R1197,-1)</f>
        <v>4370</v>
      </c>
      <c r="F1197" s="21">
        <f>+E1197*1.21</f>
        <v>5287.7</v>
      </c>
      <c r="G1197" s="21"/>
      <c r="H1197" s="135">
        <f>ROUNDUP(T1197,-1)</f>
        <v>0</v>
      </c>
      <c r="I1197" s="294">
        <v>45286</v>
      </c>
      <c r="J1197" s="294">
        <v>45356</v>
      </c>
      <c r="K1197" s="10">
        <f>2275*1.2</f>
        <v>2730</v>
      </c>
      <c r="L1197" s="11"/>
      <c r="M1197" s="11"/>
      <c r="N1197" s="100"/>
      <c r="O1197" s="11">
        <f>MIN(K1197:M1197)</f>
        <v>2730</v>
      </c>
      <c r="P1197" s="11">
        <f t="shared" si="293"/>
        <v>2730</v>
      </c>
      <c r="Q1197" s="11">
        <v>1.6</v>
      </c>
      <c r="R1197" s="11">
        <f t="shared" si="294"/>
        <v>4368</v>
      </c>
      <c r="S1197" s="11"/>
      <c r="T1197" s="136">
        <f>+N1197*Q1197</f>
        <v>0</v>
      </c>
    </row>
    <row r="1198" spans="1:20" ht="15.75" customHeight="1">
      <c r="A1198" s="149">
        <v>98</v>
      </c>
      <c r="B1198" s="273"/>
      <c r="C1198" s="28" t="s">
        <v>1583</v>
      </c>
      <c r="D1198" s="41">
        <v>250</v>
      </c>
      <c r="E1198" s="131">
        <f>ROUNDUP(R1198,-1)</f>
        <v>4800</v>
      </c>
      <c r="F1198" s="21">
        <f>+E1198*1.21</f>
        <v>5808</v>
      </c>
      <c r="G1198" s="21"/>
      <c r="H1198" s="135">
        <f>ROUNDUP(T1198,-1)</f>
        <v>0</v>
      </c>
      <c r="I1198" s="294">
        <v>45286</v>
      </c>
      <c r="J1198" s="294">
        <v>45356</v>
      </c>
      <c r="K1198" s="10">
        <f>2495*1.2</f>
        <v>2994</v>
      </c>
      <c r="L1198" s="11"/>
      <c r="M1198" s="11"/>
      <c r="N1198" s="100"/>
      <c r="O1198" s="11">
        <f>MIN(K1198:M1198)</f>
        <v>2994</v>
      </c>
      <c r="P1198" s="11">
        <f t="shared" si="293"/>
        <v>2994</v>
      </c>
      <c r="Q1198" s="11">
        <v>1.6</v>
      </c>
      <c r="R1198" s="11">
        <f t="shared" si="294"/>
        <v>4790.4000000000005</v>
      </c>
      <c r="S1198" s="11"/>
      <c r="T1198" s="136">
        <f>+N1198*Q1198</f>
        <v>0</v>
      </c>
    </row>
    <row r="1199" spans="1:20" ht="15.75" customHeight="1">
      <c r="A1199" s="149">
        <v>98</v>
      </c>
      <c r="B1199" s="273"/>
      <c r="C1199" s="28" t="s">
        <v>1584</v>
      </c>
      <c r="D1199" s="41">
        <v>310</v>
      </c>
      <c r="E1199" s="131">
        <f t="shared" si="291"/>
        <v>5940</v>
      </c>
      <c r="F1199" s="21">
        <f t="shared" si="292"/>
        <v>7187.4</v>
      </c>
      <c r="G1199" s="21"/>
      <c r="H1199" s="135">
        <f t="shared" si="289"/>
        <v>0</v>
      </c>
      <c r="I1199" s="294">
        <v>45286</v>
      </c>
      <c r="J1199" s="294">
        <v>45356</v>
      </c>
      <c r="K1199" s="10">
        <f>3090*1.2</f>
        <v>3708</v>
      </c>
      <c r="L1199" s="11"/>
      <c r="M1199" s="11"/>
      <c r="N1199" s="100"/>
      <c r="O1199" s="11">
        <f t="shared" ref="O1199:O1266" si="295">MIN(K1199:M1199)</f>
        <v>3708</v>
      </c>
      <c r="P1199" s="11">
        <f t="shared" si="293"/>
        <v>3708</v>
      </c>
      <c r="Q1199" s="11">
        <v>1.6</v>
      </c>
      <c r="R1199" s="11">
        <f t="shared" si="294"/>
        <v>5932.8</v>
      </c>
      <c r="S1199" s="11"/>
      <c r="T1199" s="136">
        <f t="shared" si="273"/>
        <v>0</v>
      </c>
    </row>
    <row r="1200" spans="1:20" ht="15.75" customHeight="1">
      <c r="A1200" s="149">
        <v>98</v>
      </c>
      <c r="B1200" s="273"/>
      <c r="C1200" s="28" t="s">
        <v>1585</v>
      </c>
      <c r="D1200" s="41">
        <v>390</v>
      </c>
      <c r="E1200" s="131">
        <f t="shared" si="291"/>
        <v>7770</v>
      </c>
      <c r="F1200" s="21">
        <f t="shared" si="292"/>
        <v>9401.6999999999989</v>
      </c>
      <c r="G1200" s="21"/>
      <c r="H1200" s="135">
        <f t="shared" si="289"/>
        <v>0</v>
      </c>
      <c r="I1200" s="294">
        <v>45286</v>
      </c>
      <c r="J1200" s="294">
        <v>45356</v>
      </c>
      <c r="K1200" s="10">
        <v>4855</v>
      </c>
      <c r="L1200" s="148"/>
      <c r="M1200" s="11"/>
      <c r="N1200" s="100"/>
      <c r="O1200" s="11">
        <f t="shared" si="295"/>
        <v>4855</v>
      </c>
      <c r="P1200" s="11">
        <f t="shared" si="293"/>
        <v>4855</v>
      </c>
      <c r="Q1200" s="11">
        <v>1.6</v>
      </c>
      <c r="R1200" s="11">
        <f t="shared" si="294"/>
        <v>7768</v>
      </c>
      <c r="S1200" s="11"/>
      <c r="T1200" s="136">
        <f t="shared" si="273"/>
        <v>0</v>
      </c>
    </row>
    <row r="1201" spans="1:20" ht="15.75" customHeight="1">
      <c r="A1201" s="149">
        <v>87</v>
      </c>
      <c r="B1201" s="273"/>
      <c r="C1201" s="28" t="s">
        <v>3741</v>
      </c>
      <c r="D1201" s="41">
        <v>390</v>
      </c>
      <c r="E1201" s="131">
        <f t="shared" si="291"/>
        <v>3510</v>
      </c>
      <c r="F1201" s="21">
        <f t="shared" si="292"/>
        <v>4247.0999999999995</v>
      </c>
      <c r="G1201" s="21"/>
      <c r="H1201" s="135">
        <f t="shared" ref="H1201:H1214" si="296">ROUNDUP(T1201,-1)</f>
        <v>0</v>
      </c>
      <c r="I1201" s="294">
        <v>45323</v>
      </c>
      <c r="J1201" s="294"/>
      <c r="K1201" s="10">
        <v>1950</v>
      </c>
      <c r="L1201" s="11"/>
      <c r="M1201" s="11"/>
      <c r="N1201" s="100"/>
      <c r="O1201" s="11">
        <f t="shared" si="295"/>
        <v>1950</v>
      </c>
      <c r="P1201" s="11">
        <f t="shared" si="293"/>
        <v>1950</v>
      </c>
      <c r="Q1201" s="11">
        <v>1.8</v>
      </c>
      <c r="R1201" s="11">
        <f t="shared" si="294"/>
        <v>3510</v>
      </c>
      <c r="S1201" s="11"/>
      <c r="T1201" s="136">
        <f t="shared" si="273"/>
        <v>0</v>
      </c>
    </row>
    <row r="1202" spans="1:20" ht="15.75" customHeight="1">
      <c r="A1202" s="149">
        <v>98</v>
      </c>
      <c r="B1202" s="273"/>
      <c r="C1202" s="28" t="s">
        <v>1586</v>
      </c>
      <c r="D1202" s="41">
        <v>530</v>
      </c>
      <c r="E1202" s="131">
        <f t="shared" si="291"/>
        <v>12480</v>
      </c>
      <c r="F1202" s="21">
        <f t="shared" si="292"/>
        <v>15100.8</v>
      </c>
      <c r="G1202" s="44"/>
      <c r="H1202" s="135">
        <f t="shared" si="296"/>
        <v>0</v>
      </c>
      <c r="I1202" s="294">
        <v>45286</v>
      </c>
      <c r="J1202" s="294">
        <v>45356</v>
      </c>
      <c r="K1202" s="10">
        <v>6930</v>
      </c>
      <c r="L1202" s="11"/>
      <c r="M1202" s="11"/>
      <c r="N1202" s="100"/>
      <c r="O1202" s="11">
        <f t="shared" si="295"/>
        <v>6930</v>
      </c>
      <c r="P1202" s="11">
        <f t="shared" si="293"/>
        <v>6930</v>
      </c>
      <c r="Q1202" s="11">
        <v>1.8</v>
      </c>
      <c r="R1202" s="11">
        <f t="shared" si="294"/>
        <v>12474</v>
      </c>
      <c r="S1202" s="11"/>
      <c r="T1202" s="136">
        <f t="shared" si="273"/>
        <v>0</v>
      </c>
    </row>
    <row r="1203" spans="1:20" ht="15.75" customHeight="1">
      <c r="A1203" s="149">
        <v>98</v>
      </c>
      <c r="B1203" s="273"/>
      <c r="C1203" s="28" t="s">
        <v>1587</v>
      </c>
      <c r="D1203" s="41">
        <v>1020</v>
      </c>
      <c r="E1203" s="131">
        <f t="shared" si="291"/>
        <v>25940</v>
      </c>
      <c r="F1203" s="21">
        <f t="shared" si="292"/>
        <v>31387.399999999998</v>
      </c>
      <c r="G1203" s="44"/>
      <c r="H1203" s="135">
        <f t="shared" si="296"/>
        <v>0</v>
      </c>
      <c r="I1203" s="294">
        <v>45286</v>
      </c>
      <c r="J1203" s="294">
        <v>45356</v>
      </c>
      <c r="K1203" s="10">
        <f>13510*1.2</f>
        <v>16212</v>
      </c>
      <c r="L1203" s="11"/>
      <c r="M1203" s="11"/>
      <c r="N1203" s="100"/>
      <c r="O1203" s="11">
        <f t="shared" si="295"/>
        <v>16212</v>
      </c>
      <c r="P1203" s="11">
        <f t="shared" si="293"/>
        <v>16212</v>
      </c>
      <c r="Q1203" s="11">
        <v>1.6</v>
      </c>
      <c r="R1203" s="11">
        <f t="shared" si="294"/>
        <v>25939.200000000001</v>
      </c>
      <c r="S1203" s="11"/>
      <c r="T1203" s="136">
        <f t="shared" si="273"/>
        <v>0</v>
      </c>
    </row>
    <row r="1204" spans="1:20" ht="15.75" customHeight="1">
      <c r="A1204" s="149">
        <v>98</v>
      </c>
      <c r="B1204" s="273"/>
      <c r="C1204" s="28" t="s">
        <v>1588</v>
      </c>
      <c r="D1204" s="41">
        <v>1520</v>
      </c>
      <c r="E1204" s="131">
        <f t="shared" si="291"/>
        <v>39280</v>
      </c>
      <c r="F1204" s="21">
        <f t="shared" si="292"/>
        <v>47528.799999999996</v>
      </c>
      <c r="G1204" s="44"/>
      <c r="H1204" s="135">
        <f t="shared" si="296"/>
        <v>0</v>
      </c>
      <c r="I1204" s="294">
        <v>45286</v>
      </c>
      <c r="J1204" s="294">
        <v>45356</v>
      </c>
      <c r="K1204" s="10">
        <f>20456*1.2</f>
        <v>24547.200000000001</v>
      </c>
      <c r="L1204" s="11"/>
      <c r="M1204" s="11"/>
      <c r="N1204" s="100"/>
      <c r="O1204" s="11">
        <f t="shared" si="295"/>
        <v>24547.200000000001</v>
      </c>
      <c r="P1204" s="11">
        <f t="shared" si="293"/>
        <v>24547.200000000001</v>
      </c>
      <c r="Q1204" s="11">
        <v>1.6</v>
      </c>
      <c r="R1204" s="11">
        <f t="shared" si="294"/>
        <v>39275.520000000004</v>
      </c>
      <c r="S1204" s="11"/>
      <c r="T1204" s="136">
        <f t="shared" si="273"/>
        <v>0</v>
      </c>
    </row>
    <row r="1205" spans="1:20" ht="15.75" customHeight="1">
      <c r="A1205" s="149" t="s">
        <v>2432</v>
      </c>
      <c r="B1205" s="273"/>
      <c r="C1205" s="28" t="s">
        <v>2615</v>
      </c>
      <c r="D1205" s="41">
        <v>100</v>
      </c>
      <c r="E1205" s="131">
        <f t="shared" si="291"/>
        <v>2100</v>
      </c>
      <c r="F1205" s="21">
        <f t="shared" si="292"/>
        <v>2541</v>
      </c>
      <c r="G1205" s="44"/>
      <c r="H1205" s="135">
        <f t="shared" si="296"/>
        <v>0</v>
      </c>
      <c r="I1205" s="294">
        <v>45329</v>
      </c>
      <c r="J1205" s="40"/>
      <c r="K1205" s="11">
        <v>1400</v>
      </c>
      <c r="L1205" s="11"/>
      <c r="M1205" s="11"/>
      <c r="N1205" s="100"/>
      <c r="O1205" s="11">
        <f t="shared" si="295"/>
        <v>1400</v>
      </c>
      <c r="P1205" s="11">
        <f t="shared" si="293"/>
        <v>1400</v>
      </c>
      <c r="Q1205" s="11">
        <v>1.5</v>
      </c>
      <c r="R1205" s="11">
        <f t="shared" si="294"/>
        <v>2100</v>
      </c>
      <c r="S1205" s="11"/>
      <c r="T1205" s="136">
        <f t="shared" si="273"/>
        <v>0</v>
      </c>
    </row>
    <row r="1206" spans="1:20" ht="15.75" customHeight="1">
      <c r="A1206" s="149">
        <v>14</v>
      </c>
      <c r="B1206" s="273"/>
      <c r="C1206" s="28" t="s">
        <v>2250</v>
      </c>
      <c r="D1206" s="41">
        <v>680</v>
      </c>
      <c r="E1206" s="131">
        <f t="shared" si="291"/>
        <v>0</v>
      </c>
      <c r="F1206" s="21">
        <f t="shared" si="292"/>
        <v>0</v>
      </c>
      <c r="G1206" s="21"/>
      <c r="H1206" s="135">
        <f t="shared" si="296"/>
        <v>0</v>
      </c>
      <c r="I1206" s="294">
        <v>44655</v>
      </c>
      <c r="J1206" s="40"/>
      <c r="K1206" s="11">
        <v>742</v>
      </c>
      <c r="L1206" s="11"/>
      <c r="M1206" s="10"/>
      <c r="N1206" s="100"/>
      <c r="O1206" s="11">
        <f t="shared" si="295"/>
        <v>742</v>
      </c>
      <c r="P1206" s="11">
        <f t="shared" si="293"/>
        <v>742</v>
      </c>
      <c r="Q1206" s="11"/>
      <c r="R1206" s="11">
        <f t="shared" si="294"/>
        <v>0</v>
      </c>
      <c r="S1206" s="11"/>
      <c r="T1206" s="136">
        <f t="shared" si="273"/>
        <v>0</v>
      </c>
    </row>
    <row r="1207" spans="1:20" ht="15.75" customHeight="1">
      <c r="A1207" s="149">
        <v>12</v>
      </c>
      <c r="B1207" s="273"/>
      <c r="C1207" s="28" t="s">
        <v>62675</v>
      </c>
      <c r="D1207" s="41">
        <v>210</v>
      </c>
      <c r="E1207" s="131">
        <f t="shared" si="291"/>
        <v>4110</v>
      </c>
      <c r="F1207" s="21">
        <f t="shared" si="292"/>
        <v>4973.0999999999995</v>
      </c>
      <c r="G1207" s="21"/>
      <c r="H1207" s="135">
        <f t="shared" si="296"/>
        <v>0</v>
      </c>
      <c r="I1207" s="294">
        <v>45274</v>
      </c>
      <c r="J1207" s="40">
        <v>45372</v>
      </c>
      <c r="K1207" s="11">
        <v>2567</v>
      </c>
      <c r="L1207" s="11">
        <f>2567*1.4</f>
        <v>3593.7999999999997</v>
      </c>
      <c r="M1207" s="11"/>
      <c r="N1207" s="100"/>
      <c r="O1207" s="11">
        <f t="shared" si="295"/>
        <v>2567</v>
      </c>
      <c r="P1207" s="11">
        <f t="shared" si="293"/>
        <v>2567</v>
      </c>
      <c r="Q1207" s="11">
        <v>1.6</v>
      </c>
      <c r="R1207" s="11">
        <f t="shared" si="294"/>
        <v>4107.2</v>
      </c>
      <c r="S1207" s="11"/>
      <c r="T1207" s="136">
        <f t="shared" ref="T1207:T1277" si="297">+N1207*Q1207</f>
        <v>0</v>
      </c>
    </row>
    <row r="1208" spans="1:20" ht="15.75" customHeight="1">
      <c r="A1208" s="149">
        <v>21</v>
      </c>
      <c r="B1208" s="273"/>
      <c r="C1208" s="28" t="s">
        <v>2906</v>
      </c>
      <c r="D1208" s="41">
        <v>130</v>
      </c>
      <c r="E1208" s="131">
        <f t="shared" si="291"/>
        <v>3470</v>
      </c>
      <c r="F1208" s="21">
        <f t="shared" si="292"/>
        <v>4198.7</v>
      </c>
      <c r="G1208" s="44"/>
      <c r="H1208" s="135">
        <f t="shared" si="296"/>
        <v>0</v>
      </c>
      <c r="I1208" s="294">
        <v>45273</v>
      </c>
      <c r="J1208" s="294">
        <v>45373</v>
      </c>
      <c r="K1208" s="10">
        <f>0.6*3613</f>
        <v>2167.7999999999997</v>
      </c>
      <c r="L1208" s="11">
        <f>180*0.9*8*2</f>
        <v>2592</v>
      </c>
      <c r="M1208" s="11"/>
      <c r="N1208" s="100"/>
      <c r="O1208" s="11">
        <f t="shared" si="295"/>
        <v>2167.7999999999997</v>
      </c>
      <c r="P1208" s="11">
        <f t="shared" si="293"/>
        <v>2167.7999999999997</v>
      </c>
      <c r="Q1208" s="11">
        <v>1.6</v>
      </c>
      <c r="R1208" s="11">
        <f t="shared" si="294"/>
        <v>3468.4799999999996</v>
      </c>
      <c r="S1208" s="11"/>
      <c r="T1208" s="136">
        <f t="shared" si="297"/>
        <v>0</v>
      </c>
    </row>
    <row r="1209" spans="1:20" ht="15.75" customHeight="1">
      <c r="A1209" s="149">
        <v>21</v>
      </c>
      <c r="B1209" s="273"/>
      <c r="C1209" s="28" t="s">
        <v>2905</v>
      </c>
      <c r="D1209" s="41">
        <v>180</v>
      </c>
      <c r="E1209" s="131">
        <f t="shared" si="291"/>
        <v>6440</v>
      </c>
      <c r="F1209" s="21">
        <f t="shared" si="292"/>
        <v>7792.4</v>
      </c>
      <c r="G1209" s="44"/>
      <c r="H1209" s="135">
        <f t="shared" si="296"/>
        <v>0</v>
      </c>
      <c r="I1209" s="294">
        <v>45273</v>
      </c>
      <c r="J1209" s="294">
        <v>45373</v>
      </c>
      <c r="K1209" s="10">
        <f>0.6*6700</f>
        <v>4020</v>
      </c>
      <c r="L1209" s="11"/>
      <c r="M1209" s="11"/>
      <c r="N1209" s="100"/>
      <c r="O1209" s="11">
        <f t="shared" si="295"/>
        <v>4020</v>
      </c>
      <c r="P1209" s="11">
        <f t="shared" si="293"/>
        <v>4020</v>
      </c>
      <c r="Q1209" s="11">
        <v>1.6</v>
      </c>
      <c r="R1209" s="11">
        <f t="shared" si="294"/>
        <v>6432</v>
      </c>
      <c r="S1209" s="11"/>
      <c r="T1209" s="136">
        <f t="shared" si="297"/>
        <v>0</v>
      </c>
    </row>
    <row r="1210" spans="1:20" ht="15.75" customHeight="1">
      <c r="A1210" s="149">
        <v>89</v>
      </c>
      <c r="B1210" s="273"/>
      <c r="C1210" s="28" t="s">
        <v>4161</v>
      </c>
      <c r="D1210" s="41">
        <v>180</v>
      </c>
      <c r="E1210" s="131">
        <f>ROUNDUP(R1210,-1)</f>
        <v>2880</v>
      </c>
      <c r="F1210" s="21">
        <f>+E1210*1.21</f>
        <v>3484.7999999999997</v>
      </c>
      <c r="G1210" s="44"/>
      <c r="H1210" s="135">
        <f>ROUNDUP(T1210,-1)</f>
        <v>0</v>
      </c>
      <c r="I1210" s="294">
        <v>45293</v>
      </c>
      <c r="J1210" s="294">
        <v>45355</v>
      </c>
      <c r="K1210" s="10">
        <f>+PROVEEDORES!J36*2.03</f>
        <v>1796.5499999999997</v>
      </c>
      <c r="L1210" s="11"/>
      <c r="M1210" s="11"/>
      <c r="N1210" s="100"/>
      <c r="O1210" s="11">
        <f>MIN(K1210:M1210)</f>
        <v>1796.5499999999997</v>
      </c>
      <c r="P1210" s="11">
        <f t="shared" si="293"/>
        <v>1796.5499999999997</v>
      </c>
      <c r="Q1210" s="11">
        <v>1.6</v>
      </c>
      <c r="R1210" s="11">
        <f t="shared" si="294"/>
        <v>2874.4799999999996</v>
      </c>
      <c r="S1210" s="11"/>
      <c r="T1210" s="136">
        <f>+N1210*Q1210</f>
        <v>0</v>
      </c>
    </row>
    <row r="1211" spans="1:20" ht="15.75" customHeight="1">
      <c r="A1211" s="149">
        <v>89</v>
      </c>
      <c r="B1211" s="273"/>
      <c r="C1211" s="28" t="s">
        <v>4162</v>
      </c>
      <c r="D1211" s="41">
        <v>180</v>
      </c>
      <c r="E1211" s="131">
        <f>ROUNDUP(R1211,-1)</f>
        <v>4560</v>
      </c>
      <c r="F1211" s="21">
        <f>+E1211*1.21</f>
        <v>5517.5999999999995</v>
      </c>
      <c r="G1211" s="44"/>
      <c r="H1211" s="135">
        <f>ROUNDUP(T1211,-1)</f>
        <v>0</v>
      </c>
      <c r="I1211" s="294">
        <v>45293</v>
      </c>
      <c r="J1211" s="294">
        <v>45355</v>
      </c>
      <c r="K1211" s="10">
        <f>+PROVEEDORES!J36*3.22</f>
        <v>2849.7000000000003</v>
      </c>
      <c r="L1211" s="11"/>
      <c r="M1211" s="11"/>
      <c r="N1211" s="100"/>
      <c r="O1211" s="11">
        <f>MIN(K1211:M1211)</f>
        <v>2849.7000000000003</v>
      </c>
      <c r="P1211" s="11">
        <f t="shared" si="293"/>
        <v>2849.7000000000003</v>
      </c>
      <c r="Q1211" s="11">
        <v>1.6</v>
      </c>
      <c r="R1211" s="11">
        <f t="shared" si="294"/>
        <v>4559.5200000000004</v>
      </c>
      <c r="S1211" s="11"/>
      <c r="T1211" s="136">
        <f>+N1211*Q1211</f>
        <v>0</v>
      </c>
    </row>
    <row r="1212" spans="1:20" ht="15.75" customHeight="1">
      <c r="A1212" s="149">
        <v>12</v>
      </c>
      <c r="B1212" s="273"/>
      <c r="C1212" s="28" t="s">
        <v>3903</v>
      </c>
      <c r="D1212" s="41">
        <v>230</v>
      </c>
      <c r="E1212" s="131">
        <f t="shared" si="291"/>
        <v>3220</v>
      </c>
      <c r="F1212" s="21">
        <f t="shared" si="292"/>
        <v>3896.2</v>
      </c>
      <c r="G1212" s="21"/>
      <c r="H1212" s="135">
        <f t="shared" si="296"/>
        <v>0</v>
      </c>
      <c r="I1212" s="294">
        <v>45306</v>
      </c>
      <c r="J1212" s="40">
        <v>45348</v>
      </c>
      <c r="K1212" s="11">
        <v>2011</v>
      </c>
      <c r="L1212" s="11"/>
      <c r="M1212" s="11"/>
      <c r="N1212" s="100"/>
      <c r="O1212" s="11">
        <f t="shared" si="295"/>
        <v>2011</v>
      </c>
      <c r="P1212" s="11">
        <f t="shared" si="293"/>
        <v>2011</v>
      </c>
      <c r="Q1212" s="11">
        <v>1.6</v>
      </c>
      <c r="R1212" s="11">
        <f t="shared" si="294"/>
        <v>3217.6000000000004</v>
      </c>
      <c r="S1212" s="11"/>
      <c r="T1212" s="136">
        <f t="shared" si="297"/>
        <v>0</v>
      </c>
    </row>
    <row r="1213" spans="1:20" ht="15.75" customHeight="1">
      <c r="A1213" s="149">
        <v>12</v>
      </c>
      <c r="B1213" s="273"/>
      <c r="C1213" s="28" t="s">
        <v>3799</v>
      </c>
      <c r="D1213" s="41">
        <v>180</v>
      </c>
      <c r="E1213" s="131">
        <f t="shared" si="291"/>
        <v>0</v>
      </c>
      <c r="F1213" s="21">
        <f t="shared" si="292"/>
        <v>0</v>
      </c>
      <c r="G1213" s="21"/>
      <c r="H1213" s="135">
        <f t="shared" si="296"/>
        <v>0</v>
      </c>
      <c r="I1213" s="294">
        <v>45222</v>
      </c>
      <c r="J1213" s="40"/>
      <c r="K1213" s="11">
        <v>2083</v>
      </c>
      <c r="L1213" s="11"/>
      <c r="M1213" s="11"/>
      <c r="N1213" s="100"/>
      <c r="O1213" s="11">
        <f t="shared" si="295"/>
        <v>2083</v>
      </c>
      <c r="P1213" s="11">
        <f t="shared" si="293"/>
        <v>2083</v>
      </c>
      <c r="Q1213" s="11"/>
      <c r="R1213" s="11">
        <f t="shared" si="294"/>
        <v>0</v>
      </c>
      <c r="S1213" s="11"/>
      <c r="T1213" s="136">
        <f t="shared" si="297"/>
        <v>0</v>
      </c>
    </row>
    <row r="1214" spans="1:20" ht="15.75" customHeight="1">
      <c r="A1214" s="149">
        <v>101</v>
      </c>
      <c r="B1214" s="273"/>
      <c r="C1214" s="28" t="s">
        <v>3978</v>
      </c>
      <c r="D1214" s="41">
        <v>40</v>
      </c>
      <c r="E1214" s="131">
        <f t="shared" si="291"/>
        <v>0</v>
      </c>
      <c r="F1214" s="21">
        <f t="shared" si="292"/>
        <v>0</v>
      </c>
      <c r="G1214" s="44"/>
      <c r="H1214" s="135">
        <f t="shared" si="296"/>
        <v>0</v>
      </c>
      <c r="I1214" s="294">
        <v>44961</v>
      </c>
      <c r="J1214" s="294">
        <v>45107</v>
      </c>
      <c r="K1214" s="11">
        <f>0.7*0.9*281</f>
        <v>177.03</v>
      </c>
      <c r="L1214" s="11"/>
      <c r="M1214" s="11"/>
      <c r="N1214" s="100"/>
      <c r="O1214" s="11">
        <f t="shared" si="295"/>
        <v>177.03</v>
      </c>
      <c r="P1214" s="11">
        <f t="shared" si="293"/>
        <v>177.03</v>
      </c>
      <c r="Q1214" s="11"/>
      <c r="R1214" s="11">
        <f t="shared" si="294"/>
        <v>0</v>
      </c>
      <c r="S1214" s="11"/>
      <c r="T1214" s="136">
        <f t="shared" si="297"/>
        <v>0</v>
      </c>
    </row>
    <row r="1215" spans="1:20" ht="15.75" customHeight="1">
      <c r="A1215" s="149">
        <v>101</v>
      </c>
      <c r="B1215" s="273"/>
      <c r="C1215" s="28" t="s">
        <v>3993</v>
      </c>
      <c r="D1215" s="276">
        <v>220</v>
      </c>
      <c r="E1215" s="131">
        <f t="shared" si="291"/>
        <v>0</v>
      </c>
      <c r="F1215" s="21">
        <f t="shared" si="292"/>
        <v>0</v>
      </c>
      <c r="G1215" s="135"/>
      <c r="H1215" s="135">
        <v>0</v>
      </c>
      <c r="I1215" s="294">
        <v>44961</v>
      </c>
      <c r="J1215" s="40">
        <v>45107</v>
      </c>
      <c r="K1215" s="11">
        <f>0.7*0.9*231</f>
        <v>145.53</v>
      </c>
      <c r="L1215" s="11"/>
      <c r="M1215" s="100"/>
      <c r="N1215" s="11"/>
      <c r="O1215" s="11">
        <f t="shared" si="295"/>
        <v>145.53</v>
      </c>
      <c r="P1215" s="11">
        <f t="shared" si="293"/>
        <v>145.53</v>
      </c>
      <c r="Q1215" s="11"/>
      <c r="R1215" s="11">
        <f t="shared" si="294"/>
        <v>0</v>
      </c>
      <c r="S1215" s="11"/>
      <c r="T1215" s="136">
        <f t="shared" si="297"/>
        <v>0</v>
      </c>
    </row>
    <row r="1216" spans="1:20" ht="15.75" customHeight="1">
      <c r="A1216" s="149">
        <v>14</v>
      </c>
      <c r="B1216" s="273"/>
      <c r="C1216" s="28" t="s">
        <v>4073</v>
      </c>
      <c r="D1216" s="71">
        <v>50</v>
      </c>
      <c r="E1216" s="131">
        <f t="shared" si="291"/>
        <v>630</v>
      </c>
      <c r="F1216" s="21">
        <f t="shared" si="292"/>
        <v>762.3</v>
      </c>
      <c r="G1216" s="44"/>
      <c r="H1216" s="135">
        <f t="shared" ref="H1216:H1281" si="298">ROUNDUP(T1216,-1)</f>
        <v>0</v>
      </c>
      <c r="I1216" s="294">
        <v>45170</v>
      </c>
      <c r="J1216" s="40">
        <v>45364</v>
      </c>
      <c r="K1216" s="11">
        <v>390</v>
      </c>
      <c r="L1216" s="11"/>
      <c r="M1216" s="11"/>
      <c r="N1216" s="100"/>
      <c r="O1216" s="11">
        <f t="shared" si="295"/>
        <v>390</v>
      </c>
      <c r="P1216" s="11">
        <f t="shared" si="293"/>
        <v>390</v>
      </c>
      <c r="Q1216" s="11">
        <v>1.6</v>
      </c>
      <c r="R1216" s="11">
        <f t="shared" si="294"/>
        <v>624</v>
      </c>
      <c r="S1216" s="11"/>
      <c r="T1216" s="136">
        <f t="shared" si="297"/>
        <v>0</v>
      </c>
    </row>
    <row r="1217" spans="1:20" ht="15.75" customHeight="1">
      <c r="A1217" s="149" t="s">
        <v>3729</v>
      </c>
      <c r="B1217" s="273"/>
      <c r="C1217" s="28" t="s">
        <v>44312</v>
      </c>
      <c r="D1217" s="41">
        <v>280</v>
      </c>
      <c r="E1217" s="131">
        <f t="shared" si="291"/>
        <v>8500</v>
      </c>
      <c r="F1217" s="21">
        <f t="shared" si="292"/>
        <v>10285</v>
      </c>
      <c r="G1217" s="21"/>
      <c r="H1217" s="135">
        <f t="shared" si="298"/>
        <v>0</v>
      </c>
      <c r="I1217" s="294">
        <v>45287</v>
      </c>
      <c r="J1217" s="40">
        <v>45329</v>
      </c>
      <c r="K1217" s="11">
        <v>7178</v>
      </c>
      <c r="L1217" s="11">
        <f>+PROVEEDORES!$D$8*6</f>
        <v>5310</v>
      </c>
      <c r="M1217" s="10"/>
      <c r="N1217" s="100"/>
      <c r="O1217" s="11">
        <f t="shared" si="295"/>
        <v>5310</v>
      </c>
      <c r="P1217" s="11">
        <f t="shared" si="293"/>
        <v>5310</v>
      </c>
      <c r="Q1217" s="11">
        <v>1.6</v>
      </c>
      <c r="R1217" s="11">
        <f t="shared" si="294"/>
        <v>8496</v>
      </c>
      <c r="S1217" s="11"/>
      <c r="T1217" s="136">
        <f t="shared" si="297"/>
        <v>0</v>
      </c>
    </row>
    <row r="1218" spans="1:20" ht="15.75" customHeight="1">
      <c r="A1218" s="149">
        <v>12</v>
      </c>
      <c r="B1218" s="273"/>
      <c r="C1218" s="28" t="s">
        <v>4375</v>
      </c>
      <c r="D1218" s="41">
        <v>180</v>
      </c>
      <c r="E1218" s="131">
        <f>ROUNDUP(R1218,-1)</f>
        <v>5690</v>
      </c>
      <c r="F1218" s="21">
        <f>+E1218*1.21</f>
        <v>6884.9</v>
      </c>
      <c r="G1218" s="21"/>
      <c r="H1218" s="135">
        <f t="shared" si="298"/>
        <v>0</v>
      </c>
      <c r="I1218" s="294">
        <v>45139</v>
      </c>
      <c r="J1218" s="40">
        <v>45338</v>
      </c>
      <c r="K1218" s="11">
        <v>3555</v>
      </c>
      <c r="L1218" s="11"/>
      <c r="M1218" s="11"/>
      <c r="N1218" s="100"/>
      <c r="O1218" s="11">
        <f>MIN(K1218:M1218)</f>
        <v>3555</v>
      </c>
      <c r="P1218" s="11">
        <f t="shared" si="293"/>
        <v>3555</v>
      </c>
      <c r="Q1218" s="11">
        <v>1.6</v>
      </c>
      <c r="R1218" s="11">
        <f t="shared" si="294"/>
        <v>5688</v>
      </c>
      <c r="S1218" s="11"/>
      <c r="T1218" s="136">
        <f>+N1218*Q1218</f>
        <v>0</v>
      </c>
    </row>
    <row r="1219" spans="1:20" ht="15.75" customHeight="1">
      <c r="A1219" s="149">
        <v>48</v>
      </c>
      <c r="B1219" s="273"/>
      <c r="C1219" s="28" t="s">
        <v>2862</v>
      </c>
      <c r="D1219" s="41"/>
      <c r="E1219" s="131">
        <f t="shared" si="291"/>
        <v>0</v>
      </c>
      <c r="F1219" s="21">
        <f t="shared" si="292"/>
        <v>0</v>
      </c>
      <c r="G1219" s="256" t="s">
        <v>3925</v>
      </c>
      <c r="H1219" s="135">
        <f t="shared" si="298"/>
        <v>0</v>
      </c>
      <c r="I1219" s="294">
        <v>44307</v>
      </c>
      <c r="J1219" s="294"/>
      <c r="K1219" s="10">
        <v>236</v>
      </c>
      <c r="L1219" s="11"/>
      <c r="M1219" s="11"/>
      <c r="N1219" s="100"/>
      <c r="O1219" s="11">
        <f t="shared" si="295"/>
        <v>236</v>
      </c>
      <c r="P1219" s="11">
        <f t="shared" si="293"/>
        <v>236</v>
      </c>
      <c r="Q1219" s="11"/>
      <c r="R1219" s="11">
        <f t="shared" si="294"/>
        <v>0</v>
      </c>
      <c r="S1219" s="11"/>
      <c r="T1219" s="136">
        <f t="shared" si="297"/>
        <v>0</v>
      </c>
    </row>
    <row r="1220" spans="1:20" ht="15.75" customHeight="1">
      <c r="A1220" s="149" t="s">
        <v>3729</v>
      </c>
      <c r="B1220" s="273"/>
      <c r="C1220" s="28" t="s">
        <v>4243</v>
      </c>
      <c r="D1220" s="41">
        <v>90</v>
      </c>
      <c r="E1220" s="131">
        <f t="shared" si="291"/>
        <v>4760</v>
      </c>
      <c r="F1220" s="21">
        <f t="shared" si="292"/>
        <v>5759.5999999999995</v>
      </c>
      <c r="G1220" s="61"/>
      <c r="H1220" s="135">
        <f t="shared" si="298"/>
        <v>0</v>
      </c>
      <c r="I1220" s="294">
        <v>45287</v>
      </c>
      <c r="J1220" s="294">
        <v>45329</v>
      </c>
      <c r="K1220" s="11">
        <v>2975</v>
      </c>
      <c r="L1220" s="11"/>
      <c r="M1220" s="11"/>
      <c r="N1220" s="100"/>
      <c r="O1220" s="11">
        <f t="shared" si="295"/>
        <v>2975</v>
      </c>
      <c r="P1220" s="11">
        <f t="shared" si="293"/>
        <v>2975</v>
      </c>
      <c r="Q1220" s="11">
        <v>1.6</v>
      </c>
      <c r="R1220" s="11">
        <f t="shared" si="294"/>
        <v>4760</v>
      </c>
      <c r="S1220" s="11"/>
      <c r="T1220" s="136">
        <f t="shared" si="297"/>
        <v>0</v>
      </c>
    </row>
    <row r="1221" spans="1:20" ht="15.75" customHeight="1">
      <c r="A1221" s="149" t="s">
        <v>4530</v>
      </c>
      <c r="B1221" s="273"/>
      <c r="C1221" s="28" t="s">
        <v>4531</v>
      </c>
      <c r="D1221" s="41">
        <v>15</v>
      </c>
      <c r="E1221" s="131">
        <f t="shared" si="291"/>
        <v>400</v>
      </c>
      <c r="F1221" s="21">
        <f t="shared" si="292"/>
        <v>484</v>
      </c>
      <c r="G1221" s="61"/>
      <c r="H1221" s="135">
        <f t="shared" si="298"/>
        <v>380</v>
      </c>
      <c r="I1221" s="294">
        <v>45383</v>
      </c>
      <c r="J1221" s="40"/>
      <c r="K1221" s="10">
        <f>0.6*84*4*1.1</f>
        <v>221.76000000000002</v>
      </c>
      <c r="L1221" s="11">
        <f>+PROVEEDORES!$J$29*0.54*0.9*0.6*1.3</f>
        <v>335.48579999999998</v>
      </c>
      <c r="M1221" s="11"/>
      <c r="N1221" s="11">
        <f>0.54*0.9*1.06*407</f>
        <v>209.67012000000003</v>
      </c>
      <c r="O1221" s="11">
        <f t="shared" si="295"/>
        <v>221.76000000000002</v>
      </c>
      <c r="P1221" s="11">
        <f t="shared" si="293"/>
        <v>221.76000000000002</v>
      </c>
      <c r="Q1221" s="11">
        <v>1.8</v>
      </c>
      <c r="R1221" s="11">
        <f t="shared" si="294"/>
        <v>399.16800000000006</v>
      </c>
      <c r="S1221" s="11"/>
      <c r="T1221" s="136">
        <f t="shared" si="297"/>
        <v>377.40621600000003</v>
      </c>
    </row>
    <row r="1222" spans="1:20" ht="15.75" customHeight="1">
      <c r="A1222" s="149" t="s">
        <v>4530</v>
      </c>
      <c r="B1222" s="273"/>
      <c r="C1222" s="28" t="s">
        <v>4533</v>
      </c>
      <c r="D1222" s="41">
        <v>25</v>
      </c>
      <c r="E1222" s="131">
        <f t="shared" si="291"/>
        <v>610</v>
      </c>
      <c r="F1222" s="21">
        <f t="shared" si="292"/>
        <v>738.1</v>
      </c>
      <c r="G1222" s="61"/>
      <c r="H1222" s="135">
        <f t="shared" si="298"/>
        <v>610</v>
      </c>
      <c r="I1222" s="294">
        <v>45383</v>
      </c>
      <c r="J1222" s="40"/>
      <c r="K1222" s="11">
        <f>0.6*245*2.3</f>
        <v>338.09999999999997</v>
      </c>
      <c r="L1222" s="11">
        <f>+PROVEEDORES!$J$29*0.54*0.9*0.9*1.35</f>
        <v>522.58365000000015</v>
      </c>
      <c r="M1222" s="11"/>
      <c r="N1222" s="11">
        <f>0.54*0.9*1.06*655</f>
        <v>337.42980000000006</v>
      </c>
      <c r="O1222" s="11">
        <f t="shared" si="295"/>
        <v>338.09999999999997</v>
      </c>
      <c r="P1222" s="11">
        <f t="shared" si="293"/>
        <v>338.09999999999997</v>
      </c>
      <c r="Q1222" s="11">
        <v>1.8</v>
      </c>
      <c r="R1222" s="11">
        <f t="shared" si="294"/>
        <v>608.57999999999993</v>
      </c>
      <c r="S1222" s="11"/>
      <c r="T1222" s="136">
        <f t="shared" si="297"/>
        <v>607.37364000000014</v>
      </c>
    </row>
    <row r="1223" spans="1:20" ht="15.75" customHeight="1">
      <c r="A1223" s="149" t="s">
        <v>4530</v>
      </c>
      <c r="B1223" s="273"/>
      <c r="C1223" s="28" t="s">
        <v>4532</v>
      </c>
      <c r="D1223" s="41">
        <v>40</v>
      </c>
      <c r="E1223" s="131">
        <f>ROUNDUP(R1223,-1)</f>
        <v>1160</v>
      </c>
      <c r="F1223" s="21">
        <f>+E1223*1.21</f>
        <v>1403.6</v>
      </c>
      <c r="G1223" s="44"/>
      <c r="H1223" s="135">
        <f>ROUNDUP(T1223,-1)</f>
        <v>1130</v>
      </c>
      <c r="I1223" s="294">
        <v>45383</v>
      </c>
      <c r="J1223" s="40"/>
      <c r="K1223" s="11">
        <f>0.6*464*2.3</f>
        <v>640.31999999999994</v>
      </c>
      <c r="L1223" s="11">
        <f>+PROVEEDORES!$J$29*0.54*0.9*1.6*1.4</f>
        <v>963.44640000000004</v>
      </c>
      <c r="M1223" s="11"/>
      <c r="N1223" s="11">
        <f>0.54*0.9*1.06*1211</f>
        <v>623.85876000000007</v>
      </c>
      <c r="O1223" s="11">
        <f>MIN(K1223:M1223)</f>
        <v>640.31999999999994</v>
      </c>
      <c r="P1223" s="11">
        <f>+O1223</f>
        <v>640.31999999999994</v>
      </c>
      <c r="Q1223" s="11">
        <v>1.8</v>
      </c>
      <c r="R1223" s="11">
        <f>+P1223*Q1223</f>
        <v>1152.576</v>
      </c>
      <c r="S1223" s="11"/>
      <c r="T1223" s="136">
        <f>+N1223*Q1223</f>
        <v>1122.9457680000003</v>
      </c>
    </row>
    <row r="1224" spans="1:20" ht="15.75" customHeight="1">
      <c r="A1224" s="149">
        <v>91</v>
      </c>
      <c r="B1224" s="273"/>
      <c r="C1224" s="28" t="s">
        <v>1589</v>
      </c>
      <c r="D1224" s="41">
        <v>54500</v>
      </c>
      <c r="E1224" s="131">
        <f t="shared" si="291"/>
        <v>0</v>
      </c>
      <c r="F1224" s="21">
        <f t="shared" si="292"/>
        <v>0</v>
      </c>
      <c r="G1224" s="44"/>
      <c r="H1224" s="135">
        <f t="shared" si="298"/>
        <v>0</v>
      </c>
      <c r="I1224" s="294">
        <v>43682</v>
      </c>
      <c r="J1224" s="300"/>
      <c r="K1224" s="10">
        <f>(39700*1.35+300+600)*1.8</f>
        <v>98091</v>
      </c>
      <c r="L1224" s="11"/>
      <c r="M1224" s="11"/>
      <c r="N1224" s="100"/>
      <c r="O1224" s="11">
        <f t="shared" si="295"/>
        <v>98091</v>
      </c>
      <c r="P1224" s="11">
        <f t="shared" si="293"/>
        <v>98091</v>
      </c>
      <c r="Q1224" s="11"/>
      <c r="R1224" s="11">
        <f t="shared" si="294"/>
        <v>0</v>
      </c>
      <c r="S1224" s="11"/>
      <c r="T1224" s="136">
        <f t="shared" si="297"/>
        <v>0</v>
      </c>
    </row>
    <row r="1225" spans="1:20" ht="15.75" customHeight="1">
      <c r="A1225" s="149">
        <v>41</v>
      </c>
      <c r="B1225" s="273"/>
      <c r="C1225" s="28" t="s">
        <v>1590</v>
      </c>
      <c r="D1225" s="41"/>
      <c r="E1225" s="132">
        <f t="shared" si="291"/>
        <v>0</v>
      </c>
      <c r="F1225" s="21" t="s">
        <v>1248</v>
      </c>
      <c r="G1225" s="21">
        <f t="shared" ref="G1225:G1236" si="299">+E1225*1.105</f>
        <v>0</v>
      </c>
      <c r="H1225" s="135">
        <f t="shared" si="298"/>
        <v>0</v>
      </c>
      <c r="I1225" s="294">
        <v>42431</v>
      </c>
      <c r="J1225" s="294"/>
      <c r="K1225" s="10">
        <f>1457*18*1.35</f>
        <v>35405.100000000006</v>
      </c>
      <c r="L1225" s="11"/>
      <c r="M1225" s="11"/>
      <c r="N1225" s="37"/>
      <c r="O1225" s="11">
        <f t="shared" si="295"/>
        <v>35405.100000000006</v>
      </c>
      <c r="P1225" s="11">
        <f t="shared" si="293"/>
        <v>35405.100000000006</v>
      </c>
      <c r="Q1225" s="11"/>
      <c r="R1225" s="11">
        <f t="shared" si="294"/>
        <v>0</v>
      </c>
      <c r="S1225" s="11"/>
      <c r="T1225" s="136">
        <f t="shared" si="297"/>
        <v>0</v>
      </c>
    </row>
    <row r="1226" spans="1:20" ht="15.75" customHeight="1">
      <c r="A1226" s="149">
        <v>41</v>
      </c>
      <c r="B1226" s="273">
        <f>ROUNDUP(E1226*1.06,-1)</f>
        <v>0</v>
      </c>
      <c r="C1226" s="28" t="s">
        <v>4282</v>
      </c>
      <c r="D1226" s="41">
        <v>149450</v>
      </c>
      <c r="E1226" s="132">
        <f t="shared" si="291"/>
        <v>0</v>
      </c>
      <c r="F1226" s="21" t="s">
        <v>1248</v>
      </c>
      <c r="G1226" s="21">
        <f t="shared" si="299"/>
        <v>0</v>
      </c>
      <c r="H1226" s="135">
        <f t="shared" si="298"/>
        <v>0</v>
      </c>
      <c r="I1226" s="294">
        <v>45106</v>
      </c>
      <c r="J1226" s="294"/>
      <c r="K1226" s="10">
        <f>PROVEEDORES!$E$35*0.9*0.9*1745</f>
        <v>1484122.5</v>
      </c>
      <c r="L1226" s="11"/>
      <c r="M1226" s="11"/>
      <c r="N1226" s="37"/>
      <c r="O1226" s="11">
        <f t="shared" si="295"/>
        <v>1484122.5</v>
      </c>
      <c r="P1226" s="11">
        <f t="shared" si="293"/>
        <v>1484122.5</v>
      </c>
      <c r="Q1226" s="11"/>
      <c r="R1226" s="11">
        <f t="shared" si="294"/>
        <v>0</v>
      </c>
      <c r="S1226" s="11"/>
      <c r="T1226" s="136">
        <f t="shared" si="297"/>
        <v>0</v>
      </c>
    </row>
    <row r="1227" spans="1:20" ht="15.75" customHeight="1">
      <c r="A1227" s="149">
        <v>41</v>
      </c>
      <c r="B1227" s="273"/>
      <c r="C1227" s="28" t="s">
        <v>4281</v>
      </c>
      <c r="D1227" s="41">
        <v>125140</v>
      </c>
      <c r="E1227" s="132">
        <f t="shared" si="291"/>
        <v>0</v>
      </c>
      <c r="F1227" s="21" t="s">
        <v>1248</v>
      </c>
      <c r="G1227" s="21">
        <f t="shared" si="299"/>
        <v>0</v>
      </c>
      <c r="H1227" s="135">
        <f t="shared" si="298"/>
        <v>0</v>
      </c>
      <c r="I1227" s="294">
        <v>45106</v>
      </c>
      <c r="J1227" s="294"/>
      <c r="K1227" s="10">
        <f>PROVEEDORES!$E$35*0.9*0.9*1400</f>
        <v>1190700</v>
      </c>
      <c r="L1227" s="11"/>
      <c r="M1227" s="11"/>
      <c r="N1227" s="37"/>
      <c r="O1227" s="11">
        <f t="shared" si="295"/>
        <v>1190700</v>
      </c>
      <c r="P1227" s="11">
        <f t="shared" si="293"/>
        <v>1190700</v>
      </c>
      <c r="Q1227" s="11"/>
      <c r="R1227" s="11">
        <f t="shared" si="294"/>
        <v>0</v>
      </c>
      <c r="S1227" s="11"/>
      <c r="T1227" s="136">
        <f t="shared" si="297"/>
        <v>0</v>
      </c>
    </row>
    <row r="1228" spans="1:20" ht="15.75" customHeight="1">
      <c r="A1228" s="149">
        <v>41</v>
      </c>
      <c r="B1228" s="273"/>
      <c r="C1228" s="28" t="s">
        <v>4327</v>
      </c>
      <c r="D1228" s="41"/>
      <c r="E1228" s="132">
        <f t="shared" si="291"/>
        <v>0</v>
      </c>
      <c r="F1228" s="21" t="s">
        <v>1248</v>
      </c>
      <c r="G1228" s="21">
        <f t="shared" si="299"/>
        <v>0</v>
      </c>
      <c r="H1228" s="135">
        <f t="shared" si="298"/>
        <v>0</v>
      </c>
      <c r="I1228" s="294">
        <v>45106</v>
      </c>
      <c r="J1228" s="294"/>
      <c r="K1228" s="10">
        <f>PROVEEDORES!$E$35*0.9*0.9*1515</f>
        <v>1288507.5</v>
      </c>
      <c r="L1228" s="11"/>
      <c r="M1228" s="11"/>
      <c r="N1228" s="37"/>
      <c r="O1228" s="11">
        <f t="shared" si="295"/>
        <v>1288507.5</v>
      </c>
      <c r="P1228" s="11">
        <f t="shared" si="293"/>
        <v>1288507.5</v>
      </c>
      <c r="Q1228" s="11"/>
      <c r="R1228" s="11">
        <f t="shared" si="294"/>
        <v>0</v>
      </c>
      <c r="S1228" s="11"/>
      <c r="T1228" s="136">
        <f t="shared" si="297"/>
        <v>0</v>
      </c>
    </row>
    <row r="1229" spans="1:20" ht="15.75" customHeight="1">
      <c r="A1229" s="149">
        <v>41</v>
      </c>
      <c r="B1229" s="273"/>
      <c r="C1229" s="28" t="s">
        <v>4325</v>
      </c>
      <c r="D1229" s="41"/>
      <c r="E1229" s="132">
        <f t="shared" si="291"/>
        <v>0</v>
      </c>
      <c r="F1229" s="21" t="s">
        <v>1248</v>
      </c>
      <c r="G1229" s="21">
        <f t="shared" si="299"/>
        <v>0</v>
      </c>
      <c r="H1229" s="135">
        <f t="shared" si="298"/>
        <v>0</v>
      </c>
      <c r="I1229" s="40">
        <v>42431</v>
      </c>
      <c r="J1229" s="294"/>
      <c r="K1229" s="62">
        <f>1682*19*1.35*0.95</f>
        <v>40986.135000000002</v>
      </c>
      <c r="L1229" s="11"/>
      <c r="M1229" s="11"/>
      <c r="N1229" s="37"/>
      <c r="O1229" s="11">
        <f t="shared" si="295"/>
        <v>40986.135000000002</v>
      </c>
      <c r="P1229" s="11">
        <f t="shared" si="293"/>
        <v>40986.135000000002</v>
      </c>
      <c r="Q1229" s="11"/>
      <c r="R1229" s="11">
        <f t="shared" si="294"/>
        <v>0</v>
      </c>
      <c r="S1229" s="11"/>
      <c r="T1229" s="136">
        <f t="shared" si="297"/>
        <v>0</v>
      </c>
    </row>
    <row r="1230" spans="1:20" ht="15.75" customHeight="1">
      <c r="A1230" s="149">
        <v>41</v>
      </c>
      <c r="B1230" s="273">
        <f>ROUNDUP(E1230*1.06,-1)</f>
        <v>0</v>
      </c>
      <c r="C1230" s="28" t="s">
        <v>4326</v>
      </c>
      <c r="D1230" s="41"/>
      <c r="E1230" s="132">
        <f t="shared" si="291"/>
        <v>0</v>
      </c>
      <c r="F1230" s="21" t="s">
        <v>1248</v>
      </c>
      <c r="G1230" s="21">
        <f t="shared" si="299"/>
        <v>0</v>
      </c>
      <c r="H1230" s="135">
        <f t="shared" si="298"/>
        <v>0</v>
      </c>
      <c r="I1230" s="294">
        <v>45106</v>
      </c>
      <c r="J1230" s="294"/>
      <c r="K1230" s="10">
        <f>+PROVEEDORES!E35*0.9*0.9*1690</f>
        <v>1437345</v>
      </c>
      <c r="L1230" s="11"/>
      <c r="M1230" s="11"/>
      <c r="N1230" s="100"/>
      <c r="O1230" s="11">
        <f t="shared" si="295"/>
        <v>1437345</v>
      </c>
      <c r="P1230" s="11">
        <f t="shared" si="293"/>
        <v>1437345</v>
      </c>
      <c r="Q1230" s="11"/>
      <c r="R1230" s="11">
        <f t="shared" si="294"/>
        <v>0</v>
      </c>
      <c r="S1230" s="11"/>
      <c r="T1230" s="136">
        <f t="shared" si="297"/>
        <v>0</v>
      </c>
    </row>
    <row r="1231" spans="1:20" ht="15.75" customHeight="1">
      <c r="A1231" s="149"/>
      <c r="B1231" s="273"/>
      <c r="C1231" s="28" t="s">
        <v>1591</v>
      </c>
      <c r="D1231" s="41">
        <v>64800</v>
      </c>
      <c r="E1231" s="131">
        <f t="shared" si="291"/>
        <v>0</v>
      </c>
      <c r="F1231" s="21" t="s">
        <v>1248</v>
      </c>
      <c r="G1231" s="21">
        <f t="shared" si="299"/>
        <v>0</v>
      </c>
      <c r="H1231" s="135">
        <f t="shared" si="298"/>
        <v>0</v>
      </c>
      <c r="I1231" s="294">
        <v>41297</v>
      </c>
      <c r="J1231" s="40">
        <v>42159</v>
      </c>
      <c r="K1231" s="32">
        <f>45000*1.35+30*100*1.35</f>
        <v>64800.000000000007</v>
      </c>
      <c r="L1231" s="11"/>
      <c r="M1231" s="11"/>
      <c r="N1231" s="100"/>
      <c r="O1231" s="11">
        <f t="shared" si="295"/>
        <v>64800.000000000007</v>
      </c>
      <c r="P1231" s="11">
        <f t="shared" si="293"/>
        <v>64800.000000000007</v>
      </c>
      <c r="Q1231" s="11"/>
      <c r="R1231" s="11">
        <f t="shared" si="294"/>
        <v>0</v>
      </c>
      <c r="S1231" s="11"/>
      <c r="T1231" s="136">
        <f t="shared" si="297"/>
        <v>0</v>
      </c>
    </row>
    <row r="1232" spans="1:20" ht="15.75" customHeight="1">
      <c r="A1232" s="149"/>
      <c r="B1232" s="273"/>
      <c r="C1232" s="28" t="s">
        <v>1592</v>
      </c>
      <c r="D1232" s="41">
        <v>61000</v>
      </c>
      <c r="E1232" s="131">
        <f t="shared" si="291"/>
        <v>0</v>
      </c>
      <c r="F1232" s="21" t="s">
        <v>1248</v>
      </c>
      <c r="G1232" s="21">
        <f t="shared" si="299"/>
        <v>0</v>
      </c>
      <c r="H1232" s="135">
        <f t="shared" si="298"/>
        <v>0</v>
      </c>
      <c r="I1232" s="294">
        <v>42912</v>
      </c>
      <c r="J1232" s="294">
        <v>43299</v>
      </c>
      <c r="K1232" s="32">
        <f>88600*1.35</f>
        <v>119610.00000000001</v>
      </c>
      <c r="L1232" s="11"/>
      <c r="M1232" s="11"/>
      <c r="N1232" s="100"/>
      <c r="O1232" s="11">
        <f t="shared" si="295"/>
        <v>119610.00000000001</v>
      </c>
      <c r="P1232" s="11">
        <f t="shared" si="293"/>
        <v>119610.00000000001</v>
      </c>
      <c r="Q1232" s="11"/>
      <c r="R1232" s="11">
        <f t="shared" si="294"/>
        <v>0</v>
      </c>
      <c r="S1232" s="11"/>
      <c r="T1232" s="136">
        <f t="shared" si="297"/>
        <v>0</v>
      </c>
    </row>
    <row r="1233" spans="1:20" ht="15.75" customHeight="1">
      <c r="A1233" s="149">
        <v>40</v>
      </c>
      <c r="B1233" s="273"/>
      <c r="C1233" s="28" t="s">
        <v>1593</v>
      </c>
      <c r="D1233" s="71">
        <v>250000</v>
      </c>
      <c r="E1233" s="131">
        <f t="shared" si="291"/>
        <v>0</v>
      </c>
      <c r="F1233" s="21" t="s">
        <v>1248</v>
      </c>
      <c r="G1233" s="21">
        <f t="shared" si="299"/>
        <v>0</v>
      </c>
      <c r="H1233" s="135">
        <f t="shared" si="298"/>
        <v>0</v>
      </c>
      <c r="I1233" s="294"/>
      <c r="J1233" s="294">
        <v>43525</v>
      </c>
      <c r="K1233" s="32">
        <f>4500*41*1.35</f>
        <v>249075.00000000003</v>
      </c>
      <c r="L1233" s="11"/>
      <c r="M1233" s="11"/>
      <c r="N1233" s="100"/>
      <c r="O1233" s="11">
        <f t="shared" si="295"/>
        <v>249075.00000000003</v>
      </c>
      <c r="P1233" s="11">
        <f t="shared" si="293"/>
        <v>249075.00000000003</v>
      </c>
      <c r="Q1233" s="11"/>
      <c r="R1233" s="11">
        <f t="shared" si="294"/>
        <v>0</v>
      </c>
      <c r="S1233" s="11"/>
      <c r="T1233" s="136">
        <f t="shared" si="297"/>
        <v>0</v>
      </c>
    </row>
    <row r="1234" spans="1:20" ht="15.75" customHeight="1">
      <c r="A1234" s="149">
        <v>41</v>
      </c>
      <c r="B1234" s="273"/>
      <c r="C1234" s="28" t="s">
        <v>2187</v>
      </c>
      <c r="D1234" s="71">
        <v>148450</v>
      </c>
      <c r="E1234" s="132">
        <f t="shared" si="291"/>
        <v>0</v>
      </c>
      <c r="F1234" s="21"/>
      <c r="G1234" s="21">
        <f t="shared" si="299"/>
        <v>0</v>
      </c>
      <c r="H1234" s="135">
        <f t="shared" si="298"/>
        <v>0</v>
      </c>
      <c r="I1234" s="294">
        <v>44007</v>
      </c>
      <c r="J1234" s="40"/>
      <c r="K1234" s="10">
        <f>PROVEEDORES!$E$35*0.9*(1390+100)</f>
        <v>1408050</v>
      </c>
      <c r="L1234" s="11"/>
      <c r="M1234" s="11"/>
      <c r="N1234" s="100"/>
      <c r="O1234" s="11">
        <f t="shared" si="295"/>
        <v>1408050</v>
      </c>
      <c r="P1234" s="11">
        <f t="shared" si="293"/>
        <v>1408050</v>
      </c>
      <c r="Q1234" s="11"/>
      <c r="R1234" s="11">
        <f t="shared" si="294"/>
        <v>0</v>
      </c>
      <c r="S1234" s="11"/>
      <c r="T1234" s="136">
        <f t="shared" si="297"/>
        <v>0</v>
      </c>
    </row>
    <row r="1235" spans="1:20" ht="15.75" customHeight="1">
      <c r="A1235" s="149">
        <v>41</v>
      </c>
      <c r="B1235" s="273"/>
      <c r="C1235" s="28" t="s">
        <v>2925</v>
      </c>
      <c r="D1235" s="71">
        <v>161100</v>
      </c>
      <c r="E1235" s="132">
        <f t="shared" si="291"/>
        <v>3965530</v>
      </c>
      <c r="F1235" s="21" t="s">
        <v>1248</v>
      </c>
      <c r="G1235" s="21">
        <f t="shared" si="299"/>
        <v>4381910.6500000004</v>
      </c>
      <c r="H1235" s="135">
        <f t="shared" si="298"/>
        <v>3965650</v>
      </c>
      <c r="I1235" s="294">
        <v>45311</v>
      </c>
      <c r="J1235" s="40">
        <v>45342</v>
      </c>
      <c r="K1235" s="10">
        <f>PROVEEDORES!$E$35*0.9*0.9*(2667+356)*2</f>
        <v>5142123</v>
      </c>
      <c r="L1235" s="11">
        <f>4370*PROVEEDORES!D34*2</f>
        <v>7734900</v>
      </c>
      <c r="M1235" s="30">
        <f>(3024450*0.95*0.95*0.9+462800*0.95*0.95*0.9)</f>
        <v>2832518.8125</v>
      </c>
      <c r="N1235" s="100">
        <f>0.9*0.95*0.95*(3024550+462800)</f>
        <v>2832600.0374999996</v>
      </c>
      <c r="O1235" s="11">
        <f t="shared" si="295"/>
        <v>2832518.8125</v>
      </c>
      <c r="P1235" s="11">
        <f t="shared" si="293"/>
        <v>2832518.8125</v>
      </c>
      <c r="Q1235" s="11">
        <v>1.4</v>
      </c>
      <c r="R1235" s="11">
        <f t="shared" si="294"/>
        <v>3965526.3374999999</v>
      </c>
      <c r="S1235" s="11"/>
      <c r="T1235" s="136">
        <f t="shared" si="297"/>
        <v>3965640.0524999993</v>
      </c>
    </row>
    <row r="1236" spans="1:20" ht="15.75" customHeight="1">
      <c r="A1236" s="149">
        <v>41</v>
      </c>
      <c r="B1236" s="273">
        <f>ROUNDUP(E1236*1.06,-1)</f>
        <v>3087210</v>
      </c>
      <c r="C1236" s="28" t="s">
        <v>4328</v>
      </c>
      <c r="D1236" s="41">
        <v>125540</v>
      </c>
      <c r="E1236" s="132">
        <f t="shared" si="291"/>
        <v>2912460</v>
      </c>
      <c r="F1236" s="21" t="s">
        <v>1248</v>
      </c>
      <c r="G1236" s="21">
        <f t="shared" si="299"/>
        <v>3218268.3</v>
      </c>
      <c r="H1236" s="135">
        <f t="shared" si="298"/>
        <v>3446770</v>
      </c>
      <c r="I1236" s="294">
        <v>45311</v>
      </c>
      <c r="J1236" s="294"/>
      <c r="K1236" s="10">
        <f>PROVEEDORES!$E$35*0.9*0.9*(2090+356)</f>
        <v>2080323</v>
      </c>
      <c r="L1236" s="32"/>
      <c r="M1236" s="11">
        <f>+M1235*1.105</f>
        <v>3129933.2878124998</v>
      </c>
      <c r="N1236" s="100">
        <f>0.9*0.95*(2416700+462800)</f>
        <v>2461972.5</v>
      </c>
      <c r="O1236" s="11">
        <f t="shared" si="295"/>
        <v>2080323</v>
      </c>
      <c r="P1236" s="11">
        <f t="shared" si="293"/>
        <v>2080323</v>
      </c>
      <c r="Q1236" s="11">
        <v>1.4</v>
      </c>
      <c r="R1236" s="11">
        <f t="shared" si="294"/>
        <v>2912452.1999999997</v>
      </c>
      <c r="S1236" s="11"/>
      <c r="T1236" s="136">
        <f t="shared" si="297"/>
        <v>3446761.5</v>
      </c>
    </row>
    <row r="1237" spans="1:20" ht="15.75" customHeight="1">
      <c r="A1237" s="149">
        <v>65</v>
      </c>
      <c r="B1237" s="273"/>
      <c r="C1237" s="28" t="s">
        <v>1594</v>
      </c>
      <c r="D1237" s="41">
        <v>290</v>
      </c>
      <c r="E1237" s="131">
        <f>ROUNDUP(R1237,-1)</f>
        <v>14700</v>
      </c>
      <c r="F1237" s="21">
        <f>+E1237*1.21</f>
        <v>17787</v>
      </c>
      <c r="G1237" s="21"/>
      <c r="H1237" s="135">
        <f>ROUNDUP(T1237,-1)</f>
        <v>0</v>
      </c>
      <c r="I1237" s="294">
        <v>45286</v>
      </c>
      <c r="J1237" s="294"/>
      <c r="K1237" s="10">
        <v>10500</v>
      </c>
      <c r="L1237" s="11"/>
      <c r="M1237" s="11"/>
      <c r="N1237" s="100"/>
      <c r="O1237" s="11">
        <f>MIN(K1237:M1237)</f>
        <v>10500</v>
      </c>
      <c r="P1237" s="11">
        <f t="shared" si="293"/>
        <v>10500</v>
      </c>
      <c r="Q1237" s="11">
        <v>1.4</v>
      </c>
      <c r="R1237" s="11">
        <f t="shared" si="294"/>
        <v>14699.999999999998</v>
      </c>
      <c r="S1237" s="11"/>
      <c r="T1237" s="136">
        <f>+N1237*Q1237</f>
        <v>0</v>
      </c>
    </row>
    <row r="1238" spans="1:20" ht="15.75" customHeight="1">
      <c r="A1238" s="149">
        <v>65</v>
      </c>
      <c r="B1238" s="273"/>
      <c r="C1238" s="28" t="s">
        <v>1595</v>
      </c>
      <c r="D1238" s="41">
        <v>395</v>
      </c>
      <c r="E1238" s="131">
        <f t="shared" si="291"/>
        <v>20300</v>
      </c>
      <c r="F1238" s="21">
        <f t="shared" ref="F1238:F1255" si="300">+E1238*1.21</f>
        <v>24563</v>
      </c>
      <c r="G1238" s="21">
        <f>4382000 /1.105</f>
        <v>3965610.8597285068</v>
      </c>
      <c r="H1238" s="135">
        <f t="shared" si="298"/>
        <v>0</v>
      </c>
      <c r="I1238" s="294">
        <v>45286</v>
      </c>
      <c r="J1238" s="294"/>
      <c r="K1238" s="10">
        <v>14500</v>
      </c>
      <c r="L1238" s="11"/>
      <c r="M1238" s="11"/>
      <c r="N1238" s="100"/>
      <c r="O1238" s="11">
        <f t="shared" si="295"/>
        <v>14500</v>
      </c>
      <c r="P1238" s="11">
        <f t="shared" si="293"/>
        <v>14500</v>
      </c>
      <c r="Q1238" s="11">
        <v>1.4</v>
      </c>
      <c r="R1238" s="11">
        <f t="shared" si="294"/>
        <v>20300</v>
      </c>
      <c r="S1238" s="11"/>
      <c r="T1238" s="136">
        <f t="shared" si="297"/>
        <v>0</v>
      </c>
    </row>
    <row r="1239" spans="1:20" ht="15.75" customHeight="1">
      <c r="A1239" s="149">
        <v>65</v>
      </c>
      <c r="B1239" s="273"/>
      <c r="C1239" s="28" t="s">
        <v>1596</v>
      </c>
      <c r="D1239" s="41">
        <v>410</v>
      </c>
      <c r="E1239" s="131">
        <f t="shared" si="291"/>
        <v>21000</v>
      </c>
      <c r="F1239" s="21">
        <f t="shared" si="300"/>
        <v>25410</v>
      </c>
      <c r="G1239" s="21"/>
      <c r="H1239" s="135">
        <f t="shared" si="298"/>
        <v>0</v>
      </c>
      <c r="I1239" s="294">
        <v>45286</v>
      </c>
      <c r="J1239" s="294"/>
      <c r="K1239" s="10">
        <v>15000</v>
      </c>
      <c r="L1239" s="11">
        <f>+K1234*10*0.95*1.105</f>
        <v>14781004.875</v>
      </c>
      <c r="M1239" s="11"/>
      <c r="N1239" s="100"/>
      <c r="O1239" s="11">
        <f t="shared" si="295"/>
        <v>15000</v>
      </c>
      <c r="P1239" s="11">
        <f t="shared" si="293"/>
        <v>15000</v>
      </c>
      <c r="Q1239" s="11">
        <v>1.4</v>
      </c>
      <c r="R1239" s="11">
        <f t="shared" si="294"/>
        <v>21000</v>
      </c>
      <c r="S1239" s="11"/>
      <c r="T1239" s="136">
        <f t="shared" si="297"/>
        <v>0</v>
      </c>
    </row>
    <row r="1240" spans="1:20" ht="15.75" customHeight="1">
      <c r="A1240" s="149">
        <v>30</v>
      </c>
      <c r="B1240" s="273"/>
      <c r="C1240" s="28" t="s">
        <v>1597</v>
      </c>
      <c r="D1240" s="41">
        <v>730</v>
      </c>
      <c r="E1240" s="131">
        <f t="shared" si="291"/>
        <v>0</v>
      </c>
      <c r="F1240" s="21">
        <f t="shared" si="300"/>
        <v>0</v>
      </c>
      <c r="G1240" s="21"/>
      <c r="H1240" s="135">
        <f t="shared" si="298"/>
        <v>0</v>
      </c>
      <c r="I1240" s="294">
        <v>43843</v>
      </c>
      <c r="J1240" s="294"/>
      <c r="K1240" s="10">
        <f>423*1.5*1.15</f>
        <v>729.67499999999995</v>
      </c>
      <c r="L1240" s="11"/>
      <c r="M1240" s="11"/>
      <c r="N1240" s="100"/>
      <c r="O1240" s="11">
        <f t="shared" si="295"/>
        <v>729.67499999999995</v>
      </c>
      <c r="P1240" s="11">
        <f t="shared" si="293"/>
        <v>729.67499999999995</v>
      </c>
      <c r="Q1240" s="11"/>
      <c r="R1240" s="11">
        <f t="shared" si="294"/>
        <v>0</v>
      </c>
      <c r="S1240" s="11"/>
      <c r="T1240" s="136">
        <f t="shared" si="297"/>
        <v>0</v>
      </c>
    </row>
    <row r="1241" spans="1:20" ht="15.75" customHeight="1">
      <c r="A1241" s="149">
        <v>65</v>
      </c>
      <c r="B1241" s="273"/>
      <c r="C1241" s="28" t="s">
        <v>1598</v>
      </c>
      <c r="D1241" s="41">
        <v>410</v>
      </c>
      <c r="E1241" s="131">
        <f t="shared" si="291"/>
        <v>21000</v>
      </c>
      <c r="F1241" s="21">
        <f t="shared" si="300"/>
        <v>25410</v>
      </c>
      <c r="G1241" s="21">
        <f>1420*200*0.9</f>
        <v>255600</v>
      </c>
      <c r="H1241" s="135">
        <f t="shared" si="298"/>
        <v>0</v>
      </c>
      <c r="I1241" s="294">
        <v>45286</v>
      </c>
      <c r="J1241" s="294"/>
      <c r="K1241" s="10">
        <v>15000</v>
      </c>
      <c r="L1241" s="11"/>
      <c r="M1241" s="11"/>
      <c r="N1241" s="100"/>
      <c r="O1241" s="11">
        <f t="shared" si="295"/>
        <v>15000</v>
      </c>
      <c r="P1241" s="11">
        <f t="shared" si="293"/>
        <v>15000</v>
      </c>
      <c r="Q1241" s="11">
        <v>1.4</v>
      </c>
      <c r="R1241" s="11">
        <f t="shared" si="294"/>
        <v>21000</v>
      </c>
      <c r="S1241" s="11"/>
      <c r="T1241" s="136">
        <f t="shared" si="297"/>
        <v>0</v>
      </c>
    </row>
    <row r="1242" spans="1:20" ht="15.75" customHeight="1">
      <c r="A1242" s="149">
        <v>65</v>
      </c>
      <c r="B1242" s="273"/>
      <c r="C1242" s="28" t="s">
        <v>1599</v>
      </c>
      <c r="D1242" s="41">
        <v>420</v>
      </c>
      <c r="E1242" s="131">
        <f t="shared" si="291"/>
        <v>21980</v>
      </c>
      <c r="F1242" s="21">
        <f t="shared" si="300"/>
        <v>26595.8</v>
      </c>
      <c r="G1242" s="21">
        <f>+G1241*2</f>
        <v>511200</v>
      </c>
      <c r="H1242" s="135">
        <f t="shared" si="298"/>
        <v>0</v>
      </c>
      <c r="I1242" s="294">
        <v>45286</v>
      </c>
      <c r="J1242" s="294"/>
      <c r="K1242" s="10">
        <v>15700</v>
      </c>
      <c r="L1242" s="11"/>
      <c r="M1242" s="11"/>
      <c r="N1242" s="100"/>
      <c r="O1242" s="11">
        <f t="shared" si="295"/>
        <v>15700</v>
      </c>
      <c r="P1242" s="11">
        <f t="shared" si="293"/>
        <v>15700</v>
      </c>
      <c r="Q1242" s="11">
        <v>1.4</v>
      </c>
      <c r="R1242" s="11">
        <f t="shared" si="294"/>
        <v>21980</v>
      </c>
      <c r="S1242" s="11"/>
      <c r="T1242" s="136">
        <f t="shared" si="297"/>
        <v>0</v>
      </c>
    </row>
    <row r="1243" spans="1:20" ht="15.75" customHeight="1">
      <c r="A1243" s="149">
        <v>65</v>
      </c>
      <c r="B1243" s="273"/>
      <c r="C1243" s="28" t="s">
        <v>1600</v>
      </c>
      <c r="D1243" s="41">
        <v>440</v>
      </c>
      <c r="E1243" s="131">
        <f t="shared" si="291"/>
        <v>22120</v>
      </c>
      <c r="F1243" s="21">
        <f t="shared" si="300"/>
        <v>26765.200000000001</v>
      </c>
      <c r="G1243" s="21">
        <f>889.6*200*0.9</f>
        <v>160128</v>
      </c>
      <c r="H1243" s="135">
        <f t="shared" si="298"/>
        <v>0</v>
      </c>
      <c r="I1243" s="294">
        <v>45286</v>
      </c>
      <c r="J1243" s="294"/>
      <c r="K1243" s="10">
        <v>15800</v>
      </c>
      <c r="L1243" s="11"/>
      <c r="M1243" s="11"/>
      <c r="N1243" s="100"/>
      <c r="O1243" s="11">
        <f t="shared" si="295"/>
        <v>15800</v>
      </c>
      <c r="P1243" s="11">
        <f t="shared" si="293"/>
        <v>15800</v>
      </c>
      <c r="Q1243" s="11">
        <v>1.4</v>
      </c>
      <c r="R1243" s="11">
        <f t="shared" si="294"/>
        <v>22120</v>
      </c>
      <c r="S1243" s="11"/>
      <c r="T1243" s="136">
        <f t="shared" si="297"/>
        <v>0</v>
      </c>
    </row>
    <row r="1244" spans="1:20" ht="15.75" customHeight="1">
      <c r="A1244" s="149">
        <v>65</v>
      </c>
      <c r="B1244" s="273"/>
      <c r="C1244" s="28" t="s">
        <v>1601</v>
      </c>
      <c r="D1244" s="41">
        <v>450</v>
      </c>
      <c r="E1244" s="131">
        <f t="shared" ref="E1244:E1313" si="301">ROUNDUP(R1244,-1)</f>
        <v>22260</v>
      </c>
      <c r="F1244" s="21">
        <f t="shared" si="300"/>
        <v>26934.6</v>
      </c>
      <c r="G1244" s="21">
        <f>+G1243*2</f>
        <v>320256</v>
      </c>
      <c r="H1244" s="135">
        <f t="shared" si="298"/>
        <v>0</v>
      </c>
      <c r="I1244" s="294">
        <v>45286</v>
      </c>
      <c r="J1244" s="294"/>
      <c r="K1244" s="10">
        <v>15900</v>
      </c>
      <c r="L1244" s="11"/>
      <c r="M1244" s="11"/>
      <c r="N1244" s="100"/>
      <c r="O1244" s="11">
        <f t="shared" si="295"/>
        <v>15900</v>
      </c>
      <c r="P1244" s="11">
        <f t="shared" si="293"/>
        <v>15900</v>
      </c>
      <c r="Q1244" s="11">
        <v>1.4</v>
      </c>
      <c r="R1244" s="11">
        <f t="shared" si="294"/>
        <v>22260</v>
      </c>
      <c r="S1244" s="11"/>
      <c r="T1244" s="136">
        <f t="shared" si="297"/>
        <v>0</v>
      </c>
    </row>
    <row r="1245" spans="1:20" ht="15.75" customHeight="1">
      <c r="A1245" s="149">
        <v>65</v>
      </c>
      <c r="B1245" s="273"/>
      <c r="C1245" s="28" t="s">
        <v>1602</v>
      </c>
      <c r="D1245" s="41">
        <v>480</v>
      </c>
      <c r="E1245" s="131">
        <f t="shared" si="301"/>
        <v>24080</v>
      </c>
      <c r="F1245" s="21">
        <f t="shared" si="300"/>
        <v>29136.799999999999</v>
      </c>
      <c r="G1245" s="21">
        <f>570.8*400*0.9</f>
        <v>205487.99999999997</v>
      </c>
      <c r="H1245" s="135">
        <f t="shared" si="298"/>
        <v>0</v>
      </c>
      <c r="I1245" s="294">
        <v>45286</v>
      </c>
      <c r="J1245" s="294"/>
      <c r="K1245" s="10">
        <v>17200</v>
      </c>
      <c r="L1245" s="11"/>
      <c r="M1245" s="11"/>
      <c r="N1245" s="100"/>
      <c r="O1245" s="11">
        <f t="shared" si="295"/>
        <v>17200</v>
      </c>
      <c r="P1245" s="11">
        <f t="shared" si="293"/>
        <v>17200</v>
      </c>
      <c r="Q1245" s="11">
        <v>1.4</v>
      </c>
      <c r="R1245" s="11">
        <f t="shared" si="294"/>
        <v>24080</v>
      </c>
      <c r="S1245" s="11"/>
      <c r="T1245" s="136">
        <f t="shared" si="297"/>
        <v>0</v>
      </c>
    </row>
    <row r="1246" spans="1:20" ht="15.75" customHeight="1">
      <c r="A1246" s="149">
        <v>73</v>
      </c>
      <c r="B1246" s="273"/>
      <c r="C1246" s="28" t="s">
        <v>1603</v>
      </c>
      <c r="D1246" s="41">
        <v>4420</v>
      </c>
      <c r="E1246" s="131">
        <f t="shared" si="301"/>
        <v>0</v>
      </c>
      <c r="F1246" s="21">
        <f t="shared" si="300"/>
        <v>0</v>
      </c>
      <c r="G1246" s="21"/>
      <c r="H1246" s="135">
        <f t="shared" si="298"/>
        <v>0</v>
      </c>
      <c r="I1246" s="294">
        <v>43321</v>
      </c>
      <c r="J1246" s="294"/>
      <c r="K1246" s="10">
        <f>3153*1.4</f>
        <v>4414.2</v>
      </c>
      <c r="L1246" s="11"/>
      <c r="M1246" s="11"/>
      <c r="N1246" s="100"/>
      <c r="O1246" s="11">
        <f t="shared" si="295"/>
        <v>4414.2</v>
      </c>
      <c r="P1246" s="11">
        <f t="shared" si="293"/>
        <v>4414.2</v>
      </c>
      <c r="Q1246" s="11"/>
      <c r="R1246" s="11">
        <f t="shared" si="294"/>
        <v>0</v>
      </c>
      <c r="S1246" s="11"/>
      <c r="T1246" s="136">
        <f t="shared" si="297"/>
        <v>0</v>
      </c>
    </row>
    <row r="1247" spans="1:20" ht="15.75" customHeight="1">
      <c r="A1247" s="149">
        <v>38</v>
      </c>
      <c r="B1247" s="273"/>
      <c r="C1247" s="28" t="s">
        <v>62632</v>
      </c>
      <c r="D1247" s="41">
        <v>220</v>
      </c>
      <c r="E1247" s="131">
        <f t="shared" si="301"/>
        <v>17710</v>
      </c>
      <c r="F1247" s="21">
        <f t="shared" si="300"/>
        <v>21429.1</v>
      </c>
      <c r="G1247" s="21"/>
      <c r="H1247" s="135">
        <f t="shared" si="298"/>
        <v>0</v>
      </c>
      <c r="I1247" s="294">
        <v>45138</v>
      </c>
      <c r="J1247" s="294">
        <v>45348</v>
      </c>
      <c r="K1247" s="11">
        <f>+PROVEEDORES!$D$32*11.24</f>
        <v>11802</v>
      </c>
      <c r="L1247" s="11"/>
      <c r="M1247" s="11"/>
      <c r="N1247" s="100"/>
      <c r="O1247" s="11">
        <f t="shared" si="295"/>
        <v>11802</v>
      </c>
      <c r="P1247" s="11">
        <f t="shared" si="293"/>
        <v>11802</v>
      </c>
      <c r="Q1247" s="11">
        <v>1.5</v>
      </c>
      <c r="R1247" s="11">
        <f t="shared" si="294"/>
        <v>17703</v>
      </c>
      <c r="S1247" s="11"/>
      <c r="T1247" s="136">
        <f t="shared" si="297"/>
        <v>0</v>
      </c>
    </row>
    <row r="1248" spans="1:20" ht="15.75" customHeight="1">
      <c r="A1248" s="149">
        <v>106</v>
      </c>
      <c r="B1248" s="273"/>
      <c r="C1248" s="28" t="s">
        <v>62651</v>
      </c>
      <c r="D1248" s="41"/>
      <c r="E1248" s="131">
        <f t="shared" ref="E1248" si="302">ROUNDUP(R1248,-1)</f>
        <v>14740</v>
      </c>
      <c r="F1248" s="21">
        <f t="shared" ref="F1248" si="303">+E1248*1.21</f>
        <v>17835.399999999998</v>
      </c>
      <c r="G1248" s="21"/>
      <c r="H1248" s="135">
        <f t="shared" ref="H1248" si="304">ROUNDUP(T1248,-1)</f>
        <v>0</v>
      </c>
      <c r="I1248" s="294"/>
      <c r="J1248" s="40">
        <v>45356</v>
      </c>
      <c r="K1248" s="10">
        <f>0.82*11980</f>
        <v>9823.5999999999985</v>
      </c>
      <c r="L1248" s="11"/>
      <c r="M1248" s="11"/>
      <c r="N1248" s="100"/>
      <c r="O1248" s="11">
        <f t="shared" ref="O1248" si="305">MIN(K1248:M1248)</f>
        <v>9823.5999999999985</v>
      </c>
      <c r="P1248" s="11">
        <f t="shared" ref="P1248" si="306">+O1248</f>
        <v>9823.5999999999985</v>
      </c>
      <c r="Q1248" s="11">
        <v>1.5</v>
      </c>
      <c r="R1248" s="11">
        <f t="shared" ref="R1248" si="307">+P1248*Q1248</f>
        <v>14735.399999999998</v>
      </c>
      <c r="S1248" s="11"/>
      <c r="T1248" s="136">
        <f t="shared" ref="T1248" si="308">+N1248*Q1248</f>
        <v>0</v>
      </c>
    </row>
    <row r="1249" spans="1:20" ht="15.75" customHeight="1">
      <c r="A1249" s="149">
        <v>12</v>
      </c>
      <c r="B1249" s="273"/>
      <c r="C1249" s="28" t="s">
        <v>37233</v>
      </c>
      <c r="D1249" s="41">
        <v>2060</v>
      </c>
      <c r="E1249" s="131">
        <f t="shared" si="301"/>
        <v>25330</v>
      </c>
      <c r="F1249" s="21">
        <f t="shared" si="300"/>
        <v>30649.3</v>
      </c>
      <c r="G1249" s="21"/>
      <c r="H1249" s="135">
        <f t="shared" si="298"/>
        <v>0</v>
      </c>
      <c r="I1249" s="294">
        <v>45274</v>
      </c>
      <c r="J1249" s="40">
        <v>45338</v>
      </c>
      <c r="K1249" s="10">
        <v>16882</v>
      </c>
      <c r="L1249" s="11"/>
      <c r="M1249" s="11"/>
      <c r="N1249" s="100"/>
      <c r="O1249" s="11">
        <f t="shared" si="295"/>
        <v>16882</v>
      </c>
      <c r="P1249" s="11">
        <f t="shared" si="293"/>
        <v>16882</v>
      </c>
      <c r="Q1249" s="11">
        <v>1.5</v>
      </c>
      <c r="R1249" s="11">
        <f t="shared" si="294"/>
        <v>25323</v>
      </c>
      <c r="S1249" s="11"/>
      <c r="T1249" s="136">
        <f t="shared" si="297"/>
        <v>0</v>
      </c>
    </row>
    <row r="1250" spans="1:20" ht="15.75" customHeight="1">
      <c r="A1250" s="149">
        <v>21</v>
      </c>
      <c r="B1250" s="273"/>
      <c r="C1250" s="28" t="s">
        <v>4094</v>
      </c>
      <c r="D1250" s="41"/>
      <c r="E1250" s="131">
        <f t="shared" si="301"/>
        <v>46800</v>
      </c>
      <c r="F1250" s="21">
        <f t="shared" si="300"/>
        <v>56628</v>
      </c>
      <c r="G1250" s="21"/>
      <c r="H1250" s="135">
        <f t="shared" si="298"/>
        <v>0</v>
      </c>
      <c r="I1250" s="294">
        <v>45273</v>
      </c>
      <c r="J1250" s="294">
        <v>45329</v>
      </c>
      <c r="K1250" s="10">
        <f>0.6*55708</f>
        <v>33424.799999999996</v>
      </c>
      <c r="L1250" s="11"/>
      <c r="M1250" s="11"/>
      <c r="N1250" s="100"/>
      <c r="O1250" s="11">
        <f t="shared" si="295"/>
        <v>33424.799999999996</v>
      </c>
      <c r="P1250" s="11">
        <f t="shared" si="293"/>
        <v>33424.799999999996</v>
      </c>
      <c r="Q1250" s="11">
        <v>1.4</v>
      </c>
      <c r="R1250" s="11">
        <f t="shared" si="294"/>
        <v>46794.719999999994</v>
      </c>
      <c r="S1250" s="11"/>
      <c r="T1250" s="136">
        <f t="shared" si="297"/>
        <v>0</v>
      </c>
    </row>
    <row r="1251" spans="1:20" ht="15.75" customHeight="1">
      <c r="A1251" s="149">
        <v>76</v>
      </c>
      <c r="B1251" s="273"/>
      <c r="C1251" s="28" t="s">
        <v>4511</v>
      </c>
      <c r="D1251" s="41"/>
      <c r="E1251" s="131">
        <f t="shared" si="301"/>
        <v>19010</v>
      </c>
      <c r="F1251" s="21">
        <f t="shared" si="300"/>
        <v>23002.1</v>
      </c>
      <c r="G1251" s="21"/>
      <c r="H1251" s="135">
        <f t="shared" si="298"/>
        <v>0</v>
      </c>
      <c r="I1251" s="294">
        <v>45153</v>
      </c>
      <c r="J1251" s="294"/>
      <c r="K1251" s="10">
        <f>0.6*22630</f>
        <v>13578</v>
      </c>
      <c r="L1251" s="11"/>
      <c r="M1251" s="11"/>
      <c r="N1251" s="100"/>
      <c r="O1251" s="11">
        <f t="shared" si="295"/>
        <v>13578</v>
      </c>
      <c r="P1251" s="11">
        <f t="shared" si="293"/>
        <v>13578</v>
      </c>
      <c r="Q1251" s="11">
        <v>1.4</v>
      </c>
      <c r="R1251" s="11">
        <f t="shared" si="294"/>
        <v>19009.199999999997</v>
      </c>
      <c r="S1251" s="11"/>
      <c r="T1251" s="136">
        <f t="shared" si="297"/>
        <v>0</v>
      </c>
    </row>
    <row r="1252" spans="1:20" ht="15.75" customHeight="1">
      <c r="A1252" s="149">
        <v>21</v>
      </c>
      <c r="B1252" s="273"/>
      <c r="C1252" s="28" t="s">
        <v>4221</v>
      </c>
      <c r="D1252" s="131">
        <v>2450</v>
      </c>
      <c r="E1252" s="131">
        <f>ROUNDUP(R1252,-1)</f>
        <v>0</v>
      </c>
      <c r="F1252" s="21">
        <f>+E1252*1.21</f>
        <v>0</v>
      </c>
      <c r="G1252" s="21"/>
      <c r="H1252" s="135">
        <f>ROUNDUP(T1252,-1)</f>
        <v>0</v>
      </c>
      <c r="I1252" s="294"/>
      <c r="J1252" s="294">
        <v>45035</v>
      </c>
      <c r="K1252" s="10">
        <f>0.6*4500</f>
        <v>2700</v>
      </c>
      <c r="L1252" s="11"/>
      <c r="M1252" s="11"/>
      <c r="N1252" s="100"/>
      <c r="O1252" s="11">
        <f>MIN(K1252:M1252)</f>
        <v>2700</v>
      </c>
      <c r="P1252" s="11">
        <f t="shared" si="293"/>
        <v>2700</v>
      </c>
      <c r="Q1252" s="11"/>
      <c r="R1252" s="11">
        <f t="shared" si="294"/>
        <v>0</v>
      </c>
      <c r="S1252" s="136">
        <v>0</v>
      </c>
      <c r="T1252" s="136">
        <f t="shared" si="297"/>
        <v>0</v>
      </c>
    </row>
    <row r="1253" spans="1:20" ht="15.75" customHeight="1">
      <c r="A1253" s="149">
        <v>21</v>
      </c>
      <c r="B1253" s="273"/>
      <c r="C1253" s="28" t="s">
        <v>44157</v>
      </c>
      <c r="D1253" s="41">
        <v>710</v>
      </c>
      <c r="E1253" s="131">
        <f t="shared" si="301"/>
        <v>12480</v>
      </c>
      <c r="F1253" s="21">
        <f t="shared" si="300"/>
        <v>15100.8</v>
      </c>
      <c r="G1253" s="21"/>
      <c r="H1253" s="135">
        <f t="shared" si="298"/>
        <v>0</v>
      </c>
      <c r="I1253" s="294">
        <v>45273</v>
      </c>
      <c r="J1253" s="294"/>
      <c r="K1253" s="10">
        <f>0.6*13856</f>
        <v>8313.6</v>
      </c>
      <c r="L1253" s="11"/>
      <c r="M1253" s="11"/>
      <c r="N1253" s="100"/>
      <c r="O1253" s="11">
        <f t="shared" si="295"/>
        <v>8313.6</v>
      </c>
      <c r="P1253" s="11">
        <f t="shared" si="293"/>
        <v>8313.6</v>
      </c>
      <c r="Q1253" s="11">
        <v>1.5</v>
      </c>
      <c r="R1253" s="11">
        <f t="shared" si="294"/>
        <v>12470.400000000001</v>
      </c>
      <c r="S1253" s="11"/>
      <c r="T1253" s="136">
        <f t="shared" si="297"/>
        <v>0</v>
      </c>
    </row>
    <row r="1254" spans="1:20" ht="15.75" customHeight="1">
      <c r="A1254" s="149">
        <v>21</v>
      </c>
      <c r="B1254" s="273"/>
      <c r="C1254" s="28" t="s">
        <v>4074</v>
      </c>
      <c r="D1254" s="41">
        <v>670</v>
      </c>
      <c r="E1254" s="131">
        <f t="shared" si="301"/>
        <v>13350</v>
      </c>
      <c r="F1254" s="21">
        <f t="shared" si="300"/>
        <v>16153.5</v>
      </c>
      <c r="G1254" s="21"/>
      <c r="H1254" s="135">
        <f t="shared" si="298"/>
        <v>0</v>
      </c>
      <c r="I1254" s="294">
        <v>45274</v>
      </c>
      <c r="J1254" s="294"/>
      <c r="K1254" s="10">
        <f>0.6*14826</f>
        <v>8895.6</v>
      </c>
      <c r="L1254" s="11"/>
      <c r="M1254" s="11"/>
      <c r="N1254" s="100"/>
      <c r="O1254" s="11">
        <f t="shared" si="295"/>
        <v>8895.6</v>
      </c>
      <c r="P1254" s="11">
        <f t="shared" si="293"/>
        <v>8895.6</v>
      </c>
      <c r="Q1254" s="11">
        <v>1.5</v>
      </c>
      <c r="R1254" s="11">
        <f t="shared" si="294"/>
        <v>13343.400000000001</v>
      </c>
      <c r="S1254" s="11"/>
      <c r="T1254" s="136">
        <f t="shared" si="297"/>
        <v>0</v>
      </c>
    </row>
    <row r="1255" spans="1:20" ht="15.75" customHeight="1">
      <c r="A1255" s="149"/>
      <c r="B1255" s="273"/>
      <c r="C1255" s="28" t="s">
        <v>1604</v>
      </c>
      <c r="D1255" s="41">
        <v>430</v>
      </c>
      <c r="E1255" s="131">
        <f t="shared" si="301"/>
        <v>0</v>
      </c>
      <c r="F1255" s="21">
        <f t="shared" si="300"/>
        <v>0</v>
      </c>
      <c r="G1255" s="21"/>
      <c r="H1255" s="135">
        <f t="shared" si="298"/>
        <v>0</v>
      </c>
      <c r="I1255" s="294"/>
      <c r="J1255" s="294"/>
      <c r="K1255" s="10"/>
      <c r="L1255" s="11"/>
      <c r="M1255" s="11"/>
      <c r="N1255" s="100"/>
      <c r="O1255" s="11">
        <f t="shared" si="295"/>
        <v>0</v>
      </c>
      <c r="P1255" s="11">
        <f t="shared" si="293"/>
        <v>0</v>
      </c>
      <c r="Q1255" s="11">
        <v>1.4</v>
      </c>
      <c r="R1255" s="11">
        <f t="shared" si="294"/>
        <v>0</v>
      </c>
      <c r="S1255" s="11"/>
      <c r="T1255" s="136">
        <f t="shared" si="297"/>
        <v>0</v>
      </c>
    </row>
    <row r="1256" spans="1:20" ht="15.75" customHeight="1">
      <c r="A1256" s="149" t="s">
        <v>2387</v>
      </c>
      <c r="B1256" s="273">
        <f t="shared" ref="B1256:B1271" si="309">ROUNDUP(E1256*1.06,-1)</f>
        <v>41270</v>
      </c>
      <c r="C1256" s="28" t="s">
        <v>2455</v>
      </c>
      <c r="D1256" s="41">
        <v>2870</v>
      </c>
      <c r="E1256" s="131">
        <f t="shared" si="301"/>
        <v>38930</v>
      </c>
      <c r="F1256" s="21" t="s">
        <v>1248</v>
      </c>
      <c r="G1256" s="21">
        <f t="shared" ref="G1256:G1274" si="310">+E1256*1.105</f>
        <v>43017.65</v>
      </c>
      <c r="H1256" s="135">
        <f t="shared" si="298"/>
        <v>0</v>
      </c>
      <c r="I1256" s="294">
        <v>45138</v>
      </c>
      <c r="J1256" s="294">
        <v>45175</v>
      </c>
      <c r="K1256" s="10"/>
      <c r="L1256" s="10">
        <f>57672*0.5</f>
        <v>28836</v>
      </c>
      <c r="M1256" s="11"/>
      <c r="N1256" s="100"/>
      <c r="O1256" s="11">
        <f t="shared" si="295"/>
        <v>28836</v>
      </c>
      <c r="P1256" s="11">
        <f t="shared" ref="P1256:P1323" si="311">+O1256</f>
        <v>28836</v>
      </c>
      <c r="Q1256" s="11">
        <v>1.35</v>
      </c>
      <c r="R1256" s="11">
        <f t="shared" ref="R1256:R1323" si="312">+P1256*Q1256</f>
        <v>38928.600000000006</v>
      </c>
      <c r="S1256" s="11"/>
      <c r="T1256" s="136">
        <f t="shared" si="297"/>
        <v>0</v>
      </c>
    </row>
    <row r="1257" spans="1:20" ht="15.75" customHeight="1">
      <c r="A1257" s="149" t="s">
        <v>2387</v>
      </c>
      <c r="B1257" s="273">
        <f t="shared" si="309"/>
        <v>0</v>
      </c>
      <c r="C1257" s="28" t="s">
        <v>2457</v>
      </c>
      <c r="D1257" s="41">
        <v>5580</v>
      </c>
      <c r="E1257" s="131">
        <f t="shared" si="301"/>
        <v>0</v>
      </c>
      <c r="F1257" s="21" t="s">
        <v>1248</v>
      </c>
      <c r="G1257" s="21">
        <f t="shared" si="310"/>
        <v>0</v>
      </c>
      <c r="H1257" s="135">
        <f t="shared" si="298"/>
        <v>0</v>
      </c>
      <c r="I1257" s="294">
        <v>44627</v>
      </c>
      <c r="J1257" s="294"/>
      <c r="K1257" s="10">
        <f>0.5*18762*2.5</f>
        <v>23452.5</v>
      </c>
      <c r="L1257" s="11"/>
      <c r="M1257" s="11"/>
      <c r="N1257" s="100"/>
      <c r="O1257" s="11">
        <f t="shared" si="295"/>
        <v>23452.5</v>
      </c>
      <c r="P1257" s="11">
        <f t="shared" si="311"/>
        <v>23452.5</v>
      </c>
      <c r="Q1257" s="11"/>
      <c r="R1257" s="11">
        <f t="shared" si="312"/>
        <v>0</v>
      </c>
      <c r="S1257" s="11"/>
      <c r="T1257" s="136">
        <f t="shared" si="297"/>
        <v>0</v>
      </c>
    </row>
    <row r="1258" spans="1:20" ht="15.75" customHeight="1">
      <c r="A1258" s="149" t="s">
        <v>2387</v>
      </c>
      <c r="B1258" s="273">
        <f t="shared" si="309"/>
        <v>95210</v>
      </c>
      <c r="C1258" s="28" t="s">
        <v>2456</v>
      </c>
      <c r="D1258" s="41">
        <v>5100</v>
      </c>
      <c r="E1258" s="131">
        <f t="shared" si="301"/>
        <v>89820</v>
      </c>
      <c r="F1258" s="21" t="s">
        <v>1248</v>
      </c>
      <c r="G1258" s="21">
        <f t="shared" si="310"/>
        <v>99251.099999999991</v>
      </c>
      <c r="H1258" s="135">
        <f t="shared" si="298"/>
        <v>0</v>
      </c>
      <c r="I1258" s="294">
        <v>45138</v>
      </c>
      <c r="J1258" s="294"/>
      <c r="K1258" s="10"/>
      <c r="L1258" s="10">
        <v>66528</v>
      </c>
      <c r="M1258" s="10"/>
      <c r="N1258" s="100"/>
      <c r="O1258" s="11">
        <f t="shared" si="295"/>
        <v>66528</v>
      </c>
      <c r="P1258" s="11">
        <f t="shared" si="311"/>
        <v>66528</v>
      </c>
      <c r="Q1258" s="11">
        <v>1.35</v>
      </c>
      <c r="R1258" s="11">
        <f t="shared" si="312"/>
        <v>89812.800000000003</v>
      </c>
      <c r="S1258" s="11"/>
      <c r="T1258" s="136">
        <f t="shared" si="297"/>
        <v>0</v>
      </c>
    </row>
    <row r="1259" spans="1:20" ht="15.75" customHeight="1">
      <c r="A1259" s="149" t="s">
        <v>2387</v>
      </c>
      <c r="B1259" s="273">
        <f t="shared" si="309"/>
        <v>226100</v>
      </c>
      <c r="C1259" s="28" t="s">
        <v>1605</v>
      </c>
      <c r="D1259" s="41">
        <v>13500</v>
      </c>
      <c r="E1259" s="131">
        <f t="shared" si="301"/>
        <v>213300</v>
      </c>
      <c r="F1259" s="21" t="s">
        <v>1248</v>
      </c>
      <c r="G1259" s="21">
        <f t="shared" si="310"/>
        <v>235696.5</v>
      </c>
      <c r="H1259" s="135">
        <f t="shared" si="298"/>
        <v>0</v>
      </c>
      <c r="I1259" s="294">
        <v>45138</v>
      </c>
      <c r="J1259" s="294"/>
      <c r="K1259" s="10"/>
      <c r="L1259" s="10">
        <v>157995</v>
      </c>
      <c r="M1259" s="10"/>
      <c r="N1259" s="100"/>
      <c r="O1259" s="11">
        <f t="shared" si="295"/>
        <v>157995</v>
      </c>
      <c r="P1259" s="11">
        <f t="shared" si="311"/>
        <v>157995</v>
      </c>
      <c r="Q1259" s="11">
        <v>1.35</v>
      </c>
      <c r="R1259" s="11">
        <f t="shared" si="312"/>
        <v>213293.25</v>
      </c>
      <c r="S1259" s="11"/>
      <c r="T1259" s="136">
        <f t="shared" si="297"/>
        <v>0</v>
      </c>
    </row>
    <row r="1260" spans="1:20" ht="15.75" customHeight="1">
      <c r="A1260" s="149" t="s">
        <v>2387</v>
      </c>
      <c r="B1260" s="273">
        <f t="shared" si="309"/>
        <v>0</v>
      </c>
      <c r="C1260" s="28" t="s">
        <v>3403</v>
      </c>
      <c r="D1260" s="41">
        <v>4260</v>
      </c>
      <c r="E1260" s="131">
        <f t="shared" si="301"/>
        <v>0</v>
      </c>
      <c r="F1260" s="21" t="s">
        <v>1248</v>
      </c>
      <c r="G1260" s="21">
        <f t="shared" si="310"/>
        <v>0</v>
      </c>
      <c r="H1260" s="135">
        <f t="shared" si="298"/>
        <v>0</v>
      </c>
      <c r="I1260" s="294">
        <v>45138</v>
      </c>
      <c r="J1260" s="294"/>
      <c r="K1260" s="10"/>
      <c r="L1260" s="10">
        <v>73161</v>
      </c>
      <c r="M1260" s="11"/>
      <c r="N1260" s="100"/>
      <c r="O1260" s="11">
        <f t="shared" si="295"/>
        <v>73161</v>
      </c>
      <c r="P1260" s="11">
        <f t="shared" si="311"/>
        <v>73161</v>
      </c>
      <c r="Q1260" s="11"/>
      <c r="R1260" s="11">
        <f t="shared" si="312"/>
        <v>0</v>
      </c>
      <c r="S1260" s="11"/>
      <c r="T1260" s="136">
        <f t="shared" si="297"/>
        <v>0</v>
      </c>
    </row>
    <row r="1261" spans="1:20" ht="15.75" customHeight="1">
      <c r="A1261" s="149">
        <v>109</v>
      </c>
      <c r="B1261" s="273">
        <f>ROUNDUP(E1261*1.06,-1)</f>
        <v>332750</v>
      </c>
      <c r="C1261" s="28" t="s">
        <v>44215</v>
      </c>
      <c r="D1261" s="41">
        <v>10350</v>
      </c>
      <c r="E1261" s="131">
        <f>ROUNDUP(R1261,-1)</f>
        <v>313910</v>
      </c>
      <c r="F1261" s="21" t="s">
        <v>1248</v>
      </c>
      <c r="G1261" s="21">
        <f>+E1261*1.105</f>
        <v>346870.55</v>
      </c>
      <c r="H1261" s="135">
        <f>ROUNDUP(T1261,-1)</f>
        <v>0</v>
      </c>
      <c r="I1261" s="294">
        <v>45313</v>
      </c>
      <c r="J1261" s="294"/>
      <c r="K1261" s="11">
        <f>1.038*208560</f>
        <v>216485.28</v>
      </c>
      <c r="L1261" s="11"/>
      <c r="M1261" s="10"/>
      <c r="N1261" s="100"/>
      <c r="O1261" s="11">
        <f>MIN(K1261:M1261)</f>
        <v>216485.28</v>
      </c>
      <c r="P1261" s="11">
        <f>+O1261</f>
        <v>216485.28</v>
      </c>
      <c r="Q1261" s="11">
        <v>1.45</v>
      </c>
      <c r="R1261" s="11">
        <f>+P1261*Q1261</f>
        <v>313903.65600000002</v>
      </c>
      <c r="S1261" s="11"/>
      <c r="T1261" s="136">
        <f>+N1261*Q1261</f>
        <v>0</v>
      </c>
    </row>
    <row r="1262" spans="1:20" ht="15.75" customHeight="1">
      <c r="A1262" s="149"/>
      <c r="B1262" s="273">
        <f t="shared" si="309"/>
        <v>73580</v>
      </c>
      <c r="C1262" s="28" t="s">
        <v>2572</v>
      </c>
      <c r="D1262" s="41"/>
      <c r="E1262" s="131">
        <f t="shared" si="301"/>
        <v>69410</v>
      </c>
      <c r="F1262" s="21" t="s">
        <v>1248</v>
      </c>
      <c r="G1262" s="21">
        <f t="shared" si="310"/>
        <v>76698.05</v>
      </c>
      <c r="H1262" s="135">
        <f t="shared" si="298"/>
        <v>0</v>
      </c>
      <c r="I1262" s="294"/>
      <c r="J1262" s="294">
        <v>44084</v>
      </c>
      <c r="K1262" s="10">
        <f>0.8*0.94*68369</f>
        <v>51413.487999999998</v>
      </c>
      <c r="L1262" s="10"/>
      <c r="M1262" s="11"/>
      <c r="N1262" s="100"/>
      <c r="O1262" s="11">
        <f t="shared" si="295"/>
        <v>51413.487999999998</v>
      </c>
      <c r="P1262" s="11">
        <f t="shared" si="311"/>
        <v>51413.487999999998</v>
      </c>
      <c r="Q1262" s="11">
        <v>1.35</v>
      </c>
      <c r="R1262" s="11">
        <f t="shared" si="312"/>
        <v>69408.208800000008</v>
      </c>
      <c r="S1262" s="11"/>
      <c r="T1262" s="136">
        <f t="shared" si="297"/>
        <v>0</v>
      </c>
    </row>
    <row r="1263" spans="1:20" ht="15.75" customHeight="1">
      <c r="A1263" s="149" t="s">
        <v>2401</v>
      </c>
      <c r="B1263" s="273">
        <f t="shared" si="309"/>
        <v>231320</v>
      </c>
      <c r="C1263" s="28" t="s">
        <v>4343</v>
      </c>
      <c r="D1263" s="41">
        <v>10350</v>
      </c>
      <c r="E1263" s="131">
        <f t="shared" si="301"/>
        <v>218220</v>
      </c>
      <c r="F1263" s="21" t="s">
        <v>1248</v>
      </c>
      <c r="G1263" s="21">
        <f t="shared" si="310"/>
        <v>241133.1</v>
      </c>
      <c r="H1263" s="135">
        <f t="shared" si="298"/>
        <v>0</v>
      </c>
      <c r="I1263" s="294">
        <v>45138</v>
      </c>
      <c r="J1263" s="294">
        <v>45274</v>
      </c>
      <c r="K1263" s="11">
        <f>0.8*0.94*214951</f>
        <v>161643.152</v>
      </c>
      <c r="L1263" s="11">
        <f>49602*4</f>
        <v>198408</v>
      </c>
      <c r="M1263" s="10"/>
      <c r="N1263" s="100"/>
      <c r="O1263" s="11">
        <f t="shared" si="295"/>
        <v>161643.152</v>
      </c>
      <c r="P1263" s="11">
        <f t="shared" si="311"/>
        <v>161643.152</v>
      </c>
      <c r="Q1263" s="11">
        <v>1.35</v>
      </c>
      <c r="R1263" s="11">
        <f t="shared" si="312"/>
        <v>218218.25520000001</v>
      </c>
      <c r="S1263" s="11"/>
      <c r="T1263" s="136">
        <f t="shared" si="297"/>
        <v>0</v>
      </c>
    </row>
    <row r="1264" spans="1:20" ht="15.75" customHeight="1">
      <c r="A1264" s="149" t="s">
        <v>2401</v>
      </c>
      <c r="B1264" s="273">
        <f t="shared" si="309"/>
        <v>72890</v>
      </c>
      <c r="C1264" s="28" t="s">
        <v>4344</v>
      </c>
      <c r="D1264" s="41"/>
      <c r="E1264" s="131">
        <f t="shared" si="301"/>
        <v>68760</v>
      </c>
      <c r="F1264" s="21" t="s">
        <v>1248</v>
      </c>
      <c r="G1264" s="21">
        <f t="shared" si="310"/>
        <v>75979.8</v>
      </c>
      <c r="H1264" s="135">
        <f t="shared" si="298"/>
        <v>0</v>
      </c>
      <c r="I1264" s="294">
        <v>45138</v>
      </c>
      <c r="J1264" s="294"/>
      <c r="K1264" s="11">
        <f>0.8*0.94*72120</f>
        <v>54234.239999999998</v>
      </c>
      <c r="L1264" s="11">
        <v>50926</v>
      </c>
      <c r="M1264" s="10"/>
      <c r="N1264" s="100"/>
      <c r="O1264" s="11">
        <f t="shared" si="295"/>
        <v>50926</v>
      </c>
      <c r="P1264" s="11">
        <f t="shared" si="311"/>
        <v>50926</v>
      </c>
      <c r="Q1264" s="11">
        <v>1.35</v>
      </c>
      <c r="R1264" s="11">
        <f t="shared" si="312"/>
        <v>68750.100000000006</v>
      </c>
      <c r="S1264" s="11"/>
      <c r="T1264" s="136">
        <f t="shared" si="297"/>
        <v>0</v>
      </c>
    </row>
    <row r="1265" spans="1:20" ht="15.75" customHeight="1">
      <c r="A1265" s="149" t="s">
        <v>2401</v>
      </c>
      <c r="B1265" s="273">
        <f t="shared" si="309"/>
        <v>121660</v>
      </c>
      <c r="C1265" s="28" t="s">
        <v>4345</v>
      </c>
      <c r="D1265" s="41"/>
      <c r="E1265" s="131">
        <f t="shared" si="301"/>
        <v>114770</v>
      </c>
      <c r="F1265" s="21" t="s">
        <v>1248</v>
      </c>
      <c r="G1265" s="21">
        <f t="shared" si="310"/>
        <v>126820.84999999999</v>
      </c>
      <c r="H1265" s="135">
        <f t="shared" si="298"/>
        <v>0</v>
      </c>
      <c r="I1265" s="294">
        <v>45138</v>
      </c>
      <c r="J1265" s="294"/>
      <c r="K1265" s="11">
        <f>0.8*0.94*115065</f>
        <v>86528.88</v>
      </c>
      <c r="L1265" s="11">
        <v>85013</v>
      </c>
      <c r="M1265" s="11"/>
      <c r="N1265" s="100"/>
      <c r="O1265" s="11">
        <f t="shared" si="295"/>
        <v>85013</v>
      </c>
      <c r="P1265" s="11">
        <f t="shared" si="311"/>
        <v>85013</v>
      </c>
      <c r="Q1265" s="11">
        <v>1.35</v>
      </c>
      <c r="R1265" s="11">
        <f t="shared" si="312"/>
        <v>114767.55</v>
      </c>
      <c r="S1265" s="11"/>
      <c r="T1265" s="136">
        <f t="shared" si="297"/>
        <v>0</v>
      </c>
    </row>
    <row r="1266" spans="1:20" ht="15.75" customHeight="1">
      <c r="A1266" s="149" t="s">
        <v>2401</v>
      </c>
      <c r="B1266" s="273">
        <f t="shared" si="309"/>
        <v>153990</v>
      </c>
      <c r="C1266" s="28" t="s">
        <v>4346</v>
      </c>
      <c r="D1266" s="41"/>
      <c r="E1266" s="131">
        <f t="shared" si="301"/>
        <v>145270</v>
      </c>
      <c r="F1266" s="21" t="s">
        <v>1248</v>
      </c>
      <c r="G1266" s="21">
        <f t="shared" si="310"/>
        <v>160523.35</v>
      </c>
      <c r="H1266" s="135">
        <f t="shared" si="298"/>
        <v>0</v>
      </c>
      <c r="I1266" s="294">
        <v>45138</v>
      </c>
      <c r="J1266" s="294"/>
      <c r="K1266" s="11">
        <f>0.8*0.94*139878*2</f>
        <v>210376.51199999999</v>
      </c>
      <c r="L1266" s="11">
        <v>107605</v>
      </c>
      <c r="M1266" s="11"/>
      <c r="N1266" s="100"/>
      <c r="O1266" s="11">
        <f t="shared" si="295"/>
        <v>107605</v>
      </c>
      <c r="P1266" s="11">
        <f t="shared" si="311"/>
        <v>107605</v>
      </c>
      <c r="Q1266" s="11">
        <v>1.35</v>
      </c>
      <c r="R1266" s="11">
        <f t="shared" si="312"/>
        <v>145266.75</v>
      </c>
      <c r="S1266" s="11"/>
      <c r="T1266" s="136">
        <f t="shared" si="297"/>
        <v>0</v>
      </c>
    </row>
    <row r="1267" spans="1:20" ht="15.75" customHeight="1">
      <c r="A1267" s="149" t="s">
        <v>2401</v>
      </c>
      <c r="B1267" s="273">
        <f t="shared" si="309"/>
        <v>181720</v>
      </c>
      <c r="C1267" s="28" t="s">
        <v>4347</v>
      </c>
      <c r="D1267" s="41"/>
      <c r="E1267" s="131">
        <f t="shared" si="301"/>
        <v>171430</v>
      </c>
      <c r="F1267" s="21" t="s">
        <v>1248</v>
      </c>
      <c r="G1267" s="21">
        <f t="shared" si="310"/>
        <v>189430.15</v>
      </c>
      <c r="H1267" s="135">
        <f t="shared" si="298"/>
        <v>0</v>
      </c>
      <c r="I1267" s="294">
        <v>45138</v>
      </c>
      <c r="J1267" s="294"/>
      <c r="K1267" s="11">
        <f>0.8*0.94*157056*2</f>
        <v>236212.22399999999</v>
      </c>
      <c r="L1267" s="11">
        <v>126980</v>
      </c>
      <c r="M1267" s="11"/>
      <c r="N1267" s="100"/>
      <c r="O1267" s="11">
        <f t="shared" ref="O1267:O1336" si="313">MIN(K1267:M1267)</f>
        <v>126980</v>
      </c>
      <c r="P1267" s="11">
        <f t="shared" si="311"/>
        <v>126980</v>
      </c>
      <c r="Q1267" s="11">
        <v>1.35</v>
      </c>
      <c r="R1267" s="11">
        <f t="shared" si="312"/>
        <v>171423</v>
      </c>
      <c r="S1267" s="11"/>
      <c r="T1267" s="136">
        <f t="shared" si="297"/>
        <v>0</v>
      </c>
    </row>
    <row r="1268" spans="1:20" ht="15.75" customHeight="1">
      <c r="A1268" s="149" t="s">
        <v>2401</v>
      </c>
      <c r="B1268" s="273">
        <f t="shared" si="309"/>
        <v>187120</v>
      </c>
      <c r="C1268" s="28" t="s">
        <v>3469</v>
      </c>
      <c r="D1268" s="41"/>
      <c r="E1268" s="131">
        <f t="shared" si="301"/>
        <v>176520</v>
      </c>
      <c r="F1268" s="21" t="s">
        <v>1248</v>
      </c>
      <c r="G1268" s="21">
        <f t="shared" si="310"/>
        <v>195054.6</v>
      </c>
      <c r="H1268" s="135">
        <f t="shared" si="298"/>
        <v>0</v>
      </c>
      <c r="I1268" s="294">
        <v>45138</v>
      </c>
      <c r="J1268" s="294"/>
      <c r="K1268" s="11">
        <f>0.8*0.94*190832</f>
        <v>143505.66399999999</v>
      </c>
      <c r="L1268" s="10">
        <v>130754</v>
      </c>
      <c r="M1268" s="11"/>
      <c r="N1268" s="100"/>
      <c r="O1268" s="11">
        <f t="shared" si="313"/>
        <v>130754</v>
      </c>
      <c r="P1268" s="11">
        <f t="shared" si="311"/>
        <v>130754</v>
      </c>
      <c r="Q1268" s="11">
        <v>1.35</v>
      </c>
      <c r="R1268" s="11">
        <f t="shared" si="312"/>
        <v>176517.90000000002</v>
      </c>
      <c r="S1268" s="11"/>
      <c r="T1268" s="136">
        <f t="shared" si="297"/>
        <v>0</v>
      </c>
    </row>
    <row r="1269" spans="1:20" ht="15.75" customHeight="1">
      <c r="A1269" s="149">
        <v>36</v>
      </c>
      <c r="B1269" s="273"/>
      <c r="C1269" s="28" t="s">
        <v>2576</v>
      </c>
      <c r="D1269" s="41"/>
      <c r="E1269" s="131">
        <f t="shared" si="301"/>
        <v>122270</v>
      </c>
      <c r="F1269" s="21" t="s">
        <v>1248</v>
      </c>
      <c r="G1269" s="21">
        <f t="shared" si="310"/>
        <v>135108.35</v>
      </c>
      <c r="H1269" s="135">
        <f t="shared" si="298"/>
        <v>0</v>
      </c>
      <c r="I1269" s="294">
        <v>45166</v>
      </c>
      <c r="J1269" s="294">
        <v>45331</v>
      </c>
      <c r="K1269" s="10">
        <f>0.8*0.94*112132</f>
        <v>84323.263999999996</v>
      </c>
      <c r="L1269" s="10"/>
      <c r="M1269" s="11"/>
      <c r="N1269" s="10"/>
      <c r="O1269" s="11">
        <f t="shared" si="313"/>
        <v>84323.263999999996</v>
      </c>
      <c r="P1269" s="11">
        <f t="shared" si="311"/>
        <v>84323.263999999996</v>
      </c>
      <c r="Q1269" s="11">
        <v>1.45</v>
      </c>
      <c r="R1269" s="11">
        <f t="shared" si="312"/>
        <v>122268.73279999998</v>
      </c>
      <c r="S1269" s="11"/>
      <c r="T1269" s="136">
        <f t="shared" si="297"/>
        <v>0</v>
      </c>
    </row>
    <row r="1270" spans="1:20" ht="15.75" customHeight="1">
      <c r="A1270" s="149">
        <v>41</v>
      </c>
      <c r="B1270" s="273"/>
      <c r="C1270" s="28" t="s">
        <v>4296</v>
      </c>
      <c r="D1270" s="41"/>
      <c r="E1270" s="132">
        <f t="shared" si="301"/>
        <v>313840</v>
      </c>
      <c r="F1270" s="21" t="s">
        <v>1248</v>
      </c>
      <c r="G1270" s="21">
        <f t="shared" si="310"/>
        <v>346793.2</v>
      </c>
      <c r="H1270" s="135">
        <f t="shared" si="298"/>
        <v>224920</v>
      </c>
      <c r="I1270" s="294">
        <v>45311</v>
      </c>
      <c r="J1270" s="294"/>
      <c r="K1270" s="10">
        <f>PROVEEDORES!D35*0.9*0.9*255</f>
        <v>221008.5</v>
      </c>
      <c r="L1270" s="10"/>
      <c r="M1270" s="172"/>
      <c r="N1270" s="100">
        <f>0.9*0.95*0.95*195000</f>
        <v>158388.74999999997</v>
      </c>
      <c r="O1270" s="11">
        <f t="shared" si="313"/>
        <v>221008.5</v>
      </c>
      <c r="P1270" s="11">
        <f t="shared" si="311"/>
        <v>221008.5</v>
      </c>
      <c r="Q1270" s="11">
        <v>1.42</v>
      </c>
      <c r="R1270" s="11">
        <f t="shared" si="312"/>
        <v>313832.07</v>
      </c>
      <c r="S1270" s="11"/>
      <c r="T1270" s="136">
        <f t="shared" si="297"/>
        <v>224912.02499999994</v>
      </c>
    </row>
    <row r="1271" spans="1:20" ht="15.75" customHeight="1">
      <c r="A1271" s="149">
        <v>41</v>
      </c>
      <c r="B1271" s="273">
        <f t="shared" si="309"/>
        <v>674710</v>
      </c>
      <c r="C1271" s="28" t="s">
        <v>4297</v>
      </c>
      <c r="D1271" s="41"/>
      <c r="E1271" s="132">
        <f t="shared" si="301"/>
        <v>636510</v>
      </c>
      <c r="F1271" s="21" t="s">
        <v>1248</v>
      </c>
      <c r="G1271" s="21">
        <f t="shared" si="310"/>
        <v>703343.55</v>
      </c>
      <c r="H1271" s="135">
        <f t="shared" si="298"/>
        <v>513180</v>
      </c>
      <c r="I1271" s="294">
        <v>45311</v>
      </c>
      <c r="J1271" s="294"/>
      <c r="K1271" s="10">
        <f>PROVEEDORES!D35*0.9*0.9*544</f>
        <v>471484.80000000005</v>
      </c>
      <c r="L1271" s="10"/>
      <c r="M1271" s="172"/>
      <c r="N1271" s="100">
        <f>0.9*0.95*0.95*468000</f>
        <v>380132.99999999994</v>
      </c>
      <c r="O1271" s="11">
        <f t="shared" si="313"/>
        <v>471484.80000000005</v>
      </c>
      <c r="P1271" s="11">
        <f t="shared" si="311"/>
        <v>471484.80000000005</v>
      </c>
      <c r="Q1271" s="11">
        <v>1.35</v>
      </c>
      <c r="R1271" s="11">
        <f t="shared" si="312"/>
        <v>636504.4800000001</v>
      </c>
      <c r="S1271" s="11"/>
      <c r="T1271" s="136">
        <f t="shared" si="297"/>
        <v>513179.54999999993</v>
      </c>
    </row>
    <row r="1272" spans="1:20" ht="15.75" customHeight="1">
      <c r="A1272" s="149">
        <v>108</v>
      </c>
      <c r="B1272" s="273"/>
      <c r="C1272" s="28" t="s">
        <v>4134</v>
      </c>
      <c r="D1272" s="41"/>
      <c r="E1272" s="131">
        <f t="shared" si="301"/>
        <v>117790</v>
      </c>
      <c r="F1272" s="21" t="s">
        <v>1248</v>
      </c>
      <c r="G1272" s="21">
        <f t="shared" si="310"/>
        <v>130157.95</v>
      </c>
      <c r="H1272" s="135">
        <f t="shared" si="298"/>
        <v>0</v>
      </c>
      <c r="I1272" s="294">
        <v>45252</v>
      </c>
      <c r="J1272" s="294">
        <v>45370</v>
      </c>
      <c r="K1272" s="11">
        <f>0.765*106184</f>
        <v>81230.759999999995</v>
      </c>
      <c r="L1272" s="10"/>
      <c r="M1272" s="172"/>
      <c r="N1272" s="100"/>
      <c r="O1272" s="11">
        <f t="shared" si="313"/>
        <v>81230.759999999995</v>
      </c>
      <c r="P1272" s="11">
        <f t="shared" si="311"/>
        <v>81230.759999999995</v>
      </c>
      <c r="Q1272" s="11">
        <v>1.45</v>
      </c>
      <c r="R1272" s="11">
        <f t="shared" si="312"/>
        <v>117784.60199999998</v>
      </c>
      <c r="S1272" s="11"/>
      <c r="T1272" s="136">
        <f t="shared" si="297"/>
        <v>0</v>
      </c>
    </row>
    <row r="1273" spans="1:20" ht="15.75" customHeight="1">
      <c r="A1273" s="149">
        <v>52</v>
      </c>
      <c r="B1273" s="273"/>
      <c r="C1273" s="28" t="s">
        <v>3656</v>
      </c>
      <c r="D1273" s="41">
        <v>7300</v>
      </c>
      <c r="E1273" s="131">
        <f t="shared" si="301"/>
        <v>0</v>
      </c>
      <c r="F1273" s="21" t="s">
        <v>1248</v>
      </c>
      <c r="G1273" s="21"/>
      <c r="H1273" s="135">
        <f t="shared" si="298"/>
        <v>0</v>
      </c>
      <c r="I1273" s="294"/>
      <c r="J1273" s="294">
        <v>43798</v>
      </c>
      <c r="K1273" s="10">
        <f>5004*0.9*1.4*1.25*1.1</f>
        <v>8669.43</v>
      </c>
      <c r="L1273" s="10">
        <f>PROVEEDORES!D46*0.9*0.93*0.95*124</f>
        <v>103528.53</v>
      </c>
      <c r="M1273" s="11"/>
      <c r="N1273" s="100"/>
      <c r="O1273" s="11">
        <f t="shared" si="313"/>
        <v>8669.43</v>
      </c>
      <c r="P1273" s="11">
        <f t="shared" si="311"/>
        <v>8669.43</v>
      </c>
      <c r="Q1273" s="11"/>
      <c r="R1273" s="11">
        <f t="shared" si="312"/>
        <v>0</v>
      </c>
      <c r="S1273" s="11"/>
      <c r="T1273" s="136">
        <f t="shared" si="297"/>
        <v>0</v>
      </c>
    </row>
    <row r="1274" spans="1:20" ht="15.75" customHeight="1">
      <c r="A1274" s="149">
        <v>52</v>
      </c>
      <c r="B1274" s="273"/>
      <c r="C1274" s="28" t="s">
        <v>4426</v>
      </c>
      <c r="D1274" s="41">
        <v>13800</v>
      </c>
      <c r="E1274" s="131">
        <f t="shared" si="301"/>
        <v>495030</v>
      </c>
      <c r="F1274" s="21" t="s">
        <v>1248</v>
      </c>
      <c r="G1274" s="21">
        <f t="shared" si="310"/>
        <v>547008.15</v>
      </c>
      <c r="H1274" s="135">
        <f t="shared" si="298"/>
        <v>0</v>
      </c>
      <c r="I1274" s="294">
        <v>45112</v>
      </c>
      <c r="J1274" s="294">
        <v>45195</v>
      </c>
      <c r="K1274" s="10">
        <f>+PROVEEDORES!D46*0.75*449</f>
        <v>353587.5</v>
      </c>
      <c r="L1274" s="10"/>
      <c r="M1274" s="11"/>
      <c r="N1274" s="100"/>
      <c r="O1274" s="11">
        <f t="shared" si="313"/>
        <v>353587.5</v>
      </c>
      <c r="P1274" s="11">
        <f t="shared" si="311"/>
        <v>353587.5</v>
      </c>
      <c r="Q1274" s="11">
        <v>1.4</v>
      </c>
      <c r="R1274" s="11">
        <f t="shared" si="312"/>
        <v>495022.49999999994</v>
      </c>
      <c r="S1274" s="11"/>
      <c r="T1274" s="136">
        <f t="shared" si="297"/>
        <v>0</v>
      </c>
    </row>
    <row r="1275" spans="1:20" ht="15.75" customHeight="1">
      <c r="A1275" s="149" t="s">
        <v>2387</v>
      </c>
      <c r="B1275" s="273"/>
      <c r="C1275" s="28" t="s">
        <v>4358</v>
      </c>
      <c r="D1275" s="41">
        <v>350</v>
      </c>
      <c r="E1275" s="131">
        <f t="shared" si="301"/>
        <v>1890</v>
      </c>
      <c r="F1275" s="21">
        <f t="shared" ref="F1275:F1308" si="314">+E1275*1.21</f>
        <v>2286.9</v>
      </c>
      <c r="G1275" s="21"/>
      <c r="H1275" s="135">
        <f t="shared" si="298"/>
        <v>0</v>
      </c>
      <c r="I1275" s="294">
        <v>45138</v>
      </c>
      <c r="J1275" s="294"/>
      <c r="K1275" s="10"/>
      <c r="L1275" s="11">
        <f>+'AUMENTOS %'!$C$11*1256</f>
        <v>1256</v>
      </c>
      <c r="M1275" s="11"/>
      <c r="N1275" s="100"/>
      <c r="O1275" s="11">
        <f t="shared" si="313"/>
        <v>1256</v>
      </c>
      <c r="P1275" s="11">
        <f>+O1275*'AUMENTOS %'!$D$11</f>
        <v>1256</v>
      </c>
      <c r="Q1275" s="11">
        <v>1.5</v>
      </c>
      <c r="R1275" s="11">
        <f t="shared" si="312"/>
        <v>1884</v>
      </c>
      <c r="S1275" s="11"/>
      <c r="T1275" s="136">
        <f t="shared" si="297"/>
        <v>0</v>
      </c>
    </row>
    <row r="1276" spans="1:20" ht="15.75" customHeight="1">
      <c r="A1276" s="149" t="s">
        <v>2387</v>
      </c>
      <c r="B1276" s="273"/>
      <c r="C1276" s="28" t="s">
        <v>4359</v>
      </c>
      <c r="D1276" s="41">
        <v>320</v>
      </c>
      <c r="E1276" s="131">
        <f t="shared" si="301"/>
        <v>1750</v>
      </c>
      <c r="F1276" s="21">
        <f t="shared" si="314"/>
        <v>2117.5</v>
      </c>
      <c r="G1276" s="21">
        <f>224920*1.105</f>
        <v>248536.6</v>
      </c>
      <c r="H1276" s="135">
        <f t="shared" si="298"/>
        <v>0</v>
      </c>
      <c r="I1276" s="23">
        <v>45275</v>
      </c>
      <c r="J1276" s="294"/>
      <c r="K1276" s="10"/>
      <c r="L1276" s="11">
        <f>+'AUMENTOS %'!$C$11*1162</f>
        <v>1162</v>
      </c>
      <c r="M1276" s="11"/>
      <c r="N1276" s="100"/>
      <c r="O1276" s="11">
        <f t="shared" si="313"/>
        <v>1162</v>
      </c>
      <c r="P1276" s="11">
        <f>+O1276*'AUMENTOS %'!$D$11</f>
        <v>1162</v>
      </c>
      <c r="Q1276" s="11">
        <v>1.5</v>
      </c>
      <c r="R1276" s="11">
        <f t="shared" si="312"/>
        <v>1743</v>
      </c>
      <c r="S1276" s="11"/>
      <c r="T1276" s="136">
        <f t="shared" si="297"/>
        <v>0</v>
      </c>
    </row>
    <row r="1277" spans="1:20" ht="15.75" customHeight="1">
      <c r="A1277" s="149" t="s">
        <v>2387</v>
      </c>
      <c r="B1277" s="273"/>
      <c r="C1277" s="28" t="s">
        <v>4360</v>
      </c>
      <c r="D1277" s="41">
        <v>350</v>
      </c>
      <c r="E1277" s="131">
        <f t="shared" si="301"/>
        <v>2000</v>
      </c>
      <c r="F1277" s="21">
        <f t="shared" si="314"/>
        <v>2420</v>
      </c>
      <c r="G1277" s="21"/>
      <c r="H1277" s="135">
        <f t="shared" si="298"/>
        <v>0</v>
      </c>
      <c r="I1277" s="23">
        <v>45275</v>
      </c>
      <c r="J1277" s="294"/>
      <c r="K1277" s="10"/>
      <c r="L1277" s="11">
        <f>+'AUMENTOS %'!$C$11*1329</f>
        <v>1329</v>
      </c>
      <c r="M1277" s="11"/>
      <c r="N1277" s="100"/>
      <c r="O1277" s="11">
        <f t="shared" si="313"/>
        <v>1329</v>
      </c>
      <c r="P1277" s="11">
        <f>+O1277*'AUMENTOS %'!$D$11</f>
        <v>1329</v>
      </c>
      <c r="Q1277" s="11">
        <v>1.5</v>
      </c>
      <c r="R1277" s="11">
        <f t="shared" si="312"/>
        <v>1993.5</v>
      </c>
      <c r="S1277" s="11"/>
      <c r="T1277" s="136">
        <f t="shared" si="297"/>
        <v>0</v>
      </c>
    </row>
    <row r="1278" spans="1:20" ht="15.75" customHeight="1">
      <c r="A1278" s="149" t="s">
        <v>2387</v>
      </c>
      <c r="B1278" s="273"/>
      <c r="C1278" s="28" t="s">
        <v>4361</v>
      </c>
      <c r="D1278" s="41">
        <v>360</v>
      </c>
      <c r="E1278" s="131">
        <f t="shared" si="301"/>
        <v>1940</v>
      </c>
      <c r="F1278" s="21">
        <f t="shared" si="314"/>
        <v>2347.4</v>
      </c>
      <c r="G1278" s="21">
        <f>98000*1.25*1.35</f>
        <v>165375</v>
      </c>
      <c r="H1278" s="135">
        <f t="shared" si="298"/>
        <v>0</v>
      </c>
      <c r="I1278" s="23">
        <v>45275</v>
      </c>
      <c r="J1278" s="294"/>
      <c r="K1278" s="10"/>
      <c r="L1278" s="11">
        <f>+'AUMENTOS %'!$C$11*1291</f>
        <v>1291</v>
      </c>
      <c r="M1278" s="11"/>
      <c r="N1278" s="100"/>
      <c r="O1278" s="11">
        <f t="shared" si="313"/>
        <v>1291</v>
      </c>
      <c r="P1278" s="11">
        <f>+O1278*'AUMENTOS %'!$D$11</f>
        <v>1291</v>
      </c>
      <c r="Q1278" s="11">
        <v>1.5</v>
      </c>
      <c r="R1278" s="11">
        <f t="shared" si="312"/>
        <v>1936.5</v>
      </c>
      <c r="S1278" s="11"/>
      <c r="T1278" s="136">
        <f>+N1278*Q1278</f>
        <v>0</v>
      </c>
    </row>
    <row r="1279" spans="1:20" ht="15.75" customHeight="1">
      <c r="A1279" s="149">
        <v>38</v>
      </c>
      <c r="B1279" s="273"/>
      <c r="C1279" s="28" t="s">
        <v>3953</v>
      </c>
      <c r="D1279" s="41">
        <v>360</v>
      </c>
      <c r="E1279" s="131">
        <f t="shared" si="301"/>
        <v>1480</v>
      </c>
      <c r="F1279" s="21">
        <f t="shared" si="314"/>
        <v>1790.8</v>
      </c>
      <c r="G1279" s="21"/>
      <c r="H1279" s="135">
        <f t="shared" si="298"/>
        <v>1290</v>
      </c>
      <c r="I1279" s="294">
        <v>45138</v>
      </c>
      <c r="J1279" s="294">
        <v>45274</v>
      </c>
      <c r="K1279" s="10">
        <f>+PROVEEDORES!D32*8.8/10</f>
        <v>924</v>
      </c>
      <c r="L1279" s="11"/>
      <c r="M1279" s="11"/>
      <c r="N1279" s="100">
        <v>801.2</v>
      </c>
      <c r="O1279" s="11">
        <f t="shared" si="313"/>
        <v>924</v>
      </c>
      <c r="P1279" s="11">
        <f t="shared" si="311"/>
        <v>924</v>
      </c>
      <c r="Q1279" s="11">
        <v>1.6</v>
      </c>
      <c r="R1279" s="11">
        <f t="shared" si="312"/>
        <v>1478.4</v>
      </c>
      <c r="S1279" s="11"/>
      <c r="T1279" s="136">
        <f>+N1279*Q1279</f>
        <v>1281.92</v>
      </c>
    </row>
    <row r="1280" spans="1:20" ht="15.75" customHeight="1">
      <c r="A1280" s="149">
        <v>38</v>
      </c>
      <c r="B1280" s="273"/>
      <c r="C1280" s="28" t="s">
        <v>4236</v>
      </c>
      <c r="D1280" s="41">
        <v>360</v>
      </c>
      <c r="E1280" s="131">
        <f>ROUNDUP(R1280,-1)</f>
        <v>27460</v>
      </c>
      <c r="F1280" s="21">
        <f>+E1280*1.21</f>
        <v>33226.6</v>
      </c>
      <c r="G1280" s="21"/>
      <c r="H1280" s="135">
        <f>ROUNDUP(T1280,-1)</f>
        <v>23790</v>
      </c>
      <c r="I1280" s="294">
        <v>45138</v>
      </c>
      <c r="J1280" s="294">
        <v>45274</v>
      </c>
      <c r="K1280" s="10">
        <f>+PROVEEDORES!D32*16.34</f>
        <v>17157</v>
      </c>
      <c r="L1280" s="196"/>
      <c r="M1280" s="11"/>
      <c r="N1280" s="100">
        <v>14866</v>
      </c>
      <c r="O1280" s="11">
        <f>MIN(K1280:M1280)</f>
        <v>17157</v>
      </c>
      <c r="P1280" s="11">
        <f t="shared" si="311"/>
        <v>17157</v>
      </c>
      <c r="Q1280" s="11">
        <v>1.6</v>
      </c>
      <c r="R1280" s="11">
        <f t="shared" si="312"/>
        <v>27451.200000000001</v>
      </c>
      <c r="S1280" s="11"/>
      <c r="T1280" s="136">
        <f>+N1280*Q1280</f>
        <v>23785.600000000002</v>
      </c>
    </row>
    <row r="1281" spans="1:20" ht="15.75" customHeight="1">
      <c r="A1281" s="149">
        <v>27</v>
      </c>
      <c r="B1281" s="273"/>
      <c r="C1281" s="28" t="s">
        <v>2425</v>
      </c>
      <c r="D1281" s="41">
        <v>120</v>
      </c>
      <c r="E1281" s="131">
        <f t="shared" si="301"/>
        <v>0</v>
      </c>
      <c r="F1281" s="21">
        <f t="shared" si="314"/>
        <v>0</v>
      </c>
      <c r="G1281" s="21"/>
      <c r="H1281" s="135">
        <f t="shared" si="298"/>
        <v>0</v>
      </c>
      <c r="I1281" s="294">
        <v>42948</v>
      </c>
      <c r="J1281" s="294"/>
      <c r="K1281" s="10">
        <f>78*1.5</f>
        <v>117</v>
      </c>
      <c r="L1281" s="11"/>
      <c r="M1281" s="11"/>
      <c r="N1281" s="100"/>
      <c r="O1281" s="11">
        <f t="shared" si="313"/>
        <v>117</v>
      </c>
      <c r="P1281" s="11">
        <f t="shared" si="311"/>
        <v>117</v>
      </c>
      <c r="Q1281" s="11"/>
      <c r="R1281" s="11">
        <f t="shared" si="312"/>
        <v>0</v>
      </c>
      <c r="S1281" s="11"/>
      <c r="T1281" s="136">
        <f>+N1281*Q1281</f>
        <v>0</v>
      </c>
    </row>
    <row r="1282" spans="1:20" ht="15.75" customHeight="1">
      <c r="A1282" s="149" t="s">
        <v>2398</v>
      </c>
      <c r="B1282" s="273"/>
      <c r="C1282" s="28" t="s">
        <v>3781</v>
      </c>
      <c r="D1282" s="41">
        <v>970</v>
      </c>
      <c r="E1282" s="131">
        <f t="shared" si="301"/>
        <v>35240</v>
      </c>
      <c r="F1282" s="21">
        <f t="shared" si="314"/>
        <v>42640.4</v>
      </c>
      <c r="G1282" s="21"/>
      <c r="H1282" s="135">
        <f t="shared" ref="H1282:H1354" si="315">ROUNDUP(T1282,-1)</f>
        <v>0</v>
      </c>
      <c r="I1282" s="23">
        <v>45323</v>
      </c>
      <c r="J1282" s="294"/>
      <c r="K1282" s="10">
        <f>0.8*0.98*0.94*0.95*32471</f>
        <v>22733.336751999999</v>
      </c>
      <c r="L1282" s="11"/>
      <c r="M1282" s="11"/>
      <c r="N1282" s="100"/>
      <c r="O1282" s="11">
        <f t="shared" si="313"/>
        <v>22733.336751999999</v>
      </c>
      <c r="P1282" s="11">
        <f>+O1282*'AUMENTOS %'!$B$5</f>
        <v>22733.336751999999</v>
      </c>
      <c r="Q1282" s="11">
        <v>1.55</v>
      </c>
      <c r="R1282" s="11">
        <f t="shared" si="312"/>
        <v>35236.671965599999</v>
      </c>
      <c r="S1282" s="11"/>
      <c r="T1282" s="136">
        <f>+N1282*Q1282</f>
        <v>0</v>
      </c>
    </row>
    <row r="1283" spans="1:20" ht="15.75" customHeight="1">
      <c r="A1283" s="149" t="s">
        <v>2398</v>
      </c>
      <c r="B1283" s="273"/>
      <c r="C1283" s="28" t="s">
        <v>3782</v>
      </c>
      <c r="D1283" s="41">
        <v>970</v>
      </c>
      <c r="E1283" s="131">
        <f t="shared" si="301"/>
        <v>47150</v>
      </c>
      <c r="F1283" s="21">
        <f t="shared" si="314"/>
        <v>57051.5</v>
      </c>
      <c r="G1283" s="21"/>
      <c r="H1283" s="135">
        <f t="shared" si="315"/>
        <v>0</v>
      </c>
      <c r="I1283" s="23">
        <v>45323</v>
      </c>
      <c r="J1283" s="294"/>
      <c r="K1283" s="10">
        <f>0.8*0.98*0.94*0.95*43447</f>
        <v>30417.766063999999</v>
      </c>
      <c r="L1283" s="11"/>
      <c r="M1283" s="11"/>
      <c r="N1283" s="100"/>
      <c r="O1283" s="11">
        <f t="shared" si="313"/>
        <v>30417.766063999999</v>
      </c>
      <c r="P1283" s="11">
        <f>+O1283*'AUMENTOS %'!$B$5</f>
        <v>30417.766063999999</v>
      </c>
      <c r="Q1283" s="11">
        <v>1.55</v>
      </c>
      <c r="R1283" s="11">
        <f t="shared" si="312"/>
        <v>47147.537399200002</v>
      </c>
      <c r="S1283" s="11"/>
      <c r="T1283" s="136"/>
    </row>
    <row r="1284" spans="1:20" ht="15.75" customHeight="1">
      <c r="A1284" s="149" t="s">
        <v>2398</v>
      </c>
      <c r="B1284" s="273"/>
      <c r="C1284" s="28" t="s">
        <v>3611</v>
      </c>
      <c r="D1284" s="41">
        <v>970</v>
      </c>
      <c r="E1284" s="131">
        <f t="shared" si="301"/>
        <v>26750</v>
      </c>
      <c r="F1284" s="21">
        <f t="shared" si="314"/>
        <v>32367.5</v>
      </c>
      <c r="G1284" s="21"/>
      <c r="H1284" s="135">
        <f t="shared" si="315"/>
        <v>0</v>
      </c>
      <c r="I1284" s="23">
        <v>45323</v>
      </c>
      <c r="J1284" s="294"/>
      <c r="K1284" s="10">
        <f>0.8*0.98*0.94*0.95*24650</f>
        <v>17257.7608</v>
      </c>
      <c r="L1284" s="11"/>
      <c r="M1284" s="11"/>
      <c r="N1284" s="100"/>
      <c r="O1284" s="11">
        <f t="shared" si="313"/>
        <v>17257.7608</v>
      </c>
      <c r="P1284" s="11">
        <f>+O1284*'AUMENTOS %'!$B$5</f>
        <v>17257.7608</v>
      </c>
      <c r="Q1284" s="11">
        <v>1.55</v>
      </c>
      <c r="R1284" s="11">
        <f t="shared" si="312"/>
        <v>26749.52924</v>
      </c>
      <c r="S1284" s="11"/>
      <c r="T1284" s="136">
        <f t="shared" ref="T1284:T1361" si="316">+N1284*Q1284</f>
        <v>0</v>
      </c>
    </row>
    <row r="1285" spans="1:20" ht="15.75" customHeight="1">
      <c r="A1285" s="149" t="s">
        <v>2398</v>
      </c>
      <c r="B1285" s="273"/>
      <c r="C1285" s="28" t="s">
        <v>1606</v>
      </c>
      <c r="D1285" s="41">
        <v>970</v>
      </c>
      <c r="E1285" s="131">
        <f t="shared" si="301"/>
        <v>19660</v>
      </c>
      <c r="F1285" s="21">
        <f t="shared" si="314"/>
        <v>23788.6</v>
      </c>
      <c r="G1285" s="21"/>
      <c r="H1285" s="135">
        <f t="shared" si="315"/>
        <v>0</v>
      </c>
      <c r="I1285" s="23">
        <v>45323</v>
      </c>
      <c r="J1285" s="294"/>
      <c r="K1285" s="10">
        <f>0.8*0.98*0.94*0.95*18111</f>
        <v>12679.728432</v>
      </c>
      <c r="L1285" s="11"/>
      <c r="M1285" s="11"/>
      <c r="N1285" s="100"/>
      <c r="O1285" s="11">
        <f t="shared" si="313"/>
        <v>12679.728432</v>
      </c>
      <c r="P1285" s="11">
        <f>+O1285*'AUMENTOS %'!$B$5</f>
        <v>12679.728432</v>
      </c>
      <c r="Q1285" s="11">
        <v>1.55</v>
      </c>
      <c r="R1285" s="11">
        <f t="shared" si="312"/>
        <v>19653.5790696</v>
      </c>
      <c r="S1285" s="11"/>
      <c r="T1285" s="136">
        <f t="shared" si="316"/>
        <v>0</v>
      </c>
    </row>
    <row r="1286" spans="1:20" ht="15.75" customHeight="1">
      <c r="A1286" s="149" t="s">
        <v>2398</v>
      </c>
      <c r="B1286" s="273"/>
      <c r="C1286" s="28" t="s">
        <v>1607</v>
      </c>
      <c r="D1286" s="41">
        <v>1120</v>
      </c>
      <c r="E1286" s="131">
        <f t="shared" si="301"/>
        <v>22590</v>
      </c>
      <c r="F1286" s="21">
        <f t="shared" si="314"/>
        <v>27333.899999999998</v>
      </c>
      <c r="G1286" s="21"/>
      <c r="H1286" s="135">
        <f t="shared" si="315"/>
        <v>0</v>
      </c>
      <c r="I1286" s="23">
        <v>45323</v>
      </c>
      <c r="J1286" s="294"/>
      <c r="K1286" s="11">
        <f>0.8*0.98*0.94*0.95*20809</f>
        <v>14568.630607999999</v>
      </c>
      <c r="L1286" s="11"/>
      <c r="M1286" s="11"/>
      <c r="N1286" s="100"/>
      <c r="O1286" s="11">
        <f t="shared" si="313"/>
        <v>14568.630607999999</v>
      </c>
      <c r="P1286" s="11">
        <f>+O1286*'AUMENTOS %'!$B$5</f>
        <v>14568.630607999999</v>
      </c>
      <c r="Q1286" s="11">
        <v>1.55</v>
      </c>
      <c r="R1286" s="11">
        <f t="shared" si="312"/>
        <v>22581.3774424</v>
      </c>
      <c r="S1286" s="11"/>
      <c r="T1286" s="136">
        <f t="shared" si="316"/>
        <v>0</v>
      </c>
    </row>
    <row r="1287" spans="1:20" ht="15.75" customHeight="1">
      <c r="A1287" s="149" t="s">
        <v>2398</v>
      </c>
      <c r="B1287" s="273"/>
      <c r="C1287" s="28" t="s">
        <v>1608</v>
      </c>
      <c r="D1287" s="41">
        <v>790</v>
      </c>
      <c r="E1287" s="131">
        <f t="shared" si="301"/>
        <v>17670</v>
      </c>
      <c r="F1287" s="21">
        <f t="shared" si="314"/>
        <v>21380.7</v>
      </c>
      <c r="G1287" s="21"/>
      <c r="H1287" s="135">
        <f t="shared" si="315"/>
        <v>0</v>
      </c>
      <c r="I1287" s="23">
        <v>45323</v>
      </c>
      <c r="J1287" s="294"/>
      <c r="K1287" s="143">
        <f>0.8*0.98*0.94*0.95*16281</f>
        <v>11398.523471999999</v>
      </c>
      <c r="L1287" s="11">
        <f>11400*1.42</f>
        <v>16188</v>
      </c>
      <c r="M1287" s="11"/>
      <c r="N1287" s="100"/>
      <c r="O1287" s="11">
        <f t="shared" si="313"/>
        <v>11398.523471999999</v>
      </c>
      <c r="P1287" s="11">
        <f>+O1287*'AUMENTOS %'!$B$5</f>
        <v>11398.523471999999</v>
      </c>
      <c r="Q1287" s="11">
        <v>1.55</v>
      </c>
      <c r="R1287" s="11">
        <f t="shared" si="312"/>
        <v>17667.711381599998</v>
      </c>
      <c r="S1287" s="11"/>
      <c r="T1287" s="136">
        <f t="shared" si="316"/>
        <v>0</v>
      </c>
    </row>
    <row r="1288" spans="1:20" ht="15.75" customHeight="1">
      <c r="A1288" s="149" t="s">
        <v>2398</v>
      </c>
      <c r="B1288" s="273"/>
      <c r="C1288" s="28" t="s">
        <v>1609</v>
      </c>
      <c r="D1288" s="41">
        <v>1450</v>
      </c>
      <c r="E1288" s="131">
        <f t="shared" si="301"/>
        <v>29290</v>
      </c>
      <c r="F1288" s="21">
        <f t="shared" si="314"/>
        <v>35440.9</v>
      </c>
      <c r="G1288" s="21"/>
      <c r="H1288" s="135">
        <f t="shared" si="315"/>
        <v>0</v>
      </c>
      <c r="I1288" s="23">
        <v>45323</v>
      </c>
      <c r="J1288" s="294"/>
      <c r="K1288" s="10">
        <f>0.8*0.98*0.94*0.95*26983</f>
        <v>18891.122095999999</v>
      </c>
      <c r="L1288" s="11"/>
      <c r="M1288" s="11"/>
      <c r="N1288" s="100"/>
      <c r="O1288" s="11">
        <f t="shared" si="313"/>
        <v>18891.122095999999</v>
      </c>
      <c r="P1288" s="11">
        <f>+O1288*'AUMENTOS %'!$B$5</f>
        <v>18891.122095999999</v>
      </c>
      <c r="Q1288" s="11">
        <v>1.55</v>
      </c>
      <c r="R1288" s="11">
        <f t="shared" si="312"/>
        <v>29281.2392488</v>
      </c>
      <c r="S1288" s="11"/>
      <c r="T1288" s="136">
        <f t="shared" si="316"/>
        <v>0</v>
      </c>
    </row>
    <row r="1289" spans="1:20" ht="15.75" customHeight="1">
      <c r="A1289" s="149" t="s">
        <v>2398</v>
      </c>
      <c r="B1289" s="273"/>
      <c r="C1289" s="28" t="s">
        <v>1610</v>
      </c>
      <c r="D1289" s="41">
        <v>1080</v>
      </c>
      <c r="E1289" s="131">
        <f t="shared" si="301"/>
        <v>24270</v>
      </c>
      <c r="F1289" s="21">
        <f t="shared" si="314"/>
        <v>29366.7</v>
      </c>
      <c r="G1289" s="21"/>
      <c r="H1289" s="135">
        <f t="shared" si="315"/>
        <v>0</v>
      </c>
      <c r="I1289" s="23">
        <v>45323</v>
      </c>
      <c r="J1289" s="294"/>
      <c r="K1289" s="10">
        <f>0.8*0.98*0.94*0.95*22364</f>
        <v>15657.304767999998</v>
      </c>
      <c r="L1289" s="11"/>
      <c r="M1289" s="11"/>
      <c r="N1289" s="100"/>
      <c r="O1289" s="11">
        <f t="shared" si="313"/>
        <v>15657.304767999998</v>
      </c>
      <c r="P1289" s="11">
        <f>+O1289*'AUMENTOS %'!$B$5</f>
        <v>15657.304767999998</v>
      </c>
      <c r="Q1289" s="11">
        <v>1.55</v>
      </c>
      <c r="R1289" s="11">
        <f t="shared" si="312"/>
        <v>24268.822390399997</v>
      </c>
      <c r="S1289" s="11"/>
      <c r="T1289" s="136">
        <f t="shared" si="316"/>
        <v>0</v>
      </c>
    </row>
    <row r="1290" spans="1:20" ht="15.75" customHeight="1">
      <c r="A1290" s="149" t="s">
        <v>2398</v>
      </c>
      <c r="B1290" s="273"/>
      <c r="C1290" s="28" t="s">
        <v>1611</v>
      </c>
      <c r="D1290" s="41">
        <v>2100</v>
      </c>
      <c r="E1290" s="131">
        <f t="shared" si="301"/>
        <v>42440</v>
      </c>
      <c r="F1290" s="21">
        <f t="shared" si="314"/>
        <v>51352.4</v>
      </c>
      <c r="G1290" s="21"/>
      <c r="H1290" s="135">
        <f t="shared" si="315"/>
        <v>0</v>
      </c>
      <c r="I1290" s="23">
        <v>45323</v>
      </c>
      <c r="J1290" s="294"/>
      <c r="K1290" s="10">
        <f>0.8*0.98*0.94*0.95*39102</f>
        <v>27375.779423999997</v>
      </c>
      <c r="L1290" s="11"/>
      <c r="M1290" s="196"/>
      <c r="N1290" s="100"/>
      <c r="O1290" s="11">
        <f t="shared" si="313"/>
        <v>27375.779423999997</v>
      </c>
      <c r="P1290" s="11">
        <f>+O1290*'AUMENTOS %'!$B$5</f>
        <v>27375.779423999997</v>
      </c>
      <c r="Q1290" s="11">
        <v>1.55</v>
      </c>
      <c r="R1290" s="11">
        <f t="shared" si="312"/>
        <v>42432.458107199993</v>
      </c>
      <c r="S1290" s="11"/>
      <c r="T1290" s="136">
        <f t="shared" si="316"/>
        <v>0</v>
      </c>
    </row>
    <row r="1291" spans="1:20" ht="15.75" customHeight="1">
      <c r="A1291" s="149">
        <v>18</v>
      </c>
      <c r="B1291" s="273"/>
      <c r="C1291" s="28" t="s">
        <v>2933</v>
      </c>
      <c r="D1291" s="41">
        <v>1770</v>
      </c>
      <c r="E1291" s="131">
        <f t="shared" si="301"/>
        <v>31370</v>
      </c>
      <c r="F1291" s="21">
        <f t="shared" si="314"/>
        <v>37957.699999999997</v>
      </c>
      <c r="G1291" s="21"/>
      <c r="H1291" s="135">
        <f t="shared" si="315"/>
        <v>0</v>
      </c>
      <c r="I1291" s="23">
        <v>45323</v>
      </c>
      <c r="J1291" s="294"/>
      <c r="K1291" s="10">
        <f>0.8*0.98*0.94*0.95*28904</f>
        <v>20236.037248000001</v>
      </c>
      <c r="L1291" s="11"/>
      <c r="M1291" s="11"/>
      <c r="N1291" s="100"/>
      <c r="O1291" s="11">
        <f t="shared" si="313"/>
        <v>20236.037248000001</v>
      </c>
      <c r="P1291" s="11">
        <f>+O1291*'AUMENTOS %'!$B$5</f>
        <v>20236.037248000001</v>
      </c>
      <c r="Q1291" s="11">
        <v>1.55</v>
      </c>
      <c r="R1291" s="11">
        <f t="shared" si="312"/>
        <v>31365.8577344</v>
      </c>
      <c r="S1291" s="11"/>
      <c r="T1291" s="136">
        <f t="shared" si="316"/>
        <v>0</v>
      </c>
    </row>
    <row r="1292" spans="1:20" ht="15.75" customHeight="1">
      <c r="A1292" s="149" t="s">
        <v>2398</v>
      </c>
      <c r="B1292" s="273"/>
      <c r="C1292" s="28" t="s">
        <v>1612</v>
      </c>
      <c r="D1292" s="41">
        <v>2360</v>
      </c>
      <c r="E1292" s="131">
        <f t="shared" si="301"/>
        <v>47500</v>
      </c>
      <c r="F1292" s="21">
        <f t="shared" si="314"/>
        <v>57475</v>
      </c>
      <c r="G1292" s="21"/>
      <c r="H1292" s="135">
        <f t="shared" si="315"/>
        <v>0</v>
      </c>
      <c r="I1292" s="23">
        <v>45323</v>
      </c>
      <c r="J1292" s="294"/>
      <c r="K1292" s="10">
        <f>0.8*0.98*0.94*0.95*43767</f>
        <v>30641.801903999996</v>
      </c>
      <c r="L1292" s="11"/>
      <c r="M1292" s="11"/>
      <c r="N1292" s="239"/>
      <c r="O1292" s="11">
        <f t="shared" si="313"/>
        <v>30641.801903999996</v>
      </c>
      <c r="P1292" s="11">
        <f>+O1292*'AUMENTOS %'!$B$5</f>
        <v>30641.801903999996</v>
      </c>
      <c r="Q1292" s="11">
        <v>1.55</v>
      </c>
      <c r="R1292" s="11">
        <f t="shared" si="312"/>
        <v>47494.792951199997</v>
      </c>
      <c r="S1292" s="11"/>
      <c r="T1292" s="136">
        <f t="shared" si="316"/>
        <v>0</v>
      </c>
    </row>
    <row r="1293" spans="1:20" ht="15.75" customHeight="1">
      <c r="A1293" s="149" t="s">
        <v>2398</v>
      </c>
      <c r="B1293" s="273"/>
      <c r="C1293" s="28" t="s">
        <v>1613</v>
      </c>
      <c r="D1293" s="41">
        <v>1770</v>
      </c>
      <c r="E1293" s="131">
        <f t="shared" si="301"/>
        <v>39810</v>
      </c>
      <c r="F1293" s="21">
        <f t="shared" si="314"/>
        <v>48170.1</v>
      </c>
      <c r="G1293" s="21"/>
      <c r="H1293" s="135">
        <f t="shared" si="315"/>
        <v>0</v>
      </c>
      <c r="I1293" s="23">
        <v>45323</v>
      </c>
      <c r="J1293" s="294"/>
      <c r="K1293" s="10">
        <f>0.8*0.98*0.94*0.95*36678</f>
        <v>25678.707935999999</v>
      </c>
      <c r="L1293" s="11"/>
      <c r="M1293" s="11"/>
      <c r="N1293" s="100"/>
      <c r="O1293" s="11">
        <f t="shared" si="313"/>
        <v>25678.707935999999</v>
      </c>
      <c r="P1293" s="11">
        <f>+O1293*'AUMENTOS %'!$B$5</f>
        <v>25678.707935999999</v>
      </c>
      <c r="Q1293" s="11">
        <v>1.55</v>
      </c>
      <c r="R1293" s="11">
        <f t="shared" si="312"/>
        <v>39801.997300800002</v>
      </c>
      <c r="S1293" s="11"/>
      <c r="T1293" s="136">
        <f t="shared" si="316"/>
        <v>0</v>
      </c>
    </row>
    <row r="1294" spans="1:20" ht="15.75" customHeight="1">
      <c r="A1294" s="149" t="s">
        <v>2398</v>
      </c>
      <c r="B1294" s="273"/>
      <c r="C1294" s="28" t="s">
        <v>1614</v>
      </c>
      <c r="D1294" s="41">
        <v>1930</v>
      </c>
      <c r="E1294" s="131">
        <f t="shared" si="301"/>
        <v>43480</v>
      </c>
      <c r="F1294" s="21">
        <f t="shared" si="314"/>
        <v>52610.799999999996</v>
      </c>
      <c r="G1294" s="21"/>
      <c r="H1294" s="135">
        <f t="shared" si="315"/>
        <v>0</v>
      </c>
      <c r="I1294" s="23">
        <v>45323</v>
      </c>
      <c r="J1294" s="294"/>
      <c r="K1294" s="10">
        <f>0.8*0.98*0.94*0.95*40062</f>
        <v>28047.886943999998</v>
      </c>
      <c r="L1294" s="10"/>
      <c r="M1294" s="11"/>
      <c r="N1294" s="100"/>
      <c r="O1294" s="11">
        <f t="shared" si="313"/>
        <v>28047.886943999998</v>
      </c>
      <c r="P1294" s="11">
        <f>+O1294*'AUMENTOS %'!$B$5</f>
        <v>28047.886943999998</v>
      </c>
      <c r="Q1294" s="11">
        <v>1.55</v>
      </c>
      <c r="R1294" s="11">
        <f t="shared" si="312"/>
        <v>43474.2247632</v>
      </c>
      <c r="S1294" s="11"/>
      <c r="T1294" s="136">
        <f t="shared" si="316"/>
        <v>0</v>
      </c>
    </row>
    <row r="1295" spans="1:20" ht="15.75" customHeight="1">
      <c r="A1295" s="149" t="s">
        <v>2398</v>
      </c>
      <c r="B1295" s="273"/>
      <c r="C1295" s="28" t="s">
        <v>3617</v>
      </c>
      <c r="D1295" s="41">
        <v>3630</v>
      </c>
      <c r="E1295" s="131">
        <f t="shared" ref="E1295:E1303" si="317">ROUNDUP(R1295,-1)</f>
        <v>99260</v>
      </c>
      <c r="F1295" s="21">
        <f t="shared" ref="F1295:F1303" si="318">+E1295*1.21</f>
        <v>120104.59999999999</v>
      </c>
      <c r="G1295" s="21"/>
      <c r="H1295" s="135">
        <f t="shared" ref="H1295:H1303" si="319">ROUNDUP(T1295,-1)</f>
        <v>0</v>
      </c>
      <c r="I1295" s="23">
        <v>45323</v>
      </c>
      <c r="J1295" s="294"/>
      <c r="K1295" s="10">
        <f>0.8*0.98*0.94*0.95*91466</f>
        <v>64036.444191999995</v>
      </c>
      <c r="L1295" s="11"/>
      <c r="M1295" s="11"/>
      <c r="N1295" s="100"/>
      <c r="O1295" s="11">
        <f t="shared" ref="O1295:O1303" si="320">MIN(K1295:M1295)</f>
        <v>64036.444191999995</v>
      </c>
      <c r="P1295" s="11">
        <f>+O1295*'AUMENTOS %'!$B$5</f>
        <v>64036.444191999995</v>
      </c>
      <c r="Q1295" s="11">
        <v>1.55</v>
      </c>
      <c r="R1295" s="11">
        <f t="shared" si="312"/>
        <v>99256.488497599988</v>
      </c>
      <c r="S1295" s="11"/>
      <c r="T1295" s="136">
        <f t="shared" ref="T1295:T1303" si="321">+N1295*Q1295</f>
        <v>0</v>
      </c>
    </row>
    <row r="1296" spans="1:20" ht="15.75" customHeight="1">
      <c r="A1296" s="149" t="s">
        <v>2398</v>
      </c>
      <c r="B1296" s="273"/>
      <c r="C1296" s="28" t="s">
        <v>2941</v>
      </c>
      <c r="D1296" s="41">
        <v>2600</v>
      </c>
      <c r="E1296" s="131">
        <f t="shared" si="317"/>
        <v>52310</v>
      </c>
      <c r="F1296" s="21">
        <f t="shared" si="318"/>
        <v>63295.1</v>
      </c>
      <c r="G1296" s="21"/>
      <c r="H1296" s="135">
        <f t="shared" si="319"/>
        <v>0</v>
      </c>
      <c r="I1296" s="23">
        <v>45323</v>
      </c>
      <c r="J1296" s="294"/>
      <c r="K1296" s="10">
        <f>0.8*0.98*0.94*0.95*48203</f>
        <v>33747.498736000001</v>
      </c>
      <c r="L1296" s="11"/>
      <c r="M1296" s="11"/>
      <c r="N1296" s="100"/>
      <c r="O1296" s="11">
        <f t="shared" si="320"/>
        <v>33747.498736000001</v>
      </c>
      <c r="P1296" s="11">
        <f>+O1296*'AUMENTOS %'!$B$5</f>
        <v>33747.498736000001</v>
      </c>
      <c r="Q1296" s="11">
        <v>1.55</v>
      </c>
      <c r="R1296" s="11">
        <f t="shared" si="312"/>
        <v>52308.623040800005</v>
      </c>
      <c r="S1296" s="11"/>
      <c r="T1296" s="136">
        <f t="shared" si="321"/>
        <v>0</v>
      </c>
    </row>
    <row r="1297" spans="1:20" ht="15.75" customHeight="1">
      <c r="A1297" s="149" t="s">
        <v>2398</v>
      </c>
      <c r="B1297" s="273"/>
      <c r="C1297" s="28" t="s">
        <v>1615</v>
      </c>
      <c r="D1297" s="41">
        <v>3630</v>
      </c>
      <c r="E1297" s="131">
        <f t="shared" si="317"/>
        <v>81690</v>
      </c>
      <c r="F1297" s="21">
        <f t="shared" si="318"/>
        <v>98844.9</v>
      </c>
      <c r="G1297" s="21"/>
      <c r="H1297" s="135">
        <f t="shared" si="319"/>
        <v>0</v>
      </c>
      <c r="I1297" s="23">
        <v>45323</v>
      </c>
      <c r="J1297" s="294">
        <v>45364</v>
      </c>
      <c r="K1297" s="10">
        <f>0.8*0.98*0.94*0.95*75277</f>
        <v>52702.331023999999</v>
      </c>
      <c r="L1297" s="11"/>
      <c r="M1297" s="11"/>
      <c r="N1297" s="100"/>
      <c r="O1297" s="11">
        <f t="shared" si="320"/>
        <v>52702.331023999999</v>
      </c>
      <c r="P1297" s="11">
        <f>+O1297*'AUMENTOS %'!$B$5</f>
        <v>52702.331023999999</v>
      </c>
      <c r="Q1297" s="11">
        <v>1.55</v>
      </c>
      <c r="R1297" s="11">
        <f t="shared" si="312"/>
        <v>81688.613087200007</v>
      </c>
      <c r="S1297" s="11"/>
      <c r="T1297" s="136">
        <f t="shared" si="321"/>
        <v>0</v>
      </c>
    </row>
    <row r="1298" spans="1:20" ht="15.75" customHeight="1">
      <c r="A1298" s="149" t="s">
        <v>2398</v>
      </c>
      <c r="B1298" s="273"/>
      <c r="C1298" s="28" t="s">
        <v>37240</v>
      </c>
      <c r="D1298" s="41">
        <v>3630</v>
      </c>
      <c r="E1298" s="131">
        <f>ROUNDUP(R1298,-1)</f>
        <v>89730</v>
      </c>
      <c r="F1298" s="21">
        <f>+E1298*1.21</f>
        <v>108573.3</v>
      </c>
      <c r="G1298" s="21"/>
      <c r="H1298" s="135">
        <f>ROUNDUP(T1298,-1)</f>
        <v>0</v>
      </c>
      <c r="I1298" s="23">
        <v>45323</v>
      </c>
      <c r="J1298" s="294"/>
      <c r="K1298" s="10">
        <f>0.8*0.98*0.94*0.95*82685</f>
        <v>57888.760719999998</v>
      </c>
      <c r="L1298" s="11"/>
      <c r="M1298" s="11"/>
      <c r="N1298" s="100"/>
      <c r="O1298" s="11">
        <f>MIN(K1298:M1298)</f>
        <v>57888.760719999998</v>
      </c>
      <c r="P1298" s="11">
        <f>+O1298*'AUMENTOS %'!$B$5</f>
        <v>57888.760719999998</v>
      </c>
      <c r="Q1298" s="11">
        <v>1.55</v>
      </c>
      <c r="R1298" s="11">
        <f>+P1298*Q1298</f>
        <v>89727.579115999994</v>
      </c>
      <c r="S1298" s="11"/>
      <c r="T1298" s="136">
        <f>+N1298*Q1298</f>
        <v>0</v>
      </c>
    </row>
    <row r="1299" spans="1:20" ht="15.75" customHeight="1">
      <c r="A1299" s="149" t="s">
        <v>2398</v>
      </c>
      <c r="B1299" s="273"/>
      <c r="C1299" s="28" t="s">
        <v>2942</v>
      </c>
      <c r="D1299" s="41">
        <v>2920</v>
      </c>
      <c r="E1299" s="131">
        <f t="shared" si="317"/>
        <v>65810</v>
      </c>
      <c r="F1299" s="21">
        <f t="shared" si="318"/>
        <v>79630.099999999991</v>
      </c>
      <c r="G1299" s="21"/>
      <c r="H1299" s="135">
        <f t="shared" si="319"/>
        <v>0</v>
      </c>
      <c r="I1299" s="23">
        <v>45323</v>
      </c>
      <c r="J1299" s="294"/>
      <c r="K1299" s="10">
        <f>0.8*0.98*0.94*0.95*60642</f>
        <v>42456.191903999999</v>
      </c>
      <c r="L1299" s="11"/>
      <c r="M1299" s="11"/>
      <c r="N1299" s="100"/>
      <c r="O1299" s="11">
        <f t="shared" si="320"/>
        <v>42456.191903999999</v>
      </c>
      <c r="P1299" s="11">
        <f>+O1299*'AUMENTOS %'!$B$5</f>
        <v>42456.191903999999</v>
      </c>
      <c r="Q1299" s="11">
        <v>1.55</v>
      </c>
      <c r="R1299" s="11">
        <f t="shared" si="312"/>
        <v>65807.097451199996</v>
      </c>
      <c r="S1299" s="11"/>
      <c r="T1299" s="136">
        <f t="shared" si="321"/>
        <v>0</v>
      </c>
    </row>
    <row r="1300" spans="1:20" ht="15.75" customHeight="1">
      <c r="A1300" s="149" t="s">
        <v>2398</v>
      </c>
      <c r="B1300" s="273"/>
      <c r="C1300" s="28" t="s">
        <v>1616</v>
      </c>
      <c r="D1300" s="41">
        <v>4910</v>
      </c>
      <c r="E1300" s="131">
        <f t="shared" si="317"/>
        <v>110430</v>
      </c>
      <c r="F1300" s="21">
        <f t="shared" si="318"/>
        <v>133620.29999999999</v>
      </c>
      <c r="G1300" s="21"/>
      <c r="H1300" s="135">
        <f t="shared" si="319"/>
        <v>0</v>
      </c>
      <c r="I1300" s="23">
        <v>45323</v>
      </c>
      <c r="J1300" s="294"/>
      <c r="K1300" s="10">
        <f>0.8*0.98*0.94*0.95*101756</f>
        <v>71240.596672</v>
      </c>
      <c r="L1300" s="11"/>
      <c r="M1300" s="11"/>
      <c r="N1300" s="100"/>
      <c r="O1300" s="11">
        <f t="shared" si="320"/>
        <v>71240.596672</v>
      </c>
      <c r="P1300" s="11">
        <f>+O1300*'AUMENTOS %'!$B$5</f>
        <v>71240.596672</v>
      </c>
      <c r="Q1300" s="11">
        <v>1.55</v>
      </c>
      <c r="R1300" s="11">
        <f t="shared" si="312"/>
        <v>110422.9248416</v>
      </c>
      <c r="S1300" s="11"/>
      <c r="T1300" s="136">
        <f t="shared" si="321"/>
        <v>0</v>
      </c>
    </row>
    <row r="1301" spans="1:20" ht="15.75" customHeight="1">
      <c r="A1301" s="149" t="s">
        <v>2398</v>
      </c>
      <c r="B1301" s="273"/>
      <c r="C1301" s="28" t="s">
        <v>1617</v>
      </c>
      <c r="D1301" s="41">
        <v>4250</v>
      </c>
      <c r="E1301" s="131">
        <f t="shared" si="317"/>
        <v>85510</v>
      </c>
      <c r="F1301" s="21">
        <f t="shared" si="318"/>
        <v>103467.09999999999</v>
      </c>
      <c r="G1301" s="21"/>
      <c r="H1301" s="135">
        <f t="shared" si="319"/>
        <v>0</v>
      </c>
      <c r="I1301" s="23">
        <v>45323</v>
      </c>
      <c r="J1301" s="294"/>
      <c r="K1301" s="10">
        <f>0.8*0.98*0.94*0.95*78798</f>
        <v>55167.425375999999</v>
      </c>
      <c r="L1301" s="11"/>
      <c r="M1301" s="11"/>
      <c r="N1301" s="100"/>
      <c r="O1301" s="11">
        <f t="shared" si="320"/>
        <v>55167.425375999999</v>
      </c>
      <c r="P1301" s="11">
        <f>+O1301*'AUMENTOS %'!$B$5</f>
        <v>55167.425375999999</v>
      </c>
      <c r="Q1301" s="11">
        <v>1.55</v>
      </c>
      <c r="R1301" s="11">
        <f t="shared" si="312"/>
        <v>85509.509332800008</v>
      </c>
      <c r="S1301" s="11"/>
      <c r="T1301" s="136">
        <f t="shared" si="321"/>
        <v>0</v>
      </c>
    </row>
    <row r="1302" spans="1:20" ht="15.75" customHeight="1">
      <c r="A1302" s="149" t="s">
        <v>2398</v>
      </c>
      <c r="B1302" s="273"/>
      <c r="C1302" s="28" t="s">
        <v>1618</v>
      </c>
      <c r="D1302" s="41">
        <v>5210</v>
      </c>
      <c r="E1302" s="131">
        <f t="shared" si="317"/>
        <v>104620</v>
      </c>
      <c r="F1302" s="21">
        <f t="shared" si="318"/>
        <v>126590.2</v>
      </c>
      <c r="G1302" s="21"/>
      <c r="H1302" s="135">
        <f t="shared" si="319"/>
        <v>0</v>
      </c>
      <c r="I1302" s="23">
        <v>45323</v>
      </c>
      <c r="J1302" s="294"/>
      <c r="K1302" s="11">
        <f>0.8*0.98*0.94*0.95*96405</f>
        <v>67494.297359999997</v>
      </c>
      <c r="L1302" s="11"/>
      <c r="M1302" s="11"/>
      <c r="N1302" s="100"/>
      <c r="O1302" s="11">
        <f t="shared" si="320"/>
        <v>67494.297359999997</v>
      </c>
      <c r="P1302" s="11">
        <f>+O1302*'AUMENTOS %'!$B$5</f>
        <v>67494.297359999997</v>
      </c>
      <c r="Q1302" s="11">
        <v>1.55</v>
      </c>
      <c r="R1302" s="11">
        <f t="shared" si="312"/>
        <v>104616.16090800001</v>
      </c>
      <c r="S1302" s="11"/>
      <c r="T1302" s="136">
        <f t="shared" si="321"/>
        <v>0</v>
      </c>
    </row>
    <row r="1303" spans="1:20" ht="15.75" customHeight="1">
      <c r="A1303" s="149" t="s">
        <v>2398</v>
      </c>
      <c r="B1303" s="273"/>
      <c r="C1303" s="28" t="s">
        <v>2943</v>
      </c>
      <c r="D1303" s="41">
        <v>6260</v>
      </c>
      <c r="E1303" s="131">
        <f t="shared" si="317"/>
        <v>140850</v>
      </c>
      <c r="F1303" s="21">
        <f t="shared" si="318"/>
        <v>170428.5</v>
      </c>
      <c r="G1303" s="21"/>
      <c r="H1303" s="135">
        <f t="shared" si="319"/>
        <v>0</v>
      </c>
      <c r="I1303" s="23">
        <v>45323</v>
      </c>
      <c r="J1303" s="294"/>
      <c r="K1303" s="10">
        <f>0.8*0.98*0.94*0.95*129790</f>
        <v>90867.536479999995</v>
      </c>
      <c r="L1303" s="11"/>
      <c r="M1303" s="11"/>
      <c r="N1303" s="100"/>
      <c r="O1303" s="11">
        <f t="shared" si="320"/>
        <v>90867.536479999995</v>
      </c>
      <c r="P1303" s="11">
        <f>+O1303*'AUMENTOS %'!$B$5</f>
        <v>90867.536479999995</v>
      </c>
      <c r="Q1303" s="11">
        <v>1.55</v>
      </c>
      <c r="R1303" s="11">
        <f t="shared" si="312"/>
        <v>140844.68154399999</v>
      </c>
      <c r="S1303" s="11"/>
      <c r="T1303" s="136">
        <f t="shared" si="321"/>
        <v>0</v>
      </c>
    </row>
    <row r="1304" spans="1:20" ht="15.75" customHeight="1">
      <c r="A1304" s="149">
        <v>27</v>
      </c>
      <c r="B1304" s="273"/>
      <c r="C1304" s="28" t="s">
        <v>2405</v>
      </c>
      <c r="D1304" s="41">
        <v>3400</v>
      </c>
      <c r="E1304" s="131">
        <f t="shared" si="301"/>
        <v>4710</v>
      </c>
      <c r="F1304" s="21">
        <f t="shared" si="314"/>
        <v>5699.0999999999995</v>
      </c>
      <c r="G1304" s="21"/>
      <c r="H1304" s="135">
        <f t="shared" si="315"/>
        <v>0</v>
      </c>
      <c r="I1304" s="294">
        <v>44068</v>
      </c>
      <c r="J1304" s="294"/>
      <c r="K1304" s="10">
        <f>3413*0.95</f>
        <v>3242.35</v>
      </c>
      <c r="L1304" s="11"/>
      <c r="M1304" s="11"/>
      <c r="N1304" s="100"/>
      <c r="O1304" s="11">
        <f t="shared" si="313"/>
        <v>3242.35</v>
      </c>
      <c r="P1304" s="11">
        <f t="shared" si="311"/>
        <v>3242.35</v>
      </c>
      <c r="Q1304" s="11">
        <v>1.45</v>
      </c>
      <c r="R1304" s="11">
        <f t="shared" si="312"/>
        <v>4701.4074999999993</v>
      </c>
      <c r="S1304" s="11"/>
      <c r="T1304" s="136">
        <f t="shared" si="316"/>
        <v>0</v>
      </c>
    </row>
    <row r="1305" spans="1:20" ht="15.75" customHeight="1">
      <c r="A1305" s="149">
        <v>38</v>
      </c>
      <c r="B1305" s="273"/>
      <c r="C1305" s="28" t="s">
        <v>3787</v>
      </c>
      <c r="D1305" s="41"/>
      <c r="E1305" s="131">
        <f t="shared" si="301"/>
        <v>16050</v>
      </c>
      <c r="F1305" s="21">
        <f t="shared" si="314"/>
        <v>19420.5</v>
      </c>
      <c r="G1305" s="21"/>
      <c r="H1305" s="135">
        <f t="shared" si="315"/>
        <v>14980</v>
      </c>
      <c r="I1305" s="294">
        <v>45138</v>
      </c>
      <c r="J1305" s="294">
        <v>45350</v>
      </c>
      <c r="K1305" s="10">
        <f>+PROVEEDORES!$D$32*10.19</f>
        <v>10699.5</v>
      </c>
      <c r="L1305" s="11"/>
      <c r="M1305" s="11"/>
      <c r="N1305" s="10">
        <f>+PROVEEDORES!$D$32*13.58*0.7</f>
        <v>9981.2999999999993</v>
      </c>
      <c r="O1305" s="11">
        <f t="shared" si="313"/>
        <v>10699.5</v>
      </c>
      <c r="P1305" s="11">
        <f t="shared" si="311"/>
        <v>10699.5</v>
      </c>
      <c r="Q1305" s="11">
        <v>1.5</v>
      </c>
      <c r="R1305" s="11">
        <f t="shared" si="312"/>
        <v>16049.25</v>
      </c>
      <c r="S1305" s="11"/>
      <c r="T1305" s="136">
        <f t="shared" si="316"/>
        <v>14971.949999999999</v>
      </c>
    </row>
    <row r="1306" spans="1:20" ht="15.75" customHeight="1">
      <c r="A1306" s="149" t="s">
        <v>2387</v>
      </c>
      <c r="B1306" s="273"/>
      <c r="C1306" s="28" t="s">
        <v>4362</v>
      </c>
      <c r="D1306" s="41">
        <v>4490</v>
      </c>
      <c r="E1306" s="131">
        <f t="shared" si="301"/>
        <v>0</v>
      </c>
      <c r="F1306" s="21">
        <f t="shared" si="314"/>
        <v>0</v>
      </c>
      <c r="G1306" s="21"/>
      <c r="H1306" s="135">
        <f t="shared" si="315"/>
        <v>0</v>
      </c>
      <c r="I1306" s="294">
        <v>45138</v>
      </c>
      <c r="J1306" s="294"/>
      <c r="K1306" s="10"/>
      <c r="L1306" s="11">
        <f>+'AUMENTOS %'!$C$11*20589</f>
        <v>20589</v>
      </c>
      <c r="M1306" s="11"/>
      <c r="N1306" s="100"/>
      <c r="O1306" s="11">
        <f t="shared" si="313"/>
        <v>20589</v>
      </c>
      <c r="P1306" s="11">
        <f>+O1306*'AUMENTOS %'!$D$11</f>
        <v>20589</v>
      </c>
      <c r="Q1306" s="11"/>
      <c r="R1306" s="11">
        <f t="shared" si="312"/>
        <v>0</v>
      </c>
      <c r="S1306" s="11"/>
      <c r="T1306" s="136">
        <f t="shared" si="316"/>
        <v>0</v>
      </c>
    </row>
    <row r="1307" spans="1:20" ht="15.75" customHeight="1">
      <c r="A1307" s="149">
        <v>38</v>
      </c>
      <c r="B1307" s="273"/>
      <c r="C1307" s="28" t="s">
        <v>4066</v>
      </c>
      <c r="D1307" s="41"/>
      <c r="E1307" s="131">
        <f t="shared" si="301"/>
        <v>27870</v>
      </c>
      <c r="F1307" s="21">
        <f t="shared" si="314"/>
        <v>33722.699999999997</v>
      </c>
      <c r="G1307" s="21"/>
      <c r="H1307" s="135">
        <f t="shared" si="315"/>
        <v>0</v>
      </c>
      <c r="I1307" s="294">
        <v>45307</v>
      </c>
      <c r="J1307" s="294"/>
      <c r="K1307" s="42">
        <f>37150*0.5</f>
        <v>18575</v>
      </c>
      <c r="L1307" s="11"/>
      <c r="M1307" s="11"/>
      <c r="N1307" s="100"/>
      <c r="O1307" s="11">
        <f t="shared" si="313"/>
        <v>18575</v>
      </c>
      <c r="P1307" s="11">
        <f>+O1307*'AUMENTOS %'!$D$11</f>
        <v>18575</v>
      </c>
      <c r="Q1307" s="11">
        <v>1.5</v>
      </c>
      <c r="R1307" s="11">
        <f t="shared" si="312"/>
        <v>27862.5</v>
      </c>
      <c r="S1307" s="11"/>
      <c r="T1307" s="136">
        <f t="shared" si="316"/>
        <v>0</v>
      </c>
    </row>
    <row r="1308" spans="1:20" ht="15.75" customHeight="1">
      <c r="A1308" s="149" t="s">
        <v>2387</v>
      </c>
      <c r="B1308" s="273"/>
      <c r="C1308" s="28" t="s">
        <v>1619</v>
      </c>
      <c r="D1308" s="41">
        <v>1700</v>
      </c>
      <c r="E1308" s="131">
        <f t="shared" si="301"/>
        <v>27870</v>
      </c>
      <c r="F1308" s="21">
        <f t="shared" si="314"/>
        <v>33722.699999999997</v>
      </c>
      <c r="G1308" s="21"/>
      <c r="H1308" s="135">
        <f t="shared" si="315"/>
        <v>0</v>
      </c>
      <c r="I1308" s="294">
        <v>45138</v>
      </c>
      <c r="J1308" s="294">
        <v>45175</v>
      </c>
      <c r="K1308" s="42">
        <f>37150*0.5</f>
        <v>18575</v>
      </c>
      <c r="L1308" s="11"/>
      <c r="M1308" s="11"/>
      <c r="N1308" s="100"/>
      <c r="O1308" s="11">
        <f t="shared" si="313"/>
        <v>18575</v>
      </c>
      <c r="P1308" s="11">
        <f>+O1308*'AUMENTOS %'!$D$11</f>
        <v>18575</v>
      </c>
      <c r="Q1308" s="11">
        <v>1.5</v>
      </c>
      <c r="R1308" s="11">
        <f t="shared" si="312"/>
        <v>27862.5</v>
      </c>
      <c r="S1308" s="11"/>
      <c r="T1308" s="136">
        <f t="shared" si="316"/>
        <v>0</v>
      </c>
    </row>
    <row r="1309" spans="1:20" ht="15.75" customHeight="1">
      <c r="A1309" s="149" t="s">
        <v>2387</v>
      </c>
      <c r="B1309" s="273"/>
      <c r="C1309" s="28" t="s">
        <v>1620</v>
      </c>
      <c r="D1309" s="41">
        <v>1800</v>
      </c>
      <c r="E1309" s="131">
        <f t="shared" si="301"/>
        <v>0</v>
      </c>
      <c r="F1309" s="21">
        <f t="shared" ref="F1309:F1336" si="322">+E1309*1.21</f>
        <v>0</v>
      </c>
      <c r="G1309" s="21"/>
      <c r="H1309" s="135">
        <f t="shared" si="315"/>
        <v>0</v>
      </c>
      <c r="I1309" s="294">
        <v>45138</v>
      </c>
      <c r="J1309" s="40"/>
      <c r="K1309" s="11">
        <f>0.5*6497</f>
        <v>3248.5</v>
      </c>
      <c r="L1309" s="11">
        <v>7734</v>
      </c>
      <c r="M1309" s="11"/>
      <c r="N1309" s="100"/>
      <c r="O1309" s="11">
        <f t="shared" si="313"/>
        <v>3248.5</v>
      </c>
      <c r="P1309" s="11">
        <f>+O1309*'AUMENTOS %'!$D$11</f>
        <v>3248.5</v>
      </c>
      <c r="Q1309" s="11"/>
      <c r="R1309" s="11">
        <f t="shared" si="312"/>
        <v>0</v>
      </c>
      <c r="S1309" s="11"/>
      <c r="T1309" s="136">
        <f t="shared" si="316"/>
        <v>0</v>
      </c>
    </row>
    <row r="1310" spans="1:20" ht="15.75" customHeight="1">
      <c r="A1310" s="149">
        <v>38</v>
      </c>
      <c r="B1310" s="273"/>
      <c r="C1310" s="28" t="s">
        <v>4423</v>
      </c>
      <c r="D1310" s="41"/>
      <c r="E1310" s="131">
        <f>ROUNDUP(R1310,-1)</f>
        <v>31260</v>
      </c>
      <c r="F1310" s="21">
        <f t="shared" si="322"/>
        <v>37824.6</v>
      </c>
      <c r="G1310" s="21"/>
      <c r="H1310" s="135">
        <f>ROUNDUP(T1310,-1)</f>
        <v>0</v>
      </c>
      <c r="I1310" s="294">
        <v>45307</v>
      </c>
      <c r="J1310" s="294"/>
      <c r="K1310" s="11">
        <f>41679*0.5</f>
        <v>20839.5</v>
      </c>
      <c r="L1310" s="11"/>
      <c r="M1310" s="11"/>
      <c r="N1310" s="100"/>
      <c r="O1310" s="11">
        <f>MIN(K1310:M1310)</f>
        <v>20839.5</v>
      </c>
      <c r="P1310" s="11">
        <f>+O1310*'AUMENTOS %'!$D$11</f>
        <v>20839.5</v>
      </c>
      <c r="Q1310" s="11">
        <v>1.5</v>
      </c>
      <c r="R1310" s="11">
        <f>+P1310*Q1310</f>
        <v>31259.25</v>
      </c>
      <c r="S1310" s="11"/>
      <c r="T1310" s="136">
        <f>+N1310*Q1310</f>
        <v>0</v>
      </c>
    </row>
    <row r="1311" spans="1:20" ht="15.75" customHeight="1">
      <c r="A1311" s="149" t="s">
        <v>2387</v>
      </c>
      <c r="B1311" s="273"/>
      <c r="C1311" s="28" t="s">
        <v>1621</v>
      </c>
      <c r="D1311" s="41">
        <v>3280</v>
      </c>
      <c r="E1311" s="131">
        <f t="shared" si="301"/>
        <v>0</v>
      </c>
      <c r="F1311" s="21">
        <f t="shared" si="322"/>
        <v>0</v>
      </c>
      <c r="G1311" s="21"/>
      <c r="H1311" s="135">
        <f t="shared" si="315"/>
        <v>0</v>
      </c>
      <c r="I1311" s="294">
        <v>45059</v>
      </c>
      <c r="J1311" s="294"/>
      <c r="K1311" s="11">
        <f>0.5*15342</f>
        <v>7671</v>
      </c>
      <c r="L1311" s="11">
        <v>9683</v>
      </c>
      <c r="M1311" s="11"/>
      <c r="N1311" s="100"/>
      <c r="O1311" s="11">
        <f t="shared" si="313"/>
        <v>7671</v>
      </c>
      <c r="P1311" s="11">
        <f>+O1311*'AUMENTOS %'!$D$11</f>
        <v>7671</v>
      </c>
      <c r="Q1311" s="11"/>
      <c r="R1311" s="11">
        <f t="shared" si="312"/>
        <v>0</v>
      </c>
      <c r="S1311" s="11"/>
      <c r="T1311" s="136">
        <f t="shared" si="316"/>
        <v>0</v>
      </c>
    </row>
    <row r="1312" spans="1:20" ht="15.75" customHeight="1">
      <c r="A1312" s="149" t="s">
        <v>2387</v>
      </c>
      <c r="B1312" s="273"/>
      <c r="C1312" s="28" t="s">
        <v>1622</v>
      </c>
      <c r="D1312" s="41">
        <v>4390</v>
      </c>
      <c r="E1312" s="131">
        <f t="shared" si="301"/>
        <v>0</v>
      </c>
      <c r="F1312" s="21">
        <f t="shared" si="322"/>
        <v>0</v>
      </c>
      <c r="G1312" s="21"/>
      <c r="H1312" s="135">
        <f t="shared" si="315"/>
        <v>0</v>
      </c>
      <c r="I1312" s="294">
        <v>45059</v>
      </c>
      <c r="J1312" s="294"/>
      <c r="K1312" s="53">
        <f>0.5*21908</f>
        <v>10954</v>
      </c>
      <c r="L1312" s="10">
        <v>13826</v>
      </c>
      <c r="M1312" s="10"/>
      <c r="N1312" s="100"/>
      <c r="O1312" s="11">
        <f t="shared" si="313"/>
        <v>10954</v>
      </c>
      <c r="P1312" s="11">
        <f>+O1312*'AUMENTOS %'!$D$11</f>
        <v>10954</v>
      </c>
      <c r="Q1312" s="11"/>
      <c r="R1312" s="11">
        <f t="shared" si="312"/>
        <v>0</v>
      </c>
      <c r="S1312" s="11"/>
      <c r="T1312" s="136">
        <f t="shared" si="316"/>
        <v>0</v>
      </c>
    </row>
    <row r="1313" spans="1:20" ht="15.75" customHeight="1">
      <c r="A1313" s="149">
        <v>38</v>
      </c>
      <c r="B1313" s="273"/>
      <c r="C1313" s="28" t="s">
        <v>2607</v>
      </c>
      <c r="D1313" s="41"/>
      <c r="E1313" s="131">
        <f t="shared" si="301"/>
        <v>0</v>
      </c>
      <c r="F1313" s="21">
        <f t="shared" si="322"/>
        <v>0</v>
      </c>
      <c r="G1313" s="21"/>
      <c r="H1313" s="135">
        <f t="shared" si="315"/>
        <v>0</v>
      </c>
      <c r="I1313" s="294">
        <v>44627</v>
      </c>
      <c r="J1313" s="294"/>
      <c r="K1313" s="10">
        <v>631</v>
      </c>
      <c r="L1313" s="11"/>
      <c r="M1313" s="11"/>
      <c r="N1313" s="100"/>
      <c r="O1313" s="11">
        <f t="shared" si="313"/>
        <v>631</v>
      </c>
      <c r="P1313" s="11">
        <f t="shared" si="311"/>
        <v>631</v>
      </c>
      <c r="Q1313" s="11"/>
      <c r="R1313" s="11">
        <f t="shared" si="312"/>
        <v>0</v>
      </c>
      <c r="S1313" s="11"/>
      <c r="T1313" s="136">
        <f t="shared" si="316"/>
        <v>0</v>
      </c>
    </row>
    <row r="1314" spans="1:20" ht="15.75" customHeight="1">
      <c r="A1314" s="149">
        <v>38</v>
      </c>
      <c r="B1314" s="273"/>
      <c r="C1314" s="28" t="s">
        <v>2629</v>
      </c>
      <c r="D1314" s="41"/>
      <c r="E1314" s="131">
        <f t="shared" ref="E1314:E1382" si="323">ROUNDUP(R1314,-1)</f>
        <v>0</v>
      </c>
      <c r="F1314" s="21">
        <f t="shared" si="322"/>
        <v>0</v>
      </c>
      <c r="G1314" s="21"/>
      <c r="H1314" s="135">
        <f t="shared" si="315"/>
        <v>0</v>
      </c>
      <c r="I1314" s="294">
        <v>44627</v>
      </c>
      <c r="J1314" s="294"/>
      <c r="K1314" s="10">
        <v>1559</v>
      </c>
      <c r="L1314" s="11"/>
      <c r="M1314" s="11"/>
      <c r="N1314" s="100"/>
      <c r="O1314" s="11">
        <f t="shared" si="313"/>
        <v>1559</v>
      </c>
      <c r="P1314" s="11">
        <f t="shared" si="311"/>
        <v>1559</v>
      </c>
      <c r="Q1314" s="11"/>
      <c r="R1314" s="11">
        <f t="shared" si="312"/>
        <v>0</v>
      </c>
      <c r="S1314" s="11"/>
      <c r="T1314" s="136">
        <f t="shared" si="316"/>
        <v>0</v>
      </c>
    </row>
    <row r="1315" spans="1:20" ht="15.75" customHeight="1">
      <c r="A1315" s="149">
        <v>24</v>
      </c>
      <c r="B1315" s="273"/>
      <c r="C1315" s="28" t="s">
        <v>3810</v>
      </c>
      <c r="D1315" s="41">
        <v>140</v>
      </c>
      <c r="E1315" s="131">
        <f t="shared" si="323"/>
        <v>6920</v>
      </c>
      <c r="F1315" s="21">
        <f t="shared" si="322"/>
        <v>8373.1999999999989</v>
      </c>
      <c r="G1315" s="21"/>
      <c r="H1315" s="135">
        <f t="shared" si="315"/>
        <v>0</v>
      </c>
      <c r="I1315" s="294">
        <v>45059</v>
      </c>
      <c r="J1315" s="294">
        <v>45359</v>
      </c>
      <c r="K1315" s="10">
        <f>0.5*PROVEEDORES!$D$18*8.7</f>
        <v>4611</v>
      </c>
      <c r="L1315" s="196"/>
      <c r="M1315" s="11"/>
      <c r="N1315" s="100"/>
      <c r="O1315" s="11">
        <f t="shared" si="313"/>
        <v>4611</v>
      </c>
      <c r="P1315" s="11">
        <f t="shared" si="311"/>
        <v>4611</v>
      </c>
      <c r="Q1315" s="11">
        <v>1.5</v>
      </c>
      <c r="R1315" s="11">
        <f t="shared" si="312"/>
        <v>6916.5</v>
      </c>
      <c r="S1315" s="11"/>
      <c r="T1315" s="136">
        <f t="shared" si="316"/>
        <v>0</v>
      </c>
    </row>
    <row r="1316" spans="1:20" ht="15.75" customHeight="1">
      <c r="A1316" s="149">
        <v>24</v>
      </c>
      <c r="B1316" s="273"/>
      <c r="C1316" s="28" t="s">
        <v>3811</v>
      </c>
      <c r="D1316" s="41">
        <v>250</v>
      </c>
      <c r="E1316" s="131">
        <f t="shared" si="323"/>
        <v>8960</v>
      </c>
      <c r="F1316" s="21">
        <f t="shared" si="322"/>
        <v>10841.6</v>
      </c>
      <c r="G1316" s="21"/>
      <c r="H1316" s="135">
        <f t="shared" si="315"/>
        <v>0</v>
      </c>
      <c r="I1316" s="294">
        <v>45059</v>
      </c>
      <c r="J1316" s="294">
        <v>45351</v>
      </c>
      <c r="K1316" s="10">
        <f>0.5*PROVEEDORES!$D$18*11.27</f>
        <v>5973.0999999999995</v>
      </c>
      <c r="L1316" s="11"/>
      <c r="M1316" s="11"/>
      <c r="N1316" s="100"/>
      <c r="O1316" s="11">
        <f t="shared" si="313"/>
        <v>5973.0999999999995</v>
      </c>
      <c r="P1316" s="11">
        <f t="shared" si="311"/>
        <v>5973.0999999999995</v>
      </c>
      <c r="Q1316" s="11">
        <v>1.5</v>
      </c>
      <c r="R1316" s="11">
        <f t="shared" si="312"/>
        <v>8959.65</v>
      </c>
      <c r="S1316" s="11"/>
      <c r="T1316" s="136">
        <f t="shared" si="316"/>
        <v>0</v>
      </c>
    </row>
    <row r="1317" spans="1:20" ht="15.75" customHeight="1">
      <c r="A1317" s="149">
        <v>24</v>
      </c>
      <c r="B1317" s="273"/>
      <c r="C1317" s="28" t="s">
        <v>62625</v>
      </c>
      <c r="D1317" s="41">
        <v>250</v>
      </c>
      <c r="E1317" s="131">
        <f t="shared" ref="E1317" si="324">ROUNDUP(R1317,-1)</f>
        <v>15750</v>
      </c>
      <c r="F1317" s="21">
        <f t="shared" ref="F1317" si="325">+E1317*1.21</f>
        <v>19057.5</v>
      </c>
      <c r="G1317" s="21"/>
      <c r="H1317" s="135">
        <f t="shared" ref="H1317" si="326">ROUNDUP(T1317,-1)</f>
        <v>0</v>
      </c>
      <c r="I1317" s="294">
        <v>45059</v>
      </c>
      <c r="J1317" s="294">
        <v>45338</v>
      </c>
      <c r="K1317" s="10">
        <f>0.5*PROVEEDORES!$D$18*19.81</f>
        <v>10499.3</v>
      </c>
      <c r="L1317" s="148"/>
      <c r="M1317" s="11"/>
      <c r="N1317" s="100"/>
      <c r="O1317" s="11">
        <f t="shared" ref="O1317" si="327">MIN(K1317:M1317)</f>
        <v>10499.3</v>
      </c>
      <c r="P1317" s="11">
        <f t="shared" ref="P1317" si="328">+O1317</f>
        <v>10499.3</v>
      </c>
      <c r="Q1317" s="11">
        <v>1.5</v>
      </c>
      <c r="R1317" s="11">
        <f t="shared" ref="R1317" si="329">+P1317*Q1317</f>
        <v>15748.949999999999</v>
      </c>
      <c r="S1317" s="11"/>
      <c r="T1317" s="136">
        <f t="shared" ref="T1317" si="330">+N1317*Q1317</f>
        <v>0</v>
      </c>
    </row>
    <row r="1318" spans="1:20" ht="15.75" customHeight="1">
      <c r="A1318" s="149">
        <v>38</v>
      </c>
      <c r="B1318" s="273"/>
      <c r="C1318" s="28" t="s">
        <v>1623</v>
      </c>
      <c r="D1318" s="41">
        <v>1330</v>
      </c>
      <c r="E1318" s="131">
        <f t="shared" si="323"/>
        <v>0</v>
      </c>
      <c r="F1318" s="21">
        <f t="shared" si="322"/>
        <v>0</v>
      </c>
      <c r="G1318" s="21"/>
      <c r="H1318" s="135">
        <f t="shared" si="315"/>
        <v>0</v>
      </c>
      <c r="I1318" s="294">
        <v>44774</v>
      </c>
      <c r="J1318" s="40"/>
      <c r="K1318" s="144">
        <v>1985</v>
      </c>
      <c r="L1318" s="11"/>
      <c r="M1318" s="11"/>
      <c r="N1318" s="100"/>
      <c r="O1318" s="11">
        <f>MIN(K1318:M1318)*'AUMENTOS %'!$B$9</f>
        <v>1985</v>
      </c>
      <c r="P1318" s="11">
        <f t="shared" si="311"/>
        <v>1985</v>
      </c>
      <c r="Q1318" s="11"/>
      <c r="R1318" s="11">
        <f t="shared" si="312"/>
        <v>0</v>
      </c>
      <c r="S1318" s="11"/>
      <c r="T1318" s="136">
        <f t="shared" si="316"/>
        <v>0</v>
      </c>
    </row>
    <row r="1319" spans="1:20" ht="15.75" customHeight="1">
      <c r="A1319" s="149">
        <v>38</v>
      </c>
      <c r="B1319" s="273"/>
      <c r="C1319" s="291" t="s">
        <v>1625</v>
      </c>
      <c r="D1319" s="41">
        <v>990</v>
      </c>
      <c r="E1319" s="131">
        <f t="shared" si="323"/>
        <v>0</v>
      </c>
      <c r="F1319" s="21">
        <f t="shared" si="322"/>
        <v>0</v>
      </c>
      <c r="G1319" s="21"/>
      <c r="H1319" s="135">
        <f t="shared" si="315"/>
        <v>0</v>
      </c>
      <c r="I1319" s="294">
        <v>45138</v>
      </c>
      <c r="J1319" s="40"/>
      <c r="K1319" s="143">
        <f>+'AUMENTOS %'!$B$9*3327</f>
        <v>3327</v>
      </c>
      <c r="L1319" s="10"/>
      <c r="M1319" s="10"/>
      <c r="N1319" s="100"/>
      <c r="O1319" s="11">
        <f>MIN(K1319:M1319)*'AUMENTOS %'!$B$9</f>
        <v>3327</v>
      </c>
      <c r="P1319" s="11">
        <f t="shared" si="311"/>
        <v>3327</v>
      </c>
      <c r="Q1319" s="11"/>
      <c r="R1319" s="11">
        <f t="shared" si="312"/>
        <v>0</v>
      </c>
      <c r="S1319" s="11"/>
      <c r="T1319" s="136">
        <f t="shared" si="316"/>
        <v>0</v>
      </c>
    </row>
    <row r="1320" spans="1:20" ht="15.75" customHeight="1">
      <c r="A1320" s="149">
        <v>38</v>
      </c>
      <c r="B1320" s="273"/>
      <c r="C1320" s="28" t="s">
        <v>1624</v>
      </c>
      <c r="D1320" s="41">
        <v>890</v>
      </c>
      <c r="E1320" s="131">
        <f t="shared" si="323"/>
        <v>28790</v>
      </c>
      <c r="F1320" s="21">
        <f t="shared" si="322"/>
        <v>34835.9</v>
      </c>
      <c r="G1320" s="21"/>
      <c r="H1320" s="135">
        <f t="shared" si="315"/>
        <v>0</v>
      </c>
      <c r="I1320" s="294">
        <v>45307</v>
      </c>
      <c r="J1320" s="40"/>
      <c r="K1320" s="10">
        <f>15990*1.2</f>
        <v>19188</v>
      </c>
      <c r="L1320" s="10"/>
      <c r="M1320" s="10"/>
      <c r="N1320" s="100"/>
      <c r="O1320" s="11">
        <f>MIN(K1320:M1320)*'AUMENTOS %'!$B$9</f>
        <v>19188</v>
      </c>
      <c r="P1320" s="11">
        <f t="shared" si="311"/>
        <v>19188</v>
      </c>
      <c r="Q1320" s="11">
        <v>1.5</v>
      </c>
      <c r="R1320" s="11">
        <f t="shared" si="312"/>
        <v>28782</v>
      </c>
      <c r="S1320" s="11"/>
      <c r="T1320" s="136">
        <f t="shared" si="316"/>
        <v>0</v>
      </c>
    </row>
    <row r="1321" spans="1:20" ht="15.75" customHeight="1">
      <c r="A1321" s="149">
        <v>38</v>
      </c>
      <c r="B1321" s="273"/>
      <c r="C1321" s="28" t="s">
        <v>3404</v>
      </c>
      <c r="D1321" s="41">
        <v>1520</v>
      </c>
      <c r="E1321" s="131">
        <f t="shared" si="323"/>
        <v>0</v>
      </c>
      <c r="F1321" s="21">
        <f t="shared" si="322"/>
        <v>0</v>
      </c>
      <c r="G1321" s="21"/>
      <c r="H1321" s="135">
        <f t="shared" si="315"/>
        <v>0</v>
      </c>
      <c r="I1321" s="294">
        <v>44774</v>
      </c>
      <c r="J1321" s="40"/>
      <c r="K1321" s="143">
        <v>2274</v>
      </c>
      <c r="L1321" s="10"/>
      <c r="M1321" s="10"/>
      <c r="N1321" s="100"/>
      <c r="O1321" s="11">
        <f>MIN(K1321:M1321)*'AUMENTOS %'!$B$9</f>
        <v>2274</v>
      </c>
      <c r="P1321" s="11">
        <f t="shared" si="311"/>
        <v>2274</v>
      </c>
      <c r="Q1321" s="11"/>
      <c r="R1321" s="11">
        <f t="shared" si="312"/>
        <v>0</v>
      </c>
      <c r="S1321" s="11"/>
      <c r="T1321" s="136">
        <f t="shared" si="316"/>
        <v>0</v>
      </c>
    </row>
    <row r="1322" spans="1:20" ht="15.75" customHeight="1">
      <c r="A1322" s="149">
        <v>38</v>
      </c>
      <c r="B1322" s="273"/>
      <c r="C1322" s="28" t="s">
        <v>3405</v>
      </c>
      <c r="D1322" s="41">
        <v>1250</v>
      </c>
      <c r="E1322" s="131">
        <f t="shared" si="323"/>
        <v>24000</v>
      </c>
      <c r="F1322" s="21">
        <f t="shared" si="322"/>
        <v>29040</v>
      </c>
      <c r="G1322" s="21"/>
      <c r="H1322" s="135">
        <f t="shared" si="315"/>
        <v>0</v>
      </c>
      <c r="I1322" s="294">
        <v>45307</v>
      </c>
      <c r="J1322" s="40"/>
      <c r="K1322" s="143">
        <v>15999</v>
      </c>
      <c r="L1322" s="10"/>
      <c r="M1322" s="10"/>
      <c r="N1322" s="100"/>
      <c r="O1322" s="11">
        <f>MIN(K1322:M1322)*'AUMENTOS %'!$B$9</f>
        <v>15999</v>
      </c>
      <c r="P1322" s="11">
        <f t="shared" si="311"/>
        <v>15999</v>
      </c>
      <c r="Q1322" s="11">
        <v>1.5</v>
      </c>
      <c r="R1322" s="11">
        <f t="shared" si="312"/>
        <v>23998.5</v>
      </c>
      <c r="S1322" s="11"/>
      <c r="T1322" s="136">
        <f t="shared" si="316"/>
        <v>0</v>
      </c>
    </row>
    <row r="1323" spans="1:20" ht="15.75" customHeight="1">
      <c r="A1323" s="149">
        <v>38</v>
      </c>
      <c r="B1323" s="273"/>
      <c r="C1323" s="28" t="s">
        <v>1626</v>
      </c>
      <c r="D1323" s="41">
        <v>1040</v>
      </c>
      <c r="E1323" s="131">
        <f t="shared" si="323"/>
        <v>28790</v>
      </c>
      <c r="F1323" s="21">
        <f t="shared" si="322"/>
        <v>34835.9</v>
      </c>
      <c r="G1323" s="21"/>
      <c r="H1323" s="135">
        <f t="shared" si="315"/>
        <v>0</v>
      </c>
      <c r="I1323" s="294">
        <v>45307</v>
      </c>
      <c r="J1323" s="40"/>
      <c r="K1323" s="143">
        <f>15990*1.2</f>
        <v>19188</v>
      </c>
      <c r="L1323" s="10"/>
      <c r="M1323" s="10"/>
      <c r="N1323" s="100"/>
      <c r="O1323" s="11">
        <f>MIN(K1323:M1323)*'AUMENTOS %'!$B$9</f>
        <v>19188</v>
      </c>
      <c r="P1323" s="11">
        <f t="shared" si="311"/>
        <v>19188</v>
      </c>
      <c r="Q1323" s="11">
        <v>1.5</v>
      </c>
      <c r="R1323" s="11">
        <f t="shared" si="312"/>
        <v>28782</v>
      </c>
      <c r="S1323" s="11"/>
      <c r="T1323" s="136">
        <f t="shared" si="316"/>
        <v>0</v>
      </c>
    </row>
    <row r="1324" spans="1:20" ht="15.75" customHeight="1">
      <c r="A1324" s="149">
        <v>38</v>
      </c>
      <c r="B1324" s="273"/>
      <c r="C1324" s="28" t="s">
        <v>3406</v>
      </c>
      <c r="D1324" s="41">
        <v>2670</v>
      </c>
      <c r="E1324" s="131">
        <f t="shared" si="323"/>
        <v>0</v>
      </c>
      <c r="F1324" s="21">
        <f t="shared" si="322"/>
        <v>0</v>
      </c>
      <c r="G1324" s="21"/>
      <c r="H1324" s="135">
        <f t="shared" si="315"/>
        <v>0</v>
      </c>
      <c r="I1324" s="294">
        <v>44774</v>
      </c>
      <c r="J1324" s="40"/>
      <c r="K1324" s="10">
        <v>3993</v>
      </c>
      <c r="L1324" s="11"/>
      <c r="M1324" s="11"/>
      <c r="N1324" s="100"/>
      <c r="O1324" s="11">
        <f>MIN(K1324:M1324)*'AUMENTOS %'!$B$9</f>
        <v>3993</v>
      </c>
      <c r="P1324" s="11">
        <f t="shared" ref="P1324:P1391" si="331">+O1324</f>
        <v>3993</v>
      </c>
      <c r="Q1324" s="11"/>
      <c r="R1324" s="11">
        <f t="shared" ref="R1324:R1391" si="332">+P1324*Q1324</f>
        <v>0</v>
      </c>
      <c r="S1324" s="11"/>
      <c r="T1324" s="136">
        <f t="shared" si="316"/>
        <v>0</v>
      </c>
    </row>
    <row r="1325" spans="1:20" ht="15.75" customHeight="1">
      <c r="A1325" s="149">
        <v>38</v>
      </c>
      <c r="B1325" s="273"/>
      <c r="C1325" s="28" t="s">
        <v>1628</v>
      </c>
      <c r="D1325" s="41">
        <v>2000</v>
      </c>
      <c r="E1325" s="131">
        <f t="shared" si="323"/>
        <v>0</v>
      </c>
      <c r="F1325" s="21">
        <f t="shared" si="322"/>
        <v>0</v>
      </c>
      <c r="G1325" s="21"/>
      <c r="H1325" s="135">
        <f t="shared" si="315"/>
        <v>0</v>
      </c>
      <c r="I1325" s="294">
        <v>44774</v>
      </c>
      <c r="J1325" s="40"/>
      <c r="K1325" s="10">
        <v>3002</v>
      </c>
      <c r="L1325" s="11"/>
      <c r="M1325" s="11"/>
      <c r="N1325" s="100"/>
      <c r="O1325" s="11">
        <f>MIN(K1325:M1325)*'AUMENTOS %'!$B$9</f>
        <v>3002</v>
      </c>
      <c r="P1325" s="11">
        <f t="shared" si="331"/>
        <v>3002</v>
      </c>
      <c r="Q1325" s="11"/>
      <c r="R1325" s="11">
        <f t="shared" si="332"/>
        <v>0</v>
      </c>
      <c r="S1325" s="11"/>
      <c r="T1325" s="136">
        <f t="shared" si="316"/>
        <v>0</v>
      </c>
    </row>
    <row r="1326" spans="1:20" ht="15.75" customHeight="1">
      <c r="A1326" s="149">
        <v>38</v>
      </c>
      <c r="B1326" s="273"/>
      <c r="C1326" s="28" t="s">
        <v>1627</v>
      </c>
      <c r="D1326" s="41">
        <v>1620</v>
      </c>
      <c r="E1326" s="131">
        <f t="shared" si="323"/>
        <v>21550</v>
      </c>
      <c r="F1326" s="21">
        <f t="shared" si="322"/>
        <v>26075.5</v>
      </c>
      <c r="G1326" s="21"/>
      <c r="H1326" s="135">
        <f t="shared" si="315"/>
        <v>0</v>
      </c>
      <c r="I1326" s="294">
        <v>45138</v>
      </c>
      <c r="J1326" s="40"/>
      <c r="K1326" s="143">
        <f>'AUMENTOS %'!B9*PROVEEDORES!D32*11.15*1.15</f>
        <v>13463.624999999998</v>
      </c>
      <c r="L1326" s="10"/>
      <c r="M1326" s="10"/>
      <c r="N1326" s="100"/>
      <c r="O1326" s="11">
        <f>MIN(K1326:M1326)*'AUMENTOS %'!$B$9</f>
        <v>13463.624999999998</v>
      </c>
      <c r="P1326" s="11">
        <f t="shared" si="331"/>
        <v>13463.624999999998</v>
      </c>
      <c r="Q1326" s="11">
        <v>1.6</v>
      </c>
      <c r="R1326" s="11">
        <f t="shared" si="332"/>
        <v>21541.8</v>
      </c>
      <c r="S1326" s="11"/>
      <c r="T1326" s="136">
        <f t="shared" si="316"/>
        <v>0</v>
      </c>
    </row>
    <row r="1327" spans="1:20" ht="15.75" customHeight="1">
      <c r="A1327" s="149">
        <v>38</v>
      </c>
      <c r="B1327" s="273"/>
      <c r="C1327" s="28" t="s">
        <v>4424</v>
      </c>
      <c r="D1327" s="41">
        <v>1620</v>
      </c>
      <c r="E1327" s="131">
        <f>ROUNDUP(R1327,-1)</f>
        <v>90190</v>
      </c>
      <c r="F1327" s="21">
        <f>+E1327*1.21</f>
        <v>109129.9</v>
      </c>
      <c r="G1327" s="21"/>
      <c r="H1327" s="135">
        <f>ROUNDUP(T1327,-1)</f>
        <v>0</v>
      </c>
      <c r="I1327" s="294">
        <v>45138</v>
      </c>
      <c r="J1327" s="40">
        <v>45356</v>
      </c>
      <c r="K1327" s="143">
        <f>+'AUMENTOS %'!B9*PROVEEDORES!D32*53.68</f>
        <v>56364</v>
      </c>
      <c r="L1327" s="10"/>
      <c r="M1327" s="10"/>
      <c r="N1327" s="100"/>
      <c r="O1327" s="11">
        <f>MIN(K1327:M1327)*'AUMENTOS %'!$B$9</f>
        <v>56364</v>
      </c>
      <c r="P1327" s="11">
        <f>+O1327</f>
        <v>56364</v>
      </c>
      <c r="Q1327" s="11">
        <v>1.6</v>
      </c>
      <c r="R1327" s="11">
        <f>+P1327*Q1327</f>
        <v>90182.400000000009</v>
      </c>
      <c r="S1327" s="11"/>
      <c r="T1327" s="136">
        <f>+N1327*Q1327</f>
        <v>0</v>
      </c>
    </row>
    <row r="1328" spans="1:20" ht="15.75" customHeight="1">
      <c r="A1328" s="149" t="s">
        <v>4229</v>
      </c>
      <c r="B1328" s="273"/>
      <c r="C1328" s="28" t="s">
        <v>4251</v>
      </c>
      <c r="D1328" s="41">
        <v>290</v>
      </c>
      <c r="E1328" s="131">
        <f t="shared" si="323"/>
        <v>4570</v>
      </c>
      <c r="F1328" s="21">
        <f t="shared" si="322"/>
        <v>5529.7</v>
      </c>
      <c r="G1328" s="21"/>
      <c r="H1328" s="135">
        <f t="shared" si="315"/>
        <v>0</v>
      </c>
      <c r="I1328" s="294">
        <v>45257</v>
      </c>
      <c r="J1328" s="40"/>
      <c r="K1328" s="10">
        <f>0.65*3552*2</f>
        <v>4617.6000000000004</v>
      </c>
      <c r="L1328" s="11">
        <f>0.82*3272</f>
        <v>2683.04</v>
      </c>
      <c r="M1328" s="11"/>
      <c r="N1328" s="100"/>
      <c r="O1328" s="11">
        <f t="shared" si="313"/>
        <v>2683.04</v>
      </c>
      <c r="P1328" s="11">
        <f t="shared" si="331"/>
        <v>2683.04</v>
      </c>
      <c r="Q1328" s="11">
        <v>1.7</v>
      </c>
      <c r="R1328" s="11">
        <f t="shared" si="332"/>
        <v>4561.1679999999997</v>
      </c>
      <c r="S1328" s="11"/>
      <c r="T1328" s="136">
        <f t="shared" si="316"/>
        <v>0</v>
      </c>
    </row>
    <row r="1329" spans="1:20" ht="15.75" customHeight="1">
      <c r="A1329" s="149">
        <v>19</v>
      </c>
      <c r="B1329" s="273"/>
      <c r="C1329" s="28" t="s">
        <v>4250</v>
      </c>
      <c r="D1329" s="41">
        <v>460</v>
      </c>
      <c r="E1329" s="131">
        <f t="shared" si="323"/>
        <v>5870</v>
      </c>
      <c r="F1329" s="21">
        <f t="shared" si="322"/>
        <v>7102.7</v>
      </c>
      <c r="G1329" s="21"/>
      <c r="H1329" s="135">
        <f t="shared" si="315"/>
        <v>0</v>
      </c>
      <c r="I1329" s="294">
        <v>45224</v>
      </c>
      <c r="J1329" s="40"/>
      <c r="K1329" s="10">
        <f>0.65*5305</f>
        <v>3448.25</v>
      </c>
      <c r="L1329" s="11">
        <f>0.82*1904*3</f>
        <v>4683.84</v>
      </c>
      <c r="M1329" s="11"/>
      <c r="N1329" s="100"/>
      <c r="O1329" s="11">
        <f t="shared" si="313"/>
        <v>3448.25</v>
      </c>
      <c r="P1329" s="11">
        <f t="shared" si="331"/>
        <v>3448.25</v>
      </c>
      <c r="Q1329" s="11">
        <v>1.7</v>
      </c>
      <c r="R1329" s="11">
        <f t="shared" si="332"/>
        <v>5862.0249999999996</v>
      </c>
      <c r="S1329" s="11"/>
      <c r="T1329" s="136">
        <f t="shared" si="316"/>
        <v>0</v>
      </c>
    </row>
    <row r="1330" spans="1:20" ht="15.75" customHeight="1">
      <c r="A1330" s="149">
        <v>19</v>
      </c>
      <c r="B1330" s="273"/>
      <c r="C1330" s="28" t="s">
        <v>4252</v>
      </c>
      <c r="D1330" s="41">
        <v>530</v>
      </c>
      <c r="E1330" s="131">
        <f t="shared" si="323"/>
        <v>6760</v>
      </c>
      <c r="F1330" s="21">
        <f t="shared" si="322"/>
        <v>8179.5999999999995</v>
      </c>
      <c r="G1330" s="21"/>
      <c r="H1330" s="135">
        <f t="shared" si="315"/>
        <v>0</v>
      </c>
      <c r="I1330" s="294">
        <v>45224</v>
      </c>
      <c r="J1330" s="40"/>
      <c r="K1330" s="10">
        <f>0.65*6110</f>
        <v>3971.5</v>
      </c>
      <c r="L1330" s="11">
        <f>0.82*2192*3</f>
        <v>5392.32</v>
      </c>
      <c r="M1330" s="11"/>
      <c r="N1330" s="100"/>
      <c r="O1330" s="11">
        <f t="shared" si="313"/>
        <v>3971.5</v>
      </c>
      <c r="P1330" s="11">
        <f t="shared" si="331"/>
        <v>3971.5</v>
      </c>
      <c r="Q1330" s="11">
        <v>1.7</v>
      </c>
      <c r="R1330" s="11">
        <f t="shared" si="332"/>
        <v>6751.55</v>
      </c>
      <c r="S1330" s="11"/>
      <c r="T1330" s="136">
        <f t="shared" si="316"/>
        <v>0</v>
      </c>
    </row>
    <row r="1331" spans="1:20" ht="15.75" customHeight="1">
      <c r="A1331" s="149">
        <v>19</v>
      </c>
      <c r="B1331" s="273"/>
      <c r="C1331" s="28" t="s">
        <v>4254</v>
      </c>
      <c r="D1331" s="41">
        <v>610</v>
      </c>
      <c r="E1331" s="131">
        <f t="shared" si="323"/>
        <v>7810</v>
      </c>
      <c r="F1331" s="21">
        <f t="shared" si="322"/>
        <v>9450.1</v>
      </c>
      <c r="G1331" s="21"/>
      <c r="H1331" s="135">
        <f t="shared" si="315"/>
        <v>0</v>
      </c>
      <c r="I1331" s="294">
        <v>45224</v>
      </c>
      <c r="J1331" s="40"/>
      <c r="K1331" s="10">
        <f>0.65*7061</f>
        <v>4589.6500000000005</v>
      </c>
      <c r="L1331" s="11">
        <f>0.82*2533*3</f>
        <v>6231.18</v>
      </c>
      <c r="M1331" s="11"/>
      <c r="N1331" s="100"/>
      <c r="O1331" s="11">
        <f t="shared" si="313"/>
        <v>4589.6500000000005</v>
      </c>
      <c r="P1331" s="11">
        <f t="shared" si="331"/>
        <v>4589.6500000000005</v>
      </c>
      <c r="Q1331" s="11">
        <v>1.7</v>
      </c>
      <c r="R1331" s="11">
        <f t="shared" si="332"/>
        <v>7802.4050000000007</v>
      </c>
      <c r="S1331" s="11"/>
      <c r="T1331" s="136">
        <f t="shared" si="316"/>
        <v>0</v>
      </c>
    </row>
    <row r="1332" spans="1:20" ht="15.75" customHeight="1">
      <c r="A1332" s="149">
        <v>19</v>
      </c>
      <c r="B1332" s="273"/>
      <c r="C1332" s="28" t="s">
        <v>4253</v>
      </c>
      <c r="D1332" s="41">
        <v>860</v>
      </c>
      <c r="E1332" s="131">
        <f t="shared" si="323"/>
        <v>14830</v>
      </c>
      <c r="F1332" s="21">
        <f t="shared" si="322"/>
        <v>17944.3</v>
      </c>
      <c r="G1332" s="21"/>
      <c r="H1332" s="135">
        <f t="shared" si="315"/>
        <v>0</v>
      </c>
      <c r="I1332" s="294">
        <v>45224</v>
      </c>
      <c r="J1332" s="40"/>
      <c r="K1332" s="10">
        <f>0.65*9885*1.5</f>
        <v>9637.875</v>
      </c>
      <c r="L1332" s="11">
        <f>0.82*3546*3</f>
        <v>8723.16</v>
      </c>
      <c r="M1332" s="11"/>
      <c r="N1332" s="100"/>
      <c r="O1332" s="11">
        <f t="shared" si="313"/>
        <v>8723.16</v>
      </c>
      <c r="P1332" s="11">
        <f t="shared" si="331"/>
        <v>8723.16</v>
      </c>
      <c r="Q1332" s="11">
        <v>1.7</v>
      </c>
      <c r="R1332" s="11">
        <f t="shared" si="332"/>
        <v>14829.371999999999</v>
      </c>
      <c r="S1332" s="11"/>
      <c r="T1332" s="136">
        <f t="shared" si="316"/>
        <v>0</v>
      </c>
    </row>
    <row r="1333" spans="1:20" ht="15.75" customHeight="1">
      <c r="A1333" s="149" t="s">
        <v>4229</v>
      </c>
      <c r="B1333" s="273"/>
      <c r="C1333" s="28" t="s">
        <v>4249</v>
      </c>
      <c r="D1333" s="41">
        <v>2780</v>
      </c>
      <c r="E1333" s="131">
        <f>ROUNDUP(R1333,-1)</f>
        <v>41890</v>
      </c>
      <c r="F1333" s="21">
        <f>+E1333*1.21</f>
        <v>50686.9</v>
      </c>
      <c r="G1333" s="21"/>
      <c r="H1333" s="135">
        <f>ROUNDUP(T1333,-1)</f>
        <v>0</v>
      </c>
      <c r="I1333" s="294">
        <v>45257</v>
      </c>
      <c r="J1333" s="40">
        <v>45352</v>
      </c>
      <c r="K1333" s="10">
        <f>0.65*32082*2</f>
        <v>41706.6</v>
      </c>
      <c r="L1333" s="11">
        <f>0.82*30046</f>
        <v>24637.719999999998</v>
      </c>
      <c r="M1333" s="11"/>
      <c r="N1333" s="100"/>
      <c r="O1333" s="11">
        <f>MIN(K1333:M1333)</f>
        <v>24637.719999999998</v>
      </c>
      <c r="P1333" s="11">
        <f t="shared" si="331"/>
        <v>24637.719999999998</v>
      </c>
      <c r="Q1333" s="11">
        <v>1.7</v>
      </c>
      <c r="R1333" s="11">
        <f t="shared" si="332"/>
        <v>41884.123999999996</v>
      </c>
      <c r="S1333" s="11"/>
      <c r="T1333" s="136">
        <f>+N1333*Q1333</f>
        <v>0</v>
      </c>
    </row>
    <row r="1334" spans="1:20" ht="15.75" customHeight="1">
      <c r="A1334" s="149" t="s">
        <v>2403</v>
      </c>
      <c r="B1334" s="273"/>
      <c r="C1334" s="28" t="s">
        <v>3435</v>
      </c>
      <c r="D1334" s="41">
        <v>110</v>
      </c>
      <c r="E1334" s="131">
        <f t="shared" si="323"/>
        <v>1690</v>
      </c>
      <c r="F1334" s="21">
        <f t="shared" si="322"/>
        <v>2044.8999999999999</v>
      </c>
      <c r="G1334" s="33"/>
      <c r="H1334" s="135">
        <f t="shared" si="315"/>
        <v>0</v>
      </c>
      <c r="I1334" s="294">
        <v>45356</v>
      </c>
      <c r="J1334" s="294"/>
      <c r="K1334" s="10"/>
      <c r="L1334" s="10">
        <f>0.6*1556</f>
        <v>933.59999999999991</v>
      </c>
      <c r="M1334" s="11"/>
      <c r="N1334" s="100"/>
      <c r="O1334" s="11">
        <f t="shared" si="313"/>
        <v>933.59999999999991</v>
      </c>
      <c r="P1334" s="11">
        <f t="shared" si="331"/>
        <v>933.59999999999991</v>
      </c>
      <c r="Q1334" s="11">
        <v>1.8</v>
      </c>
      <c r="R1334" s="11">
        <f t="shared" si="332"/>
        <v>1680.4799999999998</v>
      </c>
      <c r="S1334" s="11"/>
      <c r="T1334" s="136">
        <f t="shared" si="316"/>
        <v>0</v>
      </c>
    </row>
    <row r="1335" spans="1:20" ht="15.75" customHeight="1">
      <c r="A1335" s="149" t="s">
        <v>2403</v>
      </c>
      <c r="B1335" s="273"/>
      <c r="C1335" s="28" t="s">
        <v>2532</v>
      </c>
      <c r="D1335" s="41">
        <v>110</v>
      </c>
      <c r="E1335" s="131">
        <f t="shared" si="323"/>
        <v>2400</v>
      </c>
      <c r="F1335" s="21">
        <f t="shared" si="322"/>
        <v>2904</v>
      </c>
      <c r="G1335" s="33"/>
      <c r="H1335" s="135">
        <f t="shared" si="315"/>
        <v>0</v>
      </c>
      <c r="I1335" s="294">
        <v>45356</v>
      </c>
      <c r="J1335" s="294"/>
      <c r="K1335" s="10">
        <f>0.65*190*4*5</f>
        <v>2470</v>
      </c>
      <c r="L1335" s="10">
        <f>0.6*2216</f>
        <v>1329.6</v>
      </c>
      <c r="M1335" s="11"/>
      <c r="N1335" s="100"/>
      <c r="O1335" s="11">
        <f t="shared" si="313"/>
        <v>1329.6</v>
      </c>
      <c r="P1335" s="11">
        <f t="shared" si="331"/>
        <v>1329.6</v>
      </c>
      <c r="Q1335" s="11">
        <v>1.8</v>
      </c>
      <c r="R1335" s="11">
        <f t="shared" si="332"/>
        <v>2393.2799999999997</v>
      </c>
      <c r="S1335" s="11"/>
      <c r="T1335" s="136">
        <f t="shared" si="316"/>
        <v>0</v>
      </c>
    </row>
    <row r="1336" spans="1:20" ht="15.75" customHeight="1">
      <c r="A1336" s="149" t="s">
        <v>2403</v>
      </c>
      <c r="B1336" s="273"/>
      <c r="C1336" s="28" t="s">
        <v>2533</v>
      </c>
      <c r="D1336" s="41">
        <v>110</v>
      </c>
      <c r="E1336" s="131">
        <f t="shared" si="323"/>
        <v>2400</v>
      </c>
      <c r="F1336" s="21">
        <f t="shared" si="322"/>
        <v>2904</v>
      </c>
      <c r="G1336" s="33"/>
      <c r="H1336" s="135">
        <f t="shared" si="315"/>
        <v>0</v>
      </c>
      <c r="I1336" s="294">
        <v>45356</v>
      </c>
      <c r="J1336" s="294"/>
      <c r="K1336" s="10">
        <f>0.65*190*4*5</f>
        <v>2470</v>
      </c>
      <c r="L1336" s="10">
        <f>0.6*2216</f>
        <v>1329.6</v>
      </c>
      <c r="M1336" s="10"/>
      <c r="N1336" s="100"/>
      <c r="O1336" s="11">
        <f t="shared" si="313"/>
        <v>1329.6</v>
      </c>
      <c r="P1336" s="11">
        <f t="shared" si="331"/>
        <v>1329.6</v>
      </c>
      <c r="Q1336" s="11">
        <v>1.8</v>
      </c>
      <c r="R1336" s="11">
        <f t="shared" si="332"/>
        <v>2393.2799999999997</v>
      </c>
      <c r="S1336" s="11"/>
      <c r="T1336" s="136">
        <f t="shared" si="316"/>
        <v>0</v>
      </c>
    </row>
    <row r="1337" spans="1:20" ht="15.75" customHeight="1">
      <c r="A1337" s="149">
        <v>76</v>
      </c>
      <c r="B1337" s="273"/>
      <c r="C1337" s="28" t="s">
        <v>2820</v>
      </c>
      <c r="D1337" s="41">
        <v>10110</v>
      </c>
      <c r="E1337" s="131">
        <f t="shared" si="323"/>
        <v>353690</v>
      </c>
      <c r="F1337" s="21" t="s">
        <v>1248</v>
      </c>
      <c r="G1337" s="21">
        <f t="shared" ref="G1337:G1366" si="333">+E1337*1.105</f>
        <v>390827.45</v>
      </c>
      <c r="H1337" s="135">
        <f t="shared" si="315"/>
        <v>0</v>
      </c>
      <c r="I1337" s="294"/>
      <c r="J1337" s="294">
        <v>45350</v>
      </c>
      <c r="K1337" s="11">
        <f>291100*0.81</f>
        <v>235791.00000000003</v>
      </c>
      <c r="L1337" s="11"/>
      <c r="M1337" s="11"/>
      <c r="N1337" s="100"/>
      <c r="O1337" s="11">
        <f t="shared" ref="O1337:O1408" si="334">MIN(K1337:M1337)</f>
        <v>235791.00000000003</v>
      </c>
      <c r="P1337" s="11">
        <f t="shared" si="331"/>
        <v>235791.00000000003</v>
      </c>
      <c r="Q1337" s="11">
        <v>1.5</v>
      </c>
      <c r="R1337" s="11">
        <f t="shared" si="332"/>
        <v>353686.50000000006</v>
      </c>
      <c r="S1337" s="11"/>
      <c r="T1337" s="136">
        <f t="shared" si="316"/>
        <v>0</v>
      </c>
    </row>
    <row r="1338" spans="1:20" ht="15.75" customHeight="1">
      <c r="A1338" s="149">
        <v>50</v>
      </c>
      <c r="B1338" s="273"/>
      <c r="C1338" s="28" t="s">
        <v>2273</v>
      </c>
      <c r="D1338" s="158">
        <v>15430</v>
      </c>
      <c r="E1338" s="139">
        <f t="shared" si="323"/>
        <v>0</v>
      </c>
      <c r="F1338" s="21" t="s">
        <v>1248</v>
      </c>
      <c r="G1338" s="21">
        <f t="shared" si="333"/>
        <v>0</v>
      </c>
      <c r="H1338" s="135">
        <f t="shared" si="315"/>
        <v>0</v>
      </c>
      <c r="I1338" s="294"/>
      <c r="J1338" s="294"/>
      <c r="K1338" s="43"/>
      <c r="L1338" s="10"/>
      <c r="M1338" s="11"/>
      <c r="N1338" s="171">
        <f>PROVEEDORES!$D$44*0.5985*226.01</f>
        <v>119711.28172499999</v>
      </c>
      <c r="O1338" s="11">
        <f t="shared" si="334"/>
        <v>0</v>
      </c>
      <c r="P1338" s="11">
        <f t="shared" si="331"/>
        <v>0</v>
      </c>
      <c r="Q1338" s="11"/>
      <c r="R1338" s="11">
        <f t="shared" si="332"/>
        <v>0</v>
      </c>
      <c r="S1338" s="11"/>
      <c r="T1338" s="136">
        <f t="shared" si="316"/>
        <v>0</v>
      </c>
    </row>
    <row r="1339" spans="1:20" ht="16.5" customHeight="1">
      <c r="A1339" s="149">
        <v>50</v>
      </c>
      <c r="B1339" s="273"/>
      <c r="C1339" s="28" t="s">
        <v>2274</v>
      </c>
      <c r="D1339" s="158">
        <v>18090</v>
      </c>
      <c r="E1339" s="139">
        <f t="shared" si="323"/>
        <v>0</v>
      </c>
      <c r="F1339" s="59" t="s">
        <v>1248</v>
      </c>
      <c r="G1339" s="21">
        <f t="shared" si="333"/>
        <v>0</v>
      </c>
      <c r="H1339" s="135">
        <f t="shared" si="315"/>
        <v>0</v>
      </c>
      <c r="I1339" s="294">
        <v>45223</v>
      </c>
      <c r="J1339" s="294"/>
      <c r="K1339" s="43">
        <f>PROVEEDORES!$D$44*0.58*670</f>
        <v>343910.99999999994</v>
      </c>
      <c r="L1339" s="10"/>
      <c r="M1339" s="11"/>
      <c r="N1339" s="171">
        <f>PROVEEDORES!$D$44*0.5985*226.01</f>
        <v>119711.28172499999</v>
      </c>
      <c r="O1339" s="11">
        <f t="shared" si="334"/>
        <v>343910.99999999994</v>
      </c>
      <c r="P1339" s="11">
        <f t="shared" si="331"/>
        <v>343910.99999999994</v>
      </c>
      <c r="Q1339" s="11"/>
      <c r="R1339" s="11">
        <f t="shared" si="332"/>
        <v>0</v>
      </c>
      <c r="S1339" s="11"/>
      <c r="T1339" s="136">
        <f t="shared" si="316"/>
        <v>0</v>
      </c>
    </row>
    <row r="1340" spans="1:20" ht="15.75" customHeight="1">
      <c r="A1340" s="149">
        <v>50</v>
      </c>
      <c r="B1340" s="273"/>
      <c r="C1340" s="28" t="s">
        <v>62697</v>
      </c>
      <c r="D1340" s="158">
        <v>18700</v>
      </c>
      <c r="E1340" s="139">
        <f t="shared" si="323"/>
        <v>469280</v>
      </c>
      <c r="F1340" s="21" t="s">
        <v>1248</v>
      </c>
      <c r="G1340" s="21">
        <f t="shared" si="333"/>
        <v>518554.39999999997</v>
      </c>
      <c r="H1340" s="135">
        <f t="shared" si="315"/>
        <v>410170</v>
      </c>
      <c r="I1340" s="294">
        <v>45385</v>
      </c>
      <c r="J1340" s="294"/>
      <c r="K1340" s="43">
        <f>PROVEEDORES!$D$44*0.58*630.5</f>
        <v>323635.64999999997</v>
      </c>
      <c r="L1340" s="10"/>
      <c r="M1340" s="11"/>
      <c r="N1340" s="171">
        <f>PROVEEDORES!$D$44*0.5985*534.05</f>
        <v>282871.59862499998</v>
      </c>
      <c r="O1340" s="11">
        <f t="shared" si="334"/>
        <v>323635.64999999997</v>
      </c>
      <c r="P1340" s="11">
        <f t="shared" si="331"/>
        <v>323635.64999999997</v>
      </c>
      <c r="Q1340" s="11">
        <v>1.45</v>
      </c>
      <c r="R1340" s="11">
        <f t="shared" si="332"/>
        <v>469271.69249999995</v>
      </c>
      <c r="S1340" s="11"/>
      <c r="T1340" s="136">
        <f t="shared" si="316"/>
        <v>410163.81800624996</v>
      </c>
    </row>
    <row r="1341" spans="1:20" ht="16">
      <c r="A1341" s="149">
        <v>17</v>
      </c>
      <c r="B1341" s="273"/>
      <c r="C1341" s="28" t="s">
        <v>4217</v>
      </c>
      <c r="D1341" s="41">
        <v>17820</v>
      </c>
      <c r="E1341" s="131">
        <f t="shared" si="323"/>
        <v>580350</v>
      </c>
      <c r="F1341" s="21" t="s">
        <v>1248</v>
      </c>
      <c r="G1341" s="21">
        <f t="shared" si="333"/>
        <v>641286.75</v>
      </c>
      <c r="H1341" s="135">
        <f t="shared" si="315"/>
        <v>508180</v>
      </c>
      <c r="I1341" s="294">
        <v>45296</v>
      </c>
      <c r="J1341" s="294">
        <v>45336</v>
      </c>
      <c r="K1341" s="10">
        <f>(380000/1.105+K1895)</f>
        <v>400236.56271493214</v>
      </c>
      <c r="L1341" s="10"/>
      <c r="M1341" s="11"/>
      <c r="N1341" s="10">
        <f>+(325000/ 1.105+K1895)</f>
        <v>350462.80705882353</v>
      </c>
      <c r="O1341" s="11">
        <f t="shared" si="334"/>
        <v>400236.56271493214</v>
      </c>
      <c r="P1341" s="11">
        <f t="shared" si="331"/>
        <v>400236.56271493214</v>
      </c>
      <c r="Q1341" s="11">
        <v>1.45</v>
      </c>
      <c r="R1341" s="11">
        <f t="shared" si="332"/>
        <v>580343.01593665162</v>
      </c>
      <c r="S1341" s="11"/>
      <c r="T1341" s="136">
        <f t="shared" si="316"/>
        <v>508171.07023529412</v>
      </c>
    </row>
    <row r="1342" spans="1:20" ht="15.75" customHeight="1">
      <c r="A1342" s="149">
        <v>25</v>
      </c>
      <c r="B1342" s="273"/>
      <c r="C1342" s="28" t="s">
        <v>1629</v>
      </c>
      <c r="D1342" s="41">
        <v>18460</v>
      </c>
      <c r="E1342" s="131">
        <f t="shared" si="323"/>
        <v>0</v>
      </c>
      <c r="F1342" s="21" t="s">
        <v>1248</v>
      </c>
      <c r="G1342" s="21">
        <f t="shared" si="333"/>
        <v>0</v>
      </c>
      <c r="H1342" s="135">
        <f t="shared" si="315"/>
        <v>0</v>
      </c>
      <c r="I1342" s="294">
        <v>43777</v>
      </c>
      <c r="J1342" s="294">
        <v>43864</v>
      </c>
      <c r="K1342" s="11">
        <f>+(9605*0.93)*1.35*1.03*1.06+5000+300</f>
        <v>18466.100814500001</v>
      </c>
      <c r="L1342" s="11">
        <f>2205*105*0.9*1.35</f>
        <v>281302.875</v>
      </c>
      <c r="M1342" s="11">
        <f>+L1342*1.105</f>
        <v>310839.676875</v>
      </c>
      <c r="N1342" s="100"/>
      <c r="O1342" s="11">
        <f t="shared" si="334"/>
        <v>18466.100814500001</v>
      </c>
      <c r="P1342" s="11">
        <f t="shared" si="331"/>
        <v>18466.100814500001</v>
      </c>
      <c r="Q1342" s="11"/>
      <c r="R1342" s="11">
        <f t="shared" si="332"/>
        <v>0</v>
      </c>
      <c r="S1342" s="11"/>
      <c r="T1342" s="136">
        <f t="shared" si="316"/>
        <v>0</v>
      </c>
    </row>
    <row r="1343" spans="1:20" ht="15.75" customHeight="1">
      <c r="A1343" s="149">
        <v>26</v>
      </c>
      <c r="B1343" s="273"/>
      <c r="C1343" s="28" t="s">
        <v>1630</v>
      </c>
      <c r="D1343" s="41">
        <v>7750</v>
      </c>
      <c r="E1343" s="131">
        <f t="shared" si="323"/>
        <v>0</v>
      </c>
      <c r="F1343" s="21" t="s">
        <v>1248</v>
      </c>
      <c r="G1343" s="21">
        <f t="shared" si="333"/>
        <v>0</v>
      </c>
      <c r="H1343" s="135">
        <f t="shared" si="315"/>
        <v>0</v>
      </c>
      <c r="I1343" s="294">
        <v>42975</v>
      </c>
      <c r="J1343" s="294"/>
      <c r="K1343" s="10">
        <f>600*370*0.75*0.9</f>
        <v>149850</v>
      </c>
      <c r="L1343" s="11">
        <f>2052*105*0.9*1.35</f>
        <v>261783.90000000002</v>
      </c>
      <c r="M1343" s="11">
        <f>+L1343*1.105</f>
        <v>289271.2095</v>
      </c>
      <c r="N1343" s="100"/>
      <c r="O1343" s="11">
        <f t="shared" si="334"/>
        <v>149850</v>
      </c>
      <c r="P1343" s="11">
        <f t="shared" si="331"/>
        <v>149850</v>
      </c>
      <c r="Q1343" s="11"/>
      <c r="R1343" s="11">
        <f t="shared" si="332"/>
        <v>0</v>
      </c>
      <c r="S1343" s="11"/>
      <c r="T1343" s="136">
        <f t="shared" si="316"/>
        <v>0</v>
      </c>
    </row>
    <row r="1344" spans="1:20" ht="16">
      <c r="A1344" s="149">
        <v>17</v>
      </c>
      <c r="B1344" s="273"/>
      <c r="C1344" s="28" t="s">
        <v>3994</v>
      </c>
      <c r="D1344" s="41"/>
      <c r="E1344" s="131">
        <f t="shared" si="323"/>
        <v>593470</v>
      </c>
      <c r="F1344" s="21" t="s">
        <v>1248</v>
      </c>
      <c r="G1344" s="21">
        <f t="shared" si="333"/>
        <v>655784.35</v>
      </c>
      <c r="H1344" s="135">
        <f t="shared" si="315"/>
        <v>540980</v>
      </c>
      <c r="I1344" s="294">
        <v>45296</v>
      </c>
      <c r="J1344" s="294">
        <v>45336</v>
      </c>
      <c r="K1344" s="10">
        <f>(K1895+390000/1.105)</f>
        <v>409286.33647058823</v>
      </c>
      <c r="L1344" s="10"/>
      <c r="M1344" s="11"/>
      <c r="N1344" s="10">
        <f>+(350000 /1.105+K1895)</f>
        <v>373087.24144796375</v>
      </c>
      <c r="O1344" s="11">
        <f t="shared" si="334"/>
        <v>409286.33647058823</v>
      </c>
      <c r="P1344" s="11">
        <f t="shared" si="331"/>
        <v>409286.33647058823</v>
      </c>
      <c r="Q1344" s="11">
        <v>1.45</v>
      </c>
      <c r="R1344" s="11">
        <f t="shared" si="332"/>
        <v>593465.18788235285</v>
      </c>
      <c r="S1344" s="11"/>
      <c r="T1344" s="136">
        <f t="shared" si="316"/>
        <v>540976.50009954744</v>
      </c>
    </row>
    <row r="1345" spans="1:20" ht="15.75" customHeight="1">
      <c r="A1345" s="149">
        <v>44</v>
      </c>
      <c r="B1345" s="273"/>
      <c r="C1345" s="28" t="s">
        <v>37228</v>
      </c>
      <c r="D1345" s="158"/>
      <c r="E1345" s="140">
        <f t="shared" si="323"/>
        <v>630650</v>
      </c>
      <c r="F1345" s="21" t="s">
        <v>1248</v>
      </c>
      <c r="G1345" s="21">
        <f>+E1345*1.105</f>
        <v>696868.25</v>
      </c>
      <c r="H1345" s="135">
        <f t="shared" si="315"/>
        <v>482450</v>
      </c>
      <c r="I1345" s="294">
        <v>45287</v>
      </c>
      <c r="J1345" s="294"/>
      <c r="K1345" s="10">
        <f>+PROVEEDORES!$D$38*491.44</f>
        <v>434924.4</v>
      </c>
      <c r="L1345" s="11">
        <f>445640*1.35</f>
        <v>601614</v>
      </c>
      <c r="M1345" s="11"/>
      <c r="N1345" s="100">
        <v>332720</v>
      </c>
      <c r="O1345" s="11">
        <f t="shared" si="334"/>
        <v>434924.4</v>
      </c>
      <c r="P1345" s="11">
        <f t="shared" si="331"/>
        <v>434924.4</v>
      </c>
      <c r="Q1345" s="11">
        <v>1.45</v>
      </c>
      <c r="R1345" s="11">
        <f t="shared" si="332"/>
        <v>630640.38</v>
      </c>
      <c r="S1345" s="11"/>
      <c r="T1345" s="136">
        <f t="shared" si="316"/>
        <v>482444</v>
      </c>
    </row>
    <row r="1346" spans="1:20" ht="15.75" customHeight="1">
      <c r="A1346" s="149">
        <v>16</v>
      </c>
      <c r="B1346" s="273"/>
      <c r="C1346" s="28" t="s">
        <v>2485</v>
      </c>
      <c r="D1346" s="41"/>
      <c r="E1346" s="147">
        <f t="shared" si="323"/>
        <v>0</v>
      </c>
      <c r="F1346" s="21" t="s">
        <v>1248</v>
      </c>
      <c r="G1346" s="21">
        <f t="shared" si="333"/>
        <v>0</v>
      </c>
      <c r="H1346" s="135">
        <f t="shared" si="315"/>
        <v>0</v>
      </c>
      <c r="I1346" s="294">
        <v>44037</v>
      </c>
      <c r="J1346" s="294"/>
      <c r="K1346" s="10">
        <f>0.9*31110+1300</f>
        <v>29299</v>
      </c>
      <c r="L1346" s="11"/>
      <c r="M1346" s="11"/>
      <c r="N1346" s="100"/>
      <c r="O1346" s="11">
        <f t="shared" si="334"/>
        <v>29299</v>
      </c>
      <c r="P1346" s="11">
        <f t="shared" si="331"/>
        <v>29299</v>
      </c>
      <c r="Q1346" s="11"/>
      <c r="R1346" s="11">
        <f t="shared" si="332"/>
        <v>0</v>
      </c>
      <c r="S1346" s="11"/>
      <c r="T1346" s="136">
        <f t="shared" si="316"/>
        <v>0</v>
      </c>
    </row>
    <row r="1347" spans="1:20" ht="15.75" customHeight="1">
      <c r="A1347" s="149">
        <v>45</v>
      </c>
      <c r="B1347" s="273"/>
      <c r="C1347" s="28" t="s">
        <v>1632</v>
      </c>
      <c r="D1347" s="41"/>
      <c r="E1347" s="131">
        <f t="shared" si="323"/>
        <v>0</v>
      </c>
      <c r="F1347" s="21" t="s">
        <v>1248</v>
      </c>
      <c r="G1347" s="21"/>
      <c r="H1347" s="135">
        <f t="shared" si="315"/>
        <v>0</v>
      </c>
      <c r="I1347" s="294"/>
      <c r="J1347" s="294"/>
      <c r="K1347" s="11">
        <f>6715*0.9*0.59*1.45</f>
        <v>5170.21425</v>
      </c>
      <c r="L1347" s="11"/>
      <c r="M1347" s="11"/>
      <c r="N1347" s="100"/>
      <c r="O1347" s="11">
        <f t="shared" si="334"/>
        <v>5170.21425</v>
      </c>
      <c r="P1347" s="11">
        <f t="shared" si="331"/>
        <v>5170.21425</v>
      </c>
      <c r="Q1347" s="11"/>
      <c r="R1347" s="11">
        <f t="shared" si="332"/>
        <v>0</v>
      </c>
      <c r="S1347" s="11"/>
      <c r="T1347" s="136">
        <f t="shared" si="316"/>
        <v>0</v>
      </c>
    </row>
    <row r="1348" spans="1:20" ht="15.75" customHeight="1">
      <c r="A1348" s="149" t="s">
        <v>3992</v>
      </c>
      <c r="B1348" s="273"/>
      <c r="C1348" s="28" t="s">
        <v>1631</v>
      </c>
      <c r="D1348" s="41">
        <v>6500</v>
      </c>
      <c r="E1348" s="131">
        <f t="shared" si="323"/>
        <v>0</v>
      </c>
      <c r="F1348" s="21" t="s">
        <v>1248</v>
      </c>
      <c r="G1348" s="21">
        <f t="shared" si="333"/>
        <v>0</v>
      </c>
      <c r="H1348" s="135">
        <f t="shared" si="315"/>
        <v>0</v>
      </c>
      <c r="I1348" s="294">
        <v>43230</v>
      </c>
      <c r="J1348" s="294"/>
      <c r="K1348" s="11">
        <f>7882*0.95*0.59*1.4*1.05</f>
        <v>6494.2556699999996</v>
      </c>
      <c r="L1348" s="11"/>
      <c r="M1348" s="11"/>
      <c r="N1348" s="100"/>
      <c r="O1348" s="11">
        <f t="shared" si="334"/>
        <v>6494.2556699999996</v>
      </c>
      <c r="P1348" s="11">
        <f t="shared" si="331"/>
        <v>6494.2556699999996</v>
      </c>
      <c r="Q1348" s="11"/>
      <c r="R1348" s="11">
        <f t="shared" si="332"/>
        <v>0</v>
      </c>
      <c r="S1348" s="11"/>
      <c r="T1348" s="136">
        <f t="shared" si="316"/>
        <v>0</v>
      </c>
    </row>
    <row r="1349" spans="1:20" ht="15.75" customHeight="1">
      <c r="A1349" s="149">
        <v>25</v>
      </c>
      <c r="B1349" s="273"/>
      <c r="C1349" s="28" t="s">
        <v>1633</v>
      </c>
      <c r="D1349" s="41">
        <v>38020</v>
      </c>
      <c r="E1349" s="131">
        <f t="shared" si="323"/>
        <v>0</v>
      </c>
      <c r="F1349" s="21" t="s">
        <v>1248</v>
      </c>
      <c r="G1349" s="21">
        <v>820000</v>
      </c>
      <c r="H1349" s="135">
        <f t="shared" si="315"/>
        <v>0</v>
      </c>
      <c r="I1349" s="294"/>
      <c r="J1349" s="294">
        <v>43864</v>
      </c>
      <c r="K1349" s="11">
        <f>+((23414*0.93)*1.35*1.03*1.06+300+650+200+4780)</f>
        <v>38024.855228600005</v>
      </c>
      <c r="L1349" s="11"/>
      <c r="M1349" s="11"/>
      <c r="N1349" s="100"/>
      <c r="O1349" s="11">
        <f t="shared" si="334"/>
        <v>38024.855228600005</v>
      </c>
      <c r="P1349" s="11">
        <f t="shared" si="331"/>
        <v>38024.855228600005</v>
      </c>
      <c r="Q1349" s="11"/>
      <c r="R1349" s="11">
        <f t="shared" si="332"/>
        <v>0</v>
      </c>
      <c r="S1349" s="11"/>
      <c r="T1349" s="136">
        <f t="shared" si="316"/>
        <v>0</v>
      </c>
    </row>
    <row r="1350" spans="1:20" ht="15.75" customHeight="1">
      <c r="A1350" s="149">
        <v>41</v>
      </c>
      <c r="B1350" s="273">
        <f>ROUNDUP(E1350*1.06,-1)</f>
        <v>1720410</v>
      </c>
      <c r="C1350" s="28" t="s">
        <v>4298</v>
      </c>
      <c r="D1350" s="41">
        <v>62610</v>
      </c>
      <c r="E1350" s="132">
        <f t="shared" si="323"/>
        <v>1623020</v>
      </c>
      <c r="F1350" s="21" t="s">
        <v>1248</v>
      </c>
      <c r="G1350" s="21">
        <f t="shared" si="333"/>
        <v>1793437.0999999999</v>
      </c>
      <c r="H1350" s="135">
        <f t="shared" si="315"/>
        <v>1368910</v>
      </c>
      <c r="I1350" s="294">
        <v>45311</v>
      </c>
      <c r="J1350" s="294"/>
      <c r="K1350" s="11">
        <f>PROVEEDORES!$D$35*0.9*0.9*1216*1.1</f>
        <v>1159297.9200000002</v>
      </c>
      <c r="L1350" s="11"/>
      <c r="M1350" s="11"/>
      <c r="N1350" s="100">
        <f>0.9*0.95*0.95*1203800</f>
        <v>977786.54999999993</v>
      </c>
      <c r="O1350" s="11">
        <f t="shared" si="334"/>
        <v>1159297.9200000002</v>
      </c>
      <c r="P1350" s="11">
        <f t="shared" si="331"/>
        <v>1159297.9200000002</v>
      </c>
      <c r="Q1350" s="11">
        <v>1.4</v>
      </c>
      <c r="R1350" s="11">
        <f t="shared" si="332"/>
        <v>1623017.0880000002</v>
      </c>
      <c r="S1350" s="11"/>
      <c r="T1350" s="136">
        <f t="shared" si="316"/>
        <v>1368901.17</v>
      </c>
    </row>
    <row r="1351" spans="1:20" ht="15.75" customHeight="1">
      <c r="A1351" s="149">
        <v>44</v>
      </c>
      <c r="B1351" s="273"/>
      <c r="C1351" s="28" t="s">
        <v>44239</v>
      </c>
      <c r="D1351" s="41">
        <v>86500</v>
      </c>
      <c r="E1351" s="140">
        <f t="shared" si="323"/>
        <v>2571900</v>
      </c>
      <c r="F1351" s="21" t="s">
        <v>1248</v>
      </c>
      <c r="G1351" s="21">
        <f t="shared" si="333"/>
        <v>2841949.5</v>
      </c>
      <c r="H1351" s="135">
        <f t="shared" si="315"/>
        <v>2407430</v>
      </c>
      <c r="I1351" s="294">
        <v>45287</v>
      </c>
      <c r="J1351" s="294">
        <v>45343</v>
      </c>
      <c r="K1351" s="10">
        <f>+PROVEEDORES!$D$38*2075.78</f>
        <v>1837065.3000000003</v>
      </c>
      <c r="L1351" s="11"/>
      <c r="M1351" s="100">
        <f>1450000*2</f>
        <v>2900000</v>
      </c>
      <c r="N1351" s="100">
        <v>1719590</v>
      </c>
      <c r="O1351" s="11">
        <f t="shared" si="334"/>
        <v>1837065.3000000003</v>
      </c>
      <c r="P1351" s="11">
        <f t="shared" si="331"/>
        <v>1837065.3000000003</v>
      </c>
      <c r="Q1351" s="11">
        <v>1.4</v>
      </c>
      <c r="R1351" s="11">
        <f t="shared" si="332"/>
        <v>2571891.4200000004</v>
      </c>
      <c r="S1351" s="11"/>
      <c r="T1351" s="136">
        <f t="shared" si="316"/>
        <v>2407426</v>
      </c>
    </row>
    <row r="1352" spans="1:20" ht="15.75" customHeight="1">
      <c r="A1352" s="149">
        <v>26</v>
      </c>
      <c r="B1352" s="273">
        <f t="shared" ref="B1352" si="335">ROUNDUP(E1352*1.06,-1)</f>
        <v>1706600</v>
      </c>
      <c r="C1352" s="28" t="s">
        <v>62680</v>
      </c>
      <c r="D1352" s="41"/>
      <c r="E1352" s="131">
        <f t="shared" ref="E1352" si="336">ROUNDUP(R1352,-1)</f>
        <v>1610000</v>
      </c>
      <c r="F1352" s="21" t="s">
        <v>1248</v>
      </c>
      <c r="G1352" s="21">
        <f t="shared" ref="G1352" si="337">+E1352*1.105</f>
        <v>1779050</v>
      </c>
      <c r="H1352" s="135">
        <f t="shared" ref="H1352" si="338">ROUNDUP(T1352,-1)</f>
        <v>0</v>
      </c>
      <c r="I1352" s="294">
        <v>45376</v>
      </c>
      <c r="J1352" s="294"/>
      <c r="K1352" s="10">
        <v>1150000</v>
      </c>
      <c r="L1352" s="11"/>
      <c r="M1352" s="11"/>
      <c r="N1352" s="100"/>
      <c r="O1352" s="11">
        <f t="shared" ref="O1352" si="339">MIN(K1352:M1352)</f>
        <v>1150000</v>
      </c>
      <c r="P1352" s="11">
        <f t="shared" ref="P1352" si="340">+O1352</f>
        <v>1150000</v>
      </c>
      <c r="Q1352" s="11">
        <v>1.4</v>
      </c>
      <c r="R1352" s="11">
        <f t="shared" ref="R1352" si="341">+P1352*Q1352</f>
        <v>1610000</v>
      </c>
      <c r="S1352" s="11"/>
      <c r="T1352" s="136">
        <f t="shared" ref="T1352" si="342">+N1352*Q1352</f>
        <v>0</v>
      </c>
    </row>
    <row r="1353" spans="1:20" ht="15.75" customHeight="1">
      <c r="A1353" s="149">
        <v>26</v>
      </c>
      <c r="B1353" s="273">
        <f t="shared" ref="B1353:B1362" si="343">ROUNDUP(E1353*1.06,-1)</f>
        <v>2291300</v>
      </c>
      <c r="C1353" s="28" t="s">
        <v>3915</v>
      </c>
      <c r="D1353" s="41"/>
      <c r="E1353" s="131">
        <f t="shared" si="323"/>
        <v>2161600</v>
      </c>
      <c r="F1353" s="21" t="s">
        <v>1248</v>
      </c>
      <c r="G1353" s="21">
        <f t="shared" si="333"/>
        <v>2388568</v>
      </c>
      <c r="H1353" s="135">
        <f t="shared" si="315"/>
        <v>0</v>
      </c>
      <c r="I1353" s="294">
        <v>45376</v>
      </c>
      <c r="J1353" s="294"/>
      <c r="K1353" s="10">
        <v>1544000</v>
      </c>
      <c r="L1353" s="11"/>
      <c r="M1353" s="11"/>
      <c r="N1353" s="100"/>
      <c r="O1353" s="11">
        <f t="shared" si="334"/>
        <v>1544000</v>
      </c>
      <c r="P1353" s="11">
        <f t="shared" si="331"/>
        <v>1544000</v>
      </c>
      <c r="Q1353" s="11">
        <v>1.4</v>
      </c>
      <c r="R1353" s="11">
        <f t="shared" si="332"/>
        <v>2161600</v>
      </c>
      <c r="S1353" s="11"/>
      <c r="T1353" s="136">
        <f t="shared" si="316"/>
        <v>0</v>
      </c>
    </row>
    <row r="1354" spans="1:20" ht="15.75" customHeight="1">
      <c r="A1354" s="149">
        <v>41</v>
      </c>
      <c r="B1354" s="273">
        <f t="shared" si="343"/>
        <v>0</v>
      </c>
      <c r="C1354" s="28" t="s">
        <v>2919</v>
      </c>
      <c r="D1354" s="41"/>
      <c r="E1354" s="132">
        <f t="shared" si="323"/>
        <v>0</v>
      </c>
      <c r="F1354" s="21" t="s">
        <v>1248</v>
      </c>
      <c r="G1354" s="21">
        <f t="shared" si="333"/>
        <v>0</v>
      </c>
      <c r="H1354" s="135">
        <f t="shared" si="315"/>
        <v>0</v>
      </c>
      <c r="I1354" s="294">
        <v>44447</v>
      </c>
      <c r="J1354" s="294">
        <v>44483</v>
      </c>
      <c r="K1354" s="10">
        <f>+PROVEEDORES!D35*2378*0.9</f>
        <v>2290014</v>
      </c>
      <c r="L1354" s="11"/>
      <c r="M1354" s="30"/>
      <c r="N1354" s="100"/>
      <c r="O1354" s="11">
        <f t="shared" si="334"/>
        <v>2290014</v>
      </c>
      <c r="P1354" s="11">
        <f t="shared" si="331"/>
        <v>2290014</v>
      </c>
      <c r="Q1354" s="11"/>
      <c r="R1354" s="11">
        <f t="shared" si="332"/>
        <v>0</v>
      </c>
      <c r="S1354" s="11"/>
      <c r="T1354" s="136">
        <f t="shared" si="316"/>
        <v>0</v>
      </c>
    </row>
    <row r="1355" spans="1:20" ht="15.75" customHeight="1">
      <c r="A1355" s="149">
        <v>76</v>
      </c>
      <c r="B1355" s="273">
        <f t="shared" si="343"/>
        <v>751150</v>
      </c>
      <c r="C1355" s="28" t="s">
        <v>3930</v>
      </c>
      <c r="D1355" s="41">
        <v>50060</v>
      </c>
      <c r="E1355" s="131">
        <f t="shared" si="323"/>
        <v>708630</v>
      </c>
      <c r="F1355" s="21" t="s">
        <v>1248</v>
      </c>
      <c r="G1355" s="21">
        <f t="shared" si="333"/>
        <v>783036.15</v>
      </c>
      <c r="H1355" s="135">
        <f t="shared" ref="H1355:H1427" si="344">ROUNDUP(T1355,-1)</f>
        <v>0</v>
      </c>
      <c r="I1355" s="294">
        <v>45143</v>
      </c>
      <c r="J1355" s="294"/>
      <c r="K1355" s="10">
        <f>0.9*583230</f>
        <v>524907</v>
      </c>
      <c r="L1355" s="11"/>
      <c r="M1355" s="30"/>
      <c r="N1355" s="100"/>
      <c r="O1355" s="11">
        <f t="shared" si="334"/>
        <v>524907</v>
      </c>
      <c r="P1355" s="11">
        <f t="shared" si="331"/>
        <v>524907</v>
      </c>
      <c r="Q1355" s="11">
        <v>1.35</v>
      </c>
      <c r="R1355" s="11">
        <f t="shared" si="332"/>
        <v>708624.45000000007</v>
      </c>
      <c r="S1355" s="11"/>
      <c r="T1355" s="136">
        <f t="shared" si="316"/>
        <v>0</v>
      </c>
    </row>
    <row r="1356" spans="1:20" ht="15.75" customHeight="1">
      <c r="A1356" s="149">
        <v>41</v>
      </c>
      <c r="B1356" s="273">
        <f t="shared" si="343"/>
        <v>2288130</v>
      </c>
      <c r="C1356" s="28" t="s">
        <v>4330</v>
      </c>
      <c r="D1356" s="41">
        <v>89190</v>
      </c>
      <c r="E1356" s="132">
        <f t="shared" si="323"/>
        <v>2158610</v>
      </c>
      <c r="F1356" s="21" t="s">
        <v>1248</v>
      </c>
      <c r="G1356" s="21">
        <f t="shared" si="333"/>
        <v>2385264.0499999998</v>
      </c>
      <c r="H1356" s="135">
        <f t="shared" si="344"/>
        <v>2069620</v>
      </c>
      <c r="I1356" s="294">
        <v>45311</v>
      </c>
      <c r="J1356" s="294">
        <v>45329</v>
      </c>
      <c r="K1356" s="11">
        <f>PROVEEDORES!$D$35*0.9*0.9*1779</f>
        <v>1541859.3</v>
      </c>
      <c r="L1356" s="11"/>
      <c r="M1356" s="30"/>
      <c r="N1356" s="30">
        <f>1820000*0.9*0.95*0.95</f>
        <v>1478295</v>
      </c>
      <c r="O1356" s="11">
        <f t="shared" si="334"/>
        <v>1541859.3</v>
      </c>
      <c r="P1356" s="11">
        <f t="shared" si="331"/>
        <v>1541859.3</v>
      </c>
      <c r="Q1356" s="11">
        <v>1.4</v>
      </c>
      <c r="R1356" s="11">
        <f t="shared" si="332"/>
        <v>2158603.02</v>
      </c>
      <c r="S1356" s="11"/>
      <c r="T1356" s="136">
        <f t="shared" si="316"/>
        <v>2069612.9999999998</v>
      </c>
    </row>
    <row r="1357" spans="1:20" ht="15.75" customHeight="1">
      <c r="A1357" s="149">
        <v>41</v>
      </c>
      <c r="B1357" s="273">
        <f t="shared" si="343"/>
        <v>2253410</v>
      </c>
      <c r="C1357" s="28" t="s">
        <v>4329</v>
      </c>
      <c r="D1357" s="41">
        <v>70770</v>
      </c>
      <c r="E1357" s="132">
        <f t="shared" si="323"/>
        <v>2125850</v>
      </c>
      <c r="F1357" s="21" t="s">
        <v>1248</v>
      </c>
      <c r="G1357" s="21">
        <f t="shared" si="333"/>
        <v>2349064.25</v>
      </c>
      <c r="H1357" s="135">
        <f t="shared" si="344"/>
        <v>1998660</v>
      </c>
      <c r="I1357" s="294">
        <v>45311</v>
      </c>
      <c r="J1357" s="294">
        <v>45329</v>
      </c>
      <c r="K1357" s="11">
        <f>PROVEEDORES!D35*0.9*0.9*1752</f>
        <v>1518458.4000000001</v>
      </c>
      <c r="L1357" s="100">
        <v>1690000</v>
      </c>
      <c r="M1357" s="30"/>
      <c r="N1357" s="30">
        <f>1757600*0.9*0.95*0.95</f>
        <v>1427610.5999999999</v>
      </c>
      <c r="O1357" s="11">
        <f t="shared" si="334"/>
        <v>1518458.4000000001</v>
      </c>
      <c r="P1357" s="11">
        <f t="shared" si="331"/>
        <v>1518458.4000000001</v>
      </c>
      <c r="Q1357" s="11">
        <v>1.4</v>
      </c>
      <c r="R1357" s="11">
        <f t="shared" si="332"/>
        <v>2125841.7600000002</v>
      </c>
      <c r="S1357" s="11"/>
      <c r="T1357" s="136">
        <f t="shared" si="316"/>
        <v>1998654.8399999996</v>
      </c>
    </row>
    <row r="1358" spans="1:20" ht="15.75" customHeight="1">
      <c r="A1358" s="149">
        <v>41</v>
      </c>
      <c r="B1358" s="273">
        <f t="shared" si="343"/>
        <v>2483650</v>
      </c>
      <c r="C1358" s="28" t="s">
        <v>4331</v>
      </c>
      <c r="D1358" s="41">
        <v>70770</v>
      </c>
      <c r="E1358" s="132">
        <f t="shared" si="323"/>
        <v>2343060</v>
      </c>
      <c r="F1358" s="21" t="s">
        <v>1248</v>
      </c>
      <c r="G1358" s="21">
        <f t="shared" si="333"/>
        <v>2589081.2999999998</v>
      </c>
      <c r="H1358" s="135">
        <f t="shared" si="344"/>
        <v>1822240</v>
      </c>
      <c r="I1358" s="294">
        <v>45311</v>
      </c>
      <c r="J1358" s="294">
        <v>45329</v>
      </c>
      <c r="K1358" s="11">
        <f>PROVEEDORES!D35*0.9*0.9*1959</f>
        <v>1697865.3</v>
      </c>
      <c r="L1358" s="11"/>
      <c r="M1358" s="30"/>
      <c r="N1358" s="100">
        <v>1320462</v>
      </c>
      <c r="O1358" s="11">
        <f t="shared" si="334"/>
        <v>1697865.3</v>
      </c>
      <c r="P1358" s="11">
        <f t="shared" si="331"/>
        <v>1697865.3</v>
      </c>
      <c r="Q1358" s="11">
        <v>1.38</v>
      </c>
      <c r="R1358" s="11">
        <f t="shared" si="332"/>
        <v>2343054.1140000001</v>
      </c>
      <c r="S1358" s="11"/>
      <c r="T1358" s="136">
        <f t="shared" si="316"/>
        <v>1822237.5599999998</v>
      </c>
    </row>
    <row r="1359" spans="1:20" ht="15.75" customHeight="1">
      <c r="A1359" s="149">
        <v>38</v>
      </c>
      <c r="B1359" s="273">
        <f t="shared" si="343"/>
        <v>367290</v>
      </c>
      <c r="C1359" s="28" t="s">
        <v>3407</v>
      </c>
      <c r="D1359" s="41"/>
      <c r="E1359" s="131">
        <f t="shared" si="323"/>
        <v>346500</v>
      </c>
      <c r="F1359" s="21" t="s">
        <v>1248</v>
      </c>
      <c r="G1359" s="21">
        <f t="shared" si="333"/>
        <v>382882.5</v>
      </c>
      <c r="H1359" s="135">
        <f t="shared" si="344"/>
        <v>300310</v>
      </c>
      <c r="I1359" s="294">
        <v>45138</v>
      </c>
      <c r="J1359" s="294">
        <v>45274</v>
      </c>
      <c r="K1359" s="10">
        <f>+PROVEEDORES!$D$32*227.58</f>
        <v>238959</v>
      </c>
      <c r="L1359" s="11"/>
      <c r="M1359" s="100"/>
      <c r="N1359" s="100">
        <v>207105</v>
      </c>
      <c r="O1359" s="11">
        <f t="shared" si="334"/>
        <v>238959</v>
      </c>
      <c r="P1359" s="11">
        <f t="shared" si="331"/>
        <v>238959</v>
      </c>
      <c r="Q1359" s="11">
        <v>1.45</v>
      </c>
      <c r="R1359" s="11">
        <f t="shared" si="332"/>
        <v>346490.55</v>
      </c>
      <c r="S1359" s="11"/>
      <c r="T1359" s="136">
        <f t="shared" si="316"/>
        <v>300302.25</v>
      </c>
    </row>
    <row r="1360" spans="1:20" ht="15.75" customHeight="1">
      <c r="A1360" s="149">
        <v>12</v>
      </c>
      <c r="B1360" s="273"/>
      <c r="C1360" s="28" t="s">
        <v>44329</v>
      </c>
      <c r="D1360" s="41">
        <v>35570</v>
      </c>
      <c r="E1360" s="131">
        <f t="shared" ref="E1360" si="345">ROUNDUP(R1360,-1)</f>
        <v>9010</v>
      </c>
      <c r="F1360" s="21">
        <f>+E1360*1.21</f>
        <v>10902.1</v>
      </c>
      <c r="G1360" s="21"/>
      <c r="H1360" s="135">
        <f t="shared" ref="H1360" si="346">ROUNDUP(T1360,-1)</f>
        <v>0</v>
      </c>
      <c r="I1360" s="23">
        <v>45288</v>
      </c>
      <c r="J1360" s="294"/>
      <c r="K1360" s="10">
        <v>6525</v>
      </c>
      <c r="L1360" s="10"/>
      <c r="M1360" s="30"/>
      <c r="N1360" s="100"/>
      <c r="O1360" s="11">
        <f t="shared" ref="O1360" si="347">MIN(K1360:M1360)</f>
        <v>6525</v>
      </c>
      <c r="P1360" s="11">
        <f>+O1360*'AUMENTOS %'!$B$5</f>
        <v>6525</v>
      </c>
      <c r="Q1360" s="11">
        <v>1.38</v>
      </c>
      <c r="R1360" s="11">
        <f t="shared" ref="R1360" si="348">+P1360*Q1360</f>
        <v>9004.5</v>
      </c>
      <c r="S1360" s="11"/>
      <c r="T1360" s="136">
        <f t="shared" ref="T1360" si="349">+N1360*Q1360</f>
        <v>0</v>
      </c>
    </row>
    <row r="1361" spans="1:20" ht="15.75" customHeight="1">
      <c r="A1361" s="149" t="s">
        <v>2398</v>
      </c>
      <c r="B1361" s="273">
        <f t="shared" si="343"/>
        <v>812040</v>
      </c>
      <c r="C1361" s="28" t="s">
        <v>37134</v>
      </c>
      <c r="D1361" s="41">
        <v>35570</v>
      </c>
      <c r="E1361" s="131">
        <f t="shared" si="323"/>
        <v>766070</v>
      </c>
      <c r="F1361" s="21" t="s">
        <v>1248</v>
      </c>
      <c r="G1361" s="21">
        <f t="shared" si="333"/>
        <v>846507.35</v>
      </c>
      <c r="H1361" s="135">
        <f t="shared" si="344"/>
        <v>0</v>
      </c>
      <c r="I1361" s="23">
        <v>45323</v>
      </c>
      <c r="J1361" s="294"/>
      <c r="K1361" s="10">
        <f>0.8*0.98*0.94*0.95*792900</f>
        <v>555118.80479999993</v>
      </c>
      <c r="L1361" s="10"/>
      <c r="M1361" s="30"/>
      <c r="N1361" s="100"/>
      <c r="O1361" s="11">
        <f t="shared" si="334"/>
        <v>555118.80479999993</v>
      </c>
      <c r="P1361" s="11">
        <f>+O1361*'AUMENTOS %'!$B$5</f>
        <v>555118.80479999993</v>
      </c>
      <c r="Q1361" s="11">
        <v>1.38</v>
      </c>
      <c r="R1361" s="11">
        <f t="shared" si="332"/>
        <v>766063.95062399982</v>
      </c>
      <c r="S1361" s="11"/>
      <c r="T1361" s="136">
        <f t="shared" si="316"/>
        <v>0</v>
      </c>
    </row>
    <row r="1362" spans="1:20" ht="15.75" customHeight="1">
      <c r="A1362" s="149" t="s">
        <v>2398</v>
      </c>
      <c r="B1362" s="273">
        <f t="shared" si="343"/>
        <v>2557660</v>
      </c>
      <c r="C1362" s="28" t="s">
        <v>37133</v>
      </c>
      <c r="D1362" s="41">
        <v>35570</v>
      </c>
      <c r="E1362" s="131">
        <f t="shared" si="323"/>
        <v>2412880</v>
      </c>
      <c r="F1362" s="21" t="s">
        <v>1248</v>
      </c>
      <c r="G1362" s="21">
        <f t="shared" si="333"/>
        <v>2666232.4</v>
      </c>
      <c r="H1362" s="135">
        <f t="shared" si="344"/>
        <v>0</v>
      </c>
      <c r="I1362" s="23">
        <v>45323</v>
      </c>
      <c r="J1362" s="294"/>
      <c r="K1362" s="10">
        <f>0.8*0.98*0.94*0.95*2497401</f>
        <v>1748460.4089119998</v>
      </c>
      <c r="L1362" s="10"/>
      <c r="M1362" s="30"/>
      <c r="N1362" s="100"/>
      <c r="O1362" s="11">
        <f t="shared" si="334"/>
        <v>1748460.4089119998</v>
      </c>
      <c r="P1362" s="11">
        <f>+O1362*'AUMENTOS %'!$B$5</f>
        <v>1748460.4089119998</v>
      </c>
      <c r="Q1362" s="11">
        <v>1.38</v>
      </c>
      <c r="R1362" s="11">
        <f t="shared" si="332"/>
        <v>2412875.3642985597</v>
      </c>
      <c r="S1362" s="11"/>
      <c r="T1362" s="136">
        <f t="shared" ref="T1362:T1431" si="350">+N1362*Q1362</f>
        <v>0</v>
      </c>
    </row>
    <row r="1363" spans="1:20" ht="15.75" customHeight="1">
      <c r="A1363" s="149" t="s">
        <v>2387</v>
      </c>
      <c r="B1363" s="273"/>
      <c r="C1363" s="28" t="s">
        <v>2137</v>
      </c>
      <c r="D1363" s="41">
        <v>40790</v>
      </c>
      <c r="E1363" s="131">
        <f t="shared" si="323"/>
        <v>0</v>
      </c>
      <c r="F1363" s="21" t="s">
        <v>1248</v>
      </c>
      <c r="G1363" s="21"/>
      <c r="H1363" s="135">
        <f t="shared" si="344"/>
        <v>0</v>
      </c>
      <c r="I1363" s="294">
        <v>44840</v>
      </c>
      <c r="J1363" s="294">
        <v>45118</v>
      </c>
      <c r="K1363" s="11"/>
      <c r="L1363" s="171">
        <f>+'AUMENTOS %'!C12*173147</f>
        <v>173147</v>
      </c>
      <c r="M1363" s="30"/>
      <c r="N1363" s="100"/>
      <c r="O1363" s="11">
        <f t="shared" si="334"/>
        <v>173147</v>
      </c>
      <c r="P1363" s="11">
        <f>+O1363*'AUMENTOS %'!$D$12</f>
        <v>173147</v>
      </c>
      <c r="Q1363" s="11"/>
      <c r="R1363" s="11">
        <f t="shared" si="332"/>
        <v>0</v>
      </c>
      <c r="S1363" s="11"/>
      <c r="T1363" s="136">
        <f t="shared" si="350"/>
        <v>0</v>
      </c>
    </row>
    <row r="1364" spans="1:20" ht="15.75" customHeight="1">
      <c r="A1364" s="149" t="s">
        <v>2398</v>
      </c>
      <c r="B1364" s="273">
        <f>ROUNDUP(E1364*1.06,-1)</f>
        <v>622850</v>
      </c>
      <c r="C1364" s="36" t="s">
        <v>37135</v>
      </c>
      <c r="D1364" s="41"/>
      <c r="E1364" s="131">
        <f t="shared" si="323"/>
        <v>587590</v>
      </c>
      <c r="F1364" s="21" t="s">
        <v>1248</v>
      </c>
      <c r="G1364" s="21">
        <f t="shared" si="333"/>
        <v>649286.94999999995</v>
      </c>
      <c r="H1364" s="135">
        <f t="shared" si="344"/>
        <v>0</v>
      </c>
      <c r="I1364" s="294">
        <v>45323</v>
      </c>
      <c r="J1364" s="294"/>
      <c r="K1364" s="10">
        <f>0.8*0.94*0.95*596009</f>
        <v>425788.82959999994</v>
      </c>
      <c r="L1364" s="10"/>
      <c r="M1364" s="30"/>
      <c r="N1364" s="100"/>
      <c r="O1364" s="11">
        <f t="shared" si="334"/>
        <v>425788.82959999994</v>
      </c>
      <c r="P1364" s="11">
        <f>+O1364*'AUMENTOS %'!$B$5</f>
        <v>425788.82959999994</v>
      </c>
      <c r="Q1364" s="11">
        <v>1.38</v>
      </c>
      <c r="R1364" s="11">
        <f t="shared" si="332"/>
        <v>587588.58484799985</v>
      </c>
      <c r="S1364" s="11"/>
      <c r="T1364" s="136">
        <f t="shared" si="350"/>
        <v>0</v>
      </c>
    </row>
    <row r="1365" spans="1:20" ht="15.75" customHeight="1">
      <c r="A1365" s="149" t="s">
        <v>2398</v>
      </c>
      <c r="B1365" s="273">
        <f>ROUNDUP(E1365*1.06,-1)</f>
        <v>777700</v>
      </c>
      <c r="C1365" s="36" t="s">
        <v>37136</v>
      </c>
      <c r="D1365" s="41"/>
      <c r="E1365" s="131">
        <f t="shared" si="323"/>
        <v>733670</v>
      </c>
      <c r="F1365" s="21" t="s">
        <v>1248</v>
      </c>
      <c r="G1365" s="21">
        <f t="shared" si="333"/>
        <v>810705.35</v>
      </c>
      <c r="H1365" s="135">
        <f t="shared" si="344"/>
        <v>0</v>
      </c>
      <c r="I1365" s="294">
        <v>45323</v>
      </c>
      <c r="J1365" s="294"/>
      <c r="K1365" s="10">
        <f>0.8*0.98*0.94*0.95*759364</f>
        <v>531639.84876799991</v>
      </c>
      <c r="L1365" s="10"/>
      <c r="M1365" s="30"/>
      <c r="N1365" s="100"/>
      <c r="O1365" s="11">
        <f t="shared" si="334"/>
        <v>531639.84876799991</v>
      </c>
      <c r="P1365" s="11">
        <f>+O1365*'AUMENTOS %'!$B$5</f>
        <v>531639.84876799991</v>
      </c>
      <c r="Q1365" s="11">
        <v>1.38</v>
      </c>
      <c r="R1365" s="11">
        <f t="shared" si="332"/>
        <v>733662.99129983981</v>
      </c>
      <c r="S1365" s="11"/>
      <c r="T1365" s="136">
        <f t="shared" si="350"/>
        <v>0</v>
      </c>
    </row>
    <row r="1366" spans="1:20" ht="15.75" customHeight="1">
      <c r="A1366" s="149" t="s">
        <v>2387</v>
      </c>
      <c r="B1366" s="273">
        <f>ROUNDUP(E1366*1.06,-1)</f>
        <v>162170</v>
      </c>
      <c r="C1366" s="28" t="s">
        <v>2138</v>
      </c>
      <c r="D1366" s="160">
        <v>20640</v>
      </c>
      <c r="E1366" s="131">
        <f t="shared" si="323"/>
        <v>152990</v>
      </c>
      <c r="F1366" s="21" t="s">
        <v>1248</v>
      </c>
      <c r="G1366" s="21">
        <f t="shared" si="333"/>
        <v>169053.95</v>
      </c>
      <c r="H1366" s="135">
        <f t="shared" si="344"/>
        <v>0</v>
      </c>
      <c r="I1366" s="294">
        <v>45138</v>
      </c>
      <c r="J1366" s="294"/>
      <c r="K1366" s="11"/>
      <c r="L1366" s="11">
        <f>+'AUMENTOS %'!C13*113322</f>
        <v>113322</v>
      </c>
      <c r="M1366" s="11"/>
      <c r="N1366" s="100"/>
      <c r="O1366" s="11">
        <f t="shared" si="334"/>
        <v>113322</v>
      </c>
      <c r="P1366" s="11">
        <f>+O1366*'AUMENTOS %'!D13</f>
        <v>113322</v>
      </c>
      <c r="Q1366" s="11">
        <v>1.35</v>
      </c>
      <c r="R1366" s="11">
        <f t="shared" si="332"/>
        <v>152984.70000000001</v>
      </c>
      <c r="S1366" s="11"/>
      <c r="T1366" s="136">
        <f t="shared" si="350"/>
        <v>0</v>
      </c>
    </row>
    <row r="1367" spans="1:20" ht="15.75" customHeight="1">
      <c r="A1367" s="149"/>
      <c r="B1367" s="273"/>
      <c r="C1367" s="28" t="s">
        <v>2085</v>
      </c>
      <c r="D1367" s="41">
        <v>190</v>
      </c>
      <c r="E1367" s="131">
        <f t="shared" si="323"/>
        <v>0</v>
      </c>
      <c r="F1367" s="21">
        <f>+E1367*1.21</f>
        <v>0</v>
      </c>
      <c r="G1367" s="21">
        <f>+G1362*1.06</f>
        <v>2826206.344</v>
      </c>
      <c r="H1367" s="135">
        <f t="shared" si="344"/>
        <v>0</v>
      </c>
      <c r="I1367" s="294"/>
      <c r="J1367" s="294">
        <v>43725</v>
      </c>
      <c r="K1367" s="10">
        <f>94*2</f>
        <v>188</v>
      </c>
      <c r="L1367" s="11"/>
      <c r="M1367" s="11"/>
      <c r="N1367" s="100"/>
      <c r="O1367" s="11">
        <f t="shared" si="334"/>
        <v>188</v>
      </c>
      <c r="P1367" s="11">
        <f t="shared" si="331"/>
        <v>188</v>
      </c>
      <c r="Q1367" s="11"/>
      <c r="R1367" s="11">
        <f t="shared" si="332"/>
        <v>0</v>
      </c>
      <c r="S1367" s="11"/>
      <c r="T1367" s="136">
        <f t="shared" si="350"/>
        <v>0</v>
      </c>
    </row>
    <row r="1368" spans="1:20" ht="15.75" customHeight="1">
      <c r="A1368" s="149"/>
      <c r="B1368" s="273"/>
      <c r="C1368" s="28" t="s">
        <v>2232</v>
      </c>
      <c r="D1368" s="41">
        <v>1300</v>
      </c>
      <c r="E1368" s="131">
        <f t="shared" si="323"/>
        <v>0</v>
      </c>
      <c r="F1368" s="21" t="s">
        <v>1248</v>
      </c>
      <c r="G1368" s="21"/>
      <c r="H1368" s="135">
        <f t="shared" si="344"/>
        <v>0</v>
      </c>
      <c r="I1368" s="294"/>
      <c r="J1368" s="294">
        <v>43901</v>
      </c>
      <c r="K1368" s="11">
        <f>815*1.6</f>
        <v>1304</v>
      </c>
      <c r="L1368" s="11"/>
      <c r="M1368" s="11"/>
      <c r="N1368" s="100"/>
      <c r="O1368" s="11">
        <f t="shared" si="334"/>
        <v>1304</v>
      </c>
      <c r="P1368" s="11">
        <f>+O1368*'AUMENTOS %'!$D$12</f>
        <v>1304</v>
      </c>
      <c r="Q1368" s="11"/>
      <c r="R1368" s="11">
        <f t="shared" si="332"/>
        <v>0</v>
      </c>
      <c r="S1368" s="11"/>
      <c r="T1368" s="136">
        <f t="shared" si="350"/>
        <v>0</v>
      </c>
    </row>
    <row r="1369" spans="1:20" ht="15.75" customHeight="1">
      <c r="A1369" s="149"/>
      <c r="B1369" s="273"/>
      <c r="C1369" s="28" t="s">
        <v>2188</v>
      </c>
      <c r="D1369" s="41">
        <v>1150</v>
      </c>
      <c r="E1369" s="131">
        <f t="shared" si="323"/>
        <v>0</v>
      </c>
      <c r="F1369" s="21">
        <f>+E1369*1.21</f>
        <v>0</v>
      </c>
      <c r="G1369" s="21"/>
      <c r="H1369" s="135">
        <f t="shared" si="344"/>
        <v>0</v>
      </c>
      <c r="I1369" s="294"/>
      <c r="J1369" s="294">
        <v>43852</v>
      </c>
      <c r="K1369" s="11">
        <f>795*1.6*0.9</f>
        <v>1144.8</v>
      </c>
      <c r="L1369" s="11"/>
      <c r="M1369" s="11"/>
      <c r="N1369" s="100"/>
      <c r="O1369" s="11">
        <f t="shared" si="334"/>
        <v>1144.8</v>
      </c>
      <c r="P1369" s="11">
        <f>+O1369*'AUMENTOS %'!$D$12</f>
        <v>1144.8</v>
      </c>
      <c r="Q1369" s="11"/>
      <c r="R1369" s="11">
        <f t="shared" si="332"/>
        <v>0</v>
      </c>
      <c r="S1369" s="11"/>
      <c r="T1369" s="136">
        <f t="shared" si="350"/>
        <v>0</v>
      </c>
    </row>
    <row r="1370" spans="1:20" ht="15.75" customHeight="1">
      <c r="A1370" s="149"/>
      <c r="B1370" s="273"/>
      <c r="C1370" s="28" t="s">
        <v>44228</v>
      </c>
      <c r="D1370" s="41">
        <v>1150</v>
      </c>
      <c r="E1370" s="131">
        <f>ROUNDUP(R1370,-1)</f>
        <v>12840</v>
      </c>
      <c r="F1370" s="21">
        <f>+E1370*1.21</f>
        <v>15536.4</v>
      </c>
      <c r="G1370" s="21"/>
      <c r="H1370" s="135">
        <f>ROUNDUP(T1370,-1)</f>
        <v>0</v>
      </c>
      <c r="I1370" s="294"/>
      <c r="J1370" s="294">
        <v>45243</v>
      </c>
      <c r="K1370" s="11">
        <v>8554</v>
      </c>
      <c r="L1370" s="11"/>
      <c r="M1370" s="11"/>
      <c r="N1370" s="100"/>
      <c r="O1370" s="11">
        <f>MIN(K1370:M1370)</f>
        <v>8554</v>
      </c>
      <c r="P1370" s="11">
        <f>+O1370*'AUMENTOS %'!$D$12</f>
        <v>8554</v>
      </c>
      <c r="Q1370" s="11">
        <v>1.5</v>
      </c>
      <c r="R1370" s="11">
        <f>+P1370*Q1370</f>
        <v>12831</v>
      </c>
      <c r="S1370" s="11"/>
      <c r="T1370" s="136">
        <f>+N1370*Q1370</f>
        <v>0</v>
      </c>
    </row>
    <row r="1371" spans="1:20" ht="15.75" customHeight="1">
      <c r="A1371" s="149"/>
      <c r="B1371" s="273"/>
      <c r="C1371" s="28" t="s">
        <v>1634</v>
      </c>
      <c r="D1371" s="41">
        <v>690</v>
      </c>
      <c r="E1371" s="131">
        <f t="shared" si="323"/>
        <v>0</v>
      </c>
      <c r="F1371" s="21" t="s">
        <v>1248</v>
      </c>
      <c r="G1371" s="21"/>
      <c r="H1371" s="135">
        <f t="shared" si="344"/>
        <v>0</v>
      </c>
      <c r="I1371" s="294"/>
      <c r="J1371" s="294">
        <v>42741</v>
      </c>
      <c r="K1371" s="10">
        <f>488*1.4</f>
        <v>683.19999999999993</v>
      </c>
      <c r="L1371" s="11"/>
      <c r="M1371" s="11"/>
      <c r="N1371" s="100"/>
      <c r="O1371" s="11">
        <f t="shared" si="334"/>
        <v>683.19999999999993</v>
      </c>
      <c r="P1371" s="11">
        <f t="shared" si="331"/>
        <v>683.19999999999993</v>
      </c>
      <c r="Q1371" s="11"/>
      <c r="R1371" s="11">
        <f t="shared" si="332"/>
        <v>0</v>
      </c>
      <c r="S1371" s="11"/>
      <c r="T1371" s="136">
        <f t="shared" si="350"/>
        <v>0</v>
      </c>
    </row>
    <row r="1372" spans="1:20" ht="15.75" customHeight="1">
      <c r="A1372" s="149">
        <v>41</v>
      </c>
      <c r="B1372" s="273"/>
      <c r="C1372" s="28" t="s">
        <v>1635</v>
      </c>
      <c r="D1372" s="41">
        <v>210</v>
      </c>
      <c r="E1372" s="132">
        <f t="shared" si="323"/>
        <v>16700</v>
      </c>
      <c r="F1372" s="21">
        <f t="shared" ref="F1372:F1411" si="351">+E1372*1.21</f>
        <v>20207</v>
      </c>
      <c r="G1372" s="21">
        <f>302000/920</f>
        <v>328.26086956521738</v>
      </c>
      <c r="H1372" s="135">
        <f t="shared" si="344"/>
        <v>0</v>
      </c>
      <c r="I1372" s="294"/>
      <c r="J1372" s="294">
        <v>44796</v>
      </c>
      <c r="K1372" s="10">
        <f>+PROVEEDORES!D35*7.8</f>
        <v>8346</v>
      </c>
      <c r="L1372" s="11"/>
      <c r="M1372" s="11"/>
      <c r="N1372" s="100"/>
      <c r="O1372" s="11">
        <f t="shared" si="334"/>
        <v>8346</v>
      </c>
      <c r="P1372" s="11">
        <f t="shared" si="331"/>
        <v>8346</v>
      </c>
      <c r="Q1372" s="11">
        <v>2</v>
      </c>
      <c r="R1372" s="11">
        <f t="shared" si="332"/>
        <v>16692</v>
      </c>
      <c r="S1372" s="11"/>
      <c r="T1372" s="136">
        <f t="shared" si="350"/>
        <v>0</v>
      </c>
    </row>
    <row r="1373" spans="1:20" ht="15.75" customHeight="1">
      <c r="A1373" s="149">
        <v>12</v>
      </c>
      <c r="B1373" s="273"/>
      <c r="C1373" s="28" t="s">
        <v>1644</v>
      </c>
      <c r="D1373" s="41">
        <v>1300</v>
      </c>
      <c r="E1373" s="131">
        <f t="shared" si="323"/>
        <v>0</v>
      </c>
      <c r="F1373" s="21">
        <f t="shared" si="351"/>
        <v>0</v>
      </c>
      <c r="G1373" s="21"/>
      <c r="H1373" s="135">
        <f t="shared" si="344"/>
        <v>0</v>
      </c>
      <c r="I1373" s="294"/>
      <c r="J1373" s="294">
        <v>43229</v>
      </c>
      <c r="K1373" s="10">
        <f>1150*0.5*1.5*1.5</f>
        <v>1293.75</v>
      </c>
      <c r="L1373" s="11"/>
      <c r="M1373" s="11"/>
      <c r="N1373" s="100"/>
      <c r="O1373" s="11">
        <f t="shared" si="334"/>
        <v>1293.75</v>
      </c>
      <c r="P1373" s="11">
        <f t="shared" si="331"/>
        <v>1293.75</v>
      </c>
      <c r="Q1373" s="11"/>
      <c r="R1373" s="11">
        <f t="shared" si="332"/>
        <v>0</v>
      </c>
      <c r="S1373" s="11"/>
      <c r="T1373" s="136">
        <f t="shared" si="350"/>
        <v>0</v>
      </c>
    </row>
    <row r="1374" spans="1:20" ht="15.75" customHeight="1">
      <c r="A1374" s="149" t="s">
        <v>2398</v>
      </c>
      <c r="B1374" s="273"/>
      <c r="C1374" s="28" t="s">
        <v>3751</v>
      </c>
      <c r="D1374" s="41"/>
      <c r="E1374" s="131">
        <f t="shared" si="323"/>
        <v>11920</v>
      </c>
      <c r="F1374" s="21">
        <f t="shared" si="351"/>
        <v>14423.199999999999</v>
      </c>
      <c r="G1374" s="21"/>
      <c r="H1374" s="135">
        <f t="shared" si="344"/>
        <v>0</v>
      </c>
      <c r="I1374" s="23">
        <v>45323</v>
      </c>
      <c r="J1374" s="294"/>
      <c r="K1374" s="11">
        <f>0.8*0.94*0.98*10428</f>
        <v>7685.0188799999996</v>
      </c>
      <c r="L1374" s="10"/>
      <c r="M1374" s="30"/>
      <c r="N1374" s="100"/>
      <c r="O1374" s="11">
        <f t="shared" si="334"/>
        <v>7685.0188799999996</v>
      </c>
      <c r="P1374" s="11">
        <f>+O1374*'AUMENTOS %'!$B$5</f>
        <v>7685.0188799999996</v>
      </c>
      <c r="Q1374" s="11">
        <v>1.55</v>
      </c>
      <c r="R1374" s="11">
        <f t="shared" si="332"/>
        <v>11911.779263999999</v>
      </c>
      <c r="S1374" s="11"/>
      <c r="T1374" s="136">
        <f t="shared" si="350"/>
        <v>0</v>
      </c>
    </row>
    <row r="1375" spans="1:20" ht="15.75" customHeight="1">
      <c r="A1375" s="149" t="s">
        <v>2398</v>
      </c>
      <c r="B1375" s="273"/>
      <c r="C1375" s="28" t="s">
        <v>3752</v>
      </c>
      <c r="D1375" s="41"/>
      <c r="E1375" s="131">
        <f t="shared" si="323"/>
        <v>51150</v>
      </c>
      <c r="F1375" s="21">
        <f t="shared" si="351"/>
        <v>61891.5</v>
      </c>
      <c r="G1375" s="21"/>
      <c r="H1375" s="135">
        <f t="shared" si="344"/>
        <v>0</v>
      </c>
      <c r="I1375" s="23">
        <v>45323</v>
      </c>
      <c r="J1375" s="294"/>
      <c r="K1375" s="11">
        <f>0.8*0.94*0.98*44773</f>
        <v>32995.910079999994</v>
      </c>
      <c r="L1375" s="10"/>
      <c r="M1375" s="30"/>
      <c r="N1375" s="100"/>
      <c r="O1375" s="11">
        <f t="shared" si="334"/>
        <v>32995.910079999994</v>
      </c>
      <c r="P1375" s="11">
        <f>+O1375*'AUMENTOS %'!$B$5</f>
        <v>32995.910079999994</v>
      </c>
      <c r="Q1375" s="11">
        <v>1.55</v>
      </c>
      <c r="R1375" s="11">
        <f t="shared" si="332"/>
        <v>51143.660623999989</v>
      </c>
      <c r="S1375" s="11"/>
      <c r="T1375" s="136">
        <f t="shared" si="350"/>
        <v>0</v>
      </c>
    </row>
    <row r="1376" spans="1:20" ht="15.75" customHeight="1">
      <c r="A1376" s="149" t="s">
        <v>2387</v>
      </c>
      <c r="B1376" s="273"/>
      <c r="C1376" s="28" t="s">
        <v>1636</v>
      </c>
      <c r="D1376" s="41">
        <v>1120</v>
      </c>
      <c r="E1376" s="131">
        <f t="shared" si="323"/>
        <v>5150</v>
      </c>
      <c r="F1376" s="21">
        <f t="shared" si="351"/>
        <v>6231.5</v>
      </c>
      <c r="G1376" s="64"/>
      <c r="H1376" s="135">
        <f t="shared" si="344"/>
        <v>0</v>
      </c>
      <c r="I1376" s="294">
        <v>45138</v>
      </c>
      <c r="J1376" s="294"/>
      <c r="K1376" s="10"/>
      <c r="L1376" s="11">
        <f>+'AUMENTOS %'!C14*3546</f>
        <v>3546</v>
      </c>
      <c r="M1376" s="11"/>
      <c r="N1376" s="100"/>
      <c r="O1376" s="11">
        <f t="shared" si="334"/>
        <v>3546</v>
      </c>
      <c r="P1376" s="11">
        <f t="shared" si="331"/>
        <v>3546</v>
      </c>
      <c r="Q1376" s="11">
        <v>1.45</v>
      </c>
      <c r="R1376" s="11">
        <f t="shared" si="332"/>
        <v>5141.7</v>
      </c>
      <c r="S1376" s="11"/>
      <c r="T1376" s="136">
        <f t="shared" si="350"/>
        <v>0</v>
      </c>
    </row>
    <row r="1377" spans="1:20" ht="15.75" customHeight="1">
      <c r="A1377" s="149" t="s">
        <v>2387</v>
      </c>
      <c r="B1377" s="273"/>
      <c r="C1377" s="28" t="s">
        <v>1637</v>
      </c>
      <c r="D1377" s="41">
        <v>2220</v>
      </c>
      <c r="E1377" s="131">
        <f t="shared" si="323"/>
        <v>15020</v>
      </c>
      <c r="F1377" s="21">
        <f t="shared" si="351"/>
        <v>18174.2</v>
      </c>
      <c r="G1377" s="21"/>
      <c r="H1377" s="135">
        <f t="shared" si="344"/>
        <v>0</v>
      </c>
      <c r="I1377" s="294">
        <v>45138</v>
      </c>
      <c r="J1377" s="294"/>
      <c r="K1377" s="10"/>
      <c r="L1377" s="11">
        <f>+'AUMENTOS %'!C14*10354</f>
        <v>10354</v>
      </c>
      <c r="M1377" s="11"/>
      <c r="N1377" s="100"/>
      <c r="O1377" s="11">
        <f t="shared" si="334"/>
        <v>10354</v>
      </c>
      <c r="P1377" s="11">
        <f t="shared" si="331"/>
        <v>10354</v>
      </c>
      <c r="Q1377" s="11">
        <v>1.45</v>
      </c>
      <c r="R1377" s="11">
        <f t="shared" si="332"/>
        <v>15013.3</v>
      </c>
      <c r="S1377" s="11"/>
      <c r="T1377" s="136">
        <f t="shared" si="350"/>
        <v>0</v>
      </c>
    </row>
    <row r="1378" spans="1:20" ht="15.75" customHeight="1">
      <c r="A1378" s="149">
        <v>36</v>
      </c>
      <c r="B1378" s="273"/>
      <c r="C1378" s="28" t="s">
        <v>3696</v>
      </c>
      <c r="D1378" s="41">
        <v>790</v>
      </c>
      <c r="E1378" s="131">
        <f t="shared" si="323"/>
        <v>14060</v>
      </c>
      <c r="F1378" s="21">
        <f t="shared" si="351"/>
        <v>17012.599999999999</v>
      </c>
      <c r="G1378" s="21"/>
      <c r="H1378" s="135">
        <f t="shared" si="344"/>
        <v>0</v>
      </c>
      <c r="I1378" s="294">
        <v>45114</v>
      </c>
      <c r="J1378" s="294">
        <v>45331</v>
      </c>
      <c r="K1378" s="10">
        <f>0.8*0.94*12891</f>
        <v>9694.0319999999992</v>
      </c>
      <c r="L1378" s="11"/>
      <c r="M1378" s="11"/>
      <c r="N1378" s="100"/>
      <c r="O1378" s="11">
        <f t="shared" si="334"/>
        <v>9694.0319999999992</v>
      </c>
      <c r="P1378" s="11">
        <f t="shared" si="331"/>
        <v>9694.0319999999992</v>
      </c>
      <c r="Q1378" s="11">
        <v>1.45</v>
      </c>
      <c r="R1378" s="11">
        <f t="shared" si="332"/>
        <v>14056.346399999999</v>
      </c>
      <c r="S1378" s="11"/>
      <c r="T1378" s="136">
        <f t="shared" si="350"/>
        <v>0</v>
      </c>
    </row>
    <row r="1379" spans="1:20" ht="15.75" customHeight="1">
      <c r="A1379" s="149">
        <v>38</v>
      </c>
      <c r="B1379" s="273"/>
      <c r="C1379" s="28" t="s">
        <v>3721</v>
      </c>
      <c r="D1379" s="41">
        <v>200</v>
      </c>
      <c r="E1379" s="131">
        <f t="shared" si="323"/>
        <v>8560</v>
      </c>
      <c r="F1379" s="21">
        <f t="shared" si="351"/>
        <v>10357.6</v>
      </c>
      <c r="G1379" s="21"/>
      <c r="H1379" s="135">
        <f t="shared" si="344"/>
        <v>7420</v>
      </c>
      <c r="I1379" s="294">
        <v>45138</v>
      </c>
      <c r="J1379" s="294">
        <v>45274</v>
      </c>
      <c r="K1379" s="10">
        <f>+PROVEEDORES!$D$32*5.43</f>
        <v>5701.5</v>
      </c>
      <c r="L1379" s="11"/>
      <c r="M1379" s="11"/>
      <c r="N1379" s="100">
        <v>4945</v>
      </c>
      <c r="O1379" s="11">
        <f t="shared" si="334"/>
        <v>5701.5</v>
      </c>
      <c r="P1379" s="11">
        <f t="shared" si="331"/>
        <v>5701.5</v>
      </c>
      <c r="Q1379" s="11">
        <v>1.5</v>
      </c>
      <c r="R1379" s="11">
        <f t="shared" si="332"/>
        <v>8552.25</v>
      </c>
      <c r="S1379" s="11"/>
      <c r="T1379" s="136">
        <f t="shared" si="350"/>
        <v>7417.5</v>
      </c>
    </row>
    <row r="1380" spans="1:20" ht="15.75" customHeight="1">
      <c r="A1380" s="149">
        <v>38</v>
      </c>
      <c r="B1380" s="273"/>
      <c r="C1380" s="28" t="s">
        <v>4406</v>
      </c>
      <c r="D1380" s="41">
        <v>200</v>
      </c>
      <c r="E1380" s="131">
        <f>ROUNDUP(R1380,-1)</f>
        <v>10970</v>
      </c>
      <c r="F1380" s="21">
        <f>+E1380*1.21</f>
        <v>13273.699999999999</v>
      </c>
      <c r="G1380" s="21"/>
      <c r="H1380" s="135">
        <f>ROUNDUP(T1380,-1)</f>
        <v>10310</v>
      </c>
      <c r="I1380" s="294">
        <v>45138</v>
      </c>
      <c r="J1380" s="294">
        <v>45274</v>
      </c>
      <c r="K1380" s="10">
        <f>+PROVEEDORES!$D$32*6.96</f>
        <v>7308</v>
      </c>
      <c r="L1380" s="11"/>
      <c r="M1380" s="11"/>
      <c r="N1380" s="100">
        <f>+K1380*0.94</f>
        <v>6869.5199999999995</v>
      </c>
      <c r="O1380" s="11">
        <f>MIN(K1380:M1380)</f>
        <v>7308</v>
      </c>
      <c r="P1380" s="11">
        <f>+O1380</f>
        <v>7308</v>
      </c>
      <c r="Q1380" s="11">
        <v>1.5</v>
      </c>
      <c r="R1380" s="11">
        <f>+P1380*Q1380</f>
        <v>10962</v>
      </c>
      <c r="S1380" s="11"/>
      <c r="T1380" s="136">
        <f>+N1380*Q1380</f>
        <v>10304.279999999999</v>
      </c>
    </row>
    <row r="1381" spans="1:20" ht="15.75" customHeight="1">
      <c r="A1381" s="149">
        <v>38</v>
      </c>
      <c r="B1381" s="273"/>
      <c r="C1381" s="28" t="s">
        <v>4404</v>
      </c>
      <c r="D1381" s="41">
        <v>200</v>
      </c>
      <c r="E1381" s="131">
        <f>ROUNDUP(R1381,-1)</f>
        <v>17190</v>
      </c>
      <c r="F1381" s="21">
        <f>+E1381*1.21</f>
        <v>20799.899999999998</v>
      </c>
      <c r="G1381" s="21"/>
      <c r="H1381" s="135">
        <f>ROUNDUP(T1381,-1)</f>
        <v>14900</v>
      </c>
      <c r="I1381" s="294">
        <v>45138</v>
      </c>
      <c r="J1381" s="294">
        <v>45274</v>
      </c>
      <c r="K1381" s="10">
        <f>+PROVEEDORES!$D$32*10.91</f>
        <v>11455.5</v>
      </c>
      <c r="L1381" s="11"/>
      <c r="M1381" s="11"/>
      <c r="N1381" s="38">
        <v>9928</v>
      </c>
      <c r="O1381" s="11">
        <f>MIN(K1381:M1381)</f>
        <v>11455.5</v>
      </c>
      <c r="P1381" s="11">
        <f>+O1381</f>
        <v>11455.5</v>
      </c>
      <c r="Q1381" s="11">
        <v>1.5</v>
      </c>
      <c r="R1381" s="11">
        <f>+P1381*Q1381</f>
        <v>17183.25</v>
      </c>
      <c r="S1381" s="11"/>
      <c r="T1381" s="136">
        <f>+N1381*Q1381</f>
        <v>14892</v>
      </c>
    </row>
    <row r="1382" spans="1:20" ht="15.75" customHeight="1">
      <c r="A1382" s="149"/>
      <c r="B1382" s="273"/>
      <c r="C1382" s="28" t="s">
        <v>1638</v>
      </c>
      <c r="D1382" s="41">
        <v>1730</v>
      </c>
      <c r="E1382" s="131">
        <f t="shared" si="323"/>
        <v>0</v>
      </c>
      <c r="F1382" s="21">
        <f t="shared" si="351"/>
        <v>0</v>
      </c>
      <c r="G1382" s="21"/>
      <c r="H1382" s="135">
        <f t="shared" si="344"/>
        <v>0</v>
      </c>
      <c r="I1382" s="294">
        <v>43564</v>
      </c>
      <c r="J1382" s="294"/>
      <c r="K1382" s="10">
        <f>1150*1.5</f>
        <v>1725</v>
      </c>
      <c r="L1382" s="11"/>
      <c r="M1382" s="11"/>
      <c r="N1382" s="100"/>
      <c r="O1382" s="11">
        <f t="shared" si="334"/>
        <v>1725</v>
      </c>
      <c r="P1382" s="11">
        <f t="shared" si="331"/>
        <v>1725</v>
      </c>
      <c r="Q1382" s="11"/>
      <c r="R1382" s="11">
        <f t="shared" si="332"/>
        <v>0</v>
      </c>
      <c r="S1382" s="11"/>
      <c r="T1382" s="136">
        <f t="shared" si="350"/>
        <v>0</v>
      </c>
    </row>
    <row r="1383" spans="1:20" ht="15.75" customHeight="1">
      <c r="A1383" s="149" t="s">
        <v>44322</v>
      </c>
      <c r="B1383" s="273"/>
      <c r="C1383" s="28" t="s">
        <v>3800</v>
      </c>
      <c r="D1383" s="41">
        <v>20120</v>
      </c>
      <c r="E1383" s="131">
        <f t="shared" ref="E1383:E1457" si="352">ROUNDUP(R1383,-1)</f>
        <v>0</v>
      </c>
      <c r="F1383" s="21">
        <f t="shared" si="351"/>
        <v>0</v>
      </c>
      <c r="G1383" s="21"/>
      <c r="H1383" s="135">
        <f t="shared" si="344"/>
        <v>0</v>
      </c>
      <c r="I1383" s="294">
        <v>45059</v>
      </c>
      <c r="J1383" s="294">
        <v>45118</v>
      </c>
      <c r="K1383" s="10">
        <f>0.8*0.94*23657</f>
        <v>17790.063999999998</v>
      </c>
      <c r="L1383" s="42"/>
      <c r="M1383" s="42"/>
      <c r="N1383" s="37"/>
      <c r="O1383" s="11">
        <f t="shared" si="334"/>
        <v>17790.063999999998</v>
      </c>
      <c r="P1383" s="11">
        <f t="shared" si="331"/>
        <v>17790.063999999998</v>
      </c>
      <c r="Q1383" s="11"/>
      <c r="R1383" s="11">
        <f t="shared" si="332"/>
        <v>0</v>
      </c>
      <c r="S1383" s="11"/>
      <c r="T1383" s="136">
        <f t="shared" si="350"/>
        <v>0</v>
      </c>
    </row>
    <row r="1384" spans="1:20" ht="15.75" customHeight="1">
      <c r="A1384" s="149" t="s">
        <v>2387</v>
      </c>
      <c r="B1384" s="273"/>
      <c r="C1384" s="28" t="s">
        <v>1640</v>
      </c>
      <c r="D1384" s="41">
        <v>7980</v>
      </c>
      <c r="E1384" s="131">
        <f t="shared" si="352"/>
        <v>159040</v>
      </c>
      <c r="F1384" s="21">
        <f t="shared" si="351"/>
        <v>192438.39999999999</v>
      </c>
      <c r="G1384" s="21"/>
      <c r="H1384" s="135">
        <f t="shared" si="344"/>
        <v>0</v>
      </c>
      <c r="I1384" s="294">
        <v>45173</v>
      </c>
      <c r="J1384" s="294">
        <v>45175</v>
      </c>
      <c r="K1384" s="10">
        <f>+'AUMENTOS %'!$D$14*PROVEEDORES!D18*0.5*206.94</f>
        <v>109678.2</v>
      </c>
      <c r="L1384" s="11">
        <f>+'AUMENTOS %'!$C$14*57489*2</f>
        <v>114978</v>
      </c>
      <c r="M1384" s="11"/>
      <c r="N1384" s="100"/>
      <c r="O1384" s="11">
        <f t="shared" si="334"/>
        <v>109678.2</v>
      </c>
      <c r="P1384" s="11">
        <f t="shared" si="331"/>
        <v>109678.2</v>
      </c>
      <c r="Q1384" s="11">
        <v>1.45</v>
      </c>
      <c r="R1384" s="11">
        <f t="shared" si="332"/>
        <v>159033.38999999998</v>
      </c>
      <c r="S1384" s="11"/>
      <c r="T1384" s="136">
        <f t="shared" si="350"/>
        <v>0</v>
      </c>
    </row>
    <row r="1385" spans="1:20" ht="15.75" customHeight="1">
      <c r="A1385" s="149" t="s">
        <v>2387</v>
      </c>
      <c r="B1385" s="273"/>
      <c r="C1385" s="28" t="s">
        <v>1639</v>
      </c>
      <c r="D1385" s="41">
        <v>20120</v>
      </c>
      <c r="E1385" s="131">
        <f t="shared" si="352"/>
        <v>0</v>
      </c>
      <c r="F1385" s="21">
        <f t="shared" si="351"/>
        <v>0</v>
      </c>
      <c r="G1385" s="21"/>
      <c r="H1385" s="135">
        <f t="shared" si="344"/>
        <v>0</v>
      </c>
      <c r="I1385" s="294">
        <v>45173</v>
      </c>
      <c r="J1385" s="294">
        <v>45175</v>
      </c>
      <c r="K1385" s="10">
        <f>+'AUMENTOS %'!$D$14*PROVEEDORES!D18*0.5*430</f>
        <v>227900</v>
      </c>
      <c r="L1385" s="11">
        <f>+'AUMENTOS %'!$C$14*117073*2</f>
        <v>234146</v>
      </c>
      <c r="M1385" s="11"/>
      <c r="N1385" s="100"/>
      <c r="O1385" s="11">
        <f t="shared" si="334"/>
        <v>227900</v>
      </c>
      <c r="P1385" s="11">
        <f t="shared" si="331"/>
        <v>227900</v>
      </c>
      <c r="Q1385" s="11"/>
      <c r="R1385" s="11">
        <f t="shared" si="332"/>
        <v>0</v>
      </c>
      <c r="S1385" s="11"/>
      <c r="T1385" s="136">
        <f t="shared" si="350"/>
        <v>0</v>
      </c>
    </row>
    <row r="1386" spans="1:20" ht="15.75" customHeight="1">
      <c r="A1386" s="149"/>
      <c r="B1386" s="273"/>
      <c r="C1386" s="28" t="s">
        <v>1641</v>
      </c>
      <c r="D1386" s="41">
        <v>180</v>
      </c>
      <c r="E1386" s="131">
        <f t="shared" si="352"/>
        <v>0</v>
      </c>
      <c r="F1386" s="21">
        <f t="shared" si="351"/>
        <v>0</v>
      </c>
      <c r="G1386" s="64"/>
      <c r="H1386" s="135">
        <f t="shared" si="344"/>
        <v>0</v>
      </c>
      <c r="I1386" s="294"/>
      <c r="J1386" s="294">
        <v>42646</v>
      </c>
      <c r="K1386" s="10">
        <f>111*1.6</f>
        <v>177.60000000000002</v>
      </c>
      <c r="L1386" s="11"/>
      <c r="M1386" s="11"/>
      <c r="N1386" s="100"/>
      <c r="O1386" s="11">
        <f t="shared" si="334"/>
        <v>177.60000000000002</v>
      </c>
      <c r="P1386" s="11">
        <f t="shared" si="331"/>
        <v>177.60000000000002</v>
      </c>
      <c r="Q1386" s="11"/>
      <c r="R1386" s="11">
        <f t="shared" si="332"/>
        <v>0</v>
      </c>
      <c r="S1386" s="11"/>
      <c r="T1386" s="136">
        <f t="shared" si="350"/>
        <v>0</v>
      </c>
    </row>
    <row r="1387" spans="1:20" ht="15.75" customHeight="1">
      <c r="A1387" s="149">
        <v>38</v>
      </c>
      <c r="B1387" s="273"/>
      <c r="C1387" s="28" t="s">
        <v>3788</v>
      </c>
      <c r="D1387" s="41"/>
      <c r="E1387" s="131">
        <f t="shared" si="352"/>
        <v>19380</v>
      </c>
      <c r="F1387" s="21">
        <f t="shared" si="351"/>
        <v>23449.8</v>
      </c>
      <c r="G1387" s="21"/>
      <c r="H1387" s="135">
        <f t="shared" si="344"/>
        <v>16800</v>
      </c>
      <c r="I1387" s="294">
        <v>45138</v>
      </c>
      <c r="J1387" s="294">
        <v>45274</v>
      </c>
      <c r="K1387" s="10">
        <f>+PROVEEDORES!D32*12.3</f>
        <v>12915</v>
      </c>
      <c r="L1387" s="11"/>
      <c r="M1387" s="11"/>
      <c r="N1387" s="100">
        <v>11197</v>
      </c>
      <c r="O1387" s="11">
        <f t="shared" si="334"/>
        <v>12915</v>
      </c>
      <c r="P1387" s="11">
        <f t="shared" si="331"/>
        <v>12915</v>
      </c>
      <c r="Q1387" s="11">
        <v>1.5</v>
      </c>
      <c r="R1387" s="11">
        <f t="shared" si="332"/>
        <v>19372.5</v>
      </c>
      <c r="S1387" s="11"/>
      <c r="T1387" s="136">
        <f t="shared" si="350"/>
        <v>16795.5</v>
      </c>
    </row>
    <row r="1388" spans="1:20" ht="15.75" customHeight="1">
      <c r="A1388" s="149">
        <v>36</v>
      </c>
      <c r="B1388" s="273"/>
      <c r="C1388" s="28" t="s">
        <v>4053</v>
      </c>
      <c r="D1388" s="41">
        <v>1330</v>
      </c>
      <c r="E1388" s="131">
        <f t="shared" si="352"/>
        <v>37640</v>
      </c>
      <c r="F1388" s="21">
        <f t="shared" si="351"/>
        <v>45544.4</v>
      </c>
      <c r="G1388" s="21"/>
      <c r="H1388" s="135">
        <f t="shared" si="344"/>
        <v>0</v>
      </c>
      <c r="I1388" s="294">
        <v>45167</v>
      </c>
      <c r="J1388" s="294">
        <v>45331</v>
      </c>
      <c r="K1388" s="10">
        <f>0.8*0.94*34513</f>
        <v>25953.776000000002</v>
      </c>
      <c r="L1388" s="11"/>
      <c r="M1388" s="11"/>
      <c r="N1388" s="100"/>
      <c r="O1388" s="11">
        <f t="shared" si="334"/>
        <v>25953.776000000002</v>
      </c>
      <c r="P1388" s="11">
        <f t="shared" si="331"/>
        <v>25953.776000000002</v>
      </c>
      <c r="Q1388" s="11">
        <v>1.45</v>
      </c>
      <c r="R1388" s="11">
        <f t="shared" si="332"/>
        <v>37632.975200000001</v>
      </c>
      <c r="S1388" s="11"/>
      <c r="T1388" s="136">
        <f t="shared" si="350"/>
        <v>0</v>
      </c>
    </row>
    <row r="1389" spans="1:20" ht="15.75" customHeight="1">
      <c r="A1389" s="149" t="s">
        <v>44321</v>
      </c>
      <c r="B1389" s="273"/>
      <c r="C1389" s="28" t="s">
        <v>4129</v>
      </c>
      <c r="D1389" s="41"/>
      <c r="E1389" s="131">
        <f t="shared" si="352"/>
        <v>21880</v>
      </c>
      <c r="F1389" s="21">
        <f t="shared" si="351"/>
        <v>26474.799999999999</v>
      </c>
      <c r="G1389" s="21"/>
      <c r="H1389" s="135">
        <f t="shared" si="344"/>
        <v>0</v>
      </c>
      <c r="I1389" s="294">
        <v>45222</v>
      </c>
      <c r="J1389" s="294">
        <v>45331</v>
      </c>
      <c r="K1389" s="10">
        <f>0.8*0.94*18182</f>
        <v>13672.864</v>
      </c>
      <c r="L1389" s="11"/>
      <c r="M1389" s="11"/>
      <c r="N1389" s="100"/>
      <c r="O1389" s="11">
        <f t="shared" si="334"/>
        <v>13672.864</v>
      </c>
      <c r="P1389" s="11">
        <f t="shared" si="331"/>
        <v>13672.864</v>
      </c>
      <c r="Q1389" s="11">
        <v>1.6</v>
      </c>
      <c r="R1389" s="11">
        <f t="shared" si="332"/>
        <v>21876.582399999999</v>
      </c>
      <c r="S1389" s="11"/>
      <c r="T1389" s="136">
        <f t="shared" si="350"/>
        <v>0</v>
      </c>
    </row>
    <row r="1390" spans="1:20" ht="15.75" customHeight="1">
      <c r="A1390" s="149">
        <v>12</v>
      </c>
      <c r="B1390" s="273"/>
      <c r="C1390" s="28" t="s">
        <v>37235</v>
      </c>
      <c r="D1390" s="41"/>
      <c r="E1390" s="131">
        <f>ROUNDUP(R1390,-1)</f>
        <v>26000</v>
      </c>
      <c r="F1390" s="21">
        <f>+E1390*1.21</f>
        <v>31460</v>
      </c>
      <c r="G1390" s="21"/>
      <c r="H1390" s="135">
        <f>ROUNDUP(T1390,-1)</f>
        <v>0</v>
      </c>
      <c r="I1390" s="294">
        <v>45274</v>
      </c>
      <c r="J1390" s="294">
        <v>45338</v>
      </c>
      <c r="K1390" s="10">
        <v>16245</v>
      </c>
      <c r="L1390" s="11"/>
      <c r="M1390" s="11"/>
      <c r="N1390" s="100"/>
      <c r="O1390" s="11">
        <f>MIN(K1390:M1390)</f>
        <v>16245</v>
      </c>
      <c r="P1390" s="11">
        <f>+O1390</f>
        <v>16245</v>
      </c>
      <c r="Q1390" s="11">
        <v>1.6</v>
      </c>
      <c r="R1390" s="11">
        <f>+P1390*Q1390</f>
        <v>25992</v>
      </c>
      <c r="S1390" s="11"/>
      <c r="T1390" s="136">
        <f>+N1390*Q1390</f>
        <v>0</v>
      </c>
    </row>
    <row r="1391" spans="1:20" ht="15.75" customHeight="1">
      <c r="A1391" s="149">
        <v>38</v>
      </c>
      <c r="B1391" s="273"/>
      <c r="C1391" s="28" t="s">
        <v>3651</v>
      </c>
      <c r="D1391" s="41"/>
      <c r="E1391" s="131">
        <f t="shared" si="352"/>
        <v>9880</v>
      </c>
      <c r="F1391" s="21">
        <f t="shared" si="351"/>
        <v>11954.8</v>
      </c>
      <c r="G1391" s="64"/>
      <c r="H1391" s="135">
        <f t="shared" si="344"/>
        <v>0</v>
      </c>
      <c r="I1391" s="294">
        <v>45138</v>
      </c>
      <c r="J1391" s="294"/>
      <c r="K1391" s="10">
        <f>+'AUMENTOS %'!D14*PROVEEDORES!D18*0.5*39.2</f>
        <v>20776</v>
      </c>
      <c r="L1391" s="11">
        <f>+'AUMENTOS %'!C14*6812</f>
        <v>6812</v>
      </c>
      <c r="M1391" s="11"/>
      <c r="N1391" s="100"/>
      <c r="O1391" s="11">
        <f t="shared" si="334"/>
        <v>6812</v>
      </c>
      <c r="P1391" s="11">
        <f t="shared" si="331"/>
        <v>6812</v>
      </c>
      <c r="Q1391" s="11">
        <v>1.45</v>
      </c>
      <c r="R1391" s="11">
        <f t="shared" si="332"/>
        <v>9877.4</v>
      </c>
      <c r="S1391" s="11"/>
      <c r="T1391" s="136">
        <f t="shared" si="350"/>
        <v>0</v>
      </c>
    </row>
    <row r="1392" spans="1:20" ht="15.75" customHeight="1">
      <c r="A1392" s="149">
        <v>12</v>
      </c>
      <c r="B1392" s="273"/>
      <c r="C1392" s="36" t="s">
        <v>44360</v>
      </c>
      <c r="D1392" s="41"/>
      <c r="E1392" s="131">
        <f t="shared" ref="E1392" si="353">ROUNDUP(R1392,-1)</f>
        <v>25220</v>
      </c>
      <c r="F1392" s="21">
        <f t="shared" ref="F1392" si="354">+E1392*1.21</f>
        <v>30516.2</v>
      </c>
      <c r="G1392" s="21"/>
      <c r="H1392" s="135">
        <f t="shared" ref="H1392" si="355">ROUNDUP(T1392,-1)</f>
        <v>0</v>
      </c>
      <c r="I1392" s="294">
        <v>45314</v>
      </c>
      <c r="J1392" s="294">
        <v>45338</v>
      </c>
      <c r="K1392" s="10">
        <v>16813</v>
      </c>
      <c r="L1392" s="148"/>
      <c r="M1392" s="11"/>
      <c r="N1392" s="100"/>
      <c r="O1392" s="11">
        <f t="shared" ref="O1392" si="356">MIN(K1392:M1392)</f>
        <v>16813</v>
      </c>
      <c r="P1392" s="11">
        <f t="shared" ref="P1392" si="357">+O1392</f>
        <v>16813</v>
      </c>
      <c r="Q1392" s="11">
        <v>1.5</v>
      </c>
      <c r="R1392" s="11">
        <f t="shared" ref="R1392" si="358">+P1392*Q1392</f>
        <v>25219.5</v>
      </c>
      <c r="S1392" s="11"/>
      <c r="T1392" s="136">
        <f t="shared" ref="T1392" si="359">+N1392*Q1392</f>
        <v>0</v>
      </c>
    </row>
    <row r="1393" spans="1:20" ht="15.75" customHeight="1">
      <c r="A1393" s="149">
        <v>38</v>
      </c>
      <c r="B1393" s="273"/>
      <c r="C1393" s="36" t="s">
        <v>3963</v>
      </c>
      <c r="D1393" s="41"/>
      <c r="E1393" s="131">
        <f t="shared" si="352"/>
        <v>93060</v>
      </c>
      <c r="F1393" s="21">
        <f t="shared" si="351"/>
        <v>112602.59999999999</v>
      </c>
      <c r="G1393" s="21"/>
      <c r="H1393" s="135">
        <f t="shared" si="344"/>
        <v>0</v>
      </c>
      <c r="I1393" s="294">
        <v>45138</v>
      </c>
      <c r="J1393" s="294"/>
      <c r="K1393" s="10">
        <f>+'AUMENTOS %'!C14*62036</f>
        <v>62036</v>
      </c>
      <c r="L1393" s="148"/>
      <c r="M1393" s="11"/>
      <c r="N1393" s="100"/>
      <c r="O1393" s="11">
        <f t="shared" si="334"/>
        <v>62036</v>
      </c>
      <c r="P1393" s="11">
        <f t="shared" ref="P1393:P1459" si="360">+O1393</f>
        <v>62036</v>
      </c>
      <c r="Q1393" s="11">
        <v>1.5</v>
      </c>
      <c r="R1393" s="11">
        <f t="shared" ref="R1393:R1459" si="361">+P1393*Q1393</f>
        <v>93054</v>
      </c>
      <c r="S1393" s="11"/>
      <c r="T1393" s="136">
        <f t="shared" si="350"/>
        <v>0</v>
      </c>
    </row>
    <row r="1394" spans="1:20" ht="15.75" customHeight="1">
      <c r="A1394" s="149">
        <v>38</v>
      </c>
      <c r="B1394" s="273"/>
      <c r="C1394" s="36" t="s">
        <v>3624</v>
      </c>
      <c r="D1394" s="41">
        <v>300</v>
      </c>
      <c r="E1394" s="131">
        <f t="shared" si="352"/>
        <v>311800</v>
      </c>
      <c r="F1394" s="21">
        <f t="shared" si="351"/>
        <v>377278</v>
      </c>
      <c r="G1394" s="21"/>
      <c r="H1394" s="135">
        <f t="shared" si="344"/>
        <v>270220</v>
      </c>
      <c r="I1394" s="294">
        <v>45138</v>
      </c>
      <c r="J1394" s="294">
        <v>45274</v>
      </c>
      <c r="K1394" s="10">
        <f>+PROVEEDORES!D32*204.79</f>
        <v>215029.5</v>
      </c>
      <c r="L1394" s="11"/>
      <c r="M1394" s="11"/>
      <c r="N1394" s="100">
        <v>186357</v>
      </c>
      <c r="O1394" s="11">
        <f t="shared" si="334"/>
        <v>215029.5</v>
      </c>
      <c r="P1394" s="11">
        <f t="shared" si="360"/>
        <v>215029.5</v>
      </c>
      <c r="Q1394" s="11">
        <v>1.45</v>
      </c>
      <c r="R1394" s="11">
        <f t="shared" si="361"/>
        <v>311792.77499999997</v>
      </c>
      <c r="S1394" s="11"/>
      <c r="T1394" s="136">
        <f t="shared" si="350"/>
        <v>270217.64999999997</v>
      </c>
    </row>
    <row r="1395" spans="1:20" ht="15.75" customHeight="1">
      <c r="A1395" s="149">
        <v>38</v>
      </c>
      <c r="B1395" s="273"/>
      <c r="C1395" s="36" t="s">
        <v>3785</v>
      </c>
      <c r="D1395" s="41"/>
      <c r="E1395" s="131">
        <f t="shared" si="352"/>
        <v>21600</v>
      </c>
      <c r="F1395" s="21">
        <f t="shared" si="351"/>
        <v>26136</v>
      </c>
      <c r="G1395" s="21"/>
      <c r="H1395" s="135">
        <f t="shared" si="344"/>
        <v>18720</v>
      </c>
      <c r="I1395" s="294">
        <v>45138</v>
      </c>
      <c r="J1395" s="294">
        <v>45274</v>
      </c>
      <c r="K1395" s="10">
        <f>+PROVEEDORES!$D$32*13.71</f>
        <v>14395.5</v>
      </c>
      <c r="L1395" s="148"/>
      <c r="M1395" s="11"/>
      <c r="N1395" s="100">
        <v>12479</v>
      </c>
      <c r="O1395" s="11">
        <f t="shared" si="334"/>
        <v>14395.5</v>
      </c>
      <c r="P1395" s="11">
        <f t="shared" si="360"/>
        <v>14395.5</v>
      </c>
      <c r="Q1395" s="11">
        <v>1.5</v>
      </c>
      <c r="R1395" s="11">
        <f t="shared" si="361"/>
        <v>21593.25</v>
      </c>
      <c r="S1395" s="11"/>
      <c r="T1395" s="136">
        <f t="shared" si="350"/>
        <v>18718.5</v>
      </c>
    </row>
    <row r="1396" spans="1:20" ht="15.75" customHeight="1">
      <c r="A1396" s="149">
        <v>38</v>
      </c>
      <c r="B1396" s="273"/>
      <c r="C1396" s="36" t="s">
        <v>4215</v>
      </c>
      <c r="D1396" s="41"/>
      <c r="E1396" s="131">
        <f>ROUNDUP(R1396,-1)</f>
        <v>8260</v>
      </c>
      <c r="F1396" s="21">
        <f>+E1396*1.21</f>
        <v>9994.6</v>
      </c>
      <c r="G1396" s="21"/>
      <c r="H1396" s="135">
        <f>ROUNDUP(T1396,-1)</f>
        <v>0</v>
      </c>
      <c r="I1396" s="294">
        <v>45138</v>
      </c>
      <c r="J1396" s="294"/>
      <c r="K1396" s="10">
        <f>+'AUMENTOS %'!B9*5159</f>
        <v>5159</v>
      </c>
      <c r="L1396" s="11"/>
      <c r="M1396" s="11"/>
      <c r="N1396" s="100"/>
      <c r="O1396" s="11">
        <f>MIN(K1396:M1396)*'AUMENTOS %'!$B$9</f>
        <v>5159</v>
      </c>
      <c r="P1396" s="11">
        <f t="shared" si="360"/>
        <v>5159</v>
      </c>
      <c r="Q1396" s="11">
        <v>1.6</v>
      </c>
      <c r="R1396" s="11">
        <f t="shared" si="361"/>
        <v>8254.4</v>
      </c>
      <c r="S1396" s="11"/>
      <c r="T1396" s="136">
        <f>+N1396*Q1396</f>
        <v>0</v>
      </c>
    </row>
    <row r="1397" spans="1:20" ht="15.75" customHeight="1">
      <c r="A1397" s="149" t="s">
        <v>2398</v>
      </c>
      <c r="B1397" s="273"/>
      <c r="C1397" s="28" t="s">
        <v>4153</v>
      </c>
      <c r="D1397" s="41"/>
      <c r="E1397" s="131">
        <f t="shared" si="352"/>
        <v>0</v>
      </c>
      <c r="F1397" s="21">
        <f t="shared" si="351"/>
        <v>0</v>
      </c>
      <c r="G1397" s="21"/>
      <c r="H1397" s="135">
        <f t="shared" si="344"/>
        <v>0</v>
      </c>
      <c r="I1397" s="23">
        <v>45275</v>
      </c>
      <c r="J1397" s="294"/>
      <c r="K1397" s="11">
        <f>0.8*0.98*0.94*8363*1.15*1.2*1.2*1.15</f>
        <v>11737.191376511995</v>
      </c>
      <c r="L1397" s="10"/>
      <c r="M1397" s="30"/>
      <c r="N1397" s="100"/>
      <c r="O1397" s="11">
        <f t="shared" si="334"/>
        <v>11737.191376511995</v>
      </c>
      <c r="P1397" s="11">
        <f>+O1397*'AUMENTOS %'!$B$5</f>
        <v>11737.191376511995</v>
      </c>
      <c r="Q1397" s="11"/>
      <c r="R1397" s="11">
        <f t="shared" si="361"/>
        <v>0</v>
      </c>
      <c r="S1397" s="11"/>
      <c r="T1397" s="136">
        <f t="shared" si="350"/>
        <v>0</v>
      </c>
    </row>
    <row r="1398" spans="1:20" ht="15.75" customHeight="1">
      <c r="A1398" s="149" t="s">
        <v>2398</v>
      </c>
      <c r="B1398" s="273"/>
      <c r="C1398" s="28" t="s">
        <v>4152</v>
      </c>
      <c r="D1398" s="41"/>
      <c r="E1398" s="131">
        <f t="shared" si="352"/>
        <v>63530</v>
      </c>
      <c r="F1398" s="21">
        <f t="shared" si="351"/>
        <v>76871.3</v>
      </c>
      <c r="G1398" s="21"/>
      <c r="H1398" s="135">
        <f t="shared" si="344"/>
        <v>0</v>
      </c>
      <c r="I1398" s="23">
        <v>45323</v>
      </c>
      <c r="J1398" s="294"/>
      <c r="K1398" s="11">
        <f>0.8*0.98*0.94*55612</f>
        <v>40983.819519999997</v>
      </c>
      <c r="L1398" s="10"/>
      <c r="M1398" s="30"/>
      <c r="N1398" s="100"/>
      <c r="O1398" s="11">
        <f t="shared" si="334"/>
        <v>40983.819519999997</v>
      </c>
      <c r="P1398" s="11">
        <f>+O1398*'AUMENTOS %'!$B$5</f>
        <v>40983.819519999997</v>
      </c>
      <c r="Q1398" s="11">
        <v>1.55</v>
      </c>
      <c r="R1398" s="11">
        <f t="shared" si="361"/>
        <v>63524.920255999998</v>
      </c>
      <c r="S1398" s="11"/>
      <c r="T1398" s="136">
        <f t="shared" si="350"/>
        <v>0</v>
      </c>
    </row>
    <row r="1399" spans="1:20" ht="15.75" customHeight="1">
      <c r="A1399" s="149">
        <v>38</v>
      </c>
      <c r="B1399" s="273"/>
      <c r="C1399" s="36" t="s">
        <v>4142</v>
      </c>
      <c r="D1399" s="41"/>
      <c r="E1399" s="131">
        <f t="shared" si="352"/>
        <v>4220</v>
      </c>
      <c r="F1399" s="21">
        <f t="shared" si="351"/>
        <v>5106.2</v>
      </c>
      <c r="G1399" s="21"/>
      <c r="H1399" s="135">
        <f t="shared" si="344"/>
        <v>0</v>
      </c>
      <c r="I1399" s="294">
        <v>45138</v>
      </c>
      <c r="J1399" s="294"/>
      <c r="K1399" s="10">
        <f>+'AUMENTOS %'!B9*2636</f>
        <v>2636</v>
      </c>
      <c r="L1399" s="11"/>
      <c r="M1399" s="11"/>
      <c r="N1399" s="100"/>
      <c r="O1399" s="11">
        <f>MIN(K1399:M1399)*'AUMENTOS %'!$B$9</f>
        <v>2636</v>
      </c>
      <c r="P1399" s="11">
        <f t="shared" si="360"/>
        <v>2636</v>
      </c>
      <c r="Q1399" s="11">
        <v>1.6</v>
      </c>
      <c r="R1399" s="11">
        <f t="shared" si="361"/>
        <v>4217.6000000000004</v>
      </c>
      <c r="S1399" s="11"/>
      <c r="T1399" s="136">
        <f t="shared" si="350"/>
        <v>0</v>
      </c>
    </row>
    <row r="1400" spans="1:20" ht="15.75" customHeight="1">
      <c r="A1400" s="149"/>
      <c r="B1400" s="273"/>
      <c r="C1400" s="28" t="s">
        <v>1642</v>
      </c>
      <c r="D1400" s="41">
        <v>2010</v>
      </c>
      <c r="E1400" s="131">
        <f t="shared" si="352"/>
        <v>15780</v>
      </c>
      <c r="F1400" s="21">
        <f t="shared" si="351"/>
        <v>19093.8</v>
      </c>
      <c r="G1400" s="64"/>
      <c r="H1400" s="135">
        <f t="shared" si="344"/>
        <v>0</v>
      </c>
      <c r="I1400" s="294">
        <v>44888</v>
      </c>
      <c r="J1400" s="294"/>
      <c r="K1400" s="11">
        <f>93*260*0.5*0.9</f>
        <v>10881</v>
      </c>
      <c r="L1400" s="10"/>
      <c r="M1400" s="10"/>
      <c r="N1400" s="100"/>
      <c r="O1400" s="11">
        <f t="shared" si="334"/>
        <v>10881</v>
      </c>
      <c r="P1400" s="11">
        <f t="shared" si="360"/>
        <v>10881</v>
      </c>
      <c r="Q1400" s="11">
        <v>1.45</v>
      </c>
      <c r="R1400" s="11">
        <f t="shared" si="361"/>
        <v>15777.449999999999</v>
      </c>
      <c r="S1400" s="11"/>
      <c r="T1400" s="136">
        <f t="shared" si="350"/>
        <v>0</v>
      </c>
    </row>
    <row r="1401" spans="1:20" ht="15.75" customHeight="1">
      <c r="A1401" s="149"/>
      <c r="B1401" s="273"/>
      <c r="C1401" s="28" t="s">
        <v>1643</v>
      </c>
      <c r="D1401" s="41">
        <v>2300</v>
      </c>
      <c r="E1401" s="131">
        <f t="shared" si="352"/>
        <v>0</v>
      </c>
      <c r="F1401" s="21">
        <f t="shared" si="351"/>
        <v>0</v>
      </c>
      <c r="G1401" s="64"/>
      <c r="H1401" s="135">
        <f t="shared" si="344"/>
        <v>0</v>
      </c>
      <c r="I1401" s="294"/>
      <c r="J1401" s="294">
        <v>43384</v>
      </c>
      <c r="K1401" s="10">
        <f>70*47*0.5*1.4</f>
        <v>2303</v>
      </c>
      <c r="L1401" s="11"/>
      <c r="M1401" s="11"/>
      <c r="N1401" s="100"/>
      <c r="O1401" s="11">
        <f t="shared" si="334"/>
        <v>2303</v>
      </c>
      <c r="P1401" s="11">
        <f t="shared" si="360"/>
        <v>2303</v>
      </c>
      <c r="Q1401" s="11"/>
      <c r="R1401" s="11">
        <f t="shared" si="361"/>
        <v>0</v>
      </c>
      <c r="S1401" s="11"/>
      <c r="T1401" s="136">
        <f t="shared" si="350"/>
        <v>0</v>
      </c>
    </row>
    <row r="1402" spans="1:20" ht="15.75" customHeight="1">
      <c r="A1402" s="149">
        <v>38</v>
      </c>
      <c r="B1402" s="273"/>
      <c r="C1402" s="28" t="s">
        <v>3518</v>
      </c>
      <c r="D1402" s="41">
        <v>3360</v>
      </c>
      <c r="E1402" s="131">
        <f t="shared" si="352"/>
        <v>0</v>
      </c>
      <c r="F1402" s="21">
        <f t="shared" si="351"/>
        <v>0</v>
      </c>
      <c r="G1402" s="64"/>
      <c r="H1402" s="135">
        <f t="shared" si="344"/>
        <v>0</v>
      </c>
      <c r="I1402" s="294">
        <v>44747</v>
      </c>
      <c r="J1402" s="294"/>
      <c r="K1402" s="10"/>
      <c r="L1402" s="11">
        <v>6337</v>
      </c>
      <c r="M1402" s="11"/>
      <c r="N1402" s="100"/>
      <c r="O1402" s="11">
        <f t="shared" si="334"/>
        <v>6337</v>
      </c>
      <c r="P1402" s="11">
        <f t="shared" si="360"/>
        <v>6337</v>
      </c>
      <c r="Q1402" s="11"/>
      <c r="R1402" s="11">
        <f t="shared" si="361"/>
        <v>0</v>
      </c>
      <c r="S1402" s="11"/>
      <c r="T1402" s="136">
        <f t="shared" si="350"/>
        <v>0</v>
      </c>
    </row>
    <row r="1403" spans="1:20" ht="15.75" customHeight="1">
      <c r="A1403" s="149">
        <v>38</v>
      </c>
      <c r="B1403" s="273"/>
      <c r="C1403" s="28" t="s">
        <v>3448</v>
      </c>
      <c r="D1403" s="41">
        <v>3360</v>
      </c>
      <c r="E1403" s="131">
        <f t="shared" si="352"/>
        <v>112590</v>
      </c>
      <c r="F1403" s="21">
        <f t="shared" si="351"/>
        <v>136233.9</v>
      </c>
      <c r="G1403" s="64"/>
      <c r="H1403" s="135">
        <f t="shared" si="344"/>
        <v>97580</v>
      </c>
      <c r="I1403" s="294">
        <v>45138</v>
      </c>
      <c r="J1403" s="294">
        <v>45274</v>
      </c>
      <c r="K1403" s="10">
        <f>+PROVEEDORES!$D$32*71.48</f>
        <v>75054</v>
      </c>
      <c r="L1403" s="11"/>
      <c r="M1403" s="11"/>
      <c r="N1403" s="100">
        <v>65049</v>
      </c>
      <c r="O1403" s="11">
        <f t="shared" si="334"/>
        <v>75054</v>
      </c>
      <c r="P1403" s="11">
        <f t="shared" si="360"/>
        <v>75054</v>
      </c>
      <c r="Q1403" s="11">
        <v>1.5</v>
      </c>
      <c r="R1403" s="11">
        <f t="shared" si="361"/>
        <v>112581</v>
      </c>
      <c r="S1403" s="11"/>
      <c r="T1403" s="136">
        <f t="shared" si="350"/>
        <v>97573.5</v>
      </c>
    </row>
    <row r="1404" spans="1:20" ht="15.75" customHeight="1">
      <c r="A1404" s="149" t="s">
        <v>44322</v>
      </c>
      <c r="B1404" s="273"/>
      <c r="C1404" s="28" t="s">
        <v>3538</v>
      </c>
      <c r="D1404" s="41">
        <v>1330</v>
      </c>
      <c r="E1404" s="131">
        <f t="shared" si="352"/>
        <v>22990</v>
      </c>
      <c r="F1404" s="21">
        <f t="shared" si="351"/>
        <v>27817.899999999998</v>
      </c>
      <c r="G1404" s="21"/>
      <c r="H1404" s="135">
        <f t="shared" si="344"/>
        <v>18540</v>
      </c>
      <c r="I1404" s="294">
        <v>45059</v>
      </c>
      <c r="J1404" s="294">
        <v>45332</v>
      </c>
      <c r="K1404" s="10">
        <f>0.8*0.94*20380</f>
        <v>15325.76</v>
      </c>
      <c r="L1404" s="42"/>
      <c r="M1404" s="42"/>
      <c r="N1404" s="10">
        <f>0.8*0.94*16432</f>
        <v>12356.864</v>
      </c>
      <c r="O1404" s="11">
        <f t="shared" si="334"/>
        <v>15325.76</v>
      </c>
      <c r="P1404" s="11">
        <f t="shared" si="360"/>
        <v>15325.76</v>
      </c>
      <c r="Q1404" s="11">
        <v>1.5</v>
      </c>
      <c r="R1404" s="11">
        <f t="shared" si="361"/>
        <v>22988.639999999999</v>
      </c>
      <c r="S1404" s="11"/>
      <c r="T1404" s="136">
        <f t="shared" si="350"/>
        <v>18535.295999999998</v>
      </c>
    </row>
    <row r="1405" spans="1:20" ht="15.75" customHeight="1">
      <c r="A1405" s="149">
        <v>12</v>
      </c>
      <c r="B1405" s="273"/>
      <c r="C1405" s="28" t="s">
        <v>3728</v>
      </c>
      <c r="D1405" s="41"/>
      <c r="E1405" s="131">
        <f t="shared" si="352"/>
        <v>3700</v>
      </c>
      <c r="F1405" s="21">
        <f t="shared" si="351"/>
        <v>4477</v>
      </c>
      <c r="G1405" s="21"/>
      <c r="H1405" s="135">
        <f t="shared" si="344"/>
        <v>0</v>
      </c>
      <c r="I1405" s="294">
        <v>45274</v>
      </c>
      <c r="J1405" s="23">
        <v>45338</v>
      </c>
      <c r="K1405" s="10">
        <v>2311</v>
      </c>
      <c r="L1405" s="11"/>
      <c r="M1405" s="11"/>
      <c r="N1405" s="100"/>
      <c r="O1405" s="11">
        <f t="shared" si="334"/>
        <v>2311</v>
      </c>
      <c r="P1405" s="11">
        <f t="shared" si="360"/>
        <v>2311</v>
      </c>
      <c r="Q1405" s="11">
        <v>1.6</v>
      </c>
      <c r="R1405" s="11">
        <f t="shared" si="361"/>
        <v>3697.6000000000004</v>
      </c>
      <c r="S1405" s="11"/>
      <c r="T1405" s="136">
        <f t="shared" si="350"/>
        <v>0</v>
      </c>
    </row>
    <row r="1406" spans="1:20" ht="15.75" customHeight="1">
      <c r="A1406" s="149">
        <v>12</v>
      </c>
      <c r="B1406" s="273"/>
      <c r="C1406" s="28" t="s">
        <v>4082</v>
      </c>
      <c r="D1406" s="41"/>
      <c r="E1406" s="131">
        <f t="shared" si="352"/>
        <v>8920</v>
      </c>
      <c r="F1406" s="21">
        <f t="shared" si="351"/>
        <v>10793.199999999999</v>
      </c>
      <c r="G1406" s="21"/>
      <c r="H1406" s="135">
        <f t="shared" si="344"/>
        <v>0</v>
      </c>
      <c r="I1406" s="294">
        <v>45274</v>
      </c>
      <c r="J1406" s="23">
        <v>45338</v>
      </c>
      <c r="K1406" s="10">
        <v>5944</v>
      </c>
      <c r="L1406" s="11"/>
      <c r="M1406" s="11"/>
      <c r="N1406" s="100"/>
      <c r="O1406" s="11">
        <f t="shared" si="334"/>
        <v>5944</v>
      </c>
      <c r="P1406" s="11">
        <f t="shared" si="360"/>
        <v>5944</v>
      </c>
      <c r="Q1406" s="11">
        <v>1.5</v>
      </c>
      <c r="R1406" s="11">
        <f t="shared" si="361"/>
        <v>8916</v>
      </c>
      <c r="S1406" s="11"/>
      <c r="T1406" s="136">
        <f t="shared" si="350"/>
        <v>0</v>
      </c>
    </row>
    <row r="1407" spans="1:20" ht="15.75" customHeight="1">
      <c r="A1407" s="149" t="s">
        <v>2387</v>
      </c>
      <c r="B1407" s="273"/>
      <c r="C1407" s="28" t="s">
        <v>2183</v>
      </c>
      <c r="D1407" s="41">
        <v>1330</v>
      </c>
      <c r="E1407" s="131">
        <f t="shared" si="352"/>
        <v>0</v>
      </c>
      <c r="F1407" s="21">
        <f t="shared" si="351"/>
        <v>0</v>
      </c>
      <c r="G1407" s="21"/>
      <c r="H1407" s="135">
        <f t="shared" si="344"/>
        <v>0</v>
      </c>
      <c r="I1407" s="294">
        <v>44576</v>
      </c>
      <c r="J1407" s="294"/>
      <c r="K1407" s="10">
        <f>888*1.5*2</f>
        <v>2664</v>
      </c>
      <c r="L1407" s="11">
        <f>0.75*2169</f>
        <v>1626.75</v>
      </c>
      <c r="M1407" s="11"/>
      <c r="N1407" s="100"/>
      <c r="O1407" s="11">
        <f t="shared" si="334"/>
        <v>1626.75</v>
      </c>
      <c r="P1407" s="11">
        <f t="shared" si="360"/>
        <v>1626.75</v>
      </c>
      <c r="Q1407" s="11"/>
      <c r="R1407" s="11">
        <f t="shared" si="361"/>
        <v>0</v>
      </c>
      <c r="S1407" s="11"/>
      <c r="T1407" s="136">
        <f t="shared" si="350"/>
        <v>0</v>
      </c>
    </row>
    <row r="1408" spans="1:20" ht="15.75" customHeight="1">
      <c r="A1408" s="149" t="s">
        <v>2387</v>
      </c>
      <c r="B1408" s="273"/>
      <c r="C1408" s="28" t="s">
        <v>2630</v>
      </c>
      <c r="D1408" s="41">
        <v>1330</v>
      </c>
      <c r="E1408" s="131">
        <f t="shared" si="352"/>
        <v>31330</v>
      </c>
      <c r="F1408" s="21">
        <f t="shared" si="351"/>
        <v>37909.299999999996</v>
      </c>
      <c r="G1408" s="21"/>
      <c r="H1408" s="135">
        <f t="shared" si="344"/>
        <v>0</v>
      </c>
      <c r="I1408" s="294">
        <v>45173</v>
      </c>
      <c r="J1408" s="294">
        <v>45175</v>
      </c>
      <c r="K1408" s="10">
        <f>+'AUMENTOS %'!D14*PROVEEDORES!D18*0.5*44.44</f>
        <v>23553.199999999997</v>
      </c>
      <c r="L1408" s="11">
        <f>+'AUMENTOS %'!C14*10442*2</f>
        <v>20884</v>
      </c>
      <c r="M1408" s="11"/>
      <c r="N1408" s="100"/>
      <c r="O1408" s="11">
        <f t="shared" si="334"/>
        <v>20884</v>
      </c>
      <c r="P1408" s="11">
        <f t="shared" si="360"/>
        <v>20884</v>
      </c>
      <c r="Q1408" s="11">
        <v>1.5</v>
      </c>
      <c r="R1408" s="11">
        <f t="shared" si="361"/>
        <v>31326</v>
      </c>
      <c r="S1408" s="11"/>
      <c r="T1408" s="136">
        <f t="shared" si="350"/>
        <v>0</v>
      </c>
    </row>
    <row r="1409" spans="1:20" ht="15.75" customHeight="1">
      <c r="A1409" s="149">
        <v>38</v>
      </c>
      <c r="B1409" s="273"/>
      <c r="C1409" s="28" t="s">
        <v>2923</v>
      </c>
      <c r="D1409" s="41">
        <v>450</v>
      </c>
      <c r="E1409" s="131">
        <f t="shared" si="352"/>
        <v>12020</v>
      </c>
      <c r="F1409" s="21">
        <f t="shared" si="351"/>
        <v>14544.199999999999</v>
      </c>
      <c r="G1409" s="21"/>
      <c r="H1409" s="135">
        <f t="shared" si="344"/>
        <v>10430</v>
      </c>
      <c r="I1409" s="294">
        <v>45138</v>
      </c>
      <c r="J1409" s="294">
        <v>45274</v>
      </c>
      <c r="K1409" s="10">
        <f>+PROVEEDORES!$D$32*7.63</f>
        <v>8011.5</v>
      </c>
      <c r="L1409" s="148"/>
      <c r="M1409" s="11"/>
      <c r="N1409" s="100">
        <v>6947</v>
      </c>
      <c r="O1409" s="11">
        <f t="shared" ref="O1409:O1439" si="362">MIN(K1409:M1409)</f>
        <v>8011.5</v>
      </c>
      <c r="P1409" s="11">
        <f t="shared" si="360"/>
        <v>8011.5</v>
      </c>
      <c r="Q1409" s="11">
        <v>1.5</v>
      </c>
      <c r="R1409" s="11">
        <f t="shared" si="361"/>
        <v>12017.25</v>
      </c>
      <c r="S1409" s="11"/>
      <c r="T1409" s="136">
        <f t="shared" si="350"/>
        <v>10420.5</v>
      </c>
    </row>
    <row r="1410" spans="1:20" ht="15.75" customHeight="1">
      <c r="A1410" s="149"/>
      <c r="B1410" s="273"/>
      <c r="C1410" s="28" t="s">
        <v>4562</v>
      </c>
      <c r="D1410" s="41">
        <v>450</v>
      </c>
      <c r="E1410" s="131">
        <f>ROUNDUP(R1410,-1)</f>
        <v>3700</v>
      </c>
      <c r="F1410" s="21">
        <f>+E1410*1.21</f>
        <v>4477</v>
      </c>
      <c r="G1410" s="21"/>
      <c r="H1410" s="135">
        <f>ROUNDUP(T1410,-1)</f>
        <v>3480</v>
      </c>
      <c r="I1410" s="294">
        <v>45163</v>
      </c>
      <c r="J1410" s="294"/>
      <c r="K1410" s="10">
        <v>2465</v>
      </c>
      <c r="L1410" s="148"/>
      <c r="M1410" s="11"/>
      <c r="N1410" s="100">
        <f>+K1410*0.94</f>
        <v>2317.1</v>
      </c>
      <c r="O1410" s="11">
        <f>MIN(K1410:M1410)</f>
        <v>2465</v>
      </c>
      <c r="P1410" s="11">
        <f>+O1410</f>
        <v>2465</v>
      </c>
      <c r="Q1410" s="11">
        <v>1.5</v>
      </c>
      <c r="R1410" s="11">
        <f>+P1410*Q1410</f>
        <v>3697.5</v>
      </c>
      <c r="S1410" s="11"/>
      <c r="T1410" s="136">
        <f>+N1410*Q1410</f>
        <v>3475.6499999999996</v>
      </c>
    </row>
    <row r="1411" spans="1:20" ht="15.75" customHeight="1">
      <c r="A1411" s="149">
        <v>38</v>
      </c>
      <c r="B1411" s="273"/>
      <c r="C1411" s="28" t="s">
        <v>2458</v>
      </c>
      <c r="D1411" s="41">
        <v>1280</v>
      </c>
      <c r="E1411" s="131">
        <f t="shared" si="352"/>
        <v>39650</v>
      </c>
      <c r="F1411" s="21">
        <f t="shared" si="351"/>
        <v>47976.5</v>
      </c>
      <c r="G1411" s="21"/>
      <c r="H1411" s="135">
        <f t="shared" si="344"/>
        <v>34370</v>
      </c>
      <c r="I1411" s="294">
        <v>45138</v>
      </c>
      <c r="J1411" s="294">
        <v>45274</v>
      </c>
      <c r="K1411" s="10">
        <f>+PROVEEDORES!$D$32*26.04</f>
        <v>27342</v>
      </c>
      <c r="L1411" s="11"/>
      <c r="M1411" s="11"/>
      <c r="N1411" s="100">
        <v>23697</v>
      </c>
      <c r="O1411" s="11">
        <f t="shared" si="362"/>
        <v>27342</v>
      </c>
      <c r="P1411" s="11">
        <f t="shared" si="360"/>
        <v>27342</v>
      </c>
      <c r="Q1411" s="11">
        <v>1.45</v>
      </c>
      <c r="R1411" s="11">
        <f t="shared" si="361"/>
        <v>39645.9</v>
      </c>
      <c r="S1411" s="11"/>
      <c r="T1411" s="136">
        <f t="shared" si="350"/>
        <v>34360.65</v>
      </c>
    </row>
    <row r="1412" spans="1:20" ht="15.75" customHeight="1">
      <c r="A1412" s="149" t="s">
        <v>2387</v>
      </c>
      <c r="B1412" s="273"/>
      <c r="C1412" s="28" t="s">
        <v>1645</v>
      </c>
      <c r="D1412" s="41">
        <v>4430</v>
      </c>
      <c r="E1412" s="131">
        <f t="shared" si="352"/>
        <v>0</v>
      </c>
      <c r="F1412" s="21">
        <f t="shared" ref="F1412:F1442" si="363">+E1412*1.21</f>
        <v>0</v>
      </c>
      <c r="G1412" s="21"/>
      <c r="H1412" s="135">
        <f t="shared" si="344"/>
        <v>0</v>
      </c>
      <c r="I1412" s="294">
        <v>44576</v>
      </c>
      <c r="J1412" s="294"/>
      <c r="K1412" s="10"/>
      <c r="L1412" s="11">
        <v>7663</v>
      </c>
      <c r="M1412" s="11"/>
      <c r="N1412" s="100"/>
      <c r="O1412" s="11">
        <f t="shared" si="362"/>
        <v>7663</v>
      </c>
      <c r="P1412" s="11">
        <f t="shared" si="360"/>
        <v>7663</v>
      </c>
      <c r="Q1412" s="11"/>
      <c r="R1412" s="11">
        <f t="shared" si="361"/>
        <v>0</v>
      </c>
      <c r="S1412" s="11"/>
      <c r="T1412" s="136">
        <f t="shared" si="350"/>
        <v>0</v>
      </c>
    </row>
    <row r="1413" spans="1:20" ht="15.75" customHeight="1">
      <c r="A1413" s="149" t="s">
        <v>2387</v>
      </c>
      <c r="B1413" s="273"/>
      <c r="C1413" s="28" t="s">
        <v>1646</v>
      </c>
      <c r="D1413" s="41">
        <v>2460</v>
      </c>
      <c r="E1413" s="131">
        <f t="shared" si="352"/>
        <v>0</v>
      </c>
      <c r="F1413" s="21">
        <f t="shared" si="363"/>
        <v>0</v>
      </c>
      <c r="G1413" s="21"/>
      <c r="H1413" s="135">
        <f t="shared" si="344"/>
        <v>0</v>
      </c>
      <c r="I1413" s="294">
        <v>44576</v>
      </c>
      <c r="J1413" s="294"/>
      <c r="K1413" s="10"/>
      <c r="L1413" s="11">
        <v>4243</v>
      </c>
      <c r="M1413" s="11"/>
      <c r="N1413" s="100"/>
      <c r="O1413" s="11">
        <f t="shared" si="362"/>
        <v>4243</v>
      </c>
      <c r="P1413" s="11">
        <f t="shared" si="360"/>
        <v>4243</v>
      </c>
      <c r="Q1413" s="11"/>
      <c r="R1413" s="11">
        <f t="shared" si="361"/>
        <v>0</v>
      </c>
      <c r="S1413" s="11"/>
      <c r="T1413" s="136">
        <f t="shared" si="350"/>
        <v>0</v>
      </c>
    </row>
    <row r="1414" spans="1:20" ht="15.75" customHeight="1">
      <c r="A1414" s="149">
        <v>12</v>
      </c>
      <c r="B1414" s="273"/>
      <c r="C1414" s="28" t="s">
        <v>3768</v>
      </c>
      <c r="D1414" s="41"/>
      <c r="E1414" s="131">
        <f t="shared" si="352"/>
        <v>28210</v>
      </c>
      <c r="F1414" s="21">
        <f t="shared" si="363"/>
        <v>34134.1</v>
      </c>
      <c r="G1414" s="21"/>
      <c r="H1414" s="135">
        <f t="shared" si="344"/>
        <v>0</v>
      </c>
      <c r="I1414" s="294">
        <v>45274</v>
      </c>
      <c r="J1414" s="23">
        <v>45338</v>
      </c>
      <c r="K1414" s="10">
        <v>18802</v>
      </c>
      <c r="L1414" s="11"/>
      <c r="M1414" s="11"/>
      <c r="N1414" s="100"/>
      <c r="O1414" s="11">
        <f t="shared" si="362"/>
        <v>18802</v>
      </c>
      <c r="P1414" s="11">
        <f t="shared" si="360"/>
        <v>18802</v>
      </c>
      <c r="Q1414" s="11">
        <v>1.5</v>
      </c>
      <c r="R1414" s="11">
        <f t="shared" si="361"/>
        <v>28203</v>
      </c>
      <c r="S1414" s="11"/>
      <c r="T1414" s="136">
        <f t="shared" si="350"/>
        <v>0</v>
      </c>
    </row>
    <row r="1415" spans="1:20" ht="15.75" customHeight="1">
      <c r="A1415" s="149">
        <v>12</v>
      </c>
      <c r="B1415" s="273"/>
      <c r="C1415" s="28" t="s">
        <v>44307</v>
      </c>
      <c r="D1415" s="41"/>
      <c r="E1415" s="131">
        <f t="shared" si="352"/>
        <v>43500</v>
      </c>
      <c r="F1415" s="21">
        <f t="shared" si="363"/>
        <v>52635</v>
      </c>
      <c r="G1415" s="21"/>
      <c r="H1415" s="135">
        <f t="shared" si="344"/>
        <v>0</v>
      </c>
      <c r="I1415" s="294">
        <v>45274</v>
      </c>
      <c r="J1415" s="294">
        <v>45338</v>
      </c>
      <c r="K1415" s="10">
        <v>29000</v>
      </c>
      <c r="L1415" s="11"/>
      <c r="M1415" s="11"/>
      <c r="N1415" s="100"/>
      <c r="O1415" s="11">
        <f t="shared" si="362"/>
        <v>29000</v>
      </c>
      <c r="P1415" s="11">
        <f t="shared" si="360"/>
        <v>29000</v>
      </c>
      <c r="Q1415" s="11">
        <v>1.5</v>
      </c>
      <c r="R1415" s="11">
        <f t="shared" si="361"/>
        <v>43500</v>
      </c>
      <c r="S1415" s="11"/>
      <c r="T1415" s="136">
        <f t="shared" si="350"/>
        <v>0</v>
      </c>
    </row>
    <row r="1416" spans="1:20" ht="15.75" customHeight="1">
      <c r="A1416" s="149">
        <v>38</v>
      </c>
      <c r="B1416" s="273"/>
      <c r="C1416" s="28" t="s">
        <v>3446</v>
      </c>
      <c r="D1416" s="41">
        <v>1870</v>
      </c>
      <c r="E1416" s="131">
        <f t="shared" si="352"/>
        <v>151310</v>
      </c>
      <c r="F1416" s="21">
        <f t="shared" si="363"/>
        <v>183085.1</v>
      </c>
      <c r="G1416" s="21"/>
      <c r="H1416" s="135">
        <f t="shared" si="344"/>
        <v>131130</v>
      </c>
      <c r="I1416" s="294">
        <v>45138</v>
      </c>
      <c r="J1416" s="294">
        <v>45274</v>
      </c>
      <c r="K1416" s="10">
        <f>+PROVEEDORES!$D$32*99.38</f>
        <v>104349</v>
      </c>
      <c r="L1416" s="11"/>
      <c r="M1416" s="11"/>
      <c r="N1416" s="100">
        <v>90432</v>
      </c>
      <c r="O1416" s="11">
        <f t="shared" si="362"/>
        <v>104349</v>
      </c>
      <c r="P1416" s="11">
        <f t="shared" si="360"/>
        <v>104349</v>
      </c>
      <c r="Q1416" s="11">
        <v>1.45</v>
      </c>
      <c r="R1416" s="11">
        <f t="shared" si="361"/>
        <v>151306.04999999999</v>
      </c>
      <c r="S1416" s="11"/>
      <c r="T1416" s="136">
        <f t="shared" si="350"/>
        <v>131126.39999999999</v>
      </c>
    </row>
    <row r="1417" spans="1:20" ht="15.75" customHeight="1">
      <c r="A1417" s="149" t="s">
        <v>44321</v>
      </c>
      <c r="B1417" s="273"/>
      <c r="C1417" s="28" t="s">
        <v>37270</v>
      </c>
      <c r="D1417" s="41"/>
      <c r="E1417" s="131">
        <f>ROUNDUP(R1417,-1)</f>
        <v>14370</v>
      </c>
      <c r="F1417" s="21">
        <f>+E1417*1.21</f>
        <v>17387.7</v>
      </c>
      <c r="G1417" s="21"/>
      <c r="H1417" s="135">
        <f>ROUNDUP(T1417,-1)</f>
        <v>0</v>
      </c>
      <c r="I1417" s="294">
        <v>45222</v>
      </c>
      <c r="J1417" s="23">
        <v>45331</v>
      </c>
      <c r="K1417" s="10">
        <f>6332*2</f>
        <v>12664</v>
      </c>
      <c r="L1417" s="11">
        <f>0.8*0.94*11943</f>
        <v>8981.1360000000004</v>
      </c>
      <c r="M1417" s="11"/>
      <c r="N1417" s="100"/>
      <c r="O1417" s="11">
        <f>MIN(K1417:M1417)</f>
        <v>8981.1360000000004</v>
      </c>
      <c r="P1417" s="11">
        <f>+O1417</f>
        <v>8981.1360000000004</v>
      </c>
      <c r="Q1417" s="11">
        <v>1.6</v>
      </c>
      <c r="R1417" s="11">
        <f>+P1417*Q1417</f>
        <v>14369.817600000002</v>
      </c>
      <c r="S1417" s="11"/>
      <c r="T1417" s="136">
        <f>+N1417*Q1417</f>
        <v>0</v>
      </c>
    </row>
    <row r="1418" spans="1:20" ht="15.75" customHeight="1">
      <c r="A1418" s="149">
        <v>38</v>
      </c>
      <c r="B1418" s="273"/>
      <c r="C1418" s="28" t="s">
        <v>2139</v>
      </c>
      <c r="D1418" s="41">
        <v>1870</v>
      </c>
      <c r="E1418" s="131">
        <f t="shared" si="352"/>
        <v>8510</v>
      </c>
      <c r="F1418" s="21">
        <f t="shared" si="363"/>
        <v>10297.1</v>
      </c>
      <c r="G1418" s="21"/>
      <c r="H1418" s="135">
        <f t="shared" si="344"/>
        <v>0</v>
      </c>
      <c r="I1418" s="294">
        <v>45138</v>
      </c>
      <c r="J1418" s="294"/>
      <c r="K1418" s="10">
        <f>+'AUMENTOS %'!B9*5313</f>
        <v>5313</v>
      </c>
      <c r="L1418" s="11"/>
      <c r="M1418" s="11"/>
      <c r="N1418" s="100"/>
      <c r="O1418" s="11">
        <f>MIN(K1418:M1418)*'AUMENTOS %'!$B$9</f>
        <v>5313</v>
      </c>
      <c r="P1418" s="11">
        <f t="shared" si="360"/>
        <v>5313</v>
      </c>
      <c r="Q1418" s="11">
        <v>1.6</v>
      </c>
      <c r="R1418" s="11">
        <f t="shared" si="361"/>
        <v>8500.8000000000011</v>
      </c>
      <c r="S1418" s="11"/>
      <c r="T1418" s="136">
        <f t="shared" si="350"/>
        <v>0</v>
      </c>
    </row>
    <row r="1419" spans="1:20" ht="15.75" customHeight="1">
      <c r="A1419" s="149" t="s">
        <v>4569</v>
      </c>
      <c r="B1419" s="273"/>
      <c r="C1419" s="28" t="s">
        <v>44355</v>
      </c>
      <c r="D1419" s="41">
        <v>2190</v>
      </c>
      <c r="E1419" s="132">
        <f>ROUNDUP(R1419,-1)</f>
        <v>63990</v>
      </c>
      <c r="F1419" s="21">
        <f>+E1419*1.21</f>
        <v>77427.899999999994</v>
      </c>
      <c r="G1419" s="21"/>
      <c r="H1419" s="135">
        <f>ROUNDUP(T1419,-1)</f>
        <v>41400</v>
      </c>
      <c r="I1419" s="294">
        <v>45313</v>
      </c>
      <c r="J1419" s="294"/>
      <c r="K1419" s="10">
        <f>PROVEEDORES!$D$35*0.9*0.9*30*1.1*2</f>
        <v>57202.200000000004</v>
      </c>
      <c r="L1419" s="10">
        <f>1.038+4*9007*1.11</f>
        <v>39992.118000000002</v>
      </c>
      <c r="M1419" s="10"/>
      <c r="N1419" s="100">
        <f>0.9*0.95*0.95*31850</f>
        <v>25870.162499999999</v>
      </c>
      <c r="O1419" s="11">
        <f>MIN(K1419:M1419)</f>
        <v>39992.118000000002</v>
      </c>
      <c r="P1419" s="11">
        <f t="shared" si="360"/>
        <v>39992.118000000002</v>
      </c>
      <c r="Q1419" s="11">
        <v>1.6</v>
      </c>
      <c r="R1419" s="11">
        <f t="shared" si="361"/>
        <v>63987.388800000008</v>
      </c>
      <c r="S1419" s="11"/>
      <c r="T1419" s="136">
        <f>+N1419*Q1419</f>
        <v>41392.26</v>
      </c>
    </row>
    <row r="1420" spans="1:20" ht="15.75" customHeight="1">
      <c r="A1420" s="149" t="s">
        <v>4569</v>
      </c>
      <c r="B1420" s="273"/>
      <c r="C1420" s="28" t="s">
        <v>44200</v>
      </c>
      <c r="D1420" s="41">
        <v>4470</v>
      </c>
      <c r="E1420" s="132">
        <f t="shared" si="352"/>
        <v>85720</v>
      </c>
      <c r="F1420" s="21">
        <f t="shared" si="363"/>
        <v>103721.2</v>
      </c>
      <c r="G1420" s="21"/>
      <c r="H1420" s="135">
        <f t="shared" si="344"/>
        <v>86170</v>
      </c>
      <c r="I1420" s="294">
        <v>45313</v>
      </c>
      <c r="J1420" s="294"/>
      <c r="K1420" s="10">
        <f>PROVEEDORES!$D$35*0.9*0.9*62.5</f>
        <v>54168.75</v>
      </c>
      <c r="L1420" s="11">
        <f>1.038*4*12903</f>
        <v>53573.256000000001</v>
      </c>
      <c r="M1420" s="11"/>
      <c r="N1420" s="100">
        <f>0.9*0.95*0.95*66300</f>
        <v>53852.174999999996</v>
      </c>
      <c r="O1420" s="11">
        <f t="shared" si="362"/>
        <v>53573.256000000001</v>
      </c>
      <c r="P1420" s="11">
        <f t="shared" si="360"/>
        <v>53573.256000000001</v>
      </c>
      <c r="Q1420" s="11">
        <v>1.6</v>
      </c>
      <c r="R1420" s="11">
        <f t="shared" si="361"/>
        <v>85717.209600000002</v>
      </c>
      <c r="S1420" s="11"/>
      <c r="T1420" s="136">
        <f t="shared" si="350"/>
        <v>86163.48</v>
      </c>
    </row>
    <row r="1421" spans="1:20" ht="15.75" customHeight="1">
      <c r="A1421" s="149">
        <v>41</v>
      </c>
      <c r="B1421" s="273"/>
      <c r="C1421" s="28" t="s">
        <v>4267</v>
      </c>
      <c r="D1421" s="41">
        <v>2390</v>
      </c>
      <c r="E1421" s="132">
        <f t="shared" si="352"/>
        <v>48540</v>
      </c>
      <c r="F1421" s="21">
        <f t="shared" si="363"/>
        <v>58733.4</v>
      </c>
      <c r="G1421" s="21"/>
      <c r="H1421" s="135">
        <f t="shared" si="344"/>
        <v>45620</v>
      </c>
      <c r="I1421" s="294">
        <v>45311</v>
      </c>
      <c r="J1421" s="294"/>
      <c r="K1421" s="10">
        <f>PROVEEDORES!$D$35*0.9*0.9*35</f>
        <v>30334.5</v>
      </c>
      <c r="L1421" s="10"/>
      <c r="M1421" s="11"/>
      <c r="N1421" s="100">
        <f>0.9*0.95*0.95*35100</f>
        <v>28509.974999999999</v>
      </c>
      <c r="O1421" s="11">
        <f t="shared" si="362"/>
        <v>30334.5</v>
      </c>
      <c r="P1421" s="11">
        <f t="shared" si="360"/>
        <v>30334.5</v>
      </c>
      <c r="Q1421" s="11">
        <v>1.6</v>
      </c>
      <c r="R1421" s="11">
        <f t="shared" si="361"/>
        <v>48535.200000000004</v>
      </c>
      <c r="S1421" s="11"/>
      <c r="T1421" s="136">
        <f t="shared" si="350"/>
        <v>45615.96</v>
      </c>
    </row>
    <row r="1422" spans="1:20" ht="15.75" customHeight="1">
      <c r="A1422" s="149" t="s">
        <v>4569</v>
      </c>
      <c r="B1422" s="273"/>
      <c r="C1422" s="28" t="s">
        <v>4568</v>
      </c>
      <c r="D1422" s="41">
        <v>4750</v>
      </c>
      <c r="E1422" s="132">
        <f>ROUNDUP(R1422,-1)</f>
        <v>94530</v>
      </c>
      <c r="F1422" s="21">
        <f>+E1422*1.21</f>
        <v>114381.3</v>
      </c>
      <c r="G1422" s="21"/>
      <c r="H1422" s="135">
        <f>ROUNDUP(T1422,-1)</f>
        <v>95460</v>
      </c>
      <c r="I1422" s="294">
        <v>45313</v>
      </c>
      <c r="J1422" s="294"/>
      <c r="K1422" s="10">
        <f>PROVEEDORES!$D$35*0.9*0.9*69*1.1</f>
        <v>65782.530000000013</v>
      </c>
      <c r="L1422" s="11">
        <f>1.038*4*14229</f>
        <v>59078.808000000005</v>
      </c>
      <c r="M1422" s="11"/>
      <c r="N1422" s="100">
        <f>0.9*0.95*0.95*73450</f>
        <v>59659.762499999997</v>
      </c>
      <c r="O1422" s="11">
        <f>MIN(K1422:M1422)</f>
        <v>59078.808000000005</v>
      </c>
      <c r="P1422" s="11">
        <f t="shared" si="360"/>
        <v>59078.808000000005</v>
      </c>
      <c r="Q1422" s="11">
        <v>1.6</v>
      </c>
      <c r="R1422" s="11">
        <f t="shared" si="361"/>
        <v>94526.092800000013</v>
      </c>
      <c r="S1422" s="11"/>
      <c r="T1422" s="136">
        <f>+N1422*Q1422</f>
        <v>95455.62</v>
      </c>
    </row>
    <row r="1423" spans="1:20" ht="15.75" customHeight="1">
      <c r="A1423" s="149">
        <v>41</v>
      </c>
      <c r="B1423" s="273"/>
      <c r="C1423" s="28" t="s">
        <v>44297</v>
      </c>
      <c r="D1423" s="41">
        <v>2910</v>
      </c>
      <c r="E1423" s="132">
        <f t="shared" si="352"/>
        <v>54090</v>
      </c>
      <c r="F1423" s="21">
        <f t="shared" si="363"/>
        <v>65448.9</v>
      </c>
      <c r="G1423" s="21"/>
      <c r="H1423" s="135">
        <f t="shared" si="344"/>
        <v>54070</v>
      </c>
      <c r="I1423" s="294">
        <v>45311</v>
      </c>
      <c r="J1423" s="294"/>
      <c r="K1423" s="10">
        <f>PROVEEDORES!$D$35*0.9*0.9*39</f>
        <v>33801.300000000003</v>
      </c>
      <c r="L1423" s="10">
        <f>1.038*11329*4</f>
        <v>47038.008000000002</v>
      </c>
      <c r="M1423" s="11"/>
      <c r="N1423" s="100">
        <f>0.9*0.95*0.95*41600</f>
        <v>33789.599999999999</v>
      </c>
      <c r="O1423" s="11">
        <f t="shared" si="362"/>
        <v>33801.300000000003</v>
      </c>
      <c r="P1423" s="11">
        <f t="shared" si="360"/>
        <v>33801.300000000003</v>
      </c>
      <c r="Q1423" s="11">
        <v>1.6</v>
      </c>
      <c r="R1423" s="11">
        <f t="shared" si="361"/>
        <v>54082.080000000009</v>
      </c>
      <c r="S1423" s="11"/>
      <c r="T1423" s="136">
        <f t="shared" si="350"/>
        <v>54063.360000000001</v>
      </c>
    </row>
    <row r="1424" spans="1:20" ht="15.75" customHeight="1">
      <c r="A1424" s="149">
        <v>44</v>
      </c>
      <c r="B1424" s="273"/>
      <c r="C1424" s="28" t="s">
        <v>1647</v>
      </c>
      <c r="D1424" s="41">
        <v>1190</v>
      </c>
      <c r="E1424" s="140">
        <f t="shared" si="352"/>
        <v>50910</v>
      </c>
      <c r="F1424" s="21">
        <f t="shared" si="363"/>
        <v>61601.1</v>
      </c>
      <c r="G1424" s="21"/>
      <c r="H1424" s="135">
        <f t="shared" si="344"/>
        <v>0</v>
      </c>
      <c r="I1424" s="294">
        <v>45254</v>
      </c>
      <c r="J1424" s="294"/>
      <c r="K1424" s="10">
        <f>+PROVEEDORES!$D$38*38.35</f>
        <v>33939.75</v>
      </c>
      <c r="L1424" s="11"/>
      <c r="M1424" s="11"/>
      <c r="N1424" s="100"/>
      <c r="O1424" s="11">
        <f t="shared" si="362"/>
        <v>33939.75</v>
      </c>
      <c r="P1424" s="11">
        <f t="shared" si="360"/>
        <v>33939.75</v>
      </c>
      <c r="Q1424" s="11">
        <v>1.5</v>
      </c>
      <c r="R1424" s="11">
        <f t="shared" si="361"/>
        <v>50909.625</v>
      </c>
      <c r="S1424" s="11"/>
      <c r="T1424" s="136">
        <f t="shared" si="350"/>
        <v>0</v>
      </c>
    </row>
    <row r="1425" spans="1:20" ht="15.75" customHeight="1">
      <c r="A1425" s="149">
        <v>38</v>
      </c>
      <c r="B1425" s="273"/>
      <c r="C1425" s="28" t="s">
        <v>3820</v>
      </c>
      <c r="D1425" s="41">
        <v>1330</v>
      </c>
      <c r="E1425" s="131">
        <f t="shared" si="352"/>
        <v>65010</v>
      </c>
      <c r="F1425" s="21">
        <f t="shared" si="363"/>
        <v>78662.099999999991</v>
      </c>
      <c r="G1425" s="21"/>
      <c r="H1425" s="135">
        <f t="shared" si="344"/>
        <v>56340</v>
      </c>
      <c r="I1425" s="294">
        <v>45138</v>
      </c>
      <c r="J1425" s="294">
        <v>45274</v>
      </c>
      <c r="K1425" s="10">
        <f>PROVEEDORES!D32*41.27</f>
        <v>43333.5</v>
      </c>
      <c r="L1425" s="11"/>
      <c r="M1425" s="11"/>
      <c r="N1425" s="100">
        <v>37560</v>
      </c>
      <c r="O1425" s="11">
        <f t="shared" si="362"/>
        <v>43333.5</v>
      </c>
      <c r="P1425" s="11">
        <f t="shared" si="360"/>
        <v>43333.5</v>
      </c>
      <c r="Q1425" s="11">
        <v>1.5</v>
      </c>
      <c r="R1425" s="11">
        <f t="shared" si="361"/>
        <v>65000.25</v>
      </c>
      <c r="S1425" s="11"/>
      <c r="T1425" s="136">
        <f t="shared" si="350"/>
        <v>56340</v>
      </c>
    </row>
    <row r="1426" spans="1:20" ht="15.75" customHeight="1">
      <c r="A1426" s="149" t="s">
        <v>44322</v>
      </c>
      <c r="B1426" s="273"/>
      <c r="C1426" s="28" t="s">
        <v>3789</v>
      </c>
      <c r="D1426" s="41">
        <v>1330</v>
      </c>
      <c r="E1426" s="131">
        <f t="shared" si="352"/>
        <v>27450</v>
      </c>
      <c r="F1426" s="21">
        <f t="shared" si="363"/>
        <v>33214.5</v>
      </c>
      <c r="G1426" s="21"/>
      <c r="H1426" s="135">
        <f t="shared" si="344"/>
        <v>0</v>
      </c>
      <c r="I1426" s="294">
        <v>45059</v>
      </c>
      <c r="J1426" s="294">
        <v>45332</v>
      </c>
      <c r="K1426" s="10">
        <f>0.8*0.94*24333</f>
        <v>18298.416000000001</v>
      </c>
      <c r="L1426" s="42"/>
      <c r="M1426" s="42"/>
      <c r="N1426" s="37"/>
      <c r="O1426" s="11">
        <f t="shared" si="362"/>
        <v>18298.416000000001</v>
      </c>
      <c r="P1426" s="11">
        <f t="shared" si="360"/>
        <v>18298.416000000001</v>
      </c>
      <c r="Q1426" s="11">
        <v>1.5</v>
      </c>
      <c r="R1426" s="11">
        <f t="shared" si="361"/>
        <v>27447.624000000003</v>
      </c>
      <c r="S1426" s="11"/>
      <c r="T1426" s="136">
        <f t="shared" si="350"/>
        <v>0</v>
      </c>
    </row>
    <row r="1427" spans="1:20" ht="15.75" customHeight="1">
      <c r="A1427" s="149">
        <v>38</v>
      </c>
      <c r="B1427" s="273"/>
      <c r="C1427" s="28" t="s">
        <v>3625</v>
      </c>
      <c r="D1427" s="41">
        <v>7950</v>
      </c>
      <c r="E1427" s="131">
        <f t="shared" si="352"/>
        <v>161210</v>
      </c>
      <c r="F1427" s="21">
        <f t="shared" si="363"/>
        <v>195064.1</v>
      </c>
      <c r="G1427" s="21"/>
      <c r="H1427" s="135">
        <f t="shared" si="344"/>
        <v>139720</v>
      </c>
      <c r="I1427" s="294">
        <v>45138</v>
      </c>
      <c r="J1427" s="294">
        <v>45274</v>
      </c>
      <c r="K1427" s="10">
        <f>+PROVEEDORES!D32*105.88</f>
        <v>111174</v>
      </c>
      <c r="L1427" s="11"/>
      <c r="M1427" s="11"/>
      <c r="N1427" s="100">
        <v>96353</v>
      </c>
      <c r="O1427" s="11">
        <f t="shared" si="362"/>
        <v>111174</v>
      </c>
      <c r="P1427" s="11">
        <f t="shared" si="360"/>
        <v>111174</v>
      </c>
      <c r="Q1427" s="11">
        <v>1.45</v>
      </c>
      <c r="R1427" s="11">
        <f t="shared" si="361"/>
        <v>161202.29999999999</v>
      </c>
      <c r="S1427" s="11"/>
      <c r="T1427" s="136">
        <f t="shared" si="350"/>
        <v>139711.85</v>
      </c>
    </row>
    <row r="1428" spans="1:20" ht="15.75" customHeight="1">
      <c r="A1428" s="149">
        <v>38</v>
      </c>
      <c r="B1428" s="273"/>
      <c r="C1428" s="28" t="s">
        <v>3739</v>
      </c>
      <c r="D1428" s="41">
        <v>7950</v>
      </c>
      <c r="E1428" s="131">
        <f t="shared" si="352"/>
        <v>243380</v>
      </c>
      <c r="F1428" s="21">
        <f t="shared" si="363"/>
        <v>294489.8</v>
      </c>
      <c r="G1428" s="21"/>
      <c r="H1428" s="135">
        <f t="shared" ref="H1428:H1504" si="364">ROUNDUP(T1428,-1)</f>
        <v>210920</v>
      </c>
      <c r="I1428" s="294">
        <v>45138</v>
      </c>
      <c r="J1428" s="294">
        <v>45274</v>
      </c>
      <c r="K1428" s="10">
        <f>+PROVEEDORES!D32*159.85</f>
        <v>167842.5</v>
      </c>
      <c r="L1428" s="11"/>
      <c r="M1428" s="11"/>
      <c r="N1428" s="100">
        <v>145462</v>
      </c>
      <c r="O1428" s="11">
        <f t="shared" si="362"/>
        <v>167842.5</v>
      </c>
      <c r="P1428" s="11">
        <f t="shared" si="360"/>
        <v>167842.5</v>
      </c>
      <c r="Q1428" s="11">
        <v>1.45</v>
      </c>
      <c r="R1428" s="11">
        <f t="shared" si="361"/>
        <v>243371.625</v>
      </c>
      <c r="S1428" s="11"/>
      <c r="T1428" s="136">
        <f t="shared" si="350"/>
        <v>210919.9</v>
      </c>
    </row>
    <row r="1429" spans="1:20" ht="15.75" customHeight="1">
      <c r="A1429" s="149" t="s">
        <v>2398</v>
      </c>
      <c r="B1429" s="273">
        <f>ROUNDUP(E1429*1.105,-1)</f>
        <v>206620</v>
      </c>
      <c r="C1429" s="28" t="s">
        <v>3851</v>
      </c>
      <c r="D1429" s="41"/>
      <c r="E1429" s="131">
        <f t="shared" si="352"/>
        <v>186980</v>
      </c>
      <c r="F1429" s="21">
        <f t="shared" si="363"/>
        <v>226245.8</v>
      </c>
      <c r="G1429" s="21"/>
      <c r="H1429" s="135">
        <f t="shared" si="364"/>
        <v>0</v>
      </c>
      <c r="I1429" s="23">
        <v>45323</v>
      </c>
      <c r="J1429" s="294"/>
      <c r="K1429" s="11">
        <f>0.8*0.94*0.98*183844</f>
        <v>135485.67423999999</v>
      </c>
      <c r="L1429" s="38"/>
      <c r="M1429" s="11"/>
      <c r="N1429" s="100"/>
      <c r="O1429" s="11">
        <f t="shared" si="362"/>
        <v>135485.67423999999</v>
      </c>
      <c r="P1429" s="11">
        <f>+O1429*'AUMENTOS %'!$B$5</f>
        <v>135485.67423999999</v>
      </c>
      <c r="Q1429" s="11">
        <v>1.38</v>
      </c>
      <c r="R1429" s="11">
        <f t="shared" si="361"/>
        <v>186970.23045119998</v>
      </c>
      <c r="S1429" s="11"/>
      <c r="T1429" s="136">
        <f t="shared" si="350"/>
        <v>0</v>
      </c>
    </row>
    <row r="1430" spans="1:20" ht="15.75" customHeight="1">
      <c r="A1430" s="149" t="s">
        <v>2398</v>
      </c>
      <c r="B1430" s="273">
        <f>ROUNDUP(E1430*1.105,-1)</f>
        <v>482410</v>
      </c>
      <c r="C1430" s="28" t="s">
        <v>3852</v>
      </c>
      <c r="D1430" s="71">
        <v>22390</v>
      </c>
      <c r="E1430" s="131">
        <f t="shared" si="352"/>
        <v>436570</v>
      </c>
      <c r="F1430" s="21">
        <f t="shared" si="363"/>
        <v>528249.69999999995</v>
      </c>
      <c r="G1430" s="21"/>
      <c r="H1430" s="135">
        <f t="shared" si="364"/>
        <v>0</v>
      </c>
      <c r="I1430" s="23">
        <v>45323</v>
      </c>
      <c r="J1430" s="294"/>
      <c r="K1430" s="11">
        <f>0.8*0.94*0.98*429270</f>
        <v>316354.81919999997</v>
      </c>
      <c r="L1430" s="11"/>
      <c r="M1430" s="11"/>
      <c r="N1430" s="100"/>
      <c r="O1430" s="11">
        <f t="shared" si="362"/>
        <v>316354.81919999997</v>
      </c>
      <c r="P1430" s="11">
        <f>+O1430*'AUMENTOS %'!$B$5</f>
        <v>316354.81919999997</v>
      </c>
      <c r="Q1430" s="11">
        <v>1.38</v>
      </c>
      <c r="R1430" s="11">
        <f t="shared" si="361"/>
        <v>436569.6504959999</v>
      </c>
      <c r="S1430" s="11"/>
      <c r="T1430" s="136">
        <f t="shared" si="350"/>
        <v>0</v>
      </c>
    </row>
    <row r="1431" spans="1:20" ht="15.75" customHeight="1">
      <c r="A1431" s="149">
        <v>38</v>
      </c>
      <c r="B1431" s="273"/>
      <c r="C1431" s="28" t="s">
        <v>2614</v>
      </c>
      <c r="D1431" s="41"/>
      <c r="E1431" s="131">
        <f t="shared" si="352"/>
        <v>48340</v>
      </c>
      <c r="F1431" s="21">
        <f t="shared" si="363"/>
        <v>58491.4</v>
      </c>
      <c r="G1431" s="21"/>
      <c r="H1431" s="135">
        <f t="shared" si="364"/>
        <v>41890</v>
      </c>
      <c r="I1431" s="294">
        <v>45138</v>
      </c>
      <c r="J1431" s="294">
        <v>45274</v>
      </c>
      <c r="K1431" s="10">
        <f>+PROVEEDORES!$D$32*30.69</f>
        <v>32224.5</v>
      </c>
      <c r="L1431" s="11"/>
      <c r="M1431" s="11"/>
      <c r="N1431" s="100">
        <v>27925</v>
      </c>
      <c r="O1431" s="11">
        <f t="shared" si="362"/>
        <v>32224.5</v>
      </c>
      <c r="P1431" s="11">
        <f t="shared" si="360"/>
        <v>32224.5</v>
      </c>
      <c r="Q1431" s="11">
        <v>1.5</v>
      </c>
      <c r="R1431" s="11">
        <f t="shared" si="361"/>
        <v>48336.75</v>
      </c>
      <c r="S1431" s="11"/>
      <c r="T1431" s="136">
        <f t="shared" si="350"/>
        <v>41887.5</v>
      </c>
    </row>
    <row r="1432" spans="1:20" ht="15.75" customHeight="1">
      <c r="A1432" s="149">
        <v>20</v>
      </c>
      <c r="B1432" s="273"/>
      <c r="C1432" s="28" t="s">
        <v>44219</v>
      </c>
      <c r="D1432" s="41"/>
      <c r="E1432" s="131">
        <f t="shared" si="352"/>
        <v>24690</v>
      </c>
      <c r="F1432" s="21">
        <f t="shared" si="363"/>
        <v>29874.899999999998</v>
      </c>
      <c r="G1432" s="21"/>
      <c r="H1432" s="135">
        <f t="shared" si="364"/>
        <v>0</v>
      </c>
      <c r="I1432" s="294">
        <v>44638</v>
      </c>
      <c r="J1432" s="294"/>
      <c r="K1432" s="10">
        <v>15428</v>
      </c>
      <c r="L1432" s="11"/>
      <c r="M1432" s="11"/>
      <c r="N1432" s="100"/>
      <c r="O1432" s="11">
        <f t="shared" si="362"/>
        <v>15428</v>
      </c>
      <c r="P1432" s="11">
        <f t="shared" si="360"/>
        <v>15428</v>
      </c>
      <c r="Q1432" s="11">
        <v>1.6</v>
      </c>
      <c r="R1432" s="11">
        <f t="shared" si="361"/>
        <v>24684.800000000003</v>
      </c>
      <c r="S1432" s="11"/>
      <c r="T1432" s="136">
        <f t="shared" ref="T1432:T1512" si="365">+N1432*Q1432</f>
        <v>0</v>
      </c>
    </row>
    <row r="1433" spans="1:20" ht="15.75" customHeight="1">
      <c r="A1433" s="149"/>
      <c r="B1433" s="273"/>
      <c r="C1433" s="28" t="s">
        <v>1648</v>
      </c>
      <c r="D1433" s="41">
        <v>1980</v>
      </c>
      <c r="E1433" s="131">
        <f t="shared" si="352"/>
        <v>0</v>
      </c>
      <c r="F1433" s="21">
        <f t="shared" si="363"/>
        <v>0</v>
      </c>
      <c r="G1433" s="21"/>
      <c r="H1433" s="135">
        <f t="shared" si="364"/>
        <v>0</v>
      </c>
      <c r="I1433" s="294"/>
      <c r="J1433" s="294">
        <v>43252</v>
      </c>
      <c r="K1433" s="10">
        <f>1487.5*0.65*1.35*1.15*1.3</f>
        <v>1951.39546875</v>
      </c>
      <c r="L1433" s="11"/>
      <c r="M1433" s="11"/>
      <c r="N1433" s="100"/>
      <c r="O1433" s="11">
        <f t="shared" si="362"/>
        <v>1951.39546875</v>
      </c>
      <c r="P1433" s="11">
        <f t="shared" si="360"/>
        <v>1951.39546875</v>
      </c>
      <c r="Q1433" s="11"/>
      <c r="R1433" s="11">
        <f t="shared" si="361"/>
        <v>0</v>
      </c>
      <c r="S1433" s="11"/>
      <c r="T1433" s="136">
        <f t="shared" si="365"/>
        <v>0</v>
      </c>
    </row>
    <row r="1434" spans="1:20" ht="15.75" customHeight="1">
      <c r="A1434" s="149"/>
      <c r="B1434" s="273"/>
      <c r="C1434" s="28" t="s">
        <v>1649</v>
      </c>
      <c r="D1434" s="41">
        <v>50</v>
      </c>
      <c r="E1434" s="131">
        <f t="shared" si="352"/>
        <v>0</v>
      </c>
      <c r="F1434" s="21">
        <f t="shared" si="363"/>
        <v>0</v>
      </c>
      <c r="G1434" s="21"/>
      <c r="H1434" s="135">
        <f t="shared" si="364"/>
        <v>0</v>
      </c>
      <c r="I1434" s="294"/>
      <c r="J1434" s="294">
        <v>43314</v>
      </c>
      <c r="K1434" s="10">
        <f>31*1.6</f>
        <v>49.6</v>
      </c>
      <c r="L1434" s="11"/>
      <c r="M1434" s="11"/>
      <c r="N1434" s="100"/>
      <c r="O1434" s="11">
        <f t="shared" si="362"/>
        <v>49.6</v>
      </c>
      <c r="P1434" s="11">
        <f t="shared" si="360"/>
        <v>49.6</v>
      </c>
      <c r="Q1434" s="11"/>
      <c r="R1434" s="11">
        <f t="shared" si="361"/>
        <v>0</v>
      </c>
      <c r="S1434" s="11"/>
      <c r="T1434" s="136">
        <f t="shared" si="365"/>
        <v>0</v>
      </c>
    </row>
    <row r="1435" spans="1:20" ht="15.75" customHeight="1">
      <c r="A1435" s="149"/>
      <c r="B1435" s="273"/>
      <c r="C1435" s="28" t="s">
        <v>1650</v>
      </c>
      <c r="D1435" s="41">
        <v>50</v>
      </c>
      <c r="E1435" s="131">
        <f t="shared" si="352"/>
        <v>0</v>
      </c>
      <c r="F1435" s="21">
        <f t="shared" si="363"/>
        <v>0</v>
      </c>
      <c r="G1435" s="21"/>
      <c r="H1435" s="135">
        <f t="shared" si="364"/>
        <v>0</v>
      </c>
      <c r="I1435" s="294"/>
      <c r="J1435" s="40">
        <v>43252</v>
      </c>
      <c r="K1435" s="11">
        <f>31*1.6</f>
        <v>49.6</v>
      </c>
      <c r="L1435" s="10"/>
      <c r="M1435" s="10"/>
      <c r="N1435" s="100"/>
      <c r="O1435" s="11">
        <f t="shared" si="362"/>
        <v>49.6</v>
      </c>
      <c r="P1435" s="11">
        <f t="shared" si="360"/>
        <v>49.6</v>
      </c>
      <c r="Q1435" s="11"/>
      <c r="R1435" s="11">
        <f t="shared" si="361"/>
        <v>0</v>
      </c>
      <c r="S1435" s="11"/>
      <c r="T1435" s="136">
        <f t="shared" si="365"/>
        <v>0</v>
      </c>
    </row>
    <row r="1436" spans="1:20" ht="15.75" customHeight="1">
      <c r="A1436" s="149"/>
      <c r="B1436" s="273"/>
      <c r="C1436" s="28" t="s">
        <v>1651</v>
      </c>
      <c r="D1436" s="41">
        <v>25</v>
      </c>
      <c r="E1436" s="131">
        <f t="shared" si="352"/>
        <v>0</v>
      </c>
      <c r="F1436" s="21">
        <f t="shared" si="363"/>
        <v>0</v>
      </c>
      <c r="G1436" s="21"/>
      <c r="H1436" s="135">
        <f t="shared" si="364"/>
        <v>0</v>
      </c>
      <c r="I1436" s="294"/>
      <c r="J1436" s="40">
        <v>42327</v>
      </c>
      <c r="K1436" s="10">
        <f>14*1.8</f>
        <v>25.2</v>
      </c>
      <c r="L1436" s="11"/>
      <c r="M1436" s="11"/>
      <c r="N1436" s="100"/>
      <c r="O1436" s="11">
        <f t="shared" si="362"/>
        <v>25.2</v>
      </c>
      <c r="P1436" s="11">
        <f t="shared" si="360"/>
        <v>25.2</v>
      </c>
      <c r="Q1436" s="11"/>
      <c r="R1436" s="11">
        <f t="shared" si="361"/>
        <v>0</v>
      </c>
      <c r="S1436" s="11"/>
      <c r="T1436" s="136">
        <f t="shared" si="365"/>
        <v>0</v>
      </c>
    </row>
    <row r="1437" spans="1:20" ht="15.75" customHeight="1">
      <c r="A1437" s="149">
        <v>36</v>
      </c>
      <c r="B1437" s="273"/>
      <c r="C1437" s="28" t="s">
        <v>44318</v>
      </c>
      <c r="D1437" s="41">
        <v>100</v>
      </c>
      <c r="E1437" s="131">
        <f t="shared" si="352"/>
        <v>2760</v>
      </c>
      <c r="F1437" s="21">
        <f t="shared" si="363"/>
        <v>3339.6</v>
      </c>
      <c r="G1437" s="21"/>
      <c r="H1437" s="135">
        <f t="shared" si="364"/>
        <v>0</v>
      </c>
      <c r="I1437" s="294">
        <v>45059</v>
      </c>
      <c r="J1437" s="40">
        <v>45331</v>
      </c>
      <c r="K1437" s="10">
        <f>0.8*0.94*2290</f>
        <v>1722.08</v>
      </c>
      <c r="L1437" s="11"/>
      <c r="M1437" s="11"/>
      <c r="N1437" s="100"/>
      <c r="O1437" s="11">
        <f t="shared" si="362"/>
        <v>1722.08</v>
      </c>
      <c r="P1437" s="11">
        <f t="shared" si="360"/>
        <v>1722.08</v>
      </c>
      <c r="Q1437" s="11">
        <v>1.6</v>
      </c>
      <c r="R1437" s="11">
        <f t="shared" si="361"/>
        <v>2755.328</v>
      </c>
      <c r="S1437" s="11"/>
      <c r="T1437" s="136">
        <f t="shared" si="365"/>
        <v>0</v>
      </c>
    </row>
    <row r="1438" spans="1:20" ht="15.75" customHeight="1">
      <c r="A1438" s="149">
        <v>36</v>
      </c>
      <c r="B1438" s="273"/>
      <c r="C1438" s="28" t="s">
        <v>44319</v>
      </c>
      <c r="D1438" s="41">
        <v>100</v>
      </c>
      <c r="E1438" s="131">
        <f t="shared" si="352"/>
        <v>2200</v>
      </c>
      <c r="F1438" s="21">
        <f t="shared" si="363"/>
        <v>2662</v>
      </c>
      <c r="G1438" s="21"/>
      <c r="H1438" s="135">
        <f t="shared" si="364"/>
        <v>0</v>
      </c>
      <c r="I1438" s="294">
        <v>45059</v>
      </c>
      <c r="J1438" s="40">
        <v>45331</v>
      </c>
      <c r="K1438" s="10">
        <f>0.8*0.94*1827</f>
        <v>1373.904</v>
      </c>
      <c r="L1438" s="11"/>
      <c r="M1438" s="11"/>
      <c r="N1438" s="100"/>
      <c r="O1438" s="11">
        <f t="shared" si="362"/>
        <v>1373.904</v>
      </c>
      <c r="P1438" s="11">
        <f t="shared" si="360"/>
        <v>1373.904</v>
      </c>
      <c r="Q1438" s="11">
        <v>1.6</v>
      </c>
      <c r="R1438" s="11">
        <f t="shared" si="361"/>
        <v>2198.2464</v>
      </c>
      <c r="S1438" s="11"/>
      <c r="T1438" s="136">
        <f t="shared" si="365"/>
        <v>0</v>
      </c>
    </row>
    <row r="1439" spans="1:20" ht="15.75" customHeight="1">
      <c r="A1439" s="149">
        <v>36</v>
      </c>
      <c r="B1439" s="273"/>
      <c r="C1439" s="28" t="s">
        <v>3637</v>
      </c>
      <c r="D1439" s="41">
        <v>100</v>
      </c>
      <c r="E1439" s="131">
        <f t="shared" si="352"/>
        <v>2230</v>
      </c>
      <c r="F1439" s="21">
        <f t="shared" si="363"/>
        <v>2698.2999999999997</v>
      </c>
      <c r="G1439" s="21"/>
      <c r="H1439" s="135">
        <f t="shared" si="364"/>
        <v>0</v>
      </c>
      <c r="I1439" s="294">
        <v>45059</v>
      </c>
      <c r="J1439" s="40">
        <v>45331</v>
      </c>
      <c r="K1439" s="10">
        <f>0.8*0.94*1848</f>
        <v>1389.6959999999999</v>
      </c>
      <c r="L1439" s="11"/>
      <c r="M1439" s="11"/>
      <c r="N1439" s="100"/>
      <c r="O1439" s="11">
        <f t="shared" si="362"/>
        <v>1389.6959999999999</v>
      </c>
      <c r="P1439" s="11">
        <f t="shared" si="360"/>
        <v>1389.6959999999999</v>
      </c>
      <c r="Q1439" s="11">
        <v>1.6</v>
      </c>
      <c r="R1439" s="11">
        <f t="shared" si="361"/>
        <v>2223.5135999999998</v>
      </c>
      <c r="S1439" s="11"/>
      <c r="T1439" s="136">
        <f t="shared" si="365"/>
        <v>0</v>
      </c>
    </row>
    <row r="1440" spans="1:20" ht="15.75" customHeight="1">
      <c r="A1440" s="149">
        <v>36</v>
      </c>
      <c r="B1440" s="273"/>
      <c r="C1440" s="28" t="s">
        <v>3638</v>
      </c>
      <c r="D1440" s="71">
        <v>160</v>
      </c>
      <c r="E1440" s="131">
        <f t="shared" si="352"/>
        <v>2920</v>
      </c>
      <c r="F1440" s="21">
        <f t="shared" si="363"/>
        <v>3533.2</v>
      </c>
      <c r="G1440" s="21"/>
      <c r="H1440" s="135">
        <f t="shared" si="364"/>
        <v>0</v>
      </c>
      <c r="I1440" s="294">
        <v>45059</v>
      </c>
      <c r="J1440" s="40">
        <v>45331</v>
      </c>
      <c r="K1440" s="10">
        <f>0.8*0.94*2420</f>
        <v>1819.84</v>
      </c>
      <c r="L1440" s="10"/>
      <c r="M1440" s="11"/>
      <c r="N1440" s="100"/>
      <c r="O1440" s="11">
        <f t="shared" ref="O1440:O1524" si="366">MIN(K1440:M1440)</f>
        <v>1819.84</v>
      </c>
      <c r="P1440" s="11">
        <f t="shared" si="360"/>
        <v>1819.84</v>
      </c>
      <c r="Q1440" s="11">
        <v>1.6</v>
      </c>
      <c r="R1440" s="11">
        <f t="shared" si="361"/>
        <v>2911.7440000000001</v>
      </c>
      <c r="S1440" s="11"/>
      <c r="T1440" s="136">
        <f t="shared" si="365"/>
        <v>0</v>
      </c>
    </row>
    <row r="1441" spans="1:20" ht="15.75" customHeight="1">
      <c r="A1441" s="149">
        <v>41</v>
      </c>
      <c r="B1441" s="273"/>
      <c r="C1441" s="28" t="s">
        <v>62600</v>
      </c>
      <c r="D1441" s="41"/>
      <c r="E1441" s="131">
        <f t="shared" ref="E1441" si="367">ROUNDUP(R1441,-1)</f>
        <v>65230</v>
      </c>
      <c r="F1441" s="21">
        <f t="shared" ref="F1441" si="368">+E1441*1.21</f>
        <v>78928.3</v>
      </c>
      <c r="G1441" s="21"/>
      <c r="H1441" s="135">
        <f t="shared" ref="H1441" si="369">ROUNDUP(T1441,-1)</f>
        <v>0</v>
      </c>
      <c r="I1441" s="294"/>
      <c r="J1441" s="40">
        <v>45329</v>
      </c>
      <c r="K1441" s="10">
        <f>0.95*0.95*0.9*53536</f>
        <v>43484.616000000002</v>
      </c>
      <c r="L1441" s="10"/>
      <c r="M1441" s="11"/>
      <c r="N1441" s="100"/>
      <c r="O1441" s="11">
        <f t="shared" ref="O1441" si="370">MIN(K1441:M1441)</f>
        <v>43484.616000000002</v>
      </c>
      <c r="P1441" s="11">
        <f t="shared" ref="P1441" si="371">+O1441</f>
        <v>43484.616000000002</v>
      </c>
      <c r="Q1441" s="11">
        <v>1.5</v>
      </c>
      <c r="R1441" s="11">
        <f t="shared" ref="R1441" si="372">+P1441*Q1441</f>
        <v>65226.923999999999</v>
      </c>
      <c r="S1441" s="11"/>
      <c r="T1441" s="136">
        <f t="shared" ref="T1441" si="373">+N1441*Q1441</f>
        <v>0</v>
      </c>
    </row>
    <row r="1442" spans="1:20" ht="15.75" customHeight="1">
      <c r="A1442" s="149">
        <v>21</v>
      </c>
      <c r="B1442" s="273"/>
      <c r="C1442" s="28" t="s">
        <v>2618</v>
      </c>
      <c r="D1442" s="41">
        <v>100</v>
      </c>
      <c r="E1442" s="131">
        <f t="shared" si="352"/>
        <v>0</v>
      </c>
      <c r="F1442" s="21">
        <f t="shared" si="363"/>
        <v>0</v>
      </c>
      <c r="G1442" s="21"/>
      <c r="H1442" s="135">
        <f t="shared" si="364"/>
        <v>0</v>
      </c>
      <c r="I1442" s="294"/>
      <c r="J1442" s="294">
        <v>44134</v>
      </c>
      <c r="K1442" s="11">
        <f>0.6*1110/12</f>
        <v>55.5</v>
      </c>
      <c r="L1442" s="11">
        <f>PROVEEDORES!$D$18*0.5*18.23/12*2</f>
        <v>1610.3166666666666</v>
      </c>
      <c r="M1442" s="11"/>
      <c r="N1442" s="100"/>
      <c r="O1442" s="11">
        <f t="shared" si="366"/>
        <v>55.5</v>
      </c>
      <c r="P1442" s="11">
        <f t="shared" si="360"/>
        <v>55.5</v>
      </c>
      <c r="Q1442" s="11"/>
      <c r="R1442" s="11">
        <f t="shared" si="361"/>
        <v>0</v>
      </c>
      <c r="S1442" s="11"/>
      <c r="T1442" s="136">
        <f t="shared" si="365"/>
        <v>0</v>
      </c>
    </row>
    <row r="1443" spans="1:20" ht="15.75" customHeight="1">
      <c r="A1443" s="149" t="s">
        <v>44322</v>
      </c>
      <c r="B1443" s="273"/>
      <c r="C1443" s="28" t="s">
        <v>44337</v>
      </c>
      <c r="D1443" s="41">
        <v>50</v>
      </c>
      <c r="E1443" s="131">
        <f t="shared" si="352"/>
        <v>1000</v>
      </c>
      <c r="F1443" s="21">
        <f t="shared" ref="F1443:F1485" si="374">+E1443*1.21</f>
        <v>1210</v>
      </c>
      <c r="G1443" s="21"/>
      <c r="H1443" s="135">
        <f t="shared" si="364"/>
        <v>0</v>
      </c>
      <c r="I1443" s="294">
        <v>45059</v>
      </c>
      <c r="J1443" s="40">
        <v>45332</v>
      </c>
      <c r="K1443" s="10">
        <f>0.8*0.94*778</f>
        <v>585.05600000000004</v>
      </c>
      <c r="L1443" s="42"/>
      <c r="M1443" s="42"/>
      <c r="N1443" s="37"/>
      <c r="O1443" s="11">
        <f t="shared" si="366"/>
        <v>585.05600000000004</v>
      </c>
      <c r="P1443" s="11">
        <f t="shared" si="360"/>
        <v>585.05600000000004</v>
      </c>
      <c r="Q1443" s="11">
        <v>1.7</v>
      </c>
      <c r="R1443" s="11">
        <f t="shared" si="361"/>
        <v>994.59520000000009</v>
      </c>
      <c r="S1443" s="11"/>
      <c r="T1443" s="136">
        <f t="shared" si="365"/>
        <v>0</v>
      </c>
    </row>
    <row r="1444" spans="1:20" ht="15.75" customHeight="1">
      <c r="A1444" s="149">
        <v>24</v>
      </c>
      <c r="B1444" s="273"/>
      <c r="C1444" s="28" t="s">
        <v>2891</v>
      </c>
      <c r="D1444" s="41"/>
      <c r="E1444" s="131">
        <f t="shared" si="352"/>
        <v>1510</v>
      </c>
      <c r="F1444" s="21">
        <f t="shared" si="374"/>
        <v>1827.1</v>
      </c>
      <c r="G1444" s="21"/>
      <c r="H1444" s="135">
        <f t="shared" si="364"/>
        <v>0</v>
      </c>
      <c r="I1444" s="294">
        <v>45138</v>
      </c>
      <c r="J1444" s="294">
        <v>45175</v>
      </c>
      <c r="K1444" s="11">
        <f>PROVEEDORES!$D$15*0.6/12*25.44*2</f>
        <v>2251.44</v>
      </c>
      <c r="L1444" s="11">
        <f>PROVEEDORES!$D$18*0.5*21.24/12</f>
        <v>938.09999999999991</v>
      </c>
      <c r="M1444" s="11"/>
      <c r="N1444" s="100"/>
      <c r="O1444" s="11">
        <f t="shared" si="366"/>
        <v>938.09999999999991</v>
      </c>
      <c r="P1444" s="11">
        <f t="shared" si="360"/>
        <v>938.09999999999991</v>
      </c>
      <c r="Q1444" s="11">
        <v>1.6</v>
      </c>
      <c r="R1444" s="11">
        <f t="shared" si="361"/>
        <v>1500.96</v>
      </c>
      <c r="S1444" s="11"/>
      <c r="T1444" s="136">
        <f t="shared" si="365"/>
        <v>0</v>
      </c>
    </row>
    <row r="1445" spans="1:20" ht="15.75" customHeight="1">
      <c r="A1445" s="149" t="s">
        <v>2402</v>
      </c>
      <c r="B1445" s="273"/>
      <c r="C1445" s="28" t="s">
        <v>44158</v>
      </c>
      <c r="D1445" s="41">
        <v>100</v>
      </c>
      <c r="E1445" s="131">
        <f t="shared" si="352"/>
        <v>1880</v>
      </c>
      <c r="F1445" s="21">
        <f t="shared" si="374"/>
        <v>2274.7999999999997</v>
      </c>
      <c r="G1445" s="21"/>
      <c r="H1445" s="135">
        <f t="shared" si="364"/>
        <v>0</v>
      </c>
      <c r="I1445" s="294">
        <v>45274</v>
      </c>
      <c r="J1445" s="294">
        <v>45359</v>
      </c>
      <c r="K1445" s="11">
        <f>PROVEEDORES!$D$15*0.6/12*25.65*2</f>
        <v>2270.0250000000001</v>
      </c>
      <c r="L1445" s="11">
        <f>PROVEEDORES!$D$18*0.5*26.55/12</f>
        <v>1172.625</v>
      </c>
      <c r="M1445" s="11"/>
      <c r="N1445" s="100"/>
      <c r="O1445" s="11">
        <f t="shared" si="366"/>
        <v>1172.625</v>
      </c>
      <c r="P1445" s="11">
        <f t="shared" si="360"/>
        <v>1172.625</v>
      </c>
      <c r="Q1445" s="11">
        <v>1.6</v>
      </c>
      <c r="R1445" s="11">
        <f t="shared" si="361"/>
        <v>1876.2</v>
      </c>
      <c r="S1445" s="11"/>
      <c r="T1445" s="136">
        <f t="shared" si="365"/>
        <v>0</v>
      </c>
    </row>
    <row r="1446" spans="1:20" ht="15.75" customHeight="1">
      <c r="A1446" s="149">
        <v>36</v>
      </c>
      <c r="B1446" s="273"/>
      <c r="C1446" s="28" t="s">
        <v>4104</v>
      </c>
      <c r="D1446" s="276">
        <v>220</v>
      </c>
      <c r="E1446" s="131">
        <f t="shared" si="352"/>
        <v>4820</v>
      </c>
      <c r="F1446" s="21">
        <f t="shared" si="374"/>
        <v>5832.2</v>
      </c>
      <c r="G1446" s="135"/>
      <c r="H1446" s="135">
        <f>ROUNDUP(T1446,-1)</f>
        <v>0</v>
      </c>
      <c r="I1446" s="294">
        <v>45059</v>
      </c>
      <c r="J1446" s="40">
        <v>45274</v>
      </c>
      <c r="K1446" s="10">
        <f>0.8*0.94*4002</f>
        <v>3009.5039999999999</v>
      </c>
      <c r="L1446" s="11"/>
      <c r="M1446" s="100"/>
      <c r="N1446" s="11"/>
      <c r="O1446" s="11">
        <f t="shared" si="366"/>
        <v>3009.5039999999999</v>
      </c>
      <c r="P1446" s="11">
        <f t="shared" si="360"/>
        <v>3009.5039999999999</v>
      </c>
      <c r="Q1446" s="11">
        <v>1.6</v>
      </c>
      <c r="R1446" s="11">
        <f t="shared" si="361"/>
        <v>4815.2064</v>
      </c>
      <c r="S1446" s="11"/>
      <c r="T1446" s="136">
        <f>+N1446*Q1446</f>
        <v>0</v>
      </c>
    </row>
    <row r="1447" spans="1:20" ht="15.75" customHeight="1">
      <c r="A1447" s="149">
        <v>38</v>
      </c>
      <c r="B1447" s="273"/>
      <c r="C1447" s="28" t="s">
        <v>4472</v>
      </c>
      <c r="D1447" s="41">
        <v>110</v>
      </c>
      <c r="E1447" s="131">
        <f>ROUNDUP(R1447,-1)</f>
        <v>210</v>
      </c>
      <c r="F1447" s="21">
        <f>+E1447*1.21</f>
        <v>254.1</v>
      </c>
      <c r="G1447" s="21"/>
      <c r="H1447" s="135">
        <f>ROUNDUP(T1447,-1)</f>
        <v>180</v>
      </c>
      <c r="I1447" s="294">
        <v>45138</v>
      </c>
      <c r="J1447" s="294">
        <v>45274</v>
      </c>
      <c r="K1447" s="11">
        <f>+PROVEEDORES!D32*15.49/144</f>
        <v>112.94791666666667</v>
      </c>
      <c r="L1447" s="172"/>
      <c r="M1447" s="11"/>
      <c r="N1447" s="100">
        <v>97.875</v>
      </c>
      <c r="O1447" s="11">
        <f>MIN(K1447:M1447)</f>
        <v>112.94791666666667</v>
      </c>
      <c r="P1447" s="11">
        <f>+O1447</f>
        <v>112.94791666666667</v>
      </c>
      <c r="Q1447" s="11">
        <v>1.8</v>
      </c>
      <c r="R1447" s="11">
        <f>+P1447*Q1447</f>
        <v>203.30625000000001</v>
      </c>
      <c r="S1447" s="11"/>
      <c r="T1447" s="136">
        <f>+N1447*Q1447</f>
        <v>176.17500000000001</v>
      </c>
    </row>
    <row r="1448" spans="1:20" ht="15.75" customHeight="1">
      <c r="A1448" s="149" t="s">
        <v>2404</v>
      </c>
      <c r="B1448" s="273"/>
      <c r="C1448" s="28" t="s">
        <v>4374</v>
      </c>
      <c r="D1448" s="41">
        <v>110</v>
      </c>
      <c r="E1448" s="131">
        <f t="shared" si="352"/>
        <v>2390</v>
      </c>
      <c r="F1448" s="21">
        <f t="shared" si="374"/>
        <v>2891.9</v>
      </c>
      <c r="G1448" s="21"/>
      <c r="H1448" s="135">
        <f t="shared" si="364"/>
        <v>0</v>
      </c>
      <c r="I1448" s="294">
        <v>45139</v>
      </c>
      <c r="J1448" s="294">
        <v>45274</v>
      </c>
      <c r="K1448" s="11">
        <f>1215*2</f>
        <v>2430</v>
      </c>
      <c r="L1448" s="10">
        <f>+PROVEEDORES!D32*1.42</f>
        <v>1491</v>
      </c>
      <c r="M1448" s="11"/>
      <c r="N1448" s="100"/>
      <c r="O1448" s="11">
        <f t="shared" si="366"/>
        <v>1491</v>
      </c>
      <c r="P1448" s="11">
        <f t="shared" si="360"/>
        <v>1491</v>
      </c>
      <c r="Q1448" s="11">
        <v>1.6</v>
      </c>
      <c r="R1448" s="11">
        <f t="shared" si="361"/>
        <v>2385.6</v>
      </c>
      <c r="S1448" s="11"/>
      <c r="T1448" s="136">
        <f t="shared" si="365"/>
        <v>0</v>
      </c>
    </row>
    <row r="1449" spans="1:20" ht="15.75" customHeight="1">
      <c r="A1449" s="149" t="s">
        <v>2404</v>
      </c>
      <c r="B1449" s="273"/>
      <c r="C1449" s="28" t="s">
        <v>2447</v>
      </c>
      <c r="D1449" s="41">
        <v>150</v>
      </c>
      <c r="E1449" s="131">
        <f t="shared" si="352"/>
        <v>2390</v>
      </c>
      <c r="F1449" s="21">
        <f t="shared" si="374"/>
        <v>2891.9</v>
      </c>
      <c r="G1449" s="21"/>
      <c r="H1449" s="135">
        <f t="shared" si="364"/>
        <v>0</v>
      </c>
      <c r="I1449" s="294">
        <v>45139</v>
      </c>
      <c r="J1449" s="294">
        <v>45257</v>
      </c>
      <c r="K1449" s="11">
        <v>1775</v>
      </c>
      <c r="L1449" s="10">
        <f>+PROVEEDORES!D32*1.42</f>
        <v>1491</v>
      </c>
      <c r="M1449" s="11"/>
      <c r="N1449" s="100"/>
      <c r="O1449" s="11">
        <f t="shared" si="366"/>
        <v>1491</v>
      </c>
      <c r="P1449" s="11">
        <f t="shared" si="360"/>
        <v>1491</v>
      </c>
      <c r="Q1449" s="11">
        <v>1.6</v>
      </c>
      <c r="R1449" s="11">
        <f t="shared" si="361"/>
        <v>2385.6</v>
      </c>
      <c r="S1449" s="11"/>
      <c r="T1449" s="136">
        <f t="shared" si="365"/>
        <v>0</v>
      </c>
    </row>
    <row r="1450" spans="1:20" ht="15.75" customHeight="1">
      <c r="A1450" s="149">
        <v>12</v>
      </c>
      <c r="B1450" s="273"/>
      <c r="C1450" s="28" t="s">
        <v>37274</v>
      </c>
      <c r="D1450" s="41">
        <v>110</v>
      </c>
      <c r="E1450" s="131">
        <f>ROUNDUP(R1450,-1)</f>
        <v>1650</v>
      </c>
      <c r="F1450" s="21">
        <f>+E1450*1.21</f>
        <v>1996.5</v>
      </c>
      <c r="G1450" s="21"/>
      <c r="H1450" s="135">
        <f>ROUNDUP(T1450,-1)</f>
        <v>0</v>
      </c>
      <c r="I1450" s="294">
        <v>45274</v>
      </c>
      <c r="J1450" s="294"/>
      <c r="K1450" s="11">
        <v>1028</v>
      </c>
      <c r="L1450" s="10"/>
      <c r="M1450" s="11"/>
      <c r="N1450" s="100"/>
      <c r="O1450" s="11">
        <f>MIN(K1450:M1450)</f>
        <v>1028</v>
      </c>
      <c r="P1450" s="11">
        <f>+O1450</f>
        <v>1028</v>
      </c>
      <c r="Q1450" s="11">
        <v>1.6</v>
      </c>
      <c r="R1450" s="11">
        <f>+P1450*Q1450</f>
        <v>1644.8000000000002</v>
      </c>
      <c r="S1450" s="11"/>
      <c r="T1450" s="136">
        <f>+N1450*Q1450</f>
        <v>0</v>
      </c>
    </row>
    <row r="1451" spans="1:20" ht="15.75" customHeight="1">
      <c r="A1451" s="149">
        <v>24</v>
      </c>
      <c r="B1451" s="273"/>
      <c r="C1451" s="28" t="s">
        <v>1652</v>
      </c>
      <c r="D1451" s="41">
        <v>280</v>
      </c>
      <c r="E1451" s="131">
        <f t="shared" si="352"/>
        <v>1070</v>
      </c>
      <c r="F1451" s="21">
        <f t="shared" si="374"/>
        <v>1294.7</v>
      </c>
      <c r="G1451" s="21"/>
      <c r="H1451" s="135">
        <f t="shared" si="364"/>
        <v>0</v>
      </c>
      <c r="I1451" s="294"/>
      <c r="J1451" s="294">
        <v>45175</v>
      </c>
      <c r="K1451" s="11">
        <f>0.5*1328</f>
        <v>664</v>
      </c>
      <c r="L1451" s="11"/>
      <c r="M1451" s="11"/>
      <c r="N1451" s="100"/>
      <c r="O1451" s="11">
        <f t="shared" si="366"/>
        <v>664</v>
      </c>
      <c r="P1451" s="11">
        <f t="shared" si="360"/>
        <v>664</v>
      </c>
      <c r="Q1451" s="11">
        <v>1.6</v>
      </c>
      <c r="R1451" s="11">
        <f t="shared" si="361"/>
        <v>1062.4000000000001</v>
      </c>
      <c r="S1451" s="11"/>
      <c r="T1451" s="136">
        <f t="shared" si="365"/>
        <v>0</v>
      </c>
    </row>
    <row r="1452" spans="1:20" ht="15.75" customHeight="1">
      <c r="A1452" s="149">
        <v>38</v>
      </c>
      <c r="B1452" s="273"/>
      <c r="C1452" s="28" t="s">
        <v>4116</v>
      </c>
      <c r="D1452" s="41"/>
      <c r="E1452" s="131">
        <f t="shared" si="352"/>
        <v>24400</v>
      </c>
      <c r="F1452" s="21">
        <f t="shared" si="374"/>
        <v>29524</v>
      </c>
      <c r="G1452" s="21"/>
      <c r="H1452" s="135">
        <f t="shared" si="364"/>
        <v>21150</v>
      </c>
      <c r="I1452" s="294">
        <v>45138</v>
      </c>
      <c r="J1452" s="294">
        <v>45274</v>
      </c>
      <c r="K1452" s="11">
        <f>PROVEEDORES!D32*309.75/20</f>
        <v>16261.875</v>
      </c>
      <c r="L1452" s="11"/>
      <c r="M1452" s="11"/>
      <c r="N1452" s="100">
        <f>281871/20</f>
        <v>14093.55</v>
      </c>
      <c r="O1452" s="11">
        <f t="shared" si="366"/>
        <v>16261.875</v>
      </c>
      <c r="P1452" s="11">
        <f t="shared" si="360"/>
        <v>16261.875</v>
      </c>
      <c r="Q1452" s="11">
        <v>1.5</v>
      </c>
      <c r="R1452" s="11">
        <f t="shared" si="361"/>
        <v>24392.8125</v>
      </c>
      <c r="S1452" s="11"/>
      <c r="T1452" s="136">
        <f t="shared" si="365"/>
        <v>21140.324999999997</v>
      </c>
    </row>
    <row r="1453" spans="1:20" ht="15.75" customHeight="1">
      <c r="A1453" s="149" t="s">
        <v>3824</v>
      </c>
      <c r="B1453" s="273"/>
      <c r="C1453" s="28" t="s">
        <v>37268</v>
      </c>
      <c r="D1453" s="41">
        <v>100</v>
      </c>
      <c r="E1453" s="131">
        <f t="shared" si="352"/>
        <v>750</v>
      </c>
      <c r="F1453" s="21">
        <f t="shared" si="374"/>
        <v>907.5</v>
      </c>
      <c r="G1453" s="21"/>
      <c r="H1453" s="135">
        <f t="shared" si="364"/>
        <v>0</v>
      </c>
      <c r="I1453" s="294">
        <v>45274</v>
      </c>
      <c r="J1453" s="294">
        <v>45338</v>
      </c>
      <c r="K1453" s="11">
        <v>464</v>
      </c>
      <c r="L1453" s="11">
        <f>0.6*13913/50*2.5*2</f>
        <v>834.78</v>
      </c>
      <c r="M1453" s="11"/>
      <c r="N1453" s="100"/>
      <c r="O1453" s="11">
        <f t="shared" si="366"/>
        <v>464</v>
      </c>
      <c r="P1453" s="11">
        <f t="shared" si="360"/>
        <v>464</v>
      </c>
      <c r="Q1453" s="11">
        <v>1.6</v>
      </c>
      <c r="R1453" s="11">
        <f t="shared" si="361"/>
        <v>742.40000000000009</v>
      </c>
      <c r="S1453" s="11"/>
      <c r="T1453" s="136">
        <f t="shared" si="365"/>
        <v>0</v>
      </c>
    </row>
    <row r="1454" spans="1:20" ht="15.75" customHeight="1">
      <c r="A1454" s="149" t="s">
        <v>2398</v>
      </c>
      <c r="B1454" s="273"/>
      <c r="C1454" s="36" t="s">
        <v>37279</v>
      </c>
      <c r="D1454" s="41">
        <v>5150</v>
      </c>
      <c r="E1454" s="131">
        <f>ROUNDUP(R1454,-1)</f>
        <v>9180</v>
      </c>
      <c r="F1454" s="21">
        <f>+E1454*1.21</f>
        <v>11107.8</v>
      </c>
      <c r="G1454" s="21"/>
      <c r="H1454" s="135">
        <f>ROUNDUP(T1454,-1)</f>
        <v>0</v>
      </c>
      <c r="I1454" s="23">
        <v>45323</v>
      </c>
      <c r="J1454" s="294"/>
      <c r="K1454" s="10">
        <f>0.8*0.98*0.94*0.95*8735</f>
        <v>6115.4783199999993</v>
      </c>
      <c r="L1454" s="11"/>
      <c r="M1454" s="11"/>
      <c r="N1454" s="100"/>
      <c r="O1454" s="11">
        <f>MIN(K1454:M1454)</f>
        <v>6115.4783199999993</v>
      </c>
      <c r="P1454" s="11">
        <f>+O1454*'AUMENTOS %'!$B$5</f>
        <v>6115.4783199999993</v>
      </c>
      <c r="Q1454" s="11">
        <v>1.5</v>
      </c>
      <c r="R1454" s="11">
        <f t="shared" si="361"/>
        <v>9173.2174799999993</v>
      </c>
      <c r="S1454" s="11"/>
      <c r="T1454" s="136">
        <f>+N1454*Q1454</f>
        <v>0</v>
      </c>
    </row>
    <row r="1455" spans="1:20" ht="15.75" customHeight="1">
      <c r="A1455" s="149" t="s">
        <v>2398</v>
      </c>
      <c r="B1455" s="273"/>
      <c r="C1455" s="36" t="s">
        <v>37280</v>
      </c>
      <c r="D1455" s="41">
        <v>5150</v>
      </c>
      <c r="E1455" s="131">
        <f>ROUNDUP(R1455,-1)</f>
        <v>8410</v>
      </c>
      <c r="F1455" s="21">
        <f>+E1455*1.21</f>
        <v>10176.1</v>
      </c>
      <c r="G1455" s="21"/>
      <c r="H1455" s="135">
        <f>ROUNDUP(T1455,-1)</f>
        <v>0</v>
      </c>
      <c r="I1455" s="23">
        <v>45323</v>
      </c>
      <c r="J1455" s="294"/>
      <c r="K1455" s="10">
        <f>0.8*0.98*0.94*0.95*8004</f>
        <v>5603.6964479999997</v>
      </c>
      <c r="L1455" s="11"/>
      <c r="M1455" s="11"/>
      <c r="N1455" s="100"/>
      <c r="O1455" s="11">
        <f>MIN(K1455:M1455)</f>
        <v>5603.6964479999997</v>
      </c>
      <c r="P1455" s="11">
        <f>+O1455*'AUMENTOS %'!$B$5</f>
        <v>5603.6964479999997</v>
      </c>
      <c r="Q1455" s="11">
        <v>1.5</v>
      </c>
      <c r="R1455" s="11">
        <f t="shared" si="361"/>
        <v>8405.544672</v>
      </c>
      <c r="S1455" s="11"/>
      <c r="T1455" s="136">
        <f>+N1455*Q1455</f>
        <v>0</v>
      </c>
    </row>
    <row r="1456" spans="1:20" ht="15.75" customHeight="1">
      <c r="A1456" s="149" t="s">
        <v>2398</v>
      </c>
      <c r="B1456" s="273">
        <f t="shared" ref="B1456:B1461" si="375">ROUNDUP(E1456*1.105,-1)</f>
        <v>207780</v>
      </c>
      <c r="C1456" s="36" t="s">
        <v>37137</v>
      </c>
      <c r="D1456" s="41">
        <v>8480</v>
      </c>
      <c r="E1456" s="131">
        <f t="shared" si="352"/>
        <v>188030</v>
      </c>
      <c r="F1456" s="21">
        <f t="shared" si="374"/>
        <v>227516.3</v>
      </c>
      <c r="G1456" s="21"/>
      <c r="H1456" s="135">
        <f t="shared" si="364"/>
        <v>0</v>
      </c>
      <c r="I1456" s="294">
        <v>45323</v>
      </c>
      <c r="J1456" s="294"/>
      <c r="K1456" s="10">
        <f>0.8*0.98*0.94*0.95*194611</f>
        <v>136249.49643199999</v>
      </c>
      <c r="L1456" s="11"/>
      <c r="M1456" s="11"/>
      <c r="N1456" s="100"/>
      <c r="O1456" s="11">
        <f t="shared" si="366"/>
        <v>136249.49643199999</v>
      </c>
      <c r="P1456" s="11">
        <f>+O1456*'AUMENTOS %'!$B$5</f>
        <v>136249.49643199999</v>
      </c>
      <c r="Q1456" s="11">
        <v>1.38</v>
      </c>
      <c r="R1456" s="11">
        <f t="shared" si="361"/>
        <v>188024.30507615997</v>
      </c>
      <c r="S1456" s="11"/>
      <c r="T1456" s="136">
        <f t="shared" si="365"/>
        <v>0</v>
      </c>
    </row>
    <row r="1457" spans="1:20" ht="15.75" customHeight="1">
      <c r="A1457" s="149" t="s">
        <v>2398</v>
      </c>
      <c r="B1457" s="273">
        <f t="shared" si="375"/>
        <v>128310</v>
      </c>
      <c r="C1457" s="36" t="s">
        <v>37138</v>
      </c>
      <c r="D1457" s="41">
        <v>5150</v>
      </c>
      <c r="E1457" s="131">
        <f t="shared" si="352"/>
        <v>116110</v>
      </c>
      <c r="F1457" s="21">
        <f t="shared" si="374"/>
        <v>140493.1</v>
      </c>
      <c r="G1457" s="21"/>
      <c r="H1457" s="135">
        <f t="shared" si="364"/>
        <v>0</v>
      </c>
      <c r="I1457" s="23">
        <v>45323</v>
      </c>
      <c r="J1457" s="294"/>
      <c r="K1457" s="10">
        <f>0.8*0.98*0.94*0.95*120177</f>
        <v>84137.359823999999</v>
      </c>
      <c r="L1457" s="11"/>
      <c r="M1457" s="11"/>
      <c r="N1457" s="100"/>
      <c r="O1457" s="11">
        <f t="shared" si="366"/>
        <v>84137.359823999999</v>
      </c>
      <c r="P1457" s="11">
        <f>+O1457*'AUMENTOS %'!$B$5</f>
        <v>84137.359823999999</v>
      </c>
      <c r="Q1457" s="11">
        <v>1.38</v>
      </c>
      <c r="R1457" s="11">
        <f t="shared" si="361"/>
        <v>116109.55655711998</v>
      </c>
      <c r="S1457" s="11"/>
      <c r="T1457" s="136">
        <f t="shared" si="365"/>
        <v>0</v>
      </c>
    </row>
    <row r="1458" spans="1:20" ht="15.75" customHeight="1">
      <c r="A1458" s="149" t="s">
        <v>2398</v>
      </c>
      <c r="B1458" s="273">
        <f t="shared" si="375"/>
        <v>264950</v>
      </c>
      <c r="C1458" s="28" t="s">
        <v>37139</v>
      </c>
      <c r="D1458" s="41">
        <v>10600</v>
      </c>
      <c r="E1458" s="131">
        <f t="shared" ref="E1458:E1535" si="376">ROUNDUP(R1458,-1)</f>
        <v>239770</v>
      </c>
      <c r="F1458" s="21">
        <f t="shared" si="374"/>
        <v>290121.7</v>
      </c>
      <c r="G1458" s="21"/>
      <c r="H1458" s="135">
        <f t="shared" si="364"/>
        <v>0</v>
      </c>
      <c r="I1458" s="23">
        <v>45323</v>
      </c>
      <c r="J1458" s="294"/>
      <c r="K1458" s="10">
        <f>0.8*0.98*0.94*0.95*248165</f>
        <v>173743.29447999998</v>
      </c>
      <c r="L1458" s="11"/>
      <c r="M1458" s="11"/>
      <c r="N1458" s="100"/>
      <c r="O1458" s="11">
        <f t="shared" si="366"/>
        <v>173743.29447999998</v>
      </c>
      <c r="P1458" s="11">
        <f>+O1458*'AUMENTOS %'!$B$5</f>
        <v>173743.29447999998</v>
      </c>
      <c r="Q1458" s="11">
        <v>1.38</v>
      </c>
      <c r="R1458" s="11">
        <f t="shared" si="361"/>
        <v>239765.74638239996</v>
      </c>
      <c r="S1458" s="11"/>
      <c r="T1458" s="136">
        <f t="shared" si="365"/>
        <v>0</v>
      </c>
    </row>
    <row r="1459" spans="1:20" ht="15.75" customHeight="1">
      <c r="A1459" s="149">
        <v>38</v>
      </c>
      <c r="B1459" s="273">
        <f t="shared" si="375"/>
        <v>24270</v>
      </c>
      <c r="C1459" s="28" t="s">
        <v>2140</v>
      </c>
      <c r="D1459" s="41">
        <v>5400</v>
      </c>
      <c r="E1459" s="131">
        <f t="shared" si="376"/>
        <v>21960</v>
      </c>
      <c r="F1459" s="21">
        <f t="shared" si="374"/>
        <v>26571.599999999999</v>
      </c>
      <c r="G1459" s="21"/>
      <c r="H1459" s="135">
        <f t="shared" si="364"/>
        <v>0</v>
      </c>
      <c r="I1459" s="294">
        <v>45138</v>
      </c>
      <c r="J1459" s="294"/>
      <c r="K1459" s="10">
        <f>+'AUMENTOS %'!B10*16225</f>
        <v>16225</v>
      </c>
      <c r="L1459" s="11"/>
      <c r="M1459" s="11"/>
      <c r="N1459" s="100"/>
      <c r="O1459" s="11">
        <f>MIN(K1459:M1459)*'AUMENTOS %'!$B$9</f>
        <v>16225</v>
      </c>
      <c r="P1459" s="11">
        <f t="shared" si="360"/>
        <v>16225</v>
      </c>
      <c r="Q1459" s="11">
        <v>1.353</v>
      </c>
      <c r="R1459" s="11">
        <f t="shared" si="361"/>
        <v>21952.424999999999</v>
      </c>
      <c r="S1459" s="11"/>
      <c r="T1459" s="136">
        <f t="shared" si="365"/>
        <v>0</v>
      </c>
    </row>
    <row r="1460" spans="1:20" ht="15.75" customHeight="1">
      <c r="A1460" s="149" t="s">
        <v>2398</v>
      </c>
      <c r="B1460" s="273">
        <f t="shared" si="375"/>
        <v>115390</v>
      </c>
      <c r="C1460" s="36" t="s">
        <v>1653</v>
      </c>
      <c r="D1460" s="41">
        <v>4690</v>
      </c>
      <c r="E1460" s="131">
        <f t="shared" si="376"/>
        <v>104420</v>
      </c>
      <c r="F1460" s="21">
        <f t="shared" si="374"/>
        <v>126348.2</v>
      </c>
      <c r="G1460" s="21"/>
      <c r="H1460" s="135">
        <f t="shared" si="364"/>
        <v>0</v>
      </c>
      <c r="I1460" s="294">
        <v>45323</v>
      </c>
      <c r="J1460" s="294"/>
      <c r="K1460" s="10">
        <f>0.8*0.98*0.94*0.95*108075</f>
        <v>75664.604399999997</v>
      </c>
      <c r="L1460" s="11"/>
      <c r="M1460" s="11"/>
      <c r="N1460" s="100"/>
      <c r="O1460" s="11">
        <f t="shared" si="366"/>
        <v>75664.604399999997</v>
      </c>
      <c r="P1460" s="11">
        <f>+O1460*'AUMENTOS %'!$B$5</f>
        <v>75664.604399999997</v>
      </c>
      <c r="Q1460" s="11">
        <v>1.38</v>
      </c>
      <c r="R1460" s="11">
        <f t="shared" ref="R1460:R1528" si="377">+P1460*Q1460</f>
        <v>104417.15407199999</v>
      </c>
      <c r="S1460" s="11"/>
      <c r="T1460" s="136">
        <f t="shared" si="365"/>
        <v>0</v>
      </c>
    </row>
    <row r="1461" spans="1:20" ht="15.75" customHeight="1">
      <c r="A1461" s="149" t="s">
        <v>2387</v>
      </c>
      <c r="B1461" s="273">
        <f t="shared" si="375"/>
        <v>111990</v>
      </c>
      <c r="C1461" s="28" t="s">
        <v>2209</v>
      </c>
      <c r="D1461" s="41">
        <v>6460</v>
      </c>
      <c r="E1461" s="131">
        <f t="shared" si="376"/>
        <v>101340</v>
      </c>
      <c r="F1461" s="21">
        <f t="shared" si="374"/>
        <v>122621.4</v>
      </c>
      <c r="G1461" s="21"/>
      <c r="H1461" s="135">
        <f t="shared" si="364"/>
        <v>0</v>
      </c>
      <c r="I1461" s="294">
        <v>45138</v>
      </c>
      <c r="J1461" s="294">
        <v>45322</v>
      </c>
      <c r="K1461" s="10"/>
      <c r="L1461" s="11">
        <f>+'AUMENTOS %'!C13*75063</f>
        <v>75063</v>
      </c>
      <c r="M1461" s="11"/>
      <c r="N1461" s="100"/>
      <c r="O1461" s="11">
        <f t="shared" si="366"/>
        <v>75063</v>
      </c>
      <c r="P1461" s="11">
        <f>+O1461*'AUMENTOS %'!D13</f>
        <v>75063</v>
      </c>
      <c r="Q1461" s="11">
        <v>1.35</v>
      </c>
      <c r="R1461" s="11">
        <f t="shared" si="377"/>
        <v>101335.05</v>
      </c>
      <c r="S1461" s="11"/>
      <c r="T1461" s="136">
        <f t="shared" si="365"/>
        <v>0</v>
      </c>
    </row>
    <row r="1462" spans="1:20" ht="15.75" customHeight="1">
      <c r="A1462" s="149"/>
      <c r="B1462" s="273"/>
      <c r="C1462" s="28" t="s">
        <v>2840</v>
      </c>
      <c r="D1462" s="41"/>
      <c r="E1462" s="131">
        <f t="shared" si="376"/>
        <v>1920</v>
      </c>
      <c r="F1462" s="21">
        <f t="shared" si="374"/>
        <v>2323.1999999999998</v>
      </c>
      <c r="G1462" s="21"/>
      <c r="H1462" s="135">
        <f t="shared" si="364"/>
        <v>0</v>
      </c>
      <c r="I1462" s="294"/>
      <c r="J1462" s="294">
        <v>44257</v>
      </c>
      <c r="K1462" s="10">
        <f>1716*1.15*0.67</f>
        <v>1322.1779999999999</v>
      </c>
      <c r="L1462" s="11"/>
      <c r="M1462" s="11"/>
      <c r="N1462" s="100"/>
      <c r="O1462" s="11">
        <f t="shared" si="366"/>
        <v>1322.1779999999999</v>
      </c>
      <c r="P1462" s="11">
        <f t="shared" ref="P1462:P1528" si="378">+O1462</f>
        <v>1322.1779999999999</v>
      </c>
      <c r="Q1462" s="11">
        <v>1.45</v>
      </c>
      <c r="R1462" s="11">
        <f t="shared" si="377"/>
        <v>1917.1580999999999</v>
      </c>
      <c r="S1462" s="11"/>
      <c r="T1462" s="136">
        <f t="shared" si="365"/>
        <v>0</v>
      </c>
    </row>
    <row r="1463" spans="1:20" ht="15.75" customHeight="1">
      <c r="A1463" s="149">
        <v>12</v>
      </c>
      <c r="B1463" s="273"/>
      <c r="C1463" s="28" t="s">
        <v>4385</v>
      </c>
      <c r="D1463" s="41"/>
      <c r="E1463" s="131">
        <f t="shared" si="376"/>
        <v>18710</v>
      </c>
      <c r="F1463" s="21">
        <f t="shared" si="374"/>
        <v>22639.1</v>
      </c>
      <c r="G1463" s="21"/>
      <c r="H1463" s="135">
        <f t="shared" si="364"/>
        <v>0</v>
      </c>
      <c r="I1463" s="294">
        <v>45274</v>
      </c>
      <c r="J1463" s="294">
        <v>45338</v>
      </c>
      <c r="K1463" s="10">
        <v>12470</v>
      </c>
      <c r="L1463" s="11"/>
      <c r="M1463" s="11"/>
      <c r="N1463" s="100"/>
      <c r="O1463" s="11">
        <f t="shared" si="366"/>
        <v>12470</v>
      </c>
      <c r="P1463" s="11">
        <f t="shared" si="378"/>
        <v>12470</v>
      </c>
      <c r="Q1463" s="11">
        <v>1.5</v>
      </c>
      <c r="R1463" s="11">
        <f t="shared" si="377"/>
        <v>18705</v>
      </c>
      <c r="S1463" s="11"/>
      <c r="T1463" s="136">
        <f t="shared" si="365"/>
        <v>0</v>
      </c>
    </row>
    <row r="1464" spans="1:20" ht="15.75" customHeight="1">
      <c r="A1464" s="149">
        <v>36</v>
      </c>
      <c r="B1464" s="273"/>
      <c r="C1464" s="28" t="s">
        <v>62597</v>
      </c>
      <c r="D1464" s="41"/>
      <c r="E1464" s="131">
        <f t="shared" ref="E1464" si="379">ROUNDUP(R1464,-1)</f>
        <v>7010</v>
      </c>
      <c r="F1464" s="21">
        <f t="shared" ref="F1464" si="380">+E1464*1.21</f>
        <v>8482.1</v>
      </c>
      <c r="G1464" s="21"/>
      <c r="H1464" s="135">
        <f t="shared" ref="H1464" si="381">ROUNDUP(T1464,-1)</f>
        <v>0</v>
      </c>
      <c r="I1464" s="294">
        <v>45300</v>
      </c>
      <c r="J1464" s="294">
        <v>45329</v>
      </c>
      <c r="K1464" s="10">
        <f>0.94*0.8*6214</f>
        <v>4672.9279999999999</v>
      </c>
      <c r="L1464" s="11"/>
      <c r="M1464" s="11"/>
      <c r="N1464" s="100"/>
      <c r="O1464" s="11">
        <f t="shared" ref="O1464" si="382">MIN(K1464:M1464)</f>
        <v>4672.9279999999999</v>
      </c>
      <c r="P1464" s="11">
        <f t="shared" ref="P1464" si="383">+O1464</f>
        <v>4672.9279999999999</v>
      </c>
      <c r="Q1464" s="11">
        <v>1.5</v>
      </c>
      <c r="R1464" s="11">
        <f t="shared" ref="R1464" si="384">+P1464*Q1464</f>
        <v>7009.3919999999998</v>
      </c>
      <c r="S1464" s="11"/>
      <c r="T1464" s="136">
        <f t="shared" ref="T1464" si="385">+N1464*Q1464</f>
        <v>0</v>
      </c>
    </row>
    <row r="1465" spans="1:20" ht="15.75" customHeight="1">
      <c r="A1465" s="149" t="s">
        <v>2403</v>
      </c>
      <c r="B1465" s="273"/>
      <c r="C1465" s="28" t="s">
        <v>44159</v>
      </c>
      <c r="D1465" s="41">
        <v>430</v>
      </c>
      <c r="E1465" s="131">
        <f>ROUNDUP(R1465,-1)</f>
        <v>9070</v>
      </c>
      <c r="F1465" s="21">
        <f>+E1465*1.21</f>
        <v>10974.699999999999</v>
      </c>
      <c r="G1465" s="21"/>
      <c r="H1465" s="135">
        <f>ROUNDUP(T1465,-1)</f>
        <v>0</v>
      </c>
      <c r="I1465" s="294">
        <v>45273</v>
      </c>
      <c r="J1465" s="294"/>
      <c r="K1465" s="10"/>
      <c r="L1465" s="10">
        <f>0.6*10073</f>
        <v>6043.8</v>
      </c>
      <c r="M1465" s="11"/>
      <c r="N1465" s="100"/>
      <c r="O1465" s="11">
        <f>MIN(K1465:M1465)</f>
        <v>6043.8</v>
      </c>
      <c r="P1465" s="11">
        <f t="shared" si="378"/>
        <v>6043.8</v>
      </c>
      <c r="Q1465" s="11">
        <v>1.5</v>
      </c>
      <c r="R1465" s="11">
        <f t="shared" si="377"/>
        <v>9065.7000000000007</v>
      </c>
      <c r="S1465" s="11"/>
      <c r="T1465" s="136">
        <f>+N1465*Q1465</f>
        <v>0</v>
      </c>
    </row>
    <row r="1466" spans="1:20" ht="15.75" customHeight="1">
      <c r="A1466" s="149" t="s">
        <v>2403</v>
      </c>
      <c r="B1466" s="273"/>
      <c r="C1466" s="28" t="s">
        <v>44160</v>
      </c>
      <c r="D1466" s="41">
        <v>430</v>
      </c>
      <c r="E1466" s="131">
        <f>ROUNDUP(R1466,-1)</f>
        <v>9070</v>
      </c>
      <c r="F1466" s="21">
        <f>+E1466*1.21</f>
        <v>10974.699999999999</v>
      </c>
      <c r="G1466" s="21"/>
      <c r="H1466" s="135">
        <f>ROUNDUP(T1466,-1)</f>
        <v>0</v>
      </c>
      <c r="I1466" s="294">
        <v>45273</v>
      </c>
      <c r="J1466" s="294"/>
      <c r="K1466" s="10"/>
      <c r="L1466" s="10">
        <f>0.6*10073</f>
        <v>6043.8</v>
      </c>
      <c r="M1466" s="11"/>
      <c r="N1466" s="11"/>
      <c r="O1466" s="11">
        <f>MIN(K1466:M1466)</f>
        <v>6043.8</v>
      </c>
      <c r="P1466" s="11">
        <f t="shared" si="378"/>
        <v>6043.8</v>
      </c>
      <c r="Q1466" s="11">
        <v>1.5</v>
      </c>
      <c r="R1466" s="11">
        <f t="shared" si="377"/>
        <v>9065.7000000000007</v>
      </c>
      <c r="S1466" s="11"/>
      <c r="T1466" s="136">
        <f>+N1466*Q1466</f>
        <v>0</v>
      </c>
    </row>
    <row r="1467" spans="1:20" ht="15.75" customHeight="1">
      <c r="A1467" s="149" t="s">
        <v>2403</v>
      </c>
      <c r="B1467" s="273"/>
      <c r="C1467" s="28" t="s">
        <v>44161</v>
      </c>
      <c r="D1467" s="41">
        <v>430</v>
      </c>
      <c r="E1467" s="131">
        <f>ROUNDUP(R1467,-1)</f>
        <v>9070</v>
      </c>
      <c r="F1467" s="21">
        <f>+E1467*1.21</f>
        <v>10974.699999999999</v>
      </c>
      <c r="G1467" s="21"/>
      <c r="H1467" s="135">
        <f>ROUNDUP(T1467,-1)</f>
        <v>0</v>
      </c>
      <c r="I1467" s="294">
        <v>45273</v>
      </c>
      <c r="J1467" s="294"/>
      <c r="K1467" s="10"/>
      <c r="L1467" s="10">
        <f>0.6*10073</f>
        <v>6043.8</v>
      </c>
      <c r="M1467" s="11"/>
      <c r="N1467" s="100"/>
      <c r="O1467" s="11">
        <f>MIN(K1467:M1467)</f>
        <v>6043.8</v>
      </c>
      <c r="P1467" s="11">
        <f t="shared" si="378"/>
        <v>6043.8</v>
      </c>
      <c r="Q1467" s="11">
        <v>1.5</v>
      </c>
      <c r="R1467" s="11">
        <f t="shared" si="377"/>
        <v>9065.7000000000007</v>
      </c>
      <c r="S1467" s="11"/>
      <c r="T1467" s="136">
        <f>+N1467*Q1467</f>
        <v>0</v>
      </c>
    </row>
    <row r="1468" spans="1:20" ht="15.75" customHeight="1">
      <c r="A1468" s="149">
        <v>38</v>
      </c>
      <c r="B1468" s="273"/>
      <c r="C1468" s="28" t="s">
        <v>3883</v>
      </c>
      <c r="D1468" s="41">
        <v>430</v>
      </c>
      <c r="E1468" s="131">
        <f t="shared" si="376"/>
        <v>10130</v>
      </c>
      <c r="F1468" s="21">
        <f t="shared" si="374"/>
        <v>12257.3</v>
      </c>
      <c r="G1468" s="21"/>
      <c r="H1468" s="135">
        <f t="shared" si="364"/>
        <v>8780</v>
      </c>
      <c r="I1468" s="294">
        <v>45138</v>
      </c>
      <c r="J1468" s="294">
        <v>45274</v>
      </c>
      <c r="K1468" s="10">
        <f>+PROVEEDORES!$D$32*6.43</f>
        <v>6751.5</v>
      </c>
      <c r="L1468" s="10"/>
      <c r="M1468" s="10"/>
      <c r="N1468" s="54">
        <v>5853</v>
      </c>
      <c r="O1468" s="11">
        <f t="shared" si="366"/>
        <v>6751.5</v>
      </c>
      <c r="P1468" s="11">
        <f t="shared" si="378"/>
        <v>6751.5</v>
      </c>
      <c r="Q1468" s="11">
        <v>1.5</v>
      </c>
      <c r="R1468" s="11">
        <f t="shared" si="377"/>
        <v>10127.25</v>
      </c>
      <c r="S1468" s="11"/>
      <c r="T1468" s="136">
        <f t="shared" si="365"/>
        <v>8779.5</v>
      </c>
    </row>
    <row r="1469" spans="1:20" ht="15.75" customHeight="1">
      <c r="A1469" s="149" t="s">
        <v>2403</v>
      </c>
      <c r="B1469" s="273"/>
      <c r="C1469" s="28" t="s">
        <v>44162</v>
      </c>
      <c r="D1469" s="41">
        <v>430</v>
      </c>
      <c r="E1469" s="131">
        <f t="shared" si="376"/>
        <v>9070</v>
      </c>
      <c r="F1469" s="21">
        <f t="shared" si="374"/>
        <v>10974.699999999999</v>
      </c>
      <c r="G1469" s="21"/>
      <c r="H1469" s="135">
        <f t="shared" si="364"/>
        <v>0</v>
      </c>
      <c r="I1469" s="294">
        <v>45273</v>
      </c>
      <c r="J1469" s="294"/>
      <c r="K1469" s="10"/>
      <c r="L1469" s="10">
        <f>0.6*10073</f>
        <v>6043.8</v>
      </c>
      <c r="M1469" s="10"/>
      <c r="N1469" s="100"/>
      <c r="O1469" s="11">
        <f t="shared" si="366"/>
        <v>6043.8</v>
      </c>
      <c r="P1469" s="11">
        <f t="shared" si="378"/>
        <v>6043.8</v>
      </c>
      <c r="Q1469" s="11">
        <v>1.5</v>
      </c>
      <c r="R1469" s="11">
        <f t="shared" si="377"/>
        <v>9065.7000000000007</v>
      </c>
      <c r="S1469" s="11"/>
      <c r="T1469" s="136">
        <f t="shared" si="365"/>
        <v>0</v>
      </c>
    </row>
    <row r="1470" spans="1:20" ht="15.75" customHeight="1">
      <c r="A1470" s="149">
        <v>38</v>
      </c>
      <c r="B1470" s="273"/>
      <c r="C1470" s="28" t="s">
        <v>3471</v>
      </c>
      <c r="D1470" s="41">
        <v>430</v>
      </c>
      <c r="E1470" s="131">
        <f t="shared" si="376"/>
        <v>10130</v>
      </c>
      <c r="F1470" s="21">
        <f t="shared" si="374"/>
        <v>12257.3</v>
      </c>
      <c r="G1470" s="21"/>
      <c r="H1470" s="135">
        <f t="shared" si="364"/>
        <v>8780</v>
      </c>
      <c r="I1470" s="294">
        <v>45138</v>
      </c>
      <c r="J1470" s="294">
        <v>45274</v>
      </c>
      <c r="K1470" s="10">
        <f>+PROVEEDORES!$D$32*6.43</f>
        <v>6751.5</v>
      </c>
      <c r="L1470" s="10"/>
      <c r="M1470" s="10"/>
      <c r="N1470" s="54">
        <v>5853</v>
      </c>
      <c r="O1470" s="11">
        <f t="shared" si="366"/>
        <v>6751.5</v>
      </c>
      <c r="P1470" s="11">
        <f t="shared" si="378"/>
        <v>6751.5</v>
      </c>
      <c r="Q1470" s="11">
        <v>1.5</v>
      </c>
      <c r="R1470" s="11">
        <f t="shared" si="377"/>
        <v>10127.25</v>
      </c>
      <c r="S1470" s="136"/>
      <c r="T1470" s="136">
        <f t="shared" si="365"/>
        <v>8779.5</v>
      </c>
    </row>
    <row r="1471" spans="1:20" ht="15.75" customHeight="1">
      <c r="A1471" s="149" t="s">
        <v>3714</v>
      </c>
      <c r="B1471" s="273"/>
      <c r="C1471" s="28" t="s">
        <v>44170</v>
      </c>
      <c r="D1471" s="41">
        <v>210</v>
      </c>
      <c r="E1471" s="131">
        <f t="shared" si="376"/>
        <v>5310</v>
      </c>
      <c r="F1471" s="21">
        <f t="shared" si="374"/>
        <v>6425.0999999999995</v>
      </c>
      <c r="G1471" s="21"/>
      <c r="H1471" s="135">
        <f t="shared" si="364"/>
        <v>0</v>
      </c>
      <c r="I1471" s="294">
        <v>45359</v>
      </c>
      <c r="J1471" s="294"/>
      <c r="K1471" s="10">
        <f>0.6*5634*2</f>
        <v>6760.8</v>
      </c>
      <c r="L1471" s="10">
        <f>0.7*0.9*5103*1.1</f>
        <v>3536.3790000000004</v>
      </c>
      <c r="M1471" s="10"/>
      <c r="N1471" s="100"/>
      <c r="O1471" s="11">
        <f t="shared" si="366"/>
        <v>3536.3790000000004</v>
      </c>
      <c r="P1471" s="11">
        <f t="shared" si="378"/>
        <v>3536.3790000000004</v>
      </c>
      <c r="Q1471" s="11">
        <v>1.5</v>
      </c>
      <c r="R1471" s="11">
        <f t="shared" si="377"/>
        <v>5304.5685000000003</v>
      </c>
      <c r="S1471" s="11"/>
      <c r="T1471" s="136">
        <f t="shared" si="365"/>
        <v>0</v>
      </c>
    </row>
    <row r="1472" spans="1:20" ht="15.75" customHeight="1">
      <c r="A1472" s="149">
        <v>38</v>
      </c>
      <c r="B1472" s="273"/>
      <c r="C1472" s="28" t="s">
        <v>3776</v>
      </c>
      <c r="D1472" s="41">
        <v>520</v>
      </c>
      <c r="E1472" s="131">
        <f t="shared" si="376"/>
        <v>15960</v>
      </c>
      <c r="F1472" s="21">
        <f t="shared" si="374"/>
        <v>19311.599999999999</v>
      </c>
      <c r="G1472" s="21"/>
      <c r="H1472" s="135">
        <f t="shared" si="364"/>
        <v>12370</v>
      </c>
      <c r="I1472" s="294">
        <v>45138</v>
      </c>
      <c r="J1472" s="294">
        <v>45274</v>
      </c>
      <c r="K1472" s="10"/>
      <c r="L1472" s="10">
        <f>+PROVEEDORES!$D$32*10.13</f>
        <v>10636.5</v>
      </c>
      <c r="M1472" s="11"/>
      <c r="N1472" s="54">
        <v>8245</v>
      </c>
      <c r="O1472" s="11">
        <f t="shared" si="366"/>
        <v>10636.5</v>
      </c>
      <c r="P1472" s="11">
        <f t="shared" si="378"/>
        <v>10636.5</v>
      </c>
      <c r="Q1472" s="11">
        <v>1.5</v>
      </c>
      <c r="R1472" s="11">
        <f t="shared" si="377"/>
        <v>15954.75</v>
      </c>
      <c r="S1472" s="11"/>
      <c r="T1472" s="136">
        <f t="shared" si="365"/>
        <v>12367.5</v>
      </c>
    </row>
    <row r="1473" spans="1:20" ht="15.75" customHeight="1">
      <c r="A1473" s="149">
        <v>12</v>
      </c>
      <c r="B1473" s="273"/>
      <c r="C1473" s="28" t="s">
        <v>3998</v>
      </c>
      <c r="D1473" s="41">
        <v>520</v>
      </c>
      <c r="E1473" s="131">
        <f t="shared" si="376"/>
        <v>5030</v>
      </c>
      <c r="F1473" s="21">
        <f t="shared" si="374"/>
        <v>6086.3</v>
      </c>
      <c r="G1473" s="21"/>
      <c r="H1473" s="135">
        <f t="shared" si="364"/>
        <v>0</v>
      </c>
      <c r="I1473" s="294">
        <v>45274</v>
      </c>
      <c r="J1473" s="294">
        <v>45338</v>
      </c>
      <c r="K1473" s="10">
        <v>3353</v>
      </c>
      <c r="L1473" s="10"/>
      <c r="M1473" s="11"/>
      <c r="N1473" s="100"/>
      <c r="O1473" s="11">
        <f t="shared" si="366"/>
        <v>3353</v>
      </c>
      <c r="P1473" s="11">
        <f t="shared" si="378"/>
        <v>3353</v>
      </c>
      <c r="Q1473" s="11">
        <v>1.5</v>
      </c>
      <c r="R1473" s="11">
        <f t="shared" si="377"/>
        <v>5029.5</v>
      </c>
      <c r="S1473" s="11"/>
      <c r="T1473" s="136">
        <f t="shared" si="365"/>
        <v>0</v>
      </c>
    </row>
    <row r="1474" spans="1:20" ht="15.75" customHeight="1">
      <c r="A1474" s="149" t="s">
        <v>2404</v>
      </c>
      <c r="B1474" s="273"/>
      <c r="C1474" s="28" t="s">
        <v>3408</v>
      </c>
      <c r="D1474" s="41">
        <v>520</v>
      </c>
      <c r="E1474" s="131">
        <f t="shared" si="376"/>
        <v>11900</v>
      </c>
      <c r="F1474" s="21">
        <f t="shared" si="374"/>
        <v>14399</v>
      </c>
      <c r="G1474" s="21"/>
      <c r="H1474" s="135">
        <f t="shared" si="364"/>
        <v>10310</v>
      </c>
      <c r="I1474" s="294">
        <v>45274</v>
      </c>
      <c r="J1474" s="294">
        <v>45274</v>
      </c>
      <c r="K1474" s="10"/>
      <c r="L1474" s="10">
        <f>+PROVEEDORES!$D$32*7.55</f>
        <v>7927.5</v>
      </c>
      <c r="M1474" s="11"/>
      <c r="N1474" s="54">
        <v>6868</v>
      </c>
      <c r="O1474" s="11">
        <f t="shared" si="366"/>
        <v>7927.5</v>
      </c>
      <c r="P1474" s="11">
        <f t="shared" si="378"/>
        <v>7927.5</v>
      </c>
      <c r="Q1474" s="11">
        <v>1.5</v>
      </c>
      <c r="R1474" s="11">
        <f t="shared" si="377"/>
        <v>11891.25</v>
      </c>
      <c r="S1474" s="11"/>
      <c r="T1474" s="136">
        <f t="shared" si="365"/>
        <v>10302</v>
      </c>
    </row>
    <row r="1475" spans="1:20" ht="15.75" customHeight="1">
      <c r="A1475" s="149">
        <v>12</v>
      </c>
      <c r="B1475" s="273"/>
      <c r="C1475" s="28" t="s">
        <v>4543</v>
      </c>
      <c r="D1475" s="41"/>
      <c r="E1475" s="131">
        <f t="shared" si="376"/>
        <v>18930</v>
      </c>
      <c r="F1475" s="21">
        <f t="shared" si="374"/>
        <v>22905.3</v>
      </c>
      <c r="G1475" s="21">
        <v>19500</v>
      </c>
      <c r="H1475" s="135">
        <f t="shared" si="364"/>
        <v>0</v>
      </c>
      <c r="I1475" s="294">
        <v>45222</v>
      </c>
      <c r="J1475" s="294">
        <v>45338</v>
      </c>
      <c r="K1475" s="10">
        <v>12615</v>
      </c>
      <c r="L1475" s="10"/>
      <c r="M1475" s="11"/>
      <c r="N1475" s="100"/>
      <c r="O1475" s="11">
        <f t="shared" si="366"/>
        <v>12615</v>
      </c>
      <c r="P1475" s="11">
        <f t="shared" si="378"/>
        <v>12615</v>
      </c>
      <c r="Q1475" s="11">
        <v>1.5</v>
      </c>
      <c r="R1475" s="11">
        <f t="shared" si="377"/>
        <v>18922.5</v>
      </c>
      <c r="S1475" s="11"/>
      <c r="T1475" s="136">
        <f t="shared" si="365"/>
        <v>0</v>
      </c>
    </row>
    <row r="1476" spans="1:20" ht="15.75" customHeight="1">
      <c r="A1476" s="149" t="s">
        <v>2403</v>
      </c>
      <c r="B1476" s="273"/>
      <c r="C1476" s="28" t="s">
        <v>44165</v>
      </c>
      <c r="D1476" s="41">
        <v>550</v>
      </c>
      <c r="E1476" s="131">
        <f t="shared" si="376"/>
        <v>11460</v>
      </c>
      <c r="F1476" s="21">
        <f t="shared" si="374"/>
        <v>13866.6</v>
      </c>
      <c r="G1476" s="21"/>
      <c r="H1476" s="135">
        <f t="shared" si="364"/>
        <v>0</v>
      </c>
      <c r="I1476" s="294">
        <v>45273</v>
      </c>
      <c r="J1476" s="294"/>
      <c r="K1476" s="10"/>
      <c r="L1476" s="10">
        <f>0.6*12312</f>
        <v>7387.2</v>
      </c>
      <c r="M1476" s="11"/>
      <c r="N1476" s="100"/>
      <c r="O1476" s="11">
        <f t="shared" si="366"/>
        <v>7387.2</v>
      </c>
      <c r="P1476" s="11">
        <f t="shared" si="378"/>
        <v>7387.2</v>
      </c>
      <c r="Q1476" s="11">
        <v>1.55</v>
      </c>
      <c r="R1476" s="11">
        <f t="shared" si="377"/>
        <v>11450.16</v>
      </c>
      <c r="S1476" s="11"/>
      <c r="T1476" s="136">
        <f t="shared" si="365"/>
        <v>0</v>
      </c>
    </row>
    <row r="1477" spans="1:20" ht="15.75" customHeight="1">
      <c r="A1477" s="149" t="s">
        <v>2403</v>
      </c>
      <c r="B1477" s="273"/>
      <c r="C1477" s="28" t="s">
        <v>44164</v>
      </c>
      <c r="D1477" s="41">
        <v>640</v>
      </c>
      <c r="E1477" s="131">
        <f t="shared" si="376"/>
        <v>13870</v>
      </c>
      <c r="F1477" s="21">
        <f t="shared" si="374"/>
        <v>16782.7</v>
      </c>
      <c r="G1477" s="21"/>
      <c r="H1477" s="135">
        <f t="shared" si="364"/>
        <v>0</v>
      </c>
      <c r="I1477" s="294">
        <v>45273</v>
      </c>
      <c r="J1477" s="294"/>
      <c r="K1477" s="10"/>
      <c r="L1477" s="10">
        <f>0.6*14904</f>
        <v>8942.4</v>
      </c>
      <c r="M1477" s="11"/>
      <c r="N1477" s="100"/>
      <c r="O1477" s="11">
        <f t="shared" si="366"/>
        <v>8942.4</v>
      </c>
      <c r="P1477" s="11">
        <f t="shared" si="378"/>
        <v>8942.4</v>
      </c>
      <c r="Q1477" s="11">
        <v>1.55</v>
      </c>
      <c r="R1477" s="11">
        <f t="shared" si="377"/>
        <v>13860.72</v>
      </c>
      <c r="S1477" s="11"/>
      <c r="T1477" s="136">
        <f t="shared" si="365"/>
        <v>0</v>
      </c>
    </row>
    <row r="1478" spans="1:20" ht="15.75" customHeight="1">
      <c r="A1478" s="149">
        <v>101</v>
      </c>
      <c r="B1478" s="273"/>
      <c r="C1478" s="28" t="s">
        <v>44292</v>
      </c>
      <c r="D1478" s="41"/>
      <c r="E1478" s="131">
        <f>ROUNDUP(R1478,-1)</f>
        <v>6310</v>
      </c>
      <c r="F1478" s="21">
        <f>+E1478*1.21</f>
        <v>7635.0999999999995</v>
      </c>
      <c r="G1478" s="21"/>
      <c r="H1478" s="135">
        <f>ROUNDUP(T1478,-1)</f>
        <v>0</v>
      </c>
      <c r="I1478" s="294">
        <v>45286</v>
      </c>
      <c r="J1478" s="294">
        <v>45351</v>
      </c>
      <c r="K1478" s="10">
        <f>0.7*0.9*6457</f>
        <v>4067.91</v>
      </c>
      <c r="L1478" s="10"/>
      <c r="M1478" s="11"/>
      <c r="N1478" s="100"/>
      <c r="O1478" s="11">
        <f t="shared" si="366"/>
        <v>4067.91</v>
      </c>
      <c r="P1478" s="11">
        <f t="shared" si="378"/>
        <v>4067.91</v>
      </c>
      <c r="Q1478" s="11">
        <v>1.55</v>
      </c>
      <c r="R1478" s="11">
        <f t="shared" si="377"/>
        <v>6305.2605000000003</v>
      </c>
      <c r="S1478" s="11"/>
      <c r="T1478" s="136">
        <f t="shared" si="365"/>
        <v>0</v>
      </c>
    </row>
    <row r="1479" spans="1:20" ht="15.75" customHeight="1">
      <c r="A1479" s="149" t="s">
        <v>2403</v>
      </c>
      <c r="B1479" s="273"/>
      <c r="C1479" s="28" t="s">
        <v>44163</v>
      </c>
      <c r="D1479" s="41">
        <v>590</v>
      </c>
      <c r="E1479" s="131">
        <f>ROUNDUP(R1479,-1)</f>
        <v>11980</v>
      </c>
      <c r="F1479" s="21">
        <f>+E1479*1.21</f>
        <v>14495.8</v>
      </c>
      <c r="G1479" s="21"/>
      <c r="H1479" s="135">
        <f>ROUNDUP(T1479,-1)</f>
        <v>0</v>
      </c>
      <c r="I1479" s="294">
        <v>45273</v>
      </c>
      <c r="J1479" s="294">
        <v>45338</v>
      </c>
      <c r="K1479" s="10"/>
      <c r="L1479" s="10">
        <f>0.6*12871</f>
        <v>7722.5999999999995</v>
      </c>
      <c r="M1479" s="100"/>
      <c r="N1479" s="100"/>
      <c r="O1479" s="11">
        <f t="shared" si="366"/>
        <v>7722.5999999999995</v>
      </c>
      <c r="P1479" s="11">
        <f t="shared" si="378"/>
        <v>7722.5999999999995</v>
      </c>
      <c r="Q1479" s="11">
        <v>1.55</v>
      </c>
      <c r="R1479" s="11">
        <f t="shared" si="377"/>
        <v>11970.029999999999</v>
      </c>
      <c r="S1479" s="11"/>
      <c r="T1479" s="136">
        <f t="shared" si="365"/>
        <v>0</v>
      </c>
    </row>
    <row r="1480" spans="1:20" ht="15.75" customHeight="1">
      <c r="A1480" s="149" t="s">
        <v>3714</v>
      </c>
      <c r="B1480" s="273"/>
      <c r="C1480" s="28" t="s">
        <v>44167</v>
      </c>
      <c r="D1480" s="41">
        <v>190</v>
      </c>
      <c r="E1480" s="131">
        <f>ROUNDUP(R1480,-1)</f>
        <v>4560</v>
      </c>
      <c r="F1480" s="21">
        <f>+E1480*1.21</f>
        <v>5517.5999999999995</v>
      </c>
      <c r="G1480" s="21"/>
      <c r="H1480" s="135">
        <f>ROUNDUP(T1480,-1)</f>
        <v>0</v>
      </c>
      <c r="I1480" s="294">
        <v>45359</v>
      </c>
      <c r="J1480" s="294"/>
      <c r="K1480" s="10">
        <f>0.6*4682*2</f>
        <v>5618.4</v>
      </c>
      <c r="L1480" s="11">
        <f>0.7*0.9*4239*1.1</f>
        <v>2937.6270000000004</v>
      </c>
      <c r="M1480" s="11"/>
      <c r="N1480" s="100"/>
      <c r="O1480" s="11">
        <f t="shared" si="366"/>
        <v>2937.6270000000004</v>
      </c>
      <c r="P1480" s="11">
        <f t="shared" si="378"/>
        <v>2937.6270000000004</v>
      </c>
      <c r="Q1480" s="11">
        <v>1.55</v>
      </c>
      <c r="R1480" s="11">
        <f t="shared" si="377"/>
        <v>4553.3218500000012</v>
      </c>
      <c r="S1480" s="11"/>
      <c r="T1480" s="136">
        <f t="shared" si="365"/>
        <v>0</v>
      </c>
    </row>
    <row r="1481" spans="1:20" ht="15.75" customHeight="1">
      <c r="A1481" s="149">
        <v>101</v>
      </c>
      <c r="B1481" s="273"/>
      <c r="C1481" s="28" t="s">
        <v>44293</v>
      </c>
      <c r="D1481" s="41"/>
      <c r="E1481" s="131">
        <f>ROUNDUP(R1481,-1)</f>
        <v>6540</v>
      </c>
      <c r="F1481" s="21">
        <f>+E1481*1.21</f>
        <v>7913.4</v>
      </c>
      <c r="G1481" s="21">
        <v>27800</v>
      </c>
      <c r="H1481" s="135">
        <f>ROUNDUP(T1481,-1)</f>
        <v>0</v>
      </c>
      <c r="I1481" s="294">
        <v>45286</v>
      </c>
      <c r="J1481" s="294">
        <v>45324</v>
      </c>
      <c r="K1481" s="10">
        <f>0.7*0.9*6694</f>
        <v>4217.22</v>
      </c>
      <c r="L1481" s="11"/>
      <c r="M1481" s="11"/>
      <c r="N1481" s="100"/>
      <c r="O1481" s="11">
        <f t="shared" si="366"/>
        <v>4217.22</v>
      </c>
      <c r="P1481" s="11">
        <f t="shared" si="378"/>
        <v>4217.22</v>
      </c>
      <c r="Q1481" s="11">
        <v>1.55</v>
      </c>
      <c r="R1481" s="11">
        <f t="shared" si="377"/>
        <v>6536.6910000000007</v>
      </c>
      <c r="S1481" s="11"/>
      <c r="T1481" s="136">
        <f t="shared" si="365"/>
        <v>0</v>
      </c>
    </row>
    <row r="1482" spans="1:20" ht="15.75" customHeight="1">
      <c r="A1482" s="149" t="s">
        <v>2403</v>
      </c>
      <c r="B1482" s="273"/>
      <c r="C1482" s="28" t="s">
        <v>44166</v>
      </c>
      <c r="D1482" s="41">
        <v>730</v>
      </c>
      <c r="E1482" s="131">
        <f t="shared" si="376"/>
        <v>14370</v>
      </c>
      <c r="F1482" s="21">
        <f t="shared" si="374"/>
        <v>17387.7</v>
      </c>
      <c r="G1482" s="21"/>
      <c r="H1482" s="135">
        <f t="shared" si="364"/>
        <v>0</v>
      </c>
      <c r="I1482" s="294">
        <v>45273</v>
      </c>
      <c r="J1482" s="294">
        <v>45338</v>
      </c>
      <c r="K1482" s="10"/>
      <c r="L1482" s="10">
        <f>0.6*15445</f>
        <v>9267</v>
      </c>
      <c r="M1482" s="100"/>
      <c r="N1482" s="100"/>
      <c r="O1482" s="11">
        <f t="shared" si="366"/>
        <v>9267</v>
      </c>
      <c r="P1482" s="11">
        <f t="shared" si="378"/>
        <v>9267</v>
      </c>
      <c r="Q1482" s="11">
        <v>1.55</v>
      </c>
      <c r="R1482" s="11">
        <f t="shared" si="377"/>
        <v>14363.85</v>
      </c>
      <c r="S1482" s="11"/>
      <c r="T1482" s="136">
        <f t="shared" si="365"/>
        <v>0</v>
      </c>
    </row>
    <row r="1483" spans="1:20" ht="15.75" customHeight="1">
      <c r="A1483" s="149" t="s">
        <v>3714</v>
      </c>
      <c r="B1483" s="273"/>
      <c r="C1483" s="28" t="s">
        <v>44168</v>
      </c>
      <c r="D1483" s="41">
        <v>200</v>
      </c>
      <c r="E1483" s="131">
        <f t="shared" si="376"/>
        <v>4870</v>
      </c>
      <c r="F1483" s="21">
        <f t="shared" si="374"/>
        <v>5892.7</v>
      </c>
      <c r="G1483" s="21"/>
      <c r="H1483" s="135">
        <f t="shared" si="364"/>
        <v>0</v>
      </c>
      <c r="I1483" s="294">
        <v>45359</v>
      </c>
      <c r="J1483" s="294"/>
      <c r="K1483" s="10">
        <f>0.6*5005*2</f>
        <v>6006</v>
      </c>
      <c r="L1483" s="11">
        <f>0.7*0.9*4533*1.1</f>
        <v>3141.3690000000001</v>
      </c>
      <c r="M1483" s="11"/>
      <c r="N1483" s="100"/>
      <c r="O1483" s="11">
        <f t="shared" si="366"/>
        <v>3141.3690000000001</v>
      </c>
      <c r="P1483" s="11">
        <f t="shared" si="378"/>
        <v>3141.3690000000001</v>
      </c>
      <c r="Q1483" s="11">
        <v>1.55</v>
      </c>
      <c r="R1483" s="11">
        <f t="shared" si="377"/>
        <v>4869.1219500000007</v>
      </c>
      <c r="S1483" s="11"/>
      <c r="T1483" s="136">
        <f t="shared" si="365"/>
        <v>0</v>
      </c>
    </row>
    <row r="1484" spans="1:20" ht="15.75" customHeight="1">
      <c r="A1484" s="149" t="s">
        <v>2403</v>
      </c>
      <c r="B1484" s="273"/>
      <c r="C1484" s="28" t="s">
        <v>44169</v>
      </c>
      <c r="D1484" s="41">
        <v>730</v>
      </c>
      <c r="E1484" s="131">
        <f t="shared" si="376"/>
        <v>16570</v>
      </c>
      <c r="F1484" s="21">
        <f t="shared" si="374"/>
        <v>20049.7</v>
      </c>
      <c r="G1484" s="21"/>
      <c r="H1484" s="135">
        <f t="shared" si="364"/>
        <v>0</v>
      </c>
      <c r="I1484" s="294">
        <v>45273</v>
      </c>
      <c r="J1484" s="294">
        <v>45338</v>
      </c>
      <c r="K1484" s="10"/>
      <c r="L1484" s="10">
        <f>0.6*17815</f>
        <v>10689</v>
      </c>
      <c r="M1484" s="100"/>
      <c r="N1484" s="100"/>
      <c r="O1484" s="11">
        <f t="shared" si="366"/>
        <v>10689</v>
      </c>
      <c r="P1484" s="11">
        <f t="shared" si="378"/>
        <v>10689</v>
      </c>
      <c r="Q1484" s="11">
        <v>1.55</v>
      </c>
      <c r="R1484" s="11">
        <f t="shared" si="377"/>
        <v>16567.95</v>
      </c>
      <c r="S1484" s="11"/>
      <c r="T1484" s="136">
        <f t="shared" si="365"/>
        <v>0</v>
      </c>
    </row>
    <row r="1485" spans="1:20" ht="15.75" customHeight="1">
      <c r="A1485" s="149">
        <v>21</v>
      </c>
      <c r="B1485" s="273"/>
      <c r="C1485" s="28" t="s">
        <v>4403</v>
      </c>
      <c r="D1485" s="41">
        <v>190</v>
      </c>
      <c r="E1485" s="131">
        <f t="shared" si="376"/>
        <v>0</v>
      </c>
      <c r="F1485" s="21">
        <f t="shared" si="374"/>
        <v>0</v>
      </c>
      <c r="G1485" s="21"/>
      <c r="H1485" s="135">
        <f t="shared" si="364"/>
        <v>0</v>
      </c>
      <c r="I1485" s="294">
        <v>45093</v>
      </c>
      <c r="J1485" s="294">
        <v>45257</v>
      </c>
      <c r="K1485" s="10">
        <f>0.6*2703</f>
        <v>1621.8</v>
      </c>
      <c r="L1485" s="11"/>
      <c r="M1485" s="11"/>
      <c r="N1485" s="100"/>
      <c r="O1485" s="11">
        <f t="shared" si="366"/>
        <v>1621.8</v>
      </c>
      <c r="P1485" s="11">
        <f t="shared" si="378"/>
        <v>1621.8</v>
      </c>
      <c r="Q1485" s="11"/>
      <c r="R1485" s="11">
        <f t="shared" si="377"/>
        <v>0</v>
      </c>
      <c r="S1485" s="11"/>
      <c r="T1485" s="136">
        <f t="shared" si="365"/>
        <v>0</v>
      </c>
    </row>
    <row r="1486" spans="1:20" ht="15.75" customHeight="1">
      <c r="A1486" s="149">
        <v>21</v>
      </c>
      <c r="B1486" s="273"/>
      <c r="C1486" s="28" t="s">
        <v>44171</v>
      </c>
      <c r="D1486" s="41">
        <v>290</v>
      </c>
      <c r="E1486" s="131">
        <f t="shared" si="376"/>
        <v>4870</v>
      </c>
      <c r="F1486" s="21">
        <f t="shared" ref="F1486:F1526" si="386">+E1486*1.21</f>
        <v>5892.7</v>
      </c>
      <c r="G1486" s="21"/>
      <c r="H1486" s="135">
        <f t="shared" si="364"/>
        <v>0</v>
      </c>
      <c r="I1486" s="294">
        <v>45273</v>
      </c>
      <c r="J1486" s="294">
        <v>45338</v>
      </c>
      <c r="K1486" s="10">
        <f>0.6*5588</f>
        <v>3352.7999999999997</v>
      </c>
      <c r="L1486" s="11"/>
      <c r="M1486" s="11"/>
      <c r="N1486" s="100"/>
      <c r="O1486" s="11">
        <f t="shared" si="366"/>
        <v>3352.7999999999997</v>
      </c>
      <c r="P1486" s="11">
        <f t="shared" si="378"/>
        <v>3352.7999999999997</v>
      </c>
      <c r="Q1486" s="11">
        <v>1.45</v>
      </c>
      <c r="R1486" s="11">
        <f t="shared" si="377"/>
        <v>4861.5599999999995</v>
      </c>
      <c r="S1486" s="11"/>
      <c r="T1486" s="136">
        <f t="shared" si="365"/>
        <v>0</v>
      </c>
    </row>
    <row r="1487" spans="1:20" ht="15.75" customHeight="1">
      <c r="A1487" s="149">
        <v>21</v>
      </c>
      <c r="B1487" s="273"/>
      <c r="C1487" s="28" t="s">
        <v>44172</v>
      </c>
      <c r="D1487" s="41">
        <v>300</v>
      </c>
      <c r="E1487" s="131">
        <f t="shared" si="376"/>
        <v>4530</v>
      </c>
      <c r="F1487" s="21">
        <f t="shared" si="386"/>
        <v>5481.3</v>
      </c>
      <c r="G1487" s="21"/>
      <c r="H1487" s="135">
        <f t="shared" si="364"/>
        <v>0</v>
      </c>
      <c r="I1487" s="294">
        <v>45273</v>
      </c>
      <c r="J1487" s="294"/>
      <c r="K1487" s="10">
        <f>0.6*5203</f>
        <v>3121.7999999999997</v>
      </c>
      <c r="L1487" s="11"/>
      <c r="M1487" s="11"/>
      <c r="N1487" s="100"/>
      <c r="O1487" s="11">
        <f t="shared" si="366"/>
        <v>3121.7999999999997</v>
      </c>
      <c r="P1487" s="11">
        <f t="shared" si="378"/>
        <v>3121.7999999999997</v>
      </c>
      <c r="Q1487" s="11">
        <v>1.45</v>
      </c>
      <c r="R1487" s="11">
        <f t="shared" si="377"/>
        <v>4526.6099999999997</v>
      </c>
      <c r="S1487" s="11"/>
      <c r="T1487" s="136">
        <f t="shared" si="365"/>
        <v>0</v>
      </c>
    </row>
    <row r="1488" spans="1:20" ht="15.75" customHeight="1">
      <c r="A1488" s="149">
        <v>21</v>
      </c>
      <c r="B1488" s="273"/>
      <c r="C1488" s="28" t="s">
        <v>4147</v>
      </c>
      <c r="D1488" s="41">
        <v>210</v>
      </c>
      <c r="E1488" s="131">
        <f t="shared" si="376"/>
        <v>4630</v>
      </c>
      <c r="F1488" s="21">
        <f t="shared" si="386"/>
        <v>5602.3</v>
      </c>
      <c r="G1488" s="21"/>
      <c r="H1488" s="135">
        <f t="shared" si="364"/>
        <v>0</v>
      </c>
      <c r="I1488" s="294">
        <v>45273</v>
      </c>
      <c r="J1488" s="294">
        <v>45338</v>
      </c>
      <c r="K1488" s="10">
        <f>0.6*5320</f>
        <v>3192</v>
      </c>
      <c r="L1488" s="11">
        <f>848*0.7*0.9*6</f>
        <v>3205.4399999999996</v>
      </c>
      <c r="M1488" s="11"/>
      <c r="N1488" s="100"/>
      <c r="O1488" s="11">
        <f t="shared" si="366"/>
        <v>3192</v>
      </c>
      <c r="P1488" s="11">
        <f t="shared" si="378"/>
        <v>3192</v>
      </c>
      <c r="Q1488" s="11">
        <v>1.45</v>
      </c>
      <c r="R1488" s="11">
        <f t="shared" si="377"/>
        <v>4628.3999999999996</v>
      </c>
      <c r="S1488" s="11"/>
      <c r="T1488" s="136">
        <f t="shared" si="365"/>
        <v>0</v>
      </c>
    </row>
    <row r="1489" spans="1:20" ht="15.75" customHeight="1">
      <c r="A1489" s="149">
        <v>21</v>
      </c>
      <c r="B1489" s="273"/>
      <c r="C1489" s="28" t="s">
        <v>4148</v>
      </c>
      <c r="D1489" s="41">
        <v>220</v>
      </c>
      <c r="E1489" s="131">
        <f t="shared" si="376"/>
        <v>4800</v>
      </c>
      <c r="F1489" s="21">
        <f t="shared" si="386"/>
        <v>5808</v>
      </c>
      <c r="G1489" s="21"/>
      <c r="H1489" s="135">
        <f t="shared" si="364"/>
        <v>0</v>
      </c>
      <c r="I1489" s="294">
        <v>45273</v>
      </c>
      <c r="J1489" s="294">
        <v>45338</v>
      </c>
      <c r="K1489" s="10">
        <f>0.6*5509</f>
        <v>3305.4</v>
      </c>
      <c r="L1489" s="11"/>
      <c r="M1489" s="11"/>
      <c r="N1489" s="100"/>
      <c r="O1489" s="11">
        <f t="shared" si="366"/>
        <v>3305.4</v>
      </c>
      <c r="P1489" s="11">
        <f t="shared" si="378"/>
        <v>3305.4</v>
      </c>
      <c r="Q1489" s="11">
        <v>1.45</v>
      </c>
      <c r="R1489" s="11">
        <f t="shared" si="377"/>
        <v>4792.83</v>
      </c>
      <c r="S1489" s="11"/>
      <c r="T1489" s="136">
        <f t="shared" si="365"/>
        <v>0</v>
      </c>
    </row>
    <row r="1490" spans="1:20" ht="15.75" customHeight="1">
      <c r="A1490" s="149">
        <v>19</v>
      </c>
      <c r="B1490" s="273"/>
      <c r="C1490" s="28" t="s">
        <v>1654</v>
      </c>
      <c r="D1490" s="41">
        <v>180</v>
      </c>
      <c r="E1490" s="131">
        <f t="shared" si="376"/>
        <v>310</v>
      </c>
      <c r="F1490" s="21">
        <f t="shared" si="386"/>
        <v>375.09999999999997</v>
      </c>
      <c r="G1490" s="21"/>
      <c r="H1490" s="135">
        <f t="shared" si="364"/>
        <v>0</v>
      </c>
      <c r="I1490" s="294">
        <v>44319</v>
      </c>
      <c r="J1490" s="294"/>
      <c r="K1490" s="10">
        <f>0.65*312</f>
        <v>202.8</v>
      </c>
      <c r="L1490" s="10"/>
      <c r="M1490" s="11"/>
      <c r="N1490" s="100"/>
      <c r="O1490" s="11">
        <f t="shared" si="366"/>
        <v>202.8</v>
      </c>
      <c r="P1490" s="11">
        <f t="shared" si="378"/>
        <v>202.8</v>
      </c>
      <c r="Q1490" s="11">
        <v>1.5</v>
      </c>
      <c r="R1490" s="11">
        <f t="shared" si="377"/>
        <v>304.20000000000005</v>
      </c>
      <c r="S1490" s="11"/>
      <c r="T1490" s="136">
        <f t="shared" si="365"/>
        <v>0</v>
      </c>
    </row>
    <row r="1491" spans="1:20" ht="15.75" customHeight="1">
      <c r="A1491" s="149">
        <v>19</v>
      </c>
      <c r="B1491" s="273"/>
      <c r="C1491" s="28" t="s">
        <v>1655</v>
      </c>
      <c r="D1491" s="41">
        <v>190</v>
      </c>
      <c r="E1491" s="131">
        <f t="shared" si="376"/>
        <v>340</v>
      </c>
      <c r="F1491" s="21">
        <f t="shared" si="386"/>
        <v>411.4</v>
      </c>
      <c r="G1491" s="21"/>
      <c r="H1491" s="135">
        <f t="shared" si="364"/>
        <v>0</v>
      </c>
      <c r="I1491" s="294">
        <v>44319</v>
      </c>
      <c r="J1491" s="294"/>
      <c r="K1491" s="10">
        <f>0.65*346</f>
        <v>224.9</v>
      </c>
      <c r="L1491" s="11"/>
      <c r="M1491" s="11"/>
      <c r="N1491" s="100"/>
      <c r="O1491" s="11">
        <f t="shared" si="366"/>
        <v>224.9</v>
      </c>
      <c r="P1491" s="11">
        <f t="shared" si="378"/>
        <v>224.9</v>
      </c>
      <c r="Q1491" s="11">
        <v>1.5</v>
      </c>
      <c r="R1491" s="11">
        <f t="shared" si="377"/>
        <v>337.35</v>
      </c>
      <c r="S1491" s="11"/>
      <c r="T1491" s="136">
        <f t="shared" si="365"/>
        <v>0</v>
      </c>
    </row>
    <row r="1492" spans="1:20" ht="15.75" customHeight="1">
      <c r="A1492" s="149" t="s">
        <v>2404</v>
      </c>
      <c r="B1492" s="273"/>
      <c r="C1492" s="28" t="s">
        <v>2797</v>
      </c>
      <c r="D1492" s="41">
        <v>780</v>
      </c>
      <c r="E1492" s="131">
        <f t="shared" si="376"/>
        <v>22010</v>
      </c>
      <c r="F1492" s="21">
        <f t="shared" si="386"/>
        <v>26632.1</v>
      </c>
      <c r="G1492" s="21"/>
      <c r="H1492" s="135">
        <f t="shared" si="364"/>
        <v>19290</v>
      </c>
      <c r="I1492" s="294">
        <v>45138</v>
      </c>
      <c r="J1492" s="294">
        <v>45348</v>
      </c>
      <c r="K1492" s="10"/>
      <c r="L1492" s="10">
        <f>+PROVEEDORES!$D$32*13.97</f>
        <v>14668.5</v>
      </c>
      <c r="M1492" s="11"/>
      <c r="N1492" s="54">
        <v>12856</v>
      </c>
      <c r="O1492" s="11">
        <f t="shared" si="366"/>
        <v>14668.5</v>
      </c>
      <c r="P1492" s="11">
        <f t="shared" si="378"/>
        <v>14668.5</v>
      </c>
      <c r="Q1492" s="11">
        <v>1.5</v>
      </c>
      <c r="R1492" s="11">
        <f t="shared" si="377"/>
        <v>22002.75</v>
      </c>
      <c r="S1492" s="11"/>
      <c r="T1492" s="136">
        <f t="shared" si="365"/>
        <v>19284</v>
      </c>
    </row>
    <row r="1493" spans="1:20" ht="15.75" customHeight="1">
      <c r="A1493" s="149">
        <v>30</v>
      </c>
      <c r="B1493" s="273"/>
      <c r="C1493" s="28" t="s">
        <v>1656</v>
      </c>
      <c r="D1493" s="41">
        <v>1650</v>
      </c>
      <c r="E1493" s="131">
        <f t="shared" si="376"/>
        <v>0</v>
      </c>
      <c r="F1493" s="21">
        <f t="shared" si="386"/>
        <v>0</v>
      </c>
      <c r="G1493" s="21"/>
      <c r="H1493" s="135">
        <f t="shared" si="364"/>
        <v>0</v>
      </c>
      <c r="I1493" s="294">
        <v>43843</v>
      </c>
      <c r="J1493" s="40">
        <v>43906</v>
      </c>
      <c r="K1493" s="10">
        <f>1056*1.5*1.2</f>
        <v>1900.8</v>
      </c>
      <c r="L1493" s="11"/>
      <c r="M1493" s="11"/>
      <c r="N1493" s="100"/>
      <c r="O1493" s="11">
        <f t="shared" si="366"/>
        <v>1900.8</v>
      </c>
      <c r="P1493" s="11">
        <f t="shared" si="378"/>
        <v>1900.8</v>
      </c>
      <c r="Q1493" s="11"/>
      <c r="R1493" s="11">
        <f t="shared" si="377"/>
        <v>0</v>
      </c>
      <c r="S1493" s="11"/>
      <c r="T1493" s="136">
        <f t="shared" si="365"/>
        <v>0</v>
      </c>
    </row>
    <row r="1494" spans="1:20" ht="15.75" customHeight="1">
      <c r="A1494" s="149">
        <v>65</v>
      </c>
      <c r="B1494" s="273"/>
      <c r="C1494" s="28" t="s">
        <v>1657</v>
      </c>
      <c r="D1494" s="41">
        <v>570</v>
      </c>
      <c r="E1494" s="131">
        <f t="shared" si="376"/>
        <v>42000</v>
      </c>
      <c r="F1494" s="21">
        <f t="shared" si="386"/>
        <v>50820</v>
      </c>
      <c r="G1494" s="21"/>
      <c r="H1494" s="135">
        <f t="shared" si="364"/>
        <v>0</v>
      </c>
      <c r="I1494" s="294">
        <v>45286</v>
      </c>
      <c r="J1494" s="294"/>
      <c r="K1494" s="10">
        <v>30000</v>
      </c>
      <c r="L1494" s="148"/>
      <c r="M1494" s="11"/>
      <c r="N1494" s="100"/>
      <c r="O1494" s="11">
        <f t="shared" si="366"/>
        <v>30000</v>
      </c>
      <c r="P1494" s="11">
        <f t="shared" si="378"/>
        <v>30000</v>
      </c>
      <c r="Q1494" s="11">
        <v>1.4</v>
      </c>
      <c r="R1494" s="11">
        <f t="shared" si="377"/>
        <v>42000</v>
      </c>
      <c r="S1494" s="11"/>
      <c r="T1494" s="136">
        <f t="shared" si="365"/>
        <v>0</v>
      </c>
    </row>
    <row r="1495" spans="1:20" ht="15.75" customHeight="1">
      <c r="A1495" s="149">
        <v>12</v>
      </c>
      <c r="B1495" s="273"/>
      <c r="C1495" s="28" t="s">
        <v>4544</v>
      </c>
      <c r="D1495" s="41"/>
      <c r="E1495" s="131">
        <f t="shared" si="376"/>
        <v>13050</v>
      </c>
      <c r="F1495" s="21">
        <f t="shared" si="386"/>
        <v>15790.5</v>
      </c>
      <c r="G1495" s="21"/>
      <c r="H1495" s="135">
        <f t="shared" si="364"/>
        <v>0</v>
      </c>
      <c r="I1495" s="294">
        <v>45222</v>
      </c>
      <c r="J1495" s="294">
        <v>45338</v>
      </c>
      <c r="K1495" s="10">
        <v>8700</v>
      </c>
      <c r="L1495" s="148"/>
      <c r="M1495" s="11"/>
      <c r="N1495" s="100"/>
      <c r="O1495" s="11">
        <f t="shared" si="366"/>
        <v>8700</v>
      </c>
      <c r="P1495" s="11">
        <f t="shared" si="378"/>
        <v>8700</v>
      </c>
      <c r="Q1495" s="11">
        <v>1.5</v>
      </c>
      <c r="R1495" s="11">
        <f t="shared" si="377"/>
        <v>13050</v>
      </c>
      <c r="S1495" s="11"/>
      <c r="T1495" s="136">
        <f t="shared" si="365"/>
        <v>0</v>
      </c>
    </row>
    <row r="1496" spans="1:20" ht="15.75" customHeight="1">
      <c r="A1496" s="149">
        <v>12</v>
      </c>
      <c r="B1496" s="273"/>
      <c r="C1496" s="28" t="s">
        <v>4545</v>
      </c>
      <c r="D1496" s="41"/>
      <c r="E1496" s="131">
        <f t="shared" si="376"/>
        <v>17190</v>
      </c>
      <c r="F1496" s="21">
        <f t="shared" si="386"/>
        <v>20799.899999999998</v>
      </c>
      <c r="G1496" s="21"/>
      <c r="H1496" s="135">
        <f t="shared" si="364"/>
        <v>0</v>
      </c>
      <c r="I1496" s="294">
        <v>45222</v>
      </c>
      <c r="J1496" s="294">
        <v>45338</v>
      </c>
      <c r="K1496" s="10">
        <v>11455</v>
      </c>
      <c r="L1496" s="148"/>
      <c r="M1496" s="11"/>
      <c r="N1496" s="100"/>
      <c r="O1496" s="11">
        <f t="shared" si="366"/>
        <v>11455</v>
      </c>
      <c r="P1496" s="11">
        <f t="shared" si="378"/>
        <v>11455</v>
      </c>
      <c r="Q1496" s="11">
        <v>1.5</v>
      </c>
      <c r="R1496" s="11">
        <f t="shared" si="377"/>
        <v>17182.5</v>
      </c>
      <c r="S1496" s="11"/>
      <c r="T1496" s="136">
        <f t="shared" si="365"/>
        <v>0</v>
      </c>
    </row>
    <row r="1497" spans="1:20" ht="15.75" customHeight="1">
      <c r="A1497" s="149">
        <v>30</v>
      </c>
      <c r="B1497" s="273"/>
      <c r="C1497" s="28" t="s">
        <v>2237</v>
      </c>
      <c r="D1497" s="41">
        <v>680</v>
      </c>
      <c r="E1497" s="131">
        <f t="shared" si="376"/>
        <v>0</v>
      </c>
      <c r="F1497" s="21">
        <f t="shared" si="386"/>
        <v>0</v>
      </c>
      <c r="G1497" s="21"/>
      <c r="H1497" s="135">
        <f t="shared" si="364"/>
        <v>0</v>
      </c>
      <c r="I1497" s="294"/>
      <c r="J1497" s="294">
        <v>43906</v>
      </c>
      <c r="K1497" s="10">
        <f>451*1.2</f>
        <v>541.19999999999993</v>
      </c>
      <c r="L1497" s="11"/>
      <c r="M1497" s="11"/>
      <c r="N1497" s="100"/>
      <c r="O1497" s="11">
        <f t="shared" si="366"/>
        <v>541.19999999999993</v>
      </c>
      <c r="P1497" s="11">
        <f t="shared" si="378"/>
        <v>541.19999999999993</v>
      </c>
      <c r="Q1497" s="11"/>
      <c r="R1497" s="11">
        <f t="shared" si="377"/>
        <v>0</v>
      </c>
      <c r="S1497" s="11"/>
      <c r="T1497" s="136">
        <f t="shared" si="365"/>
        <v>0</v>
      </c>
    </row>
    <row r="1498" spans="1:20" ht="15.75" customHeight="1">
      <c r="A1498" s="149">
        <v>65</v>
      </c>
      <c r="B1498" s="273"/>
      <c r="C1498" s="28" t="s">
        <v>1658</v>
      </c>
      <c r="D1498" s="41">
        <v>300</v>
      </c>
      <c r="E1498" s="131">
        <f t="shared" si="376"/>
        <v>14000</v>
      </c>
      <c r="F1498" s="21">
        <f t="shared" si="386"/>
        <v>16940</v>
      </c>
      <c r="G1498" s="21"/>
      <c r="H1498" s="135">
        <f t="shared" si="364"/>
        <v>0</v>
      </c>
      <c r="I1498" s="294">
        <v>45286</v>
      </c>
      <c r="J1498" s="294"/>
      <c r="K1498" s="10">
        <v>10000</v>
      </c>
      <c r="L1498" s="11"/>
      <c r="M1498" s="11"/>
      <c r="N1498" s="100"/>
      <c r="O1498" s="11">
        <f t="shared" si="366"/>
        <v>10000</v>
      </c>
      <c r="P1498" s="11">
        <f t="shared" si="378"/>
        <v>10000</v>
      </c>
      <c r="Q1498" s="11">
        <v>1.4</v>
      </c>
      <c r="R1498" s="11">
        <f t="shared" si="377"/>
        <v>14000</v>
      </c>
      <c r="S1498" s="11"/>
      <c r="T1498" s="136">
        <f t="shared" si="365"/>
        <v>0</v>
      </c>
    </row>
    <row r="1499" spans="1:20" ht="15.75" customHeight="1">
      <c r="A1499" s="149"/>
      <c r="B1499" s="273"/>
      <c r="C1499" s="28" t="s">
        <v>4540</v>
      </c>
      <c r="D1499" s="41">
        <v>310</v>
      </c>
      <c r="E1499" s="131">
        <f>ROUNDUP(R1499,-1)</f>
        <v>0</v>
      </c>
      <c r="F1499" s="21">
        <f>+E1499*1.21</f>
        <v>0</v>
      </c>
      <c r="G1499" s="21"/>
      <c r="H1499" s="135">
        <f>ROUNDUP(T1499,-1)</f>
        <v>0</v>
      </c>
      <c r="I1499" s="294">
        <v>45142</v>
      </c>
      <c r="J1499" s="294"/>
      <c r="K1499" s="10">
        <v>1570</v>
      </c>
      <c r="L1499" s="11"/>
      <c r="M1499" s="11"/>
      <c r="N1499" s="100"/>
      <c r="O1499" s="11">
        <f>MIN(K1499:M1499)</f>
        <v>1570</v>
      </c>
      <c r="P1499" s="11">
        <f>+O1499</f>
        <v>1570</v>
      </c>
      <c r="Q1499" s="11"/>
      <c r="R1499" s="11">
        <f>+P1499*Q1499</f>
        <v>0</v>
      </c>
      <c r="S1499" s="11"/>
      <c r="T1499" s="136">
        <f>+N1499*Q1499</f>
        <v>0</v>
      </c>
    </row>
    <row r="1500" spans="1:20" ht="15.75" customHeight="1">
      <c r="A1500" s="149"/>
      <c r="B1500" s="273"/>
      <c r="C1500" s="28" t="s">
        <v>1659</v>
      </c>
      <c r="D1500" s="41">
        <v>310</v>
      </c>
      <c r="E1500" s="131">
        <f t="shared" si="376"/>
        <v>0</v>
      </c>
      <c r="F1500" s="21">
        <f t="shared" si="386"/>
        <v>0</v>
      </c>
      <c r="G1500" s="21"/>
      <c r="H1500" s="135">
        <f t="shared" si="364"/>
        <v>0</v>
      </c>
      <c r="I1500" s="300"/>
      <c r="J1500" s="294">
        <v>43154</v>
      </c>
      <c r="K1500" s="10">
        <f>350*0.59*1.5</f>
        <v>309.75</v>
      </c>
      <c r="L1500" s="11"/>
      <c r="M1500" s="11"/>
      <c r="N1500" s="100"/>
      <c r="O1500" s="11">
        <f t="shared" si="366"/>
        <v>309.75</v>
      </c>
      <c r="P1500" s="11">
        <f t="shared" si="378"/>
        <v>309.75</v>
      </c>
      <c r="Q1500" s="11"/>
      <c r="R1500" s="11">
        <f t="shared" si="377"/>
        <v>0</v>
      </c>
      <c r="S1500" s="11"/>
      <c r="T1500" s="136">
        <f t="shared" si="365"/>
        <v>0</v>
      </c>
    </row>
    <row r="1501" spans="1:20" ht="15.75" customHeight="1">
      <c r="A1501" s="149">
        <v>24</v>
      </c>
      <c r="B1501" s="273"/>
      <c r="C1501" s="28" t="s">
        <v>44343</v>
      </c>
      <c r="D1501" s="41">
        <v>500</v>
      </c>
      <c r="E1501" s="131">
        <f>ROUNDUP(R1501,-1)</f>
        <v>8910</v>
      </c>
      <c r="F1501" s="21">
        <f>+E1501*1.21</f>
        <v>10781.1</v>
      </c>
      <c r="G1501" s="21"/>
      <c r="H1501" s="135">
        <f>ROUNDUP(T1501,-1)</f>
        <v>0</v>
      </c>
      <c r="I1501" s="294">
        <v>45299</v>
      </c>
      <c r="J1501" s="294"/>
      <c r="K1501" s="10">
        <f>+PROVEEDORES!D18*0.5*11.2</f>
        <v>5936</v>
      </c>
      <c r="L1501" s="11"/>
      <c r="M1501" s="11"/>
      <c r="N1501" s="100"/>
      <c r="O1501" s="11">
        <f>MIN(K1501:M1501)</f>
        <v>5936</v>
      </c>
      <c r="P1501" s="11">
        <f t="shared" ref="P1501" si="387">+O1501</f>
        <v>5936</v>
      </c>
      <c r="Q1501" s="11">
        <v>1.5</v>
      </c>
      <c r="R1501" s="11">
        <f t="shared" ref="R1501" si="388">+P1501*Q1501</f>
        <v>8904</v>
      </c>
      <c r="S1501" s="11"/>
      <c r="T1501" s="136">
        <f>+N1501*Q1501</f>
        <v>0</v>
      </c>
    </row>
    <row r="1502" spans="1:20" ht="15.75" customHeight="1">
      <c r="A1502" s="149">
        <v>12</v>
      </c>
      <c r="B1502" s="273"/>
      <c r="C1502" s="28" t="s">
        <v>3837</v>
      </c>
      <c r="D1502" s="41">
        <v>500</v>
      </c>
      <c r="E1502" s="131">
        <f>ROUNDUP(R1502,-1)</f>
        <v>8780</v>
      </c>
      <c r="F1502" s="21">
        <f>+E1502*1.21</f>
        <v>10623.8</v>
      </c>
      <c r="G1502" s="21"/>
      <c r="H1502" s="135">
        <f>ROUNDUP(T1502,-1)</f>
        <v>0</v>
      </c>
      <c r="I1502" s="294">
        <v>45274</v>
      </c>
      <c r="J1502" s="294">
        <v>45338</v>
      </c>
      <c r="K1502" s="10">
        <v>5849</v>
      </c>
      <c r="L1502" s="11"/>
      <c r="M1502" s="11"/>
      <c r="N1502" s="100"/>
      <c r="O1502" s="11">
        <f>MIN(K1502:M1502)</f>
        <v>5849</v>
      </c>
      <c r="P1502" s="11">
        <f t="shared" si="378"/>
        <v>5849</v>
      </c>
      <c r="Q1502" s="11">
        <v>1.5</v>
      </c>
      <c r="R1502" s="11">
        <f t="shared" si="377"/>
        <v>8773.5</v>
      </c>
      <c r="S1502" s="11"/>
      <c r="T1502" s="136">
        <f>+N1502*Q1502</f>
        <v>0</v>
      </c>
    </row>
    <row r="1503" spans="1:20" ht="15.75" customHeight="1">
      <c r="A1503" s="149">
        <v>12</v>
      </c>
      <c r="B1503" s="273"/>
      <c r="C1503" s="28" t="s">
        <v>3838</v>
      </c>
      <c r="D1503" s="41">
        <v>700</v>
      </c>
      <c r="E1503" s="131">
        <f t="shared" si="376"/>
        <v>9840</v>
      </c>
      <c r="F1503" s="21">
        <f t="shared" si="386"/>
        <v>11906.4</v>
      </c>
      <c r="G1503" s="21"/>
      <c r="H1503" s="135">
        <f t="shared" si="364"/>
        <v>0</v>
      </c>
      <c r="I1503" s="294">
        <v>45274</v>
      </c>
      <c r="J1503" s="294">
        <v>45338</v>
      </c>
      <c r="K1503" s="10">
        <v>6554</v>
      </c>
      <c r="L1503" s="11"/>
      <c r="M1503" s="11"/>
      <c r="N1503" s="100"/>
      <c r="O1503" s="11">
        <f t="shared" si="366"/>
        <v>6554</v>
      </c>
      <c r="P1503" s="11">
        <f t="shared" si="378"/>
        <v>6554</v>
      </c>
      <c r="Q1503" s="11">
        <v>1.5</v>
      </c>
      <c r="R1503" s="11">
        <f t="shared" si="377"/>
        <v>9831</v>
      </c>
      <c r="S1503" s="11"/>
      <c r="T1503" s="136">
        <f t="shared" si="365"/>
        <v>0</v>
      </c>
    </row>
    <row r="1504" spans="1:20" ht="15.75" customHeight="1">
      <c r="A1504" s="149">
        <v>12</v>
      </c>
      <c r="B1504" s="273"/>
      <c r="C1504" s="28" t="s">
        <v>3839</v>
      </c>
      <c r="D1504" s="41">
        <v>950</v>
      </c>
      <c r="E1504" s="131">
        <f t="shared" si="376"/>
        <v>16870</v>
      </c>
      <c r="F1504" s="21">
        <f t="shared" si="386"/>
        <v>20412.7</v>
      </c>
      <c r="G1504" s="21"/>
      <c r="H1504" s="135">
        <f t="shared" si="364"/>
        <v>0</v>
      </c>
      <c r="I1504" s="294">
        <v>45274</v>
      </c>
      <c r="J1504" s="294">
        <v>45338</v>
      </c>
      <c r="K1504" s="11">
        <v>11241</v>
      </c>
      <c r="L1504" s="11"/>
      <c r="M1504" s="11"/>
      <c r="N1504" s="100"/>
      <c r="O1504" s="11">
        <f t="shared" si="366"/>
        <v>11241</v>
      </c>
      <c r="P1504" s="11">
        <f t="shared" si="378"/>
        <v>11241</v>
      </c>
      <c r="Q1504" s="11">
        <v>1.5</v>
      </c>
      <c r="R1504" s="11">
        <f t="shared" si="377"/>
        <v>16861.5</v>
      </c>
      <c r="S1504" s="11"/>
      <c r="T1504" s="136">
        <f t="shared" si="365"/>
        <v>0</v>
      </c>
    </row>
    <row r="1505" spans="1:20" ht="15.75" customHeight="1">
      <c r="A1505" s="149">
        <v>36</v>
      </c>
      <c r="B1505" s="273"/>
      <c r="C1505" s="28" t="s">
        <v>3630</v>
      </c>
      <c r="D1505" s="41"/>
      <c r="E1505" s="131">
        <f>ROUNDUP(R1505,-1)</f>
        <v>18110</v>
      </c>
      <c r="F1505" s="21">
        <f>+E1505*1.21</f>
        <v>21913.1</v>
      </c>
      <c r="G1505" s="21"/>
      <c r="H1505" s="135">
        <f>ROUNDUP(T1505,-1)</f>
        <v>0</v>
      </c>
      <c r="I1505" s="294">
        <v>45274</v>
      </c>
      <c r="J1505" s="294">
        <v>45331</v>
      </c>
      <c r="K1505" s="10">
        <f>0.8*0.94*16606</f>
        <v>12487.712</v>
      </c>
      <c r="L1505" s="11"/>
      <c r="M1505" s="11"/>
      <c r="N1505" s="100"/>
      <c r="O1505" s="11">
        <f>MIN(K1505:M1505)</f>
        <v>12487.712</v>
      </c>
      <c r="P1505" s="11">
        <f t="shared" si="378"/>
        <v>12487.712</v>
      </c>
      <c r="Q1505" s="11">
        <v>1.45</v>
      </c>
      <c r="R1505" s="11">
        <f t="shared" si="377"/>
        <v>18107.182399999998</v>
      </c>
      <c r="S1505" s="11"/>
      <c r="T1505" s="136">
        <f>+N1505*Q1505</f>
        <v>0</v>
      </c>
    </row>
    <row r="1506" spans="1:20" ht="15.75" customHeight="1">
      <c r="A1506" s="149">
        <v>36</v>
      </c>
      <c r="B1506" s="273"/>
      <c r="C1506" s="28" t="s">
        <v>3631</v>
      </c>
      <c r="D1506" s="41"/>
      <c r="E1506" s="131">
        <f t="shared" si="376"/>
        <v>22890</v>
      </c>
      <c r="F1506" s="21">
        <f t="shared" si="386"/>
        <v>27696.899999999998</v>
      </c>
      <c r="G1506" s="21"/>
      <c r="H1506" s="135">
        <f t="shared" ref="H1506:H1577" si="389">ROUNDUP(T1506,-1)</f>
        <v>0</v>
      </c>
      <c r="I1506" s="294">
        <v>45274</v>
      </c>
      <c r="J1506" s="294">
        <v>45331</v>
      </c>
      <c r="K1506" s="10">
        <f>0.8*0.94*20992</f>
        <v>15785.984</v>
      </c>
      <c r="L1506" s="11"/>
      <c r="M1506" s="11"/>
      <c r="N1506" s="10"/>
      <c r="O1506" s="11">
        <f t="shared" si="366"/>
        <v>15785.984</v>
      </c>
      <c r="P1506" s="11">
        <f t="shared" si="378"/>
        <v>15785.984</v>
      </c>
      <c r="Q1506" s="11">
        <v>1.45</v>
      </c>
      <c r="R1506" s="11">
        <f t="shared" si="377"/>
        <v>22889.676800000001</v>
      </c>
      <c r="S1506" s="11"/>
      <c r="T1506" s="136">
        <f t="shared" si="365"/>
        <v>0</v>
      </c>
    </row>
    <row r="1507" spans="1:20" ht="15.75" customHeight="1">
      <c r="A1507" s="149">
        <v>36</v>
      </c>
      <c r="B1507" s="273"/>
      <c r="C1507" s="28" t="s">
        <v>3697</v>
      </c>
      <c r="D1507" s="41"/>
      <c r="E1507" s="131">
        <f t="shared" si="376"/>
        <v>30900</v>
      </c>
      <c r="F1507" s="21">
        <f t="shared" si="386"/>
        <v>37389</v>
      </c>
      <c r="G1507" s="21"/>
      <c r="H1507" s="135">
        <f t="shared" si="389"/>
        <v>0</v>
      </c>
      <c r="I1507" s="294">
        <v>45274</v>
      </c>
      <c r="J1507" s="294">
        <v>45331</v>
      </c>
      <c r="K1507" s="10">
        <f>0.8*0.94*28335</f>
        <v>21307.919999999998</v>
      </c>
      <c r="L1507" s="11"/>
      <c r="M1507" s="11"/>
      <c r="N1507" s="10"/>
      <c r="O1507" s="11">
        <f t="shared" si="366"/>
        <v>21307.919999999998</v>
      </c>
      <c r="P1507" s="11">
        <f t="shared" si="378"/>
        <v>21307.919999999998</v>
      </c>
      <c r="Q1507" s="11">
        <v>1.45</v>
      </c>
      <c r="R1507" s="11">
        <f t="shared" si="377"/>
        <v>30896.483999999997</v>
      </c>
      <c r="S1507" s="11"/>
      <c r="T1507" s="136">
        <f t="shared" si="365"/>
        <v>0</v>
      </c>
    </row>
    <row r="1508" spans="1:20" ht="15.75" customHeight="1">
      <c r="A1508" s="149">
        <v>19</v>
      </c>
      <c r="B1508" s="273"/>
      <c r="C1508" s="28" t="s">
        <v>4089</v>
      </c>
      <c r="D1508" s="41">
        <v>500</v>
      </c>
      <c r="E1508" s="131">
        <f>ROUNDUP(R1508,-1)</f>
        <v>6660</v>
      </c>
      <c r="F1508" s="21">
        <f>+E1508*1.21</f>
        <v>8058.5999999999995</v>
      </c>
      <c r="G1508" s="21"/>
      <c r="H1508" s="135">
        <f>ROUNDUP(T1508,-1)</f>
        <v>0</v>
      </c>
      <c r="I1508" s="294">
        <v>45108</v>
      </c>
      <c r="J1508" s="294"/>
      <c r="K1508" s="10">
        <f>3104*1.1*1.3</f>
        <v>4438.72</v>
      </c>
      <c r="L1508" s="11"/>
      <c r="M1508" s="11"/>
      <c r="N1508" s="100"/>
      <c r="O1508" s="11">
        <f>MIN(K1508:M1508)</f>
        <v>4438.72</v>
      </c>
      <c r="P1508" s="11">
        <f t="shared" si="378"/>
        <v>4438.72</v>
      </c>
      <c r="Q1508" s="11">
        <v>1.5</v>
      </c>
      <c r="R1508" s="11">
        <f t="shared" si="377"/>
        <v>6658.08</v>
      </c>
      <c r="S1508" s="11"/>
      <c r="T1508" s="136">
        <f>+N1508*Q1508</f>
        <v>0</v>
      </c>
    </row>
    <row r="1509" spans="1:20" ht="15.75" customHeight="1">
      <c r="A1509" s="149">
        <v>19</v>
      </c>
      <c r="B1509" s="273"/>
      <c r="C1509" s="28" t="s">
        <v>4090</v>
      </c>
      <c r="D1509" s="41">
        <v>700</v>
      </c>
      <c r="E1509" s="131">
        <f>ROUNDUP(R1509,-1)</f>
        <v>8680</v>
      </c>
      <c r="F1509" s="21">
        <f>+E1509*1.21</f>
        <v>10502.8</v>
      </c>
      <c r="G1509" s="21"/>
      <c r="H1509" s="135">
        <f>ROUNDUP(T1509,-1)</f>
        <v>0</v>
      </c>
      <c r="I1509" s="294">
        <v>45108</v>
      </c>
      <c r="J1509" s="294"/>
      <c r="K1509" s="10">
        <f>4308*1.1*1.22</f>
        <v>5781.3360000000002</v>
      </c>
      <c r="L1509" s="11"/>
      <c r="M1509" s="11"/>
      <c r="N1509" s="100"/>
      <c r="O1509" s="11">
        <f>MIN(K1509:M1509)</f>
        <v>5781.3360000000002</v>
      </c>
      <c r="P1509" s="11">
        <f t="shared" si="378"/>
        <v>5781.3360000000002</v>
      </c>
      <c r="Q1509" s="11">
        <v>1.5</v>
      </c>
      <c r="R1509" s="11">
        <f t="shared" si="377"/>
        <v>8672.0040000000008</v>
      </c>
      <c r="S1509" s="11"/>
      <c r="T1509" s="136">
        <f>+N1509*Q1509</f>
        <v>0</v>
      </c>
    </row>
    <row r="1510" spans="1:20" ht="15.75" customHeight="1">
      <c r="A1510" s="149">
        <v>101</v>
      </c>
      <c r="B1510" s="273"/>
      <c r="C1510" s="28" t="s">
        <v>3796</v>
      </c>
      <c r="D1510" s="41">
        <v>1320</v>
      </c>
      <c r="E1510" s="131">
        <f t="shared" si="376"/>
        <v>14230</v>
      </c>
      <c r="F1510" s="21">
        <f t="shared" si="386"/>
        <v>17218.3</v>
      </c>
      <c r="G1510" s="21"/>
      <c r="H1510" s="135">
        <f t="shared" si="389"/>
        <v>0</v>
      </c>
      <c r="I1510" s="294">
        <v>45254</v>
      </c>
      <c r="J1510" s="294">
        <v>45324</v>
      </c>
      <c r="K1510" s="10">
        <f>0.7*0.9*15051</f>
        <v>9482.1299999999992</v>
      </c>
      <c r="L1510" s="11"/>
      <c r="M1510" s="10"/>
      <c r="N1510" s="100"/>
      <c r="O1510" s="11">
        <f t="shared" si="366"/>
        <v>9482.1299999999992</v>
      </c>
      <c r="P1510" s="11">
        <f t="shared" si="378"/>
        <v>9482.1299999999992</v>
      </c>
      <c r="Q1510" s="11">
        <v>1.5</v>
      </c>
      <c r="R1510" s="11">
        <f t="shared" si="377"/>
        <v>14223.195</v>
      </c>
      <c r="S1510" s="11"/>
      <c r="T1510" s="136">
        <f t="shared" si="365"/>
        <v>0</v>
      </c>
    </row>
    <row r="1511" spans="1:20" ht="15.75" customHeight="1">
      <c r="A1511" s="149" t="s">
        <v>2387</v>
      </c>
      <c r="B1511" s="273"/>
      <c r="C1511" s="28" t="s">
        <v>1662</v>
      </c>
      <c r="D1511" s="41">
        <v>1320</v>
      </c>
      <c r="E1511" s="131">
        <f t="shared" si="376"/>
        <v>16100</v>
      </c>
      <c r="F1511" s="21">
        <f t="shared" si="386"/>
        <v>19481</v>
      </c>
      <c r="G1511" s="21"/>
      <c r="H1511" s="135">
        <f t="shared" si="389"/>
        <v>0</v>
      </c>
      <c r="I1511" s="294">
        <v>45173</v>
      </c>
      <c r="J1511" s="294">
        <v>45175</v>
      </c>
      <c r="K1511" s="10">
        <f>+'AUMENTOS %'!$D$14*PROVEEDORES!D18*0.5*27*2</f>
        <v>28620</v>
      </c>
      <c r="L1511" s="11">
        <f>+'AUMENTOS %'!$C$14*10732</f>
        <v>10732</v>
      </c>
      <c r="M1511" s="10"/>
      <c r="N1511" s="100"/>
      <c r="O1511" s="11">
        <f t="shared" si="366"/>
        <v>10732</v>
      </c>
      <c r="P1511" s="11">
        <f t="shared" si="378"/>
        <v>10732</v>
      </c>
      <c r="Q1511" s="11">
        <v>1.5</v>
      </c>
      <c r="R1511" s="11">
        <f t="shared" si="377"/>
        <v>16098</v>
      </c>
      <c r="S1511" s="11"/>
      <c r="T1511" s="136">
        <f t="shared" si="365"/>
        <v>0</v>
      </c>
    </row>
    <row r="1512" spans="1:20" ht="15.75" customHeight="1">
      <c r="A1512" s="149" t="s">
        <v>2387</v>
      </c>
      <c r="B1512" s="273"/>
      <c r="C1512" s="28" t="s">
        <v>1663</v>
      </c>
      <c r="D1512" s="41">
        <v>1710</v>
      </c>
      <c r="E1512" s="131">
        <f t="shared" si="376"/>
        <v>15920</v>
      </c>
      <c r="F1512" s="21">
        <f t="shared" si="386"/>
        <v>19263.2</v>
      </c>
      <c r="G1512" s="21"/>
      <c r="H1512" s="135">
        <f t="shared" si="389"/>
        <v>0</v>
      </c>
      <c r="I1512" s="294">
        <v>45173</v>
      </c>
      <c r="J1512" s="294">
        <v>45175</v>
      </c>
      <c r="K1512" s="10">
        <f>+'AUMENTOS %'!$D$14*PROVEEDORES!$D$18*0.5*34.88*2</f>
        <v>36972.800000000003</v>
      </c>
      <c r="L1512" s="11">
        <f>+'AUMENTOS %'!$C$14*10611</f>
        <v>10611</v>
      </c>
      <c r="M1512" s="10"/>
      <c r="N1512" s="100"/>
      <c r="O1512" s="11">
        <f t="shared" si="366"/>
        <v>10611</v>
      </c>
      <c r="P1512" s="11">
        <f t="shared" si="378"/>
        <v>10611</v>
      </c>
      <c r="Q1512" s="11">
        <v>1.5</v>
      </c>
      <c r="R1512" s="11">
        <f t="shared" si="377"/>
        <v>15916.5</v>
      </c>
      <c r="S1512" s="11"/>
      <c r="T1512" s="136">
        <f t="shared" si="365"/>
        <v>0</v>
      </c>
    </row>
    <row r="1513" spans="1:20" ht="15.75" customHeight="1">
      <c r="A1513" s="149" t="s">
        <v>2387</v>
      </c>
      <c r="B1513" s="273"/>
      <c r="C1513" s="28" t="s">
        <v>1660</v>
      </c>
      <c r="D1513" s="41">
        <v>750</v>
      </c>
      <c r="E1513" s="131">
        <f t="shared" si="376"/>
        <v>12140</v>
      </c>
      <c r="F1513" s="21">
        <f t="shared" si="386"/>
        <v>14689.4</v>
      </c>
      <c r="G1513" s="21"/>
      <c r="H1513" s="135">
        <f t="shared" si="389"/>
        <v>0</v>
      </c>
      <c r="I1513" s="294">
        <v>45173</v>
      </c>
      <c r="J1513" s="294">
        <v>45175</v>
      </c>
      <c r="K1513" s="10">
        <f>+'AUMENTOS %'!$D$14*PROVEEDORES!$D$18*0.5*15.26</f>
        <v>8087.8</v>
      </c>
      <c r="L1513" s="11">
        <f>+'AUMENTOS %'!$C$14*4312*2</f>
        <v>8624</v>
      </c>
      <c r="M1513" s="11"/>
      <c r="N1513" s="100"/>
      <c r="O1513" s="11">
        <f t="shared" si="366"/>
        <v>8087.8</v>
      </c>
      <c r="P1513" s="11">
        <f t="shared" si="378"/>
        <v>8087.8</v>
      </c>
      <c r="Q1513" s="11">
        <v>1.5</v>
      </c>
      <c r="R1513" s="11">
        <f t="shared" si="377"/>
        <v>12131.7</v>
      </c>
      <c r="S1513" s="11"/>
      <c r="T1513" s="136">
        <f t="shared" ref="T1513:T1557" si="390">+N1513*Q1513</f>
        <v>0</v>
      </c>
    </row>
    <row r="1514" spans="1:20" ht="15.75" customHeight="1">
      <c r="A1514" s="149" t="s">
        <v>2387</v>
      </c>
      <c r="B1514" s="273"/>
      <c r="C1514" s="28" t="s">
        <v>1661</v>
      </c>
      <c r="D1514" s="41">
        <v>950</v>
      </c>
      <c r="E1514" s="131">
        <f t="shared" si="376"/>
        <v>11620</v>
      </c>
      <c r="F1514" s="21">
        <f t="shared" si="386"/>
        <v>14060.199999999999</v>
      </c>
      <c r="G1514" s="21"/>
      <c r="H1514" s="135">
        <f t="shared" si="389"/>
        <v>0</v>
      </c>
      <c r="I1514" s="294">
        <v>45173</v>
      </c>
      <c r="J1514" s="294">
        <v>45175</v>
      </c>
      <c r="K1514" s="10">
        <f>+'AUMENTOS %'!$D$14*PROVEEDORES!$D$18*0.5*19.45*2</f>
        <v>20617</v>
      </c>
      <c r="L1514" s="11">
        <f>+'AUMENTOS %'!$C$14*7742</f>
        <v>7742</v>
      </c>
      <c r="M1514" s="11"/>
      <c r="N1514" s="100"/>
      <c r="O1514" s="11">
        <f t="shared" si="366"/>
        <v>7742</v>
      </c>
      <c r="P1514" s="11">
        <f t="shared" si="378"/>
        <v>7742</v>
      </c>
      <c r="Q1514" s="11">
        <v>1.5</v>
      </c>
      <c r="R1514" s="11">
        <f t="shared" si="377"/>
        <v>11613</v>
      </c>
      <c r="S1514" s="11"/>
      <c r="T1514" s="136">
        <f t="shared" si="390"/>
        <v>0</v>
      </c>
    </row>
    <row r="1515" spans="1:20" ht="15.75" customHeight="1">
      <c r="A1515" s="149">
        <v>38</v>
      </c>
      <c r="B1515" s="273"/>
      <c r="C1515" s="28" t="s">
        <v>4234</v>
      </c>
      <c r="D1515" s="41"/>
      <c r="E1515" s="131">
        <f>ROUNDUP(R1515,-1)</f>
        <v>8810</v>
      </c>
      <c r="F1515" s="21">
        <f>+E1515*1.21</f>
        <v>10660.1</v>
      </c>
      <c r="G1515" s="21"/>
      <c r="H1515" s="135">
        <f>ROUNDUP(T1515,-1)</f>
        <v>7640</v>
      </c>
      <c r="I1515" s="294">
        <v>45138</v>
      </c>
      <c r="J1515" s="294">
        <v>45274</v>
      </c>
      <c r="K1515" s="11">
        <f>+PROVEEDORES!D32*5.59</f>
        <v>5869.5</v>
      </c>
      <c r="L1515" s="11"/>
      <c r="M1515" s="11"/>
      <c r="N1515" s="100">
        <v>5087</v>
      </c>
      <c r="O1515" s="11">
        <f>MIN(K1515:M1515)</f>
        <v>5869.5</v>
      </c>
      <c r="P1515" s="11">
        <f t="shared" si="378"/>
        <v>5869.5</v>
      </c>
      <c r="Q1515" s="11">
        <v>1.5</v>
      </c>
      <c r="R1515" s="11">
        <f t="shared" si="377"/>
        <v>8804.25</v>
      </c>
      <c r="S1515" s="11"/>
      <c r="T1515" s="136">
        <f>+N1515*Q1515</f>
        <v>7630.5</v>
      </c>
    </row>
    <row r="1516" spans="1:20" ht="15.75" customHeight="1">
      <c r="A1516" s="149">
        <v>38</v>
      </c>
      <c r="B1516" s="273"/>
      <c r="C1516" s="28" t="s">
        <v>4235</v>
      </c>
      <c r="D1516" s="41"/>
      <c r="E1516" s="131">
        <f>ROUNDUP(R1516,-1)</f>
        <v>18090</v>
      </c>
      <c r="F1516" s="21">
        <f>+E1516*1.21</f>
        <v>21888.899999999998</v>
      </c>
      <c r="G1516" s="21"/>
      <c r="H1516" s="135">
        <f>ROUNDUP(T1516,-1)</f>
        <v>15680</v>
      </c>
      <c r="I1516" s="294">
        <v>45138</v>
      </c>
      <c r="J1516" s="294">
        <v>45274</v>
      </c>
      <c r="K1516" s="11">
        <f>+PROVEEDORES!D32*11.48</f>
        <v>12054</v>
      </c>
      <c r="L1516" s="11"/>
      <c r="M1516" s="11"/>
      <c r="N1516" s="100">
        <v>10451</v>
      </c>
      <c r="O1516" s="11">
        <f>MIN(K1516:M1516)</f>
        <v>12054</v>
      </c>
      <c r="P1516" s="11">
        <f t="shared" si="378"/>
        <v>12054</v>
      </c>
      <c r="Q1516" s="11">
        <v>1.5</v>
      </c>
      <c r="R1516" s="11">
        <f t="shared" si="377"/>
        <v>18081</v>
      </c>
      <c r="S1516" s="11"/>
      <c r="T1516" s="136">
        <f>+N1516*Q1516</f>
        <v>15676.5</v>
      </c>
    </row>
    <row r="1517" spans="1:20" ht="15.75" customHeight="1">
      <c r="A1517" s="149">
        <v>76</v>
      </c>
      <c r="B1517" s="273"/>
      <c r="C1517" s="28" t="s">
        <v>3770</v>
      </c>
      <c r="D1517" s="41"/>
      <c r="E1517" s="131">
        <f t="shared" si="376"/>
        <v>0</v>
      </c>
      <c r="F1517" s="21">
        <f t="shared" si="386"/>
        <v>0</v>
      </c>
      <c r="G1517" s="21"/>
      <c r="H1517" s="135">
        <f t="shared" si="389"/>
        <v>0</v>
      </c>
      <c r="I1517" s="294">
        <v>44753</v>
      </c>
      <c r="J1517" s="294"/>
      <c r="K1517" s="10">
        <f>0.9*1692</f>
        <v>1522.8</v>
      </c>
      <c r="L1517" s="11"/>
      <c r="M1517" s="10"/>
      <c r="N1517" s="100"/>
      <c r="O1517" s="11">
        <f t="shared" si="366"/>
        <v>1522.8</v>
      </c>
      <c r="P1517" s="11">
        <f t="shared" si="378"/>
        <v>1522.8</v>
      </c>
      <c r="Q1517" s="11"/>
      <c r="R1517" s="11">
        <f t="shared" si="377"/>
        <v>0</v>
      </c>
      <c r="S1517" s="11"/>
      <c r="T1517" s="136">
        <f t="shared" si="390"/>
        <v>0</v>
      </c>
    </row>
    <row r="1518" spans="1:20" ht="15.75" customHeight="1">
      <c r="A1518" s="149">
        <v>76</v>
      </c>
      <c r="B1518" s="273"/>
      <c r="C1518" s="28" t="s">
        <v>3769</v>
      </c>
      <c r="D1518" s="41"/>
      <c r="E1518" s="131">
        <f t="shared" si="376"/>
        <v>0</v>
      </c>
      <c r="F1518" s="21">
        <f t="shared" si="386"/>
        <v>0</v>
      </c>
      <c r="G1518" s="21"/>
      <c r="H1518" s="135">
        <f t="shared" si="389"/>
        <v>0</v>
      </c>
      <c r="I1518" s="294">
        <v>44753</v>
      </c>
      <c r="J1518" s="294"/>
      <c r="K1518" s="10">
        <f>0.9*1254</f>
        <v>1128.6000000000001</v>
      </c>
      <c r="L1518" s="11"/>
      <c r="M1518" s="10"/>
      <c r="N1518" s="100"/>
      <c r="O1518" s="11">
        <f t="shared" si="366"/>
        <v>1128.6000000000001</v>
      </c>
      <c r="P1518" s="11">
        <f t="shared" si="378"/>
        <v>1128.6000000000001</v>
      </c>
      <c r="Q1518" s="11"/>
      <c r="R1518" s="11">
        <f t="shared" si="377"/>
        <v>0</v>
      </c>
      <c r="S1518" s="11"/>
      <c r="T1518" s="136">
        <f t="shared" si="390"/>
        <v>0</v>
      </c>
    </row>
    <row r="1519" spans="1:20" ht="15.75" customHeight="1">
      <c r="A1519" s="149" t="s">
        <v>44322</v>
      </c>
      <c r="B1519" s="273"/>
      <c r="C1519" s="28" t="s">
        <v>3912</v>
      </c>
      <c r="D1519" s="41">
        <v>610</v>
      </c>
      <c r="E1519" s="131">
        <f t="shared" si="376"/>
        <v>14550</v>
      </c>
      <c r="F1519" s="21">
        <f t="shared" si="386"/>
        <v>17605.5</v>
      </c>
      <c r="G1519" s="21"/>
      <c r="H1519" s="135">
        <f t="shared" si="389"/>
        <v>0</v>
      </c>
      <c r="I1519" s="294">
        <v>45274</v>
      </c>
      <c r="J1519" s="294">
        <v>45332</v>
      </c>
      <c r="K1519" s="10">
        <f>0.8*0.94*13342</f>
        <v>10033.183999999999</v>
      </c>
      <c r="L1519" s="42"/>
      <c r="M1519" s="42"/>
      <c r="N1519" s="37"/>
      <c r="O1519" s="11">
        <f t="shared" si="366"/>
        <v>10033.183999999999</v>
      </c>
      <c r="P1519" s="11">
        <f t="shared" si="378"/>
        <v>10033.183999999999</v>
      </c>
      <c r="Q1519" s="11">
        <v>1.45</v>
      </c>
      <c r="R1519" s="11">
        <f t="shared" si="377"/>
        <v>14548.116799999998</v>
      </c>
      <c r="S1519" s="11"/>
      <c r="T1519" s="136">
        <f t="shared" si="390"/>
        <v>0</v>
      </c>
    </row>
    <row r="1520" spans="1:20" ht="15.75" customHeight="1">
      <c r="A1520" s="149"/>
      <c r="B1520" s="273"/>
      <c r="C1520" s="28" t="s">
        <v>1664</v>
      </c>
      <c r="D1520" s="41">
        <v>550</v>
      </c>
      <c r="E1520" s="131">
        <f t="shared" si="376"/>
        <v>0</v>
      </c>
      <c r="F1520" s="21">
        <f t="shared" si="386"/>
        <v>0</v>
      </c>
      <c r="G1520" s="21"/>
      <c r="H1520" s="135">
        <f t="shared" si="389"/>
        <v>0</v>
      </c>
      <c r="I1520" s="294"/>
      <c r="J1520" s="294">
        <v>43477</v>
      </c>
      <c r="K1520" s="10">
        <f>525*0.5*1.5</f>
        <v>393.75</v>
      </c>
      <c r="L1520" s="11"/>
      <c r="M1520" s="11"/>
      <c r="N1520" s="100"/>
      <c r="O1520" s="11">
        <f t="shared" si="366"/>
        <v>393.75</v>
      </c>
      <c r="P1520" s="11">
        <f t="shared" si="378"/>
        <v>393.75</v>
      </c>
      <c r="Q1520" s="11"/>
      <c r="R1520" s="11">
        <f t="shared" si="377"/>
        <v>0</v>
      </c>
      <c r="S1520" s="11"/>
      <c r="T1520" s="136">
        <f t="shared" si="390"/>
        <v>0</v>
      </c>
    </row>
    <row r="1521" spans="1:20" ht="15.75" customHeight="1">
      <c r="A1521" s="149"/>
      <c r="B1521" s="273"/>
      <c r="C1521" s="28" t="s">
        <v>1665</v>
      </c>
      <c r="D1521" s="41">
        <v>300</v>
      </c>
      <c r="E1521" s="131">
        <f t="shared" si="376"/>
        <v>0</v>
      </c>
      <c r="F1521" s="21">
        <f t="shared" si="386"/>
        <v>0</v>
      </c>
      <c r="G1521" s="21"/>
      <c r="H1521" s="135">
        <f t="shared" si="389"/>
        <v>0</v>
      </c>
      <c r="I1521" s="294"/>
      <c r="J1521" s="294">
        <v>42976</v>
      </c>
      <c r="K1521" s="10">
        <f>350*0.5*1.5</f>
        <v>262.5</v>
      </c>
      <c r="L1521" s="11"/>
      <c r="M1521" s="11"/>
      <c r="N1521" s="100"/>
      <c r="O1521" s="11">
        <f t="shared" si="366"/>
        <v>262.5</v>
      </c>
      <c r="P1521" s="11">
        <f t="shared" si="378"/>
        <v>262.5</v>
      </c>
      <c r="Q1521" s="11"/>
      <c r="R1521" s="11">
        <f t="shared" si="377"/>
        <v>0</v>
      </c>
      <c r="S1521" s="11"/>
      <c r="T1521" s="136">
        <f t="shared" si="390"/>
        <v>0</v>
      </c>
    </row>
    <row r="1522" spans="1:20" ht="15.75" customHeight="1">
      <c r="A1522" s="149">
        <v>42</v>
      </c>
      <c r="B1522" s="273"/>
      <c r="C1522" s="28" t="s">
        <v>4491</v>
      </c>
      <c r="D1522" s="41">
        <v>750</v>
      </c>
      <c r="E1522" s="131">
        <f t="shared" si="376"/>
        <v>21240</v>
      </c>
      <c r="F1522" s="21">
        <f t="shared" si="386"/>
        <v>25700.399999999998</v>
      </c>
      <c r="G1522" s="21"/>
      <c r="H1522" s="135">
        <f t="shared" si="389"/>
        <v>14010</v>
      </c>
      <c r="I1522" s="294"/>
      <c r="J1522" s="294">
        <v>45387</v>
      </c>
      <c r="K1522" s="10">
        <f>+PROVEEDORES!D36*16</f>
        <v>14160</v>
      </c>
      <c r="L1522" s="11"/>
      <c r="M1522" s="11"/>
      <c r="N1522" s="100">
        <v>9340</v>
      </c>
      <c r="O1522" s="11">
        <f t="shared" si="366"/>
        <v>14160</v>
      </c>
      <c r="P1522" s="11">
        <f t="shared" si="378"/>
        <v>14160</v>
      </c>
      <c r="Q1522" s="11">
        <v>1.5</v>
      </c>
      <c r="R1522" s="11">
        <f t="shared" si="377"/>
        <v>21240</v>
      </c>
      <c r="S1522" s="11"/>
      <c r="T1522" s="136">
        <f t="shared" si="390"/>
        <v>14010</v>
      </c>
    </row>
    <row r="1523" spans="1:20" ht="15.75" customHeight="1">
      <c r="A1523" s="149">
        <v>42</v>
      </c>
      <c r="B1523" s="273"/>
      <c r="C1523" s="28" t="s">
        <v>4492</v>
      </c>
      <c r="D1523" s="41">
        <v>810</v>
      </c>
      <c r="E1523" s="131">
        <f>ROUNDUP(R1523,-1)</f>
        <v>22840</v>
      </c>
      <c r="F1523" s="21" t="s">
        <v>1248</v>
      </c>
      <c r="G1523" s="21">
        <f>+E1523*1.105</f>
        <v>25238.2</v>
      </c>
      <c r="H1523" s="135">
        <f>ROUNDUP(T1523,-1)</f>
        <v>15080</v>
      </c>
      <c r="I1523" s="294"/>
      <c r="J1523" s="294">
        <v>45387</v>
      </c>
      <c r="K1523" s="10">
        <f>+PROVEEDORES!D36*17.2</f>
        <v>15222</v>
      </c>
      <c r="L1523" s="11"/>
      <c r="M1523" s="11"/>
      <c r="N1523" s="100">
        <v>10052</v>
      </c>
      <c r="O1523" s="11">
        <f>MIN(K1523:M1523)</f>
        <v>15222</v>
      </c>
      <c r="P1523" s="11">
        <f t="shared" si="378"/>
        <v>15222</v>
      </c>
      <c r="Q1523" s="11">
        <v>1.5</v>
      </c>
      <c r="R1523" s="11">
        <f t="shared" si="377"/>
        <v>22833</v>
      </c>
      <c r="S1523" s="11"/>
      <c r="T1523" s="136">
        <f>+N1523*Q1523</f>
        <v>15078</v>
      </c>
    </row>
    <row r="1524" spans="1:20" ht="15.75" customHeight="1">
      <c r="A1524" s="149">
        <v>33</v>
      </c>
      <c r="B1524" s="273"/>
      <c r="C1524" s="28" t="s">
        <v>1666</v>
      </c>
      <c r="D1524" s="41">
        <v>1930</v>
      </c>
      <c r="E1524" s="131">
        <f t="shared" si="376"/>
        <v>0</v>
      </c>
      <c r="F1524" s="21">
        <f t="shared" si="386"/>
        <v>0</v>
      </c>
      <c r="G1524" s="21"/>
      <c r="H1524" s="135">
        <f t="shared" si="389"/>
        <v>0</v>
      </c>
      <c r="I1524" s="294">
        <v>43601</v>
      </c>
      <c r="J1524" s="294">
        <v>43661</v>
      </c>
      <c r="K1524" s="11">
        <f>1283*1.5</f>
        <v>1924.5</v>
      </c>
      <c r="L1524" s="11"/>
      <c r="M1524" s="11"/>
      <c r="N1524" s="100"/>
      <c r="O1524" s="11">
        <f t="shared" si="366"/>
        <v>1924.5</v>
      </c>
      <c r="P1524" s="11">
        <f t="shared" si="378"/>
        <v>1924.5</v>
      </c>
      <c r="Q1524" s="11"/>
      <c r="R1524" s="11">
        <f t="shared" si="377"/>
        <v>0</v>
      </c>
      <c r="S1524" s="11"/>
      <c r="T1524" s="136">
        <f t="shared" si="390"/>
        <v>0</v>
      </c>
    </row>
    <row r="1525" spans="1:20" ht="15.75" customHeight="1">
      <c r="A1525" s="149" t="s">
        <v>2387</v>
      </c>
      <c r="B1525" s="273"/>
      <c r="C1525" s="28" t="s">
        <v>2141</v>
      </c>
      <c r="D1525" s="41">
        <v>3670</v>
      </c>
      <c r="E1525" s="131">
        <f t="shared" si="376"/>
        <v>0</v>
      </c>
      <c r="F1525" s="21">
        <f t="shared" si="386"/>
        <v>0</v>
      </c>
      <c r="G1525" s="21"/>
      <c r="H1525" s="135">
        <f t="shared" si="389"/>
        <v>0</v>
      </c>
      <c r="I1525" s="294">
        <v>44627</v>
      </c>
      <c r="J1525" s="294">
        <v>45059</v>
      </c>
      <c r="K1525" s="11">
        <f>+PROVEEDORES!D18*0.5*61.27*2</f>
        <v>64946.200000000004</v>
      </c>
      <c r="L1525" s="11">
        <v>19635</v>
      </c>
      <c r="M1525" s="11"/>
      <c r="N1525" s="100"/>
      <c r="O1525" s="11">
        <f t="shared" ref="O1525:O1588" si="391">MIN(K1525:M1525)</f>
        <v>19635</v>
      </c>
      <c r="P1525" s="11">
        <f t="shared" si="378"/>
        <v>19635</v>
      </c>
      <c r="Q1525" s="11"/>
      <c r="R1525" s="11">
        <f t="shared" si="377"/>
        <v>0</v>
      </c>
      <c r="S1525" s="11"/>
      <c r="T1525" s="136">
        <f t="shared" si="390"/>
        <v>0</v>
      </c>
    </row>
    <row r="1526" spans="1:20" ht="15.75" customHeight="1">
      <c r="A1526" s="149"/>
      <c r="B1526" s="273"/>
      <c r="C1526" s="28" t="s">
        <v>2097</v>
      </c>
      <c r="D1526" s="41">
        <v>1500</v>
      </c>
      <c r="E1526" s="131">
        <f t="shared" si="376"/>
        <v>0</v>
      </c>
      <c r="F1526" s="21">
        <f t="shared" si="386"/>
        <v>0</v>
      </c>
      <c r="G1526" s="21"/>
      <c r="H1526" s="135">
        <f t="shared" si="389"/>
        <v>0</v>
      </c>
      <c r="I1526" s="294"/>
      <c r="J1526" s="294">
        <v>43741</v>
      </c>
      <c r="K1526" s="11">
        <f>17.2*100*1.35</f>
        <v>2322</v>
      </c>
      <c r="L1526" s="11"/>
      <c r="M1526" s="11"/>
      <c r="N1526" s="100"/>
      <c r="O1526" s="11">
        <f t="shared" si="391"/>
        <v>2322</v>
      </c>
      <c r="P1526" s="11">
        <f t="shared" si="378"/>
        <v>2322</v>
      </c>
      <c r="Q1526" s="11"/>
      <c r="R1526" s="11">
        <f t="shared" si="377"/>
        <v>0</v>
      </c>
      <c r="S1526" s="11"/>
      <c r="T1526" s="136">
        <f t="shared" si="390"/>
        <v>0</v>
      </c>
    </row>
    <row r="1527" spans="1:20" ht="15.75" customHeight="1">
      <c r="A1527" s="149"/>
      <c r="B1527" s="273"/>
      <c r="C1527" s="28" t="s">
        <v>2214</v>
      </c>
      <c r="D1527" s="41">
        <v>170</v>
      </c>
      <c r="E1527" s="131">
        <f t="shared" si="376"/>
        <v>0</v>
      </c>
      <c r="F1527" s="21">
        <f t="shared" ref="F1527:F1537" si="392">+E1527*1.21</f>
        <v>0</v>
      </c>
      <c r="G1527" s="21"/>
      <c r="H1527" s="135">
        <f t="shared" si="389"/>
        <v>0</v>
      </c>
      <c r="I1527" s="294"/>
      <c r="J1527" s="294">
        <v>43887</v>
      </c>
      <c r="K1527" s="11">
        <f>209.58*0.5*1.6</f>
        <v>167.66400000000002</v>
      </c>
      <c r="L1527" s="11"/>
      <c r="M1527" s="11"/>
      <c r="N1527" s="100"/>
      <c r="O1527" s="11">
        <f t="shared" si="391"/>
        <v>167.66400000000002</v>
      </c>
      <c r="P1527" s="11">
        <f t="shared" si="378"/>
        <v>167.66400000000002</v>
      </c>
      <c r="Q1527" s="11"/>
      <c r="R1527" s="11">
        <f t="shared" si="377"/>
        <v>0</v>
      </c>
      <c r="S1527" s="11"/>
      <c r="T1527" s="136">
        <f t="shared" si="390"/>
        <v>0</v>
      </c>
    </row>
    <row r="1528" spans="1:20" ht="15.75" customHeight="1">
      <c r="A1528" s="149"/>
      <c r="B1528" s="273"/>
      <c r="C1528" s="28" t="s">
        <v>2215</v>
      </c>
      <c r="D1528" s="41">
        <v>180</v>
      </c>
      <c r="E1528" s="131">
        <f t="shared" si="376"/>
        <v>0</v>
      </c>
      <c r="F1528" s="21">
        <f t="shared" si="392"/>
        <v>0</v>
      </c>
      <c r="G1528" s="21"/>
      <c r="H1528" s="135">
        <f t="shared" si="389"/>
        <v>0</v>
      </c>
      <c r="I1528" s="294"/>
      <c r="J1528" s="294">
        <v>43887</v>
      </c>
      <c r="K1528" s="11">
        <f>228.07*0.5*1.6</f>
        <v>182.45600000000002</v>
      </c>
      <c r="L1528" s="11"/>
      <c r="M1528" s="11"/>
      <c r="N1528" s="100"/>
      <c r="O1528" s="11">
        <f t="shared" si="391"/>
        <v>182.45600000000002</v>
      </c>
      <c r="P1528" s="11">
        <f t="shared" si="378"/>
        <v>182.45600000000002</v>
      </c>
      <c r="Q1528" s="11"/>
      <c r="R1528" s="11">
        <f t="shared" si="377"/>
        <v>0</v>
      </c>
      <c r="S1528" s="11"/>
      <c r="T1528" s="136">
        <f t="shared" si="390"/>
        <v>0</v>
      </c>
    </row>
    <row r="1529" spans="1:20" ht="15.75" customHeight="1">
      <c r="A1529" s="149"/>
      <c r="B1529" s="273"/>
      <c r="C1529" s="28" t="s">
        <v>2216</v>
      </c>
      <c r="D1529" s="41">
        <v>210</v>
      </c>
      <c r="E1529" s="131">
        <f t="shared" si="376"/>
        <v>0</v>
      </c>
      <c r="F1529" s="21">
        <f t="shared" si="392"/>
        <v>0</v>
      </c>
      <c r="G1529" s="21"/>
      <c r="H1529" s="135">
        <f t="shared" si="389"/>
        <v>0</v>
      </c>
      <c r="I1529" s="294"/>
      <c r="J1529" s="294">
        <v>43887</v>
      </c>
      <c r="K1529" s="11">
        <f>261.97*0.5*1.6</f>
        <v>209.57600000000002</v>
      </c>
      <c r="L1529" s="11"/>
      <c r="M1529" s="11"/>
      <c r="N1529" s="100"/>
      <c r="O1529" s="11">
        <f t="shared" si="391"/>
        <v>209.57600000000002</v>
      </c>
      <c r="P1529" s="11">
        <f t="shared" ref="P1529:P1596" si="393">+O1529</f>
        <v>209.57600000000002</v>
      </c>
      <c r="Q1529" s="11"/>
      <c r="R1529" s="11">
        <f t="shared" ref="R1529:R1596" si="394">+P1529*Q1529</f>
        <v>0</v>
      </c>
      <c r="S1529" s="11"/>
      <c r="T1529" s="136">
        <f t="shared" si="390"/>
        <v>0</v>
      </c>
    </row>
    <row r="1530" spans="1:20" ht="15.75" customHeight="1">
      <c r="A1530" s="149"/>
      <c r="B1530" s="273"/>
      <c r="C1530" s="28" t="s">
        <v>1667</v>
      </c>
      <c r="D1530" s="41">
        <v>210</v>
      </c>
      <c r="E1530" s="131">
        <f t="shared" si="376"/>
        <v>0</v>
      </c>
      <c r="F1530" s="21">
        <f t="shared" si="392"/>
        <v>0</v>
      </c>
      <c r="G1530" s="21"/>
      <c r="H1530" s="135">
        <f t="shared" si="389"/>
        <v>0</v>
      </c>
      <c r="I1530" s="294">
        <v>43173</v>
      </c>
      <c r="J1530" s="294"/>
      <c r="K1530" s="11"/>
      <c r="L1530" s="11"/>
      <c r="M1530" s="11"/>
      <c r="N1530" s="100"/>
      <c r="O1530" s="11">
        <f t="shared" si="391"/>
        <v>0</v>
      </c>
      <c r="P1530" s="11">
        <f t="shared" si="393"/>
        <v>0</v>
      </c>
      <c r="Q1530" s="11"/>
      <c r="R1530" s="11">
        <f t="shared" si="394"/>
        <v>0</v>
      </c>
      <c r="S1530" s="11"/>
      <c r="T1530" s="136">
        <f t="shared" si="390"/>
        <v>0</v>
      </c>
    </row>
    <row r="1531" spans="1:20" ht="15.75" customHeight="1">
      <c r="A1531" s="149"/>
      <c r="B1531" s="273"/>
      <c r="C1531" s="28" t="s">
        <v>1668</v>
      </c>
      <c r="D1531" s="41">
        <v>220</v>
      </c>
      <c r="E1531" s="131">
        <f t="shared" si="376"/>
        <v>0</v>
      </c>
      <c r="F1531" s="21">
        <f t="shared" si="392"/>
        <v>0</v>
      </c>
      <c r="G1531" s="21"/>
      <c r="H1531" s="135">
        <f t="shared" si="389"/>
        <v>0</v>
      </c>
      <c r="I1531" s="294">
        <v>43173</v>
      </c>
      <c r="J1531" s="294"/>
      <c r="K1531" s="11">
        <f>91*1.5*1.5</f>
        <v>204.75</v>
      </c>
      <c r="L1531" s="11"/>
      <c r="M1531" s="11"/>
      <c r="N1531" s="100"/>
      <c r="O1531" s="11">
        <f t="shared" si="391"/>
        <v>204.75</v>
      </c>
      <c r="P1531" s="11">
        <f t="shared" si="393"/>
        <v>204.75</v>
      </c>
      <c r="Q1531" s="11"/>
      <c r="R1531" s="11">
        <f t="shared" si="394"/>
        <v>0</v>
      </c>
      <c r="S1531" s="11"/>
      <c r="T1531" s="136">
        <f t="shared" si="390"/>
        <v>0</v>
      </c>
    </row>
    <row r="1532" spans="1:20" ht="15.75" customHeight="1">
      <c r="A1532" s="149"/>
      <c r="B1532" s="273"/>
      <c r="C1532" s="28" t="s">
        <v>1669</v>
      </c>
      <c r="D1532" s="41">
        <v>280</v>
      </c>
      <c r="E1532" s="131">
        <f t="shared" si="376"/>
        <v>3170</v>
      </c>
      <c r="F1532" s="21">
        <f t="shared" si="392"/>
        <v>3835.7</v>
      </c>
      <c r="G1532" s="21"/>
      <c r="H1532" s="135">
        <f t="shared" si="389"/>
        <v>0</v>
      </c>
      <c r="I1532" s="294"/>
      <c r="J1532" s="294">
        <v>44854</v>
      </c>
      <c r="K1532" s="11">
        <v>2260</v>
      </c>
      <c r="L1532" s="65"/>
      <c r="M1532" s="32"/>
      <c r="N1532" s="100"/>
      <c r="O1532" s="11">
        <f t="shared" si="391"/>
        <v>2260</v>
      </c>
      <c r="P1532" s="11">
        <f t="shared" si="393"/>
        <v>2260</v>
      </c>
      <c r="Q1532" s="11">
        <v>1.4</v>
      </c>
      <c r="R1532" s="11">
        <f t="shared" si="394"/>
        <v>3164</v>
      </c>
      <c r="S1532" s="11"/>
      <c r="T1532" s="136">
        <f t="shared" si="390"/>
        <v>0</v>
      </c>
    </row>
    <row r="1533" spans="1:20" ht="15.75" customHeight="1">
      <c r="A1533" s="149"/>
      <c r="B1533" s="273"/>
      <c r="C1533" s="28" t="s">
        <v>2785</v>
      </c>
      <c r="D1533" s="41"/>
      <c r="E1533" s="131">
        <f t="shared" si="376"/>
        <v>1510</v>
      </c>
      <c r="F1533" s="21">
        <f t="shared" si="392"/>
        <v>1827.1</v>
      </c>
      <c r="G1533" s="21"/>
      <c r="H1533" s="135">
        <f t="shared" si="389"/>
        <v>0</v>
      </c>
      <c r="I1533" s="294"/>
      <c r="J1533" s="294">
        <v>44209</v>
      </c>
      <c r="K1533" s="11">
        <f>647*1.6</f>
        <v>1035.2</v>
      </c>
      <c r="L1533" s="11"/>
      <c r="M1533" s="11"/>
      <c r="N1533" s="100"/>
      <c r="O1533" s="11">
        <f t="shared" si="391"/>
        <v>1035.2</v>
      </c>
      <c r="P1533" s="11">
        <f t="shared" si="393"/>
        <v>1035.2</v>
      </c>
      <c r="Q1533" s="11">
        <v>1.45</v>
      </c>
      <c r="R1533" s="11">
        <f t="shared" si="394"/>
        <v>1501.04</v>
      </c>
      <c r="S1533" s="11"/>
      <c r="T1533" s="136">
        <f t="shared" si="390"/>
        <v>0</v>
      </c>
    </row>
    <row r="1534" spans="1:20" ht="15.75" customHeight="1">
      <c r="A1534" s="149"/>
      <c r="B1534" s="273"/>
      <c r="C1534" s="28" t="s">
        <v>1670</v>
      </c>
      <c r="D1534" s="41">
        <v>490</v>
      </c>
      <c r="E1534" s="131">
        <f t="shared" si="376"/>
        <v>8630</v>
      </c>
      <c r="F1534" s="21">
        <f t="shared" si="392"/>
        <v>10442.299999999999</v>
      </c>
      <c r="G1534" s="21"/>
      <c r="H1534" s="135">
        <f t="shared" si="389"/>
        <v>0</v>
      </c>
      <c r="I1534" s="294"/>
      <c r="J1534" s="294">
        <v>44736</v>
      </c>
      <c r="K1534" s="11">
        <f>6.72*PROVEEDORES!D36</f>
        <v>5947.2</v>
      </c>
      <c r="L1534" s="11"/>
      <c r="M1534" s="11"/>
      <c r="N1534" s="100"/>
      <c r="O1534" s="11">
        <f t="shared" si="391"/>
        <v>5947.2</v>
      </c>
      <c r="P1534" s="11">
        <f t="shared" si="393"/>
        <v>5947.2</v>
      </c>
      <c r="Q1534" s="11">
        <v>1.45</v>
      </c>
      <c r="R1534" s="11">
        <f t="shared" si="394"/>
        <v>8623.4399999999987</v>
      </c>
      <c r="S1534" s="11"/>
      <c r="T1534" s="136">
        <f t="shared" si="390"/>
        <v>0</v>
      </c>
    </row>
    <row r="1535" spans="1:20" ht="15.75" customHeight="1">
      <c r="A1535" s="149"/>
      <c r="B1535" s="273"/>
      <c r="C1535" s="28" t="s">
        <v>1671</v>
      </c>
      <c r="D1535" s="41">
        <v>340</v>
      </c>
      <c r="E1535" s="131">
        <f t="shared" si="376"/>
        <v>0</v>
      </c>
      <c r="F1535" s="21">
        <f t="shared" si="392"/>
        <v>0</v>
      </c>
      <c r="G1535" s="21"/>
      <c r="H1535" s="135">
        <f t="shared" si="389"/>
        <v>0</v>
      </c>
      <c r="I1535" s="294"/>
      <c r="J1535" s="294">
        <v>42920</v>
      </c>
      <c r="K1535" s="11">
        <f>151*1.5*1.5</f>
        <v>339.75</v>
      </c>
      <c r="L1535" s="11"/>
      <c r="M1535" s="32"/>
      <c r="N1535" s="100"/>
      <c r="O1535" s="11">
        <f t="shared" si="391"/>
        <v>339.75</v>
      </c>
      <c r="P1535" s="11">
        <f t="shared" si="393"/>
        <v>339.75</v>
      </c>
      <c r="Q1535" s="11"/>
      <c r="R1535" s="11">
        <f t="shared" si="394"/>
        <v>0</v>
      </c>
      <c r="S1535" s="11"/>
      <c r="T1535" s="136">
        <f t="shared" si="390"/>
        <v>0</v>
      </c>
    </row>
    <row r="1536" spans="1:20" ht="15.75" customHeight="1">
      <c r="A1536" s="149"/>
      <c r="B1536" s="273"/>
      <c r="C1536" s="28" t="s">
        <v>1672</v>
      </c>
      <c r="D1536" s="41">
        <v>350</v>
      </c>
      <c r="E1536" s="131">
        <f t="shared" ref="E1536:E1600" si="395">ROUNDUP(R1536,-1)</f>
        <v>0</v>
      </c>
      <c r="F1536" s="21">
        <f t="shared" si="392"/>
        <v>0</v>
      </c>
      <c r="G1536" s="21"/>
      <c r="H1536" s="135">
        <f t="shared" si="389"/>
        <v>0</v>
      </c>
      <c r="I1536" s="294"/>
      <c r="J1536" s="294">
        <v>42920</v>
      </c>
      <c r="K1536" s="11">
        <f>152*1.5*1.5</f>
        <v>342</v>
      </c>
      <c r="L1536" s="11"/>
      <c r="M1536" s="11"/>
      <c r="N1536" s="100"/>
      <c r="O1536" s="11">
        <f t="shared" si="391"/>
        <v>342</v>
      </c>
      <c r="P1536" s="11">
        <f t="shared" si="393"/>
        <v>342</v>
      </c>
      <c r="Q1536" s="11"/>
      <c r="R1536" s="11">
        <f t="shared" si="394"/>
        <v>0</v>
      </c>
      <c r="S1536" s="11"/>
      <c r="T1536" s="136">
        <f t="shared" si="390"/>
        <v>0</v>
      </c>
    </row>
    <row r="1537" spans="1:20" ht="15.75" customHeight="1">
      <c r="A1537" s="149">
        <v>12</v>
      </c>
      <c r="B1537" s="273"/>
      <c r="C1537" s="28" t="s">
        <v>4560</v>
      </c>
      <c r="D1537" s="41"/>
      <c r="E1537" s="131">
        <f>ROUNDUP(R1537,-1)</f>
        <v>4510</v>
      </c>
      <c r="F1537" s="21">
        <f t="shared" si="392"/>
        <v>5457.0999999999995</v>
      </c>
      <c r="G1537" s="21"/>
      <c r="H1537" s="135">
        <f>ROUNDUP(T1537,-1)</f>
        <v>0</v>
      </c>
      <c r="I1537" s="294">
        <v>45274</v>
      </c>
      <c r="J1537" s="294">
        <v>45338</v>
      </c>
      <c r="K1537" s="10">
        <v>3004</v>
      </c>
      <c r="L1537" s="11"/>
      <c r="M1537" s="11"/>
      <c r="N1537" s="100"/>
      <c r="O1537" s="11">
        <f>MIN(K1537:M1537)</f>
        <v>3004</v>
      </c>
      <c r="P1537" s="11">
        <f>+O1537</f>
        <v>3004</v>
      </c>
      <c r="Q1537" s="11">
        <v>1.5</v>
      </c>
      <c r="R1537" s="11">
        <f>+P1537*Q1537</f>
        <v>4506</v>
      </c>
      <c r="S1537" s="11"/>
      <c r="T1537" s="136">
        <f>+N1537*Q1537</f>
        <v>0</v>
      </c>
    </row>
    <row r="1538" spans="1:20" ht="15.75" customHeight="1">
      <c r="A1538" s="149">
        <v>12</v>
      </c>
      <c r="B1538" s="273"/>
      <c r="C1538" s="28" t="s">
        <v>3900</v>
      </c>
      <c r="D1538" s="41"/>
      <c r="E1538" s="131">
        <f t="shared" si="395"/>
        <v>0</v>
      </c>
      <c r="F1538" s="21">
        <f t="shared" ref="F1538:F1573" si="396">+E1538*1.21</f>
        <v>0</v>
      </c>
      <c r="G1538" s="21"/>
      <c r="H1538" s="135">
        <f t="shared" si="389"/>
        <v>0</v>
      </c>
      <c r="I1538" s="294">
        <v>45108</v>
      </c>
      <c r="J1538" s="294"/>
      <c r="K1538" s="10">
        <v>637</v>
      </c>
      <c r="L1538" s="11"/>
      <c r="M1538" s="11"/>
      <c r="N1538" s="100"/>
      <c r="O1538" s="11">
        <f t="shared" si="391"/>
        <v>637</v>
      </c>
      <c r="P1538" s="11">
        <f t="shared" si="393"/>
        <v>637</v>
      </c>
      <c r="Q1538" s="11"/>
      <c r="R1538" s="11">
        <f t="shared" si="394"/>
        <v>0</v>
      </c>
      <c r="S1538" s="11"/>
      <c r="T1538" s="136">
        <f t="shared" si="390"/>
        <v>0</v>
      </c>
    </row>
    <row r="1539" spans="1:20" ht="15.75" customHeight="1">
      <c r="A1539" s="149">
        <v>12</v>
      </c>
      <c r="B1539" s="273"/>
      <c r="C1539" s="28" t="s">
        <v>3899</v>
      </c>
      <c r="D1539" s="41"/>
      <c r="E1539" s="131">
        <f t="shared" si="395"/>
        <v>0</v>
      </c>
      <c r="F1539" s="21">
        <f t="shared" si="396"/>
        <v>0</v>
      </c>
      <c r="G1539" s="21"/>
      <c r="H1539" s="135">
        <f t="shared" si="389"/>
        <v>0</v>
      </c>
      <c r="I1539" s="294">
        <v>45108</v>
      </c>
      <c r="J1539" s="294"/>
      <c r="K1539" s="10">
        <v>460</v>
      </c>
      <c r="L1539" s="11"/>
      <c r="M1539" s="11"/>
      <c r="N1539" s="100"/>
      <c r="O1539" s="11">
        <f t="shared" si="391"/>
        <v>460</v>
      </c>
      <c r="P1539" s="11">
        <f t="shared" si="393"/>
        <v>460</v>
      </c>
      <c r="Q1539" s="11"/>
      <c r="R1539" s="11">
        <f t="shared" si="394"/>
        <v>0</v>
      </c>
      <c r="S1539" s="11"/>
      <c r="T1539" s="136">
        <f t="shared" si="390"/>
        <v>0</v>
      </c>
    </row>
    <row r="1540" spans="1:20" ht="15.75" customHeight="1">
      <c r="A1540" s="149">
        <v>12</v>
      </c>
      <c r="B1540" s="273"/>
      <c r="C1540" s="28" t="s">
        <v>3901</v>
      </c>
      <c r="D1540" s="41"/>
      <c r="E1540" s="131">
        <f t="shared" si="395"/>
        <v>0</v>
      </c>
      <c r="F1540" s="21">
        <f t="shared" si="396"/>
        <v>0</v>
      </c>
      <c r="G1540" s="21"/>
      <c r="H1540" s="135">
        <f t="shared" si="389"/>
        <v>0</v>
      </c>
      <c r="I1540" s="294">
        <v>45108</v>
      </c>
      <c r="J1540" s="294">
        <v>45139</v>
      </c>
      <c r="K1540" s="10">
        <v>709</v>
      </c>
      <c r="L1540" s="11"/>
      <c r="M1540" s="11"/>
      <c r="N1540" s="100"/>
      <c r="O1540" s="11">
        <f t="shared" si="391"/>
        <v>709</v>
      </c>
      <c r="P1540" s="11">
        <f t="shared" si="393"/>
        <v>709</v>
      </c>
      <c r="Q1540" s="11"/>
      <c r="R1540" s="11">
        <f t="shared" si="394"/>
        <v>0</v>
      </c>
      <c r="S1540" s="11"/>
      <c r="T1540" s="136">
        <f t="shared" si="390"/>
        <v>0</v>
      </c>
    </row>
    <row r="1541" spans="1:20" ht="15.75" customHeight="1">
      <c r="A1541" s="149">
        <v>12</v>
      </c>
      <c r="B1541" s="273"/>
      <c r="C1541" s="28" t="s">
        <v>4131</v>
      </c>
      <c r="D1541" s="41"/>
      <c r="E1541" s="131">
        <f t="shared" si="395"/>
        <v>3670</v>
      </c>
      <c r="F1541" s="21">
        <f t="shared" si="396"/>
        <v>4440.7</v>
      </c>
      <c r="G1541" s="21"/>
      <c r="H1541" s="135">
        <f t="shared" si="389"/>
        <v>0</v>
      </c>
      <c r="I1541" s="294">
        <v>45222</v>
      </c>
      <c r="J1541" s="294">
        <v>45338</v>
      </c>
      <c r="K1541" s="10">
        <v>2445</v>
      </c>
      <c r="L1541" s="11"/>
      <c r="M1541" s="11"/>
      <c r="N1541" s="100"/>
      <c r="O1541" s="11">
        <f t="shared" si="391"/>
        <v>2445</v>
      </c>
      <c r="P1541" s="11">
        <f t="shared" si="393"/>
        <v>2445</v>
      </c>
      <c r="Q1541" s="11">
        <v>1.5</v>
      </c>
      <c r="R1541" s="11">
        <f t="shared" si="394"/>
        <v>3667.5</v>
      </c>
      <c r="S1541" s="11"/>
      <c r="T1541" s="136">
        <f t="shared" si="390"/>
        <v>0</v>
      </c>
    </row>
    <row r="1542" spans="1:20" ht="15.75" customHeight="1">
      <c r="A1542" s="149">
        <v>36</v>
      </c>
      <c r="B1542" s="273"/>
      <c r="C1542" s="28" t="s">
        <v>44320</v>
      </c>
      <c r="D1542" s="41">
        <v>400</v>
      </c>
      <c r="E1542" s="131">
        <f t="shared" si="395"/>
        <v>7890</v>
      </c>
      <c r="F1542" s="21">
        <f t="shared" si="396"/>
        <v>9546.9</v>
      </c>
      <c r="G1542" s="21"/>
      <c r="H1542" s="135">
        <f t="shared" si="389"/>
        <v>0</v>
      </c>
      <c r="I1542" s="294">
        <v>45274</v>
      </c>
      <c r="J1542" s="294">
        <v>45331</v>
      </c>
      <c r="K1542" s="10">
        <f>0.8*0.94*6989</f>
        <v>5255.7280000000001</v>
      </c>
      <c r="L1542" s="11"/>
      <c r="M1542" s="11"/>
      <c r="N1542" s="100"/>
      <c r="O1542" s="11">
        <f t="shared" si="391"/>
        <v>5255.7280000000001</v>
      </c>
      <c r="P1542" s="11">
        <f t="shared" si="393"/>
        <v>5255.7280000000001</v>
      </c>
      <c r="Q1542" s="11">
        <v>1.5</v>
      </c>
      <c r="R1542" s="11">
        <f t="shared" si="394"/>
        <v>7883.5920000000006</v>
      </c>
      <c r="S1542" s="11"/>
      <c r="T1542" s="136">
        <f t="shared" si="390"/>
        <v>0</v>
      </c>
    </row>
    <row r="1543" spans="1:20" ht="15.75" customHeight="1">
      <c r="A1543" s="149">
        <v>36</v>
      </c>
      <c r="B1543" s="273"/>
      <c r="C1543" s="28" t="s">
        <v>4348</v>
      </c>
      <c r="D1543" s="41">
        <v>270</v>
      </c>
      <c r="E1543" s="131">
        <f t="shared" si="395"/>
        <v>5310</v>
      </c>
      <c r="F1543" s="21">
        <f t="shared" si="396"/>
        <v>6425.0999999999995</v>
      </c>
      <c r="G1543" s="21"/>
      <c r="H1543" s="135">
        <f t="shared" si="389"/>
        <v>0</v>
      </c>
      <c r="I1543" s="294">
        <v>45274</v>
      </c>
      <c r="J1543" s="294">
        <v>45331</v>
      </c>
      <c r="K1543" s="11">
        <f>0.8*0.94*4699</f>
        <v>3533.6480000000001</v>
      </c>
      <c r="L1543" s="11"/>
      <c r="M1543" s="11"/>
      <c r="N1543" s="100"/>
      <c r="O1543" s="11">
        <f t="shared" si="391"/>
        <v>3533.6480000000001</v>
      </c>
      <c r="P1543" s="11">
        <f t="shared" si="393"/>
        <v>3533.6480000000001</v>
      </c>
      <c r="Q1543" s="11">
        <v>1.5</v>
      </c>
      <c r="R1543" s="11">
        <f t="shared" si="394"/>
        <v>5300.4719999999998</v>
      </c>
      <c r="S1543" s="11"/>
      <c r="T1543" s="136">
        <f t="shared" si="390"/>
        <v>0</v>
      </c>
    </row>
    <row r="1544" spans="1:20" ht="15.75" customHeight="1">
      <c r="A1544" s="149">
        <v>36</v>
      </c>
      <c r="B1544" s="273"/>
      <c r="C1544" s="28" t="s">
        <v>4349</v>
      </c>
      <c r="D1544" s="41">
        <v>420</v>
      </c>
      <c r="E1544" s="131">
        <f t="shared" si="395"/>
        <v>8250</v>
      </c>
      <c r="F1544" s="21">
        <f t="shared" si="396"/>
        <v>9982.5</v>
      </c>
      <c r="G1544" s="21"/>
      <c r="H1544" s="135">
        <f t="shared" si="389"/>
        <v>0</v>
      </c>
      <c r="I1544" s="294">
        <v>45274</v>
      </c>
      <c r="J1544" s="294">
        <v>45331</v>
      </c>
      <c r="K1544" s="10">
        <f>0.8*0.94*7313</f>
        <v>5499.3760000000002</v>
      </c>
      <c r="L1544" s="11"/>
      <c r="M1544" s="11"/>
      <c r="N1544" s="100"/>
      <c r="O1544" s="11">
        <f t="shared" si="391"/>
        <v>5499.3760000000002</v>
      </c>
      <c r="P1544" s="11">
        <f t="shared" si="393"/>
        <v>5499.3760000000002</v>
      </c>
      <c r="Q1544" s="11">
        <v>1.5</v>
      </c>
      <c r="R1544" s="11">
        <f t="shared" si="394"/>
        <v>8249.0640000000003</v>
      </c>
      <c r="S1544" s="11"/>
      <c r="T1544" s="136">
        <f t="shared" si="390"/>
        <v>0</v>
      </c>
    </row>
    <row r="1545" spans="1:20" ht="15.75" customHeight="1">
      <c r="A1545" s="149">
        <v>38</v>
      </c>
      <c r="B1545" s="273"/>
      <c r="C1545" s="28" t="s">
        <v>2788</v>
      </c>
      <c r="D1545" s="41">
        <v>510</v>
      </c>
      <c r="E1545" s="131">
        <f t="shared" si="395"/>
        <v>8940</v>
      </c>
      <c r="F1545" s="21">
        <f t="shared" si="396"/>
        <v>10817.4</v>
      </c>
      <c r="G1545" s="21"/>
      <c r="H1545" s="135">
        <f t="shared" si="389"/>
        <v>7740</v>
      </c>
      <c r="I1545" s="294">
        <v>45138</v>
      </c>
      <c r="J1545" s="294">
        <v>45274</v>
      </c>
      <c r="K1545" s="10">
        <f>+PROVEEDORES!$D$32*5.67</f>
        <v>5953.5</v>
      </c>
      <c r="L1545" s="11"/>
      <c r="M1545" s="11"/>
      <c r="N1545" s="100">
        <v>5160</v>
      </c>
      <c r="O1545" s="11">
        <f t="shared" si="391"/>
        <v>5953.5</v>
      </c>
      <c r="P1545" s="11">
        <f t="shared" si="393"/>
        <v>5953.5</v>
      </c>
      <c r="Q1545" s="11">
        <v>1.5</v>
      </c>
      <c r="R1545" s="11">
        <f t="shared" si="394"/>
        <v>8930.25</v>
      </c>
      <c r="S1545" s="11"/>
      <c r="T1545" s="136">
        <f t="shared" si="390"/>
        <v>7740</v>
      </c>
    </row>
    <row r="1546" spans="1:20" ht="15.75" customHeight="1">
      <c r="A1546" s="149">
        <v>21</v>
      </c>
      <c r="B1546" s="273"/>
      <c r="C1546" s="28" t="s">
        <v>2146</v>
      </c>
      <c r="D1546" s="41">
        <v>550</v>
      </c>
      <c r="E1546" s="131">
        <f t="shared" si="395"/>
        <v>18200</v>
      </c>
      <c r="F1546" s="21">
        <f t="shared" si="396"/>
        <v>22022</v>
      </c>
      <c r="G1546" s="21"/>
      <c r="H1546" s="135">
        <f t="shared" si="389"/>
        <v>0</v>
      </c>
      <c r="I1546" s="294">
        <v>45273</v>
      </c>
      <c r="J1546" s="294">
        <v>45323</v>
      </c>
      <c r="K1546" s="10">
        <f>0.6*20216</f>
        <v>12129.6</v>
      </c>
      <c r="L1546" s="11"/>
      <c r="M1546" s="11"/>
      <c r="N1546" s="100"/>
      <c r="O1546" s="11">
        <f t="shared" si="391"/>
        <v>12129.6</v>
      </c>
      <c r="P1546" s="11">
        <f t="shared" si="393"/>
        <v>12129.6</v>
      </c>
      <c r="Q1546" s="11">
        <v>1.5</v>
      </c>
      <c r="R1546" s="11">
        <f t="shared" si="394"/>
        <v>18194.400000000001</v>
      </c>
      <c r="S1546" s="11"/>
      <c r="T1546" s="136">
        <f t="shared" si="390"/>
        <v>0</v>
      </c>
    </row>
    <row r="1547" spans="1:20" ht="15.75" customHeight="1">
      <c r="A1547" s="149">
        <v>21</v>
      </c>
      <c r="B1547" s="273"/>
      <c r="C1547" s="28" t="s">
        <v>2534</v>
      </c>
      <c r="D1547" s="41">
        <v>400</v>
      </c>
      <c r="E1547" s="131">
        <f t="shared" si="395"/>
        <v>16530</v>
      </c>
      <c r="F1547" s="21">
        <f t="shared" si="396"/>
        <v>20001.3</v>
      </c>
      <c r="G1547" s="21"/>
      <c r="H1547" s="135">
        <f t="shared" si="389"/>
        <v>0</v>
      </c>
      <c r="I1547" s="294">
        <v>45273</v>
      </c>
      <c r="J1547" s="294">
        <v>45323</v>
      </c>
      <c r="K1547" s="10">
        <f>0.6*18357</f>
        <v>11014.199999999999</v>
      </c>
      <c r="L1547" s="11"/>
      <c r="M1547" s="11"/>
      <c r="N1547" s="100"/>
      <c r="O1547" s="11">
        <f t="shared" si="391"/>
        <v>11014.199999999999</v>
      </c>
      <c r="P1547" s="11">
        <f t="shared" si="393"/>
        <v>11014.199999999999</v>
      </c>
      <c r="Q1547" s="11">
        <v>1.5</v>
      </c>
      <c r="R1547" s="11">
        <f t="shared" si="394"/>
        <v>16521.3</v>
      </c>
      <c r="S1547" s="11"/>
      <c r="T1547" s="136">
        <f t="shared" si="390"/>
        <v>0</v>
      </c>
    </row>
    <row r="1548" spans="1:20" ht="15.75" customHeight="1">
      <c r="A1548" s="149">
        <v>21</v>
      </c>
      <c r="B1548" s="273"/>
      <c r="C1548" s="28" t="s">
        <v>2207</v>
      </c>
      <c r="D1548" s="41">
        <v>430</v>
      </c>
      <c r="E1548" s="131">
        <f t="shared" si="395"/>
        <v>16890</v>
      </c>
      <c r="F1548" s="21">
        <f t="shared" si="396"/>
        <v>20436.899999999998</v>
      </c>
      <c r="G1548" s="21"/>
      <c r="H1548" s="135">
        <f t="shared" si="389"/>
        <v>0</v>
      </c>
      <c r="I1548" s="294">
        <v>45273</v>
      </c>
      <c r="J1548" s="294">
        <v>45323</v>
      </c>
      <c r="K1548" s="10">
        <f>0.6*18765</f>
        <v>11259</v>
      </c>
      <c r="L1548" s="11"/>
      <c r="M1548" s="11"/>
      <c r="N1548" s="100"/>
      <c r="O1548" s="11">
        <f t="shared" si="391"/>
        <v>11259</v>
      </c>
      <c r="P1548" s="11">
        <f t="shared" si="393"/>
        <v>11259</v>
      </c>
      <c r="Q1548" s="11">
        <v>1.5</v>
      </c>
      <c r="R1548" s="11">
        <f t="shared" si="394"/>
        <v>16888.5</v>
      </c>
      <c r="S1548" s="11"/>
      <c r="T1548" s="136">
        <f t="shared" si="390"/>
        <v>0</v>
      </c>
    </row>
    <row r="1549" spans="1:20" ht="15.75" customHeight="1">
      <c r="A1549" s="149">
        <v>12</v>
      </c>
      <c r="B1549" s="273"/>
      <c r="C1549" s="28" t="s">
        <v>44328</v>
      </c>
      <c r="D1549" s="41">
        <v>430</v>
      </c>
      <c r="E1549" s="131">
        <f t="shared" ref="E1549" si="397">ROUNDUP(R1549,-1)</f>
        <v>11750</v>
      </c>
      <c r="F1549" s="21">
        <f t="shared" ref="F1549" si="398">+E1549*1.21</f>
        <v>14217.5</v>
      </c>
      <c r="G1549" s="21"/>
      <c r="H1549" s="135">
        <f t="shared" ref="H1549" si="399">ROUNDUP(T1549,-1)</f>
        <v>0</v>
      </c>
      <c r="I1549" s="294">
        <v>45288</v>
      </c>
      <c r="J1549" s="294">
        <v>45338</v>
      </c>
      <c r="K1549" s="10">
        <v>7830</v>
      </c>
      <c r="L1549" s="11"/>
      <c r="M1549" s="11"/>
      <c r="N1549" s="100"/>
      <c r="O1549" s="11">
        <f t="shared" ref="O1549" si="400">MIN(K1549:M1549)</f>
        <v>7830</v>
      </c>
      <c r="P1549" s="11">
        <f t="shared" ref="P1549" si="401">+O1549</f>
        <v>7830</v>
      </c>
      <c r="Q1549" s="11">
        <v>1.5</v>
      </c>
      <c r="R1549" s="11">
        <f t="shared" ref="R1549" si="402">+P1549*Q1549</f>
        <v>11745</v>
      </c>
      <c r="S1549" s="11"/>
      <c r="T1549" s="136">
        <f t="shared" ref="T1549" si="403">+N1549*Q1549</f>
        <v>0</v>
      </c>
    </row>
    <row r="1550" spans="1:20" ht="15.75" customHeight="1">
      <c r="A1550" s="149">
        <v>97</v>
      </c>
      <c r="B1550" s="273"/>
      <c r="C1550" s="28" t="s">
        <v>4184</v>
      </c>
      <c r="D1550" s="41"/>
      <c r="E1550" s="131">
        <f t="shared" si="395"/>
        <v>68590</v>
      </c>
      <c r="F1550" s="21">
        <f t="shared" si="396"/>
        <v>82993.899999999994</v>
      </c>
      <c r="G1550" s="21"/>
      <c r="H1550" s="135">
        <f t="shared" si="389"/>
        <v>0</v>
      </c>
      <c r="I1550" s="294">
        <v>45258</v>
      </c>
      <c r="J1550" s="294"/>
      <c r="K1550" s="10">
        <f>2226*0.85*25</f>
        <v>47302.5</v>
      </c>
      <c r="L1550" s="10"/>
      <c r="M1550" s="11"/>
      <c r="N1550" s="100"/>
      <c r="O1550" s="11">
        <f t="shared" si="391"/>
        <v>47302.5</v>
      </c>
      <c r="P1550" s="11">
        <f t="shared" si="393"/>
        <v>47302.5</v>
      </c>
      <c r="Q1550" s="11">
        <v>1.45</v>
      </c>
      <c r="R1550" s="11">
        <f t="shared" si="394"/>
        <v>68588.625</v>
      </c>
      <c r="S1550" s="11"/>
      <c r="T1550" s="136">
        <f t="shared" si="390"/>
        <v>0</v>
      </c>
    </row>
    <row r="1551" spans="1:20" ht="15.75" customHeight="1">
      <c r="A1551" s="149" t="s">
        <v>37271</v>
      </c>
      <c r="B1551" s="273"/>
      <c r="C1551" s="28" t="s">
        <v>1673</v>
      </c>
      <c r="D1551" s="41">
        <v>1130</v>
      </c>
      <c r="E1551" s="131">
        <f t="shared" si="395"/>
        <v>22470</v>
      </c>
      <c r="F1551" s="21">
        <f t="shared" si="396"/>
        <v>27188.7</v>
      </c>
      <c r="G1551" s="21"/>
      <c r="H1551" s="135">
        <f t="shared" si="389"/>
        <v>0</v>
      </c>
      <c r="I1551" s="294">
        <v>45286</v>
      </c>
      <c r="J1551" s="294">
        <v>45329</v>
      </c>
      <c r="K1551" s="11">
        <f>+PROVEEDORES!D8*26.6</f>
        <v>23541</v>
      </c>
      <c r="L1551" s="10">
        <v>14980</v>
      </c>
      <c r="M1551" s="10">
        <v>23178</v>
      </c>
      <c r="N1551" s="100"/>
      <c r="O1551" s="11">
        <f t="shared" si="391"/>
        <v>14980</v>
      </c>
      <c r="P1551" s="11">
        <f t="shared" si="393"/>
        <v>14980</v>
      </c>
      <c r="Q1551" s="11">
        <v>1.5</v>
      </c>
      <c r="R1551" s="11">
        <f t="shared" si="394"/>
        <v>22470</v>
      </c>
      <c r="S1551" s="11"/>
      <c r="T1551" s="136">
        <f t="shared" si="390"/>
        <v>0</v>
      </c>
    </row>
    <row r="1552" spans="1:20" ht="15.75" customHeight="1">
      <c r="A1552" s="149" t="s">
        <v>2442</v>
      </c>
      <c r="B1552" s="273"/>
      <c r="C1552" s="28" t="s">
        <v>1674</v>
      </c>
      <c r="D1552" s="41">
        <v>0</v>
      </c>
      <c r="E1552" s="131">
        <f t="shared" si="395"/>
        <v>0</v>
      </c>
      <c r="F1552" s="21">
        <f t="shared" si="396"/>
        <v>0</v>
      </c>
      <c r="G1552" s="21"/>
      <c r="H1552" s="135">
        <f t="shared" si="389"/>
        <v>0</v>
      </c>
      <c r="I1552" s="40"/>
      <c r="J1552" s="294"/>
      <c r="K1552" s="11">
        <f>15.8*42*1.4</f>
        <v>929.04</v>
      </c>
      <c r="L1552" s="11">
        <f>17.48*40</f>
        <v>699.2</v>
      </c>
      <c r="M1552" s="11">
        <v>647.79999999999995</v>
      </c>
      <c r="N1552" s="100"/>
      <c r="O1552" s="11">
        <f t="shared" si="391"/>
        <v>647.79999999999995</v>
      </c>
      <c r="P1552" s="11">
        <f t="shared" si="393"/>
        <v>647.79999999999995</v>
      </c>
      <c r="Q1552" s="11"/>
      <c r="R1552" s="11">
        <f t="shared" si="394"/>
        <v>0</v>
      </c>
      <c r="S1552" s="11"/>
      <c r="T1552" s="136">
        <f t="shared" si="390"/>
        <v>0</v>
      </c>
    </row>
    <row r="1553" spans="1:20" ht="15.75" customHeight="1">
      <c r="A1553" s="149">
        <v>14</v>
      </c>
      <c r="B1553" s="273"/>
      <c r="C1553" s="28" t="s">
        <v>2620</v>
      </c>
      <c r="D1553" s="41">
        <v>350</v>
      </c>
      <c r="E1553" s="131">
        <f t="shared" si="395"/>
        <v>3980</v>
      </c>
      <c r="F1553" s="21">
        <f t="shared" si="396"/>
        <v>4815.8</v>
      </c>
      <c r="G1553" s="21"/>
      <c r="H1553" s="135">
        <f t="shared" si="389"/>
        <v>0</v>
      </c>
      <c r="I1553" s="40">
        <v>45287</v>
      </c>
      <c r="J1553" s="294">
        <v>45329</v>
      </c>
      <c r="K1553" s="11">
        <v>2650</v>
      </c>
      <c r="L1553" s="11"/>
      <c r="M1553" s="11"/>
      <c r="N1553" s="100"/>
      <c r="O1553" s="11">
        <f t="shared" si="391"/>
        <v>2650</v>
      </c>
      <c r="P1553" s="11">
        <f t="shared" si="393"/>
        <v>2650</v>
      </c>
      <c r="Q1553" s="11">
        <v>1.5</v>
      </c>
      <c r="R1553" s="11">
        <f t="shared" si="394"/>
        <v>3975</v>
      </c>
      <c r="S1553" s="11"/>
      <c r="T1553" s="136">
        <f t="shared" si="390"/>
        <v>0</v>
      </c>
    </row>
    <row r="1554" spans="1:20" ht="15.75" customHeight="1">
      <c r="A1554" s="149"/>
      <c r="B1554" s="273"/>
      <c r="C1554" s="28" t="s">
        <v>2264</v>
      </c>
      <c r="D1554" s="41">
        <v>470</v>
      </c>
      <c r="E1554" s="131">
        <f t="shared" si="395"/>
        <v>0</v>
      </c>
      <c r="F1554" s="21">
        <f t="shared" si="396"/>
        <v>0</v>
      </c>
      <c r="G1554" s="21"/>
      <c r="H1554" s="135">
        <f t="shared" si="389"/>
        <v>0</v>
      </c>
      <c r="I1554" s="40">
        <v>43966</v>
      </c>
      <c r="J1554" s="294">
        <v>44138</v>
      </c>
      <c r="K1554" s="11">
        <v>310</v>
      </c>
      <c r="L1554" s="11">
        <f>220*2</f>
        <v>440</v>
      </c>
      <c r="M1554" s="11"/>
      <c r="N1554" s="100"/>
      <c r="O1554" s="11">
        <f t="shared" si="391"/>
        <v>310</v>
      </c>
      <c r="P1554" s="11">
        <f t="shared" si="393"/>
        <v>310</v>
      </c>
      <c r="Q1554" s="11"/>
      <c r="R1554" s="11">
        <f t="shared" si="394"/>
        <v>0</v>
      </c>
      <c r="S1554" s="11"/>
      <c r="T1554" s="136">
        <f t="shared" si="390"/>
        <v>0</v>
      </c>
    </row>
    <row r="1555" spans="1:20" ht="15.75" customHeight="1">
      <c r="A1555" s="149"/>
      <c r="B1555" s="273"/>
      <c r="C1555" s="28" t="s">
        <v>2276</v>
      </c>
      <c r="D1555" s="41">
        <v>570</v>
      </c>
      <c r="E1555" s="131">
        <f t="shared" si="395"/>
        <v>0</v>
      </c>
      <c r="F1555" s="21">
        <f t="shared" si="396"/>
        <v>0</v>
      </c>
      <c r="G1555" s="21"/>
      <c r="H1555" s="135">
        <f t="shared" si="389"/>
        <v>0</v>
      </c>
      <c r="I1555" s="40"/>
      <c r="J1555" s="294">
        <v>44000</v>
      </c>
      <c r="K1555" s="11">
        <f>380*1.5</f>
        <v>570</v>
      </c>
      <c r="L1555" s="11"/>
      <c r="M1555" s="11"/>
      <c r="N1555" s="100"/>
      <c r="O1555" s="11">
        <f t="shared" si="391"/>
        <v>570</v>
      </c>
      <c r="P1555" s="11">
        <f t="shared" si="393"/>
        <v>570</v>
      </c>
      <c r="Q1555" s="11"/>
      <c r="R1555" s="11">
        <f t="shared" si="394"/>
        <v>0</v>
      </c>
      <c r="S1555" s="11"/>
      <c r="T1555" s="136">
        <f t="shared" si="390"/>
        <v>0</v>
      </c>
    </row>
    <row r="1556" spans="1:20" ht="15.75" customHeight="1">
      <c r="A1556" s="149" t="s">
        <v>2387</v>
      </c>
      <c r="B1556" s="273"/>
      <c r="C1556" s="28" t="s">
        <v>2459</v>
      </c>
      <c r="D1556" s="41">
        <v>760</v>
      </c>
      <c r="E1556" s="131">
        <f t="shared" si="395"/>
        <v>6220</v>
      </c>
      <c r="F1556" s="21">
        <f t="shared" si="396"/>
        <v>7526.2</v>
      </c>
      <c r="G1556" s="21"/>
      <c r="H1556" s="135">
        <f t="shared" si="389"/>
        <v>0</v>
      </c>
      <c r="I1556" s="294">
        <v>45173</v>
      </c>
      <c r="J1556" s="40"/>
      <c r="K1556" s="10"/>
      <c r="L1556" s="11">
        <f>+'AUMENTOS %'!C15*4143</f>
        <v>4143</v>
      </c>
      <c r="M1556" s="11"/>
      <c r="N1556" s="100"/>
      <c r="O1556" s="11">
        <f t="shared" si="391"/>
        <v>4143</v>
      </c>
      <c r="P1556" s="11">
        <f t="shared" si="393"/>
        <v>4143</v>
      </c>
      <c r="Q1556" s="11">
        <v>1.5</v>
      </c>
      <c r="R1556" s="11">
        <f t="shared" si="394"/>
        <v>6214.5</v>
      </c>
      <c r="S1556" s="11"/>
      <c r="T1556" s="136">
        <f t="shared" si="390"/>
        <v>0</v>
      </c>
    </row>
    <row r="1557" spans="1:20" ht="15.75" customHeight="1">
      <c r="A1557" s="149">
        <v>12</v>
      </c>
      <c r="B1557" s="273"/>
      <c r="C1557" s="28" t="s">
        <v>3923</v>
      </c>
      <c r="D1557" s="41"/>
      <c r="E1557" s="131">
        <f t="shared" si="395"/>
        <v>8800</v>
      </c>
      <c r="F1557" s="21">
        <f t="shared" si="396"/>
        <v>10648</v>
      </c>
      <c r="G1557" s="21"/>
      <c r="H1557" s="135">
        <f t="shared" si="389"/>
        <v>0</v>
      </c>
      <c r="I1557" s="294">
        <v>45294</v>
      </c>
      <c r="J1557" s="23">
        <v>45338</v>
      </c>
      <c r="K1557" s="10">
        <v>5866</v>
      </c>
      <c r="L1557" s="10"/>
      <c r="M1557" s="11"/>
      <c r="N1557" s="100"/>
      <c r="O1557" s="11">
        <f t="shared" si="391"/>
        <v>5866</v>
      </c>
      <c r="P1557" s="11">
        <f t="shared" si="393"/>
        <v>5866</v>
      </c>
      <c r="Q1557" s="11">
        <v>1.5</v>
      </c>
      <c r="R1557" s="11">
        <f t="shared" si="394"/>
        <v>8799</v>
      </c>
      <c r="S1557" s="11"/>
      <c r="T1557" s="136">
        <f t="shared" si="390"/>
        <v>0</v>
      </c>
    </row>
    <row r="1558" spans="1:20" ht="15.75" customHeight="1">
      <c r="A1558" s="149">
        <v>24</v>
      </c>
      <c r="B1558" s="273"/>
      <c r="C1558" s="28" t="s">
        <v>4371</v>
      </c>
      <c r="D1558" s="41"/>
      <c r="E1558" s="131">
        <f t="shared" si="395"/>
        <v>5520</v>
      </c>
      <c r="F1558" s="21">
        <f t="shared" si="396"/>
        <v>6679.2</v>
      </c>
      <c r="G1558" s="21"/>
      <c r="H1558" s="135">
        <f t="shared" si="389"/>
        <v>0</v>
      </c>
      <c r="I1558" s="294">
        <v>45059</v>
      </c>
      <c r="J1558" s="40">
        <v>45299</v>
      </c>
      <c r="K1558" s="10">
        <f>+PROVEEDORES!D18*0.5*6.94</f>
        <v>3678.2000000000003</v>
      </c>
      <c r="L1558" s="252"/>
      <c r="M1558" s="11"/>
      <c r="N1558" s="100"/>
      <c r="O1558" s="11">
        <f t="shared" si="391"/>
        <v>3678.2000000000003</v>
      </c>
      <c r="P1558" s="11">
        <f t="shared" si="393"/>
        <v>3678.2000000000003</v>
      </c>
      <c r="Q1558" s="11">
        <v>1.5</v>
      </c>
      <c r="R1558" s="11">
        <f t="shared" si="394"/>
        <v>5517.3</v>
      </c>
      <c r="S1558" s="11"/>
      <c r="T1558" s="136"/>
    </row>
    <row r="1559" spans="1:20" ht="15.75" customHeight="1">
      <c r="A1559" s="149">
        <v>38</v>
      </c>
      <c r="B1559" s="273"/>
      <c r="C1559" s="28" t="s">
        <v>3507</v>
      </c>
      <c r="D1559" s="41">
        <v>760</v>
      </c>
      <c r="E1559" s="131">
        <f t="shared" si="395"/>
        <v>8450</v>
      </c>
      <c r="F1559" s="21">
        <f t="shared" si="396"/>
        <v>10224.5</v>
      </c>
      <c r="G1559" s="21"/>
      <c r="H1559" s="135">
        <f t="shared" si="389"/>
        <v>7320</v>
      </c>
      <c r="I1559" s="294">
        <v>45138</v>
      </c>
      <c r="J1559" s="40">
        <v>45274</v>
      </c>
      <c r="K1559" s="10">
        <f>+PROVEEDORES!$D$32*5.36</f>
        <v>5628</v>
      </c>
      <c r="L1559" s="10"/>
      <c r="M1559" s="11"/>
      <c r="N1559" s="100">
        <v>4876</v>
      </c>
      <c r="O1559" s="11">
        <f t="shared" si="391"/>
        <v>5628</v>
      </c>
      <c r="P1559" s="11">
        <f t="shared" si="393"/>
        <v>5628</v>
      </c>
      <c r="Q1559" s="11">
        <v>1.5</v>
      </c>
      <c r="R1559" s="11">
        <f t="shared" si="394"/>
        <v>8442</v>
      </c>
      <c r="S1559" s="11"/>
      <c r="T1559" s="136">
        <f t="shared" ref="T1559:T1577" si="404">+N1559*Q1559</f>
        <v>7314</v>
      </c>
    </row>
    <row r="1560" spans="1:20" ht="15.75" customHeight="1">
      <c r="A1560" s="149">
        <v>38</v>
      </c>
      <c r="B1560" s="273"/>
      <c r="C1560" s="28" t="s">
        <v>1675</v>
      </c>
      <c r="D1560" s="41">
        <v>1150</v>
      </c>
      <c r="E1560" s="131">
        <f t="shared" si="395"/>
        <v>0</v>
      </c>
      <c r="F1560" s="21">
        <f t="shared" si="396"/>
        <v>0</v>
      </c>
      <c r="G1560" s="21"/>
      <c r="H1560" s="135">
        <f t="shared" si="389"/>
        <v>0</v>
      </c>
      <c r="I1560" s="294">
        <v>44972</v>
      </c>
      <c r="J1560" s="294"/>
      <c r="K1560" s="10">
        <v>2246</v>
      </c>
      <c r="L1560" s="11"/>
      <c r="M1560" s="11"/>
      <c r="N1560" s="100"/>
      <c r="O1560" s="11">
        <f>MIN(K1560:M1560)*'AUMENTOS %'!$B$9</f>
        <v>2246</v>
      </c>
      <c r="P1560" s="11">
        <f t="shared" si="393"/>
        <v>2246</v>
      </c>
      <c r="Q1560" s="11"/>
      <c r="R1560" s="11">
        <f t="shared" si="394"/>
        <v>0</v>
      </c>
      <c r="S1560" s="11"/>
      <c r="T1560" s="136">
        <f t="shared" si="404"/>
        <v>0</v>
      </c>
    </row>
    <row r="1561" spans="1:20" ht="15.75" customHeight="1">
      <c r="A1561" s="149">
        <v>108</v>
      </c>
      <c r="B1561" s="273"/>
      <c r="C1561" s="28" t="s">
        <v>4203</v>
      </c>
      <c r="D1561" s="41">
        <v>1150</v>
      </c>
      <c r="E1561" s="131">
        <f>ROUNDUP(R1561,-1)</f>
        <v>9670</v>
      </c>
      <c r="F1561" s="21">
        <f>+E1561*1.21</f>
        <v>11700.699999999999</v>
      </c>
      <c r="G1561" s="21"/>
      <c r="H1561" s="135">
        <f>ROUNDUP(T1561,-1)</f>
        <v>0</v>
      </c>
      <c r="I1561" s="294">
        <v>45252</v>
      </c>
      <c r="J1561" s="294">
        <v>45327</v>
      </c>
      <c r="K1561" s="10">
        <f>3100*0.727*1.25*1.2*1.3*1.1*1.25</f>
        <v>6042.7331250000007</v>
      </c>
      <c r="L1561" s="11"/>
      <c r="M1561" s="11"/>
      <c r="N1561" s="100"/>
      <c r="O1561" s="11">
        <f>MIN(K1561:M1561)</f>
        <v>6042.7331250000007</v>
      </c>
      <c r="P1561" s="11">
        <f t="shared" si="393"/>
        <v>6042.7331250000007</v>
      </c>
      <c r="Q1561" s="11">
        <v>1.6</v>
      </c>
      <c r="R1561" s="11">
        <f t="shared" si="394"/>
        <v>9668.3730000000014</v>
      </c>
      <c r="S1561" s="11"/>
      <c r="T1561" s="136">
        <f>+N1561*Q1561</f>
        <v>0</v>
      </c>
    </row>
    <row r="1562" spans="1:20" ht="15.75" customHeight="1">
      <c r="A1562" s="149">
        <v>41</v>
      </c>
      <c r="B1562" s="273"/>
      <c r="C1562" s="28" t="s">
        <v>2920</v>
      </c>
      <c r="D1562" s="41">
        <v>3630</v>
      </c>
      <c r="E1562" s="131">
        <f t="shared" si="395"/>
        <v>45770</v>
      </c>
      <c r="F1562" s="21">
        <f t="shared" si="396"/>
        <v>55381.7</v>
      </c>
      <c r="G1562" s="21"/>
      <c r="H1562" s="135">
        <f t="shared" si="389"/>
        <v>43930</v>
      </c>
      <c r="I1562" s="294">
        <v>45311</v>
      </c>
      <c r="J1562" s="294"/>
      <c r="K1562" s="10">
        <f>0.9*0.9*PROVEEDORES!D35*33</f>
        <v>28601.100000000002</v>
      </c>
      <c r="L1562" s="11"/>
      <c r="M1562" s="11"/>
      <c r="N1562" s="100">
        <f>0.9*0.95*0.95*33800</f>
        <v>27454.049999999996</v>
      </c>
      <c r="O1562" s="11">
        <f t="shared" si="391"/>
        <v>28601.100000000002</v>
      </c>
      <c r="P1562" s="11">
        <f t="shared" si="393"/>
        <v>28601.100000000002</v>
      </c>
      <c r="Q1562" s="11">
        <v>1.6</v>
      </c>
      <c r="R1562" s="11">
        <f t="shared" si="394"/>
        <v>45761.760000000009</v>
      </c>
      <c r="S1562" s="11"/>
      <c r="T1562" s="136">
        <f t="shared" si="404"/>
        <v>43926.479999999996</v>
      </c>
    </row>
    <row r="1563" spans="1:20" ht="15.75" customHeight="1">
      <c r="A1563" s="149">
        <v>97</v>
      </c>
      <c r="B1563" s="273"/>
      <c r="C1563" s="28" t="s">
        <v>3922</v>
      </c>
      <c r="D1563" s="41">
        <v>50</v>
      </c>
      <c r="E1563" s="131">
        <f t="shared" si="395"/>
        <v>260</v>
      </c>
      <c r="F1563" s="21">
        <f t="shared" si="396"/>
        <v>314.59999999999997</v>
      </c>
      <c r="G1563" s="21"/>
      <c r="H1563" s="135">
        <f t="shared" si="389"/>
        <v>0</v>
      </c>
      <c r="I1563" s="294">
        <v>44810</v>
      </c>
      <c r="J1563" s="294"/>
      <c r="K1563" s="10">
        <f>137*1.25</f>
        <v>171.25</v>
      </c>
      <c r="L1563" s="11"/>
      <c r="M1563" s="11"/>
      <c r="N1563" s="100"/>
      <c r="O1563" s="11">
        <f t="shared" si="391"/>
        <v>171.25</v>
      </c>
      <c r="P1563" s="11">
        <f t="shared" si="393"/>
        <v>171.25</v>
      </c>
      <c r="Q1563" s="11">
        <v>1.5</v>
      </c>
      <c r="R1563" s="11">
        <f t="shared" si="394"/>
        <v>256.875</v>
      </c>
      <c r="S1563" s="11"/>
      <c r="T1563" s="136">
        <f t="shared" si="404"/>
        <v>0</v>
      </c>
    </row>
    <row r="1564" spans="1:20" ht="15.75" customHeight="1">
      <c r="A1564" s="149" t="s">
        <v>2398</v>
      </c>
      <c r="B1564" s="273"/>
      <c r="C1564" s="28" t="s">
        <v>4248</v>
      </c>
      <c r="D1564" s="41">
        <v>32720</v>
      </c>
      <c r="E1564" s="131">
        <f t="shared" si="395"/>
        <v>760870</v>
      </c>
      <c r="F1564" s="21">
        <f t="shared" si="396"/>
        <v>920652.7</v>
      </c>
      <c r="G1564" s="21"/>
      <c r="H1564" s="135">
        <f t="shared" si="389"/>
        <v>0</v>
      </c>
      <c r="I1564" s="23">
        <v>45323</v>
      </c>
      <c r="J1564" s="294"/>
      <c r="K1564" s="10">
        <f>0.8*0.98*0.94*0.95*701143</f>
        <v>490878.62801599997</v>
      </c>
      <c r="L1564" s="10"/>
      <c r="M1564" s="11"/>
      <c r="N1564" s="100"/>
      <c r="O1564" s="11">
        <f t="shared" si="391"/>
        <v>490878.62801599997</v>
      </c>
      <c r="P1564" s="11">
        <f>+O1564*'AUMENTOS %'!$B$5</f>
        <v>490878.62801599997</v>
      </c>
      <c r="Q1564" s="11">
        <v>1.55</v>
      </c>
      <c r="R1564" s="11">
        <f t="shared" si="394"/>
        <v>760861.8734248</v>
      </c>
      <c r="S1564" s="11"/>
      <c r="T1564" s="136">
        <f t="shared" si="404"/>
        <v>0</v>
      </c>
    </row>
    <row r="1565" spans="1:20" ht="15.75" customHeight="1">
      <c r="A1565" s="149">
        <v>16</v>
      </c>
      <c r="B1565" s="273"/>
      <c r="C1565" s="28" t="s">
        <v>1676</v>
      </c>
      <c r="D1565" s="41">
        <v>15020</v>
      </c>
      <c r="E1565" s="147">
        <f t="shared" si="395"/>
        <v>639190</v>
      </c>
      <c r="F1565" s="21">
        <f t="shared" si="396"/>
        <v>773419.9</v>
      </c>
      <c r="G1565" s="21"/>
      <c r="H1565" s="135">
        <f t="shared" si="389"/>
        <v>0</v>
      </c>
      <c r="I1565" s="294">
        <v>45352</v>
      </c>
      <c r="J1565" s="294"/>
      <c r="K1565" s="10">
        <f>0.9*498400+8000</f>
        <v>456560</v>
      </c>
      <c r="L1565" s="10"/>
      <c r="M1565" s="11"/>
      <c r="N1565" s="100"/>
      <c r="O1565" s="11">
        <f t="shared" si="391"/>
        <v>456560</v>
      </c>
      <c r="P1565" s="11">
        <f t="shared" si="393"/>
        <v>456560</v>
      </c>
      <c r="Q1565" s="11">
        <v>1.4</v>
      </c>
      <c r="R1565" s="11">
        <f t="shared" si="394"/>
        <v>639184</v>
      </c>
      <c r="S1565" s="11"/>
      <c r="T1565" s="136">
        <f t="shared" si="404"/>
        <v>0</v>
      </c>
    </row>
    <row r="1566" spans="1:20" ht="15.75" customHeight="1">
      <c r="A1566" s="149">
        <v>16</v>
      </c>
      <c r="B1566" s="273"/>
      <c r="C1566" s="28" t="s">
        <v>1677</v>
      </c>
      <c r="D1566" s="41">
        <v>17200</v>
      </c>
      <c r="E1566" s="147">
        <f t="shared" si="395"/>
        <v>715220</v>
      </c>
      <c r="F1566" s="21">
        <f t="shared" si="396"/>
        <v>865416.2</v>
      </c>
      <c r="G1566" s="21"/>
      <c r="H1566" s="135">
        <f t="shared" si="389"/>
        <v>0</v>
      </c>
      <c r="I1566" s="294">
        <v>45352</v>
      </c>
      <c r="J1566" s="294"/>
      <c r="K1566" s="10">
        <f>0.9*520900+8000</f>
        <v>476810</v>
      </c>
      <c r="L1566" s="11"/>
      <c r="M1566" s="11"/>
      <c r="N1566" s="100"/>
      <c r="O1566" s="11">
        <f t="shared" si="391"/>
        <v>476810</v>
      </c>
      <c r="P1566" s="11">
        <f t="shared" si="393"/>
        <v>476810</v>
      </c>
      <c r="Q1566" s="11">
        <v>1.5</v>
      </c>
      <c r="R1566" s="11">
        <f t="shared" si="394"/>
        <v>715215</v>
      </c>
      <c r="S1566" s="11"/>
      <c r="T1566" s="136">
        <f t="shared" si="404"/>
        <v>0</v>
      </c>
    </row>
    <row r="1567" spans="1:20" ht="15.75" customHeight="1">
      <c r="A1567" s="149">
        <v>16</v>
      </c>
      <c r="B1567" s="273"/>
      <c r="C1567" s="28" t="s">
        <v>2162</v>
      </c>
      <c r="D1567" s="41">
        <v>11500</v>
      </c>
      <c r="E1567" s="147">
        <f t="shared" si="395"/>
        <v>619640</v>
      </c>
      <c r="F1567" s="21">
        <f t="shared" si="396"/>
        <v>749764.4</v>
      </c>
      <c r="G1567" s="21"/>
      <c r="H1567" s="135">
        <f t="shared" si="389"/>
        <v>0</v>
      </c>
      <c r="I1567" s="294">
        <v>45352</v>
      </c>
      <c r="J1567" s="294"/>
      <c r="K1567" s="10">
        <f>0.9*450100+8000</f>
        <v>413090</v>
      </c>
      <c r="L1567" s="11"/>
      <c r="M1567" s="11"/>
      <c r="N1567" s="100"/>
      <c r="O1567" s="11">
        <f t="shared" si="391"/>
        <v>413090</v>
      </c>
      <c r="P1567" s="11">
        <f t="shared" si="393"/>
        <v>413090</v>
      </c>
      <c r="Q1567" s="11">
        <v>1.5</v>
      </c>
      <c r="R1567" s="11">
        <f t="shared" si="394"/>
        <v>619635</v>
      </c>
      <c r="S1567" s="11"/>
      <c r="T1567" s="136">
        <f t="shared" si="404"/>
        <v>0</v>
      </c>
    </row>
    <row r="1568" spans="1:20" ht="15.75" customHeight="1">
      <c r="A1568" s="149">
        <v>16</v>
      </c>
      <c r="B1568" s="273"/>
      <c r="C1568" s="28" t="s">
        <v>1678</v>
      </c>
      <c r="D1568" s="41">
        <v>16090</v>
      </c>
      <c r="E1568" s="147">
        <f t="shared" si="395"/>
        <v>0</v>
      </c>
      <c r="F1568" s="21">
        <f t="shared" si="396"/>
        <v>0</v>
      </c>
      <c r="G1568" s="21"/>
      <c r="H1568" s="135">
        <f t="shared" si="389"/>
        <v>0</v>
      </c>
      <c r="I1568" s="294">
        <v>45180</v>
      </c>
      <c r="J1568" s="294"/>
      <c r="K1568" s="10">
        <f>0.9*232700+5000</f>
        <v>214430</v>
      </c>
      <c r="L1568" s="11"/>
      <c r="M1568" s="11"/>
      <c r="N1568" s="38"/>
      <c r="O1568" s="11">
        <f t="shared" si="391"/>
        <v>214430</v>
      </c>
      <c r="P1568" s="11">
        <f t="shared" si="393"/>
        <v>214430</v>
      </c>
      <c r="Q1568" s="11"/>
      <c r="R1568" s="11">
        <f t="shared" si="394"/>
        <v>0</v>
      </c>
      <c r="S1568" s="11"/>
      <c r="T1568" s="136">
        <f t="shared" si="404"/>
        <v>0</v>
      </c>
    </row>
    <row r="1569" spans="1:20" ht="15.75" customHeight="1">
      <c r="A1569" s="149">
        <v>38</v>
      </c>
      <c r="B1569" s="273"/>
      <c r="C1569" s="28" t="s">
        <v>37232</v>
      </c>
      <c r="D1569" s="41">
        <v>32720</v>
      </c>
      <c r="E1569" s="131">
        <f>ROUNDUP(R1569,-1)</f>
        <v>154310</v>
      </c>
      <c r="F1569" s="21">
        <f>+E1569*1.21</f>
        <v>186715.1</v>
      </c>
      <c r="G1569" s="21"/>
      <c r="H1569" s="135">
        <f t="shared" si="389"/>
        <v>133740</v>
      </c>
      <c r="I1569" s="294"/>
      <c r="J1569" s="294">
        <v>45274</v>
      </c>
      <c r="K1569" s="10">
        <f>+PROVEEDORES!D32*97.97</f>
        <v>102868.5</v>
      </c>
      <c r="L1569" s="10"/>
      <c r="M1569" s="11"/>
      <c r="N1569" s="100">
        <v>89154</v>
      </c>
      <c r="O1569" s="11">
        <f>MIN(K1569:M1569)</f>
        <v>102868.5</v>
      </c>
      <c r="P1569" s="11">
        <f>+O1569*'AUMENTOS %'!$B$5</f>
        <v>102868.5</v>
      </c>
      <c r="Q1569" s="11">
        <v>1.5</v>
      </c>
      <c r="R1569" s="11">
        <f>+P1569*Q1569</f>
        <v>154302.75</v>
      </c>
      <c r="S1569" s="11"/>
      <c r="T1569" s="136">
        <f>+N1569*Q1569</f>
        <v>133731</v>
      </c>
    </row>
    <row r="1570" spans="1:20" ht="15.75" customHeight="1">
      <c r="A1570" s="149">
        <v>41</v>
      </c>
      <c r="B1570" s="273"/>
      <c r="C1570" s="28" t="s">
        <v>4319</v>
      </c>
      <c r="D1570" s="41">
        <v>11170</v>
      </c>
      <c r="E1570" s="132">
        <f t="shared" si="395"/>
        <v>194150</v>
      </c>
      <c r="F1570" s="21">
        <f t="shared" si="396"/>
        <v>234921.5</v>
      </c>
      <c r="G1570" s="21"/>
      <c r="H1570" s="135">
        <f t="shared" si="389"/>
        <v>180780</v>
      </c>
      <c r="I1570" s="294">
        <v>45311</v>
      </c>
      <c r="J1570" s="294">
        <v>45349</v>
      </c>
      <c r="K1570" s="8">
        <f>+PROVEEDORES!$D$35*0.9*0.9*140</f>
        <v>121338</v>
      </c>
      <c r="L1570" s="11"/>
      <c r="M1570" s="11"/>
      <c r="N1570" s="100">
        <f>0.95*0.95*139100*0.9</f>
        <v>112983.97500000001</v>
      </c>
      <c r="O1570" s="11">
        <f t="shared" si="391"/>
        <v>121338</v>
      </c>
      <c r="P1570" s="11">
        <f t="shared" si="393"/>
        <v>121338</v>
      </c>
      <c r="Q1570" s="11">
        <v>1.6</v>
      </c>
      <c r="R1570" s="11">
        <f t="shared" si="394"/>
        <v>194140.80000000002</v>
      </c>
      <c r="S1570" s="11"/>
      <c r="T1570" s="136">
        <f t="shared" si="404"/>
        <v>180774.36000000002</v>
      </c>
    </row>
    <row r="1571" spans="1:20" ht="15.75" customHeight="1">
      <c r="A1571" s="150">
        <v>41</v>
      </c>
      <c r="B1571" s="280"/>
      <c r="C1571" s="28" t="s">
        <v>4320</v>
      </c>
      <c r="D1571" s="41"/>
      <c r="E1571" s="132">
        <f t="shared" si="395"/>
        <v>208010</v>
      </c>
      <c r="F1571" s="21">
        <f t="shared" si="396"/>
        <v>251692.1</v>
      </c>
      <c r="G1571" s="21"/>
      <c r="H1571" s="135">
        <f t="shared" si="389"/>
        <v>194300</v>
      </c>
      <c r="I1571" s="294">
        <v>45311</v>
      </c>
      <c r="J1571" s="294">
        <v>45349</v>
      </c>
      <c r="K1571" s="8">
        <f>+PROVEEDORES!$D$35*0.9*0.9*150</f>
        <v>130005</v>
      </c>
      <c r="L1571" s="11"/>
      <c r="M1571" s="11"/>
      <c r="N1571" s="100">
        <f>0.9*0.95*0.95*149500</f>
        <v>121431.37499999999</v>
      </c>
      <c r="O1571" s="11">
        <f t="shared" si="391"/>
        <v>130005</v>
      </c>
      <c r="P1571" s="11">
        <f t="shared" si="393"/>
        <v>130005</v>
      </c>
      <c r="Q1571" s="11">
        <v>1.6</v>
      </c>
      <c r="R1571" s="11">
        <f t="shared" si="394"/>
        <v>208008</v>
      </c>
      <c r="S1571" s="11"/>
      <c r="T1571" s="136">
        <f t="shared" si="404"/>
        <v>194290.19999999998</v>
      </c>
    </row>
    <row r="1572" spans="1:20" ht="15.75" customHeight="1">
      <c r="A1572" s="149">
        <v>80</v>
      </c>
      <c r="B1572" s="273"/>
      <c r="C1572" s="28" t="s">
        <v>4414</v>
      </c>
      <c r="D1572" s="41"/>
      <c r="E1572" s="131">
        <f t="shared" si="395"/>
        <v>95210</v>
      </c>
      <c r="F1572" s="21">
        <f t="shared" si="396"/>
        <v>115204.09999999999</v>
      </c>
      <c r="G1572" s="21"/>
      <c r="H1572" s="135">
        <f t="shared" si="389"/>
        <v>73730</v>
      </c>
      <c r="I1572" s="294">
        <v>45107</v>
      </c>
      <c r="J1572" s="294">
        <v>45363</v>
      </c>
      <c r="K1572" s="11">
        <f>15410*1.3*1.15*1.5*2</f>
        <v>69113.849999999991</v>
      </c>
      <c r="L1572" s="11">
        <f>3600*20/1.21</f>
        <v>59504.132231404961</v>
      </c>
      <c r="M1572" s="11"/>
      <c r="N1572" s="100">
        <v>46080</v>
      </c>
      <c r="O1572" s="11">
        <f t="shared" si="391"/>
        <v>59504.132231404961</v>
      </c>
      <c r="P1572" s="11">
        <f t="shared" si="393"/>
        <v>59504.132231404961</v>
      </c>
      <c r="Q1572" s="11">
        <v>1.6</v>
      </c>
      <c r="R1572" s="11">
        <f t="shared" si="394"/>
        <v>95206.611570247944</v>
      </c>
      <c r="S1572" s="11"/>
      <c r="T1572" s="136">
        <f t="shared" si="404"/>
        <v>73728</v>
      </c>
    </row>
    <row r="1573" spans="1:20" ht="15.75" customHeight="1">
      <c r="A1573" s="149">
        <v>21</v>
      </c>
      <c r="B1573" s="273"/>
      <c r="C1573" s="28" t="s">
        <v>1679</v>
      </c>
      <c r="D1573" s="41">
        <v>190</v>
      </c>
      <c r="E1573" s="131">
        <f t="shared" si="395"/>
        <v>0</v>
      </c>
      <c r="F1573" s="21">
        <f t="shared" si="396"/>
        <v>0</v>
      </c>
      <c r="G1573" s="21"/>
      <c r="H1573" s="135">
        <f t="shared" si="389"/>
        <v>0</v>
      </c>
      <c r="I1573" s="294">
        <v>44280</v>
      </c>
      <c r="J1573" s="294"/>
      <c r="K1573" s="10">
        <v>263</v>
      </c>
      <c r="L1573" s="196"/>
      <c r="M1573" s="10"/>
      <c r="N1573" s="100"/>
      <c r="O1573" s="11">
        <f t="shared" si="391"/>
        <v>263</v>
      </c>
      <c r="P1573" s="11">
        <f t="shared" si="393"/>
        <v>263</v>
      </c>
      <c r="Q1573" s="11"/>
      <c r="R1573" s="11">
        <f t="shared" si="394"/>
        <v>0</v>
      </c>
      <c r="S1573" s="11"/>
      <c r="T1573" s="136">
        <f t="shared" si="404"/>
        <v>0</v>
      </c>
    </row>
    <row r="1574" spans="1:20" ht="15.75" customHeight="1">
      <c r="A1574" s="149">
        <v>21</v>
      </c>
      <c r="B1574" s="273"/>
      <c r="C1574" s="28" t="s">
        <v>4225</v>
      </c>
      <c r="D1574" s="41">
        <v>0</v>
      </c>
      <c r="E1574" s="131">
        <f>ROUNDUP(R1574,-1)</f>
        <v>0</v>
      </c>
      <c r="F1574" s="21"/>
      <c r="G1574" s="21"/>
      <c r="H1574" s="135">
        <f t="shared" si="389"/>
        <v>0</v>
      </c>
      <c r="I1574" s="294"/>
      <c r="J1574" s="294">
        <v>45036</v>
      </c>
      <c r="K1574" s="11">
        <f>0.6*7500</f>
        <v>4500</v>
      </c>
      <c r="L1574" s="11"/>
      <c r="M1574" s="11"/>
      <c r="N1574" s="100"/>
      <c r="O1574" s="11">
        <f t="shared" si="391"/>
        <v>4500</v>
      </c>
      <c r="P1574" s="11">
        <f t="shared" si="393"/>
        <v>4500</v>
      </c>
      <c r="Q1574" s="11"/>
      <c r="R1574" s="11">
        <f t="shared" si="394"/>
        <v>0</v>
      </c>
      <c r="S1574" s="11"/>
      <c r="T1574" s="136">
        <f t="shared" si="404"/>
        <v>0</v>
      </c>
    </row>
    <row r="1575" spans="1:20" ht="15.75" customHeight="1">
      <c r="A1575" s="149">
        <v>21</v>
      </c>
      <c r="B1575" s="273"/>
      <c r="C1575" s="28" t="s">
        <v>4226</v>
      </c>
      <c r="D1575" s="41">
        <v>0</v>
      </c>
      <c r="E1575" s="131">
        <f>ROUNDUP(R1575,-1)</f>
        <v>0</v>
      </c>
      <c r="F1575" s="21"/>
      <c r="G1575" s="21"/>
      <c r="H1575" s="135">
        <f>ROUNDUP(T1575,-1)</f>
        <v>0</v>
      </c>
      <c r="I1575" s="294"/>
      <c r="J1575" s="294">
        <v>45036</v>
      </c>
      <c r="K1575" s="11">
        <f>0.6*10800</f>
        <v>6480</v>
      </c>
      <c r="L1575" s="11"/>
      <c r="M1575" s="11"/>
      <c r="N1575" s="100"/>
      <c r="O1575" s="11">
        <f>MIN(K1575:M1575)</f>
        <v>6480</v>
      </c>
      <c r="P1575" s="11">
        <f t="shared" si="393"/>
        <v>6480</v>
      </c>
      <c r="Q1575" s="11"/>
      <c r="R1575" s="11">
        <f t="shared" si="394"/>
        <v>0</v>
      </c>
      <c r="S1575" s="11"/>
      <c r="T1575" s="136">
        <f>+N1575*Q1575</f>
        <v>0</v>
      </c>
    </row>
    <row r="1576" spans="1:20" ht="15.75" customHeight="1">
      <c r="A1576" s="149">
        <v>52</v>
      </c>
      <c r="B1576" s="273"/>
      <c r="C1576" s="28" t="s">
        <v>4211</v>
      </c>
      <c r="D1576" s="41">
        <v>1920</v>
      </c>
      <c r="E1576" s="131">
        <f t="shared" si="395"/>
        <v>6260</v>
      </c>
      <c r="F1576" s="21">
        <f t="shared" ref="F1576:F1595" si="405">+E1576*1.21</f>
        <v>7574.5999999999995</v>
      </c>
      <c r="G1576" s="21"/>
      <c r="H1576" s="135">
        <f t="shared" si="389"/>
        <v>0</v>
      </c>
      <c r="I1576" s="294">
        <v>45028</v>
      </c>
      <c r="J1576" s="294"/>
      <c r="K1576" s="10">
        <f>5325*0.85*0.95*0.97</f>
        <v>4170.9393749999999</v>
      </c>
      <c r="L1576" s="11">
        <v>142000</v>
      </c>
      <c r="M1576" s="10"/>
      <c r="N1576" s="100"/>
      <c r="O1576" s="11">
        <f t="shared" si="391"/>
        <v>4170.9393749999999</v>
      </c>
      <c r="P1576" s="11">
        <f t="shared" si="393"/>
        <v>4170.9393749999999</v>
      </c>
      <c r="Q1576" s="11">
        <v>1.5</v>
      </c>
      <c r="R1576" s="11">
        <f t="shared" si="394"/>
        <v>6256.4090624999999</v>
      </c>
      <c r="S1576" s="11"/>
      <c r="T1576" s="136">
        <f t="shared" si="404"/>
        <v>0</v>
      </c>
    </row>
    <row r="1577" spans="1:20" ht="15.75" customHeight="1">
      <c r="A1577" s="149">
        <v>36</v>
      </c>
      <c r="B1577" s="273"/>
      <c r="C1577" s="28" t="s">
        <v>2580</v>
      </c>
      <c r="D1577" s="41">
        <v>25</v>
      </c>
      <c r="E1577" s="131">
        <f t="shared" si="395"/>
        <v>400</v>
      </c>
      <c r="F1577" s="21">
        <f t="shared" si="405"/>
        <v>484</v>
      </c>
      <c r="G1577" s="21" t="s">
        <v>62615</v>
      </c>
      <c r="H1577" s="135">
        <f t="shared" si="389"/>
        <v>0</v>
      </c>
      <c r="I1577" s="294">
        <v>45313</v>
      </c>
      <c r="J1577" s="40">
        <v>45377</v>
      </c>
      <c r="K1577" s="11">
        <f>0.8*0.94*16460/50</f>
        <v>247.55840000000001</v>
      </c>
      <c r="L1577" s="249">
        <f>0.7*0.9*133.32*4</f>
        <v>335.96639999999996</v>
      </c>
      <c r="M1577" s="11"/>
      <c r="N1577" s="11"/>
      <c r="O1577" s="11">
        <f t="shared" si="391"/>
        <v>247.55840000000001</v>
      </c>
      <c r="P1577" s="11">
        <f t="shared" si="393"/>
        <v>247.55840000000001</v>
      </c>
      <c r="Q1577" s="11">
        <v>1.6</v>
      </c>
      <c r="R1577" s="11">
        <f t="shared" si="394"/>
        <v>396.09344000000004</v>
      </c>
      <c r="S1577" s="11"/>
      <c r="T1577" s="136">
        <f t="shared" si="404"/>
        <v>0</v>
      </c>
    </row>
    <row r="1578" spans="1:20" ht="15.75" customHeight="1">
      <c r="A1578" s="149">
        <v>36</v>
      </c>
      <c r="B1578" s="273"/>
      <c r="C1578" s="28" t="s">
        <v>3639</v>
      </c>
      <c r="D1578" s="41">
        <v>30</v>
      </c>
      <c r="E1578" s="131">
        <f>ROUNDUP(R1578,-1)</f>
        <v>520</v>
      </c>
      <c r="F1578" s="21">
        <f>+E1578*1.21</f>
        <v>629.19999999999993</v>
      </c>
      <c r="G1578" s="21" t="s">
        <v>62616</v>
      </c>
      <c r="H1578" s="135">
        <f>ROUNDUP(T1578,-1)</f>
        <v>0</v>
      </c>
      <c r="I1578" s="294">
        <v>45313</v>
      </c>
      <c r="J1578" s="40">
        <v>45377</v>
      </c>
      <c r="K1578" s="11">
        <f>0.8*0.94*21332/50</f>
        <v>320.83328</v>
      </c>
      <c r="L1578" s="249">
        <f>0.7*0.9*8640/50*3</f>
        <v>326.59199999999998</v>
      </c>
      <c r="M1578" s="11"/>
      <c r="N1578" s="11"/>
      <c r="O1578" s="11">
        <f>MIN(K1578:M1578)</f>
        <v>320.83328</v>
      </c>
      <c r="P1578" s="11">
        <f t="shared" si="393"/>
        <v>320.83328</v>
      </c>
      <c r="Q1578" s="11">
        <v>1.6</v>
      </c>
      <c r="R1578" s="11">
        <f t="shared" si="394"/>
        <v>513.33324800000003</v>
      </c>
      <c r="S1578" s="11"/>
      <c r="T1578" s="136">
        <f>+N1578*Q1578</f>
        <v>0</v>
      </c>
    </row>
    <row r="1579" spans="1:20" ht="15.75" customHeight="1">
      <c r="A1579" s="149">
        <v>36</v>
      </c>
      <c r="B1579" s="273"/>
      <c r="C1579" s="28" t="s">
        <v>2180</v>
      </c>
      <c r="D1579" s="41">
        <v>550</v>
      </c>
      <c r="E1579" s="131">
        <f t="shared" si="395"/>
        <v>8370</v>
      </c>
      <c r="F1579" s="21">
        <f t="shared" si="405"/>
        <v>10127.699999999999</v>
      </c>
      <c r="G1579" s="21"/>
      <c r="H1579" s="135">
        <f t="shared" ref="H1579:H1661" si="406">ROUNDUP(T1579,-1)</f>
        <v>7950</v>
      </c>
      <c r="I1579" s="294">
        <v>45059</v>
      </c>
      <c r="J1579" s="40">
        <v>45331</v>
      </c>
      <c r="K1579" s="11">
        <f>0.8*0.94*7415</f>
        <v>5576.08</v>
      </c>
      <c r="L1579" s="10"/>
      <c r="M1579" s="11"/>
      <c r="N1579" s="11">
        <f>0.8*0.94*7044</f>
        <v>5297.0879999999997</v>
      </c>
      <c r="O1579" s="11">
        <f t="shared" si="391"/>
        <v>5576.08</v>
      </c>
      <c r="P1579" s="11">
        <f t="shared" si="393"/>
        <v>5576.08</v>
      </c>
      <c r="Q1579" s="11">
        <v>1.5</v>
      </c>
      <c r="R1579" s="11">
        <f t="shared" si="394"/>
        <v>8364.119999999999</v>
      </c>
      <c r="S1579" s="11"/>
      <c r="T1579" s="136">
        <f t="shared" ref="T1579:T1629" si="407">+N1579*Q1579</f>
        <v>7945.6319999999996</v>
      </c>
    </row>
    <row r="1580" spans="1:20" ht="15.75" customHeight="1">
      <c r="A1580" s="149">
        <v>76</v>
      </c>
      <c r="B1580" s="273"/>
      <c r="C1580" s="28" t="s">
        <v>3499</v>
      </c>
      <c r="D1580" s="41"/>
      <c r="E1580" s="131">
        <f t="shared" si="395"/>
        <v>0</v>
      </c>
      <c r="F1580" s="21">
        <f t="shared" si="405"/>
        <v>0</v>
      </c>
      <c r="G1580" s="21"/>
      <c r="H1580" s="135">
        <f t="shared" si="406"/>
        <v>0</v>
      </c>
      <c r="I1580" s="294"/>
      <c r="J1580" s="40"/>
      <c r="K1580" s="11">
        <f>1185*2*2</f>
        <v>4740</v>
      </c>
      <c r="L1580" s="10"/>
      <c r="M1580" s="11"/>
      <c r="N1580" s="11"/>
      <c r="O1580" s="11">
        <f t="shared" si="391"/>
        <v>4740</v>
      </c>
      <c r="P1580" s="11">
        <f t="shared" si="393"/>
        <v>4740</v>
      </c>
      <c r="Q1580" s="11"/>
      <c r="R1580" s="11">
        <f t="shared" si="394"/>
        <v>0</v>
      </c>
      <c r="S1580" s="11"/>
      <c r="T1580" s="136">
        <f t="shared" si="407"/>
        <v>0</v>
      </c>
    </row>
    <row r="1581" spans="1:20" ht="15.75" customHeight="1">
      <c r="A1581" s="149" t="s">
        <v>62606</v>
      </c>
      <c r="B1581" s="273"/>
      <c r="C1581" s="28" t="s">
        <v>62604</v>
      </c>
      <c r="D1581" s="41"/>
      <c r="E1581" s="131">
        <f>ROUNDUP(R1581,-1)</f>
        <v>16760</v>
      </c>
      <c r="F1581" s="21">
        <f>+E1581*1.21</f>
        <v>20279.599999999999</v>
      </c>
      <c r="G1581" s="76" t="s">
        <v>37222</v>
      </c>
      <c r="H1581" s="135">
        <f>ROUNDUP(T1581,-1)</f>
        <v>0</v>
      </c>
      <c r="I1581" s="294">
        <v>45254</v>
      </c>
      <c r="J1581" s="40">
        <v>45331</v>
      </c>
      <c r="K1581" s="11">
        <f>0.7*0.9*17162</f>
        <v>10812.06</v>
      </c>
      <c r="L1581" s="11">
        <f>0.82*12005*2</f>
        <v>19688.199999999997</v>
      </c>
      <c r="M1581" s="11"/>
      <c r="N1581" s="11"/>
      <c r="O1581" s="11">
        <f>MIN(K1581:M1581)</f>
        <v>10812.06</v>
      </c>
      <c r="P1581" s="11">
        <f>+O1581</f>
        <v>10812.06</v>
      </c>
      <c r="Q1581" s="11">
        <v>1.55</v>
      </c>
      <c r="R1581" s="11">
        <f>+P1581*Q1581</f>
        <v>16758.692999999999</v>
      </c>
      <c r="S1581" s="11"/>
      <c r="T1581" s="136">
        <f>+N1581*Q1581</f>
        <v>0</v>
      </c>
    </row>
    <row r="1582" spans="1:20" ht="15.75" customHeight="1">
      <c r="A1582" s="149" t="s">
        <v>62606</v>
      </c>
      <c r="B1582" s="273"/>
      <c r="C1582" s="28" t="s">
        <v>62605</v>
      </c>
      <c r="D1582" s="41"/>
      <c r="E1582" s="131">
        <f t="shared" si="395"/>
        <v>27940</v>
      </c>
      <c r="F1582" s="21">
        <f t="shared" si="405"/>
        <v>33807.4</v>
      </c>
      <c r="G1582" s="21">
        <v>28900</v>
      </c>
      <c r="H1582" s="135">
        <f t="shared" si="406"/>
        <v>0</v>
      </c>
      <c r="I1582" s="294">
        <v>45254</v>
      </c>
      <c r="J1582" s="40">
        <v>45331</v>
      </c>
      <c r="K1582" s="11">
        <f>0.7*0.9*28603</f>
        <v>18019.89</v>
      </c>
      <c r="L1582" s="11">
        <f>0.82*20008*2</f>
        <v>32813.119999999995</v>
      </c>
      <c r="M1582" s="11"/>
      <c r="N1582" s="11"/>
      <c r="O1582" s="11">
        <f t="shared" si="391"/>
        <v>18019.89</v>
      </c>
      <c r="P1582" s="11">
        <f t="shared" si="393"/>
        <v>18019.89</v>
      </c>
      <c r="Q1582" s="11">
        <v>1.55</v>
      </c>
      <c r="R1582" s="11">
        <f t="shared" si="394"/>
        <v>27930.8295</v>
      </c>
      <c r="S1582" s="11"/>
      <c r="T1582" s="136">
        <f t="shared" si="407"/>
        <v>0</v>
      </c>
    </row>
    <row r="1583" spans="1:20" ht="15.75" customHeight="1">
      <c r="A1583" s="149"/>
      <c r="B1583" s="273"/>
      <c r="C1583" s="28" t="s">
        <v>1680</v>
      </c>
      <c r="D1583" s="41">
        <v>0</v>
      </c>
      <c r="E1583" s="131">
        <f t="shared" si="395"/>
        <v>0</v>
      </c>
      <c r="F1583" s="21">
        <f t="shared" si="405"/>
        <v>0</v>
      </c>
      <c r="G1583" s="21"/>
      <c r="H1583" s="135">
        <f t="shared" si="406"/>
        <v>0</v>
      </c>
      <c r="I1583" s="294"/>
      <c r="J1583" s="40">
        <v>43269</v>
      </c>
      <c r="K1583" s="11">
        <f>6*1.5*25</f>
        <v>225</v>
      </c>
      <c r="L1583" s="10"/>
      <c r="M1583" s="11"/>
      <c r="N1583" s="100"/>
      <c r="O1583" s="11">
        <f t="shared" si="391"/>
        <v>225</v>
      </c>
      <c r="P1583" s="11">
        <f t="shared" si="393"/>
        <v>225</v>
      </c>
      <c r="Q1583" s="11"/>
      <c r="R1583" s="11">
        <f t="shared" si="394"/>
        <v>0</v>
      </c>
      <c r="S1583" s="11"/>
      <c r="T1583" s="136">
        <f t="shared" si="407"/>
        <v>0</v>
      </c>
    </row>
    <row r="1584" spans="1:20" ht="15.75" customHeight="1">
      <c r="A1584" s="149">
        <v>36</v>
      </c>
      <c r="B1584" s="273"/>
      <c r="C1584" s="28" t="s">
        <v>2541</v>
      </c>
      <c r="D1584" s="41">
        <v>990</v>
      </c>
      <c r="E1584" s="131">
        <f t="shared" si="395"/>
        <v>14560</v>
      </c>
      <c r="F1584" s="21">
        <f t="shared" si="405"/>
        <v>17617.599999999999</v>
      </c>
      <c r="G1584" s="21">
        <f>27950*2</f>
        <v>55900</v>
      </c>
      <c r="H1584" s="135">
        <f t="shared" si="406"/>
        <v>13830</v>
      </c>
      <c r="I1584" s="294">
        <v>45059</v>
      </c>
      <c r="J1584" s="40">
        <v>45331</v>
      </c>
      <c r="K1584" s="10">
        <f>0.8*0.94*12903</f>
        <v>9703.0560000000005</v>
      </c>
      <c r="L1584" s="11"/>
      <c r="M1584" s="11"/>
      <c r="N1584" s="11">
        <f>0.8*0.94*12257</f>
        <v>9217.2639999999992</v>
      </c>
      <c r="O1584" s="11">
        <f t="shared" si="391"/>
        <v>9703.0560000000005</v>
      </c>
      <c r="P1584" s="11">
        <f t="shared" si="393"/>
        <v>9703.0560000000005</v>
      </c>
      <c r="Q1584" s="11">
        <v>1.5</v>
      </c>
      <c r="R1584" s="11">
        <f t="shared" si="394"/>
        <v>14554.584000000001</v>
      </c>
      <c r="S1584" s="11"/>
      <c r="T1584" s="136">
        <f t="shared" si="407"/>
        <v>13825.895999999999</v>
      </c>
    </row>
    <row r="1585" spans="1:20" ht="15.75" customHeight="1">
      <c r="A1585" s="149">
        <v>36</v>
      </c>
      <c r="B1585" s="273"/>
      <c r="C1585" s="28" t="s">
        <v>2179</v>
      </c>
      <c r="D1585" s="41">
        <v>900</v>
      </c>
      <c r="E1585" s="131">
        <f t="shared" si="395"/>
        <v>13810</v>
      </c>
      <c r="F1585" s="21">
        <f t="shared" si="405"/>
        <v>16710.099999999999</v>
      </c>
      <c r="G1585" s="21"/>
      <c r="H1585" s="135">
        <f t="shared" si="406"/>
        <v>13120</v>
      </c>
      <c r="I1585" s="294">
        <v>45059</v>
      </c>
      <c r="J1585" s="40">
        <v>45331</v>
      </c>
      <c r="K1585" s="10">
        <f>0.8*0.94*12236</f>
        <v>9201.4719999999998</v>
      </c>
      <c r="L1585" s="10"/>
      <c r="M1585" s="11"/>
      <c r="N1585" s="10">
        <f>0.8*0.94*11624</f>
        <v>8741.2479999999996</v>
      </c>
      <c r="O1585" s="11">
        <f t="shared" si="391"/>
        <v>9201.4719999999998</v>
      </c>
      <c r="P1585" s="11">
        <f t="shared" si="393"/>
        <v>9201.4719999999998</v>
      </c>
      <c r="Q1585" s="11">
        <v>1.5</v>
      </c>
      <c r="R1585" s="11">
        <f t="shared" si="394"/>
        <v>13802.207999999999</v>
      </c>
      <c r="S1585" s="11"/>
      <c r="T1585" s="136">
        <f t="shared" si="407"/>
        <v>13111.871999999999</v>
      </c>
    </row>
    <row r="1586" spans="1:20" ht="15.75" customHeight="1">
      <c r="A1586" s="149">
        <v>45</v>
      </c>
      <c r="B1586" s="273"/>
      <c r="C1586" s="28" t="s">
        <v>1681</v>
      </c>
      <c r="D1586" s="41">
        <v>0</v>
      </c>
      <c r="E1586" s="131">
        <f t="shared" si="395"/>
        <v>0</v>
      </c>
      <c r="F1586" s="21">
        <f t="shared" si="405"/>
        <v>0</v>
      </c>
      <c r="G1586" s="21"/>
      <c r="H1586" s="135">
        <f t="shared" si="406"/>
        <v>0</v>
      </c>
      <c r="I1586" s="294"/>
      <c r="J1586" s="40"/>
      <c r="K1586" s="11">
        <f>537*0.94*0.59*0.95*1.45</f>
        <v>410.24732549999993</v>
      </c>
      <c r="L1586" s="11"/>
      <c r="M1586" s="11"/>
      <c r="N1586" s="100"/>
      <c r="O1586" s="11">
        <f t="shared" si="391"/>
        <v>410.24732549999993</v>
      </c>
      <c r="P1586" s="11">
        <f t="shared" si="393"/>
        <v>410.24732549999993</v>
      </c>
      <c r="Q1586" s="11"/>
      <c r="R1586" s="11">
        <f t="shared" si="394"/>
        <v>0</v>
      </c>
      <c r="S1586" s="11"/>
      <c r="T1586" s="136">
        <f t="shared" si="407"/>
        <v>0</v>
      </c>
    </row>
    <row r="1587" spans="1:20" ht="15.75" customHeight="1">
      <c r="A1587" s="149">
        <v>101</v>
      </c>
      <c r="B1587" s="273"/>
      <c r="C1587" s="28" t="s">
        <v>3972</v>
      </c>
      <c r="D1587" s="41">
        <v>0</v>
      </c>
      <c r="E1587" s="131">
        <f t="shared" si="395"/>
        <v>11950</v>
      </c>
      <c r="F1587" s="21">
        <f t="shared" si="405"/>
        <v>14459.5</v>
      </c>
      <c r="G1587" s="21"/>
      <c r="H1587" s="135">
        <f t="shared" si="406"/>
        <v>0</v>
      </c>
      <c r="I1587" s="294">
        <v>45254</v>
      </c>
      <c r="J1587" s="294">
        <v>45324</v>
      </c>
      <c r="K1587" s="10">
        <f>0.7*0.9*12641</f>
        <v>7963.83</v>
      </c>
      <c r="L1587" s="11"/>
      <c r="M1587" s="11"/>
      <c r="N1587" s="37"/>
      <c r="O1587" s="11">
        <f t="shared" si="391"/>
        <v>7963.83</v>
      </c>
      <c r="P1587" s="11">
        <f t="shared" si="393"/>
        <v>7963.83</v>
      </c>
      <c r="Q1587" s="11">
        <v>1.5</v>
      </c>
      <c r="R1587" s="11">
        <f t="shared" si="394"/>
        <v>11945.744999999999</v>
      </c>
      <c r="S1587" s="11"/>
      <c r="T1587" s="136">
        <f t="shared" si="407"/>
        <v>0</v>
      </c>
    </row>
    <row r="1588" spans="1:20" ht="15.75" customHeight="1">
      <c r="A1588" s="149">
        <v>76</v>
      </c>
      <c r="B1588" s="273"/>
      <c r="C1588" s="28" t="s">
        <v>3500</v>
      </c>
      <c r="D1588" s="41"/>
      <c r="E1588" s="131">
        <f t="shared" si="395"/>
        <v>0</v>
      </c>
      <c r="F1588" s="21">
        <f t="shared" si="405"/>
        <v>0</v>
      </c>
      <c r="G1588" s="21"/>
      <c r="H1588" s="135">
        <f t="shared" si="406"/>
        <v>0</v>
      </c>
      <c r="I1588" s="294"/>
      <c r="J1588" s="40"/>
      <c r="K1588" s="11">
        <v>1724</v>
      </c>
      <c r="L1588" s="10"/>
      <c r="M1588" s="11"/>
      <c r="N1588" s="11"/>
      <c r="O1588" s="11">
        <f t="shared" si="391"/>
        <v>1724</v>
      </c>
      <c r="P1588" s="11">
        <f t="shared" si="393"/>
        <v>1724</v>
      </c>
      <c r="Q1588" s="11"/>
      <c r="R1588" s="11">
        <f t="shared" si="394"/>
        <v>0</v>
      </c>
      <c r="S1588" s="11"/>
      <c r="T1588" s="136">
        <f t="shared" si="407"/>
        <v>0</v>
      </c>
    </row>
    <row r="1589" spans="1:20" ht="15.75" customHeight="1">
      <c r="A1589" s="149">
        <v>36</v>
      </c>
      <c r="B1589" s="273"/>
      <c r="C1589" s="28" t="s">
        <v>2542</v>
      </c>
      <c r="D1589" s="41">
        <v>1330</v>
      </c>
      <c r="E1589" s="131">
        <f t="shared" si="395"/>
        <v>21800</v>
      </c>
      <c r="F1589" s="21">
        <f t="shared" si="405"/>
        <v>26378</v>
      </c>
      <c r="G1589" s="21"/>
      <c r="H1589" s="135">
        <f t="shared" si="406"/>
        <v>20710</v>
      </c>
      <c r="I1589" s="294">
        <v>45059</v>
      </c>
      <c r="J1589" s="40">
        <v>45331</v>
      </c>
      <c r="K1589" s="10">
        <f>0.8*0.94*19324</f>
        <v>14531.647999999999</v>
      </c>
      <c r="L1589" s="10"/>
      <c r="M1589" s="11"/>
      <c r="N1589" s="10">
        <f>0.8*0.94*18358</f>
        <v>13805.216</v>
      </c>
      <c r="O1589" s="11">
        <f t="shared" ref="O1589:O1677" si="408">MIN(K1589:M1589)</f>
        <v>14531.647999999999</v>
      </c>
      <c r="P1589" s="11">
        <f t="shared" si="393"/>
        <v>14531.647999999999</v>
      </c>
      <c r="Q1589" s="11">
        <v>1.5</v>
      </c>
      <c r="R1589" s="11">
        <f t="shared" si="394"/>
        <v>21797.471999999998</v>
      </c>
      <c r="S1589" s="11"/>
      <c r="T1589" s="136">
        <f t="shared" si="407"/>
        <v>20707.824000000001</v>
      </c>
    </row>
    <row r="1590" spans="1:20" ht="15.75" customHeight="1">
      <c r="A1590" s="149">
        <v>102</v>
      </c>
      <c r="B1590" s="273"/>
      <c r="C1590" s="28" t="s">
        <v>62658</v>
      </c>
      <c r="D1590" s="41">
        <v>0</v>
      </c>
      <c r="E1590" s="131">
        <f t="shared" si="395"/>
        <v>12680</v>
      </c>
      <c r="F1590" s="21">
        <f t="shared" si="405"/>
        <v>15342.8</v>
      </c>
      <c r="G1590" s="21">
        <f>7921*1.45</f>
        <v>11485.449999999999</v>
      </c>
      <c r="H1590" s="135">
        <f t="shared" si="406"/>
        <v>0</v>
      </c>
      <c r="I1590" s="294">
        <v>45287</v>
      </c>
      <c r="J1590" s="294">
        <v>45379</v>
      </c>
      <c r="K1590" s="10">
        <v>7921</v>
      </c>
      <c r="L1590" s="11"/>
      <c r="M1590" s="11"/>
      <c r="N1590" s="100"/>
      <c r="O1590" s="11">
        <f t="shared" si="408"/>
        <v>7921</v>
      </c>
      <c r="P1590" s="11">
        <f t="shared" si="393"/>
        <v>7921</v>
      </c>
      <c r="Q1590" s="11">
        <v>1.6</v>
      </c>
      <c r="R1590" s="11">
        <f t="shared" si="394"/>
        <v>12673.6</v>
      </c>
      <c r="S1590" s="11"/>
      <c r="T1590" s="136">
        <f t="shared" si="407"/>
        <v>0</v>
      </c>
    </row>
    <row r="1591" spans="1:20" ht="15.75" customHeight="1">
      <c r="A1591" s="149">
        <v>102</v>
      </c>
      <c r="B1591" s="273"/>
      <c r="C1591" s="28" t="s">
        <v>3846</v>
      </c>
      <c r="D1591" s="41">
        <v>0</v>
      </c>
      <c r="E1591" s="131">
        <f t="shared" si="395"/>
        <v>25340</v>
      </c>
      <c r="F1591" s="21">
        <f t="shared" si="405"/>
        <v>30661.399999999998</v>
      </c>
      <c r="G1591" s="21"/>
      <c r="H1591" s="135">
        <f t="shared" si="406"/>
        <v>0</v>
      </c>
      <c r="I1591" s="294">
        <v>45287</v>
      </c>
      <c r="J1591" s="294">
        <v>45306</v>
      </c>
      <c r="K1591" s="10">
        <v>15836</v>
      </c>
      <c r="L1591" s="11"/>
      <c r="M1591" s="11"/>
      <c r="N1591" s="100"/>
      <c r="O1591" s="11">
        <f t="shared" si="408"/>
        <v>15836</v>
      </c>
      <c r="P1591" s="11">
        <f t="shared" si="393"/>
        <v>15836</v>
      </c>
      <c r="Q1591" s="11">
        <v>1.6</v>
      </c>
      <c r="R1591" s="11">
        <f t="shared" si="394"/>
        <v>25337.600000000002</v>
      </c>
      <c r="S1591" s="11"/>
      <c r="T1591" s="136">
        <f t="shared" si="407"/>
        <v>0</v>
      </c>
    </row>
    <row r="1592" spans="1:20" ht="15.75" customHeight="1">
      <c r="A1592" s="149" t="s">
        <v>62606</v>
      </c>
      <c r="B1592" s="273"/>
      <c r="C1592" s="28" t="s">
        <v>62607</v>
      </c>
      <c r="D1592" s="41"/>
      <c r="E1592" s="131">
        <f>ROUNDUP(R1592,-1)</f>
        <v>57670</v>
      </c>
      <c r="F1592" s="21">
        <f>+E1592*1.21</f>
        <v>69780.7</v>
      </c>
      <c r="G1592" s="21"/>
      <c r="H1592" s="135">
        <f>ROUNDUP(T1592,-1)</f>
        <v>0</v>
      </c>
      <c r="I1592" s="294">
        <v>45254</v>
      </c>
      <c r="J1592" s="40">
        <v>45331</v>
      </c>
      <c r="K1592" s="11">
        <f>0.7*0.9*57205</f>
        <v>36039.15</v>
      </c>
      <c r="L1592" s="10">
        <f>0.82*40015*2</f>
        <v>65624.599999999991</v>
      </c>
      <c r="M1592" s="11"/>
      <c r="N1592" s="11"/>
      <c r="O1592" s="11">
        <f t="shared" si="408"/>
        <v>36039.15</v>
      </c>
      <c r="P1592" s="11">
        <f t="shared" si="393"/>
        <v>36039.15</v>
      </c>
      <c r="Q1592" s="11">
        <v>1.6</v>
      </c>
      <c r="R1592" s="11">
        <f t="shared" si="394"/>
        <v>57662.640000000007</v>
      </c>
      <c r="S1592" s="11"/>
      <c r="T1592" s="136">
        <f>+N1592*Q1592</f>
        <v>0</v>
      </c>
    </row>
    <row r="1593" spans="1:20" ht="15.75" customHeight="1">
      <c r="A1593" s="149">
        <v>36</v>
      </c>
      <c r="B1593" s="273"/>
      <c r="C1593" s="28" t="s">
        <v>2224</v>
      </c>
      <c r="D1593" s="41">
        <v>1980</v>
      </c>
      <c r="E1593" s="131">
        <f t="shared" si="395"/>
        <v>27620</v>
      </c>
      <c r="F1593" s="21">
        <f t="shared" si="405"/>
        <v>33420.199999999997</v>
      </c>
      <c r="G1593" s="21"/>
      <c r="H1593" s="135">
        <f t="shared" si="406"/>
        <v>26240</v>
      </c>
      <c r="I1593" s="294">
        <v>45059</v>
      </c>
      <c r="J1593" s="40">
        <v>45331</v>
      </c>
      <c r="K1593" s="10">
        <f>0.8*0.94*24481</f>
        <v>18409.712</v>
      </c>
      <c r="L1593" s="10"/>
      <c r="M1593" s="11"/>
      <c r="N1593" s="10">
        <f>0.8*0.94*23257</f>
        <v>17489.263999999999</v>
      </c>
      <c r="O1593" s="11">
        <f t="shared" si="408"/>
        <v>18409.712</v>
      </c>
      <c r="P1593" s="11">
        <f t="shared" si="393"/>
        <v>18409.712</v>
      </c>
      <c r="Q1593" s="11">
        <v>1.5</v>
      </c>
      <c r="R1593" s="11">
        <f t="shared" si="394"/>
        <v>27614.567999999999</v>
      </c>
      <c r="S1593" s="11"/>
      <c r="T1593" s="136">
        <f t="shared" si="407"/>
        <v>26233.896000000001</v>
      </c>
    </row>
    <row r="1594" spans="1:20" ht="15.75" customHeight="1">
      <c r="A1594" s="149">
        <v>36</v>
      </c>
      <c r="B1594" s="273"/>
      <c r="C1594" s="28" t="s">
        <v>2543</v>
      </c>
      <c r="D1594" s="41">
        <v>1740</v>
      </c>
      <c r="E1594" s="131">
        <f t="shared" si="395"/>
        <v>29110</v>
      </c>
      <c r="F1594" s="21">
        <f t="shared" si="405"/>
        <v>35223.1</v>
      </c>
      <c r="G1594" s="21"/>
      <c r="H1594" s="135">
        <f t="shared" si="406"/>
        <v>0</v>
      </c>
      <c r="I1594" s="294">
        <v>45059</v>
      </c>
      <c r="J1594" s="40">
        <v>45331</v>
      </c>
      <c r="K1594" s="11">
        <f>0.8*0.94*25805</f>
        <v>19405.36</v>
      </c>
      <c r="L1594" s="11"/>
      <c r="M1594" s="143"/>
      <c r="N1594" s="100"/>
      <c r="O1594" s="11">
        <f t="shared" si="408"/>
        <v>19405.36</v>
      </c>
      <c r="P1594" s="11">
        <f t="shared" si="393"/>
        <v>19405.36</v>
      </c>
      <c r="Q1594" s="11">
        <v>1.5</v>
      </c>
      <c r="R1594" s="11">
        <f t="shared" si="394"/>
        <v>29108.04</v>
      </c>
      <c r="S1594" s="11"/>
      <c r="T1594" s="136">
        <f t="shared" si="407"/>
        <v>0</v>
      </c>
    </row>
    <row r="1595" spans="1:20" ht="15.75" customHeight="1">
      <c r="A1595" s="149">
        <v>102</v>
      </c>
      <c r="B1595" s="273"/>
      <c r="C1595" s="28" t="s">
        <v>62657</v>
      </c>
      <c r="D1595" s="41">
        <v>3880</v>
      </c>
      <c r="E1595" s="131">
        <f t="shared" si="395"/>
        <v>19370</v>
      </c>
      <c r="F1595" s="21">
        <f t="shared" si="405"/>
        <v>23437.7</v>
      </c>
      <c r="G1595" s="21"/>
      <c r="H1595" s="135">
        <f t="shared" si="406"/>
        <v>0</v>
      </c>
      <c r="I1595" s="294">
        <v>45364</v>
      </c>
      <c r="J1595" s="294"/>
      <c r="K1595" s="11">
        <v>12907</v>
      </c>
      <c r="L1595" s="11"/>
      <c r="M1595" s="11"/>
      <c r="N1595" s="100"/>
      <c r="O1595" s="11">
        <f t="shared" si="408"/>
        <v>12907</v>
      </c>
      <c r="P1595" s="11">
        <f t="shared" si="393"/>
        <v>12907</v>
      </c>
      <c r="Q1595" s="11">
        <v>1.5</v>
      </c>
      <c r="R1595" s="11">
        <f t="shared" si="394"/>
        <v>19360.5</v>
      </c>
      <c r="S1595" s="11"/>
      <c r="T1595" s="136">
        <f t="shared" si="407"/>
        <v>0</v>
      </c>
    </row>
    <row r="1596" spans="1:20" ht="15.75" customHeight="1">
      <c r="A1596" s="149">
        <v>21</v>
      </c>
      <c r="B1596" s="273"/>
      <c r="C1596" s="28" t="s">
        <v>3821</v>
      </c>
      <c r="D1596" s="41">
        <v>0</v>
      </c>
      <c r="E1596" s="131">
        <f t="shared" si="395"/>
        <v>0</v>
      </c>
      <c r="F1596" s="21"/>
      <c r="G1596" s="21"/>
      <c r="H1596" s="135">
        <f t="shared" si="406"/>
        <v>0</v>
      </c>
      <c r="I1596" s="294"/>
      <c r="J1596" s="294">
        <v>44762</v>
      </c>
      <c r="K1596" s="11">
        <f>6605*0.6</f>
        <v>3963</v>
      </c>
      <c r="L1596" s="11"/>
      <c r="M1596" s="11"/>
      <c r="N1596" s="100"/>
      <c r="O1596" s="11">
        <f t="shared" si="408"/>
        <v>3963</v>
      </c>
      <c r="P1596" s="11">
        <f t="shared" si="393"/>
        <v>3963</v>
      </c>
      <c r="Q1596" s="11"/>
      <c r="R1596" s="11">
        <f t="shared" si="394"/>
        <v>0</v>
      </c>
      <c r="S1596" s="11"/>
      <c r="T1596" s="136">
        <f t="shared" si="407"/>
        <v>0</v>
      </c>
    </row>
    <row r="1597" spans="1:20" ht="15.75" customHeight="1">
      <c r="A1597" s="149">
        <v>36</v>
      </c>
      <c r="B1597" s="273"/>
      <c r="C1597" s="28" t="s">
        <v>3514</v>
      </c>
      <c r="D1597" s="41">
        <v>1330</v>
      </c>
      <c r="E1597" s="131">
        <f t="shared" si="395"/>
        <v>43970</v>
      </c>
      <c r="F1597" s="21">
        <f t="shared" ref="F1597:F1617" si="409">+E1597*1.21</f>
        <v>53203.7</v>
      </c>
      <c r="G1597" s="21"/>
      <c r="H1597" s="135">
        <f t="shared" si="406"/>
        <v>41770</v>
      </c>
      <c r="I1597" s="294">
        <v>45059</v>
      </c>
      <c r="J1597" s="40">
        <v>45331</v>
      </c>
      <c r="K1597" s="10">
        <f>0.8*0.94*38976</f>
        <v>29309.952000000001</v>
      </c>
      <c r="L1597" s="10"/>
      <c r="M1597" s="11"/>
      <c r="N1597" s="10">
        <f>0.8*0.94*37027</f>
        <v>27844.304</v>
      </c>
      <c r="O1597" s="11">
        <f t="shared" si="408"/>
        <v>29309.952000000001</v>
      </c>
      <c r="P1597" s="11">
        <f t="shared" ref="P1597:P1668" si="410">+O1597</f>
        <v>29309.952000000001</v>
      </c>
      <c r="Q1597" s="11">
        <v>1.5</v>
      </c>
      <c r="R1597" s="11">
        <f t="shared" ref="R1597:R1668" si="411">+P1597*Q1597</f>
        <v>43964.928</v>
      </c>
      <c r="S1597" s="11"/>
      <c r="T1597" s="136">
        <f t="shared" si="407"/>
        <v>41766.455999999998</v>
      </c>
    </row>
    <row r="1598" spans="1:20" ht="15.75" customHeight="1">
      <c r="A1598" s="149">
        <v>102</v>
      </c>
      <c r="B1598" s="273"/>
      <c r="C1598" s="28" t="s">
        <v>3847</v>
      </c>
      <c r="D1598" s="41">
        <v>0</v>
      </c>
      <c r="E1598" s="131">
        <f t="shared" si="395"/>
        <v>24790</v>
      </c>
      <c r="F1598" s="21">
        <f t="shared" si="409"/>
        <v>29995.899999999998</v>
      </c>
      <c r="G1598" s="21"/>
      <c r="H1598" s="135">
        <f t="shared" si="406"/>
        <v>0</v>
      </c>
      <c r="I1598" s="294">
        <v>45287</v>
      </c>
      <c r="J1598" s="294">
        <v>45379</v>
      </c>
      <c r="K1598" s="10">
        <v>15493</v>
      </c>
      <c r="L1598" s="11"/>
      <c r="M1598" s="11"/>
      <c r="N1598" s="100"/>
      <c r="O1598" s="11">
        <f t="shared" si="408"/>
        <v>15493</v>
      </c>
      <c r="P1598" s="11">
        <f t="shared" si="410"/>
        <v>15493</v>
      </c>
      <c r="Q1598" s="11">
        <v>1.6</v>
      </c>
      <c r="R1598" s="11">
        <f t="shared" si="411"/>
        <v>24788.800000000003</v>
      </c>
      <c r="S1598" s="11"/>
      <c r="T1598" s="136">
        <f t="shared" si="407"/>
        <v>0</v>
      </c>
    </row>
    <row r="1599" spans="1:20" ht="15.75" customHeight="1">
      <c r="A1599" s="149">
        <v>102</v>
      </c>
      <c r="B1599" s="273"/>
      <c r="C1599" s="28" t="s">
        <v>3951</v>
      </c>
      <c r="D1599" s="41">
        <v>0</v>
      </c>
      <c r="E1599" s="131">
        <f t="shared" si="395"/>
        <v>27490</v>
      </c>
      <c r="F1599" s="21">
        <f t="shared" si="409"/>
        <v>33262.9</v>
      </c>
      <c r="G1599" s="21"/>
      <c r="H1599" s="135">
        <f t="shared" si="406"/>
        <v>0</v>
      </c>
      <c r="I1599" s="294">
        <v>45287</v>
      </c>
      <c r="J1599" s="294">
        <v>45306</v>
      </c>
      <c r="K1599" s="10">
        <v>17179</v>
      </c>
      <c r="L1599" s="11"/>
      <c r="M1599" s="11"/>
      <c r="N1599" s="100"/>
      <c r="O1599" s="11">
        <f t="shared" si="408"/>
        <v>17179</v>
      </c>
      <c r="P1599" s="11">
        <f t="shared" si="410"/>
        <v>17179</v>
      </c>
      <c r="Q1599" s="11">
        <v>1.6</v>
      </c>
      <c r="R1599" s="11">
        <f t="shared" si="411"/>
        <v>27486.400000000001</v>
      </c>
      <c r="S1599" s="11"/>
      <c r="T1599" s="136">
        <f t="shared" si="407"/>
        <v>0</v>
      </c>
    </row>
    <row r="1600" spans="1:20" ht="15.75" customHeight="1">
      <c r="A1600" s="149">
        <v>97</v>
      </c>
      <c r="B1600" s="273"/>
      <c r="C1600" s="28" t="s">
        <v>2544</v>
      </c>
      <c r="D1600" s="41">
        <v>0</v>
      </c>
      <c r="E1600" s="131">
        <f t="shared" si="395"/>
        <v>14860</v>
      </c>
      <c r="F1600" s="21">
        <f t="shared" si="409"/>
        <v>17980.599999999999</v>
      </c>
      <c r="G1600" s="21"/>
      <c r="H1600" s="135">
        <f t="shared" si="406"/>
        <v>0</v>
      </c>
      <c r="I1600" s="294">
        <v>44938</v>
      </c>
      <c r="J1600" s="40"/>
      <c r="K1600" s="11">
        <f>0.8*0.94*12347</f>
        <v>9284.9439999999995</v>
      </c>
      <c r="L1600" s="11"/>
      <c r="M1600" s="11"/>
      <c r="N1600" s="100"/>
      <c r="O1600" s="11">
        <f t="shared" si="408"/>
        <v>9284.9439999999995</v>
      </c>
      <c r="P1600" s="11">
        <f t="shared" si="410"/>
        <v>9284.9439999999995</v>
      </c>
      <c r="Q1600" s="11">
        <v>1.6</v>
      </c>
      <c r="R1600" s="11">
        <f t="shared" si="411"/>
        <v>14855.910400000001</v>
      </c>
      <c r="S1600" s="11"/>
      <c r="T1600" s="136">
        <f t="shared" si="407"/>
        <v>0</v>
      </c>
    </row>
    <row r="1601" spans="1:20" ht="15.75" customHeight="1">
      <c r="A1601" s="149">
        <v>102</v>
      </c>
      <c r="B1601" s="273"/>
      <c r="C1601" s="28" t="s">
        <v>3848</v>
      </c>
      <c r="D1601" s="41">
        <v>0</v>
      </c>
      <c r="E1601" s="131">
        <f t="shared" ref="E1601:E1689" si="412">ROUNDUP(R1601,-1)</f>
        <v>49600</v>
      </c>
      <c r="F1601" s="21">
        <f t="shared" si="409"/>
        <v>60016</v>
      </c>
      <c r="G1601" s="21"/>
      <c r="H1601" s="135">
        <f t="shared" si="406"/>
        <v>0</v>
      </c>
      <c r="I1601" s="294">
        <v>45287</v>
      </c>
      <c r="J1601" s="294">
        <v>45306</v>
      </c>
      <c r="K1601" s="10">
        <v>30996</v>
      </c>
      <c r="L1601" s="11"/>
      <c r="M1601" s="11"/>
      <c r="N1601" s="100"/>
      <c r="O1601" s="11">
        <f t="shared" si="408"/>
        <v>30996</v>
      </c>
      <c r="P1601" s="11">
        <f t="shared" si="410"/>
        <v>30996</v>
      </c>
      <c r="Q1601" s="11">
        <v>1.6</v>
      </c>
      <c r="R1601" s="11">
        <f t="shared" si="411"/>
        <v>49593.600000000006</v>
      </c>
      <c r="S1601" s="11"/>
      <c r="T1601" s="136">
        <f t="shared" si="407"/>
        <v>0</v>
      </c>
    </row>
    <row r="1602" spans="1:20" ht="15.75" customHeight="1">
      <c r="A1602" s="149" t="s">
        <v>62606</v>
      </c>
      <c r="B1602" s="273"/>
      <c r="C1602" s="28" t="s">
        <v>62608</v>
      </c>
      <c r="D1602" s="41"/>
      <c r="E1602" s="131">
        <f t="shared" si="412"/>
        <v>108120</v>
      </c>
      <c r="F1602" s="21">
        <f t="shared" si="409"/>
        <v>130825.2</v>
      </c>
      <c r="G1602" s="21"/>
      <c r="H1602" s="135">
        <f t="shared" si="406"/>
        <v>0</v>
      </c>
      <c r="I1602" s="294">
        <v>45254</v>
      </c>
      <c r="J1602" s="40">
        <v>45331</v>
      </c>
      <c r="K1602" s="11">
        <f>0.7*0.9*114412</f>
        <v>72079.56</v>
      </c>
      <c r="L1602" s="10">
        <f>0.82*80029*2</f>
        <v>131247.56</v>
      </c>
      <c r="M1602" s="11"/>
      <c r="N1602" s="11"/>
      <c r="O1602" s="11">
        <f>MIN(K1602:M1602)</f>
        <v>72079.56</v>
      </c>
      <c r="P1602" s="11">
        <f t="shared" si="410"/>
        <v>72079.56</v>
      </c>
      <c r="Q1602" s="11">
        <v>1.5</v>
      </c>
      <c r="R1602" s="11">
        <f t="shared" si="411"/>
        <v>108119.34</v>
      </c>
      <c r="S1602" s="11"/>
      <c r="T1602" s="136">
        <f t="shared" si="407"/>
        <v>0</v>
      </c>
    </row>
    <row r="1603" spans="1:20" ht="15.75" customHeight="1">
      <c r="A1603" s="149">
        <v>36</v>
      </c>
      <c r="B1603" s="273"/>
      <c r="C1603" s="28" t="s">
        <v>2545</v>
      </c>
      <c r="D1603" s="41">
        <v>3130</v>
      </c>
      <c r="E1603" s="131">
        <f t="shared" ref="E1603:E1611" si="413">ROUNDUP(R1603,-1)</f>
        <v>49650</v>
      </c>
      <c r="F1603" s="21">
        <f t="shared" ref="F1603:F1611" si="414">+E1603*1.21</f>
        <v>60076.5</v>
      </c>
      <c r="G1603" s="21"/>
      <c r="H1603" s="135">
        <f t="shared" ref="H1603:H1611" si="415">ROUNDUP(T1603,-1)</f>
        <v>0</v>
      </c>
      <c r="I1603" s="294">
        <v>45059</v>
      </c>
      <c r="J1603" s="40">
        <v>45331</v>
      </c>
      <c r="K1603" s="11">
        <f>0.8*0.94*44013</f>
        <v>33097.775999999998</v>
      </c>
      <c r="L1603" s="11"/>
      <c r="M1603" s="11"/>
      <c r="N1603" s="11"/>
      <c r="O1603" s="11">
        <f t="shared" ref="O1603:O1611" si="416">MIN(K1603:M1603)</f>
        <v>33097.775999999998</v>
      </c>
      <c r="P1603" s="11">
        <f t="shared" si="410"/>
        <v>33097.775999999998</v>
      </c>
      <c r="Q1603" s="11">
        <v>1.5</v>
      </c>
      <c r="R1603" s="11">
        <f t="shared" si="411"/>
        <v>49646.663999999997</v>
      </c>
      <c r="S1603" s="11"/>
      <c r="T1603" s="136"/>
    </row>
    <row r="1604" spans="1:20" ht="15.75" customHeight="1">
      <c r="A1604" s="149">
        <v>36</v>
      </c>
      <c r="B1604" s="273"/>
      <c r="C1604" s="28" t="s">
        <v>2546</v>
      </c>
      <c r="D1604" s="41">
        <v>2990</v>
      </c>
      <c r="E1604" s="131">
        <f t="shared" si="413"/>
        <v>43920</v>
      </c>
      <c r="F1604" s="21">
        <f t="shared" si="414"/>
        <v>53143.199999999997</v>
      </c>
      <c r="G1604" s="21"/>
      <c r="H1604" s="135">
        <f t="shared" si="415"/>
        <v>0</v>
      </c>
      <c r="I1604" s="294">
        <v>45059</v>
      </c>
      <c r="J1604" s="40">
        <v>45331</v>
      </c>
      <c r="K1604" s="11">
        <f>0.8*0.94*38928</f>
        <v>29273.856</v>
      </c>
      <c r="L1604" s="11"/>
      <c r="M1604" s="11"/>
      <c r="N1604" s="100"/>
      <c r="O1604" s="11">
        <f t="shared" si="416"/>
        <v>29273.856</v>
      </c>
      <c r="P1604" s="11">
        <f t="shared" si="410"/>
        <v>29273.856</v>
      </c>
      <c r="Q1604" s="11">
        <v>1.5</v>
      </c>
      <c r="R1604" s="11">
        <f t="shared" si="411"/>
        <v>43910.784</v>
      </c>
      <c r="S1604" s="11"/>
      <c r="T1604" s="136">
        <f t="shared" ref="T1604:T1611" si="417">+N1604*Q1604</f>
        <v>0</v>
      </c>
    </row>
    <row r="1605" spans="1:20" ht="15.75" customHeight="1">
      <c r="A1605" s="149">
        <v>36</v>
      </c>
      <c r="B1605" s="273"/>
      <c r="C1605" s="28" t="s">
        <v>2225</v>
      </c>
      <c r="D1605" s="41">
        <v>2700</v>
      </c>
      <c r="E1605" s="131">
        <f t="shared" si="413"/>
        <v>41510</v>
      </c>
      <c r="F1605" s="21">
        <f t="shared" si="414"/>
        <v>50227.1</v>
      </c>
      <c r="G1605" s="21"/>
      <c r="H1605" s="135">
        <f t="shared" si="415"/>
        <v>0</v>
      </c>
      <c r="I1605" s="294">
        <v>45059</v>
      </c>
      <c r="J1605" s="40">
        <v>45331</v>
      </c>
      <c r="K1605" s="11">
        <f>0.8*0.94*36795</f>
        <v>27669.84</v>
      </c>
      <c r="L1605" s="11"/>
      <c r="M1605" s="11"/>
      <c r="N1605" s="100"/>
      <c r="O1605" s="11">
        <f t="shared" si="416"/>
        <v>27669.84</v>
      </c>
      <c r="P1605" s="11">
        <f t="shared" si="410"/>
        <v>27669.84</v>
      </c>
      <c r="Q1605" s="11">
        <v>1.5</v>
      </c>
      <c r="R1605" s="11">
        <f t="shared" si="411"/>
        <v>41504.76</v>
      </c>
      <c r="S1605" s="11"/>
      <c r="T1605" s="136">
        <f t="shared" si="417"/>
        <v>0</v>
      </c>
    </row>
    <row r="1606" spans="1:20" ht="15.75" customHeight="1">
      <c r="A1606" s="149" t="s">
        <v>62606</v>
      </c>
      <c r="B1606" s="273"/>
      <c r="C1606" s="28" t="s">
        <v>62609</v>
      </c>
      <c r="D1606" s="41"/>
      <c r="E1606" s="131">
        <f t="shared" si="413"/>
        <v>73830</v>
      </c>
      <c r="F1606" s="21">
        <f t="shared" si="414"/>
        <v>89334.3</v>
      </c>
      <c r="G1606" s="21"/>
      <c r="H1606" s="135">
        <f t="shared" si="415"/>
        <v>0</v>
      </c>
      <c r="I1606" s="294">
        <v>45254</v>
      </c>
      <c r="J1606" s="40">
        <v>45331</v>
      </c>
      <c r="K1606" s="11">
        <f>0.7*0.9*85809</f>
        <v>54059.67</v>
      </c>
      <c r="L1606" s="10">
        <f>0.82*60022</f>
        <v>49218.039999999994</v>
      </c>
      <c r="M1606" s="11"/>
      <c r="N1606" s="11"/>
      <c r="O1606" s="11">
        <f t="shared" si="416"/>
        <v>49218.039999999994</v>
      </c>
      <c r="P1606" s="11">
        <f>+O1606</f>
        <v>49218.039999999994</v>
      </c>
      <c r="Q1606" s="11">
        <v>1.5</v>
      </c>
      <c r="R1606" s="11">
        <f>+P1606*Q1606</f>
        <v>73827.06</v>
      </c>
      <c r="S1606" s="11"/>
      <c r="T1606" s="136">
        <f t="shared" si="417"/>
        <v>0</v>
      </c>
    </row>
    <row r="1607" spans="1:20" ht="15.75" customHeight="1">
      <c r="A1607" s="149">
        <v>45</v>
      </c>
      <c r="B1607" s="273"/>
      <c r="C1607" s="28" t="s">
        <v>1682</v>
      </c>
      <c r="D1607" s="41">
        <v>0</v>
      </c>
      <c r="E1607" s="131">
        <f t="shared" si="413"/>
        <v>0</v>
      </c>
      <c r="F1607" s="21">
        <f t="shared" si="414"/>
        <v>0</v>
      </c>
      <c r="G1607" s="21"/>
      <c r="H1607" s="135">
        <f t="shared" si="415"/>
        <v>0</v>
      </c>
      <c r="I1607" s="294"/>
      <c r="J1607" s="40">
        <v>43333</v>
      </c>
      <c r="K1607" s="11">
        <f>1618*0.59*0.95*1.45*0.94</f>
        <v>1236.0897069999999</v>
      </c>
      <c r="L1607" s="11"/>
      <c r="M1607" s="11"/>
      <c r="N1607" s="100"/>
      <c r="O1607" s="11">
        <f t="shared" si="416"/>
        <v>1236.0897069999999</v>
      </c>
      <c r="P1607" s="11">
        <f t="shared" si="410"/>
        <v>1236.0897069999999</v>
      </c>
      <c r="Q1607" s="11"/>
      <c r="R1607" s="11">
        <f t="shared" si="411"/>
        <v>0</v>
      </c>
      <c r="S1607" s="11"/>
      <c r="T1607" s="136">
        <f t="shared" si="417"/>
        <v>0</v>
      </c>
    </row>
    <row r="1608" spans="1:20" ht="15.75" customHeight="1">
      <c r="A1608" s="149">
        <v>45</v>
      </c>
      <c r="B1608" s="273"/>
      <c r="C1608" s="28" t="s">
        <v>1683</v>
      </c>
      <c r="D1608" s="41">
        <v>0</v>
      </c>
      <c r="E1608" s="131">
        <f t="shared" si="413"/>
        <v>0</v>
      </c>
      <c r="F1608" s="21">
        <f t="shared" si="414"/>
        <v>0</v>
      </c>
      <c r="G1608" s="21"/>
      <c r="H1608" s="135">
        <f t="shared" si="415"/>
        <v>0</v>
      </c>
      <c r="I1608" s="294"/>
      <c r="J1608" s="294">
        <v>43263</v>
      </c>
      <c r="K1608" s="11">
        <f>38.16*0.95*1.45*25*1.15</f>
        <v>1511.2552499999997</v>
      </c>
      <c r="L1608" s="11"/>
      <c r="M1608" s="11"/>
      <c r="N1608" s="100"/>
      <c r="O1608" s="11">
        <f t="shared" si="416"/>
        <v>1511.2552499999997</v>
      </c>
      <c r="P1608" s="11">
        <f t="shared" si="410"/>
        <v>1511.2552499999997</v>
      </c>
      <c r="Q1608" s="11"/>
      <c r="R1608" s="11">
        <f t="shared" si="411"/>
        <v>0</v>
      </c>
      <c r="S1608" s="11"/>
      <c r="T1608" s="136">
        <f t="shared" si="417"/>
        <v>0</v>
      </c>
    </row>
    <row r="1609" spans="1:20" ht="15.75" customHeight="1">
      <c r="A1609" s="149">
        <v>97</v>
      </c>
      <c r="B1609" s="273"/>
      <c r="C1609" s="28" t="s">
        <v>2547</v>
      </c>
      <c r="D1609" s="41">
        <v>0</v>
      </c>
      <c r="E1609" s="131">
        <f t="shared" si="413"/>
        <v>18330</v>
      </c>
      <c r="F1609" s="21">
        <f t="shared" si="414"/>
        <v>22179.3</v>
      </c>
      <c r="G1609" s="21"/>
      <c r="H1609" s="135">
        <f t="shared" si="415"/>
        <v>0</v>
      </c>
      <c r="I1609" s="294">
        <v>44938</v>
      </c>
      <c r="J1609" s="294"/>
      <c r="K1609" s="11">
        <f>0.8*0.94*15228</f>
        <v>11451.456</v>
      </c>
      <c r="L1609" s="11"/>
      <c r="M1609" s="11"/>
      <c r="N1609" s="100"/>
      <c r="O1609" s="11">
        <f t="shared" si="416"/>
        <v>11451.456</v>
      </c>
      <c r="P1609" s="11">
        <f t="shared" si="410"/>
        <v>11451.456</v>
      </c>
      <c r="Q1609" s="11">
        <v>1.6</v>
      </c>
      <c r="R1609" s="11">
        <f t="shared" si="411"/>
        <v>18322.329600000001</v>
      </c>
      <c r="S1609" s="11"/>
      <c r="T1609" s="136">
        <f t="shared" si="417"/>
        <v>0</v>
      </c>
    </row>
    <row r="1610" spans="1:20" ht="15.75" customHeight="1">
      <c r="A1610" s="149">
        <v>102</v>
      </c>
      <c r="B1610" s="273"/>
      <c r="C1610" s="28" t="s">
        <v>62689</v>
      </c>
      <c r="D1610" s="41">
        <v>0</v>
      </c>
      <c r="E1610" s="131">
        <f t="shared" ref="E1610" si="418">ROUNDUP(R1610,-1)</f>
        <v>30840</v>
      </c>
      <c r="F1610" s="21">
        <f t="shared" ref="F1610" si="419">+E1610*1.21</f>
        <v>37316.400000000001</v>
      </c>
      <c r="G1610" s="21"/>
      <c r="H1610" s="135">
        <f t="shared" ref="H1610" si="420">ROUNDUP(T1610,-1)</f>
        <v>0</v>
      </c>
      <c r="I1610" s="294">
        <v>45365</v>
      </c>
      <c r="J1610" s="294">
        <v>45379</v>
      </c>
      <c r="K1610" s="10">
        <v>19270</v>
      </c>
      <c r="L1610" s="11"/>
      <c r="M1610" s="11"/>
      <c r="N1610" s="100"/>
      <c r="O1610" s="11">
        <f t="shared" ref="O1610" si="421">MIN(K1610:M1610)</f>
        <v>19270</v>
      </c>
      <c r="P1610" s="11">
        <f t="shared" ref="P1610" si="422">+O1610</f>
        <v>19270</v>
      </c>
      <c r="Q1610" s="11">
        <v>1.6</v>
      </c>
      <c r="R1610" s="11">
        <f t="shared" ref="R1610" si="423">+P1610*Q1610</f>
        <v>30832</v>
      </c>
      <c r="S1610" s="11"/>
      <c r="T1610" s="136">
        <f t="shared" ref="T1610" si="424">+N1610*Q1610</f>
        <v>0</v>
      </c>
    </row>
    <row r="1611" spans="1:20" ht="15.75" customHeight="1">
      <c r="A1611" s="149">
        <v>102</v>
      </c>
      <c r="B1611" s="273"/>
      <c r="C1611" s="28" t="s">
        <v>3952</v>
      </c>
      <c r="D1611" s="41">
        <v>0</v>
      </c>
      <c r="E1611" s="131">
        <f t="shared" si="413"/>
        <v>40060</v>
      </c>
      <c r="F1611" s="21">
        <f t="shared" si="414"/>
        <v>48472.6</v>
      </c>
      <c r="G1611" s="21"/>
      <c r="H1611" s="135">
        <f t="shared" si="415"/>
        <v>0</v>
      </c>
      <c r="I1611" s="294">
        <v>45287</v>
      </c>
      <c r="J1611" s="294">
        <v>45306</v>
      </c>
      <c r="K1611" s="10">
        <v>25034</v>
      </c>
      <c r="L1611" s="11"/>
      <c r="M1611" s="11"/>
      <c r="N1611" s="100"/>
      <c r="O1611" s="11">
        <f t="shared" si="416"/>
        <v>25034</v>
      </c>
      <c r="P1611" s="11">
        <f t="shared" si="410"/>
        <v>25034</v>
      </c>
      <c r="Q1611" s="11">
        <v>1.6</v>
      </c>
      <c r="R1611" s="11">
        <f t="shared" si="411"/>
        <v>40054.400000000001</v>
      </c>
      <c r="S1611" s="11"/>
      <c r="T1611" s="136">
        <f t="shared" si="417"/>
        <v>0</v>
      </c>
    </row>
    <row r="1612" spans="1:20" ht="15.75" customHeight="1">
      <c r="A1612" s="149">
        <v>44</v>
      </c>
      <c r="B1612" s="273"/>
      <c r="C1612" s="28" t="s">
        <v>1684</v>
      </c>
      <c r="D1612" s="41">
        <v>1000</v>
      </c>
      <c r="E1612" s="140">
        <f t="shared" si="412"/>
        <v>51500</v>
      </c>
      <c r="F1612" s="21">
        <f t="shared" si="409"/>
        <v>62315</v>
      </c>
      <c r="G1612" s="21"/>
      <c r="H1612" s="135">
        <f t="shared" si="406"/>
        <v>0</v>
      </c>
      <c r="I1612" s="294">
        <v>45254</v>
      </c>
      <c r="J1612" s="294"/>
      <c r="K1612" s="10">
        <f>+PROVEEDORES!$D$38*34.23</f>
        <v>30293.549999999996</v>
      </c>
      <c r="L1612" s="11"/>
      <c r="M1612" s="11"/>
      <c r="N1612" s="100"/>
      <c r="O1612" s="11">
        <f t="shared" si="408"/>
        <v>30293.549999999996</v>
      </c>
      <c r="P1612" s="11">
        <f t="shared" si="410"/>
        <v>30293.549999999996</v>
      </c>
      <c r="Q1612" s="11">
        <v>1.7</v>
      </c>
      <c r="R1612" s="11">
        <f t="shared" si="411"/>
        <v>51499.034999999989</v>
      </c>
      <c r="S1612" s="11"/>
      <c r="T1612" s="136">
        <f t="shared" si="407"/>
        <v>0</v>
      </c>
    </row>
    <row r="1613" spans="1:20" ht="15.75" customHeight="1">
      <c r="A1613" s="149">
        <v>44</v>
      </c>
      <c r="B1613" s="273"/>
      <c r="C1613" s="28" t="s">
        <v>1685</v>
      </c>
      <c r="D1613" s="41">
        <v>2060</v>
      </c>
      <c r="E1613" s="140">
        <f t="shared" si="412"/>
        <v>102490</v>
      </c>
      <c r="F1613" s="21">
        <f t="shared" si="409"/>
        <v>124012.9</v>
      </c>
      <c r="G1613" s="21"/>
      <c r="H1613" s="135">
        <f t="shared" si="406"/>
        <v>0</v>
      </c>
      <c r="I1613" s="294">
        <v>45254</v>
      </c>
      <c r="J1613" s="294"/>
      <c r="K1613" s="10">
        <f>+PROVEEDORES!$D$38*68.12</f>
        <v>60286.200000000004</v>
      </c>
      <c r="L1613" s="11"/>
      <c r="M1613" s="11"/>
      <c r="N1613" s="100"/>
      <c r="O1613" s="11">
        <f t="shared" si="408"/>
        <v>60286.200000000004</v>
      </c>
      <c r="P1613" s="11">
        <f t="shared" si="410"/>
        <v>60286.200000000004</v>
      </c>
      <c r="Q1613" s="11">
        <v>1.7</v>
      </c>
      <c r="R1613" s="11">
        <f t="shared" si="411"/>
        <v>102486.54000000001</v>
      </c>
      <c r="S1613" s="11"/>
      <c r="T1613" s="136">
        <f t="shared" si="407"/>
        <v>0</v>
      </c>
    </row>
    <row r="1614" spans="1:20" ht="15.75" customHeight="1">
      <c r="A1614" s="149">
        <v>16</v>
      </c>
      <c r="B1614" s="273"/>
      <c r="C1614" s="28" t="s">
        <v>1686</v>
      </c>
      <c r="D1614" s="41">
        <v>1880</v>
      </c>
      <c r="E1614" s="147">
        <f t="shared" si="412"/>
        <v>0</v>
      </c>
      <c r="F1614" s="21">
        <f t="shared" si="409"/>
        <v>0</v>
      </c>
      <c r="G1614" s="21"/>
      <c r="H1614" s="135">
        <f t="shared" si="406"/>
        <v>0</v>
      </c>
      <c r="I1614" s="294">
        <v>45054</v>
      </c>
      <c r="J1614" s="294"/>
      <c r="K1614" s="11">
        <f>0.9*2100*1.1*1.35*1.1*1.15*1.2</f>
        <v>4260.4947000000002</v>
      </c>
      <c r="L1614" s="11"/>
      <c r="M1614" s="11"/>
      <c r="N1614" s="100"/>
      <c r="O1614" s="11">
        <f t="shared" si="408"/>
        <v>4260.4947000000002</v>
      </c>
      <c r="P1614" s="11">
        <f t="shared" si="410"/>
        <v>4260.4947000000002</v>
      </c>
      <c r="Q1614" s="11"/>
      <c r="R1614" s="11">
        <f t="shared" si="411"/>
        <v>0</v>
      </c>
      <c r="S1614" s="11"/>
      <c r="T1614" s="136">
        <f t="shared" si="407"/>
        <v>0</v>
      </c>
    </row>
    <row r="1615" spans="1:20" ht="15.75" customHeight="1">
      <c r="A1615" s="149">
        <v>41</v>
      </c>
      <c r="B1615" s="273"/>
      <c r="C1615" s="28" t="s">
        <v>3511</v>
      </c>
      <c r="D1615" s="41">
        <v>340</v>
      </c>
      <c r="E1615" s="132">
        <f t="shared" si="412"/>
        <v>18840</v>
      </c>
      <c r="F1615" s="21">
        <f t="shared" si="409"/>
        <v>22796.399999999998</v>
      </c>
      <c r="G1615" s="21"/>
      <c r="H1615" s="135">
        <f t="shared" si="406"/>
        <v>0</v>
      </c>
      <c r="I1615" s="294"/>
      <c r="J1615" s="294">
        <v>44792</v>
      </c>
      <c r="K1615" s="10">
        <f>+PROVEEDORES!D35*11</f>
        <v>11770</v>
      </c>
      <c r="L1615" s="11"/>
      <c r="M1615" s="11"/>
      <c r="N1615" s="100"/>
      <c r="O1615" s="11">
        <f t="shared" si="408"/>
        <v>11770</v>
      </c>
      <c r="P1615" s="11">
        <f t="shared" si="410"/>
        <v>11770</v>
      </c>
      <c r="Q1615" s="11">
        <v>1.6</v>
      </c>
      <c r="R1615" s="11">
        <f t="shared" si="411"/>
        <v>18832</v>
      </c>
      <c r="S1615" s="11"/>
      <c r="T1615" s="136">
        <f t="shared" si="407"/>
        <v>0</v>
      </c>
    </row>
    <row r="1616" spans="1:20" ht="15.75" customHeight="1">
      <c r="A1616" s="149">
        <v>41</v>
      </c>
      <c r="B1616" s="273"/>
      <c r="C1616" s="28" t="s">
        <v>1687</v>
      </c>
      <c r="D1616" s="41">
        <v>1010</v>
      </c>
      <c r="E1616" s="132">
        <f t="shared" si="412"/>
        <v>18030</v>
      </c>
      <c r="F1616" s="21">
        <f t="shared" si="409"/>
        <v>21816.3</v>
      </c>
      <c r="G1616" s="21"/>
      <c r="H1616" s="135">
        <f t="shared" si="406"/>
        <v>0</v>
      </c>
      <c r="I1616" s="294"/>
      <c r="J1616" s="294">
        <v>45252</v>
      </c>
      <c r="K1616" s="10">
        <f>+PROVEEDORES!D35*0.9*0.9*13</f>
        <v>11267.1</v>
      </c>
      <c r="L1616" s="11"/>
      <c r="M1616" s="11"/>
      <c r="N1616" s="100"/>
      <c r="O1616" s="11">
        <f t="shared" si="408"/>
        <v>11267.1</v>
      </c>
      <c r="P1616" s="11">
        <f t="shared" si="410"/>
        <v>11267.1</v>
      </c>
      <c r="Q1616" s="11">
        <v>1.6</v>
      </c>
      <c r="R1616" s="11">
        <f t="shared" si="411"/>
        <v>18027.36</v>
      </c>
      <c r="S1616" s="11"/>
      <c r="T1616" s="136">
        <f t="shared" si="407"/>
        <v>0</v>
      </c>
    </row>
    <row r="1617" spans="1:20" ht="15.75" customHeight="1">
      <c r="A1617" s="149">
        <v>21</v>
      </c>
      <c r="B1617" s="273"/>
      <c r="C1617" s="28" t="s">
        <v>4216</v>
      </c>
      <c r="D1617" s="41">
        <v>400</v>
      </c>
      <c r="E1617" s="131">
        <f t="shared" si="412"/>
        <v>18080</v>
      </c>
      <c r="F1617" s="21">
        <f t="shared" si="409"/>
        <v>21876.799999999999</v>
      </c>
      <c r="G1617" s="21"/>
      <c r="H1617" s="135">
        <f t="shared" si="406"/>
        <v>0</v>
      </c>
      <c r="I1617" s="294">
        <v>45273</v>
      </c>
      <c r="J1617" s="294">
        <v>45359</v>
      </c>
      <c r="K1617" s="10">
        <f>0.6*17716</f>
        <v>10629.6</v>
      </c>
      <c r="L1617" s="11"/>
      <c r="M1617" s="11"/>
      <c r="N1617" s="100"/>
      <c r="O1617" s="11">
        <f t="shared" si="408"/>
        <v>10629.6</v>
      </c>
      <c r="P1617" s="11">
        <f t="shared" si="410"/>
        <v>10629.6</v>
      </c>
      <c r="Q1617" s="11">
        <v>1.7</v>
      </c>
      <c r="R1617" s="11">
        <f t="shared" si="411"/>
        <v>18070.32</v>
      </c>
      <c r="S1617" s="11"/>
      <c r="T1617" s="136">
        <f t="shared" si="407"/>
        <v>0</v>
      </c>
    </row>
    <row r="1618" spans="1:20" ht="15.75" customHeight="1">
      <c r="A1618" s="149" t="s">
        <v>2398</v>
      </c>
      <c r="B1618" s="273">
        <f>ROUNDUP(E1618*1.06,-1)</f>
        <v>963060</v>
      </c>
      <c r="C1618" s="28" t="s">
        <v>37140</v>
      </c>
      <c r="D1618" s="41">
        <v>37070</v>
      </c>
      <c r="E1618" s="131">
        <f>ROUNDUP(R1618,-1)</f>
        <v>908540</v>
      </c>
      <c r="F1618" s="21" t="s">
        <v>1248</v>
      </c>
      <c r="G1618" s="21">
        <f>+E1618*1.105</f>
        <v>1003936.7</v>
      </c>
      <c r="H1618" s="135">
        <f>ROUNDUP(T1618,-1)</f>
        <v>0</v>
      </c>
      <c r="I1618" s="23">
        <v>45323</v>
      </c>
      <c r="J1618" s="294"/>
      <c r="K1618" s="10">
        <f>0.8*0.98*0.94*0.95*940367</f>
        <v>658362.221104</v>
      </c>
      <c r="L1618" s="10"/>
      <c r="M1618" s="11"/>
      <c r="N1618" s="100"/>
      <c r="O1618" s="11">
        <f>MIN(K1618:M1618)</f>
        <v>658362.221104</v>
      </c>
      <c r="P1618" s="11">
        <f>+O1618*'AUMENTOS %'!$B$5</f>
        <v>658362.221104</v>
      </c>
      <c r="Q1618" s="11">
        <v>1.38</v>
      </c>
      <c r="R1618" s="11">
        <f t="shared" si="411"/>
        <v>908539.86512351991</v>
      </c>
      <c r="S1618" s="11"/>
      <c r="T1618" s="136">
        <f>+N1618*Q1618</f>
        <v>0</v>
      </c>
    </row>
    <row r="1619" spans="1:20" ht="15.75" customHeight="1">
      <c r="A1619" s="149" t="s">
        <v>2398</v>
      </c>
      <c r="B1619" s="273">
        <f>ROUNDUP(E1619*1.06,-1)</f>
        <v>1302380</v>
      </c>
      <c r="C1619" s="28" t="s">
        <v>37141</v>
      </c>
      <c r="D1619" s="41">
        <v>50120</v>
      </c>
      <c r="E1619" s="131">
        <f>ROUNDUP(R1619,-1)</f>
        <v>1228660</v>
      </c>
      <c r="F1619" s="21" t="s">
        <v>1248</v>
      </c>
      <c r="G1619" s="21">
        <f>+E1619*1.105</f>
        <v>1357669.3</v>
      </c>
      <c r="H1619" s="135">
        <f>ROUNDUP(T1619,-1)</f>
        <v>0</v>
      </c>
      <c r="I1619" s="23">
        <v>45323</v>
      </c>
      <c r="J1619" s="294"/>
      <c r="K1619" s="10">
        <f>0.8*0.98*0.94*0.95*1271692</f>
        <v>890326.82950399991</v>
      </c>
      <c r="L1619" s="11"/>
      <c r="M1619" s="11"/>
      <c r="N1619" s="100"/>
      <c r="O1619" s="11">
        <f>MIN(K1619:M1619)</f>
        <v>890326.82950399991</v>
      </c>
      <c r="P1619" s="11">
        <f>+O1619*'AUMENTOS %'!$B$5</f>
        <v>890326.82950399991</v>
      </c>
      <c r="Q1619" s="11">
        <v>1.38</v>
      </c>
      <c r="R1619" s="11">
        <f t="shared" si="411"/>
        <v>1228651.0247155197</v>
      </c>
      <c r="S1619" s="11"/>
      <c r="T1619" s="136">
        <f>+N1619*Q1619</f>
        <v>0</v>
      </c>
    </row>
    <row r="1620" spans="1:20" ht="15.75" customHeight="1">
      <c r="A1620" s="149" t="s">
        <v>2398</v>
      </c>
      <c r="B1620" s="273">
        <f>ROUNDUP(E1620*1.06,-1)</f>
        <v>673750</v>
      </c>
      <c r="C1620" s="28" t="s">
        <v>37142</v>
      </c>
      <c r="D1620" s="41">
        <v>50120</v>
      </c>
      <c r="E1620" s="131">
        <f>ROUNDUP(R1620,-1)</f>
        <v>635610</v>
      </c>
      <c r="F1620" s="21" t="s">
        <v>1248</v>
      </c>
      <c r="G1620" s="21">
        <f>+E1620*1.105</f>
        <v>702349.05</v>
      </c>
      <c r="H1620" s="135">
        <f>ROUNDUP(T1620,-1)</f>
        <v>0</v>
      </c>
      <c r="I1620" s="23">
        <v>45323</v>
      </c>
      <c r="J1620" s="294"/>
      <c r="K1620" s="10">
        <f>0.8*0.98*0.94*0.95*657875</f>
        <v>460586.18199999997</v>
      </c>
      <c r="L1620" s="11"/>
      <c r="M1620" s="11"/>
      <c r="N1620" s="100"/>
      <c r="O1620" s="11">
        <f>MIN(K1620:M1620)</f>
        <v>460586.18199999997</v>
      </c>
      <c r="P1620" s="11">
        <f>+O1620*'AUMENTOS %'!$B$5</f>
        <v>460586.18199999997</v>
      </c>
      <c r="Q1620" s="11">
        <v>1.38</v>
      </c>
      <c r="R1620" s="11">
        <f t="shared" si="411"/>
        <v>635608.93115999992</v>
      </c>
      <c r="S1620" s="11"/>
      <c r="T1620" s="136">
        <f>+N1620*Q1620</f>
        <v>0</v>
      </c>
    </row>
    <row r="1621" spans="1:20" ht="15.75" customHeight="1">
      <c r="A1621" s="149" t="s">
        <v>2398</v>
      </c>
      <c r="B1621" s="273">
        <f>ROUNDUP(E1621*1.06,-1)</f>
        <v>1426570</v>
      </c>
      <c r="C1621" s="248" t="s">
        <v>37143</v>
      </c>
      <c r="D1621" s="41">
        <v>61220</v>
      </c>
      <c r="E1621" s="131">
        <f t="shared" si="412"/>
        <v>1345820</v>
      </c>
      <c r="F1621" s="21" t="s">
        <v>1248</v>
      </c>
      <c r="G1621" s="21">
        <f t="shared" ref="G1621:G1655" si="425">+E1621*1.105</f>
        <v>1487131.0999999999</v>
      </c>
      <c r="H1621" s="135">
        <f t="shared" si="406"/>
        <v>0</v>
      </c>
      <c r="I1621" s="23">
        <v>45323</v>
      </c>
      <c r="J1621" s="294"/>
      <c r="K1621" s="11">
        <f>0.8*0.98*0.94*0.95*1423918</f>
        <v>996902.07881599991</v>
      </c>
      <c r="L1621" s="11">
        <f>783155*2</f>
        <v>1566310</v>
      </c>
      <c r="M1621" s="11"/>
      <c r="N1621" s="11"/>
      <c r="O1621" s="11">
        <f t="shared" si="408"/>
        <v>996902.07881599991</v>
      </c>
      <c r="P1621" s="11">
        <f>+O1621*'AUMENTOS %'!$B$5</f>
        <v>996902.07881599991</v>
      </c>
      <c r="Q1621" s="11">
        <v>1.35</v>
      </c>
      <c r="R1621" s="11">
        <f t="shared" si="411"/>
        <v>1345817.8064015999</v>
      </c>
      <c r="S1621" s="11"/>
      <c r="T1621" s="136">
        <f t="shared" si="407"/>
        <v>0</v>
      </c>
    </row>
    <row r="1622" spans="1:20" ht="15.75" customHeight="1">
      <c r="A1622" s="149" t="s">
        <v>2398</v>
      </c>
      <c r="B1622" s="273">
        <f t="shared" ref="B1622:B1654" si="426">ROUNDUP(E1622*1.06,-1)</f>
        <v>2461970</v>
      </c>
      <c r="C1622" s="28" t="s">
        <v>37144</v>
      </c>
      <c r="D1622" s="41">
        <v>94750</v>
      </c>
      <c r="E1622" s="131">
        <f t="shared" si="412"/>
        <v>2322610</v>
      </c>
      <c r="F1622" s="21" t="s">
        <v>1248</v>
      </c>
      <c r="G1622" s="21">
        <f t="shared" si="425"/>
        <v>2566484.0499999998</v>
      </c>
      <c r="H1622" s="135">
        <f t="shared" si="406"/>
        <v>0</v>
      </c>
      <c r="I1622" s="23">
        <v>45323</v>
      </c>
      <c r="J1622" s="294"/>
      <c r="K1622" s="11">
        <f>0.8*0.98*0.94*0.95*2403972</f>
        <v>1683049.6448639999</v>
      </c>
      <c r="L1622" s="11"/>
      <c r="M1622" s="11"/>
      <c r="N1622" s="100"/>
      <c r="O1622" s="11">
        <f t="shared" si="408"/>
        <v>1683049.6448639999</v>
      </c>
      <c r="P1622" s="11">
        <f>+O1622*'AUMENTOS %'!$B$5</f>
        <v>1683049.6448639999</v>
      </c>
      <c r="Q1622" s="11">
        <v>1.38</v>
      </c>
      <c r="R1622" s="11">
        <f t="shared" si="411"/>
        <v>2322608.5099123195</v>
      </c>
      <c r="S1622" s="11"/>
      <c r="T1622" s="136">
        <f t="shared" si="407"/>
        <v>0</v>
      </c>
    </row>
    <row r="1623" spans="1:20" ht="15.75" customHeight="1">
      <c r="A1623" s="149" t="s">
        <v>2398</v>
      </c>
      <c r="B1623" s="273">
        <f t="shared" si="426"/>
        <v>3027480</v>
      </c>
      <c r="C1623" s="28" t="s">
        <v>37146</v>
      </c>
      <c r="D1623" s="41">
        <v>116510</v>
      </c>
      <c r="E1623" s="131">
        <f t="shared" si="412"/>
        <v>2856110</v>
      </c>
      <c r="F1623" s="21" t="s">
        <v>1248</v>
      </c>
      <c r="G1623" s="21">
        <f t="shared" si="425"/>
        <v>3156001.55</v>
      </c>
      <c r="H1623" s="135">
        <f t="shared" si="406"/>
        <v>0</v>
      </c>
      <c r="I1623" s="23">
        <v>45323</v>
      </c>
      <c r="J1623" s="294"/>
      <c r="K1623" s="10">
        <f>0.8*0.98*0.94*0.95*2956158</f>
        <v>2069641.689696</v>
      </c>
      <c r="L1623" s="11"/>
      <c r="M1623" s="11"/>
      <c r="N1623" s="100"/>
      <c r="O1623" s="11">
        <f t="shared" si="408"/>
        <v>2069641.689696</v>
      </c>
      <c r="P1623" s="11">
        <f>+O1623*'AUMENTOS %'!$B$5</f>
        <v>2069641.689696</v>
      </c>
      <c r="Q1623" s="11">
        <v>1.38</v>
      </c>
      <c r="R1623" s="11">
        <f t="shared" si="411"/>
        <v>2856105.5317804799</v>
      </c>
      <c r="S1623" s="11"/>
      <c r="T1623" s="136">
        <f t="shared" si="407"/>
        <v>0</v>
      </c>
    </row>
    <row r="1624" spans="1:20" ht="15.75" customHeight="1">
      <c r="A1624" s="149" t="s">
        <v>2398</v>
      </c>
      <c r="B1624" s="273">
        <f t="shared" si="426"/>
        <v>3778350</v>
      </c>
      <c r="C1624" s="28" t="s">
        <v>37145</v>
      </c>
      <c r="D1624" s="41">
        <v>126350</v>
      </c>
      <c r="E1624" s="131">
        <f t="shared" si="412"/>
        <v>3564480</v>
      </c>
      <c r="F1624" s="21" t="s">
        <v>1248</v>
      </c>
      <c r="G1624" s="21">
        <f t="shared" si="425"/>
        <v>3938750.4</v>
      </c>
      <c r="H1624" s="135">
        <f t="shared" si="406"/>
        <v>0</v>
      </c>
      <c r="I1624" s="23">
        <v>45323</v>
      </c>
      <c r="J1624" s="294"/>
      <c r="K1624" s="11">
        <f>0.8*0.98*0.94*0.95*3771324</f>
        <v>2640349.1882879999</v>
      </c>
      <c r="L1624" s="11"/>
      <c r="M1624" s="11"/>
      <c r="N1624" s="100"/>
      <c r="O1624" s="11">
        <f t="shared" si="408"/>
        <v>2640349.1882879999</v>
      </c>
      <c r="P1624" s="11">
        <f>+O1624*'AUMENTOS %'!$B$5</f>
        <v>2640349.1882879999</v>
      </c>
      <c r="Q1624" s="11">
        <v>1.35</v>
      </c>
      <c r="R1624" s="11">
        <f t="shared" si="411"/>
        <v>3564471.4041888001</v>
      </c>
      <c r="S1624" s="11"/>
      <c r="T1624" s="136">
        <f t="shared" si="407"/>
        <v>0</v>
      </c>
    </row>
    <row r="1625" spans="1:20" ht="15.75" customHeight="1">
      <c r="A1625" s="149">
        <v>52</v>
      </c>
      <c r="B1625" s="273"/>
      <c r="C1625" s="36" t="s">
        <v>2929</v>
      </c>
      <c r="D1625" s="41"/>
      <c r="E1625" s="131">
        <f t="shared" si="412"/>
        <v>338890</v>
      </c>
      <c r="F1625" s="21" t="s">
        <v>1248</v>
      </c>
      <c r="G1625" s="21">
        <f t="shared" si="425"/>
        <v>374473.45</v>
      </c>
      <c r="H1625" s="135">
        <f t="shared" si="406"/>
        <v>0</v>
      </c>
      <c r="I1625" s="294">
        <v>44481</v>
      </c>
      <c r="J1625" s="40">
        <v>44659</v>
      </c>
      <c r="K1625" s="11">
        <f>+PROVEEDORES!$D$46*0.9*0.93*241</f>
        <v>211802.85</v>
      </c>
      <c r="L1625" s="196"/>
      <c r="M1625" s="11"/>
      <c r="N1625" s="100"/>
      <c r="O1625" s="11">
        <f t="shared" si="408"/>
        <v>211802.85</v>
      </c>
      <c r="P1625" s="11">
        <f t="shared" si="410"/>
        <v>211802.85</v>
      </c>
      <c r="Q1625" s="11">
        <v>1.6</v>
      </c>
      <c r="R1625" s="11">
        <f t="shared" si="411"/>
        <v>338884.56000000006</v>
      </c>
      <c r="S1625" s="11"/>
      <c r="T1625" s="136">
        <f t="shared" si="407"/>
        <v>0</v>
      </c>
    </row>
    <row r="1626" spans="1:20" ht="15.75" customHeight="1">
      <c r="A1626" s="149">
        <v>38</v>
      </c>
      <c r="B1626" s="273">
        <f t="shared" si="426"/>
        <v>466220</v>
      </c>
      <c r="C1626" s="36" t="s">
        <v>4192</v>
      </c>
      <c r="D1626" s="41"/>
      <c r="E1626" s="131">
        <f t="shared" si="412"/>
        <v>439830</v>
      </c>
      <c r="F1626" s="21" t="s">
        <v>1248</v>
      </c>
      <c r="G1626" s="21">
        <f t="shared" si="425"/>
        <v>486012.14999999997</v>
      </c>
      <c r="H1626" s="135">
        <f t="shared" si="406"/>
        <v>390950</v>
      </c>
      <c r="I1626" s="294">
        <v>45138</v>
      </c>
      <c r="J1626" s="40">
        <v>45306</v>
      </c>
      <c r="K1626" s="11">
        <f>+PROVEEDORES!D32*310.28</f>
        <v>325794</v>
      </c>
      <c r="L1626" s="196"/>
      <c r="M1626" s="11"/>
      <c r="N1626" s="100">
        <v>289590</v>
      </c>
      <c r="O1626" s="11">
        <f t="shared" si="408"/>
        <v>325794</v>
      </c>
      <c r="P1626" s="11">
        <f t="shared" si="410"/>
        <v>325794</v>
      </c>
      <c r="Q1626" s="11">
        <v>1.35</v>
      </c>
      <c r="R1626" s="11">
        <f t="shared" si="411"/>
        <v>439821.9</v>
      </c>
      <c r="S1626" s="11"/>
      <c r="T1626" s="136">
        <f t="shared" si="407"/>
        <v>390946.5</v>
      </c>
    </row>
    <row r="1627" spans="1:20" ht="15.75" customHeight="1">
      <c r="A1627" s="149">
        <v>38</v>
      </c>
      <c r="B1627" s="273">
        <f t="shared" si="426"/>
        <v>1126970</v>
      </c>
      <c r="C1627" s="248" t="s">
        <v>3690</v>
      </c>
      <c r="D1627" s="41"/>
      <c r="E1627" s="131">
        <f t="shared" si="412"/>
        <v>1063170</v>
      </c>
      <c r="F1627" s="21" t="s">
        <v>1248</v>
      </c>
      <c r="G1627" s="21">
        <f t="shared" si="425"/>
        <v>1174802.8500000001</v>
      </c>
      <c r="H1627" s="135">
        <f t="shared" si="406"/>
        <v>1020650</v>
      </c>
      <c r="I1627" s="294">
        <v>45138</v>
      </c>
      <c r="J1627" s="294">
        <v>45369</v>
      </c>
      <c r="K1627" s="10">
        <f>+PROVEEDORES!$D$32*750.03</f>
        <v>787531.5</v>
      </c>
      <c r="L1627" s="10"/>
      <c r="M1627" s="11"/>
      <c r="N1627" s="100">
        <f>+K1627*0.96</f>
        <v>756030.24</v>
      </c>
      <c r="O1627" s="11">
        <f t="shared" si="408"/>
        <v>787531.5</v>
      </c>
      <c r="P1627" s="11">
        <f t="shared" si="410"/>
        <v>787531.5</v>
      </c>
      <c r="Q1627" s="11">
        <v>1.35</v>
      </c>
      <c r="R1627" s="11">
        <f t="shared" si="411"/>
        <v>1063167.5250000001</v>
      </c>
      <c r="S1627" s="11"/>
      <c r="T1627" s="136">
        <f t="shared" si="407"/>
        <v>1020640.824</v>
      </c>
    </row>
    <row r="1628" spans="1:20" ht="15.75" customHeight="1">
      <c r="A1628" s="149" t="s">
        <v>2387</v>
      </c>
      <c r="B1628" s="273">
        <f t="shared" si="426"/>
        <v>1424410</v>
      </c>
      <c r="C1628" s="28" t="s">
        <v>1688</v>
      </c>
      <c r="D1628" s="41">
        <v>71430</v>
      </c>
      <c r="E1628" s="131">
        <f t="shared" si="412"/>
        <v>1343780</v>
      </c>
      <c r="F1628" s="21" t="s">
        <v>1248</v>
      </c>
      <c r="G1628" s="21">
        <f t="shared" si="425"/>
        <v>1484876.9</v>
      </c>
      <c r="H1628" s="135">
        <f t="shared" si="406"/>
        <v>0</v>
      </c>
      <c r="I1628" s="294">
        <v>45329</v>
      </c>
      <c r="J1628" s="294"/>
      <c r="K1628" s="39">
        <f>+'AUMENTOS %'!$D$12*0.5*1990780</f>
        <v>995390</v>
      </c>
      <c r="L1628" s="106">
        <f>+'AUMENTOS %'!$C$12*1336267</f>
        <v>1336267</v>
      </c>
      <c r="M1628" s="39"/>
      <c r="N1628" s="100"/>
      <c r="O1628" s="11">
        <f t="shared" si="408"/>
        <v>995390</v>
      </c>
      <c r="P1628" s="11">
        <f>+O1628*'AUMENTOS %'!$D$12</f>
        <v>995390</v>
      </c>
      <c r="Q1628" s="11">
        <v>1.35</v>
      </c>
      <c r="R1628" s="11">
        <f t="shared" si="411"/>
        <v>1343776.5</v>
      </c>
      <c r="S1628" s="11"/>
      <c r="T1628" s="136">
        <f t="shared" si="407"/>
        <v>0</v>
      </c>
    </row>
    <row r="1629" spans="1:20" ht="15.75" customHeight="1">
      <c r="A1629" s="149" t="s">
        <v>2387</v>
      </c>
      <c r="B1629" s="273">
        <f t="shared" si="426"/>
        <v>1336030</v>
      </c>
      <c r="C1629" s="28" t="s">
        <v>1689</v>
      </c>
      <c r="D1629" s="41">
        <v>110380</v>
      </c>
      <c r="E1629" s="131">
        <f t="shared" si="412"/>
        <v>1260400</v>
      </c>
      <c r="F1629" s="21" t="s">
        <v>1248</v>
      </c>
      <c r="G1629" s="21">
        <f t="shared" si="425"/>
        <v>1392742</v>
      </c>
      <c r="H1629" s="135">
        <f t="shared" si="406"/>
        <v>0</v>
      </c>
      <c r="I1629" s="294">
        <v>45173</v>
      </c>
      <c r="J1629" s="294">
        <v>45175</v>
      </c>
      <c r="K1629" s="39">
        <f>+'AUMENTOS %'!$D$12*0.5*1867250</f>
        <v>933625</v>
      </c>
      <c r="L1629" s="106">
        <f>+'AUMENTOS %'!$C$12*646107*2</f>
        <v>1292214</v>
      </c>
      <c r="M1629" s="11"/>
      <c r="N1629" s="100"/>
      <c r="O1629" s="11">
        <f t="shared" si="408"/>
        <v>933625</v>
      </c>
      <c r="P1629" s="11">
        <f>+O1629*'AUMENTOS %'!$D$12</f>
        <v>933625</v>
      </c>
      <c r="Q1629" s="11">
        <v>1.35</v>
      </c>
      <c r="R1629" s="11">
        <f t="shared" si="411"/>
        <v>1260393.75</v>
      </c>
      <c r="S1629" s="11"/>
      <c r="T1629" s="136">
        <f t="shared" si="407"/>
        <v>0</v>
      </c>
    </row>
    <row r="1630" spans="1:20" ht="15.75" customHeight="1">
      <c r="A1630" s="149" t="s">
        <v>2387</v>
      </c>
      <c r="B1630" s="273">
        <f t="shared" si="426"/>
        <v>2191860</v>
      </c>
      <c r="C1630" s="291" t="s">
        <v>1690</v>
      </c>
      <c r="D1630" s="71">
        <v>132930</v>
      </c>
      <c r="E1630" s="131">
        <f t="shared" si="412"/>
        <v>2067790</v>
      </c>
      <c r="F1630" s="21" t="s">
        <v>1248</v>
      </c>
      <c r="G1630" s="21">
        <f t="shared" si="425"/>
        <v>2284907.9500000002</v>
      </c>
      <c r="H1630" s="135">
        <f t="shared" si="406"/>
        <v>0</v>
      </c>
      <c r="I1630" s="294">
        <v>45329</v>
      </c>
      <c r="J1630" s="294"/>
      <c r="K1630" s="39">
        <f>+'AUMENTOS %'!$D$12*0.5*2953980</f>
        <v>1476990</v>
      </c>
      <c r="L1630" s="106">
        <f>+'AUMENTOS %'!$C$12*843738*2</f>
        <v>1687476</v>
      </c>
      <c r="M1630" s="11"/>
      <c r="N1630" s="100"/>
      <c r="O1630" s="11">
        <f t="shared" si="408"/>
        <v>1476990</v>
      </c>
      <c r="P1630" s="11">
        <f>+O1630*'AUMENTOS %'!$D$12</f>
        <v>1476990</v>
      </c>
      <c r="Q1630" s="11">
        <v>1.4</v>
      </c>
      <c r="R1630" s="11">
        <f t="shared" si="411"/>
        <v>2067785.9999999998</v>
      </c>
      <c r="S1630" s="11"/>
      <c r="T1630" s="136"/>
    </row>
    <row r="1631" spans="1:20" ht="15.75" customHeight="1">
      <c r="A1631" s="149" t="s">
        <v>2387</v>
      </c>
      <c r="B1631" s="273">
        <f t="shared" si="426"/>
        <v>2989100</v>
      </c>
      <c r="C1631" s="291" t="s">
        <v>1691</v>
      </c>
      <c r="D1631" s="41">
        <v>181470</v>
      </c>
      <c r="E1631" s="131">
        <f t="shared" si="412"/>
        <v>2819900</v>
      </c>
      <c r="F1631" s="21" t="s">
        <v>1248</v>
      </c>
      <c r="G1631" s="21">
        <f t="shared" si="425"/>
        <v>3115989.5</v>
      </c>
      <c r="H1631" s="135">
        <f t="shared" si="406"/>
        <v>0</v>
      </c>
      <c r="I1631" s="294">
        <v>45329</v>
      </c>
      <c r="J1631" s="294"/>
      <c r="K1631" s="39">
        <f>+'AUMENTOS %'!$D$12*0.5*4028420</f>
        <v>2014210</v>
      </c>
      <c r="L1631" s="106"/>
      <c r="M1631" s="10"/>
      <c r="N1631" s="100"/>
      <c r="O1631" s="11">
        <f t="shared" si="408"/>
        <v>2014210</v>
      </c>
      <c r="P1631" s="11">
        <f>+O1631*'AUMENTOS %'!$D$12</f>
        <v>2014210</v>
      </c>
      <c r="Q1631" s="32">
        <v>1.4</v>
      </c>
      <c r="R1631" s="11">
        <f t="shared" si="411"/>
        <v>2819894</v>
      </c>
      <c r="S1631" s="11"/>
      <c r="T1631" s="136">
        <f t="shared" ref="T1631:T1676" si="427">+N1631*Q1631</f>
        <v>0</v>
      </c>
    </row>
    <row r="1632" spans="1:20" ht="15.75" customHeight="1">
      <c r="A1632" s="149">
        <v>109</v>
      </c>
      <c r="B1632" s="273"/>
      <c r="C1632" s="285" t="s">
        <v>4571</v>
      </c>
      <c r="D1632" s="41">
        <v>26200</v>
      </c>
      <c r="E1632" s="131">
        <f>ROUNDUP(R1632,-1)</f>
        <v>414720</v>
      </c>
      <c r="F1632" s="21" t="s">
        <v>1248</v>
      </c>
      <c r="G1632" s="21">
        <f>+E1632*1.105</f>
        <v>458265.59999999998</v>
      </c>
      <c r="H1632" s="135">
        <f>ROUNDUP(T1632,-1)</f>
        <v>0</v>
      </c>
      <c r="I1632" s="294">
        <v>45313</v>
      </c>
      <c r="J1632" s="294"/>
      <c r="K1632" s="10">
        <f>1.038*275537</f>
        <v>286007.40600000002</v>
      </c>
      <c r="L1632" s="10"/>
      <c r="M1632" s="10"/>
      <c r="N1632" s="100"/>
      <c r="O1632" s="11">
        <f>MIN(K1632:M1632)</f>
        <v>286007.40600000002</v>
      </c>
      <c r="P1632" s="11">
        <f>+O1632</f>
        <v>286007.40600000002</v>
      </c>
      <c r="Q1632" s="32">
        <v>1.45</v>
      </c>
      <c r="R1632" s="11">
        <f>+P1632*Q1632</f>
        <v>414710.73869999999</v>
      </c>
      <c r="S1632" s="11"/>
      <c r="T1632" s="136">
        <f>+N1632*Q1632</f>
        <v>0</v>
      </c>
    </row>
    <row r="1633" spans="1:20" ht="15.75" customHeight="1">
      <c r="A1633" s="149">
        <v>109</v>
      </c>
      <c r="B1633" s="273"/>
      <c r="C1633" s="28" t="s">
        <v>37229</v>
      </c>
      <c r="D1633" s="41">
        <v>26200</v>
      </c>
      <c r="E1633" s="131">
        <f>ROUNDUP(R1633,-1)</f>
        <v>1109750</v>
      </c>
      <c r="F1633" s="21" t="s">
        <v>1248</v>
      </c>
      <c r="G1633" s="21">
        <f>+E1633*1.105</f>
        <v>1226273.75</v>
      </c>
      <c r="H1633" s="135">
        <f>ROUNDUP(T1633,-1)</f>
        <v>0</v>
      </c>
      <c r="I1633" s="294">
        <v>45313</v>
      </c>
      <c r="J1633" s="294"/>
      <c r="K1633" s="10">
        <f>1.038*737320</f>
        <v>765338.16</v>
      </c>
      <c r="L1633" s="10"/>
      <c r="M1633" s="10"/>
      <c r="N1633" s="100"/>
      <c r="O1633" s="11">
        <f>MIN(K1633:M1633)</f>
        <v>765338.16</v>
      </c>
      <c r="P1633" s="11">
        <f>+O1633</f>
        <v>765338.16</v>
      </c>
      <c r="Q1633" s="32">
        <v>1.45</v>
      </c>
      <c r="R1633" s="11">
        <f>+P1633*Q1633</f>
        <v>1109740.3319999999</v>
      </c>
      <c r="S1633" s="11"/>
      <c r="T1633" s="136">
        <f>+N1633*Q1633</f>
        <v>0</v>
      </c>
    </row>
    <row r="1634" spans="1:20" ht="15.75" customHeight="1">
      <c r="A1634" s="149">
        <v>12</v>
      </c>
      <c r="B1634" s="273"/>
      <c r="C1634" s="28" t="s">
        <v>3924</v>
      </c>
      <c r="D1634" s="41">
        <v>181470</v>
      </c>
      <c r="E1634" s="131">
        <f t="shared" si="412"/>
        <v>198880</v>
      </c>
      <c r="F1634" s="21" t="s">
        <v>1248</v>
      </c>
      <c r="G1634" s="21">
        <f t="shared" si="425"/>
        <v>219762.4</v>
      </c>
      <c r="H1634" s="135">
        <f t="shared" si="406"/>
        <v>0</v>
      </c>
      <c r="I1634" s="294">
        <v>45274</v>
      </c>
      <c r="J1634" s="23">
        <v>45338</v>
      </c>
      <c r="K1634" s="10">
        <v>137158</v>
      </c>
      <c r="L1634" s="10"/>
      <c r="M1634" s="10"/>
      <c r="N1634" s="100"/>
      <c r="O1634" s="11">
        <f t="shared" si="408"/>
        <v>137158</v>
      </c>
      <c r="P1634" s="11">
        <f t="shared" si="410"/>
        <v>137158</v>
      </c>
      <c r="Q1634" s="11">
        <v>1.45</v>
      </c>
      <c r="R1634" s="11">
        <f t="shared" si="411"/>
        <v>198879.1</v>
      </c>
      <c r="S1634" s="11"/>
      <c r="T1634" s="136">
        <f t="shared" si="427"/>
        <v>0</v>
      </c>
    </row>
    <row r="1635" spans="1:20" ht="15.75" customHeight="1">
      <c r="A1635" s="149">
        <v>38</v>
      </c>
      <c r="B1635" s="273"/>
      <c r="C1635" s="28" t="s">
        <v>3484</v>
      </c>
      <c r="D1635" s="41">
        <v>26200</v>
      </c>
      <c r="E1635" s="131">
        <f t="shared" si="412"/>
        <v>318450</v>
      </c>
      <c r="F1635" s="21" t="s">
        <v>1248</v>
      </c>
      <c r="G1635" s="21">
        <f t="shared" si="425"/>
        <v>351887.25</v>
      </c>
      <c r="H1635" s="135">
        <f t="shared" si="406"/>
        <v>275990</v>
      </c>
      <c r="I1635" s="294">
        <v>45138</v>
      </c>
      <c r="J1635" s="294">
        <v>45274</v>
      </c>
      <c r="K1635" s="10">
        <f>+PROVEEDORES!$D$32*216.63</f>
        <v>227461.5</v>
      </c>
      <c r="L1635" s="10"/>
      <c r="M1635" s="10"/>
      <c r="N1635" s="100">
        <v>197132</v>
      </c>
      <c r="O1635" s="11">
        <f t="shared" si="408"/>
        <v>227461.5</v>
      </c>
      <c r="P1635" s="11">
        <f t="shared" si="410"/>
        <v>227461.5</v>
      </c>
      <c r="Q1635" s="32">
        <v>1.4</v>
      </c>
      <c r="R1635" s="11">
        <f t="shared" si="411"/>
        <v>318446.09999999998</v>
      </c>
      <c r="S1635" s="11"/>
      <c r="T1635" s="136">
        <f t="shared" si="427"/>
        <v>275984.8</v>
      </c>
    </row>
    <row r="1636" spans="1:20" ht="15.75" customHeight="1">
      <c r="A1636" s="149">
        <v>38</v>
      </c>
      <c r="B1636" s="273"/>
      <c r="C1636" s="28" t="s">
        <v>3485</v>
      </c>
      <c r="D1636" s="41">
        <v>55060</v>
      </c>
      <c r="E1636" s="131">
        <f t="shared" si="412"/>
        <v>751700</v>
      </c>
      <c r="F1636" s="21" t="s">
        <v>1248</v>
      </c>
      <c r="G1636" s="21">
        <f t="shared" si="425"/>
        <v>830628.5</v>
      </c>
      <c r="H1636" s="135">
        <f t="shared" si="406"/>
        <v>651470</v>
      </c>
      <c r="I1636" s="294">
        <v>45138</v>
      </c>
      <c r="J1636" s="294">
        <v>45274</v>
      </c>
      <c r="K1636" s="10">
        <f>+PROVEEDORES!$D$32*511.36</f>
        <v>536928</v>
      </c>
      <c r="L1636" s="10"/>
      <c r="M1636" s="10"/>
      <c r="N1636" s="100">
        <v>465334</v>
      </c>
      <c r="O1636" s="11">
        <f t="shared" si="408"/>
        <v>536928</v>
      </c>
      <c r="P1636" s="11">
        <f t="shared" si="410"/>
        <v>536928</v>
      </c>
      <c r="Q1636" s="32">
        <v>1.4</v>
      </c>
      <c r="R1636" s="11">
        <f t="shared" si="411"/>
        <v>751699.2</v>
      </c>
      <c r="S1636" s="11"/>
      <c r="T1636" s="136">
        <f t="shared" si="427"/>
        <v>651467.6</v>
      </c>
    </row>
    <row r="1637" spans="1:20" ht="15.75" customHeight="1">
      <c r="A1637" s="149">
        <v>38</v>
      </c>
      <c r="B1637" s="273">
        <f t="shared" si="426"/>
        <v>0</v>
      </c>
      <c r="C1637" s="28" t="s">
        <v>2460</v>
      </c>
      <c r="D1637" s="41">
        <v>39260</v>
      </c>
      <c r="E1637" s="131">
        <f t="shared" si="412"/>
        <v>0</v>
      </c>
      <c r="F1637" s="21" t="s">
        <v>1248</v>
      </c>
      <c r="G1637" s="21">
        <f t="shared" si="425"/>
        <v>0</v>
      </c>
      <c r="H1637" s="135">
        <f t="shared" si="406"/>
        <v>0</v>
      </c>
      <c r="I1637" s="294">
        <v>45138</v>
      </c>
      <c r="J1637" s="294"/>
      <c r="K1637" s="11">
        <f>+'AUMENTOS %'!$B$10*101040</f>
        <v>101040</v>
      </c>
      <c r="L1637" s="11"/>
      <c r="M1637" s="10"/>
      <c r="N1637" s="100"/>
      <c r="O1637" s="11">
        <f>MIN(K1637:M1637)*'AUMENTOS %'!$B$10</f>
        <v>101040</v>
      </c>
      <c r="P1637" s="11">
        <f t="shared" si="410"/>
        <v>101040</v>
      </c>
      <c r="Q1637" s="11"/>
      <c r="R1637" s="11">
        <f t="shared" si="411"/>
        <v>0</v>
      </c>
      <c r="S1637" s="11"/>
      <c r="T1637" s="136">
        <f t="shared" si="427"/>
        <v>0</v>
      </c>
    </row>
    <row r="1638" spans="1:20" ht="15.75" customHeight="1">
      <c r="A1638" s="149">
        <v>38</v>
      </c>
      <c r="B1638" s="273">
        <f t="shared" si="426"/>
        <v>1033540</v>
      </c>
      <c r="C1638" s="28" t="s">
        <v>1692</v>
      </c>
      <c r="D1638" s="41">
        <v>50550</v>
      </c>
      <c r="E1638" s="131">
        <f t="shared" si="412"/>
        <v>975030</v>
      </c>
      <c r="F1638" s="21" t="s">
        <v>1248</v>
      </c>
      <c r="G1638" s="21">
        <f t="shared" si="425"/>
        <v>1077408.1499999999</v>
      </c>
      <c r="H1638" s="135">
        <f t="shared" si="406"/>
        <v>0</v>
      </c>
      <c r="I1638" s="294">
        <v>45174</v>
      </c>
      <c r="J1638" s="294"/>
      <c r="K1638" s="11">
        <v>696443</v>
      </c>
      <c r="L1638" s="11"/>
      <c r="M1638" s="11"/>
      <c r="N1638" s="100"/>
      <c r="O1638" s="11">
        <f>MIN(K1638:M1638)*'AUMENTOS %'!$B$10</f>
        <v>696443</v>
      </c>
      <c r="P1638" s="11">
        <f t="shared" si="410"/>
        <v>696443</v>
      </c>
      <c r="Q1638" s="11">
        <v>1.4</v>
      </c>
      <c r="R1638" s="11">
        <f t="shared" si="411"/>
        <v>975020.2</v>
      </c>
      <c r="S1638" s="11"/>
      <c r="T1638" s="136">
        <f t="shared" si="427"/>
        <v>0</v>
      </c>
    </row>
    <row r="1639" spans="1:20" ht="15.75" customHeight="1">
      <c r="A1639" s="149">
        <v>38</v>
      </c>
      <c r="B1639" s="273">
        <f t="shared" si="426"/>
        <v>1452220</v>
      </c>
      <c r="C1639" s="248" t="s">
        <v>1693</v>
      </c>
      <c r="D1639" s="41">
        <v>64170</v>
      </c>
      <c r="E1639" s="131">
        <f t="shared" si="412"/>
        <v>1370010</v>
      </c>
      <c r="F1639" s="21" t="s">
        <v>1248</v>
      </c>
      <c r="G1639" s="21">
        <f t="shared" si="425"/>
        <v>1513861.05</v>
      </c>
      <c r="H1639" s="135">
        <f t="shared" si="406"/>
        <v>0</v>
      </c>
      <c r="I1639" s="294">
        <v>45138</v>
      </c>
      <c r="J1639" s="294"/>
      <c r="K1639" s="11">
        <f>+'AUMENTOS %'!$B$10*1014821</f>
        <v>1014821</v>
      </c>
      <c r="L1639" s="54"/>
      <c r="M1639" s="53"/>
      <c r="N1639" s="100"/>
      <c r="O1639" s="11">
        <f>MIN(K1639:M1639)*'AUMENTOS %'!$B$10</f>
        <v>1014821</v>
      </c>
      <c r="P1639" s="11">
        <f t="shared" si="410"/>
        <v>1014821</v>
      </c>
      <c r="Q1639" s="11">
        <v>1.35</v>
      </c>
      <c r="R1639" s="11">
        <f t="shared" si="411"/>
        <v>1370008.35</v>
      </c>
      <c r="S1639" s="11"/>
      <c r="T1639" s="136">
        <f t="shared" si="427"/>
        <v>0</v>
      </c>
    </row>
    <row r="1640" spans="1:20" ht="15.75" customHeight="1">
      <c r="A1640" s="149">
        <v>38</v>
      </c>
      <c r="B1640" s="273">
        <f t="shared" si="426"/>
        <v>1083370</v>
      </c>
      <c r="C1640" s="28" t="s">
        <v>1694</v>
      </c>
      <c r="D1640" s="41">
        <v>107670</v>
      </c>
      <c r="E1640" s="131">
        <f t="shared" si="412"/>
        <v>1022040</v>
      </c>
      <c r="F1640" s="21" t="s">
        <v>1248</v>
      </c>
      <c r="G1640" s="21">
        <f t="shared" si="425"/>
        <v>1129354.2</v>
      </c>
      <c r="H1640" s="135">
        <f t="shared" si="406"/>
        <v>0</v>
      </c>
      <c r="I1640" s="294">
        <v>45166</v>
      </c>
      <c r="J1640" s="294"/>
      <c r="K1640" s="11">
        <v>757065</v>
      </c>
      <c r="L1640" s="39"/>
      <c r="M1640" s="53"/>
      <c r="N1640" s="100"/>
      <c r="O1640" s="11">
        <f>MIN(K1640:M1640)*'AUMENTOS %'!$B$10</f>
        <v>757065</v>
      </c>
      <c r="P1640" s="11">
        <f t="shared" si="410"/>
        <v>757065</v>
      </c>
      <c r="Q1640" s="11">
        <v>1.35</v>
      </c>
      <c r="R1640" s="11">
        <f t="shared" si="411"/>
        <v>1022037.7500000001</v>
      </c>
      <c r="S1640" s="11"/>
      <c r="T1640" s="136">
        <f t="shared" si="427"/>
        <v>0</v>
      </c>
    </row>
    <row r="1641" spans="1:20" ht="15.75" customHeight="1">
      <c r="A1641" s="149">
        <v>38</v>
      </c>
      <c r="B1641" s="273">
        <f t="shared" si="426"/>
        <v>2776270</v>
      </c>
      <c r="C1641" s="28" t="s">
        <v>4387</v>
      </c>
      <c r="D1641" s="41">
        <v>91200</v>
      </c>
      <c r="E1641" s="131">
        <f t="shared" si="412"/>
        <v>2619120</v>
      </c>
      <c r="F1641" s="21" t="s">
        <v>1248</v>
      </c>
      <c r="G1641" s="21">
        <f t="shared" si="425"/>
        <v>2894127.6</v>
      </c>
      <c r="H1641" s="135">
        <f t="shared" si="406"/>
        <v>0</v>
      </c>
      <c r="I1641" s="294">
        <v>45138</v>
      </c>
      <c r="J1641" s="294">
        <v>45338</v>
      </c>
      <c r="K1641" s="11">
        <v>1940085</v>
      </c>
      <c r="L1641" s="10"/>
      <c r="M1641" s="11"/>
      <c r="N1641" s="100"/>
      <c r="O1641" s="11">
        <f>MIN(K1641:M1641)*'AUMENTOS %'!$B$10</f>
        <v>1940085</v>
      </c>
      <c r="P1641" s="11">
        <f t="shared" si="410"/>
        <v>1940085</v>
      </c>
      <c r="Q1641" s="11">
        <v>1.35</v>
      </c>
      <c r="R1641" s="11">
        <f t="shared" si="411"/>
        <v>2619114.75</v>
      </c>
      <c r="S1641" s="11"/>
      <c r="T1641" s="136">
        <f t="shared" si="427"/>
        <v>0</v>
      </c>
    </row>
    <row r="1642" spans="1:20" ht="15.75" customHeight="1">
      <c r="A1642" s="149">
        <v>38</v>
      </c>
      <c r="B1642" s="273">
        <f t="shared" si="426"/>
        <v>2776270</v>
      </c>
      <c r="C1642" s="28" t="s">
        <v>4524</v>
      </c>
      <c r="D1642" s="41"/>
      <c r="E1642" s="131">
        <f t="shared" si="412"/>
        <v>2619120</v>
      </c>
      <c r="F1642" s="21" t="s">
        <v>1248</v>
      </c>
      <c r="G1642" s="21">
        <f t="shared" si="425"/>
        <v>2894127.6</v>
      </c>
      <c r="H1642" s="135">
        <f t="shared" si="406"/>
        <v>0</v>
      </c>
      <c r="I1642" s="294">
        <v>45166</v>
      </c>
      <c r="J1642" s="294">
        <v>45338</v>
      </c>
      <c r="K1642" s="11">
        <v>1940085</v>
      </c>
      <c r="L1642" s="10"/>
      <c r="M1642" s="148"/>
      <c r="N1642" s="100"/>
      <c r="O1642" s="11">
        <f>MIN(K1642:M1642)*'AUMENTOS %'!$B$10</f>
        <v>1940085</v>
      </c>
      <c r="P1642" s="11">
        <f t="shared" si="410"/>
        <v>1940085</v>
      </c>
      <c r="Q1642" s="11">
        <v>1.35</v>
      </c>
      <c r="R1642" s="11">
        <f t="shared" si="411"/>
        <v>2619114.75</v>
      </c>
      <c r="S1642" s="11"/>
      <c r="T1642" s="136">
        <f t="shared" si="427"/>
        <v>0</v>
      </c>
    </row>
    <row r="1643" spans="1:20" ht="15.75" customHeight="1">
      <c r="A1643" s="149">
        <v>38</v>
      </c>
      <c r="B1643" s="273">
        <f>ROUNDUP(E1643*1.06,-1)</f>
        <v>1721590</v>
      </c>
      <c r="C1643" s="28" t="s">
        <v>37226</v>
      </c>
      <c r="D1643" s="41"/>
      <c r="E1643" s="131">
        <f>ROUNDUP(R1643,-1)</f>
        <v>1624140</v>
      </c>
      <c r="F1643" s="21" t="s">
        <v>1248</v>
      </c>
      <c r="G1643" s="21">
        <f>+E1643*1.105</f>
        <v>1794674.7</v>
      </c>
      <c r="H1643" s="135">
        <f>ROUNDUP(T1643,-1)</f>
        <v>0</v>
      </c>
      <c r="I1643" s="294">
        <v>45307</v>
      </c>
      <c r="J1643" s="294"/>
      <c r="K1643" s="11">
        <v>1203060</v>
      </c>
      <c r="L1643" s="10"/>
      <c r="M1643" s="148"/>
      <c r="N1643" s="100"/>
      <c r="O1643" s="11">
        <f>MIN(K1643:M1643)*'AUMENTOS %'!$B$10</f>
        <v>1203060</v>
      </c>
      <c r="P1643" s="11">
        <f>+O1643</f>
        <v>1203060</v>
      </c>
      <c r="Q1643" s="11">
        <v>1.35</v>
      </c>
      <c r="R1643" s="11">
        <f>+P1643*Q1643</f>
        <v>1624131</v>
      </c>
      <c r="S1643" s="11"/>
      <c r="T1643" s="136">
        <f>+N1643*Q1643</f>
        <v>0</v>
      </c>
    </row>
    <row r="1644" spans="1:20" ht="15.75" customHeight="1">
      <c r="A1644" s="149">
        <v>38</v>
      </c>
      <c r="B1644" s="273">
        <f t="shared" si="426"/>
        <v>0</v>
      </c>
      <c r="C1644" s="28" t="s">
        <v>1695</v>
      </c>
      <c r="D1644" s="41"/>
      <c r="E1644" s="131">
        <f t="shared" si="412"/>
        <v>0</v>
      </c>
      <c r="F1644" s="21" t="s">
        <v>1248</v>
      </c>
      <c r="G1644" s="21">
        <f t="shared" si="425"/>
        <v>0</v>
      </c>
      <c r="H1644" s="135">
        <f t="shared" si="406"/>
        <v>0</v>
      </c>
      <c r="I1644" s="294">
        <v>45138</v>
      </c>
      <c r="J1644" s="294"/>
      <c r="K1644" s="11">
        <f>+'AUMENTOS %'!$B$10*373186</f>
        <v>373186</v>
      </c>
      <c r="L1644" s="11"/>
      <c r="M1644" s="11"/>
      <c r="N1644" s="100"/>
      <c r="O1644" s="11">
        <f>MIN(K1644:M1644)*'AUMENTOS %'!$B$10</f>
        <v>373186</v>
      </c>
      <c r="P1644" s="11">
        <f t="shared" si="410"/>
        <v>373186</v>
      </c>
      <c r="Q1644" s="11"/>
      <c r="R1644" s="11">
        <f t="shared" si="411"/>
        <v>0</v>
      </c>
      <c r="S1644" s="11"/>
      <c r="T1644" s="136">
        <f t="shared" si="427"/>
        <v>0</v>
      </c>
    </row>
    <row r="1645" spans="1:20" ht="15.75" customHeight="1">
      <c r="A1645" s="149">
        <v>38</v>
      </c>
      <c r="B1645" s="273">
        <f t="shared" si="426"/>
        <v>1517870</v>
      </c>
      <c r="C1645" s="28" t="s">
        <v>1696</v>
      </c>
      <c r="D1645" s="41"/>
      <c r="E1645" s="131">
        <f t="shared" si="412"/>
        <v>1431950</v>
      </c>
      <c r="F1645" s="21" t="s">
        <v>1248</v>
      </c>
      <c r="G1645" s="21">
        <f t="shared" si="425"/>
        <v>1582304.75</v>
      </c>
      <c r="H1645" s="135">
        <f t="shared" si="406"/>
        <v>0</v>
      </c>
      <c r="I1645" s="294">
        <v>45138</v>
      </c>
      <c r="J1645" s="294">
        <v>45184</v>
      </c>
      <c r="K1645" s="11">
        <f>+'AUMENTOS %'!$B$10*954630</f>
        <v>954630</v>
      </c>
      <c r="L1645" s="11">
        <f>493094.02*2</f>
        <v>986188.04</v>
      </c>
      <c r="M1645" s="11"/>
      <c r="N1645" s="100"/>
      <c r="O1645" s="11">
        <f>MIN(K1645:M1645)*'AUMENTOS %'!$B$10</f>
        <v>954630</v>
      </c>
      <c r="P1645" s="11">
        <f t="shared" si="410"/>
        <v>954630</v>
      </c>
      <c r="Q1645" s="11">
        <v>1.5</v>
      </c>
      <c r="R1645" s="11">
        <f t="shared" si="411"/>
        <v>1431945</v>
      </c>
      <c r="S1645" s="11"/>
      <c r="T1645" s="136">
        <f t="shared" si="427"/>
        <v>0</v>
      </c>
    </row>
    <row r="1646" spans="1:20" ht="15.75" customHeight="1">
      <c r="A1646" s="149">
        <v>38</v>
      </c>
      <c r="B1646" s="273">
        <f t="shared" si="426"/>
        <v>0</v>
      </c>
      <c r="C1646" s="28" t="s">
        <v>1697</v>
      </c>
      <c r="D1646" s="41"/>
      <c r="E1646" s="131">
        <f t="shared" si="412"/>
        <v>0</v>
      </c>
      <c r="F1646" s="21"/>
      <c r="G1646" s="21">
        <f t="shared" si="425"/>
        <v>0</v>
      </c>
      <c r="H1646" s="135">
        <f t="shared" si="406"/>
        <v>0</v>
      </c>
      <c r="I1646" s="294">
        <v>45138</v>
      </c>
      <c r="J1646" s="294"/>
      <c r="K1646" s="11">
        <f>+'AUMENTOS %'!$B$10*369969</f>
        <v>369969</v>
      </c>
      <c r="L1646" s="11"/>
      <c r="M1646" s="11"/>
      <c r="N1646" s="100"/>
      <c r="O1646" s="11">
        <f>MIN(K1646:M1646)*'AUMENTOS %'!$B$10</f>
        <v>369969</v>
      </c>
      <c r="P1646" s="11">
        <f t="shared" si="410"/>
        <v>369969</v>
      </c>
      <c r="Q1646" s="11"/>
      <c r="R1646" s="11">
        <f t="shared" si="411"/>
        <v>0</v>
      </c>
      <c r="S1646" s="11"/>
      <c r="T1646" s="136">
        <f t="shared" si="427"/>
        <v>0</v>
      </c>
    </row>
    <row r="1647" spans="1:20" ht="15.75" customHeight="1">
      <c r="A1647" s="149">
        <v>38</v>
      </c>
      <c r="B1647" s="273">
        <f t="shared" si="426"/>
        <v>3900680</v>
      </c>
      <c r="C1647" s="28" t="s">
        <v>4386</v>
      </c>
      <c r="D1647" s="41">
        <v>172520</v>
      </c>
      <c r="E1647" s="131">
        <f t="shared" si="412"/>
        <v>3679880</v>
      </c>
      <c r="F1647" s="21" t="s">
        <v>1248</v>
      </c>
      <c r="G1647" s="21">
        <f t="shared" si="425"/>
        <v>4066267.4</v>
      </c>
      <c r="H1647" s="135">
        <f t="shared" si="406"/>
        <v>0</v>
      </c>
      <c r="I1647" s="294">
        <v>45138</v>
      </c>
      <c r="J1647" s="294">
        <v>45184</v>
      </c>
      <c r="K1647" s="11">
        <f>+'AUMENTOS %'!$B$10*3271000*0.75</f>
        <v>2453250</v>
      </c>
      <c r="L1647" s="32"/>
      <c r="M1647" s="11"/>
      <c r="N1647" s="100"/>
      <c r="O1647" s="11">
        <f>MIN(K1647:M1647)*'AUMENTOS %'!$B$10</f>
        <v>2453250</v>
      </c>
      <c r="P1647" s="11">
        <f t="shared" si="410"/>
        <v>2453250</v>
      </c>
      <c r="Q1647" s="11">
        <v>1.5</v>
      </c>
      <c r="R1647" s="11">
        <f t="shared" si="411"/>
        <v>3679875</v>
      </c>
      <c r="S1647" s="11"/>
      <c r="T1647" s="136">
        <f t="shared" si="427"/>
        <v>0</v>
      </c>
    </row>
    <row r="1648" spans="1:20" ht="15.75" customHeight="1">
      <c r="A1648" s="149">
        <v>38</v>
      </c>
      <c r="B1648" s="273">
        <f t="shared" si="426"/>
        <v>108250</v>
      </c>
      <c r="C1648" s="28" t="s">
        <v>2119</v>
      </c>
      <c r="D1648" s="41">
        <v>29450</v>
      </c>
      <c r="E1648" s="131">
        <f t="shared" si="412"/>
        <v>102120</v>
      </c>
      <c r="F1648" s="21" t="s">
        <v>1248</v>
      </c>
      <c r="G1648" s="21">
        <f t="shared" si="425"/>
        <v>112842.59999999999</v>
      </c>
      <c r="H1648" s="135">
        <f t="shared" si="406"/>
        <v>0</v>
      </c>
      <c r="I1648" s="294">
        <v>45138</v>
      </c>
      <c r="J1648" s="294"/>
      <c r="K1648" s="11">
        <f>+'AUMENTOS %'!$B$10*72938</f>
        <v>72938</v>
      </c>
      <c r="L1648" s="32"/>
      <c r="M1648" s="11"/>
      <c r="N1648" s="100"/>
      <c r="O1648" s="11">
        <f>MIN(K1648:M1648)*'AUMENTOS %'!$B$10</f>
        <v>72938</v>
      </c>
      <c r="P1648" s="11">
        <f t="shared" si="410"/>
        <v>72938</v>
      </c>
      <c r="Q1648" s="11">
        <v>1.4</v>
      </c>
      <c r="R1648" s="11">
        <f t="shared" si="411"/>
        <v>102113.2</v>
      </c>
      <c r="S1648" s="11"/>
      <c r="T1648" s="136">
        <f t="shared" si="427"/>
        <v>0</v>
      </c>
    </row>
    <row r="1649" spans="1:20" ht="15.75" customHeight="1">
      <c r="A1649" s="149">
        <v>108</v>
      </c>
      <c r="B1649" s="273"/>
      <c r="C1649" s="28" t="s">
        <v>4204</v>
      </c>
      <c r="D1649" s="41"/>
      <c r="E1649" s="131">
        <f>ROUNDUP(R1649,-1)</f>
        <v>152900</v>
      </c>
      <c r="F1649" s="21" t="s">
        <v>1248</v>
      </c>
      <c r="G1649" s="21">
        <f>+E1649*1.105</f>
        <v>168954.5</v>
      </c>
      <c r="H1649" s="135">
        <f>ROUNDUP(T1649,-1)</f>
        <v>0</v>
      </c>
      <c r="I1649" s="294">
        <v>45252</v>
      </c>
      <c r="J1649" s="294">
        <v>45370</v>
      </c>
      <c r="K1649" s="11">
        <f>0.765*137835</f>
        <v>105443.77500000001</v>
      </c>
      <c r="L1649" s="32"/>
      <c r="M1649" s="11"/>
      <c r="N1649" s="100"/>
      <c r="O1649" s="11">
        <f>MIN(K1649:M1649)</f>
        <v>105443.77500000001</v>
      </c>
      <c r="P1649" s="11">
        <f t="shared" si="410"/>
        <v>105443.77500000001</v>
      </c>
      <c r="Q1649" s="11">
        <v>1.45</v>
      </c>
      <c r="R1649" s="11">
        <f t="shared" si="411"/>
        <v>152893.47375</v>
      </c>
      <c r="S1649" s="11"/>
      <c r="T1649" s="136">
        <f>+N1649*Q1649</f>
        <v>0</v>
      </c>
    </row>
    <row r="1650" spans="1:20" ht="15.75" customHeight="1">
      <c r="A1650" s="149">
        <v>108</v>
      </c>
      <c r="B1650" s="273"/>
      <c r="C1650" s="28" t="s">
        <v>4138</v>
      </c>
      <c r="D1650" s="41"/>
      <c r="E1650" s="131">
        <f t="shared" si="412"/>
        <v>311450</v>
      </c>
      <c r="F1650" s="21" t="s">
        <v>1248</v>
      </c>
      <c r="G1650" s="21">
        <f t="shared" si="425"/>
        <v>344152.25</v>
      </c>
      <c r="H1650" s="135">
        <f t="shared" si="406"/>
        <v>0</v>
      </c>
      <c r="I1650" s="294">
        <v>45252</v>
      </c>
      <c r="J1650" s="294">
        <v>45379</v>
      </c>
      <c r="K1650" s="11">
        <f>0.765*280775</f>
        <v>214792.875</v>
      </c>
      <c r="L1650" s="32"/>
      <c r="M1650" s="11"/>
      <c r="N1650" s="100"/>
      <c r="O1650" s="11">
        <f t="shared" si="408"/>
        <v>214792.875</v>
      </c>
      <c r="P1650" s="11">
        <f t="shared" si="410"/>
        <v>214792.875</v>
      </c>
      <c r="Q1650" s="11">
        <v>1.45</v>
      </c>
      <c r="R1650" s="11">
        <f t="shared" si="411"/>
        <v>311449.66875000001</v>
      </c>
      <c r="S1650" s="11"/>
      <c r="T1650" s="136">
        <f t="shared" si="427"/>
        <v>0</v>
      </c>
    </row>
    <row r="1651" spans="1:20" ht="15.75" customHeight="1">
      <c r="A1651" s="149">
        <v>108</v>
      </c>
      <c r="B1651" s="273"/>
      <c r="C1651" s="28" t="s">
        <v>4174</v>
      </c>
      <c r="D1651" s="41"/>
      <c r="E1651" s="131">
        <f>ROUNDUP(R1651,-1)</f>
        <v>299070</v>
      </c>
      <c r="F1651" s="21" t="s">
        <v>1248</v>
      </c>
      <c r="G1651" s="21">
        <f>+E1651*1.105</f>
        <v>330472.34999999998</v>
      </c>
      <c r="H1651" s="135">
        <f>ROUNDUP(T1651,-1)</f>
        <v>0</v>
      </c>
      <c r="I1651" s="294">
        <v>45293</v>
      </c>
      <c r="J1651" s="294">
        <v>45379</v>
      </c>
      <c r="K1651" s="11">
        <f>0.765*245100*1.1</f>
        <v>206251.65000000002</v>
      </c>
      <c r="L1651" s="32"/>
      <c r="M1651" s="11"/>
      <c r="N1651" s="100"/>
      <c r="O1651" s="11">
        <f>MIN(K1651:M1651)</f>
        <v>206251.65000000002</v>
      </c>
      <c r="P1651" s="11">
        <f t="shared" si="410"/>
        <v>206251.65000000002</v>
      </c>
      <c r="Q1651" s="11">
        <v>1.45</v>
      </c>
      <c r="R1651" s="11">
        <f t="shared" si="411"/>
        <v>299064.89250000002</v>
      </c>
      <c r="S1651" s="11"/>
      <c r="T1651" s="136">
        <f>+N1651*Q1651</f>
        <v>0</v>
      </c>
    </row>
    <row r="1652" spans="1:20" ht="15.75" customHeight="1">
      <c r="A1652" s="149">
        <v>52</v>
      </c>
      <c r="B1652" s="273">
        <f>ROUNDUP(E1652*1.06,-1)</f>
        <v>242300</v>
      </c>
      <c r="C1652" s="36" t="s">
        <v>4241</v>
      </c>
      <c r="D1652" s="41"/>
      <c r="E1652" s="131">
        <f>ROUNDUP(R1652,-1)</f>
        <v>228580</v>
      </c>
      <c r="F1652" s="21" t="s">
        <v>1248</v>
      </c>
      <c r="G1652" s="21">
        <f>+E1652*1.105</f>
        <v>252580.9</v>
      </c>
      <c r="H1652" s="135">
        <f>ROUNDUP(T1652,-1)</f>
        <v>0</v>
      </c>
      <c r="I1652" s="294"/>
      <c r="J1652" s="294">
        <v>45338</v>
      </c>
      <c r="K1652" s="11">
        <f>+PROVEEDORES!$D$46*0.75*215</f>
        <v>169312.5</v>
      </c>
      <c r="L1652" s="11"/>
      <c r="M1652" s="11"/>
      <c r="N1652" s="38"/>
      <c r="O1652" s="11">
        <f>MIN(K1652:M1652)</f>
        <v>169312.5</v>
      </c>
      <c r="P1652" s="11">
        <f t="shared" si="410"/>
        <v>169312.5</v>
      </c>
      <c r="Q1652" s="11">
        <v>1.35</v>
      </c>
      <c r="R1652" s="11">
        <f t="shared" si="411"/>
        <v>228571.87500000003</v>
      </c>
      <c r="S1652" s="11"/>
      <c r="T1652" s="136">
        <f>+N1652*Q1652</f>
        <v>0</v>
      </c>
    </row>
    <row r="1653" spans="1:20" ht="15.75" customHeight="1">
      <c r="A1653" s="149">
        <v>38</v>
      </c>
      <c r="B1653" s="273">
        <f>+E1653*1.05</f>
        <v>134284.5</v>
      </c>
      <c r="C1653" s="28" t="s">
        <v>4115</v>
      </c>
      <c r="D1653" s="41"/>
      <c r="E1653" s="131">
        <f t="shared" si="412"/>
        <v>127890</v>
      </c>
      <c r="F1653" s="21" t="s">
        <v>1248</v>
      </c>
      <c r="G1653" s="21">
        <f t="shared" si="425"/>
        <v>141318.45000000001</v>
      </c>
      <c r="H1653" s="135">
        <f t="shared" si="406"/>
        <v>0</v>
      </c>
      <c r="I1653" s="294">
        <v>45138</v>
      </c>
      <c r="J1653" s="294"/>
      <c r="K1653" s="11">
        <f>+'AUMENTOS %'!C13*94730</f>
        <v>94730</v>
      </c>
      <c r="L1653" s="32"/>
      <c r="M1653" s="11"/>
      <c r="N1653" s="100"/>
      <c r="O1653" s="11">
        <f t="shared" si="408"/>
        <v>94730</v>
      </c>
      <c r="P1653" s="11">
        <f>+O1653*'AUMENTOS %'!D13</f>
        <v>94730</v>
      </c>
      <c r="Q1653" s="11">
        <v>1.35</v>
      </c>
      <c r="R1653" s="11">
        <f t="shared" si="411"/>
        <v>127885.50000000001</v>
      </c>
      <c r="S1653" s="11"/>
      <c r="T1653" s="136">
        <f t="shared" si="427"/>
        <v>0</v>
      </c>
    </row>
    <row r="1654" spans="1:20" ht="15.75" customHeight="1">
      <c r="A1654" s="149">
        <v>38</v>
      </c>
      <c r="B1654" s="273">
        <f t="shared" si="426"/>
        <v>571010</v>
      </c>
      <c r="C1654" s="28" t="s">
        <v>3516</v>
      </c>
      <c r="D1654" s="41">
        <v>7990</v>
      </c>
      <c r="E1654" s="131">
        <f t="shared" si="412"/>
        <v>538680</v>
      </c>
      <c r="F1654" s="21" t="s">
        <v>1248</v>
      </c>
      <c r="G1654" s="21">
        <f t="shared" si="425"/>
        <v>595241.4</v>
      </c>
      <c r="H1654" s="135">
        <f t="shared" si="406"/>
        <v>0</v>
      </c>
      <c r="I1654" s="294">
        <v>45138</v>
      </c>
      <c r="J1654" s="294"/>
      <c r="K1654" s="10">
        <f>+PROVEEDORES!$D$32*380.02</f>
        <v>399021</v>
      </c>
      <c r="L1654" s="10"/>
      <c r="M1654" s="11"/>
      <c r="N1654" s="100"/>
      <c r="O1654" s="11">
        <f t="shared" si="408"/>
        <v>399021</v>
      </c>
      <c r="P1654" s="11">
        <f t="shared" si="410"/>
        <v>399021</v>
      </c>
      <c r="Q1654" s="11">
        <v>1.35</v>
      </c>
      <c r="R1654" s="11">
        <f t="shared" si="411"/>
        <v>538678.35000000009</v>
      </c>
      <c r="S1654" s="11"/>
      <c r="T1654" s="136">
        <f t="shared" si="427"/>
        <v>0</v>
      </c>
    </row>
    <row r="1655" spans="1:20" ht="15.75" customHeight="1">
      <c r="A1655" s="149">
        <v>38</v>
      </c>
      <c r="B1655" s="273"/>
      <c r="C1655" s="28" t="s">
        <v>4475</v>
      </c>
      <c r="D1655" s="41"/>
      <c r="E1655" s="131">
        <f t="shared" si="412"/>
        <v>570360</v>
      </c>
      <c r="F1655" s="21" t="s">
        <v>1248</v>
      </c>
      <c r="G1655" s="21">
        <f t="shared" si="425"/>
        <v>630247.80000000005</v>
      </c>
      <c r="H1655" s="135">
        <f t="shared" si="406"/>
        <v>0</v>
      </c>
      <c r="I1655" s="294">
        <v>45138</v>
      </c>
      <c r="J1655" s="294"/>
      <c r="K1655" s="10">
        <f>+PROVEEDORES!$D$32*388</f>
        <v>407400</v>
      </c>
      <c r="L1655" s="10"/>
      <c r="M1655" s="11"/>
      <c r="N1655" s="100"/>
      <c r="O1655" s="11">
        <f t="shared" si="408"/>
        <v>407400</v>
      </c>
      <c r="P1655" s="11">
        <f t="shared" si="410"/>
        <v>407400</v>
      </c>
      <c r="Q1655" s="11">
        <v>1.4</v>
      </c>
      <c r="R1655" s="11">
        <f t="shared" si="411"/>
        <v>570360</v>
      </c>
      <c r="S1655" s="11"/>
      <c r="T1655" s="136">
        <f t="shared" si="427"/>
        <v>0</v>
      </c>
    </row>
    <row r="1656" spans="1:20" ht="15.75" customHeight="1">
      <c r="A1656" s="149">
        <v>24</v>
      </c>
      <c r="B1656" s="273"/>
      <c r="C1656" s="28" t="s">
        <v>44133</v>
      </c>
      <c r="D1656" s="160">
        <v>1350</v>
      </c>
      <c r="E1656" s="131">
        <f>ROUNDUP(R1656,-1)</f>
        <v>21190</v>
      </c>
      <c r="F1656" s="21">
        <f>+E1656*1.21</f>
        <v>25639.899999999998</v>
      </c>
      <c r="G1656" s="21"/>
      <c r="H1656" s="135">
        <f t="shared" si="406"/>
        <v>0</v>
      </c>
      <c r="I1656" s="294">
        <v>45217</v>
      </c>
      <c r="J1656" s="294">
        <v>45329</v>
      </c>
      <c r="K1656" s="10">
        <f>0.6*23537</f>
        <v>14122.199999999999</v>
      </c>
      <c r="L1656" s="10">
        <f>0.5*18121*2</f>
        <v>18121</v>
      </c>
      <c r="M1656" s="11"/>
      <c r="N1656" s="100"/>
      <c r="O1656" s="11">
        <f>MIN(K1656:M1656)</f>
        <v>14122.199999999999</v>
      </c>
      <c r="P1656" s="11">
        <f t="shared" si="410"/>
        <v>14122.199999999999</v>
      </c>
      <c r="Q1656" s="11">
        <v>1.5</v>
      </c>
      <c r="R1656" s="11">
        <f t="shared" si="411"/>
        <v>21183.3</v>
      </c>
      <c r="S1656" s="11"/>
      <c r="T1656" s="136">
        <f>+N1656*Q1656</f>
        <v>0</v>
      </c>
    </row>
    <row r="1657" spans="1:20" ht="15.75" customHeight="1">
      <c r="A1657" s="149">
        <v>109</v>
      </c>
      <c r="B1657" s="273"/>
      <c r="C1657" s="28" t="s">
        <v>44340</v>
      </c>
      <c r="D1657" s="41">
        <v>1120</v>
      </c>
      <c r="E1657" s="131">
        <f t="shared" ref="E1657" si="428">ROUNDUP(R1657,-1)</f>
        <v>9610</v>
      </c>
      <c r="F1657" s="21">
        <f t="shared" ref="F1657" si="429">+E1657*1.21</f>
        <v>11628.1</v>
      </c>
      <c r="G1657" s="21"/>
      <c r="H1657" s="135">
        <f t="shared" ref="H1657" si="430">ROUNDUP(T1657,-1)</f>
        <v>0</v>
      </c>
      <c r="I1657" s="294">
        <v>45313</v>
      </c>
      <c r="J1657" s="294"/>
      <c r="K1657" s="11">
        <f>1.038*6172</f>
        <v>6406.5360000000001</v>
      </c>
      <c r="L1657" s="10"/>
      <c r="M1657" s="11"/>
      <c r="N1657" s="100"/>
      <c r="O1657" s="11">
        <f t="shared" ref="O1657" si="431">MIN(K1657:M1657)</f>
        <v>6406.5360000000001</v>
      </c>
      <c r="P1657" s="11">
        <f t="shared" ref="P1657" si="432">+O1657</f>
        <v>6406.5360000000001</v>
      </c>
      <c r="Q1657" s="11">
        <v>1.5</v>
      </c>
      <c r="R1657" s="11">
        <f t="shared" ref="R1657" si="433">+P1657*Q1657</f>
        <v>9609.8040000000001</v>
      </c>
      <c r="S1657" s="11"/>
      <c r="T1657" s="136">
        <f t="shared" ref="T1657" si="434">+N1657*Q1657</f>
        <v>0</v>
      </c>
    </row>
    <row r="1658" spans="1:20" ht="15.75" customHeight="1">
      <c r="A1658" s="149">
        <v>21</v>
      </c>
      <c r="B1658" s="273"/>
      <c r="C1658" s="28" t="s">
        <v>4095</v>
      </c>
      <c r="D1658" s="41">
        <v>1020</v>
      </c>
      <c r="E1658" s="131">
        <f t="shared" si="412"/>
        <v>27040</v>
      </c>
      <c r="F1658" s="21">
        <f t="shared" ref="F1658:F1670" si="435">+E1658*1.21</f>
        <v>32718.399999999998</v>
      </c>
      <c r="G1658" s="21"/>
      <c r="H1658" s="135">
        <f t="shared" si="406"/>
        <v>0</v>
      </c>
      <c r="I1658" s="294">
        <v>45273</v>
      </c>
      <c r="J1658" s="294">
        <v>45329</v>
      </c>
      <c r="K1658" s="10">
        <f>0.6*30037</f>
        <v>18022.2</v>
      </c>
      <c r="L1658" s="11"/>
      <c r="M1658" s="11"/>
      <c r="N1658" s="10"/>
      <c r="O1658" s="11">
        <f t="shared" si="408"/>
        <v>18022.2</v>
      </c>
      <c r="P1658" s="11">
        <f t="shared" si="410"/>
        <v>18022.2</v>
      </c>
      <c r="Q1658" s="11">
        <v>1.5</v>
      </c>
      <c r="R1658" s="11">
        <f t="shared" si="411"/>
        <v>27033.300000000003</v>
      </c>
      <c r="S1658" s="11"/>
      <c r="T1658" s="136">
        <f t="shared" si="427"/>
        <v>0</v>
      </c>
    </row>
    <row r="1659" spans="1:20" ht="15.75" customHeight="1">
      <c r="A1659" s="149">
        <v>12</v>
      </c>
      <c r="B1659" s="273"/>
      <c r="C1659" s="28" t="s">
        <v>62629</v>
      </c>
      <c r="D1659" s="41"/>
      <c r="E1659" s="131">
        <f t="shared" ref="E1659" si="436">ROUNDUP(R1659,-1)</f>
        <v>8340</v>
      </c>
      <c r="F1659" s="21">
        <f t="shared" ref="F1659" si="437">+E1659*1.21</f>
        <v>10091.4</v>
      </c>
      <c r="G1659" s="21"/>
      <c r="H1659" s="135">
        <f t="shared" si="406"/>
        <v>0</v>
      </c>
      <c r="I1659" s="294">
        <v>45222</v>
      </c>
      <c r="J1659" s="294">
        <v>45371</v>
      </c>
      <c r="K1659" s="10">
        <v>5556</v>
      </c>
      <c r="L1659" s="10"/>
      <c r="M1659" s="11"/>
      <c r="N1659" s="100"/>
      <c r="O1659" s="11">
        <f t="shared" ref="O1659" si="438">MIN(K1659:M1659)</f>
        <v>5556</v>
      </c>
      <c r="P1659" s="11">
        <f t="shared" si="410"/>
        <v>5556</v>
      </c>
      <c r="Q1659" s="11">
        <v>1.5</v>
      </c>
      <c r="R1659" s="11">
        <f t="shared" si="411"/>
        <v>8334</v>
      </c>
      <c r="S1659" s="11"/>
      <c r="T1659" s="136">
        <f t="shared" ref="T1659" si="439">+N1659*Q1659</f>
        <v>0</v>
      </c>
    </row>
    <row r="1660" spans="1:20" ht="15.75" customHeight="1">
      <c r="A1660" s="149">
        <v>21</v>
      </c>
      <c r="B1660" s="273"/>
      <c r="C1660" s="28" t="s">
        <v>44173</v>
      </c>
      <c r="D1660" s="41"/>
      <c r="E1660" s="131">
        <f t="shared" si="412"/>
        <v>16750</v>
      </c>
      <c r="F1660" s="21">
        <f t="shared" si="435"/>
        <v>20267.5</v>
      </c>
      <c r="G1660" s="21"/>
      <c r="H1660" s="135">
        <f t="shared" si="406"/>
        <v>0</v>
      </c>
      <c r="I1660" s="294">
        <v>45274</v>
      </c>
      <c r="J1660" s="294"/>
      <c r="K1660" s="10">
        <f>0.6*18601</f>
        <v>11160.6</v>
      </c>
      <c r="L1660" s="11"/>
      <c r="M1660" s="11"/>
      <c r="N1660" s="100"/>
      <c r="O1660" s="11">
        <f t="shared" si="408"/>
        <v>11160.6</v>
      </c>
      <c r="P1660" s="11">
        <f t="shared" si="410"/>
        <v>11160.6</v>
      </c>
      <c r="Q1660" s="11">
        <v>1.5</v>
      </c>
      <c r="R1660" s="11">
        <f t="shared" si="411"/>
        <v>16740.900000000001</v>
      </c>
      <c r="S1660" s="11"/>
      <c r="T1660" s="136">
        <f t="shared" si="427"/>
        <v>0</v>
      </c>
    </row>
    <row r="1661" spans="1:20" ht="15.75" customHeight="1">
      <c r="A1661" s="149">
        <v>21</v>
      </c>
      <c r="B1661" s="273"/>
      <c r="C1661" s="28" t="s">
        <v>4181</v>
      </c>
      <c r="D1661" s="41">
        <v>1120</v>
      </c>
      <c r="E1661" s="131">
        <f t="shared" si="412"/>
        <v>37270</v>
      </c>
      <c r="F1661" s="21">
        <f t="shared" si="435"/>
        <v>45096.7</v>
      </c>
      <c r="G1661" s="21"/>
      <c r="H1661" s="135">
        <f t="shared" si="406"/>
        <v>0</v>
      </c>
      <c r="I1661" s="294">
        <v>45273</v>
      </c>
      <c r="J1661" s="294">
        <v>45350</v>
      </c>
      <c r="K1661" s="11">
        <f>0.6*41407</f>
        <v>24844.2</v>
      </c>
      <c r="L1661" s="10"/>
      <c r="M1661" s="11"/>
      <c r="N1661" s="100"/>
      <c r="O1661" s="11">
        <f t="shared" si="408"/>
        <v>24844.2</v>
      </c>
      <c r="P1661" s="11">
        <f t="shared" si="410"/>
        <v>24844.2</v>
      </c>
      <c r="Q1661" s="11">
        <v>1.5</v>
      </c>
      <c r="R1661" s="11">
        <f t="shared" si="411"/>
        <v>37266.300000000003</v>
      </c>
      <c r="S1661" s="11"/>
      <c r="T1661" s="136">
        <f t="shared" si="427"/>
        <v>0</v>
      </c>
    </row>
    <row r="1662" spans="1:20" ht="15.75" customHeight="1">
      <c r="A1662" s="149">
        <v>21</v>
      </c>
      <c r="B1662" s="273"/>
      <c r="C1662" s="28" t="s">
        <v>4182</v>
      </c>
      <c r="D1662" s="41">
        <v>1240</v>
      </c>
      <c r="E1662" s="131">
        <f t="shared" si="412"/>
        <v>41190</v>
      </c>
      <c r="F1662" s="21">
        <f t="shared" si="435"/>
        <v>49839.9</v>
      </c>
      <c r="G1662" s="21"/>
      <c r="H1662" s="135">
        <f t="shared" ref="H1662:H1671" si="440">ROUNDUP(T1662,-1)</f>
        <v>0</v>
      </c>
      <c r="I1662" s="294">
        <v>45273</v>
      </c>
      <c r="J1662" s="294">
        <v>45350</v>
      </c>
      <c r="K1662" s="11">
        <f>0.6*45765</f>
        <v>27459</v>
      </c>
      <c r="L1662" s="10"/>
      <c r="M1662" s="11"/>
      <c r="N1662" s="100"/>
      <c r="O1662" s="11">
        <f t="shared" si="408"/>
        <v>27459</v>
      </c>
      <c r="P1662" s="11">
        <f t="shared" si="410"/>
        <v>27459</v>
      </c>
      <c r="Q1662" s="11">
        <v>1.5</v>
      </c>
      <c r="R1662" s="11">
        <f t="shared" si="411"/>
        <v>41188.5</v>
      </c>
      <c r="S1662" s="11"/>
      <c r="T1662" s="136">
        <f t="shared" si="427"/>
        <v>0</v>
      </c>
    </row>
    <row r="1663" spans="1:20" ht="15.75" customHeight="1">
      <c r="A1663" s="149">
        <v>24</v>
      </c>
      <c r="B1663" s="273"/>
      <c r="C1663" s="28" t="s">
        <v>4080</v>
      </c>
      <c r="D1663" s="41">
        <v>1220</v>
      </c>
      <c r="E1663" s="131">
        <f t="shared" si="412"/>
        <v>36740</v>
      </c>
      <c r="F1663" s="21">
        <f t="shared" si="435"/>
        <v>44455.4</v>
      </c>
      <c r="G1663" s="21"/>
      <c r="H1663" s="135">
        <f t="shared" si="440"/>
        <v>0</v>
      </c>
      <c r="I1663" s="294">
        <v>45175</v>
      </c>
      <c r="J1663" s="294">
        <v>45352</v>
      </c>
      <c r="K1663" s="10"/>
      <c r="L1663" s="10">
        <f>0.5*48984</f>
        <v>24492</v>
      </c>
      <c r="M1663" s="11"/>
      <c r="N1663" s="100"/>
      <c r="O1663" s="11">
        <f t="shared" si="408"/>
        <v>24492</v>
      </c>
      <c r="P1663" s="11">
        <f t="shared" si="410"/>
        <v>24492</v>
      </c>
      <c r="Q1663" s="11">
        <v>1.5</v>
      </c>
      <c r="R1663" s="11">
        <f t="shared" si="411"/>
        <v>36738</v>
      </c>
      <c r="S1663" s="11"/>
      <c r="T1663" s="136">
        <f t="shared" si="427"/>
        <v>0</v>
      </c>
    </row>
    <row r="1664" spans="1:20" ht="15.75" customHeight="1">
      <c r="A1664" s="149">
        <v>24</v>
      </c>
      <c r="B1664" s="273"/>
      <c r="C1664" s="28" t="s">
        <v>3510</v>
      </c>
      <c r="D1664" s="160">
        <v>1350</v>
      </c>
      <c r="E1664" s="131">
        <f t="shared" si="412"/>
        <v>40680</v>
      </c>
      <c r="F1664" s="21">
        <f t="shared" si="435"/>
        <v>49222.799999999996</v>
      </c>
      <c r="G1664" s="21"/>
      <c r="H1664" s="135">
        <f t="shared" si="440"/>
        <v>0</v>
      </c>
      <c r="I1664" s="294">
        <v>45175</v>
      </c>
      <c r="J1664" s="294">
        <v>45352</v>
      </c>
      <c r="K1664" s="10"/>
      <c r="L1664" s="10">
        <f>0.5*54232</f>
        <v>27116</v>
      </c>
      <c r="M1664" s="11"/>
      <c r="N1664" s="100"/>
      <c r="O1664" s="11">
        <f t="shared" si="408"/>
        <v>27116</v>
      </c>
      <c r="P1664" s="11">
        <f t="shared" si="410"/>
        <v>27116</v>
      </c>
      <c r="Q1664" s="11">
        <v>1.5</v>
      </c>
      <c r="R1664" s="11">
        <f t="shared" si="411"/>
        <v>40674</v>
      </c>
      <c r="S1664" s="11"/>
      <c r="T1664" s="136">
        <f t="shared" si="427"/>
        <v>0</v>
      </c>
    </row>
    <row r="1665" spans="1:20" ht="15.75" customHeight="1">
      <c r="A1665" s="149">
        <v>21</v>
      </c>
      <c r="B1665" s="273"/>
      <c r="C1665" s="28" t="s">
        <v>44174</v>
      </c>
      <c r="D1665" s="41">
        <v>480</v>
      </c>
      <c r="E1665" s="131">
        <f t="shared" si="412"/>
        <v>8410</v>
      </c>
      <c r="F1665" s="21">
        <f t="shared" si="435"/>
        <v>10176.1</v>
      </c>
      <c r="G1665" s="44"/>
      <c r="H1665" s="135">
        <f t="shared" si="440"/>
        <v>0</v>
      </c>
      <c r="I1665" s="294">
        <v>45273</v>
      </c>
      <c r="J1665" s="294"/>
      <c r="K1665" s="10">
        <f>0.6*8236</f>
        <v>4941.5999999999995</v>
      </c>
      <c r="L1665" s="11"/>
      <c r="M1665" s="11"/>
      <c r="N1665" s="100"/>
      <c r="O1665" s="11">
        <f t="shared" si="408"/>
        <v>4941.5999999999995</v>
      </c>
      <c r="P1665" s="11">
        <f t="shared" si="410"/>
        <v>4941.5999999999995</v>
      </c>
      <c r="Q1665" s="11">
        <v>1.7</v>
      </c>
      <c r="R1665" s="11">
        <f t="shared" si="411"/>
        <v>8400.7199999999993</v>
      </c>
      <c r="S1665" s="11"/>
      <c r="T1665" s="136">
        <f t="shared" si="427"/>
        <v>0</v>
      </c>
    </row>
    <row r="1666" spans="1:20" ht="15.75" customHeight="1">
      <c r="A1666" s="149">
        <v>38</v>
      </c>
      <c r="B1666" s="273"/>
      <c r="C1666" s="28" t="s">
        <v>37258</v>
      </c>
      <c r="D1666" s="41">
        <v>680</v>
      </c>
      <c r="E1666" s="131">
        <f t="shared" si="412"/>
        <v>7920</v>
      </c>
      <c r="F1666" s="21">
        <f t="shared" si="435"/>
        <v>9583.1999999999989</v>
      </c>
      <c r="G1666" s="44"/>
      <c r="H1666" s="135">
        <f t="shared" si="440"/>
        <v>0</v>
      </c>
      <c r="I1666" s="294">
        <v>45210</v>
      </c>
      <c r="J1666" s="294"/>
      <c r="K1666" s="11">
        <f>4399*1.2</f>
        <v>5278.8</v>
      </c>
      <c r="L1666" s="11"/>
      <c r="M1666" s="11"/>
      <c r="N1666" s="100"/>
      <c r="O1666" s="11">
        <f t="shared" si="408"/>
        <v>5278.8</v>
      </c>
      <c r="P1666" s="11">
        <f t="shared" si="410"/>
        <v>5278.8</v>
      </c>
      <c r="Q1666" s="11">
        <v>1.5</v>
      </c>
      <c r="R1666" s="11">
        <f t="shared" si="411"/>
        <v>7918.2000000000007</v>
      </c>
      <c r="S1666" s="11"/>
      <c r="T1666" s="136">
        <f t="shared" si="427"/>
        <v>0</v>
      </c>
    </row>
    <row r="1667" spans="1:20" ht="15.75" customHeight="1">
      <c r="A1667" s="149" t="s">
        <v>2414</v>
      </c>
      <c r="B1667" s="273"/>
      <c r="C1667" s="28" t="s">
        <v>3979</v>
      </c>
      <c r="D1667" s="41">
        <v>490</v>
      </c>
      <c r="E1667" s="131">
        <f t="shared" si="412"/>
        <v>11650</v>
      </c>
      <c r="F1667" s="21">
        <f t="shared" si="435"/>
        <v>14096.5</v>
      </c>
      <c r="G1667" s="21"/>
      <c r="H1667" s="135">
        <f t="shared" si="440"/>
        <v>0</v>
      </c>
      <c r="I1667" s="294">
        <v>45273</v>
      </c>
      <c r="J1667" s="294">
        <v>45359</v>
      </c>
      <c r="K1667" s="10">
        <f>0.6*11412</f>
        <v>6847.2</v>
      </c>
      <c r="L1667" s="10"/>
      <c r="M1667" s="11"/>
      <c r="N1667" s="100"/>
      <c r="O1667" s="11">
        <f t="shared" si="408"/>
        <v>6847.2</v>
      </c>
      <c r="P1667" s="11">
        <f t="shared" si="410"/>
        <v>6847.2</v>
      </c>
      <c r="Q1667" s="11">
        <v>1.7</v>
      </c>
      <c r="R1667" s="11">
        <f t="shared" si="411"/>
        <v>11640.24</v>
      </c>
      <c r="S1667" s="11"/>
      <c r="T1667" s="136">
        <f t="shared" si="427"/>
        <v>0</v>
      </c>
    </row>
    <row r="1668" spans="1:20" ht="15.75" customHeight="1">
      <c r="A1668" s="149">
        <v>98</v>
      </c>
      <c r="B1668" s="273"/>
      <c r="C1668" s="28" t="s">
        <v>2918</v>
      </c>
      <c r="D1668" s="41"/>
      <c r="E1668" s="131">
        <f t="shared" si="412"/>
        <v>0</v>
      </c>
      <c r="F1668" s="21">
        <f t="shared" si="435"/>
        <v>0</v>
      </c>
      <c r="G1668" s="21">
        <f>156910*2</f>
        <v>313820</v>
      </c>
      <c r="H1668" s="135">
        <f t="shared" si="440"/>
        <v>0</v>
      </c>
      <c r="I1668" s="294">
        <v>45012</v>
      </c>
      <c r="J1668" s="294"/>
      <c r="K1668" s="10">
        <v>4584</v>
      </c>
      <c r="L1668" s="10"/>
      <c r="M1668" s="11"/>
      <c r="N1668" s="100"/>
      <c r="O1668" s="11">
        <f t="shared" si="408"/>
        <v>4584</v>
      </c>
      <c r="P1668" s="11">
        <f t="shared" si="410"/>
        <v>4584</v>
      </c>
      <c r="Q1668" s="11"/>
      <c r="R1668" s="11">
        <f t="shared" si="411"/>
        <v>0</v>
      </c>
      <c r="S1668" s="11"/>
      <c r="T1668" s="136">
        <f t="shared" si="427"/>
        <v>0</v>
      </c>
    </row>
    <row r="1669" spans="1:20" ht="15.75" customHeight="1">
      <c r="A1669" s="149">
        <v>12</v>
      </c>
      <c r="B1669" s="273"/>
      <c r="C1669" s="28" t="s">
        <v>4409</v>
      </c>
      <c r="D1669" s="41"/>
      <c r="E1669" s="131">
        <f t="shared" si="412"/>
        <v>23060</v>
      </c>
      <c r="F1669" s="21">
        <f t="shared" si="435"/>
        <v>27902.6</v>
      </c>
      <c r="G1669" s="21"/>
      <c r="H1669" s="135">
        <f t="shared" si="440"/>
        <v>0</v>
      </c>
      <c r="I1669" s="294">
        <v>45222</v>
      </c>
      <c r="J1669" s="294">
        <v>45338</v>
      </c>
      <c r="K1669" s="10">
        <v>15370</v>
      </c>
      <c r="L1669" s="10"/>
      <c r="M1669" s="11"/>
      <c r="N1669" s="100"/>
      <c r="O1669" s="11">
        <f t="shared" si="408"/>
        <v>15370</v>
      </c>
      <c r="P1669" s="11">
        <f t="shared" ref="P1669:P1737" si="441">+O1669</f>
        <v>15370</v>
      </c>
      <c r="Q1669" s="11">
        <v>1.5</v>
      </c>
      <c r="R1669" s="11">
        <f t="shared" ref="R1669:R1737" si="442">+P1669*Q1669</f>
        <v>23055</v>
      </c>
      <c r="S1669" s="11"/>
      <c r="T1669" s="136">
        <f t="shared" si="427"/>
        <v>0</v>
      </c>
    </row>
    <row r="1670" spans="1:20" ht="15.75" customHeight="1">
      <c r="A1670" s="149">
        <v>12</v>
      </c>
      <c r="B1670" s="273"/>
      <c r="C1670" s="28" t="s">
        <v>62676</v>
      </c>
      <c r="D1670" s="41"/>
      <c r="E1670" s="131">
        <f t="shared" si="412"/>
        <v>9460</v>
      </c>
      <c r="F1670" s="21">
        <f t="shared" si="435"/>
        <v>11446.6</v>
      </c>
      <c r="G1670" s="21"/>
      <c r="H1670" s="135">
        <f t="shared" si="440"/>
        <v>0</v>
      </c>
      <c r="I1670" s="294"/>
      <c r="J1670" s="294">
        <v>45371</v>
      </c>
      <c r="K1670" s="10">
        <v>6301</v>
      </c>
      <c r="L1670" s="10"/>
      <c r="M1670" s="11"/>
      <c r="N1670" s="100"/>
      <c r="O1670" s="11">
        <f t="shared" si="408"/>
        <v>6301</v>
      </c>
      <c r="P1670" s="11">
        <f t="shared" si="441"/>
        <v>6301</v>
      </c>
      <c r="Q1670" s="11">
        <v>1.5</v>
      </c>
      <c r="R1670" s="11">
        <f t="shared" si="442"/>
        <v>9451.5</v>
      </c>
      <c r="S1670" s="11"/>
      <c r="T1670" s="136">
        <f t="shared" si="427"/>
        <v>0</v>
      </c>
    </row>
    <row r="1671" spans="1:20" ht="15.75" customHeight="1">
      <c r="A1671" s="149" t="s">
        <v>2398</v>
      </c>
      <c r="B1671" s="273">
        <f t="shared" ref="B1671:B1703" si="443">ROUNDUP(E1671*1.06,-1)</f>
        <v>305940</v>
      </c>
      <c r="C1671" s="28" t="s">
        <v>37147</v>
      </c>
      <c r="D1671" s="160">
        <v>13140</v>
      </c>
      <c r="E1671" s="131">
        <f t="shared" si="412"/>
        <v>288620</v>
      </c>
      <c r="F1671" s="21" t="s">
        <v>1248</v>
      </c>
      <c r="G1671" s="21">
        <f t="shared" ref="G1671:G1696" si="444">+E1671*1.105</f>
        <v>318925.09999999998</v>
      </c>
      <c r="H1671" s="135">
        <f t="shared" si="440"/>
        <v>0</v>
      </c>
      <c r="I1671" s="23">
        <v>45323</v>
      </c>
      <c r="J1671" s="294"/>
      <c r="K1671" s="10">
        <f>0.8*0.98*0.94*0.95*305367</f>
        <v>213791.101104</v>
      </c>
      <c r="L1671" s="11">
        <f>167951*1.35</f>
        <v>226733.85</v>
      </c>
      <c r="M1671" s="11"/>
      <c r="N1671" s="100"/>
      <c r="O1671" s="11">
        <f t="shared" si="408"/>
        <v>213791.101104</v>
      </c>
      <c r="P1671" s="11">
        <f>+O1671*'AUMENTOS %'!$B$5</f>
        <v>213791.101104</v>
      </c>
      <c r="Q1671" s="11">
        <v>1.35</v>
      </c>
      <c r="R1671" s="11">
        <f t="shared" si="442"/>
        <v>288617.98649040004</v>
      </c>
      <c r="S1671" s="11"/>
      <c r="T1671" s="136">
        <f t="shared" si="427"/>
        <v>0</v>
      </c>
    </row>
    <row r="1672" spans="1:20" ht="15.75" customHeight="1">
      <c r="A1672" s="149" t="s">
        <v>2398</v>
      </c>
      <c r="B1672" s="273">
        <f t="shared" si="443"/>
        <v>380690</v>
      </c>
      <c r="C1672" s="28" t="s">
        <v>37148</v>
      </c>
      <c r="D1672" s="160">
        <v>14890</v>
      </c>
      <c r="E1672" s="131">
        <f t="shared" si="412"/>
        <v>359140</v>
      </c>
      <c r="F1672" s="21" t="s">
        <v>1248</v>
      </c>
      <c r="G1672" s="21">
        <f t="shared" si="444"/>
        <v>396849.7</v>
      </c>
      <c r="H1672" s="135">
        <f t="shared" ref="H1672:H1746" si="445">ROUNDUP(T1672,-1)</f>
        <v>0</v>
      </c>
      <c r="I1672" s="23">
        <v>45323</v>
      </c>
      <c r="J1672" s="294"/>
      <c r="K1672" s="10">
        <f>0.8*0.98*0.94*0.95*379974</f>
        <v>266024.35708799999</v>
      </c>
      <c r="L1672" s="42"/>
      <c r="M1672" s="11"/>
      <c r="N1672" s="100"/>
      <c r="O1672" s="11">
        <f t="shared" si="408"/>
        <v>266024.35708799999</v>
      </c>
      <c r="P1672" s="11">
        <f>+O1672*'AUMENTOS %'!$B$5</f>
        <v>266024.35708799999</v>
      </c>
      <c r="Q1672" s="11">
        <v>1.35</v>
      </c>
      <c r="R1672" s="11">
        <f t="shared" si="442"/>
        <v>359132.88206879998</v>
      </c>
      <c r="S1672" s="11"/>
      <c r="T1672" s="136">
        <f t="shared" si="427"/>
        <v>0</v>
      </c>
    </row>
    <row r="1673" spans="1:20" ht="15.75" customHeight="1">
      <c r="A1673" s="149" t="s">
        <v>2398</v>
      </c>
      <c r="B1673" s="273">
        <f t="shared" si="443"/>
        <v>446170</v>
      </c>
      <c r="C1673" s="28" t="s">
        <v>37149</v>
      </c>
      <c r="D1673" s="41">
        <v>16110</v>
      </c>
      <c r="E1673" s="131">
        <f t="shared" si="412"/>
        <v>420910</v>
      </c>
      <c r="F1673" s="21" t="s">
        <v>1248</v>
      </c>
      <c r="G1673" s="21">
        <f t="shared" si="444"/>
        <v>465105.55</v>
      </c>
      <c r="H1673" s="135">
        <f t="shared" si="445"/>
        <v>0</v>
      </c>
      <c r="I1673" s="23">
        <v>45323</v>
      </c>
      <c r="J1673" s="294"/>
      <c r="K1673" s="10">
        <f>0.8*0.98*0.94*0.95*445328</f>
        <v>311779.47673599998</v>
      </c>
      <c r="L1673" s="11"/>
      <c r="M1673" s="11"/>
      <c r="N1673" s="100"/>
      <c r="O1673" s="11">
        <f t="shared" si="408"/>
        <v>311779.47673599998</v>
      </c>
      <c r="P1673" s="11">
        <f>+O1673*'AUMENTOS %'!$B$5</f>
        <v>311779.47673599998</v>
      </c>
      <c r="Q1673" s="11">
        <v>1.35</v>
      </c>
      <c r="R1673" s="11">
        <f t="shared" si="442"/>
        <v>420902.29359359998</v>
      </c>
      <c r="S1673" s="11"/>
      <c r="T1673" s="136">
        <f t="shared" si="427"/>
        <v>0</v>
      </c>
    </row>
    <row r="1674" spans="1:20" ht="15.75" customHeight="1">
      <c r="A1674" s="149" t="s">
        <v>2398</v>
      </c>
      <c r="B1674" s="273">
        <f t="shared" si="443"/>
        <v>428110</v>
      </c>
      <c r="C1674" s="28" t="s">
        <v>37150</v>
      </c>
      <c r="D1674" s="41">
        <v>16750</v>
      </c>
      <c r="E1674" s="131">
        <f t="shared" si="412"/>
        <v>403870</v>
      </c>
      <c r="F1674" s="21" t="s">
        <v>1248</v>
      </c>
      <c r="G1674" s="21">
        <f t="shared" si="444"/>
        <v>446276.35</v>
      </c>
      <c r="H1674" s="135">
        <f t="shared" si="445"/>
        <v>0</v>
      </c>
      <c r="I1674" s="23">
        <v>45323</v>
      </c>
      <c r="J1674" s="294"/>
      <c r="K1674" s="42">
        <f>0.8*0.98*0.94*0.95*427298</f>
        <v>299156.45737600001</v>
      </c>
      <c r="L1674" s="11"/>
      <c r="M1674" s="11"/>
      <c r="N1674" s="100"/>
      <c r="O1674" s="11">
        <f t="shared" si="408"/>
        <v>299156.45737600001</v>
      </c>
      <c r="P1674" s="11">
        <f>+O1674*'AUMENTOS %'!$B$5</f>
        <v>299156.45737600001</v>
      </c>
      <c r="Q1674" s="11">
        <v>1.35</v>
      </c>
      <c r="R1674" s="11">
        <f t="shared" si="442"/>
        <v>403861.21745760005</v>
      </c>
      <c r="S1674" s="11"/>
      <c r="T1674" s="136">
        <f t="shared" si="427"/>
        <v>0</v>
      </c>
    </row>
    <row r="1675" spans="1:20" ht="15.75" customHeight="1">
      <c r="A1675" s="149" t="s">
        <v>2398</v>
      </c>
      <c r="B1675" s="273">
        <f t="shared" si="443"/>
        <v>489700</v>
      </c>
      <c r="C1675" s="28" t="s">
        <v>37151</v>
      </c>
      <c r="D1675" s="41">
        <v>18810</v>
      </c>
      <c r="E1675" s="131">
        <f t="shared" si="412"/>
        <v>461980</v>
      </c>
      <c r="F1675" s="21" t="s">
        <v>1248</v>
      </c>
      <c r="G1675" s="21">
        <f t="shared" si="444"/>
        <v>510487.89999999997</v>
      </c>
      <c r="H1675" s="135">
        <f t="shared" si="445"/>
        <v>0</v>
      </c>
      <c r="I1675" s="23">
        <v>45323</v>
      </c>
      <c r="J1675" s="294"/>
      <c r="K1675" s="32">
        <f>0.8*0.98*0.94*0.95*488785</f>
        <v>342204.24391999998</v>
      </c>
      <c r="L1675" s="11"/>
      <c r="M1675" s="11"/>
      <c r="N1675" s="100"/>
      <c r="O1675" s="11">
        <f t="shared" si="408"/>
        <v>342204.24391999998</v>
      </c>
      <c r="P1675" s="11">
        <f>+O1675*'AUMENTOS %'!$B$5</f>
        <v>342204.24391999998</v>
      </c>
      <c r="Q1675" s="11">
        <v>1.35</v>
      </c>
      <c r="R1675" s="11">
        <f t="shared" si="442"/>
        <v>461975.729292</v>
      </c>
      <c r="S1675" s="11"/>
      <c r="T1675" s="136">
        <f t="shared" si="427"/>
        <v>0</v>
      </c>
    </row>
    <row r="1676" spans="1:20" ht="15.75" customHeight="1">
      <c r="A1676" s="149" t="s">
        <v>2398</v>
      </c>
      <c r="B1676" s="273">
        <f t="shared" si="443"/>
        <v>603810</v>
      </c>
      <c r="C1676" s="28" t="s">
        <v>37152</v>
      </c>
      <c r="D1676" s="41">
        <v>24200</v>
      </c>
      <c r="E1676" s="131">
        <f t="shared" si="412"/>
        <v>569630</v>
      </c>
      <c r="F1676" s="21" t="s">
        <v>1248</v>
      </c>
      <c r="G1676" s="21">
        <f t="shared" si="444"/>
        <v>629441.15</v>
      </c>
      <c r="H1676" s="135">
        <f t="shared" si="445"/>
        <v>0</v>
      </c>
      <c r="I1676" s="23">
        <v>45323</v>
      </c>
      <c r="J1676" s="294"/>
      <c r="K1676" s="32">
        <f>0.8*0.98*0.94*0.95*602679</f>
        <v>421942.80004799995</v>
      </c>
      <c r="L1676" s="32"/>
      <c r="M1676" s="11"/>
      <c r="N1676" s="100"/>
      <c r="O1676" s="11">
        <f t="shared" si="408"/>
        <v>421942.80004799995</v>
      </c>
      <c r="P1676" s="11">
        <f>+O1676*'AUMENTOS %'!$B$5</f>
        <v>421942.80004799995</v>
      </c>
      <c r="Q1676" s="11">
        <v>1.35</v>
      </c>
      <c r="R1676" s="11">
        <f t="shared" si="442"/>
        <v>569622.78006479994</v>
      </c>
      <c r="S1676" s="11"/>
      <c r="T1676" s="136">
        <f t="shared" si="427"/>
        <v>0</v>
      </c>
    </row>
    <row r="1677" spans="1:20" ht="15.75" customHeight="1">
      <c r="A1677" s="149">
        <v>38</v>
      </c>
      <c r="B1677" s="273">
        <f t="shared" si="443"/>
        <v>188100</v>
      </c>
      <c r="C1677" s="28" t="s">
        <v>3515</v>
      </c>
      <c r="D1677" s="41">
        <v>10290</v>
      </c>
      <c r="E1677" s="131">
        <f t="shared" si="412"/>
        <v>177450</v>
      </c>
      <c r="F1677" s="21" t="s">
        <v>1248</v>
      </c>
      <c r="G1677" s="21">
        <f t="shared" si="444"/>
        <v>196082.25</v>
      </c>
      <c r="H1677" s="135">
        <f t="shared" si="445"/>
        <v>166800</v>
      </c>
      <c r="I1677" s="294">
        <v>45138</v>
      </c>
      <c r="J1677" s="294">
        <v>45369</v>
      </c>
      <c r="K1677" s="11">
        <f>+PROVEEDORES!D32*120.71</f>
        <v>126745.5</v>
      </c>
      <c r="L1677" s="11"/>
      <c r="M1677" s="11"/>
      <c r="N1677" s="100">
        <f>+K1677*0.94</f>
        <v>119140.76999999999</v>
      </c>
      <c r="O1677" s="11">
        <f t="shared" si="408"/>
        <v>126745.5</v>
      </c>
      <c r="P1677" s="11">
        <f t="shared" si="441"/>
        <v>126745.5</v>
      </c>
      <c r="Q1677" s="11">
        <v>1.4</v>
      </c>
      <c r="R1677" s="11">
        <f t="shared" si="442"/>
        <v>177443.69999999998</v>
      </c>
      <c r="S1677" s="11"/>
      <c r="T1677" s="136">
        <f t="shared" ref="T1677:T1713" si="446">+N1677*Q1677</f>
        <v>166797.07799999998</v>
      </c>
    </row>
    <row r="1678" spans="1:20" ht="15.75" customHeight="1">
      <c r="A1678" s="149" t="s">
        <v>2398</v>
      </c>
      <c r="B1678" s="273">
        <f t="shared" si="443"/>
        <v>1458180</v>
      </c>
      <c r="C1678" s="28" t="s">
        <v>37153</v>
      </c>
      <c r="D1678" s="41">
        <v>58790</v>
      </c>
      <c r="E1678" s="131">
        <f t="shared" si="412"/>
        <v>1375640</v>
      </c>
      <c r="F1678" s="21" t="s">
        <v>1248</v>
      </c>
      <c r="G1678" s="21">
        <f t="shared" si="444"/>
        <v>1520082.2</v>
      </c>
      <c r="H1678" s="135">
        <f t="shared" si="445"/>
        <v>0</v>
      </c>
      <c r="I1678" s="23">
        <v>45323</v>
      </c>
      <c r="J1678" s="294"/>
      <c r="K1678" s="32">
        <f>0.8*0.98*0.94*0.95*1423828</f>
        <v>996839.06873599999</v>
      </c>
      <c r="L1678" s="11"/>
      <c r="M1678" s="11"/>
      <c r="N1678" s="100"/>
      <c r="O1678" s="11">
        <f t="shared" ref="O1678:O1757" si="447">MIN(K1678:M1678)</f>
        <v>996839.06873599999</v>
      </c>
      <c r="P1678" s="11">
        <f>+O1678*'AUMENTOS %'!$B$5</f>
        <v>996839.06873599999</v>
      </c>
      <c r="Q1678" s="11">
        <v>1.38</v>
      </c>
      <c r="R1678" s="11">
        <f t="shared" si="442"/>
        <v>1375637.91485568</v>
      </c>
      <c r="S1678" s="11"/>
      <c r="T1678" s="136">
        <f t="shared" si="446"/>
        <v>0</v>
      </c>
    </row>
    <row r="1679" spans="1:20" ht="15.75" customHeight="1">
      <c r="A1679" s="149" t="s">
        <v>2398</v>
      </c>
      <c r="B1679" s="273">
        <f t="shared" si="443"/>
        <v>1763970</v>
      </c>
      <c r="C1679" s="28" t="s">
        <v>37154</v>
      </c>
      <c r="D1679" s="41">
        <v>67890</v>
      </c>
      <c r="E1679" s="131">
        <f t="shared" si="412"/>
        <v>1664120</v>
      </c>
      <c r="F1679" s="21" t="s">
        <v>1248</v>
      </c>
      <c r="G1679" s="21">
        <f t="shared" si="444"/>
        <v>1838852.5999999999</v>
      </c>
      <c r="H1679" s="135">
        <f t="shared" si="445"/>
        <v>0</v>
      </c>
      <c r="I1679" s="23">
        <v>45323</v>
      </c>
      <c r="J1679" s="294"/>
      <c r="K1679" s="10">
        <f>0.8*0.98*0.94*0.95*1722414</f>
        <v>1205882.710368</v>
      </c>
      <c r="L1679" s="11"/>
      <c r="M1679" s="11"/>
      <c r="N1679" s="100"/>
      <c r="O1679" s="11">
        <f t="shared" si="447"/>
        <v>1205882.710368</v>
      </c>
      <c r="P1679" s="11">
        <f>+O1679*'AUMENTOS %'!$B$5</f>
        <v>1205882.710368</v>
      </c>
      <c r="Q1679" s="11">
        <v>1.38</v>
      </c>
      <c r="R1679" s="11">
        <f t="shared" si="442"/>
        <v>1664118.1403078397</v>
      </c>
      <c r="S1679" s="11"/>
      <c r="T1679" s="136">
        <f t="shared" si="446"/>
        <v>0</v>
      </c>
    </row>
    <row r="1680" spans="1:20" ht="15.75" customHeight="1">
      <c r="A1680" s="149" t="s">
        <v>2398</v>
      </c>
      <c r="B1680" s="273">
        <f t="shared" si="443"/>
        <v>1850450</v>
      </c>
      <c r="C1680" s="28" t="s">
        <v>37155</v>
      </c>
      <c r="D1680" s="41">
        <v>71220</v>
      </c>
      <c r="E1680" s="131">
        <f t="shared" si="412"/>
        <v>1745700</v>
      </c>
      <c r="F1680" s="21" t="s">
        <v>1248</v>
      </c>
      <c r="G1680" s="21">
        <f t="shared" si="444"/>
        <v>1928998.5</v>
      </c>
      <c r="H1680" s="135">
        <f t="shared" si="445"/>
        <v>0</v>
      </c>
      <c r="I1680" s="23">
        <v>45323</v>
      </c>
      <c r="J1680" s="294"/>
      <c r="K1680" s="10">
        <f>0.8*0.98*0.94*0.95*1806848</f>
        <v>1264995.966976</v>
      </c>
      <c r="L1680" s="11"/>
      <c r="M1680" s="11"/>
      <c r="N1680" s="100"/>
      <c r="O1680" s="11">
        <f t="shared" si="447"/>
        <v>1264995.966976</v>
      </c>
      <c r="P1680" s="11">
        <f>+O1680*'AUMENTOS %'!$B$5</f>
        <v>1264995.966976</v>
      </c>
      <c r="Q1680" s="11">
        <v>1.38</v>
      </c>
      <c r="R1680" s="11">
        <f t="shared" si="442"/>
        <v>1745694.43442688</v>
      </c>
      <c r="S1680" s="11"/>
      <c r="T1680" s="136">
        <f t="shared" si="446"/>
        <v>0</v>
      </c>
    </row>
    <row r="1681" spans="1:20" ht="15.75" customHeight="1">
      <c r="A1681" s="149" t="s">
        <v>2398</v>
      </c>
      <c r="B1681" s="273">
        <f t="shared" si="443"/>
        <v>2163360</v>
      </c>
      <c r="C1681" s="28" t="s">
        <v>37156</v>
      </c>
      <c r="D1681" s="41">
        <v>83260</v>
      </c>
      <c r="E1681" s="131">
        <f t="shared" si="412"/>
        <v>2040900</v>
      </c>
      <c r="F1681" s="21" t="s">
        <v>1248</v>
      </c>
      <c r="G1681" s="21">
        <f t="shared" si="444"/>
        <v>2255194.5</v>
      </c>
      <c r="H1681" s="135">
        <f t="shared" si="445"/>
        <v>0</v>
      </c>
      <c r="I1681" s="23">
        <v>45323</v>
      </c>
      <c r="J1681" s="294"/>
      <c r="K1681" s="10">
        <f>0.8*0.98*0.94*0.95*2112392</f>
        <v>1478910.9879039999</v>
      </c>
      <c r="L1681" s="11"/>
      <c r="M1681" s="11"/>
      <c r="N1681" s="100"/>
      <c r="O1681" s="11">
        <f t="shared" si="447"/>
        <v>1478910.9879039999</v>
      </c>
      <c r="P1681" s="11">
        <f>+O1681*'AUMENTOS %'!$B$5</f>
        <v>1478910.9879039999</v>
      </c>
      <c r="Q1681" s="11">
        <v>1.38</v>
      </c>
      <c r="R1681" s="11">
        <f t="shared" si="442"/>
        <v>2040897.1633075196</v>
      </c>
      <c r="S1681" s="11"/>
      <c r="T1681" s="136">
        <f t="shared" si="446"/>
        <v>0</v>
      </c>
    </row>
    <row r="1682" spans="1:20" ht="15.75" customHeight="1">
      <c r="A1682" s="149" t="s">
        <v>2398</v>
      </c>
      <c r="B1682" s="273">
        <f>ROUNDUP(E1682*1.06,-1)</f>
        <v>2412950</v>
      </c>
      <c r="C1682" s="28" t="s">
        <v>37157</v>
      </c>
      <c r="D1682" s="41">
        <v>92860</v>
      </c>
      <c r="E1682" s="131">
        <f>ROUNDUP(R1682,-1)</f>
        <v>2276360</v>
      </c>
      <c r="F1682" s="21" t="s">
        <v>1248</v>
      </c>
      <c r="G1682" s="21">
        <f>+E1682*1.105</f>
        <v>2515377.7999999998</v>
      </c>
      <c r="H1682" s="135">
        <f>ROUNDUP(T1682,-1)</f>
        <v>0</v>
      </c>
      <c r="I1682" s="23">
        <v>45323</v>
      </c>
      <c r="J1682" s="294"/>
      <c r="K1682" s="10">
        <f>0.8*0.98*0.94*0.95*2356101</f>
        <v>1649534.5833119999</v>
      </c>
      <c r="L1682" s="11"/>
      <c r="M1682" s="11"/>
      <c r="N1682" s="38"/>
      <c r="O1682" s="11">
        <f>MIN(K1682:M1682)</f>
        <v>1649534.5833119999</v>
      </c>
      <c r="P1682" s="11">
        <f>+O1682*'AUMENTOS %'!$B$5</f>
        <v>1649534.5833119999</v>
      </c>
      <c r="Q1682" s="11">
        <v>1.38</v>
      </c>
      <c r="R1682" s="11">
        <f t="shared" si="442"/>
        <v>2276357.7249705596</v>
      </c>
      <c r="S1682" s="11"/>
      <c r="T1682" s="136">
        <f>+N1682*Q1682</f>
        <v>0</v>
      </c>
    </row>
    <row r="1683" spans="1:20" ht="15.75" customHeight="1">
      <c r="A1683" s="149" t="s">
        <v>2387</v>
      </c>
      <c r="B1683" s="273">
        <f t="shared" si="443"/>
        <v>304370</v>
      </c>
      <c r="C1683" s="291" t="s">
        <v>1698</v>
      </c>
      <c r="D1683" s="41">
        <v>18760</v>
      </c>
      <c r="E1683" s="131">
        <f t="shared" si="412"/>
        <v>287140</v>
      </c>
      <c r="F1683" s="21" t="s">
        <v>1248</v>
      </c>
      <c r="G1683" s="21">
        <f t="shared" si="444"/>
        <v>317289.7</v>
      </c>
      <c r="H1683" s="135">
        <f t="shared" si="445"/>
        <v>0</v>
      </c>
      <c r="I1683" s="294">
        <v>45329</v>
      </c>
      <c r="J1683" s="294"/>
      <c r="K1683" s="39">
        <f>+'AUMENTOS %'!$D$12*0.5*410190</f>
        <v>205095</v>
      </c>
      <c r="L1683" s="106">
        <f>94941*3</f>
        <v>284823</v>
      </c>
      <c r="M1683" s="11"/>
      <c r="N1683" s="38"/>
      <c r="O1683" s="11">
        <f t="shared" si="447"/>
        <v>205095</v>
      </c>
      <c r="P1683" s="11">
        <f>+O1683*'AUMENTOS %'!$D$12</f>
        <v>205095</v>
      </c>
      <c r="Q1683" s="11">
        <v>1.4</v>
      </c>
      <c r="R1683" s="11">
        <f t="shared" si="442"/>
        <v>287133</v>
      </c>
      <c r="S1683" s="11"/>
      <c r="T1683" s="136">
        <f t="shared" si="446"/>
        <v>0</v>
      </c>
    </row>
    <row r="1684" spans="1:20" ht="15.75" customHeight="1">
      <c r="A1684" s="149">
        <v>12</v>
      </c>
      <c r="B1684" s="273"/>
      <c r="C1684" s="28" t="s">
        <v>3832</v>
      </c>
      <c r="D1684" s="41">
        <v>181470</v>
      </c>
      <c r="E1684" s="131">
        <f t="shared" si="412"/>
        <v>114780</v>
      </c>
      <c r="F1684" s="21" t="s">
        <v>1248</v>
      </c>
      <c r="G1684" s="21">
        <f t="shared" si="444"/>
        <v>126831.9</v>
      </c>
      <c r="H1684" s="135">
        <f t="shared" si="445"/>
        <v>0</v>
      </c>
      <c r="I1684" s="294">
        <v>45274</v>
      </c>
      <c r="J1684" s="23">
        <v>45338</v>
      </c>
      <c r="K1684" s="10">
        <v>79157</v>
      </c>
      <c r="L1684" s="10"/>
      <c r="M1684" s="10"/>
      <c r="N1684" s="100"/>
      <c r="O1684" s="11">
        <f t="shared" si="447"/>
        <v>79157</v>
      </c>
      <c r="P1684" s="11">
        <f t="shared" si="441"/>
        <v>79157</v>
      </c>
      <c r="Q1684" s="11">
        <v>1.45</v>
      </c>
      <c r="R1684" s="11">
        <f t="shared" si="442"/>
        <v>114777.65</v>
      </c>
      <c r="S1684" s="11"/>
      <c r="T1684" s="136">
        <f t="shared" si="446"/>
        <v>0</v>
      </c>
    </row>
    <row r="1685" spans="1:20" ht="15.75" customHeight="1">
      <c r="A1685" s="149">
        <v>38</v>
      </c>
      <c r="B1685" s="273">
        <f t="shared" si="443"/>
        <v>111110</v>
      </c>
      <c r="C1685" s="28" t="s">
        <v>4048</v>
      </c>
      <c r="D1685" s="41"/>
      <c r="E1685" s="131">
        <f t="shared" si="412"/>
        <v>104820</v>
      </c>
      <c r="F1685" s="21" t="s">
        <v>1248</v>
      </c>
      <c r="G1685" s="21">
        <f t="shared" si="444"/>
        <v>115826.09999999999</v>
      </c>
      <c r="H1685" s="135">
        <f t="shared" si="445"/>
        <v>93170</v>
      </c>
      <c r="I1685" s="294">
        <v>45138</v>
      </c>
      <c r="J1685" s="23">
        <v>45274</v>
      </c>
      <c r="K1685" s="10">
        <f>+PROVEEDORES!D32*71.3</f>
        <v>74865</v>
      </c>
      <c r="L1685" s="10"/>
      <c r="M1685" s="10"/>
      <c r="N1685" s="100">
        <v>66545</v>
      </c>
      <c r="O1685" s="11">
        <f t="shared" si="447"/>
        <v>74865</v>
      </c>
      <c r="P1685" s="11">
        <f t="shared" si="441"/>
        <v>74865</v>
      </c>
      <c r="Q1685" s="32">
        <v>1.4</v>
      </c>
      <c r="R1685" s="11">
        <f t="shared" si="442"/>
        <v>104811</v>
      </c>
      <c r="S1685" s="11"/>
      <c r="T1685" s="136">
        <f t="shared" si="446"/>
        <v>93163</v>
      </c>
    </row>
    <row r="1686" spans="1:20" ht="15.75" customHeight="1">
      <c r="A1686" s="149">
        <v>38</v>
      </c>
      <c r="B1686" s="273">
        <f t="shared" si="443"/>
        <v>272560</v>
      </c>
      <c r="C1686" s="28" t="s">
        <v>1699</v>
      </c>
      <c r="D1686" s="41">
        <v>17480</v>
      </c>
      <c r="E1686" s="131">
        <f t="shared" si="412"/>
        <v>257130</v>
      </c>
      <c r="F1686" s="21" t="s">
        <v>1248</v>
      </c>
      <c r="G1686" s="21">
        <f t="shared" si="444"/>
        <v>284128.65000000002</v>
      </c>
      <c r="H1686" s="135">
        <f t="shared" si="445"/>
        <v>0</v>
      </c>
      <c r="I1686" s="294">
        <v>45138</v>
      </c>
      <c r="J1686" s="294"/>
      <c r="K1686" s="42">
        <f>126662*1.4</f>
        <v>177326.8</v>
      </c>
      <c r="L1686" s="10"/>
      <c r="M1686" s="11"/>
      <c r="N1686" s="38"/>
      <c r="O1686" s="11">
        <f>MIN(K1686:M1686)*'AUMENTOS %'!$B$10</f>
        <v>177326.8</v>
      </c>
      <c r="P1686" s="11">
        <f t="shared" si="441"/>
        <v>177326.8</v>
      </c>
      <c r="Q1686" s="11">
        <v>1.45</v>
      </c>
      <c r="R1686" s="11">
        <f t="shared" si="442"/>
        <v>257123.86</v>
      </c>
      <c r="S1686" s="11"/>
      <c r="T1686" s="136">
        <f t="shared" si="446"/>
        <v>0</v>
      </c>
    </row>
    <row r="1687" spans="1:20" ht="15.75" customHeight="1">
      <c r="A1687" s="149">
        <v>38</v>
      </c>
      <c r="B1687" s="273">
        <f t="shared" si="443"/>
        <v>0</v>
      </c>
      <c r="C1687" s="28" t="s">
        <v>1701</v>
      </c>
      <c r="D1687" s="41">
        <v>23290</v>
      </c>
      <c r="E1687" s="131">
        <f t="shared" si="412"/>
        <v>0</v>
      </c>
      <c r="F1687" s="21" t="s">
        <v>1248</v>
      </c>
      <c r="G1687" s="21">
        <f t="shared" si="444"/>
        <v>0</v>
      </c>
      <c r="H1687" s="135">
        <f t="shared" si="445"/>
        <v>0</v>
      </c>
      <c r="I1687" s="294">
        <v>44911</v>
      </c>
      <c r="J1687" s="294">
        <v>45059</v>
      </c>
      <c r="K1687" s="53">
        <v>45607</v>
      </c>
      <c r="L1687" s="11"/>
      <c r="M1687" s="11"/>
      <c r="N1687" s="38"/>
      <c r="O1687" s="11">
        <f>MIN(K1687:M1687)*'AUMENTOS %'!$B$10</f>
        <v>45607</v>
      </c>
      <c r="P1687" s="11">
        <f t="shared" si="441"/>
        <v>45607</v>
      </c>
      <c r="Q1687" s="11"/>
      <c r="R1687" s="11">
        <f t="shared" si="442"/>
        <v>0</v>
      </c>
      <c r="S1687" s="11"/>
      <c r="T1687" s="136">
        <f t="shared" si="446"/>
        <v>0</v>
      </c>
    </row>
    <row r="1688" spans="1:20" ht="15.75" customHeight="1">
      <c r="A1688" s="149">
        <v>38</v>
      </c>
      <c r="B1688" s="273">
        <f t="shared" si="443"/>
        <v>91660</v>
      </c>
      <c r="C1688" s="28" t="s">
        <v>3718</v>
      </c>
      <c r="D1688" s="41"/>
      <c r="E1688" s="131">
        <f t="shared" si="412"/>
        <v>86470</v>
      </c>
      <c r="F1688" s="21" t="s">
        <v>1248</v>
      </c>
      <c r="G1688" s="21">
        <f t="shared" si="444"/>
        <v>95549.349999999991</v>
      </c>
      <c r="H1688" s="135">
        <f t="shared" si="445"/>
        <v>0</v>
      </c>
      <c r="I1688" s="294">
        <v>45138</v>
      </c>
      <c r="J1688" s="294"/>
      <c r="K1688" s="42">
        <f>+'AUMENTOS %'!$B$10*59629</f>
        <v>59629</v>
      </c>
      <c r="L1688" s="10"/>
      <c r="M1688" s="11"/>
      <c r="N1688" s="38"/>
      <c r="O1688" s="11">
        <f>MIN(K1688:M1688)*'AUMENTOS %'!$B$10</f>
        <v>59629</v>
      </c>
      <c r="P1688" s="11">
        <f t="shared" si="441"/>
        <v>59629</v>
      </c>
      <c r="Q1688" s="11">
        <v>1.45</v>
      </c>
      <c r="R1688" s="11">
        <f t="shared" si="442"/>
        <v>86462.05</v>
      </c>
      <c r="S1688" s="11"/>
      <c r="T1688" s="136">
        <f t="shared" si="446"/>
        <v>0</v>
      </c>
    </row>
    <row r="1689" spans="1:20" ht="15.75" customHeight="1">
      <c r="A1689" s="149">
        <v>38</v>
      </c>
      <c r="B1689" s="273">
        <f t="shared" si="443"/>
        <v>0</v>
      </c>
      <c r="C1689" s="28" t="s">
        <v>1700</v>
      </c>
      <c r="D1689" s="41">
        <v>22160</v>
      </c>
      <c r="E1689" s="131">
        <f t="shared" si="412"/>
        <v>0</v>
      </c>
      <c r="F1689" s="21" t="s">
        <v>1248</v>
      </c>
      <c r="G1689" s="21">
        <f t="shared" si="444"/>
        <v>0</v>
      </c>
      <c r="H1689" s="135">
        <f t="shared" si="445"/>
        <v>0</v>
      </c>
      <c r="I1689" s="294">
        <v>45138</v>
      </c>
      <c r="J1689" s="294"/>
      <c r="K1689" s="42">
        <f>+'AUMENTOS %'!$B$10*54898</f>
        <v>54898</v>
      </c>
      <c r="L1689" s="37"/>
      <c r="M1689" s="10"/>
      <c r="N1689" s="38"/>
      <c r="O1689" s="11">
        <f>MIN(K1689:M1689)*'AUMENTOS %'!$B$10</f>
        <v>54898</v>
      </c>
      <c r="P1689" s="11">
        <f t="shared" si="441"/>
        <v>54898</v>
      </c>
      <c r="Q1689" s="11"/>
      <c r="R1689" s="11">
        <f t="shared" si="442"/>
        <v>0</v>
      </c>
      <c r="S1689" s="11"/>
      <c r="T1689" s="136">
        <f t="shared" si="446"/>
        <v>0</v>
      </c>
    </row>
    <row r="1690" spans="1:20" ht="15.75" customHeight="1">
      <c r="A1690" s="149">
        <v>38</v>
      </c>
      <c r="B1690" s="273">
        <f t="shared" si="443"/>
        <v>0</v>
      </c>
      <c r="C1690" s="28" t="s">
        <v>2871</v>
      </c>
      <c r="D1690" s="41"/>
      <c r="E1690" s="131">
        <f t="shared" ref="E1690:E1771" si="448">ROUNDUP(R1690,-1)</f>
        <v>0</v>
      </c>
      <c r="F1690" s="21" t="s">
        <v>1248</v>
      </c>
      <c r="G1690" s="21">
        <f t="shared" si="444"/>
        <v>0</v>
      </c>
      <c r="H1690" s="135">
        <f t="shared" si="445"/>
        <v>0</v>
      </c>
      <c r="I1690" s="294">
        <v>45138</v>
      </c>
      <c r="J1690" s="294"/>
      <c r="K1690" s="42">
        <f>+'AUMENTOS %'!$B$10*54313</f>
        <v>54313</v>
      </c>
      <c r="L1690" s="53"/>
      <c r="M1690" s="53"/>
      <c r="N1690" s="38"/>
      <c r="O1690" s="11">
        <f>MIN(K1690:M1690)*'AUMENTOS %'!$B$10</f>
        <v>54313</v>
      </c>
      <c r="P1690" s="11">
        <f t="shared" si="441"/>
        <v>54313</v>
      </c>
      <c r="Q1690" s="11"/>
      <c r="R1690" s="11">
        <f t="shared" si="442"/>
        <v>0</v>
      </c>
      <c r="S1690" s="11"/>
      <c r="T1690" s="136">
        <f t="shared" si="446"/>
        <v>0</v>
      </c>
    </row>
    <row r="1691" spans="1:20" ht="15.75" customHeight="1">
      <c r="A1691" s="149">
        <v>38</v>
      </c>
      <c r="B1691" s="273">
        <f t="shared" si="443"/>
        <v>543590</v>
      </c>
      <c r="C1691" s="28" t="s">
        <v>1702</v>
      </c>
      <c r="D1691" s="41">
        <v>28730</v>
      </c>
      <c r="E1691" s="131">
        <f t="shared" si="448"/>
        <v>512820</v>
      </c>
      <c r="F1691" s="21" t="s">
        <v>1248</v>
      </c>
      <c r="G1691" s="21">
        <f t="shared" si="444"/>
        <v>566666.1</v>
      </c>
      <c r="H1691" s="135">
        <f t="shared" si="445"/>
        <v>0</v>
      </c>
      <c r="I1691" s="294">
        <v>45138</v>
      </c>
      <c r="J1691" s="294">
        <v>45353</v>
      </c>
      <c r="K1691" s="42">
        <v>379865</v>
      </c>
      <c r="L1691" s="11"/>
      <c r="M1691" s="11"/>
      <c r="N1691" s="38"/>
      <c r="O1691" s="11">
        <f>MIN(K1691:M1691)*'AUMENTOS %'!$B$10</f>
        <v>379865</v>
      </c>
      <c r="P1691" s="11">
        <f t="shared" si="441"/>
        <v>379865</v>
      </c>
      <c r="Q1691" s="11">
        <v>1.35</v>
      </c>
      <c r="R1691" s="11">
        <f t="shared" si="442"/>
        <v>512817.75000000006</v>
      </c>
      <c r="S1691" s="11"/>
      <c r="T1691" s="136">
        <f t="shared" si="446"/>
        <v>0</v>
      </c>
    </row>
    <row r="1692" spans="1:20" ht="15.75" customHeight="1">
      <c r="A1692" s="149">
        <v>38</v>
      </c>
      <c r="B1692" s="273">
        <f t="shared" si="443"/>
        <v>1184300</v>
      </c>
      <c r="C1692" s="28" t="s">
        <v>1703</v>
      </c>
      <c r="D1692" s="41">
        <v>50330</v>
      </c>
      <c r="E1692" s="131">
        <f t="shared" si="448"/>
        <v>1117260</v>
      </c>
      <c r="F1692" s="21" t="s">
        <v>1248</v>
      </c>
      <c r="G1692" s="21">
        <f t="shared" si="444"/>
        <v>1234572.3</v>
      </c>
      <c r="H1692" s="135">
        <f t="shared" si="445"/>
        <v>0</v>
      </c>
      <c r="I1692" s="294">
        <v>45138</v>
      </c>
      <c r="J1692" s="294"/>
      <c r="K1692" s="42">
        <f>+'AUMENTOS %'!$B$10*827600</f>
        <v>827600</v>
      </c>
      <c r="L1692" s="99"/>
      <c r="M1692" s="11"/>
      <c r="N1692" s="38"/>
      <c r="O1692" s="11">
        <f>MIN(K1692:M1692)*'AUMENTOS %'!$B$10</f>
        <v>827600</v>
      </c>
      <c r="P1692" s="11">
        <f t="shared" si="441"/>
        <v>827600</v>
      </c>
      <c r="Q1692" s="11">
        <v>1.35</v>
      </c>
      <c r="R1692" s="11">
        <f t="shared" si="442"/>
        <v>1117260</v>
      </c>
      <c r="S1692" s="11"/>
      <c r="T1692" s="136">
        <f t="shared" si="446"/>
        <v>0</v>
      </c>
    </row>
    <row r="1693" spans="1:20" ht="15.75" customHeight="1">
      <c r="A1693" s="149">
        <v>38</v>
      </c>
      <c r="B1693" s="273">
        <f>ROUNDUP(E1693*1.06,-1)</f>
        <v>95680</v>
      </c>
      <c r="C1693" s="28" t="s">
        <v>37227</v>
      </c>
      <c r="D1693" s="41">
        <v>50330</v>
      </c>
      <c r="E1693" s="131">
        <f>ROUNDUP(R1693,-1)</f>
        <v>90260</v>
      </c>
      <c r="F1693" s="21" t="s">
        <v>1248</v>
      </c>
      <c r="G1693" s="21">
        <f>+E1693*1.105</f>
        <v>99737.3</v>
      </c>
      <c r="H1693" s="135">
        <f>ROUNDUP(T1693,-1)</f>
        <v>0</v>
      </c>
      <c r="I1693" s="294">
        <v>45138</v>
      </c>
      <c r="J1693" s="294">
        <v>45181</v>
      </c>
      <c r="K1693" s="42">
        <v>66857</v>
      </c>
      <c r="L1693" s="99"/>
      <c r="M1693" s="11"/>
      <c r="N1693" s="38"/>
      <c r="O1693" s="11">
        <f>MIN(K1693:M1693)*'AUMENTOS %'!$B$10</f>
        <v>66857</v>
      </c>
      <c r="P1693" s="11">
        <f>+O1693</f>
        <v>66857</v>
      </c>
      <c r="Q1693" s="11">
        <v>1.35</v>
      </c>
      <c r="R1693" s="11">
        <f>+P1693*Q1693</f>
        <v>90256.950000000012</v>
      </c>
      <c r="S1693" s="11"/>
      <c r="T1693" s="136">
        <f>+N1693*Q1693</f>
        <v>0</v>
      </c>
    </row>
    <row r="1694" spans="1:20" ht="15.75" customHeight="1">
      <c r="A1694" s="149">
        <v>108</v>
      </c>
      <c r="B1694" s="273"/>
      <c r="C1694" s="28" t="s">
        <v>4137</v>
      </c>
      <c r="D1694" s="41"/>
      <c r="E1694" s="131">
        <f t="shared" si="448"/>
        <v>99670</v>
      </c>
      <c r="F1694" s="21" t="s">
        <v>1248</v>
      </c>
      <c r="G1694" s="21">
        <f t="shared" si="444"/>
        <v>110135.34999999999</v>
      </c>
      <c r="H1694" s="135">
        <f t="shared" si="445"/>
        <v>0</v>
      </c>
      <c r="I1694" s="294">
        <v>45296</v>
      </c>
      <c r="J1694" s="294">
        <v>45370</v>
      </c>
      <c r="K1694" s="11">
        <f>0.765*89848</f>
        <v>68733.72</v>
      </c>
      <c r="L1694" s="11"/>
      <c r="M1694" s="11"/>
      <c r="N1694" s="100"/>
      <c r="O1694" s="11">
        <f t="shared" si="447"/>
        <v>68733.72</v>
      </c>
      <c r="P1694" s="11">
        <f t="shared" si="441"/>
        <v>68733.72</v>
      </c>
      <c r="Q1694" s="11">
        <v>1.45</v>
      </c>
      <c r="R1694" s="11">
        <f t="shared" si="442"/>
        <v>99663.894</v>
      </c>
      <c r="S1694" s="11"/>
      <c r="T1694" s="136">
        <f t="shared" si="446"/>
        <v>0</v>
      </c>
    </row>
    <row r="1695" spans="1:20" ht="15.75" customHeight="1">
      <c r="A1695" s="149">
        <v>108</v>
      </c>
      <c r="B1695" s="273"/>
      <c r="C1695" s="28" t="s">
        <v>4399</v>
      </c>
      <c r="D1695" s="41"/>
      <c r="E1695" s="131">
        <f t="shared" si="448"/>
        <v>120050</v>
      </c>
      <c r="F1695" s="21" t="s">
        <v>1248</v>
      </c>
      <c r="G1695" s="21">
        <f t="shared" si="444"/>
        <v>132655.25</v>
      </c>
      <c r="H1695" s="135">
        <f t="shared" si="445"/>
        <v>0</v>
      </c>
      <c r="I1695" s="294">
        <v>45252</v>
      </c>
      <c r="J1695" s="294">
        <v>45370</v>
      </c>
      <c r="K1695" s="11">
        <f>0.765*108226</f>
        <v>82792.89</v>
      </c>
      <c r="L1695" s="11"/>
      <c r="M1695" s="11"/>
      <c r="N1695" s="100"/>
      <c r="O1695" s="11">
        <f t="shared" si="447"/>
        <v>82792.89</v>
      </c>
      <c r="P1695" s="11">
        <f t="shared" si="441"/>
        <v>82792.89</v>
      </c>
      <c r="Q1695" s="11">
        <v>1.45</v>
      </c>
      <c r="R1695" s="11">
        <f t="shared" si="442"/>
        <v>120049.6905</v>
      </c>
      <c r="S1695" s="11"/>
      <c r="T1695" s="136">
        <f t="shared" si="446"/>
        <v>0</v>
      </c>
    </row>
    <row r="1696" spans="1:20" ht="15.75" customHeight="1">
      <c r="A1696" s="149">
        <v>52</v>
      </c>
      <c r="B1696" s="273">
        <f t="shared" si="443"/>
        <v>93540</v>
      </c>
      <c r="C1696" s="36" t="s">
        <v>3708</v>
      </c>
      <c r="D1696" s="41"/>
      <c r="E1696" s="131">
        <f t="shared" si="448"/>
        <v>88240</v>
      </c>
      <c r="F1696" s="21" t="s">
        <v>1248</v>
      </c>
      <c r="G1696" s="21">
        <f t="shared" si="444"/>
        <v>97505.2</v>
      </c>
      <c r="H1696" s="135">
        <f t="shared" si="445"/>
        <v>0</v>
      </c>
      <c r="I1696" s="294"/>
      <c r="J1696" s="294">
        <v>45372</v>
      </c>
      <c r="K1696" s="11">
        <f>+PROVEEDORES!$D$46*0.75*83</f>
        <v>65362.5</v>
      </c>
      <c r="L1696" s="11"/>
      <c r="M1696" s="11"/>
      <c r="N1696" s="38"/>
      <c r="O1696" s="11">
        <f t="shared" si="447"/>
        <v>65362.5</v>
      </c>
      <c r="P1696" s="11">
        <f t="shared" si="441"/>
        <v>65362.5</v>
      </c>
      <c r="Q1696" s="11">
        <v>1.35</v>
      </c>
      <c r="R1696" s="11">
        <f t="shared" si="442"/>
        <v>88239.375</v>
      </c>
      <c r="S1696" s="11"/>
      <c r="T1696" s="136">
        <f t="shared" si="446"/>
        <v>0</v>
      </c>
    </row>
    <row r="1697" spans="1:20" ht="15.75" customHeight="1">
      <c r="A1697" s="149">
        <v>52</v>
      </c>
      <c r="B1697" s="273">
        <f t="shared" ref="B1697" si="449">ROUNDUP(E1697*1.06,-1)</f>
        <v>111350</v>
      </c>
      <c r="C1697" s="36" t="s">
        <v>62621</v>
      </c>
      <c r="D1697" s="41"/>
      <c r="E1697" s="131">
        <f t="shared" ref="E1697" si="450">ROUNDUP(R1697,-1)</f>
        <v>105040</v>
      </c>
      <c r="F1697" s="21" t="s">
        <v>1248</v>
      </c>
      <c r="G1697" s="21">
        <f t="shared" ref="G1697" si="451">+E1697*1.105</f>
        <v>116069.2</v>
      </c>
      <c r="H1697" s="135">
        <f t="shared" ref="H1697" si="452">ROUNDUP(T1697,-1)</f>
        <v>0</v>
      </c>
      <c r="I1697" s="294"/>
      <c r="J1697" s="294">
        <v>45372</v>
      </c>
      <c r="K1697" s="11">
        <f>+PROVEEDORES!$D$46*74.1</f>
        <v>77805</v>
      </c>
      <c r="L1697" s="11"/>
      <c r="M1697" s="11"/>
      <c r="N1697" s="38"/>
      <c r="O1697" s="11">
        <f t="shared" ref="O1697" si="453">MIN(K1697:M1697)</f>
        <v>77805</v>
      </c>
      <c r="P1697" s="11">
        <f t="shared" ref="P1697" si="454">+O1697</f>
        <v>77805</v>
      </c>
      <c r="Q1697" s="11">
        <v>1.35</v>
      </c>
      <c r="R1697" s="11">
        <f t="shared" ref="R1697" si="455">+P1697*Q1697</f>
        <v>105036.75</v>
      </c>
      <c r="S1697" s="11"/>
      <c r="T1697" s="136">
        <f t="shared" ref="T1697" si="456">+N1697*Q1697</f>
        <v>0</v>
      </c>
    </row>
    <row r="1698" spans="1:20" ht="15.75" customHeight="1">
      <c r="A1698" s="149" t="s">
        <v>2398</v>
      </c>
      <c r="B1698" s="273">
        <f t="shared" si="443"/>
        <v>0</v>
      </c>
      <c r="C1698" s="36" t="s">
        <v>1704</v>
      </c>
      <c r="D1698" s="41">
        <v>7950</v>
      </c>
      <c r="E1698" s="131">
        <f t="shared" si="448"/>
        <v>0</v>
      </c>
      <c r="F1698" s="21">
        <f>+E1698*1.21</f>
        <v>0</v>
      </c>
      <c r="G1698" s="21"/>
      <c r="H1698" s="135">
        <f t="shared" si="445"/>
        <v>0</v>
      </c>
      <c r="I1698" s="294">
        <v>44118</v>
      </c>
      <c r="J1698" s="294"/>
      <c r="K1698" s="11">
        <f>6830*0.8*0.98*0.94*0.95*1.35*1.1*1.12*1.1*1.3</f>
        <v>11372.835018504964</v>
      </c>
      <c r="L1698" s="11"/>
      <c r="M1698" s="11"/>
      <c r="N1698" s="100"/>
      <c r="O1698" s="11">
        <f t="shared" si="447"/>
        <v>11372.835018504964</v>
      </c>
      <c r="P1698" s="11">
        <f>+O1698*'AUMENTOS %'!$B$5</f>
        <v>11372.835018504964</v>
      </c>
      <c r="Q1698" s="11"/>
      <c r="R1698" s="11">
        <f t="shared" si="442"/>
        <v>0</v>
      </c>
      <c r="S1698" s="11"/>
      <c r="T1698" s="136">
        <f t="shared" si="446"/>
        <v>0</v>
      </c>
    </row>
    <row r="1699" spans="1:20" ht="15.75" customHeight="1">
      <c r="A1699" s="149" t="s">
        <v>2398</v>
      </c>
      <c r="B1699" s="273">
        <f t="shared" si="443"/>
        <v>257710</v>
      </c>
      <c r="C1699" s="36" t="s">
        <v>37158</v>
      </c>
      <c r="D1699" s="41">
        <v>12700</v>
      </c>
      <c r="E1699" s="131">
        <f t="shared" si="448"/>
        <v>243120</v>
      </c>
      <c r="F1699" s="21" t="s">
        <v>1248</v>
      </c>
      <c r="G1699" s="21">
        <f t="shared" ref="G1699:G1704" si="457">+E1699*1.105</f>
        <v>268647.59999999998</v>
      </c>
      <c r="H1699" s="135">
        <f t="shared" si="445"/>
        <v>0</v>
      </c>
      <c r="I1699" s="294">
        <v>45323</v>
      </c>
      <c r="J1699" s="294"/>
      <c r="K1699" s="42">
        <f>0.8*0.98*0.94*0.95*257228</f>
        <v>180088.40953599999</v>
      </c>
      <c r="L1699" s="11"/>
      <c r="M1699" s="11"/>
      <c r="N1699" s="100"/>
      <c r="O1699" s="11">
        <f t="shared" si="447"/>
        <v>180088.40953599999</v>
      </c>
      <c r="P1699" s="11">
        <f>+O1699*'AUMENTOS %'!$B$5</f>
        <v>180088.40953599999</v>
      </c>
      <c r="Q1699" s="11">
        <v>1.35</v>
      </c>
      <c r="R1699" s="11">
        <f t="shared" si="442"/>
        <v>243119.3528736</v>
      </c>
      <c r="S1699" s="11"/>
      <c r="T1699" s="136">
        <f t="shared" si="446"/>
        <v>0</v>
      </c>
    </row>
    <row r="1700" spans="1:20" ht="15.75" customHeight="1">
      <c r="A1700" s="149" t="s">
        <v>2387</v>
      </c>
      <c r="B1700" s="273">
        <f t="shared" si="443"/>
        <v>0</v>
      </c>
      <c r="C1700" s="291" t="s">
        <v>1705</v>
      </c>
      <c r="D1700" s="160">
        <v>20080</v>
      </c>
      <c r="E1700" s="131">
        <f t="shared" si="448"/>
        <v>0</v>
      </c>
      <c r="F1700" s="21" t="s">
        <v>1248</v>
      </c>
      <c r="G1700" s="21">
        <f t="shared" si="457"/>
        <v>0</v>
      </c>
      <c r="H1700" s="135">
        <f t="shared" si="445"/>
        <v>0</v>
      </c>
      <c r="I1700" s="294">
        <v>45173</v>
      </c>
      <c r="J1700" s="294">
        <v>45175</v>
      </c>
      <c r="K1700" s="11">
        <f>'AUMENTOS %'!D13*0.5*202050</f>
        <v>101025</v>
      </c>
      <c r="L1700" s="11">
        <f>+'AUMENTOS %'!C13*80595*2</f>
        <v>161190</v>
      </c>
      <c r="M1700" s="11"/>
      <c r="N1700" s="100"/>
      <c r="O1700" s="11">
        <f t="shared" si="447"/>
        <v>101025</v>
      </c>
      <c r="P1700" s="11">
        <f>+O1700*'AUMENTOS %'!$D$13</f>
        <v>101025</v>
      </c>
      <c r="Q1700" s="11"/>
      <c r="R1700" s="11">
        <f t="shared" si="442"/>
        <v>0</v>
      </c>
      <c r="S1700" s="11"/>
      <c r="T1700" s="136">
        <f t="shared" si="446"/>
        <v>0</v>
      </c>
    </row>
    <row r="1701" spans="1:20" ht="15.75" customHeight="1">
      <c r="A1701" s="149" t="s">
        <v>2387</v>
      </c>
      <c r="B1701" s="273">
        <f t="shared" si="443"/>
        <v>79880</v>
      </c>
      <c r="C1701" s="28" t="s">
        <v>4367</v>
      </c>
      <c r="D1701" s="41">
        <v>9160</v>
      </c>
      <c r="E1701" s="131">
        <f t="shared" si="448"/>
        <v>75350</v>
      </c>
      <c r="F1701" s="21" t="s">
        <v>1248</v>
      </c>
      <c r="G1701" s="21">
        <f t="shared" si="457"/>
        <v>83261.75</v>
      </c>
      <c r="H1701" s="135">
        <f t="shared" si="445"/>
        <v>0</v>
      </c>
      <c r="I1701" s="294">
        <v>45173</v>
      </c>
      <c r="J1701" s="294"/>
      <c r="K1701" s="11"/>
      <c r="L1701" s="11">
        <f>+'AUMENTOS %'!$C$13*55810</f>
        <v>55810</v>
      </c>
      <c r="M1701" s="11"/>
      <c r="N1701" s="100"/>
      <c r="O1701" s="11">
        <f t="shared" si="447"/>
        <v>55810</v>
      </c>
      <c r="P1701" s="11">
        <f>+O1701*'AUMENTOS %'!$D$13</f>
        <v>55810</v>
      </c>
      <c r="Q1701" s="11">
        <v>1.35</v>
      </c>
      <c r="R1701" s="11">
        <f t="shared" si="442"/>
        <v>75343.5</v>
      </c>
      <c r="S1701" s="11"/>
      <c r="T1701" s="136">
        <f t="shared" si="446"/>
        <v>0</v>
      </c>
    </row>
    <row r="1702" spans="1:20" ht="15.75" customHeight="1">
      <c r="A1702" s="149" t="s">
        <v>2387</v>
      </c>
      <c r="B1702" s="273">
        <f t="shared" si="443"/>
        <v>105420</v>
      </c>
      <c r="C1702" s="28" t="s">
        <v>1706</v>
      </c>
      <c r="D1702" s="41">
        <v>11980</v>
      </c>
      <c r="E1702" s="131">
        <f t="shared" si="448"/>
        <v>99450</v>
      </c>
      <c r="F1702" s="21" t="s">
        <v>1248</v>
      </c>
      <c r="G1702" s="21">
        <f t="shared" si="457"/>
        <v>109892.25</v>
      </c>
      <c r="H1702" s="135">
        <f t="shared" si="445"/>
        <v>0</v>
      </c>
      <c r="I1702" s="294">
        <v>45173</v>
      </c>
      <c r="J1702" s="294"/>
      <c r="K1702" s="11"/>
      <c r="L1702" s="11">
        <f>+'AUMENTOS %'!$C$13*73661</f>
        <v>73661</v>
      </c>
      <c r="M1702" s="11"/>
      <c r="N1702" s="100"/>
      <c r="O1702" s="11">
        <f t="shared" si="447"/>
        <v>73661</v>
      </c>
      <c r="P1702" s="11">
        <f>+O1702*'AUMENTOS %'!$D$13</f>
        <v>73661</v>
      </c>
      <c r="Q1702" s="11">
        <v>1.35</v>
      </c>
      <c r="R1702" s="11">
        <f t="shared" si="442"/>
        <v>99442.35</v>
      </c>
      <c r="S1702" s="11"/>
      <c r="T1702" s="136">
        <f t="shared" si="446"/>
        <v>0</v>
      </c>
    </row>
    <row r="1703" spans="1:20" ht="15.75" customHeight="1">
      <c r="A1703" s="149" t="s">
        <v>2387</v>
      </c>
      <c r="B1703" s="273">
        <f t="shared" si="443"/>
        <v>110470</v>
      </c>
      <c r="C1703" s="28" t="s">
        <v>1707</v>
      </c>
      <c r="D1703" s="41">
        <v>10290</v>
      </c>
      <c r="E1703" s="131">
        <f t="shared" si="448"/>
        <v>104210</v>
      </c>
      <c r="F1703" s="21" t="s">
        <v>1248</v>
      </c>
      <c r="G1703" s="21">
        <f t="shared" si="457"/>
        <v>115152.05</v>
      </c>
      <c r="H1703" s="135">
        <f t="shared" si="445"/>
        <v>0</v>
      </c>
      <c r="I1703" s="294">
        <v>45173</v>
      </c>
      <c r="J1703" s="294"/>
      <c r="K1703" s="11"/>
      <c r="L1703" s="11">
        <f>+'AUMENTOS %'!$C$13*77187</f>
        <v>77187</v>
      </c>
      <c r="M1703" s="11"/>
      <c r="N1703" s="100"/>
      <c r="O1703" s="11">
        <f t="shared" si="447"/>
        <v>77187</v>
      </c>
      <c r="P1703" s="11">
        <f>+O1703*'AUMENTOS %'!$D$13</f>
        <v>77187</v>
      </c>
      <c r="Q1703" s="11">
        <v>1.35</v>
      </c>
      <c r="R1703" s="11">
        <f t="shared" si="442"/>
        <v>104202.45000000001</v>
      </c>
      <c r="S1703" s="11"/>
      <c r="T1703" s="136">
        <f t="shared" si="446"/>
        <v>0</v>
      </c>
    </row>
    <row r="1704" spans="1:20" ht="15.75" customHeight="1">
      <c r="A1704" s="149">
        <v>38</v>
      </c>
      <c r="B1704" s="273">
        <f>ROUNDUP(E1704*1.105,-1)</f>
        <v>170890</v>
      </c>
      <c r="C1704" s="28" t="s">
        <v>3691</v>
      </c>
      <c r="D1704" s="41"/>
      <c r="E1704" s="131">
        <f t="shared" si="448"/>
        <v>154650</v>
      </c>
      <c r="F1704" s="21" t="s">
        <v>1248</v>
      </c>
      <c r="G1704" s="21">
        <f t="shared" si="457"/>
        <v>170888.25</v>
      </c>
      <c r="H1704" s="135">
        <f t="shared" si="445"/>
        <v>134030</v>
      </c>
      <c r="I1704" s="294">
        <v>45138</v>
      </c>
      <c r="J1704" s="294">
        <v>45274</v>
      </c>
      <c r="K1704" s="11"/>
      <c r="L1704" s="10">
        <f>+PROVEEDORES!$D$32*105.2</f>
        <v>110460</v>
      </c>
      <c r="M1704" s="11"/>
      <c r="N1704" s="100">
        <v>95734</v>
      </c>
      <c r="O1704" s="11">
        <f t="shared" si="447"/>
        <v>110460</v>
      </c>
      <c r="P1704" s="11">
        <f t="shared" si="441"/>
        <v>110460</v>
      </c>
      <c r="Q1704" s="11">
        <v>1.4</v>
      </c>
      <c r="R1704" s="11">
        <f t="shared" si="442"/>
        <v>154644</v>
      </c>
      <c r="S1704" s="11"/>
      <c r="T1704" s="136">
        <f t="shared" si="446"/>
        <v>134027.6</v>
      </c>
    </row>
    <row r="1705" spans="1:20" ht="15.75" customHeight="1">
      <c r="A1705" s="149">
        <v>29</v>
      </c>
      <c r="B1705" s="273"/>
      <c r="C1705" s="28" t="s">
        <v>4209</v>
      </c>
      <c r="D1705" s="41">
        <v>950</v>
      </c>
      <c r="E1705" s="131">
        <f t="shared" si="448"/>
        <v>25790</v>
      </c>
      <c r="F1705" s="21">
        <f>+E1705*1.21</f>
        <v>31205.899999999998</v>
      </c>
      <c r="G1705" s="21"/>
      <c r="H1705" s="135">
        <f t="shared" si="445"/>
        <v>0</v>
      </c>
      <c r="I1705" s="40">
        <v>45376</v>
      </c>
      <c r="J1705" s="294"/>
      <c r="K1705" s="11">
        <f>+(5677+2*K1113)</f>
        <v>17189</v>
      </c>
      <c r="L1705" s="11"/>
      <c r="M1705" s="11"/>
      <c r="N1705" s="100"/>
      <c r="O1705" s="11">
        <f t="shared" si="447"/>
        <v>17189</v>
      </c>
      <c r="P1705" s="11">
        <f t="shared" si="441"/>
        <v>17189</v>
      </c>
      <c r="Q1705" s="11">
        <v>1.5</v>
      </c>
      <c r="R1705" s="11">
        <f t="shared" si="442"/>
        <v>25783.5</v>
      </c>
      <c r="S1705" s="11"/>
      <c r="T1705" s="136">
        <f t="shared" si="446"/>
        <v>0</v>
      </c>
    </row>
    <row r="1706" spans="1:20" ht="15.75" customHeight="1">
      <c r="A1706" s="149">
        <v>24</v>
      </c>
      <c r="B1706" s="273"/>
      <c r="C1706" s="28" t="s">
        <v>4370</v>
      </c>
      <c r="D1706" s="41">
        <v>2600</v>
      </c>
      <c r="E1706" s="131">
        <f t="shared" si="448"/>
        <v>34600</v>
      </c>
      <c r="F1706" s="21" t="s">
        <v>1248</v>
      </c>
      <c r="G1706" s="21">
        <f>+E1706*1.105</f>
        <v>38233</v>
      </c>
      <c r="H1706" s="135">
        <f t="shared" si="445"/>
        <v>0</v>
      </c>
      <c r="I1706" s="40">
        <v>45059</v>
      </c>
      <c r="J1706" s="294">
        <v>45175</v>
      </c>
      <c r="K1706" s="11">
        <f>+PROVEEDORES!$D$18*0.5*43.52</f>
        <v>23065.600000000002</v>
      </c>
      <c r="L1706" s="11"/>
      <c r="M1706" s="11"/>
      <c r="N1706" s="100"/>
      <c r="O1706" s="11">
        <f t="shared" si="447"/>
        <v>23065.600000000002</v>
      </c>
      <c r="P1706" s="11">
        <f t="shared" si="441"/>
        <v>23065.600000000002</v>
      </c>
      <c r="Q1706" s="11">
        <v>1.5</v>
      </c>
      <c r="R1706" s="11">
        <f t="shared" si="442"/>
        <v>34598.400000000001</v>
      </c>
      <c r="S1706" s="11"/>
      <c r="T1706" s="136">
        <f t="shared" si="446"/>
        <v>0</v>
      </c>
    </row>
    <row r="1707" spans="1:20" ht="15.75" customHeight="1">
      <c r="A1707" s="149">
        <v>38</v>
      </c>
      <c r="B1707" s="273"/>
      <c r="C1707" s="28" t="s">
        <v>2789</v>
      </c>
      <c r="D1707" s="41">
        <v>2020</v>
      </c>
      <c r="E1707" s="131">
        <f t="shared" si="448"/>
        <v>26050</v>
      </c>
      <c r="F1707" s="21" t="s">
        <v>1248</v>
      </c>
      <c r="G1707" s="21">
        <f>+E1707*1.105</f>
        <v>28785.25</v>
      </c>
      <c r="H1707" s="135">
        <f t="shared" si="445"/>
        <v>0</v>
      </c>
      <c r="I1707" s="294">
        <v>45155</v>
      </c>
      <c r="J1707" s="294">
        <v>45274</v>
      </c>
      <c r="K1707" s="11">
        <f>+PROVEEDORES!$D$32*17.11</f>
        <v>17965.5</v>
      </c>
      <c r="L1707" s="11"/>
      <c r="M1707" s="11"/>
      <c r="N1707" s="100"/>
      <c r="O1707" s="11">
        <f t="shared" si="447"/>
        <v>17965.5</v>
      </c>
      <c r="P1707" s="11">
        <f t="shared" si="441"/>
        <v>17965.5</v>
      </c>
      <c r="Q1707" s="11">
        <v>1.45</v>
      </c>
      <c r="R1707" s="11">
        <f t="shared" si="442"/>
        <v>26049.974999999999</v>
      </c>
      <c r="S1707" s="11"/>
      <c r="T1707" s="136">
        <f t="shared" si="446"/>
        <v>0</v>
      </c>
    </row>
    <row r="1708" spans="1:20" ht="15.75" customHeight="1">
      <c r="A1708" s="149">
        <v>38</v>
      </c>
      <c r="B1708" s="273"/>
      <c r="C1708" s="28" t="s">
        <v>3445</v>
      </c>
      <c r="D1708" s="41">
        <v>2020</v>
      </c>
      <c r="E1708" s="131">
        <f t="shared" si="448"/>
        <v>19460</v>
      </c>
      <c r="F1708" s="21" t="s">
        <v>1248</v>
      </c>
      <c r="G1708" s="21">
        <f>+E1708*1.105</f>
        <v>21503.3</v>
      </c>
      <c r="H1708" s="135">
        <f t="shared" si="445"/>
        <v>18300</v>
      </c>
      <c r="I1708" s="294">
        <v>45155</v>
      </c>
      <c r="J1708" s="294">
        <v>45348</v>
      </c>
      <c r="K1708" s="11">
        <f>+PROVEEDORES!$D$32*12.78</f>
        <v>13419</v>
      </c>
      <c r="L1708" s="11"/>
      <c r="M1708" s="11"/>
      <c r="N1708" s="100">
        <f>+K1708*0.94</f>
        <v>12613.859999999999</v>
      </c>
      <c r="O1708" s="11">
        <f t="shared" si="447"/>
        <v>13419</v>
      </c>
      <c r="P1708" s="11">
        <f t="shared" si="441"/>
        <v>13419</v>
      </c>
      <c r="Q1708" s="11">
        <v>1.45</v>
      </c>
      <c r="R1708" s="11">
        <f t="shared" si="442"/>
        <v>19457.55</v>
      </c>
      <c r="S1708" s="11"/>
      <c r="T1708" s="136">
        <f t="shared" si="446"/>
        <v>18290.096999999998</v>
      </c>
    </row>
    <row r="1709" spans="1:20" ht="15.75" customHeight="1">
      <c r="A1709" s="149">
        <v>21</v>
      </c>
      <c r="B1709" s="273"/>
      <c r="C1709" s="28" t="s">
        <v>2535</v>
      </c>
      <c r="D1709" s="41">
        <v>55</v>
      </c>
      <c r="E1709" s="131">
        <f t="shared" si="448"/>
        <v>3020</v>
      </c>
      <c r="F1709" s="21">
        <f t="shared" ref="F1709:F1716" si="458">+E1709*1.21</f>
        <v>3654.2</v>
      </c>
      <c r="G1709" s="21"/>
      <c r="H1709" s="135">
        <f t="shared" si="445"/>
        <v>0</v>
      </c>
      <c r="I1709" s="40">
        <v>45273</v>
      </c>
      <c r="J1709" s="294"/>
      <c r="K1709" s="10">
        <f>PROVEEDORES!$D$15*0.6*3.78</f>
        <v>2007.1799999999998</v>
      </c>
      <c r="L1709" s="11"/>
      <c r="M1709" s="11"/>
      <c r="N1709" s="100"/>
      <c r="O1709" s="11">
        <f t="shared" si="447"/>
        <v>2007.1799999999998</v>
      </c>
      <c r="P1709" s="11">
        <f t="shared" si="441"/>
        <v>2007.1799999999998</v>
      </c>
      <c r="Q1709" s="11">
        <v>1.5</v>
      </c>
      <c r="R1709" s="11">
        <f t="shared" si="442"/>
        <v>3010.7699999999995</v>
      </c>
      <c r="S1709" s="11"/>
      <c r="T1709" s="136">
        <f t="shared" si="446"/>
        <v>0</v>
      </c>
    </row>
    <row r="1710" spans="1:20" ht="15.75" customHeight="1">
      <c r="A1710" s="149">
        <v>65</v>
      </c>
      <c r="B1710" s="273"/>
      <c r="C1710" s="28" t="s">
        <v>1708</v>
      </c>
      <c r="D1710" s="41">
        <v>300</v>
      </c>
      <c r="E1710" s="131">
        <f t="shared" si="448"/>
        <v>14000</v>
      </c>
      <c r="F1710" s="21">
        <f t="shared" si="458"/>
        <v>16940</v>
      </c>
      <c r="G1710" s="21"/>
      <c r="H1710" s="135">
        <f t="shared" si="445"/>
        <v>0</v>
      </c>
      <c r="I1710" s="294">
        <v>45286</v>
      </c>
      <c r="J1710" s="294"/>
      <c r="K1710" s="10">
        <v>10000</v>
      </c>
      <c r="L1710" s="11"/>
      <c r="M1710" s="11"/>
      <c r="N1710" s="100"/>
      <c r="O1710" s="11">
        <f t="shared" si="447"/>
        <v>10000</v>
      </c>
      <c r="P1710" s="11">
        <f t="shared" si="441"/>
        <v>10000</v>
      </c>
      <c r="Q1710" s="11">
        <v>1.4</v>
      </c>
      <c r="R1710" s="11">
        <f t="shared" si="442"/>
        <v>14000</v>
      </c>
      <c r="S1710" s="11"/>
      <c r="T1710" s="136">
        <f t="shared" si="446"/>
        <v>0</v>
      </c>
    </row>
    <row r="1711" spans="1:20" ht="15.75" customHeight="1">
      <c r="A1711" s="149"/>
      <c r="B1711" s="273"/>
      <c r="C1711" s="28" t="s">
        <v>1709</v>
      </c>
      <c r="D1711" s="41">
        <v>480</v>
      </c>
      <c r="E1711" s="131">
        <f t="shared" si="448"/>
        <v>0</v>
      </c>
      <c r="F1711" s="21">
        <f t="shared" si="458"/>
        <v>0</v>
      </c>
      <c r="G1711" s="21"/>
      <c r="H1711" s="135">
        <f t="shared" si="445"/>
        <v>0</v>
      </c>
      <c r="I1711" s="294"/>
      <c r="J1711" s="294">
        <v>42628</v>
      </c>
      <c r="K1711" s="10">
        <f>350*1.35</f>
        <v>472.50000000000006</v>
      </c>
      <c r="L1711" s="11"/>
      <c r="M1711" s="11"/>
      <c r="N1711" s="100"/>
      <c r="O1711" s="11">
        <f t="shared" si="447"/>
        <v>472.50000000000006</v>
      </c>
      <c r="P1711" s="11">
        <f t="shared" si="441"/>
        <v>472.50000000000006</v>
      </c>
      <c r="Q1711" s="11"/>
      <c r="R1711" s="11">
        <f t="shared" si="442"/>
        <v>0</v>
      </c>
      <c r="S1711" s="11"/>
      <c r="T1711" s="136">
        <f t="shared" si="446"/>
        <v>0</v>
      </c>
    </row>
    <row r="1712" spans="1:20" ht="15.75" customHeight="1">
      <c r="A1712" s="149">
        <v>43</v>
      </c>
      <c r="B1712" s="273"/>
      <c r="C1712" s="28" t="s">
        <v>1710</v>
      </c>
      <c r="D1712" s="41">
        <v>1790</v>
      </c>
      <c r="E1712" s="131">
        <f>ROUNDUP(R1712,-1)</f>
        <v>105250</v>
      </c>
      <c r="F1712" s="21">
        <f>+E1712*1.21</f>
        <v>127352.5</v>
      </c>
      <c r="G1712" s="21"/>
      <c r="H1712" s="135">
        <f>ROUNDUP(T1712,-1)</f>
        <v>0</v>
      </c>
      <c r="I1712" s="294">
        <v>45288</v>
      </c>
      <c r="J1712" s="294"/>
      <c r="K1712" s="11">
        <f>(62000+K543)*1.07</f>
        <v>67900.06</v>
      </c>
      <c r="L1712" s="11"/>
      <c r="M1712" s="11"/>
      <c r="N1712" s="100"/>
      <c r="O1712" s="11">
        <f>MIN(K1712:M1712)</f>
        <v>67900.06</v>
      </c>
      <c r="P1712" s="11">
        <f t="shared" si="441"/>
        <v>67900.06</v>
      </c>
      <c r="Q1712" s="11">
        <v>1.55</v>
      </c>
      <c r="R1712" s="11">
        <f t="shared" si="442"/>
        <v>105245.09299999999</v>
      </c>
      <c r="S1712" s="11"/>
      <c r="T1712" s="136">
        <f>+N1712*Q1712</f>
        <v>0</v>
      </c>
    </row>
    <row r="1713" spans="1:20" ht="15.75" customHeight="1">
      <c r="A1713" s="149">
        <v>43</v>
      </c>
      <c r="B1713" s="273"/>
      <c r="C1713" s="28" t="s">
        <v>1712</v>
      </c>
      <c r="D1713" s="41">
        <v>6850</v>
      </c>
      <c r="E1713" s="131">
        <f t="shared" si="448"/>
        <v>161720</v>
      </c>
      <c r="F1713" s="21">
        <f t="shared" si="458"/>
        <v>195681.19999999998</v>
      </c>
      <c r="G1713" s="21"/>
      <c r="H1713" s="135">
        <f t="shared" si="445"/>
        <v>0</v>
      </c>
      <c r="I1713" s="294">
        <v>45288</v>
      </c>
      <c r="J1713" s="294">
        <v>45329</v>
      </c>
      <c r="K1713" s="11">
        <f>(99300+K543)*1.07</f>
        <v>107811.06000000001</v>
      </c>
      <c r="L1713" s="148"/>
      <c r="M1713" s="11"/>
      <c r="N1713" s="100"/>
      <c r="O1713" s="11">
        <f t="shared" si="447"/>
        <v>107811.06000000001</v>
      </c>
      <c r="P1713" s="11">
        <f t="shared" si="441"/>
        <v>107811.06000000001</v>
      </c>
      <c r="Q1713" s="11">
        <v>1.5</v>
      </c>
      <c r="R1713" s="11">
        <f t="shared" si="442"/>
        <v>161716.59000000003</v>
      </c>
      <c r="S1713" s="11"/>
      <c r="T1713" s="136">
        <f t="shared" si="446"/>
        <v>0</v>
      </c>
    </row>
    <row r="1714" spans="1:20" ht="15.75" customHeight="1">
      <c r="A1714" s="149">
        <v>71</v>
      </c>
      <c r="B1714" s="273"/>
      <c r="C1714" s="28" t="s">
        <v>1711</v>
      </c>
      <c r="D1714" s="41">
        <v>4900</v>
      </c>
      <c r="E1714" s="131">
        <f t="shared" si="448"/>
        <v>0</v>
      </c>
      <c r="F1714" s="21">
        <f t="shared" si="458"/>
        <v>0</v>
      </c>
      <c r="G1714" s="21"/>
      <c r="H1714" s="135">
        <f t="shared" si="445"/>
        <v>0</v>
      </c>
      <c r="I1714" s="294">
        <v>43600</v>
      </c>
      <c r="J1714" s="294"/>
      <c r="K1714" s="11">
        <f>3500*1.4</f>
        <v>4900</v>
      </c>
      <c r="L1714" s="11"/>
      <c r="M1714" s="11"/>
      <c r="N1714" s="100"/>
      <c r="O1714" s="11">
        <f t="shared" si="447"/>
        <v>4900</v>
      </c>
      <c r="P1714" s="11">
        <f t="shared" si="441"/>
        <v>4900</v>
      </c>
      <c r="Q1714" s="11"/>
      <c r="R1714" s="11">
        <f t="shared" si="442"/>
        <v>0</v>
      </c>
      <c r="S1714" s="11"/>
      <c r="T1714" s="136">
        <f t="shared" ref="T1714:T1753" si="459">+N1714*Q1714</f>
        <v>0</v>
      </c>
    </row>
    <row r="1715" spans="1:20" ht="15.75" customHeight="1">
      <c r="A1715" s="149" t="s">
        <v>2403</v>
      </c>
      <c r="B1715" s="273"/>
      <c r="C1715" s="28" t="s">
        <v>3876</v>
      </c>
      <c r="D1715" s="41">
        <v>280</v>
      </c>
      <c r="E1715" s="131">
        <f t="shared" si="448"/>
        <v>5500</v>
      </c>
      <c r="F1715" s="21">
        <f t="shared" si="458"/>
        <v>6655</v>
      </c>
      <c r="G1715" s="70"/>
      <c r="H1715" s="135">
        <f t="shared" si="445"/>
        <v>0</v>
      </c>
      <c r="I1715" s="294">
        <v>45274</v>
      </c>
      <c r="J1715" s="40">
        <v>45331</v>
      </c>
      <c r="K1715" s="10"/>
      <c r="L1715" s="11">
        <f>0.6*5904</f>
        <v>3542.4</v>
      </c>
      <c r="M1715" s="11"/>
      <c r="N1715" s="100"/>
      <c r="O1715" s="11">
        <f t="shared" si="447"/>
        <v>3542.4</v>
      </c>
      <c r="P1715" s="11">
        <f t="shared" si="441"/>
        <v>3542.4</v>
      </c>
      <c r="Q1715" s="11">
        <v>1.55</v>
      </c>
      <c r="R1715" s="11">
        <f t="shared" si="442"/>
        <v>5490.72</v>
      </c>
      <c r="S1715" s="11"/>
      <c r="T1715" s="136">
        <f t="shared" si="459"/>
        <v>0</v>
      </c>
    </row>
    <row r="1716" spans="1:20" ht="15.75" customHeight="1">
      <c r="A1716" s="149" t="s">
        <v>2403</v>
      </c>
      <c r="B1716" s="273"/>
      <c r="C1716" s="28" t="s">
        <v>4222</v>
      </c>
      <c r="D1716" s="41">
        <v>310</v>
      </c>
      <c r="E1716" s="131">
        <f>ROUNDUP(R1716,-1)</f>
        <v>5400</v>
      </c>
      <c r="F1716" s="21">
        <f t="shared" si="458"/>
        <v>6534</v>
      </c>
      <c r="G1716" s="21"/>
      <c r="H1716" s="135">
        <f>ROUNDUP(T1716,-1)</f>
        <v>0</v>
      </c>
      <c r="I1716" s="294">
        <v>45274</v>
      </c>
      <c r="J1716" s="40">
        <v>45359</v>
      </c>
      <c r="K1716" s="10"/>
      <c r="L1716" s="11">
        <f>0.6*5796</f>
        <v>3477.6</v>
      </c>
      <c r="M1716" s="11"/>
      <c r="N1716" s="100"/>
      <c r="O1716" s="11">
        <f>MIN(K1716:M1716)</f>
        <v>3477.6</v>
      </c>
      <c r="P1716" s="11">
        <f t="shared" si="441"/>
        <v>3477.6</v>
      </c>
      <c r="Q1716" s="11">
        <v>1.55</v>
      </c>
      <c r="R1716" s="11">
        <f t="shared" si="442"/>
        <v>5390.28</v>
      </c>
      <c r="S1716" s="11"/>
      <c r="T1716" s="136">
        <f>+N1716*Q1716</f>
        <v>0</v>
      </c>
    </row>
    <row r="1717" spans="1:20" ht="15.75" customHeight="1">
      <c r="A1717" s="149" t="s">
        <v>2403</v>
      </c>
      <c r="B1717" s="273"/>
      <c r="C1717" s="28" t="s">
        <v>44354</v>
      </c>
      <c r="D1717" s="41">
        <v>310</v>
      </c>
      <c r="E1717" s="131">
        <f t="shared" si="448"/>
        <v>6280</v>
      </c>
      <c r="F1717" s="21">
        <f t="shared" ref="F1717:F1727" si="460">+E1717*1.21</f>
        <v>7598.8</v>
      </c>
      <c r="G1717" s="21"/>
      <c r="H1717" s="135">
        <f t="shared" si="445"/>
        <v>0</v>
      </c>
      <c r="I1717" s="294">
        <v>45274</v>
      </c>
      <c r="J1717" s="40">
        <v>45359</v>
      </c>
      <c r="K1717" s="10"/>
      <c r="L1717" s="11">
        <f>0.6*6751</f>
        <v>4050.6</v>
      </c>
      <c r="M1717" s="11"/>
      <c r="N1717" s="100"/>
      <c r="O1717" s="11">
        <f t="shared" si="447"/>
        <v>4050.6</v>
      </c>
      <c r="P1717" s="11">
        <f t="shared" si="441"/>
        <v>4050.6</v>
      </c>
      <c r="Q1717" s="11">
        <v>1.55</v>
      </c>
      <c r="R1717" s="11">
        <f t="shared" si="442"/>
        <v>6278.43</v>
      </c>
      <c r="S1717" s="11"/>
      <c r="T1717" s="136">
        <f t="shared" si="459"/>
        <v>0</v>
      </c>
    </row>
    <row r="1718" spans="1:20" ht="15.75" customHeight="1">
      <c r="A1718" s="149" t="s">
        <v>2403</v>
      </c>
      <c r="B1718" s="273"/>
      <c r="C1718" s="28" t="s">
        <v>4223</v>
      </c>
      <c r="D1718" s="41">
        <v>310</v>
      </c>
      <c r="E1718" s="131">
        <f>ROUNDUP(R1718,-1)</f>
        <v>7500</v>
      </c>
      <c r="F1718" s="21">
        <f>+E1718*1.21</f>
        <v>9075</v>
      </c>
      <c r="G1718" s="21"/>
      <c r="H1718" s="135">
        <f>ROUNDUP(T1718,-1)</f>
        <v>0</v>
      </c>
      <c r="I1718" s="294">
        <v>45274</v>
      </c>
      <c r="J1718" s="40">
        <v>45356</v>
      </c>
      <c r="K1718" s="10"/>
      <c r="L1718" s="11">
        <f>0.6*8064</f>
        <v>4838.3999999999996</v>
      </c>
      <c r="M1718" s="11"/>
      <c r="N1718" s="100"/>
      <c r="O1718" s="11">
        <f>MIN(K1718:M1718)</f>
        <v>4838.3999999999996</v>
      </c>
      <c r="P1718" s="11">
        <f>+O1718</f>
        <v>4838.3999999999996</v>
      </c>
      <c r="Q1718" s="11">
        <v>1.55</v>
      </c>
      <c r="R1718" s="11">
        <f>+P1718*Q1718</f>
        <v>7499.5199999999995</v>
      </c>
      <c r="S1718" s="11"/>
      <c r="T1718" s="136">
        <f>+N1718*Q1718</f>
        <v>0</v>
      </c>
    </row>
    <row r="1719" spans="1:20" ht="15.75" customHeight="1">
      <c r="A1719" s="149" t="s">
        <v>2403</v>
      </c>
      <c r="B1719" s="273"/>
      <c r="C1719" s="28" t="s">
        <v>3877</v>
      </c>
      <c r="D1719" s="41">
        <v>380</v>
      </c>
      <c r="E1719" s="131">
        <f t="shared" si="448"/>
        <v>7510</v>
      </c>
      <c r="F1719" s="21">
        <f t="shared" si="460"/>
        <v>9087.1</v>
      </c>
      <c r="G1719" s="21"/>
      <c r="H1719" s="135">
        <f t="shared" si="445"/>
        <v>0</v>
      </c>
      <c r="I1719" s="294">
        <v>45274</v>
      </c>
      <c r="J1719" s="40">
        <v>45376</v>
      </c>
      <c r="K1719" s="10"/>
      <c r="L1719" s="11">
        <f>0.6*8067</f>
        <v>4840.2</v>
      </c>
      <c r="M1719" s="11"/>
      <c r="N1719" s="100"/>
      <c r="O1719" s="11">
        <f t="shared" si="447"/>
        <v>4840.2</v>
      </c>
      <c r="P1719" s="11">
        <f t="shared" si="441"/>
        <v>4840.2</v>
      </c>
      <c r="Q1719" s="11">
        <v>1.55</v>
      </c>
      <c r="R1719" s="11">
        <f t="shared" si="442"/>
        <v>7502.3099999999995</v>
      </c>
      <c r="S1719" s="11"/>
      <c r="T1719" s="136">
        <f t="shared" si="459"/>
        <v>0</v>
      </c>
    </row>
    <row r="1720" spans="1:20" ht="15.75" customHeight="1">
      <c r="A1720" s="149" t="s">
        <v>2403</v>
      </c>
      <c r="B1720" s="273"/>
      <c r="C1720" s="28" t="s">
        <v>62679</v>
      </c>
      <c r="D1720" s="41">
        <v>310</v>
      </c>
      <c r="E1720" s="131">
        <f>ROUNDUP(R1720,-1)</f>
        <v>10800</v>
      </c>
      <c r="F1720" s="21">
        <f>+E1720*1.21</f>
        <v>13068</v>
      </c>
      <c r="G1720" s="21"/>
      <c r="H1720" s="135">
        <f>ROUNDUP(T1720,-1)</f>
        <v>0</v>
      </c>
      <c r="I1720" s="294">
        <v>45274</v>
      </c>
      <c r="J1720" s="40">
        <v>45356</v>
      </c>
      <c r="K1720" s="10"/>
      <c r="L1720" s="11">
        <f>0.6*11604</f>
        <v>6962.4</v>
      </c>
      <c r="M1720" s="11"/>
      <c r="N1720" s="100"/>
      <c r="O1720" s="11">
        <f>MIN(K1720:M1720)</f>
        <v>6962.4</v>
      </c>
      <c r="P1720" s="11">
        <f>+O1720</f>
        <v>6962.4</v>
      </c>
      <c r="Q1720" s="11">
        <v>1.55</v>
      </c>
      <c r="R1720" s="11">
        <f>+P1720*Q1720</f>
        <v>10791.72</v>
      </c>
      <c r="S1720" s="11"/>
      <c r="T1720" s="136">
        <f>+N1720*Q1720</f>
        <v>0</v>
      </c>
    </row>
    <row r="1721" spans="1:20" ht="15.75" customHeight="1">
      <c r="A1721" s="149" t="s">
        <v>2403</v>
      </c>
      <c r="B1721" s="273"/>
      <c r="C1721" s="28" t="s">
        <v>3878</v>
      </c>
      <c r="D1721" s="41">
        <v>500</v>
      </c>
      <c r="E1721" s="131">
        <f t="shared" si="448"/>
        <v>9140</v>
      </c>
      <c r="F1721" s="21">
        <f t="shared" si="460"/>
        <v>11059.4</v>
      </c>
      <c r="G1721" s="21"/>
      <c r="H1721" s="135">
        <f t="shared" si="445"/>
        <v>0</v>
      </c>
      <c r="I1721" s="294">
        <v>45274</v>
      </c>
      <c r="J1721" s="40">
        <v>45359</v>
      </c>
      <c r="K1721" s="10"/>
      <c r="L1721" s="11">
        <f>0.6*10504</f>
        <v>6302.4</v>
      </c>
      <c r="M1721" s="11"/>
      <c r="N1721" s="100"/>
      <c r="O1721" s="11">
        <f t="shared" si="447"/>
        <v>6302.4</v>
      </c>
      <c r="P1721" s="11">
        <f t="shared" si="441"/>
        <v>6302.4</v>
      </c>
      <c r="Q1721" s="11">
        <v>1.45</v>
      </c>
      <c r="R1721" s="11">
        <f t="shared" si="442"/>
        <v>9138.48</v>
      </c>
      <c r="S1721" s="11"/>
      <c r="T1721" s="136">
        <f t="shared" si="459"/>
        <v>0</v>
      </c>
    </row>
    <row r="1722" spans="1:20" ht="15.75" customHeight="1">
      <c r="A1722" s="149"/>
      <c r="B1722" s="273"/>
      <c r="C1722" s="28" t="s">
        <v>2876</v>
      </c>
      <c r="D1722" s="41"/>
      <c r="E1722" s="131">
        <f t="shared" si="448"/>
        <v>0</v>
      </c>
      <c r="F1722" s="21">
        <f t="shared" si="460"/>
        <v>0</v>
      </c>
      <c r="G1722" s="21"/>
      <c r="H1722" s="135">
        <f t="shared" si="445"/>
        <v>0</v>
      </c>
      <c r="I1722" s="294">
        <v>45131</v>
      </c>
      <c r="J1722" s="40"/>
      <c r="K1722" s="10">
        <f>2253*1.15</f>
        <v>2590.9499999999998</v>
      </c>
      <c r="L1722" s="11"/>
      <c r="M1722" s="11"/>
      <c r="N1722" s="100"/>
      <c r="O1722" s="11">
        <f t="shared" si="447"/>
        <v>2590.9499999999998</v>
      </c>
      <c r="P1722" s="11">
        <f t="shared" si="441"/>
        <v>2590.9499999999998</v>
      </c>
      <c r="Q1722" s="11"/>
      <c r="R1722" s="11">
        <f t="shared" si="442"/>
        <v>0</v>
      </c>
      <c r="S1722" s="11"/>
      <c r="T1722" s="136">
        <f t="shared" si="459"/>
        <v>0</v>
      </c>
    </row>
    <row r="1723" spans="1:20" ht="15.75" customHeight="1">
      <c r="A1723" s="149">
        <v>21</v>
      </c>
      <c r="B1723" s="273"/>
      <c r="C1723" s="28" t="s">
        <v>1713</v>
      </c>
      <c r="D1723" s="41">
        <v>1670</v>
      </c>
      <c r="E1723" s="131">
        <f t="shared" si="448"/>
        <v>0</v>
      </c>
      <c r="F1723" s="21">
        <f t="shared" si="460"/>
        <v>0</v>
      </c>
      <c r="G1723" s="21"/>
      <c r="H1723" s="135">
        <f t="shared" si="445"/>
        <v>0</v>
      </c>
      <c r="I1723" s="294">
        <v>45153</v>
      </c>
      <c r="J1723" s="40">
        <v>45350</v>
      </c>
      <c r="K1723" s="11">
        <f>0.6*46045</f>
        <v>27627</v>
      </c>
      <c r="L1723" s="11"/>
      <c r="M1723" s="11"/>
      <c r="N1723" s="100"/>
      <c r="O1723" s="11">
        <f t="shared" si="447"/>
        <v>27627</v>
      </c>
      <c r="P1723" s="11">
        <f t="shared" si="441"/>
        <v>27627</v>
      </c>
      <c r="Q1723" s="11"/>
      <c r="R1723" s="11">
        <f t="shared" si="442"/>
        <v>0</v>
      </c>
      <c r="S1723" s="11"/>
      <c r="T1723" s="136">
        <f t="shared" si="459"/>
        <v>0</v>
      </c>
    </row>
    <row r="1724" spans="1:20" ht="15.75" customHeight="1">
      <c r="A1724" s="149">
        <v>21</v>
      </c>
      <c r="B1724" s="273"/>
      <c r="C1724" s="28" t="s">
        <v>44175</v>
      </c>
      <c r="D1724" s="41">
        <v>1700</v>
      </c>
      <c r="E1724" s="131">
        <f t="shared" si="448"/>
        <v>37930</v>
      </c>
      <c r="F1724" s="21">
        <f t="shared" si="460"/>
        <v>45895.299999999996</v>
      </c>
      <c r="G1724" s="21"/>
      <c r="H1724" s="135">
        <f t="shared" si="445"/>
        <v>0</v>
      </c>
      <c r="I1724" s="294">
        <v>45274</v>
      </c>
      <c r="J1724" s="40">
        <v>45356</v>
      </c>
      <c r="K1724" s="11">
        <f>0.6*42137</f>
        <v>25282.2</v>
      </c>
      <c r="L1724" s="11"/>
      <c r="M1724" s="11"/>
      <c r="N1724" s="100"/>
      <c r="O1724" s="11">
        <f t="shared" si="447"/>
        <v>25282.2</v>
      </c>
      <c r="P1724" s="11">
        <f t="shared" si="441"/>
        <v>25282.2</v>
      </c>
      <c r="Q1724" s="11">
        <v>1.5</v>
      </c>
      <c r="R1724" s="11">
        <f t="shared" si="442"/>
        <v>37923.300000000003</v>
      </c>
      <c r="S1724" s="11"/>
      <c r="T1724" s="136">
        <f t="shared" si="459"/>
        <v>0</v>
      </c>
    </row>
    <row r="1725" spans="1:20" ht="15.75" customHeight="1">
      <c r="A1725" s="149">
        <v>21</v>
      </c>
      <c r="B1725" s="273"/>
      <c r="C1725" s="28" t="s">
        <v>3879</v>
      </c>
      <c r="D1725" s="41">
        <v>1410</v>
      </c>
      <c r="E1725" s="131">
        <f t="shared" si="448"/>
        <v>26930</v>
      </c>
      <c r="F1725" s="21">
        <f t="shared" si="460"/>
        <v>32585.3</v>
      </c>
      <c r="G1725" s="21"/>
      <c r="H1725" s="135">
        <f t="shared" si="445"/>
        <v>0</v>
      </c>
      <c r="I1725" s="294">
        <v>45274</v>
      </c>
      <c r="J1725" s="40">
        <v>45376</v>
      </c>
      <c r="K1725" s="11">
        <f>0.6*29922</f>
        <v>17953.2</v>
      </c>
      <c r="L1725" s="11"/>
      <c r="M1725" s="11"/>
      <c r="N1725" s="100"/>
      <c r="O1725" s="11">
        <f t="shared" si="447"/>
        <v>17953.2</v>
      </c>
      <c r="P1725" s="11">
        <f t="shared" si="441"/>
        <v>17953.2</v>
      </c>
      <c r="Q1725" s="11">
        <v>1.5</v>
      </c>
      <c r="R1725" s="11">
        <f t="shared" si="442"/>
        <v>26929.800000000003</v>
      </c>
      <c r="S1725" s="11"/>
      <c r="T1725" s="136">
        <f t="shared" si="459"/>
        <v>0</v>
      </c>
    </row>
    <row r="1726" spans="1:20" ht="15.75" customHeight="1">
      <c r="A1726" s="149"/>
      <c r="B1726" s="273"/>
      <c r="C1726" s="28" t="s">
        <v>1714</v>
      </c>
      <c r="D1726" s="71">
        <v>1540</v>
      </c>
      <c r="E1726" s="131">
        <f t="shared" si="448"/>
        <v>0</v>
      </c>
      <c r="F1726" s="21">
        <f t="shared" si="460"/>
        <v>0</v>
      </c>
      <c r="G1726" s="21"/>
      <c r="H1726" s="135">
        <f t="shared" si="445"/>
        <v>0</v>
      </c>
      <c r="I1726" s="294">
        <v>45131</v>
      </c>
      <c r="J1726" s="294"/>
      <c r="K1726" s="11">
        <f>6590*1.15</f>
        <v>7578.4999999999991</v>
      </c>
      <c r="L1726" s="11"/>
      <c r="M1726" s="11"/>
      <c r="N1726" s="100"/>
      <c r="O1726" s="11">
        <f t="shared" si="447"/>
        <v>7578.4999999999991</v>
      </c>
      <c r="P1726" s="11">
        <f t="shared" si="441"/>
        <v>7578.4999999999991</v>
      </c>
      <c r="Q1726" s="11"/>
      <c r="R1726" s="11">
        <f t="shared" si="442"/>
        <v>0</v>
      </c>
      <c r="S1726" s="11"/>
      <c r="T1726" s="136">
        <f t="shared" si="459"/>
        <v>0</v>
      </c>
    </row>
    <row r="1727" spans="1:20" ht="15.75" customHeight="1">
      <c r="A1727" s="149">
        <v>21</v>
      </c>
      <c r="B1727" s="273"/>
      <c r="C1727" s="28" t="s">
        <v>3880</v>
      </c>
      <c r="D1727" s="41">
        <v>1700</v>
      </c>
      <c r="E1727" s="131">
        <f t="shared" si="448"/>
        <v>29210</v>
      </c>
      <c r="F1727" s="21">
        <f t="shared" si="460"/>
        <v>35344.1</v>
      </c>
      <c r="G1727" s="21"/>
      <c r="H1727" s="135">
        <f t="shared" si="445"/>
        <v>0</v>
      </c>
      <c r="I1727" s="294">
        <v>45274</v>
      </c>
      <c r="J1727" s="294">
        <v>45331</v>
      </c>
      <c r="K1727" s="10">
        <f>0.6*32449</f>
        <v>19469.399999999998</v>
      </c>
      <c r="L1727" s="11"/>
      <c r="M1727" s="11"/>
      <c r="N1727" s="100"/>
      <c r="O1727" s="11">
        <f t="shared" si="447"/>
        <v>19469.399999999998</v>
      </c>
      <c r="P1727" s="11">
        <f t="shared" si="441"/>
        <v>19469.399999999998</v>
      </c>
      <c r="Q1727" s="11">
        <v>1.5</v>
      </c>
      <c r="R1727" s="11">
        <f t="shared" si="442"/>
        <v>29204.1</v>
      </c>
      <c r="S1727" s="11"/>
      <c r="T1727" s="136">
        <f t="shared" si="459"/>
        <v>0</v>
      </c>
    </row>
    <row r="1728" spans="1:20" ht="15.75" customHeight="1">
      <c r="A1728" s="149">
        <v>21</v>
      </c>
      <c r="B1728" s="273"/>
      <c r="C1728" s="28" t="s">
        <v>44176</v>
      </c>
      <c r="D1728" s="41">
        <v>2480</v>
      </c>
      <c r="E1728" s="131">
        <f t="shared" si="448"/>
        <v>61800</v>
      </c>
      <c r="F1728" s="21">
        <f>+E1728*1.21</f>
        <v>74778</v>
      </c>
      <c r="G1728" s="21"/>
      <c r="H1728" s="135">
        <f t="shared" si="445"/>
        <v>0</v>
      </c>
      <c r="I1728" s="294">
        <v>45274</v>
      </c>
      <c r="J1728" s="294">
        <v>45356</v>
      </c>
      <c r="K1728" s="10">
        <f>0.6*68661</f>
        <v>41196.6</v>
      </c>
      <c r="L1728" s="11"/>
      <c r="M1728" s="11"/>
      <c r="N1728" s="100"/>
      <c r="O1728" s="11">
        <f t="shared" si="447"/>
        <v>41196.6</v>
      </c>
      <c r="P1728" s="11">
        <f t="shared" si="441"/>
        <v>41196.6</v>
      </c>
      <c r="Q1728" s="11">
        <v>1.5</v>
      </c>
      <c r="R1728" s="11">
        <f t="shared" si="442"/>
        <v>61794.899999999994</v>
      </c>
      <c r="S1728" s="11"/>
      <c r="T1728" s="136">
        <f t="shared" si="459"/>
        <v>0</v>
      </c>
    </row>
    <row r="1729" spans="1:20" ht="15.75" customHeight="1">
      <c r="A1729" s="149">
        <v>21</v>
      </c>
      <c r="B1729" s="273"/>
      <c r="C1729" s="28" t="s">
        <v>3881</v>
      </c>
      <c r="D1729" s="41">
        <v>1870</v>
      </c>
      <c r="E1729" s="131">
        <f t="shared" si="448"/>
        <v>37960</v>
      </c>
      <c r="F1729" s="21">
        <f t="shared" ref="F1729:F1772" si="461">+E1729*1.21</f>
        <v>45931.6</v>
      </c>
      <c r="G1729" s="21"/>
      <c r="H1729" s="135">
        <f t="shared" si="445"/>
        <v>0</v>
      </c>
      <c r="I1729" s="294">
        <v>45274</v>
      </c>
      <c r="J1729" s="294">
        <v>45376</v>
      </c>
      <c r="K1729" s="10">
        <f>0.6*42174</f>
        <v>25304.399999999998</v>
      </c>
      <c r="L1729" s="11"/>
      <c r="M1729" s="11"/>
      <c r="N1729" s="100"/>
      <c r="O1729" s="11">
        <f t="shared" si="447"/>
        <v>25304.399999999998</v>
      </c>
      <c r="P1729" s="11">
        <f t="shared" si="441"/>
        <v>25304.399999999998</v>
      </c>
      <c r="Q1729" s="11">
        <v>1.5</v>
      </c>
      <c r="R1729" s="11">
        <f t="shared" si="442"/>
        <v>37956.6</v>
      </c>
      <c r="S1729" s="11"/>
      <c r="T1729" s="136">
        <f t="shared" si="459"/>
        <v>0</v>
      </c>
    </row>
    <row r="1730" spans="1:20" ht="15.75" customHeight="1">
      <c r="A1730" s="149">
        <v>21</v>
      </c>
      <c r="B1730" s="273"/>
      <c r="C1730" s="28" t="s">
        <v>44177</v>
      </c>
      <c r="D1730" s="41">
        <v>2050</v>
      </c>
      <c r="E1730" s="131">
        <f>ROUNDUP(R1730,-1)</f>
        <v>78810</v>
      </c>
      <c r="F1730" s="21">
        <f>+E1730*1.21</f>
        <v>95360.099999999991</v>
      </c>
      <c r="G1730" s="277"/>
      <c r="H1730" s="135">
        <f>ROUNDUP(T1730,-1)</f>
        <v>0</v>
      </c>
      <c r="I1730" s="294">
        <v>45274</v>
      </c>
      <c r="J1730" s="294">
        <v>45356</v>
      </c>
      <c r="K1730" s="10">
        <f>0.6*87563</f>
        <v>52537.799999999996</v>
      </c>
      <c r="L1730" s="11"/>
      <c r="M1730" s="11"/>
      <c r="N1730" s="100"/>
      <c r="O1730" s="11">
        <f>MIN(K1730:M1730)</f>
        <v>52537.799999999996</v>
      </c>
      <c r="P1730" s="11">
        <f t="shared" si="441"/>
        <v>52537.799999999996</v>
      </c>
      <c r="Q1730" s="11">
        <v>1.5</v>
      </c>
      <c r="R1730" s="11">
        <f t="shared" si="442"/>
        <v>78806.7</v>
      </c>
      <c r="S1730" s="11"/>
      <c r="T1730" s="136">
        <f>+N1730*Q1730</f>
        <v>0</v>
      </c>
    </row>
    <row r="1731" spans="1:20" ht="15.75" customHeight="1">
      <c r="A1731" s="149">
        <v>21</v>
      </c>
      <c r="B1731" s="273"/>
      <c r="C1731" s="28" t="s">
        <v>3882</v>
      </c>
      <c r="D1731" s="41">
        <v>2480</v>
      </c>
      <c r="E1731" s="131">
        <f>ROUNDUP(R1731,-1)</f>
        <v>47780</v>
      </c>
      <c r="F1731" s="21">
        <v>2250</v>
      </c>
      <c r="G1731" s="21"/>
      <c r="H1731" s="135">
        <f>ROUNDUP(T1731,-1)</f>
        <v>0</v>
      </c>
      <c r="I1731" s="294">
        <v>45274</v>
      </c>
      <c r="J1731" s="294">
        <v>45376</v>
      </c>
      <c r="K1731" s="10">
        <f>0.6*53079</f>
        <v>31847.399999999998</v>
      </c>
      <c r="L1731" s="11"/>
      <c r="M1731" s="11"/>
      <c r="N1731" s="100"/>
      <c r="O1731" s="11">
        <f>MIN(K1731:M1731)</f>
        <v>31847.399999999998</v>
      </c>
      <c r="P1731" s="11">
        <f t="shared" si="441"/>
        <v>31847.399999999998</v>
      </c>
      <c r="Q1731" s="11">
        <v>1.5</v>
      </c>
      <c r="R1731" s="11">
        <f t="shared" si="442"/>
        <v>47771.1</v>
      </c>
      <c r="S1731" s="11"/>
      <c r="T1731" s="136">
        <f>+N1731*Q1731</f>
        <v>0</v>
      </c>
    </row>
    <row r="1732" spans="1:20" ht="15.75" customHeight="1">
      <c r="A1732" s="149" t="s">
        <v>4238</v>
      </c>
      <c r="B1732" s="273"/>
      <c r="C1732" s="28" t="s">
        <v>3530</v>
      </c>
      <c r="D1732" s="41">
        <v>310</v>
      </c>
      <c r="E1732" s="131">
        <f>ROUNDUP(R1732,-1)</f>
        <v>3570</v>
      </c>
      <c r="F1732" s="21">
        <f>+E1732*1.21</f>
        <v>4319.7</v>
      </c>
      <c r="G1732" s="21"/>
      <c r="H1732" s="135">
        <f>ROUNDUP(T1732,-1)</f>
        <v>3350</v>
      </c>
      <c r="I1732" s="294">
        <v>44747</v>
      </c>
      <c r="J1732" s="294">
        <v>45059</v>
      </c>
      <c r="K1732" s="11">
        <f>+PROVEEDORES!$D$32*2.34</f>
        <v>2457</v>
      </c>
      <c r="L1732" s="11"/>
      <c r="M1732" s="11"/>
      <c r="N1732" s="100">
        <f>+K1732*0.94</f>
        <v>2309.58</v>
      </c>
      <c r="O1732" s="11">
        <f>MIN(K1732:M1732)</f>
        <v>2457</v>
      </c>
      <c r="P1732" s="11">
        <f t="shared" si="441"/>
        <v>2457</v>
      </c>
      <c r="Q1732" s="11">
        <v>1.45</v>
      </c>
      <c r="R1732" s="11">
        <f t="shared" si="442"/>
        <v>3562.65</v>
      </c>
      <c r="S1732" s="11"/>
      <c r="T1732" s="136">
        <f>+N1732*Q1732</f>
        <v>3348.8909999999996</v>
      </c>
    </row>
    <row r="1733" spans="1:20" ht="15.75" customHeight="1">
      <c r="A1733" s="149">
        <v>38</v>
      </c>
      <c r="B1733" s="273"/>
      <c r="C1733" s="28" t="s">
        <v>2555</v>
      </c>
      <c r="D1733" s="41">
        <v>310</v>
      </c>
      <c r="E1733" s="131">
        <f t="shared" si="448"/>
        <v>3920</v>
      </c>
      <c r="F1733" s="21">
        <f t="shared" si="461"/>
        <v>4743.2</v>
      </c>
      <c r="G1733" s="21"/>
      <c r="H1733" s="135">
        <f t="shared" si="445"/>
        <v>3400</v>
      </c>
      <c r="I1733" s="294">
        <v>45138</v>
      </c>
      <c r="J1733" s="294">
        <v>45274</v>
      </c>
      <c r="K1733" s="11">
        <f>+PROVEEDORES!$D$32*2.57</f>
        <v>2698.5</v>
      </c>
      <c r="L1733" s="11"/>
      <c r="M1733" s="11"/>
      <c r="N1733" s="100">
        <v>2341</v>
      </c>
      <c r="O1733" s="11">
        <f t="shared" si="447"/>
        <v>2698.5</v>
      </c>
      <c r="P1733" s="11">
        <f t="shared" si="441"/>
        <v>2698.5</v>
      </c>
      <c r="Q1733" s="11">
        <v>1.45</v>
      </c>
      <c r="R1733" s="11">
        <f t="shared" si="442"/>
        <v>3912.8249999999998</v>
      </c>
      <c r="S1733" s="11"/>
      <c r="T1733" s="136">
        <f t="shared" si="459"/>
        <v>3394.45</v>
      </c>
    </row>
    <row r="1734" spans="1:20" ht="15.75" customHeight="1">
      <c r="A1734" s="149">
        <v>38</v>
      </c>
      <c r="B1734" s="273"/>
      <c r="C1734" s="28" t="s">
        <v>2556</v>
      </c>
      <c r="D1734" s="41">
        <v>380</v>
      </c>
      <c r="E1734" s="131">
        <f t="shared" si="448"/>
        <v>4330</v>
      </c>
      <c r="F1734" s="21">
        <f t="shared" si="461"/>
        <v>5239.3</v>
      </c>
      <c r="G1734" s="21"/>
      <c r="H1734" s="135">
        <f t="shared" si="445"/>
        <v>3750</v>
      </c>
      <c r="I1734" s="294">
        <v>45138</v>
      </c>
      <c r="J1734" s="294">
        <v>45274</v>
      </c>
      <c r="K1734" s="11">
        <f>+PROVEEDORES!$D$32*2.84</f>
        <v>2982</v>
      </c>
      <c r="L1734" s="11"/>
      <c r="M1734" s="11"/>
      <c r="N1734" s="100">
        <v>2580</v>
      </c>
      <c r="O1734" s="11">
        <f t="shared" si="447"/>
        <v>2982</v>
      </c>
      <c r="P1734" s="11">
        <f t="shared" si="441"/>
        <v>2982</v>
      </c>
      <c r="Q1734" s="11">
        <v>1.45</v>
      </c>
      <c r="R1734" s="11">
        <f t="shared" si="442"/>
        <v>4323.8999999999996</v>
      </c>
      <c r="S1734" s="11"/>
      <c r="T1734" s="136">
        <f t="shared" si="459"/>
        <v>3741</v>
      </c>
    </row>
    <row r="1735" spans="1:20" ht="15.75" customHeight="1">
      <c r="A1735" s="149">
        <v>38</v>
      </c>
      <c r="B1735" s="273"/>
      <c r="C1735" s="28" t="s">
        <v>4473</v>
      </c>
      <c r="D1735" s="41">
        <v>310</v>
      </c>
      <c r="E1735" s="131">
        <f>ROUNDUP(R1735,-1)</f>
        <v>4330</v>
      </c>
      <c r="F1735" s="21">
        <f>+E1735*1.21</f>
        <v>5239.3</v>
      </c>
      <c r="G1735" s="21"/>
      <c r="H1735" s="135">
        <f>ROUNDUP(T1735,-1)</f>
        <v>3750</v>
      </c>
      <c r="I1735" s="294">
        <v>45138</v>
      </c>
      <c r="J1735" s="294">
        <v>45274</v>
      </c>
      <c r="K1735" s="11">
        <f>+PROVEEDORES!$D$32*2.84</f>
        <v>2982</v>
      </c>
      <c r="L1735" s="11"/>
      <c r="M1735" s="11"/>
      <c r="N1735" s="100">
        <v>2581</v>
      </c>
      <c r="O1735" s="11">
        <f>MIN(K1735:M1735)</f>
        <v>2982</v>
      </c>
      <c r="P1735" s="11">
        <f t="shared" si="441"/>
        <v>2982</v>
      </c>
      <c r="Q1735" s="11">
        <v>1.45</v>
      </c>
      <c r="R1735" s="11">
        <f t="shared" si="442"/>
        <v>4323.8999999999996</v>
      </c>
      <c r="S1735" s="11"/>
      <c r="T1735" s="136">
        <f>+N1735*Q1735</f>
        <v>3742.45</v>
      </c>
    </row>
    <row r="1736" spans="1:20" ht="15.75" customHeight="1">
      <c r="A1736" s="149">
        <v>38</v>
      </c>
      <c r="B1736" s="273"/>
      <c r="C1736" s="28" t="s">
        <v>4474</v>
      </c>
      <c r="D1736" s="41">
        <v>380</v>
      </c>
      <c r="E1736" s="131">
        <f>ROUNDUP(R1736,-1)</f>
        <v>5780</v>
      </c>
      <c r="F1736" s="21">
        <f>+E1736*1.21</f>
        <v>6993.8</v>
      </c>
      <c r="G1736" s="21"/>
      <c r="H1736" s="135">
        <f>ROUNDUP(T1736,-1)</f>
        <v>5010</v>
      </c>
      <c r="I1736" s="294">
        <v>45138</v>
      </c>
      <c r="J1736" s="294">
        <v>45274</v>
      </c>
      <c r="K1736" s="11">
        <f>+PROVEEDORES!$D$32*3.79</f>
        <v>3979.5</v>
      </c>
      <c r="L1736" s="11"/>
      <c r="M1736" s="11"/>
      <c r="N1736" s="100">
        <v>3451</v>
      </c>
      <c r="O1736" s="11">
        <f>MIN(K1736:M1736)</f>
        <v>3979.5</v>
      </c>
      <c r="P1736" s="11">
        <f t="shared" si="441"/>
        <v>3979.5</v>
      </c>
      <c r="Q1736" s="11">
        <v>1.45</v>
      </c>
      <c r="R1736" s="11">
        <f t="shared" si="442"/>
        <v>5770.2749999999996</v>
      </c>
      <c r="S1736" s="11"/>
      <c r="T1736" s="136">
        <f>+N1736*Q1736</f>
        <v>5003.95</v>
      </c>
    </row>
    <row r="1737" spans="1:20" ht="15.75" customHeight="1">
      <c r="A1737" s="149">
        <v>12</v>
      </c>
      <c r="B1737" s="273"/>
      <c r="C1737" s="28" t="s">
        <v>4076</v>
      </c>
      <c r="D1737" s="41">
        <v>1200</v>
      </c>
      <c r="E1737" s="131">
        <f t="shared" si="448"/>
        <v>2940</v>
      </c>
      <c r="F1737" s="21">
        <f t="shared" si="461"/>
        <v>3557.4</v>
      </c>
      <c r="G1737" s="21"/>
      <c r="H1737" s="135">
        <f t="shared" si="445"/>
        <v>0</v>
      </c>
      <c r="I1737" s="294">
        <v>45274</v>
      </c>
      <c r="J1737" s="294">
        <v>45338</v>
      </c>
      <c r="K1737" s="10">
        <v>2026</v>
      </c>
      <c r="L1737" s="11"/>
      <c r="M1737" s="11"/>
      <c r="N1737" s="100"/>
      <c r="O1737" s="11">
        <f t="shared" si="447"/>
        <v>2026</v>
      </c>
      <c r="P1737" s="11">
        <f t="shared" si="441"/>
        <v>2026</v>
      </c>
      <c r="Q1737" s="11">
        <v>1.45</v>
      </c>
      <c r="R1737" s="11">
        <f t="shared" si="442"/>
        <v>2937.7</v>
      </c>
      <c r="S1737" s="11"/>
      <c r="T1737" s="136">
        <f t="shared" si="459"/>
        <v>0</v>
      </c>
    </row>
    <row r="1738" spans="1:20" ht="15.75" customHeight="1">
      <c r="A1738" s="149">
        <v>12</v>
      </c>
      <c r="B1738" s="273"/>
      <c r="C1738" s="28" t="s">
        <v>4075</v>
      </c>
      <c r="D1738" s="41">
        <v>1380</v>
      </c>
      <c r="E1738" s="131">
        <f t="shared" si="448"/>
        <v>3430</v>
      </c>
      <c r="F1738" s="21">
        <f t="shared" si="461"/>
        <v>4150.3</v>
      </c>
      <c r="G1738" s="21"/>
      <c r="H1738" s="135">
        <f t="shared" si="445"/>
        <v>0</v>
      </c>
      <c r="I1738" s="294">
        <v>45274</v>
      </c>
      <c r="J1738" s="294">
        <v>45338</v>
      </c>
      <c r="K1738" s="10">
        <v>2364</v>
      </c>
      <c r="L1738" s="11"/>
      <c r="M1738" s="11"/>
      <c r="N1738" s="100"/>
      <c r="O1738" s="11">
        <f t="shared" si="447"/>
        <v>2364</v>
      </c>
      <c r="P1738" s="11">
        <f t="shared" ref="P1738:P1802" si="462">+O1738</f>
        <v>2364</v>
      </c>
      <c r="Q1738" s="11">
        <v>1.45</v>
      </c>
      <c r="R1738" s="11">
        <f t="shared" ref="R1738:R1809" si="463">+P1738*Q1738</f>
        <v>3427.7999999999997</v>
      </c>
      <c r="S1738" s="11"/>
      <c r="T1738" s="136">
        <f t="shared" si="459"/>
        <v>0</v>
      </c>
    </row>
    <row r="1739" spans="1:20" ht="15.75" customHeight="1">
      <c r="A1739" s="149">
        <v>25</v>
      </c>
      <c r="B1739" s="273"/>
      <c r="C1739" s="28" t="s">
        <v>1715</v>
      </c>
      <c r="D1739" s="41">
        <v>750</v>
      </c>
      <c r="E1739" s="131">
        <f t="shared" si="448"/>
        <v>0</v>
      </c>
      <c r="F1739" s="21">
        <f t="shared" si="461"/>
        <v>0</v>
      </c>
      <c r="G1739" s="21"/>
      <c r="H1739" s="135">
        <f t="shared" si="445"/>
        <v>0</v>
      </c>
      <c r="I1739" s="40"/>
      <c r="J1739" s="294"/>
      <c r="K1739" s="10">
        <f>494*1.5</f>
        <v>741</v>
      </c>
      <c r="L1739" s="11"/>
      <c r="M1739" s="11"/>
      <c r="N1739" s="100"/>
      <c r="O1739" s="11">
        <f t="shared" si="447"/>
        <v>741</v>
      </c>
      <c r="P1739" s="11">
        <f t="shared" si="462"/>
        <v>741</v>
      </c>
      <c r="Q1739" s="11"/>
      <c r="R1739" s="11">
        <f t="shared" si="463"/>
        <v>0</v>
      </c>
      <c r="S1739" s="11"/>
      <c r="T1739" s="136">
        <f t="shared" si="459"/>
        <v>0</v>
      </c>
    </row>
    <row r="1740" spans="1:20" ht="15.75" customHeight="1">
      <c r="A1740" s="149">
        <v>25</v>
      </c>
      <c r="B1740" s="273"/>
      <c r="C1740" s="28" t="s">
        <v>1716</v>
      </c>
      <c r="D1740" s="41">
        <v>3350</v>
      </c>
      <c r="E1740" s="131">
        <f t="shared" si="448"/>
        <v>0</v>
      </c>
      <c r="F1740" s="21">
        <f t="shared" si="461"/>
        <v>0</v>
      </c>
      <c r="G1740" s="21"/>
      <c r="H1740" s="135">
        <f t="shared" si="445"/>
        <v>0</v>
      </c>
      <c r="I1740" s="40"/>
      <c r="J1740" s="294">
        <v>43549</v>
      </c>
      <c r="K1740" s="10">
        <f>(2600*0.8+150)*1.5</f>
        <v>3345</v>
      </c>
      <c r="L1740" s="11"/>
      <c r="M1740" s="11"/>
      <c r="N1740" s="100"/>
      <c r="O1740" s="11">
        <f t="shared" si="447"/>
        <v>3345</v>
      </c>
      <c r="P1740" s="11">
        <f t="shared" si="462"/>
        <v>3345</v>
      </c>
      <c r="Q1740" s="11"/>
      <c r="R1740" s="11">
        <f t="shared" si="463"/>
        <v>0</v>
      </c>
      <c r="S1740" s="11"/>
      <c r="T1740" s="136">
        <f t="shared" si="459"/>
        <v>0</v>
      </c>
    </row>
    <row r="1741" spans="1:20" ht="15.75" customHeight="1">
      <c r="A1741" s="149">
        <v>25</v>
      </c>
      <c r="B1741" s="273"/>
      <c r="C1741" s="28" t="s">
        <v>1717</v>
      </c>
      <c r="D1741" s="41">
        <v>7830</v>
      </c>
      <c r="E1741" s="131">
        <f t="shared" si="448"/>
        <v>0</v>
      </c>
      <c r="F1741" s="21">
        <f t="shared" si="461"/>
        <v>0</v>
      </c>
      <c r="G1741" s="21"/>
      <c r="H1741" s="135">
        <f t="shared" si="445"/>
        <v>0</v>
      </c>
      <c r="I1741" s="40">
        <v>43697</v>
      </c>
      <c r="J1741" s="294"/>
      <c r="K1741" s="10">
        <f>(6275*0.8+200)*1.5</f>
        <v>7830</v>
      </c>
      <c r="L1741" s="11"/>
      <c r="M1741" s="11"/>
      <c r="N1741" s="100"/>
      <c r="O1741" s="11">
        <f t="shared" si="447"/>
        <v>7830</v>
      </c>
      <c r="P1741" s="11">
        <f t="shared" si="462"/>
        <v>7830</v>
      </c>
      <c r="Q1741" s="11"/>
      <c r="R1741" s="11">
        <f t="shared" si="463"/>
        <v>0</v>
      </c>
      <c r="S1741" s="11"/>
      <c r="T1741" s="136">
        <f t="shared" si="459"/>
        <v>0</v>
      </c>
    </row>
    <row r="1742" spans="1:20" ht="15.75" customHeight="1">
      <c r="A1742" s="149">
        <v>25</v>
      </c>
      <c r="B1742" s="273"/>
      <c r="C1742" s="28" t="s">
        <v>1718</v>
      </c>
      <c r="D1742" s="41">
        <v>10500</v>
      </c>
      <c r="E1742" s="131">
        <f t="shared" si="448"/>
        <v>0</v>
      </c>
      <c r="F1742" s="21">
        <f t="shared" si="461"/>
        <v>0</v>
      </c>
      <c r="G1742" s="21"/>
      <c r="H1742" s="135">
        <f t="shared" si="445"/>
        <v>0</v>
      </c>
      <c r="I1742" s="294"/>
      <c r="J1742" s="294">
        <v>43549</v>
      </c>
      <c r="K1742" s="10">
        <f>(8495*0.8+200)*1.5</f>
        <v>10494</v>
      </c>
      <c r="L1742" s="11">
        <f>10500*3*2</f>
        <v>63000</v>
      </c>
      <c r="M1742" s="11"/>
      <c r="N1742" s="100"/>
      <c r="O1742" s="11">
        <f t="shared" si="447"/>
        <v>10494</v>
      </c>
      <c r="P1742" s="11">
        <f t="shared" si="462"/>
        <v>10494</v>
      </c>
      <c r="Q1742" s="11"/>
      <c r="R1742" s="11">
        <f t="shared" si="463"/>
        <v>0</v>
      </c>
      <c r="S1742" s="11"/>
      <c r="T1742" s="136">
        <f t="shared" si="459"/>
        <v>0</v>
      </c>
    </row>
    <row r="1743" spans="1:20" ht="15.75" customHeight="1">
      <c r="A1743" s="149" t="s">
        <v>2402</v>
      </c>
      <c r="B1743" s="273"/>
      <c r="C1743" s="28" t="s">
        <v>2858</v>
      </c>
      <c r="D1743" s="41">
        <v>70</v>
      </c>
      <c r="E1743" s="131">
        <f>ROUNDUP(R1743,-1)</f>
        <v>8160</v>
      </c>
      <c r="F1743" s="21">
        <f>+E1743*1.21</f>
        <v>9873.6</v>
      </c>
      <c r="G1743" s="21"/>
      <c r="H1743" s="135">
        <f>ROUNDUP(T1743,-1)</f>
        <v>0</v>
      </c>
      <c r="I1743" s="294">
        <v>45217</v>
      </c>
      <c r="J1743" s="294">
        <v>45329</v>
      </c>
      <c r="K1743" s="10">
        <f>0.6*8491</f>
        <v>5094.5999999999995</v>
      </c>
      <c r="L1743" s="11"/>
      <c r="M1743" s="11"/>
      <c r="N1743" s="100"/>
      <c r="O1743" s="11">
        <f>MIN(K1743:M1743)</f>
        <v>5094.5999999999995</v>
      </c>
      <c r="P1743" s="11">
        <f t="shared" si="462"/>
        <v>5094.5999999999995</v>
      </c>
      <c r="Q1743" s="11">
        <v>1.6</v>
      </c>
      <c r="R1743" s="11">
        <f t="shared" si="463"/>
        <v>8151.36</v>
      </c>
      <c r="S1743" s="11"/>
      <c r="T1743" s="136">
        <f>+N1743*Q1743</f>
        <v>0</v>
      </c>
    </row>
    <row r="1744" spans="1:20" ht="15.75" customHeight="1">
      <c r="A1744" s="149" t="s">
        <v>2402</v>
      </c>
      <c r="B1744" s="273"/>
      <c r="C1744" s="28" t="s">
        <v>2860</v>
      </c>
      <c r="D1744" s="41">
        <v>15</v>
      </c>
      <c r="E1744" s="131">
        <f>ROUNDUP(R1744,-1)</f>
        <v>8760</v>
      </c>
      <c r="F1744" s="21">
        <f>+E1744*1.21</f>
        <v>10599.6</v>
      </c>
      <c r="G1744" s="21"/>
      <c r="H1744" s="135">
        <f>ROUNDUP(T1744,-1)</f>
        <v>0</v>
      </c>
      <c r="I1744" s="294">
        <v>45217</v>
      </c>
      <c r="J1744" s="294">
        <v>45329</v>
      </c>
      <c r="K1744" s="10">
        <f>0.6*9124</f>
        <v>5474.4</v>
      </c>
      <c r="L1744" s="11"/>
      <c r="M1744" s="11"/>
      <c r="N1744" s="100"/>
      <c r="O1744" s="11">
        <f>MIN(K1744:M1744)</f>
        <v>5474.4</v>
      </c>
      <c r="P1744" s="11">
        <f t="shared" si="462"/>
        <v>5474.4</v>
      </c>
      <c r="Q1744" s="11">
        <v>1.6</v>
      </c>
      <c r="R1744" s="11">
        <f t="shared" si="463"/>
        <v>8759.0399999999991</v>
      </c>
      <c r="S1744" s="11"/>
      <c r="T1744" s="136">
        <f>+N1744*Q1744</f>
        <v>0</v>
      </c>
    </row>
    <row r="1745" spans="1:20" ht="15.75" customHeight="1">
      <c r="A1745" s="149" t="s">
        <v>2402</v>
      </c>
      <c r="B1745" s="273"/>
      <c r="C1745" s="28" t="s">
        <v>2859</v>
      </c>
      <c r="D1745" s="41">
        <v>80</v>
      </c>
      <c r="E1745" s="131">
        <f t="shared" si="448"/>
        <v>9460</v>
      </c>
      <c r="F1745" s="21">
        <f t="shared" si="461"/>
        <v>11446.6</v>
      </c>
      <c r="G1745" s="21"/>
      <c r="H1745" s="135">
        <f t="shared" si="445"/>
        <v>0</v>
      </c>
      <c r="I1745" s="294">
        <v>45217</v>
      </c>
      <c r="J1745" s="294">
        <v>45329</v>
      </c>
      <c r="K1745" s="10">
        <f>0.6*9848</f>
        <v>5908.8</v>
      </c>
      <c r="L1745" s="11"/>
      <c r="M1745" s="11"/>
      <c r="N1745" s="100"/>
      <c r="O1745" s="11">
        <f t="shared" si="447"/>
        <v>5908.8</v>
      </c>
      <c r="P1745" s="11">
        <f t="shared" si="462"/>
        <v>5908.8</v>
      </c>
      <c r="Q1745" s="11">
        <v>1.6</v>
      </c>
      <c r="R1745" s="11">
        <f t="shared" si="463"/>
        <v>9454.08</v>
      </c>
      <c r="S1745" s="11"/>
      <c r="T1745" s="136">
        <f t="shared" si="459"/>
        <v>0</v>
      </c>
    </row>
    <row r="1746" spans="1:20" ht="15.75" customHeight="1">
      <c r="A1746" s="149" t="s">
        <v>2402</v>
      </c>
      <c r="B1746" s="273"/>
      <c r="C1746" s="28" t="s">
        <v>2861</v>
      </c>
      <c r="D1746" s="41">
        <v>16</v>
      </c>
      <c r="E1746" s="131">
        <f t="shared" si="448"/>
        <v>9650</v>
      </c>
      <c r="F1746" s="21">
        <f t="shared" si="461"/>
        <v>11676.5</v>
      </c>
      <c r="G1746" s="21"/>
      <c r="H1746" s="135">
        <f t="shared" si="445"/>
        <v>0</v>
      </c>
      <c r="I1746" s="294">
        <v>45217</v>
      </c>
      <c r="J1746" s="294">
        <v>45329</v>
      </c>
      <c r="K1746" s="10">
        <f>0.6*10048</f>
        <v>6028.8</v>
      </c>
      <c r="L1746" s="11"/>
      <c r="M1746" s="11"/>
      <c r="N1746" s="100"/>
      <c r="O1746" s="11">
        <f t="shared" si="447"/>
        <v>6028.8</v>
      </c>
      <c r="P1746" s="11">
        <f t="shared" si="462"/>
        <v>6028.8</v>
      </c>
      <c r="Q1746" s="11">
        <v>1.6</v>
      </c>
      <c r="R1746" s="11">
        <f t="shared" si="463"/>
        <v>9646.08</v>
      </c>
      <c r="S1746" s="11"/>
      <c r="T1746" s="136">
        <f t="shared" si="459"/>
        <v>0</v>
      </c>
    </row>
    <row r="1747" spans="1:20" ht="15.75" customHeight="1">
      <c r="A1747" s="149">
        <v>12</v>
      </c>
      <c r="B1747" s="273"/>
      <c r="C1747" s="28" t="s">
        <v>4199</v>
      </c>
      <c r="D1747" s="41"/>
      <c r="E1747" s="131">
        <f>ROUNDUP(R1747,-1)</f>
        <v>23980</v>
      </c>
      <c r="F1747" s="21">
        <f>+E1747*1.21</f>
        <v>29015.8</v>
      </c>
      <c r="G1747" s="21"/>
      <c r="H1747" s="135">
        <f>ROUNDUP(T1747,-1)</f>
        <v>0</v>
      </c>
      <c r="I1747" s="294">
        <v>45156</v>
      </c>
      <c r="J1747" s="294">
        <v>45257</v>
      </c>
      <c r="K1747" s="10">
        <v>14985</v>
      </c>
      <c r="L1747" s="10"/>
      <c r="M1747" s="11"/>
      <c r="N1747" s="100"/>
      <c r="O1747" s="11">
        <f>MIN(K1747:M1747)</f>
        <v>14985</v>
      </c>
      <c r="P1747" s="11">
        <f>+O1747</f>
        <v>14985</v>
      </c>
      <c r="Q1747" s="11">
        <v>1.6</v>
      </c>
      <c r="R1747" s="11">
        <f>+P1747*Q1747</f>
        <v>23976</v>
      </c>
      <c r="S1747" s="11"/>
      <c r="T1747" s="136">
        <f>+N1747*Q1747</f>
        <v>0</v>
      </c>
    </row>
    <row r="1748" spans="1:20" ht="15.75" customHeight="1">
      <c r="A1748" s="149">
        <v>12</v>
      </c>
      <c r="B1748" s="273"/>
      <c r="C1748" s="28" t="s">
        <v>3904</v>
      </c>
      <c r="D1748" s="41"/>
      <c r="E1748" s="131">
        <f>ROUNDUP(R1748,-1)</f>
        <v>0</v>
      </c>
      <c r="F1748" s="21">
        <f>+E1748*1.21</f>
        <v>0</v>
      </c>
      <c r="G1748" s="21"/>
      <c r="H1748" s="135">
        <f>ROUNDUP(T1748,-1)</f>
        <v>0</v>
      </c>
      <c r="I1748" s="294">
        <v>45108</v>
      </c>
      <c r="J1748" s="294"/>
      <c r="K1748" s="10">
        <v>573</v>
      </c>
      <c r="L1748" s="10"/>
      <c r="M1748" s="11"/>
      <c r="N1748" s="100"/>
      <c r="O1748" s="11">
        <f>MIN(K1748:M1748)</f>
        <v>573</v>
      </c>
      <c r="P1748" s="11">
        <f>+O1748</f>
        <v>573</v>
      </c>
      <c r="Q1748" s="11"/>
      <c r="R1748" s="11">
        <f>+P1748*Q1748</f>
        <v>0</v>
      </c>
      <c r="S1748" s="11"/>
      <c r="T1748" s="136">
        <f>+N1748*Q1748</f>
        <v>0</v>
      </c>
    </row>
    <row r="1749" spans="1:20" ht="15.75" customHeight="1">
      <c r="A1749" s="149">
        <v>12</v>
      </c>
      <c r="B1749" s="273"/>
      <c r="C1749" s="28" t="s">
        <v>3905</v>
      </c>
      <c r="D1749" s="41"/>
      <c r="E1749" s="131">
        <f>ROUNDUP(R1749,-1)</f>
        <v>0</v>
      </c>
      <c r="F1749" s="21">
        <f>+E1749*1.21</f>
        <v>0</v>
      </c>
      <c r="G1749" s="21"/>
      <c r="H1749" s="135">
        <f>ROUNDUP(T1749,-1)</f>
        <v>0</v>
      </c>
      <c r="I1749" s="294">
        <v>45108</v>
      </c>
      <c r="J1749" s="294"/>
      <c r="K1749" s="10">
        <v>1052</v>
      </c>
      <c r="L1749" s="10"/>
      <c r="M1749" s="11"/>
      <c r="N1749" s="100"/>
      <c r="O1749" s="11">
        <f>MIN(K1749:M1749)</f>
        <v>1052</v>
      </c>
      <c r="P1749" s="11">
        <f>+O1749</f>
        <v>1052</v>
      </c>
      <c r="Q1749" s="11"/>
      <c r="R1749" s="11">
        <f>+P1749*Q1749</f>
        <v>0</v>
      </c>
      <c r="S1749" s="11"/>
      <c r="T1749" s="136">
        <f>+N1749*Q1749</f>
        <v>0</v>
      </c>
    </row>
    <row r="1750" spans="1:20" ht="15.75" customHeight="1">
      <c r="A1750" s="149" t="s">
        <v>2387</v>
      </c>
      <c r="B1750" s="273"/>
      <c r="C1750" s="28" t="s">
        <v>3409</v>
      </c>
      <c r="D1750" s="41">
        <v>140</v>
      </c>
      <c r="E1750" s="131">
        <f t="shared" si="448"/>
        <v>1560</v>
      </c>
      <c r="F1750" s="21">
        <f t="shared" si="461"/>
        <v>1887.6</v>
      </c>
      <c r="G1750" s="21"/>
      <c r="H1750" s="135">
        <f t="shared" ref="H1750:H1830" si="464">ROUNDUP(T1750,-1)</f>
        <v>0</v>
      </c>
      <c r="I1750" s="294">
        <v>45173</v>
      </c>
      <c r="J1750" s="294"/>
      <c r="K1750" s="10"/>
      <c r="L1750" s="10">
        <f>+'AUMENTOS %'!$C$11*9712/10</f>
        <v>971.2</v>
      </c>
      <c r="M1750" s="11"/>
      <c r="N1750" s="100"/>
      <c r="O1750" s="11">
        <f t="shared" si="447"/>
        <v>971.2</v>
      </c>
      <c r="P1750" s="11">
        <f>+O1750*'AUMENTOS %'!$D$11</f>
        <v>971.2</v>
      </c>
      <c r="Q1750" s="11">
        <v>1.6</v>
      </c>
      <c r="R1750" s="11">
        <f t="shared" si="463"/>
        <v>1553.92</v>
      </c>
      <c r="S1750" s="11"/>
      <c r="T1750" s="136">
        <f t="shared" si="459"/>
        <v>0</v>
      </c>
    </row>
    <row r="1751" spans="1:20" ht="15.75" customHeight="1">
      <c r="A1751" s="149" t="s">
        <v>2387</v>
      </c>
      <c r="B1751" s="273"/>
      <c r="C1751" s="28" t="s">
        <v>3410</v>
      </c>
      <c r="D1751" s="41">
        <v>240</v>
      </c>
      <c r="E1751" s="131">
        <f t="shared" si="448"/>
        <v>2670</v>
      </c>
      <c r="F1751" s="21">
        <f t="shared" si="461"/>
        <v>3230.7</v>
      </c>
      <c r="G1751" s="21"/>
      <c r="H1751" s="135">
        <f t="shared" si="464"/>
        <v>0</v>
      </c>
      <c r="I1751" s="294">
        <v>45173</v>
      </c>
      <c r="J1751" s="294"/>
      <c r="K1751" s="10"/>
      <c r="L1751" s="10">
        <f>+'AUMENTOS %'!$C$11*8325/5</f>
        <v>1665</v>
      </c>
      <c r="M1751" s="11"/>
      <c r="N1751" s="100"/>
      <c r="O1751" s="11">
        <f t="shared" si="447"/>
        <v>1665</v>
      </c>
      <c r="P1751" s="11">
        <f>+O1751*'AUMENTOS %'!$D$11</f>
        <v>1665</v>
      </c>
      <c r="Q1751" s="11">
        <v>1.6</v>
      </c>
      <c r="R1751" s="11">
        <f t="shared" si="463"/>
        <v>2664</v>
      </c>
      <c r="S1751" s="11"/>
      <c r="T1751" s="136">
        <f t="shared" si="459"/>
        <v>0</v>
      </c>
    </row>
    <row r="1752" spans="1:20" ht="15.75" customHeight="1">
      <c r="A1752" s="149" t="s">
        <v>2387</v>
      </c>
      <c r="B1752" s="273"/>
      <c r="C1752" s="28" t="s">
        <v>3411</v>
      </c>
      <c r="D1752" s="41">
        <v>390</v>
      </c>
      <c r="E1752" s="131">
        <f>ROUNDUP(R1752,-1)</f>
        <v>4300</v>
      </c>
      <c r="F1752" s="21">
        <f>+E1752*1.21</f>
        <v>5203</v>
      </c>
      <c r="G1752" s="21"/>
      <c r="H1752" s="135">
        <f>ROUNDUP(T1752,-1)</f>
        <v>0</v>
      </c>
      <c r="I1752" s="294">
        <v>45173</v>
      </c>
      <c r="J1752" s="294"/>
      <c r="K1752" s="10"/>
      <c r="L1752" s="10">
        <f>+'AUMENTOS %'!$C$11*13412/5</f>
        <v>2682.4</v>
      </c>
      <c r="M1752" s="11"/>
      <c r="N1752" s="100"/>
      <c r="O1752" s="11">
        <f>MIN(K1752:M1752)</f>
        <v>2682.4</v>
      </c>
      <c r="P1752" s="11">
        <f>+O1752*'AUMENTOS %'!$D$11</f>
        <v>2682.4</v>
      </c>
      <c r="Q1752" s="11">
        <v>1.6</v>
      </c>
      <c r="R1752" s="11">
        <f t="shared" si="463"/>
        <v>4291.84</v>
      </c>
      <c r="S1752" s="11"/>
      <c r="T1752" s="136">
        <f>+N1752*Q1752</f>
        <v>0</v>
      </c>
    </row>
    <row r="1753" spans="1:20" ht="15.75" customHeight="1">
      <c r="A1753" s="149" t="s">
        <v>44321</v>
      </c>
      <c r="B1753" s="273"/>
      <c r="C1753" s="28" t="s">
        <v>44246</v>
      </c>
      <c r="D1753" s="41"/>
      <c r="E1753" s="131">
        <f t="shared" si="448"/>
        <v>34670</v>
      </c>
      <c r="F1753" s="21">
        <f t="shared" si="461"/>
        <v>41950.7</v>
      </c>
      <c r="G1753" s="21"/>
      <c r="H1753" s="135">
        <f t="shared" si="464"/>
        <v>0</v>
      </c>
      <c r="I1753" s="294">
        <v>45227</v>
      </c>
      <c r="J1753" s="294">
        <v>45331</v>
      </c>
      <c r="K1753" s="10">
        <f>16931*2</f>
        <v>33862</v>
      </c>
      <c r="L1753" s="10">
        <f>0.8*0.94*28811</f>
        <v>21665.871999999999</v>
      </c>
      <c r="M1753" s="11"/>
      <c r="N1753" s="100"/>
      <c r="O1753" s="11">
        <f t="shared" si="447"/>
        <v>21665.871999999999</v>
      </c>
      <c r="P1753" s="11">
        <f t="shared" si="462"/>
        <v>21665.871999999999</v>
      </c>
      <c r="Q1753" s="11">
        <v>1.6</v>
      </c>
      <c r="R1753" s="11">
        <f t="shared" si="463"/>
        <v>34665.395199999999</v>
      </c>
      <c r="S1753" s="11"/>
      <c r="T1753" s="136">
        <f t="shared" si="459"/>
        <v>0</v>
      </c>
    </row>
    <row r="1754" spans="1:20" ht="15.75" customHeight="1">
      <c r="A1754" s="149" t="s">
        <v>44321</v>
      </c>
      <c r="B1754" s="273"/>
      <c r="C1754" s="28" t="s">
        <v>44247</v>
      </c>
      <c r="D1754" s="41"/>
      <c r="E1754" s="131">
        <f>ROUNDUP(R1754,-1)</f>
        <v>36280</v>
      </c>
      <c r="F1754" s="21">
        <f>+E1754*1.21</f>
        <v>43898.799999999996</v>
      </c>
      <c r="G1754" s="21"/>
      <c r="H1754" s="135">
        <f>ROUNDUP(T1754,-1)</f>
        <v>0</v>
      </c>
      <c r="I1754" s="294">
        <v>45227</v>
      </c>
      <c r="J1754" s="294">
        <v>45331</v>
      </c>
      <c r="K1754" s="10">
        <f>17110*2</f>
        <v>34220</v>
      </c>
      <c r="L1754" s="10">
        <f>0.8*0.94*30149</f>
        <v>22672.047999999999</v>
      </c>
      <c r="M1754" s="11"/>
      <c r="N1754" s="100"/>
      <c r="O1754" s="11">
        <f>MIN(K1754:M1754)</f>
        <v>22672.047999999999</v>
      </c>
      <c r="P1754" s="11">
        <f t="shared" si="462"/>
        <v>22672.047999999999</v>
      </c>
      <c r="Q1754" s="11">
        <v>1.6</v>
      </c>
      <c r="R1754" s="11">
        <f t="shared" si="463"/>
        <v>36275.2768</v>
      </c>
      <c r="S1754" s="11"/>
      <c r="T1754" s="136">
        <f>+N1754*Q1754</f>
        <v>0</v>
      </c>
    </row>
    <row r="1755" spans="1:20" ht="15.75" customHeight="1">
      <c r="A1755" s="149" t="s">
        <v>44321</v>
      </c>
      <c r="B1755" s="273"/>
      <c r="C1755" s="28" t="s">
        <v>44248</v>
      </c>
      <c r="D1755" s="41"/>
      <c r="E1755" s="131">
        <f>ROUNDUP(R1755,-1)</f>
        <v>38830</v>
      </c>
      <c r="F1755" s="21">
        <f>+E1755*1.21</f>
        <v>46984.299999999996</v>
      </c>
      <c r="G1755" s="21"/>
      <c r="H1755" s="135">
        <f>ROUNDUP(T1755,-1)</f>
        <v>0</v>
      </c>
      <c r="I1755" s="294">
        <v>45227</v>
      </c>
      <c r="J1755" s="294">
        <v>45331</v>
      </c>
      <c r="K1755" s="10">
        <f>19670*2</f>
        <v>39340</v>
      </c>
      <c r="L1755" s="10">
        <f>0.8*0.94*32265</f>
        <v>24263.279999999999</v>
      </c>
      <c r="M1755" s="11"/>
      <c r="N1755" s="100"/>
      <c r="O1755" s="11">
        <f>MIN(K1755:M1755)</f>
        <v>24263.279999999999</v>
      </c>
      <c r="P1755" s="11">
        <f t="shared" si="462"/>
        <v>24263.279999999999</v>
      </c>
      <c r="Q1755" s="11">
        <v>1.6</v>
      </c>
      <c r="R1755" s="11">
        <f t="shared" si="463"/>
        <v>38821.248</v>
      </c>
      <c r="S1755" s="11"/>
      <c r="T1755" s="136">
        <f>+N1755*Q1755</f>
        <v>0</v>
      </c>
    </row>
    <row r="1756" spans="1:20" ht="15.75" customHeight="1">
      <c r="A1756" s="149">
        <v>12</v>
      </c>
      <c r="B1756" s="273"/>
      <c r="C1756" s="28" t="s">
        <v>3906</v>
      </c>
      <c r="D1756" s="41"/>
      <c r="E1756" s="131">
        <f t="shared" si="448"/>
        <v>0</v>
      </c>
      <c r="F1756" s="21">
        <f t="shared" si="461"/>
        <v>0</v>
      </c>
      <c r="G1756" s="21"/>
      <c r="H1756" s="135">
        <f t="shared" si="464"/>
        <v>0</v>
      </c>
      <c r="I1756" s="294">
        <v>45108</v>
      </c>
      <c r="J1756" s="294"/>
      <c r="K1756" s="10">
        <v>1651</v>
      </c>
      <c r="L1756" s="10"/>
      <c r="M1756" s="11"/>
      <c r="N1756" s="100"/>
      <c r="O1756" s="11">
        <f t="shared" si="447"/>
        <v>1651</v>
      </c>
      <c r="P1756" s="11">
        <f t="shared" si="462"/>
        <v>1651</v>
      </c>
      <c r="Q1756" s="11"/>
      <c r="R1756" s="11">
        <f t="shared" si="463"/>
        <v>0</v>
      </c>
      <c r="S1756" s="11"/>
      <c r="T1756" s="136">
        <f t="shared" ref="T1756:T1795" si="465">+N1756*Q1756</f>
        <v>0</v>
      </c>
    </row>
    <row r="1757" spans="1:20" ht="15.75" customHeight="1">
      <c r="A1757" s="149">
        <v>12</v>
      </c>
      <c r="B1757" s="273"/>
      <c r="C1757" s="28" t="s">
        <v>3907</v>
      </c>
      <c r="D1757" s="41"/>
      <c r="E1757" s="131">
        <f t="shared" si="448"/>
        <v>0</v>
      </c>
      <c r="F1757" s="21">
        <f t="shared" si="461"/>
        <v>0</v>
      </c>
      <c r="G1757" s="21"/>
      <c r="H1757" s="135">
        <f t="shared" si="464"/>
        <v>0</v>
      </c>
      <c r="I1757" s="294">
        <v>45108</v>
      </c>
      <c r="J1757" s="294"/>
      <c r="K1757" s="10">
        <v>3273</v>
      </c>
      <c r="L1757" s="10"/>
      <c r="M1757" s="11"/>
      <c r="N1757" s="100"/>
      <c r="O1757" s="11">
        <f t="shared" si="447"/>
        <v>3273</v>
      </c>
      <c r="P1757" s="11">
        <f t="shared" si="462"/>
        <v>3273</v>
      </c>
      <c r="Q1757" s="11"/>
      <c r="R1757" s="11">
        <f t="shared" si="463"/>
        <v>0</v>
      </c>
      <c r="S1757" s="11"/>
      <c r="T1757" s="136">
        <f t="shared" si="465"/>
        <v>0</v>
      </c>
    </row>
    <row r="1758" spans="1:20" ht="15.75" customHeight="1">
      <c r="A1758" s="149">
        <v>101</v>
      </c>
      <c r="B1758" s="273"/>
      <c r="C1758" s="28" t="s">
        <v>62643</v>
      </c>
      <c r="D1758" s="41"/>
      <c r="E1758" s="131">
        <f t="shared" ref="E1758" si="466">ROUNDUP(R1758,-1)</f>
        <v>1820</v>
      </c>
      <c r="F1758" s="21">
        <f t="shared" ref="F1758" si="467">+E1758*1.21</f>
        <v>2202.1999999999998</v>
      </c>
      <c r="G1758" s="21"/>
      <c r="H1758" s="135">
        <f t="shared" ref="H1758" si="468">ROUNDUP(T1758,-1)</f>
        <v>0</v>
      </c>
      <c r="I1758" s="294"/>
      <c r="J1758" s="294">
        <v>45351</v>
      </c>
      <c r="K1758" s="10">
        <f>0.9*0.7*1798</f>
        <v>1132.74</v>
      </c>
      <c r="L1758" s="10"/>
      <c r="M1758" s="11"/>
      <c r="N1758" s="100"/>
      <c r="O1758" s="11">
        <f t="shared" ref="O1758" si="469">MIN(K1758:M1758)</f>
        <v>1132.74</v>
      </c>
      <c r="P1758" s="11">
        <f t="shared" ref="P1758" si="470">+O1758</f>
        <v>1132.74</v>
      </c>
      <c r="Q1758" s="11">
        <v>1.6</v>
      </c>
      <c r="R1758" s="11">
        <f t="shared" ref="R1758" si="471">+P1758*Q1758</f>
        <v>1812.384</v>
      </c>
      <c r="S1758" s="11"/>
      <c r="T1758" s="136">
        <f t="shared" ref="T1758" si="472">+N1758*Q1758</f>
        <v>0</v>
      </c>
    </row>
    <row r="1759" spans="1:20" ht="15.75" customHeight="1">
      <c r="A1759" s="149">
        <v>101</v>
      </c>
      <c r="B1759" s="273"/>
      <c r="C1759" s="28" t="s">
        <v>62644</v>
      </c>
      <c r="D1759" s="41"/>
      <c r="E1759" s="131">
        <f t="shared" ref="E1759:E1761" si="473">ROUNDUP(R1759,-1)</f>
        <v>4840</v>
      </c>
      <c r="F1759" s="21">
        <f t="shared" ref="F1759:F1761" si="474">+E1759*1.21</f>
        <v>5856.4</v>
      </c>
      <c r="G1759" s="21"/>
      <c r="H1759" s="135">
        <f t="shared" ref="H1759:H1761" si="475">ROUNDUP(T1759,-1)</f>
        <v>0</v>
      </c>
      <c r="I1759" s="294"/>
      <c r="J1759" s="294">
        <v>45351</v>
      </c>
      <c r="K1759" s="10">
        <f>0.9*0.7*4792</f>
        <v>3018.96</v>
      </c>
      <c r="L1759" s="10"/>
      <c r="M1759" s="11"/>
      <c r="N1759" s="100"/>
      <c r="O1759" s="11">
        <f t="shared" ref="O1759:O1761" si="476">MIN(K1759:M1759)</f>
        <v>3018.96</v>
      </c>
      <c r="P1759" s="11">
        <f t="shared" ref="P1759:P1761" si="477">+O1759</f>
        <v>3018.96</v>
      </c>
      <c r="Q1759" s="11">
        <v>1.6</v>
      </c>
      <c r="R1759" s="11">
        <f t="shared" ref="R1759:R1761" si="478">+P1759*Q1759</f>
        <v>4830.3360000000002</v>
      </c>
      <c r="S1759" s="11"/>
      <c r="T1759" s="136">
        <f t="shared" ref="T1759:T1761" si="479">+N1759*Q1759</f>
        <v>0</v>
      </c>
    </row>
    <row r="1760" spans="1:20" ht="15.75" customHeight="1">
      <c r="A1760" s="149">
        <v>101</v>
      </c>
      <c r="B1760" s="273"/>
      <c r="C1760" s="28" t="s">
        <v>62645</v>
      </c>
      <c r="D1760" s="41"/>
      <c r="E1760" s="131">
        <f t="shared" si="473"/>
        <v>8240</v>
      </c>
      <c r="F1760" s="21">
        <f t="shared" si="474"/>
        <v>9970.4</v>
      </c>
      <c r="G1760" s="21"/>
      <c r="H1760" s="135">
        <f t="shared" si="475"/>
        <v>0</v>
      </c>
      <c r="I1760" s="294"/>
      <c r="J1760" s="294">
        <v>45351</v>
      </c>
      <c r="K1760" s="10">
        <f>0.9*0.7*8165</f>
        <v>5143.95</v>
      </c>
      <c r="L1760" s="10"/>
      <c r="M1760" s="11"/>
      <c r="N1760" s="100"/>
      <c r="O1760" s="11">
        <f t="shared" si="476"/>
        <v>5143.95</v>
      </c>
      <c r="P1760" s="11">
        <f t="shared" si="477"/>
        <v>5143.95</v>
      </c>
      <c r="Q1760" s="11">
        <v>1.6</v>
      </c>
      <c r="R1760" s="11">
        <f t="shared" si="478"/>
        <v>8230.32</v>
      </c>
      <c r="S1760" s="11"/>
      <c r="T1760" s="136">
        <f t="shared" si="479"/>
        <v>0</v>
      </c>
    </row>
    <row r="1761" spans="1:20" ht="15.75" customHeight="1">
      <c r="A1761" s="149">
        <v>101</v>
      </c>
      <c r="B1761" s="273"/>
      <c r="C1761" s="28" t="s">
        <v>62646</v>
      </c>
      <c r="D1761" s="41"/>
      <c r="E1761" s="131">
        <f t="shared" si="473"/>
        <v>13100</v>
      </c>
      <c r="F1761" s="21">
        <f t="shared" si="474"/>
        <v>15851</v>
      </c>
      <c r="G1761" s="21"/>
      <c r="H1761" s="135">
        <f t="shared" si="475"/>
        <v>0</v>
      </c>
      <c r="I1761" s="294"/>
      <c r="J1761" s="294">
        <v>45351</v>
      </c>
      <c r="K1761" s="10">
        <f>0.9*0.7*12990</f>
        <v>8183.7</v>
      </c>
      <c r="L1761" s="10"/>
      <c r="M1761" s="11"/>
      <c r="N1761" s="100"/>
      <c r="O1761" s="11">
        <f t="shared" si="476"/>
        <v>8183.7</v>
      </c>
      <c r="P1761" s="11">
        <f t="shared" si="477"/>
        <v>8183.7</v>
      </c>
      <c r="Q1761" s="11">
        <v>1.6</v>
      </c>
      <c r="R1761" s="11">
        <f t="shared" si="478"/>
        <v>13093.92</v>
      </c>
      <c r="S1761" s="11"/>
      <c r="T1761" s="136">
        <f t="shared" si="479"/>
        <v>0</v>
      </c>
    </row>
    <row r="1762" spans="1:20" ht="15.75" customHeight="1">
      <c r="A1762" s="149" t="s">
        <v>2402</v>
      </c>
      <c r="B1762" s="273"/>
      <c r="C1762" s="28" t="s">
        <v>44134</v>
      </c>
      <c r="D1762" s="41">
        <v>170</v>
      </c>
      <c r="E1762" s="131">
        <f t="shared" si="448"/>
        <v>9380</v>
      </c>
      <c r="F1762" s="21">
        <f t="shared" si="461"/>
        <v>11349.8</v>
      </c>
      <c r="G1762" s="21"/>
      <c r="H1762" s="135">
        <f t="shared" si="464"/>
        <v>0</v>
      </c>
      <c r="I1762" s="294">
        <v>45217</v>
      </c>
      <c r="J1762" s="294">
        <v>45329</v>
      </c>
      <c r="K1762" s="10">
        <f>0.6*9764</f>
        <v>5858.4</v>
      </c>
      <c r="L1762" s="148"/>
      <c r="M1762" s="11"/>
      <c r="N1762" s="100"/>
      <c r="O1762" s="11">
        <f t="shared" ref="O1762:O1837" si="480">MIN(K1762:M1762)</f>
        <v>5858.4</v>
      </c>
      <c r="P1762" s="11">
        <f t="shared" si="462"/>
        <v>5858.4</v>
      </c>
      <c r="Q1762" s="11">
        <v>1.6</v>
      </c>
      <c r="R1762" s="11">
        <f t="shared" si="463"/>
        <v>9373.44</v>
      </c>
      <c r="S1762" s="11"/>
      <c r="T1762" s="136">
        <f t="shared" si="465"/>
        <v>0</v>
      </c>
    </row>
    <row r="1763" spans="1:20" ht="15.75" customHeight="1">
      <c r="A1763" s="149" t="s">
        <v>2402</v>
      </c>
      <c r="B1763" s="273"/>
      <c r="C1763" s="28" t="s">
        <v>44135</v>
      </c>
      <c r="D1763" s="41">
        <v>190</v>
      </c>
      <c r="E1763" s="131">
        <f>ROUNDUP(R1763,-1)</f>
        <v>10560</v>
      </c>
      <c r="F1763" s="21">
        <f>+E1763*1.21</f>
        <v>12777.6</v>
      </c>
      <c r="G1763" s="21"/>
      <c r="H1763" s="135">
        <f>ROUNDUP(T1763,-1)</f>
        <v>0</v>
      </c>
      <c r="I1763" s="294">
        <v>45217</v>
      </c>
      <c r="J1763" s="294">
        <v>45329</v>
      </c>
      <c r="K1763" s="10">
        <f>0.6*10995</f>
        <v>6597</v>
      </c>
      <c r="L1763" s="11"/>
      <c r="M1763" s="11"/>
      <c r="N1763" s="100"/>
      <c r="O1763" s="11">
        <f>MIN(K1763:M1763)</f>
        <v>6597</v>
      </c>
      <c r="P1763" s="11">
        <f t="shared" si="462"/>
        <v>6597</v>
      </c>
      <c r="Q1763" s="11">
        <v>1.6</v>
      </c>
      <c r="R1763" s="11">
        <f t="shared" si="463"/>
        <v>10555.2</v>
      </c>
      <c r="S1763" s="11"/>
      <c r="T1763" s="136">
        <f>+N1763*Q1763</f>
        <v>0</v>
      </c>
    </row>
    <row r="1764" spans="1:20" ht="15.75" customHeight="1">
      <c r="A1764" s="149" t="s">
        <v>2402</v>
      </c>
      <c r="B1764" s="273"/>
      <c r="C1764" s="28" t="s">
        <v>44136</v>
      </c>
      <c r="D1764" s="41">
        <v>250</v>
      </c>
      <c r="E1764" s="131">
        <f t="shared" si="448"/>
        <v>11920</v>
      </c>
      <c r="F1764" s="21">
        <f t="shared" si="461"/>
        <v>14423.199999999999</v>
      </c>
      <c r="G1764" s="21"/>
      <c r="H1764" s="135">
        <f t="shared" si="464"/>
        <v>0</v>
      </c>
      <c r="I1764" s="294">
        <v>45217</v>
      </c>
      <c r="J1764" s="294">
        <v>45329</v>
      </c>
      <c r="K1764" s="10">
        <f>0.6*12411</f>
        <v>7446.5999999999995</v>
      </c>
      <c r="L1764" s="11"/>
      <c r="M1764" s="11"/>
      <c r="N1764" s="100"/>
      <c r="O1764" s="11">
        <f t="shared" si="480"/>
        <v>7446.5999999999995</v>
      </c>
      <c r="P1764" s="11">
        <f t="shared" si="462"/>
        <v>7446.5999999999995</v>
      </c>
      <c r="Q1764" s="11">
        <v>1.6</v>
      </c>
      <c r="R1764" s="11">
        <f t="shared" si="463"/>
        <v>11914.56</v>
      </c>
      <c r="S1764" s="11"/>
      <c r="T1764" s="136">
        <f t="shared" si="465"/>
        <v>0</v>
      </c>
    </row>
    <row r="1765" spans="1:20" ht="15.75" customHeight="1">
      <c r="A1765" s="149">
        <v>106</v>
      </c>
      <c r="B1765" s="273"/>
      <c r="C1765" s="28" t="s">
        <v>4393</v>
      </c>
      <c r="D1765" s="41"/>
      <c r="E1765" s="131">
        <f t="shared" ref="E1765:E1770" si="481">ROUNDUP(R1765,-1)</f>
        <v>9000</v>
      </c>
      <c r="F1765" s="21">
        <f t="shared" ref="F1765:F1770" si="482">+E1765*1.21</f>
        <v>10890</v>
      </c>
      <c r="G1765" s="21"/>
      <c r="H1765" s="135">
        <f t="shared" ref="H1765:H1770" si="483">ROUNDUP(T1765,-1)</f>
        <v>0</v>
      </c>
      <c r="I1765" s="294">
        <v>45274</v>
      </c>
      <c r="J1765" s="294">
        <v>45334</v>
      </c>
      <c r="K1765" s="10">
        <f>0.82*6454</f>
        <v>5292.28</v>
      </c>
      <c r="L1765" s="11"/>
      <c r="M1765" s="11"/>
      <c r="N1765" s="100"/>
      <c r="O1765" s="11">
        <f t="shared" ref="O1765:O1770" si="484">MIN(K1765:M1765)</f>
        <v>5292.28</v>
      </c>
      <c r="P1765" s="11">
        <f t="shared" si="462"/>
        <v>5292.28</v>
      </c>
      <c r="Q1765" s="11">
        <v>1.7</v>
      </c>
      <c r="R1765" s="11">
        <f t="shared" si="463"/>
        <v>8996.8760000000002</v>
      </c>
      <c r="S1765" s="11"/>
      <c r="T1765" s="136">
        <f t="shared" ref="T1765:T1770" si="485">+N1765*Q1765</f>
        <v>0</v>
      </c>
    </row>
    <row r="1766" spans="1:20" ht="15.75" customHeight="1">
      <c r="A1766" s="149">
        <v>106</v>
      </c>
      <c r="B1766" s="273"/>
      <c r="C1766" s="28" t="s">
        <v>4394</v>
      </c>
      <c r="D1766" s="41"/>
      <c r="E1766" s="131">
        <f t="shared" si="481"/>
        <v>10200</v>
      </c>
      <c r="F1766" s="21">
        <f t="shared" si="482"/>
        <v>12342</v>
      </c>
      <c r="G1766" s="21"/>
      <c r="H1766" s="135">
        <f t="shared" si="483"/>
        <v>0</v>
      </c>
      <c r="I1766" s="294">
        <v>45274</v>
      </c>
      <c r="J1766" s="294">
        <v>45334</v>
      </c>
      <c r="K1766" s="10">
        <f>0.82*7311</f>
        <v>5995.0199999999995</v>
      </c>
      <c r="L1766" s="11"/>
      <c r="M1766" s="11"/>
      <c r="N1766" s="100"/>
      <c r="O1766" s="11">
        <f t="shared" si="484"/>
        <v>5995.0199999999995</v>
      </c>
      <c r="P1766" s="11">
        <f t="shared" si="462"/>
        <v>5995.0199999999995</v>
      </c>
      <c r="Q1766" s="11">
        <v>1.7</v>
      </c>
      <c r="R1766" s="11">
        <f t="shared" si="463"/>
        <v>10191.534</v>
      </c>
      <c r="S1766" s="11"/>
      <c r="T1766" s="136">
        <f t="shared" si="485"/>
        <v>0</v>
      </c>
    </row>
    <row r="1767" spans="1:20" ht="15.75" customHeight="1">
      <c r="A1767" s="149">
        <v>106</v>
      </c>
      <c r="B1767" s="273"/>
      <c r="C1767" s="28" t="s">
        <v>4395</v>
      </c>
      <c r="D1767" s="41"/>
      <c r="E1767" s="131">
        <f t="shared" si="481"/>
        <v>14980</v>
      </c>
      <c r="F1767" s="21">
        <f t="shared" si="482"/>
        <v>18125.8</v>
      </c>
      <c r="G1767" s="21"/>
      <c r="H1767" s="135">
        <f t="shared" si="483"/>
        <v>0</v>
      </c>
      <c r="I1767" s="294">
        <v>45274</v>
      </c>
      <c r="J1767" s="294">
        <v>45334</v>
      </c>
      <c r="K1767" s="10">
        <f>0.82*10745</f>
        <v>8810.9</v>
      </c>
      <c r="L1767" s="11"/>
      <c r="M1767" s="11"/>
      <c r="N1767" s="100"/>
      <c r="O1767" s="11">
        <f t="shared" si="484"/>
        <v>8810.9</v>
      </c>
      <c r="P1767" s="11">
        <f t="shared" si="462"/>
        <v>8810.9</v>
      </c>
      <c r="Q1767" s="11">
        <v>1.7</v>
      </c>
      <c r="R1767" s="11">
        <f t="shared" si="463"/>
        <v>14978.529999999999</v>
      </c>
      <c r="S1767" s="11"/>
      <c r="T1767" s="136">
        <f t="shared" si="485"/>
        <v>0</v>
      </c>
    </row>
    <row r="1768" spans="1:20" ht="15.75" customHeight="1">
      <c r="A1768" s="149">
        <v>106</v>
      </c>
      <c r="B1768" s="273"/>
      <c r="C1768" s="28" t="s">
        <v>4396</v>
      </c>
      <c r="D1768" s="41"/>
      <c r="E1768" s="131">
        <f t="shared" si="481"/>
        <v>16330</v>
      </c>
      <c r="F1768" s="21">
        <f t="shared" si="482"/>
        <v>19759.3</v>
      </c>
      <c r="G1768" s="21"/>
      <c r="H1768" s="135">
        <f t="shared" si="483"/>
        <v>0</v>
      </c>
      <c r="I1768" s="294">
        <v>45274</v>
      </c>
      <c r="J1768" s="294">
        <v>45334</v>
      </c>
      <c r="K1768" s="10">
        <f>0.82*11714</f>
        <v>9605.48</v>
      </c>
      <c r="L1768" s="11"/>
      <c r="M1768" s="11"/>
      <c r="N1768" s="100"/>
      <c r="O1768" s="11">
        <f t="shared" si="484"/>
        <v>9605.48</v>
      </c>
      <c r="P1768" s="11">
        <f t="shared" si="462"/>
        <v>9605.48</v>
      </c>
      <c r="Q1768" s="11">
        <v>1.7</v>
      </c>
      <c r="R1768" s="11">
        <f t="shared" si="463"/>
        <v>16329.315999999999</v>
      </c>
      <c r="S1768" s="11"/>
      <c r="T1768" s="136">
        <f t="shared" si="485"/>
        <v>0</v>
      </c>
    </row>
    <row r="1769" spans="1:20" ht="15.75" customHeight="1">
      <c r="A1769" s="149">
        <v>106</v>
      </c>
      <c r="B1769" s="273"/>
      <c r="C1769" s="28" t="s">
        <v>4397</v>
      </c>
      <c r="D1769" s="41"/>
      <c r="E1769" s="131">
        <f t="shared" si="481"/>
        <v>17840</v>
      </c>
      <c r="F1769" s="21">
        <f t="shared" si="482"/>
        <v>21586.399999999998</v>
      </c>
      <c r="G1769" s="21"/>
      <c r="H1769" s="135">
        <f t="shared" si="483"/>
        <v>0</v>
      </c>
      <c r="I1769" s="294">
        <v>45274</v>
      </c>
      <c r="J1769" s="294">
        <v>45334</v>
      </c>
      <c r="K1769" s="10">
        <f>0.82*12792</f>
        <v>10489.439999999999</v>
      </c>
      <c r="L1769" s="11"/>
      <c r="M1769" s="11"/>
      <c r="N1769" s="100"/>
      <c r="O1769" s="11">
        <f t="shared" si="484"/>
        <v>10489.439999999999</v>
      </c>
      <c r="P1769" s="11">
        <f t="shared" si="462"/>
        <v>10489.439999999999</v>
      </c>
      <c r="Q1769" s="11">
        <v>1.7</v>
      </c>
      <c r="R1769" s="11">
        <f t="shared" si="463"/>
        <v>17832.047999999999</v>
      </c>
      <c r="S1769" s="11"/>
      <c r="T1769" s="136">
        <f t="shared" si="485"/>
        <v>0</v>
      </c>
    </row>
    <row r="1770" spans="1:20" ht="15.75" customHeight="1">
      <c r="A1770" s="149">
        <v>24</v>
      </c>
      <c r="B1770" s="273"/>
      <c r="C1770" s="28" t="s">
        <v>2586</v>
      </c>
      <c r="D1770" s="41">
        <v>890</v>
      </c>
      <c r="E1770" s="131">
        <f t="shared" si="481"/>
        <v>14140</v>
      </c>
      <c r="F1770" s="21">
        <f t="shared" si="482"/>
        <v>17109.399999999998</v>
      </c>
      <c r="G1770" s="21"/>
      <c r="H1770" s="135">
        <f t="shared" si="483"/>
        <v>0</v>
      </c>
      <c r="I1770" s="294">
        <v>45175</v>
      </c>
      <c r="J1770" s="294"/>
      <c r="K1770" s="11">
        <f>+PROVEEDORES!$D$18*0.5*15.69</f>
        <v>8315.6999999999989</v>
      </c>
      <c r="L1770" s="10"/>
      <c r="M1770" s="10"/>
      <c r="N1770" s="100"/>
      <c r="O1770" s="11">
        <f t="shared" si="484"/>
        <v>8315.6999999999989</v>
      </c>
      <c r="P1770" s="11">
        <f t="shared" si="462"/>
        <v>8315.6999999999989</v>
      </c>
      <c r="Q1770" s="11">
        <v>1.7</v>
      </c>
      <c r="R1770" s="11">
        <f t="shared" si="463"/>
        <v>14136.689999999997</v>
      </c>
      <c r="S1770" s="11"/>
      <c r="T1770" s="136">
        <f t="shared" si="485"/>
        <v>0</v>
      </c>
    </row>
    <row r="1771" spans="1:20" ht="15.75" customHeight="1">
      <c r="A1771" s="149">
        <v>24</v>
      </c>
      <c r="B1771" s="273"/>
      <c r="C1771" s="28" t="s">
        <v>2587</v>
      </c>
      <c r="D1771" s="41">
        <v>560</v>
      </c>
      <c r="E1771" s="131">
        <f t="shared" si="448"/>
        <v>9400</v>
      </c>
      <c r="F1771" s="21">
        <f t="shared" si="461"/>
        <v>11374</v>
      </c>
      <c r="G1771" s="21"/>
      <c r="H1771" s="135">
        <f t="shared" si="464"/>
        <v>0</v>
      </c>
      <c r="I1771" s="294">
        <v>45175</v>
      </c>
      <c r="J1771" s="294"/>
      <c r="K1771" s="11">
        <f>+PROVEEDORES!$D$18*0.5*10.43</f>
        <v>5527.9</v>
      </c>
      <c r="L1771" s="11"/>
      <c r="M1771" s="11"/>
      <c r="N1771" s="100"/>
      <c r="O1771" s="11">
        <f t="shared" si="480"/>
        <v>5527.9</v>
      </c>
      <c r="P1771" s="11">
        <f t="shared" si="462"/>
        <v>5527.9</v>
      </c>
      <c r="Q1771" s="11">
        <v>1.7</v>
      </c>
      <c r="R1771" s="11">
        <f t="shared" si="463"/>
        <v>9397.4299999999985</v>
      </c>
      <c r="S1771" s="11"/>
      <c r="T1771" s="136">
        <f t="shared" si="465"/>
        <v>0</v>
      </c>
    </row>
    <row r="1772" spans="1:20" ht="15.75" customHeight="1">
      <c r="A1772" s="149">
        <v>24</v>
      </c>
      <c r="B1772" s="273"/>
      <c r="C1772" s="28" t="s">
        <v>3464</v>
      </c>
      <c r="D1772" s="41">
        <v>1060</v>
      </c>
      <c r="E1772" s="131">
        <f t="shared" ref="E1772:E1853" si="486">ROUNDUP(R1772,-1)</f>
        <v>15050</v>
      </c>
      <c r="F1772" s="21">
        <f t="shared" si="461"/>
        <v>18210.5</v>
      </c>
      <c r="G1772" s="21" t="s">
        <v>2219</v>
      </c>
      <c r="H1772" s="135">
        <f t="shared" si="464"/>
        <v>0</v>
      </c>
      <c r="I1772" s="294">
        <v>45175</v>
      </c>
      <c r="J1772" s="294"/>
      <c r="K1772" s="11">
        <f>+PROVEEDORES!$D$18*0.5*16.7</f>
        <v>8851</v>
      </c>
      <c r="L1772" s="10"/>
      <c r="M1772" s="11"/>
      <c r="N1772" s="100"/>
      <c r="O1772" s="11">
        <f t="shared" si="480"/>
        <v>8851</v>
      </c>
      <c r="P1772" s="11">
        <f t="shared" si="462"/>
        <v>8851</v>
      </c>
      <c r="Q1772" s="11">
        <v>1.7</v>
      </c>
      <c r="R1772" s="11">
        <f t="shared" si="463"/>
        <v>15046.699999999999</v>
      </c>
      <c r="S1772" s="11"/>
      <c r="T1772" s="136">
        <f t="shared" si="465"/>
        <v>0</v>
      </c>
    </row>
    <row r="1773" spans="1:20" ht="15.75" customHeight="1">
      <c r="A1773" s="149">
        <v>24</v>
      </c>
      <c r="B1773" s="273"/>
      <c r="C1773" s="28" t="s">
        <v>2588</v>
      </c>
      <c r="D1773" s="41">
        <v>630</v>
      </c>
      <c r="E1773" s="131">
        <f>ROUNDUP(R1773,-1)</f>
        <v>10630</v>
      </c>
      <c r="F1773" s="21">
        <f>+E1773*1.21</f>
        <v>12862.3</v>
      </c>
      <c r="G1773" s="21"/>
      <c r="H1773" s="135">
        <f>ROUNDUP(T1773,-1)</f>
        <v>0</v>
      </c>
      <c r="I1773" s="294">
        <v>45175</v>
      </c>
      <c r="J1773" s="294"/>
      <c r="K1773" s="11">
        <f>+PROVEEDORES!$D$18*0.5*11.79</f>
        <v>6248.7</v>
      </c>
      <c r="L1773" s="11"/>
      <c r="M1773" s="11"/>
      <c r="N1773" s="100"/>
      <c r="O1773" s="11">
        <f>MIN(K1773:M1773)</f>
        <v>6248.7</v>
      </c>
      <c r="P1773" s="11">
        <f t="shared" si="462"/>
        <v>6248.7</v>
      </c>
      <c r="Q1773" s="11">
        <v>1.7</v>
      </c>
      <c r="R1773" s="11">
        <f t="shared" si="463"/>
        <v>10622.789999999999</v>
      </c>
      <c r="S1773" s="11"/>
      <c r="T1773" s="136">
        <f>+N1773*Q1773</f>
        <v>0</v>
      </c>
    </row>
    <row r="1774" spans="1:20" ht="15.75" customHeight="1">
      <c r="A1774" s="149">
        <v>24</v>
      </c>
      <c r="B1774" s="273"/>
      <c r="C1774" s="28" t="s">
        <v>2589</v>
      </c>
      <c r="D1774" s="41">
        <v>1050</v>
      </c>
      <c r="E1774" s="131">
        <f>ROUNDUP(R1774,-1)</f>
        <v>16570</v>
      </c>
      <c r="F1774" s="21">
        <f>+E1774*1.21</f>
        <v>20049.7</v>
      </c>
      <c r="G1774" s="21"/>
      <c r="H1774" s="135">
        <f>ROUNDUP(T1774,-1)</f>
        <v>0</v>
      </c>
      <c r="I1774" s="294">
        <v>45175</v>
      </c>
      <c r="J1774" s="294"/>
      <c r="K1774" s="11">
        <f>+PROVEEDORES!$D$18*0.5*18.39</f>
        <v>9746.7000000000007</v>
      </c>
      <c r="L1774" s="11"/>
      <c r="M1774" s="11"/>
      <c r="N1774" s="100"/>
      <c r="O1774" s="11">
        <f>MIN(K1774:M1774)</f>
        <v>9746.7000000000007</v>
      </c>
      <c r="P1774" s="11">
        <f t="shared" si="462"/>
        <v>9746.7000000000007</v>
      </c>
      <c r="Q1774" s="11">
        <v>1.7</v>
      </c>
      <c r="R1774" s="11">
        <f t="shared" si="463"/>
        <v>16569.39</v>
      </c>
      <c r="S1774" s="11"/>
      <c r="T1774" s="136">
        <f>+N1774*Q1774</f>
        <v>0</v>
      </c>
    </row>
    <row r="1775" spans="1:20" ht="15.75" customHeight="1">
      <c r="A1775" s="149">
        <v>24</v>
      </c>
      <c r="B1775" s="273"/>
      <c r="C1775" s="28" t="s">
        <v>2590</v>
      </c>
      <c r="D1775" s="41">
        <v>760</v>
      </c>
      <c r="E1775" s="131">
        <f t="shared" si="486"/>
        <v>13080</v>
      </c>
      <c r="F1775" s="21">
        <f t="shared" ref="F1775:F1808" si="487">+E1775*1.21</f>
        <v>15826.8</v>
      </c>
      <c r="G1775" s="21"/>
      <c r="H1775" s="135">
        <f t="shared" si="464"/>
        <v>0</v>
      </c>
      <c r="I1775" s="294">
        <v>45175</v>
      </c>
      <c r="J1775" s="294"/>
      <c r="K1775" s="11">
        <f>+PROVEEDORES!$D$18*0.5*14.51</f>
        <v>7690.3</v>
      </c>
      <c r="L1775" s="11"/>
      <c r="M1775" s="11"/>
      <c r="N1775" s="100"/>
      <c r="O1775" s="11">
        <f t="shared" si="480"/>
        <v>7690.3</v>
      </c>
      <c r="P1775" s="11">
        <f t="shared" si="462"/>
        <v>7690.3</v>
      </c>
      <c r="Q1775" s="11">
        <v>1.7</v>
      </c>
      <c r="R1775" s="11">
        <f t="shared" si="463"/>
        <v>13073.51</v>
      </c>
      <c r="S1775" s="11"/>
      <c r="T1775" s="136">
        <f t="shared" si="465"/>
        <v>0</v>
      </c>
    </row>
    <row r="1776" spans="1:20" ht="15.75" customHeight="1">
      <c r="A1776" s="149">
        <v>24</v>
      </c>
      <c r="B1776" s="273"/>
      <c r="C1776" s="28" t="s">
        <v>2591</v>
      </c>
      <c r="D1776" s="41">
        <v>1180</v>
      </c>
      <c r="E1776" s="131">
        <f t="shared" si="486"/>
        <v>18570</v>
      </c>
      <c r="F1776" s="21">
        <f t="shared" si="487"/>
        <v>22469.7</v>
      </c>
      <c r="G1776" s="21"/>
      <c r="H1776" s="135">
        <f t="shared" si="464"/>
        <v>0</v>
      </c>
      <c r="I1776" s="294">
        <v>45175</v>
      </c>
      <c r="J1776" s="294"/>
      <c r="K1776" s="11">
        <f>+PROVEEDORES!$D$18*0.5*20.61</f>
        <v>10923.3</v>
      </c>
      <c r="L1776" s="11"/>
      <c r="M1776" s="11"/>
      <c r="N1776" s="100"/>
      <c r="O1776" s="11">
        <f t="shared" si="480"/>
        <v>10923.3</v>
      </c>
      <c r="P1776" s="11">
        <f t="shared" si="462"/>
        <v>10923.3</v>
      </c>
      <c r="Q1776" s="11">
        <v>1.7</v>
      </c>
      <c r="R1776" s="11">
        <f t="shared" si="463"/>
        <v>18569.609999999997</v>
      </c>
      <c r="S1776" s="11"/>
      <c r="T1776" s="136">
        <f t="shared" si="465"/>
        <v>0</v>
      </c>
    </row>
    <row r="1777" spans="1:20" ht="15.75" customHeight="1">
      <c r="A1777" s="149">
        <v>24</v>
      </c>
      <c r="B1777" s="273"/>
      <c r="C1777" s="28" t="s">
        <v>2769</v>
      </c>
      <c r="D1777" s="41"/>
      <c r="E1777" s="131">
        <f>ROUNDUP(R1777,-1)</f>
        <v>20570</v>
      </c>
      <c r="F1777" s="21">
        <f>+E1777*1.21</f>
        <v>24889.7</v>
      </c>
      <c r="G1777" s="21"/>
      <c r="H1777" s="135">
        <f>ROUNDUP(T1777,-1)</f>
        <v>0</v>
      </c>
      <c r="I1777" s="294">
        <v>45175</v>
      </c>
      <c r="J1777" s="294"/>
      <c r="K1777" s="11">
        <f>+PROVEEDORES!$D$18*0.5*22.83</f>
        <v>12099.9</v>
      </c>
      <c r="L1777" s="11"/>
      <c r="M1777" s="11"/>
      <c r="N1777" s="100"/>
      <c r="O1777" s="11">
        <f>MIN(K1777:M1777)</f>
        <v>12099.9</v>
      </c>
      <c r="P1777" s="11">
        <f t="shared" si="462"/>
        <v>12099.9</v>
      </c>
      <c r="Q1777" s="11">
        <v>1.7</v>
      </c>
      <c r="R1777" s="11">
        <f t="shared" si="463"/>
        <v>20569.829999999998</v>
      </c>
      <c r="S1777" s="11"/>
      <c r="T1777" s="136">
        <f>+N1777*Q1777</f>
        <v>0</v>
      </c>
    </row>
    <row r="1778" spans="1:20" ht="15.75" customHeight="1">
      <c r="A1778" s="149">
        <v>24</v>
      </c>
      <c r="B1778" s="273"/>
      <c r="C1778" s="28" t="s">
        <v>2592</v>
      </c>
      <c r="D1778" s="41">
        <v>1520</v>
      </c>
      <c r="E1778" s="131">
        <f t="shared" si="486"/>
        <v>24030</v>
      </c>
      <c r="F1778" s="21">
        <f t="shared" si="487"/>
        <v>29076.3</v>
      </c>
      <c r="G1778" s="21"/>
      <c r="H1778" s="135">
        <f t="shared" si="464"/>
        <v>0</v>
      </c>
      <c r="I1778" s="294">
        <v>45175</v>
      </c>
      <c r="J1778" s="294"/>
      <c r="K1778" s="11">
        <f>+PROVEEDORES!$D$18*0.5*26.67</f>
        <v>14135.1</v>
      </c>
      <c r="L1778" s="11"/>
      <c r="M1778" s="11"/>
      <c r="N1778" s="100"/>
      <c r="O1778" s="11">
        <f t="shared" si="480"/>
        <v>14135.1</v>
      </c>
      <c r="P1778" s="11">
        <f t="shared" si="462"/>
        <v>14135.1</v>
      </c>
      <c r="Q1778" s="11">
        <v>1.7</v>
      </c>
      <c r="R1778" s="11">
        <f t="shared" si="463"/>
        <v>24029.67</v>
      </c>
      <c r="S1778" s="11"/>
      <c r="T1778" s="136">
        <f t="shared" si="465"/>
        <v>0</v>
      </c>
    </row>
    <row r="1779" spans="1:20" ht="15.75" customHeight="1">
      <c r="A1779" s="149">
        <v>24</v>
      </c>
      <c r="B1779" s="273"/>
      <c r="C1779" s="28" t="s">
        <v>2593</v>
      </c>
      <c r="D1779" s="41">
        <v>1180</v>
      </c>
      <c r="E1779" s="131">
        <f>ROUNDUP(R1779,-1)</f>
        <v>20450</v>
      </c>
      <c r="F1779" s="21">
        <f>+E1779*1.21</f>
        <v>24744.5</v>
      </c>
      <c r="G1779" s="21"/>
      <c r="H1779" s="135">
        <f>ROUNDUP(T1779,-1)</f>
        <v>0</v>
      </c>
      <c r="I1779" s="294">
        <v>45175</v>
      </c>
      <c r="J1779" s="294"/>
      <c r="K1779" s="11">
        <f>+PROVEEDORES!$D$18*0.5*22.69</f>
        <v>12025.7</v>
      </c>
      <c r="L1779" s="11"/>
      <c r="M1779" s="11"/>
      <c r="N1779" s="100"/>
      <c r="O1779" s="11">
        <f>MIN(K1779:M1779)</f>
        <v>12025.7</v>
      </c>
      <c r="P1779" s="11">
        <f t="shared" si="462"/>
        <v>12025.7</v>
      </c>
      <c r="Q1779" s="11">
        <v>1.7</v>
      </c>
      <c r="R1779" s="11">
        <f t="shared" si="463"/>
        <v>20443.690000000002</v>
      </c>
      <c r="S1779" s="11"/>
      <c r="T1779" s="136">
        <f>+N1779*Q1779</f>
        <v>0</v>
      </c>
    </row>
    <row r="1780" spans="1:20" ht="15.75" customHeight="1">
      <c r="A1780" s="149">
        <v>24</v>
      </c>
      <c r="B1780" s="273"/>
      <c r="C1780" s="28" t="s">
        <v>2594</v>
      </c>
      <c r="D1780" s="41">
        <v>1720</v>
      </c>
      <c r="E1780" s="131">
        <f>ROUNDUP(R1780,-1)</f>
        <v>27130</v>
      </c>
      <c r="F1780" s="21">
        <f>+E1780*1.21</f>
        <v>32827.299999999996</v>
      </c>
      <c r="G1780" s="21"/>
      <c r="H1780" s="135">
        <f>ROUNDUP(T1780,-1)</f>
        <v>0</v>
      </c>
      <c r="I1780" s="294">
        <v>45175</v>
      </c>
      <c r="J1780" s="294"/>
      <c r="K1780" s="11">
        <f>+PROVEEDORES!$D$18*0.5*30.11</f>
        <v>15958.3</v>
      </c>
      <c r="L1780" s="148"/>
      <c r="M1780" s="11"/>
      <c r="N1780" s="100"/>
      <c r="O1780" s="11">
        <f>MIN(K1780:M1780)</f>
        <v>15958.3</v>
      </c>
      <c r="P1780" s="11">
        <f t="shared" si="462"/>
        <v>15958.3</v>
      </c>
      <c r="Q1780" s="11">
        <v>1.7</v>
      </c>
      <c r="R1780" s="11">
        <f t="shared" si="463"/>
        <v>27129.109999999997</v>
      </c>
      <c r="S1780" s="11"/>
      <c r="T1780" s="136">
        <f>+N1780*Q1780</f>
        <v>0</v>
      </c>
    </row>
    <row r="1781" spans="1:20" ht="15.75" customHeight="1">
      <c r="A1781" s="149" t="s">
        <v>44321</v>
      </c>
      <c r="B1781" s="273"/>
      <c r="C1781" s="28" t="s">
        <v>37269</v>
      </c>
      <c r="D1781" s="41"/>
      <c r="E1781" s="131">
        <f>ROUNDUP(R1781,-1)</f>
        <v>2170</v>
      </c>
      <c r="F1781" s="21">
        <f>+E1781*1.21</f>
        <v>2625.7</v>
      </c>
      <c r="G1781" s="21"/>
      <c r="H1781" s="135">
        <f>ROUNDUP(T1781,-1)</f>
        <v>0</v>
      </c>
      <c r="I1781" s="294">
        <v>45222</v>
      </c>
      <c r="J1781" s="294">
        <v>45331</v>
      </c>
      <c r="K1781" s="10">
        <f>1108*2</f>
        <v>2216</v>
      </c>
      <c r="L1781" s="10">
        <f>0.8*0.94*1695</f>
        <v>1274.6400000000001</v>
      </c>
      <c r="M1781" s="11"/>
      <c r="N1781" s="100"/>
      <c r="O1781" s="11">
        <f>MIN(K1781:M1781)</f>
        <v>1274.6400000000001</v>
      </c>
      <c r="P1781" s="11">
        <f>+O1781</f>
        <v>1274.6400000000001</v>
      </c>
      <c r="Q1781" s="11">
        <v>1.7</v>
      </c>
      <c r="R1781" s="11">
        <f>+P1781*Q1781</f>
        <v>2166.8879999999999</v>
      </c>
      <c r="S1781" s="11"/>
      <c r="T1781" s="136">
        <f>+N1781*Q1781</f>
        <v>0</v>
      </c>
    </row>
    <row r="1782" spans="1:20" ht="15.75" customHeight="1">
      <c r="A1782" s="149">
        <v>38</v>
      </c>
      <c r="B1782" s="273"/>
      <c r="C1782" s="28" t="s">
        <v>2601</v>
      </c>
      <c r="D1782" s="41">
        <v>230</v>
      </c>
      <c r="E1782" s="131">
        <f t="shared" si="486"/>
        <v>3720</v>
      </c>
      <c r="F1782" s="21">
        <f t="shared" si="487"/>
        <v>4501.2</v>
      </c>
      <c r="G1782" s="21"/>
      <c r="H1782" s="135">
        <f t="shared" si="464"/>
        <v>3220</v>
      </c>
      <c r="I1782" s="294">
        <v>45138</v>
      </c>
      <c r="J1782" s="294">
        <v>45274</v>
      </c>
      <c r="K1782" s="10">
        <f>+PROVEEDORES!$D$32*2.08</f>
        <v>2184</v>
      </c>
      <c r="L1782" s="148"/>
      <c r="M1782" s="11"/>
      <c r="N1782" s="100">
        <v>1892</v>
      </c>
      <c r="O1782" s="11">
        <f t="shared" si="480"/>
        <v>2184</v>
      </c>
      <c r="P1782" s="11">
        <f t="shared" si="462"/>
        <v>2184</v>
      </c>
      <c r="Q1782" s="11">
        <v>1.7</v>
      </c>
      <c r="R1782" s="11">
        <f t="shared" si="463"/>
        <v>3712.7999999999997</v>
      </c>
      <c r="S1782" s="11"/>
      <c r="T1782" s="136">
        <f t="shared" si="465"/>
        <v>3216.4</v>
      </c>
    </row>
    <row r="1783" spans="1:20" ht="15.75" customHeight="1">
      <c r="A1783" s="149">
        <v>38</v>
      </c>
      <c r="B1783" s="273"/>
      <c r="C1783" s="28" t="s">
        <v>2778</v>
      </c>
      <c r="D1783" s="41">
        <v>240</v>
      </c>
      <c r="E1783" s="131">
        <f t="shared" si="486"/>
        <v>3720</v>
      </c>
      <c r="F1783" s="21">
        <f t="shared" si="487"/>
        <v>4501.2</v>
      </c>
      <c r="G1783" s="21"/>
      <c r="H1783" s="135">
        <f t="shared" si="464"/>
        <v>3220</v>
      </c>
      <c r="I1783" s="294">
        <v>45138</v>
      </c>
      <c r="J1783" s="294">
        <v>45274</v>
      </c>
      <c r="K1783" s="10">
        <f>+PROVEEDORES!$D$32*2.08</f>
        <v>2184</v>
      </c>
      <c r="L1783" s="11"/>
      <c r="M1783" s="11"/>
      <c r="N1783" s="100">
        <v>1892</v>
      </c>
      <c r="O1783" s="11">
        <f t="shared" si="480"/>
        <v>2184</v>
      </c>
      <c r="P1783" s="11">
        <f t="shared" si="462"/>
        <v>2184</v>
      </c>
      <c r="Q1783" s="11">
        <v>1.7</v>
      </c>
      <c r="R1783" s="11">
        <f t="shared" si="463"/>
        <v>3712.7999999999997</v>
      </c>
      <c r="S1783" s="11"/>
      <c r="T1783" s="136">
        <f t="shared" si="465"/>
        <v>3216.4</v>
      </c>
    </row>
    <row r="1784" spans="1:20" ht="15.75" customHeight="1">
      <c r="A1784" s="149">
        <v>38</v>
      </c>
      <c r="B1784" s="273"/>
      <c r="C1784" s="28" t="s">
        <v>2779</v>
      </c>
      <c r="D1784" s="41">
        <v>250</v>
      </c>
      <c r="E1784" s="131">
        <f t="shared" si="486"/>
        <v>3910</v>
      </c>
      <c r="F1784" s="21">
        <f t="shared" si="487"/>
        <v>4731.0999999999995</v>
      </c>
      <c r="G1784" s="21"/>
      <c r="H1784" s="135">
        <f t="shared" si="464"/>
        <v>3400</v>
      </c>
      <c r="I1784" s="294">
        <v>45138</v>
      </c>
      <c r="J1784" s="294">
        <v>45274</v>
      </c>
      <c r="K1784" s="10">
        <f>+PROVEEDORES!$D$32*2.19</f>
        <v>2299.5</v>
      </c>
      <c r="L1784" s="11"/>
      <c r="M1784" s="11"/>
      <c r="N1784" s="100">
        <v>1998</v>
      </c>
      <c r="O1784" s="11">
        <f t="shared" si="480"/>
        <v>2299.5</v>
      </c>
      <c r="P1784" s="11">
        <f t="shared" si="462"/>
        <v>2299.5</v>
      </c>
      <c r="Q1784" s="11">
        <v>1.7</v>
      </c>
      <c r="R1784" s="11">
        <f t="shared" si="463"/>
        <v>3909.15</v>
      </c>
      <c r="S1784" s="11"/>
      <c r="T1784" s="136">
        <f t="shared" si="465"/>
        <v>3396.6</v>
      </c>
    </row>
    <row r="1785" spans="1:20" ht="15.75" customHeight="1">
      <c r="A1785" s="149">
        <v>38</v>
      </c>
      <c r="B1785" s="273"/>
      <c r="C1785" s="28" t="s">
        <v>2780</v>
      </c>
      <c r="D1785" s="41">
        <v>260</v>
      </c>
      <c r="E1785" s="131">
        <f t="shared" si="486"/>
        <v>4130</v>
      </c>
      <c r="F1785" s="21">
        <f t="shared" si="487"/>
        <v>4997.3</v>
      </c>
      <c r="G1785" s="21"/>
      <c r="H1785" s="135">
        <f t="shared" si="464"/>
        <v>3580</v>
      </c>
      <c r="I1785" s="294">
        <v>45138</v>
      </c>
      <c r="J1785" s="294">
        <v>45274</v>
      </c>
      <c r="K1785" s="10">
        <f>+PROVEEDORES!$D$32*2.31</f>
        <v>2425.5</v>
      </c>
      <c r="L1785" s="11"/>
      <c r="M1785" s="11"/>
      <c r="N1785" s="100">
        <v>2103</v>
      </c>
      <c r="O1785" s="11">
        <f t="shared" si="480"/>
        <v>2425.5</v>
      </c>
      <c r="P1785" s="11">
        <f t="shared" si="462"/>
        <v>2425.5</v>
      </c>
      <c r="Q1785" s="11">
        <v>1.7</v>
      </c>
      <c r="R1785" s="11">
        <f t="shared" si="463"/>
        <v>4123.3499999999995</v>
      </c>
      <c r="S1785" s="11"/>
      <c r="T1785" s="136">
        <f t="shared" si="465"/>
        <v>3575.1</v>
      </c>
    </row>
    <row r="1786" spans="1:20" ht="15.75" customHeight="1">
      <c r="A1786" s="149">
        <v>38</v>
      </c>
      <c r="B1786" s="273"/>
      <c r="C1786" s="28" t="s">
        <v>2781</v>
      </c>
      <c r="D1786" s="41">
        <v>270</v>
      </c>
      <c r="E1786" s="131">
        <f t="shared" si="486"/>
        <v>4130</v>
      </c>
      <c r="F1786" s="21">
        <f t="shared" si="487"/>
        <v>4997.3</v>
      </c>
      <c r="G1786" s="21"/>
      <c r="H1786" s="135">
        <f t="shared" si="464"/>
        <v>3580</v>
      </c>
      <c r="I1786" s="294">
        <v>45138</v>
      </c>
      <c r="J1786" s="294">
        <v>45274</v>
      </c>
      <c r="K1786" s="10">
        <f>+PROVEEDORES!$D$32*2.31</f>
        <v>2425.5</v>
      </c>
      <c r="L1786" s="11"/>
      <c r="M1786" s="11"/>
      <c r="N1786" s="100">
        <v>2103</v>
      </c>
      <c r="O1786" s="11">
        <f t="shared" si="480"/>
        <v>2425.5</v>
      </c>
      <c r="P1786" s="11">
        <f t="shared" si="462"/>
        <v>2425.5</v>
      </c>
      <c r="Q1786" s="11">
        <v>1.7</v>
      </c>
      <c r="R1786" s="11">
        <f t="shared" si="463"/>
        <v>4123.3499999999995</v>
      </c>
      <c r="S1786" s="11"/>
      <c r="T1786" s="136">
        <f t="shared" si="465"/>
        <v>3575.1</v>
      </c>
    </row>
    <row r="1787" spans="1:20" ht="15.75" customHeight="1">
      <c r="A1787" s="149">
        <v>38</v>
      </c>
      <c r="B1787" s="273"/>
      <c r="C1787" s="28" t="s">
        <v>2782</v>
      </c>
      <c r="D1787" s="41">
        <v>290</v>
      </c>
      <c r="E1787" s="131">
        <f t="shared" si="486"/>
        <v>4740</v>
      </c>
      <c r="F1787" s="21">
        <f t="shared" si="487"/>
        <v>5735.4</v>
      </c>
      <c r="G1787" s="21"/>
      <c r="H1787" s="135">
        <f t="shared" si="464"/>
        <v>4100</v>
      </c>
      <c r="I1787" s="294">
        <v>45138</v>
      </c>
      <c r="J1787" s="294">
        <v>45274</v>
      </c>
      <c r="K1787" s="10">
        <f>+PROVEEDORES!$D$32*2.65</f>
        <v>2782.5</v>
      </c>
      <c r="L1787" s="11"/>
      <c r="M1787" s="11"/>
      <c r="N1787" s="100">
        <v>2408</v>
      </c>
      <c r="O1787" s="11">
        <f t="shared" si="480"/>
        <v>2782.5</v>
      </c>
      <c r="P1787" s="11">
        <f t="shared" si="462"/>
        <v>2782.5</v>
      </c>
      <c r="Q1787" s="11">
        <v>1.7</v>
      </c>
      <c r="R1787" s="11">
        <f t="shared" si="463"/>
        <v>4730.25</v>
      </c>
      <c r="S1787" s="11"/>
      <c r="T1787" s="136">
        <f t="shared" si="465"/>
        <v>4093.6</v>
      </c>
    </row>
    <row r="1788" spans="1:20" ht="15.75" customHeight="1">
      <c r="A1788" s="149">
        <v>38</v>
      </c>
      <c r="B1788" s="273"/>
      <c r="C1788" s="28" t="s">
        <v>2777</v>
      </c>
      <c r="D1788" s="41">
        <v>300</v>
      </c>
      <c r="E1788" s="131">
        <f t="shared" si="486"/>
        <v>4740</v>
      </c>
      <c r="F1788" s="21">
        <f t="shared" si="487"/>
        <v>5735.4</v>
      </c>
      <c r="G1788" s="21"/>
      <c r="H1788" s="135">
        <f t="shared" si="464"/>
        <v>4100</v>
      </c>
      <c r="I1788" s="294">
        <v>45138</v>
      </c>
      <c r="J1788" s="294">
        <v>45274</v>
      </c>
      <c r="K1788" s="10">
        <f>+PROVEEDORES!$D$32*2.65</f>
        <v>2782.5</v>
      </c>
      <c r="L1788" s="11"/>
      <c r="M1788" s="11"/>
      <c r="N1788" s="100">
        <v>2408</v>
      </c>
      <c r="O1788" s="11">
        <f t="shared" si="480"/>
        <v>2782.5</v>
      </c>
      <c r="P1788" s="11">
        <f t="shared" si="462"/>
        <v>2782.5</v>
      </c>
      <c r="Q1788" s="11">
        <v>1.7</v>
      </c>
      <c r="R1788" s="11">
        <f t="shared" si="463"/>
        <v>4730.25</v>
      </c>
      <c r="S1788" s="11"/>
      <c r="T1788" s="136">
        <f t="shared" si="465"/>
        <v>4093.6</v>
      </c>
    </row>
    <row r="1789" spans="1:20" ht="15.75" customHeight="1">
      <c r="A1789" s="149">
        <v>38</v>
      </c>
      <c r="B1789" s="273"/>
      <c r="C1789" s="28" t="s">
        <v>2783</v>
      </c>
      <c r="D1789" s="41">
        <v>330</v>
      </c>
      <c r="E1789" s="131">
        <f t="shared" si="486"/>
        <v>5360</v>
      </c>
      <c r="F1789" s="21">
        <f t="shared" si="487"/>
        <v>6485.5999999999995</v>
      </c>
      <c r="G1789" s="21"/>
      <c r="H1789" s="135">
        <f t="shared" si="464"/>
        <v>4650</v>
      </c>
      <c r="I1789" s="294">
        <v>45138</v>
      </c>
      <c r="J1789" s="294">
        <v>45274</v>
      </c>
      <c r="K1789" s="10">
        <f>+PROVEEDORES!$D$32*3</f>
        <v>3150</v>
      </c>
      <c r="L1789" s="11"/>
      <c r="M1789" s="11"/>
      <c r="N1789" s="100">
        <v>2733</v>
      </c>
      <c r="O1789" s="11">
        <f t="shared" si="480"/>
        <v>3150</v>
      </c>
      <c r="P1789" s="11">
        <f t="shared" si="462"/>
        <v>3150</v>
      </c>
      <c r="Q1789" s="11">
        <v>1.7</v>
      </c>
      <c r="R1789" s="11">
        <f t="shared" si="463"/>
        <v>5355</v>
      </c>
      <c r="S1789" s="11"/>
      <c r="T1789" s="136">
        <f t="shared" si="465"/>
        <v>4646.0999999999995</v>
      </c>
    </row>
    <row r="1790" spans="1:20" ht="15.75" customHeight="1">
      <c r="A1790" s="149">
        <v>38</v>
      </c>
      <c r="B1790" s="273"/>
      <c r="C1790" s="28" t="s">
        <v>1719</v>
      </c>
      <c r="D1790" s="41">
        <v>130</v>
      </c>
      <c r="E1790" s="131">
        <f>ROUNDUP(R1790,-1)</f>
        <v>550</v>
      </c>
      <c r="F1790" s="21">
        <f>+E1790*1.21</f>
        <v>665.5</v>
      </c>
      <c r="G1790" s="21"/>
      <c r="H1790" s="135">
        <f>ROUNDUP(T1790,-1)</f>
        <v>0</v>
      </c>
      <c r="I1790" s="294">
        <v>45138</v>
      </c>
      <c r="J1790" s="294"/>
      <c r="K1790" s="10">
        <f>+'AUMENTOS %'!$B$9*343</f>
        <v>343</v>
      </c>
      <c r="L1790" s="11"/>
      <c r="M1790" s="11"/>
      <c r="N1790" s="100"/>
      <c r="O1790" s="11">
        <f>MIN(K1790:M1790)*'AUMENTOS %'!$B$9</f>
        <v>343</v>
      </c>
      <c r="P1790" s="11">
        <f t="shared" si="462"/>
        <v>343</v>
      </c>
      <c r="Q1790" s="11">
        <v>1.6</v>
      </c>
      <c r="R1790" s="11">
        <f t="shared" si="463"/>
        <v>548.80000000000007</v>
      </c>
      <c r="S1790" s="11"/>
      <c r="T1790" s="136">
        <f>+N1790*Q1790</f>
        <v>0</v>
      </c>
    </row>
    <row r="1791" spans="1:20" ht="15.75" customHeight="1">
      <c r="A1791" s="149">
        <v>38</v>
      </c>
      <c r="B1791" s="273"/>
      <c r="C1791" s="28" t="s">
        <v>1720</v>
      </c>
      <c r="D1791" s="41">
        <v>130</v>
      </c>
      <c r="E1791" s="131">
        <f>ROUNDUP(R1791,-1)</f>
        <v>580</v>
      </c>
      <c r="F1791" s="21">
        <f>+E1791*1.21</f>
        <v>701.8</v>
      </c>
      <c r="G1791" s="21"/>
      <c r="H1791" s="135">
        <f>ROUNDUP(T1791,-1)</f>
        <v>0</v>
      </c>
      <c r="I1791" s="294">
        <v>45138</v>
      </c>
      <c r="J1791" s="294"/>
      <c r="K1791" s="10">
        <f>+'AUMENTOS %'!$B$9*320</f>
        <v>320</v>
      </c>
      <c r="L1791" s="11"/>
      <c r="M1791" s="11"/>
      <c r="N1791" s="100"/>
      <c r="O1791" s="11">
        <f>MIN(K1791:M1791)*'AUMENTOS %'!$B$9</f>
        <v>320</v>
      </c>
      <c r="P1791" s="11">
        <f t="shared" si="462"/>
        <v>320</v>
      </c>
      <c r="Q1791" s="11">
        <v>1.8</v>
      </c>
      <c r="R1791" s="11">
        <f t="shared" si="463"/>
        <v>576</v>
      </c>
      <c r="S1791" s="11"/>
      <c r="T1791" s="136">
        <f>+N1791*Q1791</f>
        <v>0</v>
      </c>
    </row>
    <row r="1792" spans="1:20" ht="15.75" customHeight="1">
      <c r="A1792" s="149">
        <v>38</v>
      </c>
      <c r="B1792" s="273"/>
      <c r="C1792" s="28" t="s">
        <v>1721</v>
      </c>
      <c r="D1792" s="41">
        <v>130</v>
      </c>
      <c r="E1792" s="131">
        <f>ROUNDUP(R1792,-1)</f>
        <v>650</v>
      </c>
      <c r="F1792" s="21">
        <f>+E1792*1.21</f>
        <v>786.5</v>
      </c>
      <c r="G1792" s="21"/>
      <c r="H1792" s="135">
        <f>ROUNDUP(T1792,-1)</f>
        <v>0</v>
      </c>
      <c r="I1792" s="294">
        <v>45138</v>
      </c>
      <c r="J1792" s="294"/>
      <c r="K1792" s="10">
        <f>+'AUMENTOS %'!$B$9*381</f>
        <v>381</v>
      </c>
      <c r="L1792" s="11"/>
      <c r="M1792" s="11"/>
      <c r="N1792" s="100"/>
      <c r="O1792" s="11">
        <f>MIN(K1792:M1792)*'AUMENTOS %'!$B$9</f>
        <v>381</v>
      </c>
      <c r="P1792" s="11">
        <f t="shared" si="462"/>
        <v>381</v>
      </c>
      <c r="Q1792" s="11">
        <v>1.7</v>
      </c>
      <c r="R1792" s="11">
        <f t="shared" si="463"/>
        <v>647.69999999999993</v>
      </c>
      <c r="S1792" s="11"/>
      <c r="T1792" s="136">
        <f>+N1792*Q1792</f>
        <v>0</v>
      </c>
    </row>
    <row r="1793" spans="1:20" ht="15.75" customHeight="1">
      <c r="A1793" s="149">
        <v>38</v>
      </c>
      <c r="B1793" s="273"/>
      <c r="C1793" s="28" t="s">
        <v>1722</v>
      </c>
      <c r="D1793" s="41">
        <v>180</v>
      </c>
      <c r="E1793" s="131">
        <f>ROUNDUP(R1793,-1)</f>
        <v>820</v>
      </c>
      <c r="F1793" s="21">
        <f>+E1793*1.21</f>
        <v>992.19999999999993</v>
      </c>
      <c r="G1793" s="21"/>
      <c r="H1793" s="135">
        <f>ROUNDUP(T1793,-1)</f>
        <v>0</v>
      </c>
      <c r="I1793" s="294">
        <v>45138</v>
      </c>
      <c r="J1793" s="294"/>
      <c r="K1793" s="10">
        <f>+'AUMENTOS %'!$B$9*480</f>
        <v>480</v>
      </c>
      <c r="L1793" s="11"/>
      <c r="M1793" s="11"/>
      <c r="N1793" s="100"/>
      <c r="O1793" s="11">
        <f>MIN(K1793:M1793)*'AUMENTOS %'!$B$9</f>
        <v>480</v>
      </c>
      <c r="P1793" s="11">
        <f t="shared" si="462"/>
        <v>480</v>
      </c>
      <c r="Q1793" s="11">
        <v>1.7</v>
      </c>
      <c r="R1793" s="11">
        <f t="shared" si="463"/>
        <v>816</v>
      </c>
      <c r="S1793" s="11"/>
      <c r="T1793" s="136">
        <f>+N1793*Q1793</f>
        <v>0</v>
      </c>
    </row>
    <row r="1794" spans="1:20" ht="15.75" customHeight="1">
      <c r="A1794" s="149">
        <v>38</v>
      </c>
      <c r="B1794" s="273"/>
      <c r="C1794" s="28" t="s">
        <v>1723</v>
      </c>
      <c r="D1794" s="41">
        <v>210</v>
      </c>
      <c r="E1794" s="131">
        <f t="shared" si="486"/>
        <v>960</v>
      </c>
      <c r="F1794" s="21">
        <f t="shared" si="487"/>
        <v>1161.5999999999999</v>
      </c>
      <c r="G1794" s="21"/>
      <c r="H1794" s="135">
        <f t="shared" si="464"/>
        <v>0</v>
      </c>
      <c r="I1794" s="294">
        <v>45138</v>
      </c>
      <c r="J1794" s="294"/>
      <c r="K1794" s="10">
        <f>+'AUMENTOS %'!$B$9*564</f>
        <v>564</v>
      </c>
      <c r="L1794" s="11"/>
      <c r="M1794" s="11"/>
      <c r="N1794" s="100"/>
      <c r="O1794" s="11">
        <f>MIN(K1794:M1794)*'AUMENTOS %'!$B$9</f>
        <v>564</v>
      </c>
      <c r="P1794" s="11">
        <f t="shared" si="462"/>
        <v>564</v>
      </c>
      <c r="Q1794" s="11">
        <v>1.7</v>
      </c>
      <c r="R1794" s="11">
        <f t="shared" si="463"/>
        <v>958.8</v>
      </c>
      <c r="S1794" s="11"/>
      <c r="T1794" s="136">
        <f t="shared" si="465"/>
        <v>0</v>
      </c>
    </row>
    <row r="1795" spans="1:20" ht="15.75" customHeight="1">
      <c r="A1795" s="149">
        <v>106</v>
      </c>
      <c r="B1795" s="273"/>
      <c r="C1795" s="28" t="s">
        <v>3968</v>
      </c>
      <c r="D1795" s="41"/>
      <c r="E1795" s="131">
        <f t="shared" si="486"/>
        <v>2030</v>
      </c>
      <c r="F1795" s="21">
        <f t="shared" si="487"/>
        <v>2456.2999999999997</v>
      </c>
      <c r="G1795" s="21"/>
      <c r="H1795" s="135">
        <f t="shared" si="464"/>
        <v>0</v>
      </c>
      <c r="I1795" s="294">
        <v>45274</v>
      </c>
      <c r="J1795" s="294">
        <v>45334</v>
      </c>
      <c r="K1795" s="11">
        <f>0.82*1453</f>
        <v>1191.46</v>
      </c>
      <c r="L1795" s="148"/>
      <c r="M1795" s="11"/>
      <c r="N1795" s="100"/>
      <c r="O1795" s="11">
        <f t="shared" si="480"/>
        <v>1191.46</v>
      </c>
      <c r="P1795" s="11">
        <f t="shared" si="462"/>
        <v>1191.46</v>
      </c>
      <c r="Q1795" s="11">
        <v>1.7</v>
      </c>
      <c r="R1795" s="11">
        <f t="shared" si="463"/>
        <v>2025.482</v>
      </c>
      <c r="S1795" s="11"/>
      <c r="T1795" s="136">
        <f t="shared" si="465"/>
        <v>0</v>
      </c>
    </row>
    <row r="1796" spans="1:20" ht="15.75" customHeight="1">
      <c r="A1796" s="149">
        <v>24</v>
      </c>
      <c r="B1796" s="273"/>
      <c r="C1796" s="28" t="s">
        <v>2595</v>
      </c>
      <c r="D1796" s="41">
        <v>220</v>
      </c>
      <c r="E1796" s="131">
        <f t="shared" si="486"/>
        <v>4070</v>
      </c>
      <c r="F1796" s="21">
        <f t="shared" si="487"/>
        <v>4924.7</v>
      </c>
      <c r="G1796" s="21"/>
      <c r="H1796" s="135">
        <f t="shared" si="464"/>
        <v>0</v>
      </c>
      <c r="I1796" s="294">
        <v>45175</v>
      </c>
      <c r="J1796" s="294"/>
      <c r="K1796" s="11">
        <f>+PROVEEDORES!$D$18*0.5*4.51</f>
        <v>2390.2999999999997</v>
      </c>
      <c r="L1796" s="11"/>
      <c r="M1796" s="11"/>
      <c r="N1796" s="100"/>
      <c r="O1796" s="11">
        <f t="shared" si="480"/>
        <v>2390.2999999999997</v>
      </c>
      <c r="P1796" s="11">
        <f t="shared" si="462"/>
        <v>2390.2999999999997</v>
      </c>
      <c r="Q1796" s="11">
        <v>1.7</v>
      </c>
      <c r="R1796" s="11">
        <f t="shared" si="463"/>
        <v>4063.5099999999993</v>
      </c>
      <c r="S1796" s="11"/>
      <c r="T1796" s="136">
        <f t="shared" ref="T1796:T1835" si="488">+N1796*Q1796</f>
        <v>0</v>
      </c>
    </row>
    <row r="1797" spans="1:20" ht="15.75" customHeight="1">
      <c r="A1797" s="149">
        <v>24</v>
      </c>
      <c r="B1797" s="273"/>
      <c r="C1797" s="28" t="s">
        <v>2596</v>
      </c>
      <c r="D1797" s="41">
        <v>230</v>
      </c>
      <c r="E1797" s="131">
        <f>ROUNDUP(R1797,-1)</f>
        <v>4410</v>
      </c>
      <c r="F1797" s="21">
        <f>+E1797*1.21</f>
        <v>5336.0999999999995</v>
      </c>
      <c r="G1797" s="21"/>
      <c r="H1797" s="135">
        <f>ROUNDUP(T1797,-1)</f>
        <v>0</v>
      </c>
      <c r="I1797" s="294">
        <v>45175</v>
      </c>
      <c r="J1797" s="294"/>
      <c r="K1797" s="11">
        <f>+PROVEEDORES!$D$18*0.5*4.89</f>
        <v>2591.6999999999998</v>
      </c>
      <c r="L1797" s="11"/>
      <c r="M1797" s="11"/>
      <c r="N1797" s="100"/>
      <c r="O1797" s="11">
        <f>MIN(K1797:M1797)</f>
        <v>2591.6999999999998</v>
      </c>
      <c r="P1797" s="11">
        <f t="shared" si="462"/>
        <v>2591.6999999999998</v>
      </c>
      <c r="Q1797" s="11">
        <v>1.7</v>
      </c>
      <c r="R1797" s="11">
        <f t="shared" si="463"/>
        <v>4405.8899999999994</v>
      </c>
      <c r="S1797" s="11"/>
      <c r="T1797" s="136">
        <f>+N1797*Q1797</f>
        <v>0</v>
      </c>
    </row>
    <row r="1798" spans="1:20" ht="15.75" customHeight="1">
      <c r="A1798" s="149">
        <v>24</v>
      </c>
      <c r="B1798" s="273"/>
      <c r="C1798" s="28" t="s">
        <v>2597</v>
      </c>
      <c r="D1798" s="41">
        <v>240</v>
      </c>
      <c r="E1798" s="131">
        <f>ROUNDUP(R1798,-1)</f>
        <v>4480</v>
      </c>
      <c r="F1798" s="21">
        <f>+E1798*1.21</f>
        <v>5420.8</v>
      </c>
      <c r="G1798" s="21"/>
      <c r="H1798" s="135">
        <f>ROUNDUP(T1798,-1)</f>
        <v>0</v>
      </c>
      <c r="I1798" s="294">
        <v>45175</v>
      </c>
      <c r="J1798" s="294"/>
      <c r="K1798" s="11">
        <f>+PROVEEDORES!$D$18*0.5*4.97</f>
        <v>2634.1</v>
      </c>
      <c r="L1798" s="11"/>
      <c r="M1798" s="11"/>
      <c r="N1798" s="100"/>
      <c r="O1798" s="11">
        <f>MIN(K1798:M1798)</f>
        <v>2634.1</v>
      </c>
      <c r="P1798" s="11">
        <f t="shared" si="462"/>
        <v>2634.1</v>
      </c>
      <c r="Q1798" s="11">
        <v>1.7</v>
      </c>
      <c r="R1798" s="11">
        <f t="shared" si="463"/>
        <v>4477.9699999999993</v>
      </c>
      <c r="S1798" s="11"/>
      <c r="T1798" s="136">
        <f>+N1798*Q1798</f>
        <v>0</v>
      </c>
    </row>
    <row r="1799" spans="1:20" ht="15.75" customHeight="1">
      <c r="A1799" s="149">
        <v>24</v>
      </c>
      <c r="B1799" s="273"/>
      <c r="C1799" s="28" t="s">
        <v>2828</v>
      </c>
      <c r="D1799" s="41"/>
      <c r="E1799" s="131">
        <f t="shared" si="486"/>
        <v>4740</v>
      </c>
      <c r="F1799" s="21">
        <f t="shared" si="487"/>
        <v>5735.4</v>
      </c>
      <c r="G1799" s="21"/>
      <c r="H1799" s="135">
        <f t="shared" si="464"/>
        <v>0</v>
      </c>
      <c r="I1799" s="294">
        <v>45175</v>
      </c>
      <c r="J1799" s="294"/>
      <c r="K1799" s="11">
        <f>+PROVEEDORES!$D$18*0.5*5.26</f>
        <v>2787.7999999999997</v>
      </c>
      <c r="L1799" s="11"/>
      <c r="M1799" s="11"/>
      <c r="N1799" s="100"/>
      <c r="O1799" s="11">
        <f t="shared" si="480"/>
        <v>2787.7999999999997</v>
      </c>
      <c r="P1799" s="11">
        <f t="shared" si="462"/>
        <v>2787.7999999999997</v>
      </c>
      <c r="Q1799" s="11">
        <v>1.7</v>
      </c>
      <c r="R1799" s="11">
        <f t="shared" si="463"/>
        <v>4739.2599999999993</v>
      </c>
      <c r="S1799" s="11"/>
      <c r="T1799" s="136">
        <f t="shared" si="488"/>
        <v>0</v>
      </c>
    </row>
    <row r="1800" spans="1:20" ht="15.75" customHeight="1">
      <c r="A1800" s="149">
        <v>24</v>
      </c>
      <c r="B1800" s="273"/>
      <c r="C1800" s="28" t="s">
        <v>2598</v>
      </c>
      <c r="D1800" s="41">
        <v>250</v>
      </c>
      <c r="E1800" s="131">
        <f>ROUNDUP(R1800,-1)</f>
        <v>4740</v>
      </c>
      <c r="F1800" s="21">
        <f>+E1800*1.21</f>
        <v>5735.4</v>
      </c>
      <c r="G1800" s="21"/>
      <c r="H1800" s="135">
        <f>ROUNDUP(T1800,-1)</f>
        <v>0</v>
      </c>
      <c r="I1800" s="294">
        <v>45175</v>
      </c>
      <c r="J1800" s="294"/>
      <c r="K1800" s="11">
        <f>+PROVEEDORES!$D$18*0.5*5.26</f>
        <v>2787.7999999999997</v>
      </c>
      <c r="L1800" s="11"/>
      <c r="M1800" s="11"/>
      <c r="N1800" s="100"/>
      <c r="O1800" s="11">
        <f>MIN(K1800:M1800)</f>
        <v>2787.7999999999997</v>
      </c>
      <c r="P1800" s="11">
        <f t="shared" si="462"/>
        <v>2787.7999999999997</v>
      </c>
      <c r="Q1800" s="11">
        <v>1.7</v>
      </c>
      <c r="R1800" s="11">
        <f t="shared" si="463"/>
        <v>4739.2599999999993</v>
      </c>
      <c r="S1800" s="11"/>
      <c r="T1800" s="136">
        <f>+N1800*Q1800</f>
        <v>0</v>
      </c>
    </row>
    <row r="1801" spans="1:20" ht="15.75" customHeight="1">
      <c r="A1801" s="149">
        <v>24</v>
      </c>
      <c r="B1801" s="273"/>
      <c r="C1801" s="28" t="s">
        <v>2599</v>
      </c>
      <c r="D1801" s="41">
        <v>270</v>
      </c>
      <c r="E1801" s="131">
        <f t="shared" si="486"/>
        <v>5000</v>
      </c>
      <c r="F1801" s="21">
        <f t="shared" si="487"/>
        <v>6050</v>
      </c>
      <c r="G1801" s="21"/>
      <c r="H1801" s="135">
        <f t="shared" si="464"/>
        <v>0</v>
      </c>
      <c r="I1801" s="294">
        <v>45175</v>
      </c>
      <c r="J1801" s="294"/>
      <c r="K1801" s="11">
        <f>+PROVEEDORES!$D$18*0.5*5.54</f>
        <v>2936.2</v>
      </c>
      <c r="L1801" s="11"/>
      <c r="M1801" s="11"/>
      <c r="N1801" s="100"/>
      <c r="O1801" s="11">
        <f t="shared" si="480"/>
        <v>2936.2</v>
      </c>
      <c r="P1801" s="11">
        <f t="shared" si="462"/>
        <v>2936.2</v>
      </c>
      <c r="Q1801" s="11">
        <v>1.7</v>
      </c>
      <c r="R1801" s="11">
        <f t="shared" si="463"/>
        <v>4991.54</v>
      </c>
      <c r="S1801" s="11"/>
      <c r="T1801" s="136">
        <f t="shared" si="488"/>
        <v>0</v>
      </c>
    </row>
    <row r="1802" spans="1:20" ht="15.75" customHeight="1">
      <c r="A1802" s="149">
        <v>24</v>
      </c>
      <c r="B1802" s="273"/>
      <c r="C1802" s="28" t="s">
        <v>2600</v>
      </c>
      <c r="D1802" s="41">
        <v>280</v>
      </c>
      <c r="E1802" s="131">
        <f>ROUNDUP(R1802,-1)</f>
        <v>5330</v>
      </c>
      <c r="F1802" s="21">
        <f>+E1802*1.21</f>
        <v>6449.3</v>
      </c>
      <c r="G1802" s="21"/>
      <c r="H1802" s="135">
        <f>ROUNDUP(T1802,-1)</f>
        <v>0</v>
      </c>
      <c r="I1802" s="294">
        <v>45175</v>
      </c>
      <c r="J1802" s="294"/>
      <c r="K1802" s="11">
        <f>+PROVEEDORES!$D$18*0.5*5.91</f>
        <v>3132.3</v>
      </c>
      <c r="L1802" s="11"/>
      <c r="M1802" s="11"/>
      <c r="N1802" s="100"/>
      <c r="O1802" s="11">
        <f>MIN(K1802:M1802)</f>
        <v>3132.3</v>
      </c>
      <c r="P1802" s="11">
        <f t="shared" si="462"/>
        <v>3132.3</v>
      </c>
      <c r="Q1802" s="11">
        <v>1.7</v>
      </c>
      <c r="R1802" s="11">
        <f t="shared" si="463"/>
        <v>5324.91</v>
      </c>
      <c r="S1802" s="11"/>
      <c r="T1802" s="136">
        <f>+N1802*Q1802</f>
        <v>0</v>
      </c>
    </row>
    <row r="1803" spans="1:20" ht="15.75" customHeight="1">
      <c r="A1803" s="149">
        <v>18</v>
      </c>
      <c r="B1803" s="273"/>
      <c r="C1803" s="28" t="s">
        <v>3863</v>
      </c>
      <c r="D1803" s="41"/>
      <c r="E1803" s="131">
        <f>ROUNDUP(R1803,-1)</f>
        <v>7450</v>
      </c>
      <c r="F1803" s="21">
        <f>+E1803*1.21</f>
        <v>9014.5</v>
      </c>
      <c r="G1803" s="67"/>
      <c r="H1803" s="135">
        <f>ROUNDUP(T1803,-1)</f>
        <v>0</v>
      </c>
      <c r="I1803" s="23">
        <v>45323</v>
      </c>
      <c r="J1803" s="295"/>
      <c r="K1803" s="42">
        <f>0.8*0.98*0.94*0.95*7089</f>
        <v>4963.0939680000001</v>
      </c>
      <c r="L1803" s="11"/>
      <c r="M1803" s="11"/>
      <c r="N1803" s="100"/>
      <c r="O1803" s="11">
        <f>MIN(K1803:M1803)</f>
        <v>4963.0939680000001</v>
      </c>
      <c r="P1803" s="11">
        <f>+O1803*'AUMENTOS %'!$B$5</f>
        <v>4963.0939680000001</v>
      </c>
      <c r="Q1803" s="11">
        <v>1.5</v>
      </c>
      <c r="R1803" s="11">
        <f t="shared" si="463"/>
        <v>7444.6409519999997</v>
      </c>
      <c r="S1803" s="11"/>
      <c r="T1803" s="136">
        <f>+N1803*Q1803</f>
        <v>0</v>
      </c>
    </row>
    <row r="1804" spans="1:20" ht="15.75" customHeight="1">
      <c r="A1804" s="149">
        <v>18</v>
      </c>
      <c r="B1804" s="273"/>
      <c r="C1804" s="28" t="s">
        <v>3853</v>
      </c>
      <c r="D1804" s="41"/>
      <c r="E1804" s="131">
        <f>ROUNDUP(R1804,-1)</f>
        <v>7950</v>
      </c>
      <c r="F1804" s="21">
        <f>+E1804*1.21</f>
        <v>9619.5</v>
      </c>
      <c r="G1804" s="67"/>
      <c r="H1804" s="135">
        <f>ROUNDUP(T1804,-1)</f>
        <v>0</v>
      </c>
      <c r="I1804" s="23">
        <v>45323</v>
      </c>
      <c r="J1804" s="295"/>
      <c r="K1804" s="42">
        <f>0.8*0.98*0.94*0.95*7089</f>
        <v>4963.0939680000001</v>
      </c>
      <c r="L1804" s="11"/>
      <c r="M1804" s="11"/>
      <c r="N1804" s="100"/>
      <c r="O1804" s="11">
        <f>MIN(K1804:M1804)</f>
        <v>4963.0939680000001</v>
      </c>
      <c r="P1804" s="11">
        <f>+O1804*'AUMENTOS %'!$B$5</f>
        <v>4963.0939680000001</v>
      </c>
      <c r="Q1804" s="11">
        <v>1.6</v>
      </c>
      <c r="R1804" s="11">
        <f t="shared" si="463"/>
        <v>7940.9503488000009</v>
      </c>
      <c r="S1804" s="11"/>
      <c r="T1804" s="136">
        <f>+N1804*Q1804</f>
        <v>0</v>
      </c>
    </row>
    <row r="1805" spans="1:20" ht="15.75" customHeight="1">
      <c r="A1805" s="149">
        <v>18</v>
      </c>
      <c r="B1805" s="273"/>
      <c r="C1805" s="28" t="s">
        <v>3855</v>
      </c>
      <c r="D1805" s="41"/>
      <c r="E1805" s="131">
        <f t="shared" si="486"/>
        <v>8550</v>
      </c>
      <c r="F1805" s="21">
        <f t="shared" si="487"/>
        <v>10345.5</v>
      </c>
      <c r="G1805" s="66"/>
      <c r="H1805" s="135">
        <f t="shared" si="464"/>
        <v>0</v>
      </c>
      <c r="I1805" s="23">
        <v>45323</v>
      </c>
      <c r="J1805" s="295"/>
      <c r="K1805" s="42">
        <f>0.8*0.98*0.94*0.95*8141</f>
        <v>5699.6117919999997</v>
      </c>
      <c r="L1805" s="11"/>
      <c r="M1805" s="11"/>
      <c r="N1805" s="100"/>
      <c r="O1805" s="11">
        <f t="shared" si="480"/>
        <v>5699.6117919999997</v>
      </c>
      <c r="P1805" s="11">
        <f>+O1805*'AUMENTOS %'!$B$5</f>
        <v>5699.6117919999997</v>
      </c>
      <c r="Q1805" s="11">
        <v>1.5</v>
      </c>
      <c r="R1805" s="11">
        <f t="shared" si="463"/>
        <v>8549.4176879999995</v>
      </c>
      <c r="S1805" s="136"/>
      <c r="T1805" s="136">
        <f t="shared" si="488"/>
        <v>0</v>
      </c>
    </row>
    <row r="1806" spans="1:20" ht="15.75" customHeight="1">
      <c r="A1806" s="149">
        <v>18</v>
      </c>
      <c r="B1806" s="273"/>
      <c r="C1806" s="28" t="s">
        <v>3854</v>
      </c>
      <c r="D1806" s="41"/>
      <c r="E1806" s="131">
        <f t="shared" si="486"/>
        <v>9470</v>
      </c>
      <c r="F1806" s="21">
        <f t="shared" si="487"/>
        <v>11458.699999999999</v>
      </c>
      <c r="G1806" s="66"/>
      <c r="H1806" s="135">
        <f t="shared" si="464"/>
        <v>0</v>
      </c>
      <c r="I1806" s="23">
        <v>45323</v>
      </c>
      <c r="J1806" s="295"/>
      <c r="K1806" s="42">
        <f>0.8*0.98*0.94*0.95*9010</f>
        <v>6308.0091199999997</v>
      </c>
      <c r="L1806" s="11"/>
      <c r="M1806" s="11"/>
      <c r="N1806" s="100"/>
      <c r="O1806" s="11">
        <f t="shared" si="480"/>
        <v>6308.0091199999997</v>
      </c>
      <c r="P1806" s="11">
        <f>+O1806*'AUMENTOS %'!$B$5</f>
        <v>6308.0091199999997</v>
      </c>
      <c r="Q1806" s="11">
        <v>1.5</v>
      </c>
      <c r="R1806" s="11">
        <f t="shared" si="463"/>
        <v>9462.01368</v>
      </c>
      <c r="S1806" s="11"/>
      <c r="T1806" s="136">
        <f t="shared" si="488"/>
        <v>0</v>
      </c>
    </row>
    <row r="1807" spans="1:20" ht="15.75" customHeight="1">
      <c r="A1807" s="149" t="s">
        <v>2398</v>
      </c>
      <c r="B1807" s="273"/>
      <c r="C1807" s="28" t="s">
        <v>3861</v>
      </c>
      <c r="D1807" s="41"/>
      <c r="E1807" s="131">
        <f t="shared" si="486"/>
        <v>2460</v>
      </c>
      <c r="F1807" s="21">
        <f t="shared" si="487"/>
        <v>2976.6</v>
      </c>
      <c r="G1807" s="66"/>
      <c r="H1807" s="135">
        <f t="shared" si="464"/>
        <v>0</v>
      </c>
      <c r="I1807" s="23">
        <v>45323</v>
      </c>
      <c r="J1807" s="295"/>
      <c r="K1807" s="42">
        <f>0.8*0.98*0.94*0.95*2333</f>
        <v>1633.3612959999998</v>
      </c>
      <c r="L1807" s="11"/>
      <c r="M1807" s="11"/>
      <c r="N1807" s="100"/>
      <c r="O1807" s="11">
        <f t="shared" si="480"/>
        <v>1633.3612959999998</v>
      </c>
      <c r="P1807" s="11">
        <f>+O1807*'AUMENTOS %'!$B$5</f>
        <v>1633.3612959999998</v>
      </c>
      <c r="Q1807" s="11">
        <v>1.5</v>
      </c>
      <c r="R1807" s="11">
        <f t="shared" si="463"/>
        <v>2450.0419439999996</v>
      </c>
      <c r="S1807" s="11"/>
      <c r="T1807" s="136">
        <f t="shared" si="488"/>
        <v>0</v>
      </c>
    </row>
    <row r="1808" spans="1:20" ht="15.75" customHeight="1">
      <c r="A1808" s="149" t="s">
        <v>2398</v>
      </c>
      <c r="B1808" s="273"/>
      <c r="C1808" s="28" t="s">
        <v>3862</v>
      </c>
      <c r="D1808" s="41"/>
      <c r="E1808" s="131">
        <f t="shared" si="486"/>
        <v>2620</v>
      </c>
      <c r="F1808" s="21">
        <f t="shared" si="487"/>
        <v>3170.2</v>
      </c>
      <c r="G1808" s="67"/>
      <c r="H1808" s="135">
        <f t="shared" si="464"/>
        <v>0</v>
      </c>
      <c r="I1808" s="23">
        <v>45323</v>
      </c>
      <c r="J1808" s="295"/>
      <c r="K1808" s="42">
        <f>0.8*0.98*0.94*0.95*2333</f>
        <v>1633.3612959999998</v>
      </c>
      <c r="L1808" s="11"/>
      <c r="M1808" s="11"/>
      <c r="N1808" s="100"/>
      <c r="O1808" s="11">
        <f t="shared" si="480"/>
        <v>1633.3612959999998</v>
      </c>
      <c r="P1808" s="11">
        <f>+O1808*'AUMENTOS %'!$B$5</f>
        <v>1633.3612959999998</v>
      </c>
      <c r="Q1808" s="11">
        <v>1.6</v>
      </c>
      <c r="R1808" s="11">
        <f t="shared" si="463"/>
        <v>2613.3780735999999</v>
      </c>
      <c r="S1808" s="11"/>
      <c r="T1808" s="136">
        <f t="shared" si="488"/>
        <v>0</v>
      </c>
    </row>
    <row r="1809" spans="1:20" ht="15.75" customHeight="1">
      <c r="A1809" s="149" t="s">
        <v>2398</v>
      </c>
      <c r="B1809" s="273"/>
      <c r="C1809" s="28" t="s">
        <v>3860</v>
      </c>
      <c r="D1809" s="41"/>
      <c r="E1809" s="131">
        <f t="shared" si="486"/>
        <v>3130</v>
      </c>
      <c r="F1809" s="21">
        <f t="shared" ref="F1809:F1832" si="489">+E1809*1.21</f>
        <v>3787.2999999999997</v>
      </c>
      <c r="G1809" s="66"/>
      <c r="H1809" s="135">
        <f t="shared" si="464"/>
        <v>0</v>
      </c>
      <c r="I1809" s="23">
        <v>45323</v>
      </c>
      <c r="J1809" s="295"/>
      <c r="K1809" s="42">
        <f>0.8*0.98*0.94*0.95*2973</f>
        <v>2081.4329760000001</v>
      </c>
      <c r="L1809" s="11"/>
      <c r="M1809" s="11"/>
      <c r="N1809" s="100"/>
      <c r="O1809" s="11">
        <f t="shared" si="480"/>
        <v>2081.4329760000001</v>
      </c>
      <c r="P1809" s="11">
        <f>+O1809*'AUMENTOS %'!$B$5</f>
        <v>2081.4329760000001</v>
      </c>
      <c r="Q1809" s="11">
        <v>1.5</v>
      </c>
      <c r="R1809" s="11">
        <f t="shared" si="463"/>
        <v>3122.1494640000001</v>
      </c>
      <c r="S1809" s="11"/>
      <c r="T1809" s="136">
        <f t="shared" si="488"/>
        <v>0</v>
      </c>
    </row>
    <row r="1810" spans="1:20" ht="15.75" customHeight="1">
      <c r="A1810" s="149" t="s">
        <v>2398</v>
      </c>
      <c r="B1810" s="273"/>
      <c r="C1810" s="28" t="s">
        <v>3859</v>
      </c>
      <c r="D1810" s="41"/>
      <c r="E1810" s="131">
        <f t="shared" si="486"/>
        <v>2690</v>
      </c>
      <c r="F1810" s="21">
        <f t="shared" si="489"/>
        <v>3254.9</v>
      </c>
      <c r="G1810" s="67"/>
      <c r="H1810" s="135">
        <f t="shared" si="464"/>
        <v>0</v>
      </c>
      <c r="I1810" s="23">
        <v>45323</v>
      </c>
      <c r="J1810" s="295"/>
      <c r="K1810" s="42">
        <f>0.8*0.98*0.94*0.95*2561</f>
        <v>1792.9868319999998</v>
      </c>
      <c r="L1810" s="11"/>
      <c r="M1810" s="11"/>
      <c r="N1810" s="100"/>
      <c r="O1810" s="11">
        <f t="shared" si="480"/>
        <v>1792.9868319999998</v>
      </c>
      <c r="P1810" s="11">
        <f>+O1810*'AUMENTOS %'!$B$5</f>
        <v>1792.9868319999998</v>
      </c>
      <c r="Q1810" s="11">
        <v>1.5</v>
      </c>
      <c r="R1810" s="11">
        <f t="shared" ref="R1810:R1881" si="490">+P1810*Q1810</f>
        <v>2689.4802479999998</v>
      </c>
      <c r="S1810" s="11"/>
      <c r="T1810" s="136">
        <f t="shared" si="488"/>
        <v>0</v>
      </c>
    </row>
    <row r="1811" spans="1:20" ht="15.75" customHeight="1">
      <c r="A1811" s="149" t="s">
        <v>2398</v>
      </c>
      <c r="B1811" s="273"/>
      <c r="C1811" s="28" t="s">
        <v>3858</v>
      </c>
      <c r="D1811" s="71"/>
      <c r="E1811" s="131">
        <f t="shared" si="486"/>
        <v>3180</v>
      </c>
      <c r="F1811" s="21">
        <f t="shared" si="489"/>
        <v>3847.7999999999997</v>
      </c>
      <c r="G1811" s="66"/>
      <c r="H1811" s="135">
        <f t="shared" si="464"/>
        <v>0</v>
      </c>
      <c r="I1811" s="23">
        <v>45323</v>
      </c>
      <c r="J1811" s="295"/>
      <c r="K1811" s="42">
        <f>0.8*0.98*0.94*0.95*3019</f>
        <v>2113.6381280000001</v>
      </c>
      <c r="L1811" s="11"/>
      <c r="M1811" s="11"/>
      <c r="N1811" s="100"/>
      <c r="O1811" s="11">
        <f t="shared" si="480"/>
        <v>2113.6381280000001</v>
      </c>
      <c r="P1811" s="11">
        <f>+O1811*'AUMENTOS %'!$B$5</f>
        <v>2113.6381280000001</v>
      </c>
      <c r="Q1811" s="11">
        <v>1.5</v>
      </c>
      <c r="R1811" s="11">
        <f t="shared" si="490"/>
        <v>3170.4571919999998</v>
      </c>
      <c r="S1811" s="11"/>
      <c r="T1811" s="136">
        <f t="shared" si="488"/>
        <v>0</v>
      </c>
    </row>
    <row r="1812" spans="1:20" ht="15.75" customHeight="1">
      <c r="A1812" s="149" t="s">
        <v>2398</v>
      </c>
      <c r="B1812" s="273"/>
      <c r="C1812" s="28" t="s">
        <v>3856</v>
      </c>
      <c r="D1812" s="41"/>
      <c r="E1812" s="131">
        <f>ROUNDUP(R1812,-1)</f>
        <v>3030</v>
      </c>
      <c r="F1812" s="21">
        <f>+E1812*1.21</f>
        <v>3666.2999999999997</v>
      </c>
      <c r="G1812" s="66"/>
      <c r="H1812" s="135">
        <f>ROUNDUP(T1812,-1)</f>
        <v>0</v>
      </c>
      <c r="I1812" s="23">
        <v>45323</v>
      </c>
      <c r="J1812" s="295"/>
      <c r="K1812" s="42">
        <f>0.8*0.98*0.94*0.95*2882</f>
        <v>2017.7227839999998</v>
      </c>
      <c r="L1812" s="11"/>
      <c r="M1812" s="11"/>
      <c r="N1812" s="100"/>
      <c r="O1812" s="11">
        <f>MIN(K1812:M1812)</f>
        <v>2017.7227839999998</v>
      </c>
      <c r="P1812" s="11">
        <f>+O1812*'AUMENTOS %'!$B$5</f>
        <v>2017.7227839999998</v>
      </c>
      <c r="Q1812" s="11">
        <v>1.5</v>
      </c>
      <c r="R1812" s="11">
        <f t="shared" si="490"/>
        <v>3026.5841759999998</v>
      </c>
      <c r="S1812" s="11"/>
      <c r="T1812" s="136">
        <f>+N1812*Q1812</f>
        <v>0</v>
      </c>
    </row>
    <row r="1813" spans="1:20" ht="15.75" customHeight="1">
      <c r="A1813" s="149" t="s">
        <v>2398</v>
      </c>
      <c r="B1813" s="273"/>
      <c r="C1813" s="28" t="s">
        <v>3857</v>
      </c>
      <c r="D1813" s="41"/>
      <c r="E1813" s="131">
        <f>ROUNDUP(R1813,-1)</f>
        <v>3460</v>
      </c>
      <c r="F1813" s="21">
        <f>+E1813*1.21</f>
        <v>4186.5999999999995</v>
      </c>
      <c r="G1813" s="66"/>
      <c r="H1813" s="135">
        <f>ROUNDUP(T1813,-1)</f>
        <v>0</v>
      </c>
      <c r="I1813" s="23">
        <v>45323</v>
      </c>
      <c r="J1813" s="295"/>
      <c r="K1813" s="42">
        <f>0.8*0.98*0.94*0.95*3293</f>
        <v>2305.4688160000001</v>
      </c>
      <c r="L1813" s="11"/>
      <c r="M1813" s="11"/>
      <c r="N1813" s="100"/>
      <c r="O1813" s="11">
        <f>MIN(K1813:M1813)</f>
        <v>2305.4688160000001</v>
      </c>
      <c r="P1813" s="11">
        <f>+O1813*'AUMENTOS %'!$B$5</f>
        <v>2305.4688160000001</v>
      </c>
      <c r="Q1813" s="11">
        <v>1.5</v>
      </c>
      <c r="R1813" s="11">
        <f t="shared" si="490"/>
        <v>3458.2032239999999</v>
      </c>
      <c r="S1813" s="11"/>
      <c r="T1813" s="136">
        <f>+N1813*Q1813</f>
        <v>0</v>
      </c>
    </row>
    <row r="1814" spans="1:20" ht="15.75" customHeight="1">
      <c r="A1814" s="149" t="s">
        <v>44321</v>
      </c>
      <c r="B1814" s="273"/>
      <c r="C1814" s="28" t="s">
        <v>4376</v>
      </c>
      <c r="D1814" s="71">
        <v>60</v>
      </c>
      <c r="E1814" s="131">
        <f t="shared" si="486"/>
        <v>3910</v>
      </c>
      <c r="F1814" s="21">
        <f t="shared" si="489"/>
        <v>4731.0999999999995</v>
      </c>
      <c r="G1814" s="67"/>
      <c r="H1814" s="135">
        <f t="shared" si="464"/>
        <v>0</v>
      </c>
      <c r="I1814" s="294">
        <v>45163</v>
      </c>
      <c r="J1814" s="294">
        <v>45331</v>
      </c>
      <c r="K1814" s="11">
        <f>1782*2</f>
        <v>3564</v>
      </c>
      <c r="L1814" s="11">
        <f>0.8*0.94*3463</f>
        <v>2604.1759999999999</v>
      </c>
      <c r="M1814" s="11"/>
      <c r="N1814" s="100"/>
      <c r="O1814" s="11">
        <f t="shared" si="480"/>
        <v>2604.1759999999999</v>
      </c>
      <c r="P1814" s="11">
        <f t="shared" ref="P1814:P1881" si="491">+O1814</f>
        <v>2604.1759999999999</v>
      </c>
      <c r="Q1814" s="11">
        <v>1.5</v>
      </c>
      <c r="R1814" s="11">
        <f t="shared" si="490"/>
        <v>3906.2640000000001</v>
      </c>
      <c r="S1814" s="11"/>
      <c r="T1814" s="136">
        <f t="shared" si="488"/>
        <v>0</v>
      </c>
    </row>
    <row r="1815" spans="1:20" ht="15.75" customHeight="1">
      <c r="A1815" s="149" t="s">
        <v>44321</v>
      </c>
      <c r="B1815" s="273"/>
      <c r="C1815" s="28" t="s">
        <v>4128</v>
      </c>
      <c r="D1815" s="71"/>
      <c r="E1815" s="131">
        <f t="shared" si="486"/>
        <v>4810</v>
      </c>
      <c r="F1815" s="21">
        <f t="shared" si="489"/>
        <v>5820.0999999999995</v>
      </c>
      <c r="G1815" s="66"/>
      <c r="H1815" s="135">
        <f t="shared" si="464"/>
        <v>0</v>
      </c>
      <c r="I1815" s="294">
        <v>45163</v>
      </c>
      <c r="J1815" s="294">
        <v>45331</v>
      </c>
      <c r="K1815" s="11">
        <f>2186*2</f>
        <v>4372</v>
      </c>
      <c r="L1815" s="11">
        <f>0.8*0.94*4257</f>
        <v>3201.2640000000001</v>
      </c>
      <c r="M1815" s="11"/>
      <c r="N1815" s="100"/>
      <c r="O1815" s="11">
        <f t="shared" si="480"/>
        <v>3201.2640000000001</v>
      </c>
      <c r="P1815" s="11">
        <f t="shared" si="491"/>
        <v>3201.2640000000001</v>
      </c>
      <c r="Q1815" s="11">
        <v>1.5</v>
      </c>
      <c r="R1815" s="11">
        <f t="shared" si="490"/>
        <v>4801.8960000000006</v>
      </c>
      <c r="S1815" s="11"/>
      <c r="T1815" s="136">
        <f t="shared" si="488"/>
        <v>0</v>
      </c>
    </row>
    <row r="1816" spans="1:20" ht="15.75" customHeight="1">
      <c r="A1816" s="149" t="s">
        <v>44321</v>
      </c>
      <c r="B1816" s="273"/>
      <c r="C1816" s="28" t="s">
        <v>4377</v>
      </c>
      <c r="D1816" s="71"/>
      <c r="E1816" s="131">
        <f t="shared" si="486"/>
        <v>5090</v>
      </c>
      <c r="F1816" s="21">
        <f t="shared" si="489"/>
        <v>6158.9</v>
      </c>
      <c r="G1816" s="66"/>
      <c r="H1816" s="135">
        <f t="shared" si="464"/>
        <v>0</v>
      </c>
      <c r="I1816" s="294">
        <v>45163</v>
      </c>
      <c r="J1816" s="294">
        <v>45331</v>
      </c>
      <c r="K1816" s="11">
        <f>2755*2</f>
        <v>5510</v>
      </c>
      <c r="L1816" s="11">
        <f>0.8*0.94*4505</f>
        <v>3387.76</v>
      </c>
      <c r="M1816" s="11"/>
      <c r="N1816" s="100"/>
      <c r="O1816" s="11">
        <f t="shared" si="480"/>
        <v>3387.76</v>
      </c>
      <c r="P1816" s="11">
        <f t="shared" si="491"/>
        <v>3387.76</v>
      </c>
      <c r="Q1816" s="11">
        <v>1.5</v>
      </c>
      <c r="R1816" s="11">
        <f t="shared" si="490"/>
        <v>5081.6400000000003</v>
      </c>
      <c r="S1816" s="11"/>
      <c r="T1816" s="136">
        <f t="shared" si="488"/>
        <v>0</v>
      </c>
    </row>
    <row r="1817" spans="1:20" ht="15.75" customHeight="1">
      <c r="A1817" s="149">
        <v>24</v>
      </c>
      <c r="B1817" s="273"/>
      <c r="C1817" s="28" t="s">
        <v>62695</v>
      </c>
      <c r="D1817" s="41"/>
      <c r="E1817" s="131">
        <f t="shared" ref="E1817" si="492">ROUNDUP(R1817,-1)</f>
        <v>1200</v>
      </c>
      <c r="F1817" s="21">
        <f t="shared" ref="F1817" si="493">+E1817*1.21</f>
        <v>1452</v>
      </c>
      <c r="G1817" s="66"/>
      <c r="H1817" s="135">
        <f t="shared" ref="H1817" si="494">ROUNDUP(T1817,-1)</f>
        <v>0</v>
      </c>
      <c r="I1817" s="294">
        <v>45175</v>
      </c>
      <c r="J1817" s="294">
        <v>45379</v>
      </c>
      <c r="K1817" s="11">
        <f>0.5*1495</f>
        <v>747.5</v>
      </c>
      <c r="L1817" s="11"/>
      <c r="M1817" s="11"/>
      <c r="N1817" s="100"/>
      <c r="O1817" s="11">
        <f>MIN(K1817:M1817)</f>
        <v>747.5</v>
      </c>
      <c r="P1817" s="11">
        <f t="shared" ref="P1817" si="495">+O1817</f>
        <v>747.5</v>
      </c>
      <c r="Q1817" s="11">
        <v>1.6</v>
      </c>
      <c r="R1817" s="11">
        <f t="shared" ref="R1817" si="496">+P1817*Q1817</f>
        <v>1196</v>
      </c>
      <c r="S1817" s="11"/>
      <c r="T1817" s="136">
        <f t="shared" ref="T1817" si="497">+N1817*Q1817</f>
        <v>0</v>
      </c>
    </row>
    <row r="1818" spans="1:20" ht="15.75" customHeight="1">
      <c r="A1818" s="149">
        <v>24</v>
      </c>
      <c r="B1818" s="273"/>
      <c r="C1818" s="28" t="s">
        <v>37210</v>
      </c>
      <c r="D1818" s="41"/>
      <c r="E1818" s="131">
        <f t="shared" si="486"/>
        <v>2130</v>
      </c>
      <c r="F1818" s="21">
        <f t="shared" si="489"/>
        <v>2577.2999999999997</v>
      </c>
      <c r="G1818" s="66"/>
      <c r="H1818" s="135">
        <f t="shared" si="464"/>
        <v>0</v>
      </c>
      <c r="I1818" s="294">
        <v>45175</v>
      </c>
      <c r="J1818" s="294">
        <v>45336</v>
      </c>
      <c r="K1818" s="11">
        <f>+PROVEEDORES!D18*0.5*2.51</f>
        <v>1330.3</v>
      </c>
      <c r="L1818" s="11"/>
      <c r="M1818" s="11"/>
      <c r="N1818" s="100"/>
      <c r="O1818" s="11">
        <f>MIN(K1818:M1818)</f>
        <v>1330.3</v>
      </c>
      <c r="P1818" s="11">
        <f t="shared" si="491"/>
        <v>1330.3</v>
      </c>
      <c r="Q1818" s="11">
        <v>1.6</v>
      </c>
      <c r="R1818" s="11">
        <f t="shared" si="490"/>
        <v>2128.48</v>
      </c>
      <c r="S1818" s="11"/>
      <c r="T1818" s="136">
        <f t="shared" si="488"/>
        <v>0</v>
      </c>
    </row>
    <row r="1819" spans="1:20" ht="15.75" customHeight="1">
      <c r="A1819" s="149">
        <v>24</v>
      </c>
      <c r="B1819" s="273"/>
      <c r="C1819" s="28" t="s">
        <v>62694</v>
      </c>
      <c r="D1819" s="41"/>
      <c r="E1819" s="131">
        <f t="shared" ref="E1819" si="498">ROUNDUP(R1819,-1)</f>
        <v>2020</v>
      </c>
      <c r="F1819" s="21">
        <f t="shared" ref="F1819" si="499">+E1819*1.21</f>
        <v>2444.1999999999998</v>
      </c>
      <c r="G1819" s="66"/>
      <c r="H1819" s="135">
        <f t="shared" ref="H1819" si="500">ROUNDUP(T1819,-1)</f>
        <v>0</v>
      </c>
      <c r="I1819" s="294">
        <v>45175</v>
      </c>
      <c r="J1819" s="294">
        <v>45379</v>
      </c>
      <c r="K1819" s="11">
        <f>0.5*2525</f>
        <v>1262.5</v>
      </c>
      <c r="L1819" s="11"/>
      <c r="M1819" s="11"/>
      <c r="N1819" s="100"/>
      <c r="O1819" s="11">
        <f>MIN(K1819:M1819)</f>
        <v>1262.5</v>
      </c>
      <c r="P1819" s="11">
        <f t="shared" ref="P1819" si="501">+O1819</f>
        <v>1262.5</v>
      </c>
      <c r="Q1819" s="11">
        <v>1.6</v>
      </c>
      <c r="R1819" s="11">
        <f t="shared" ref="R1819" si="502">+P1819*Q1819</f>
        <v>2020</v>
      </c>
      <c r="S1819" s="11"/>
      <c r="T1819" s="136">
        <f t="shared" ref="T1819" si="503">+N1819*Q1819</f>
        <v>0</v>
      </c>
    </row>
    <row r="1820" spans="1:20" ht="15.75" customHeight="1">
      <c r="A1820" s="149">
        <v>24</v>
      </c>
      <c r="B1820" s="273"/>
      <c r="C1820" s="28" t="s">
        <v>62692</v>
      </c>
      <c r="D1820" s="41"/>
      <c r="E1820" s="131">
        <f t="shared" ref="E1820" si="504">ROUNDUP(R1820,-1)</f>
        <v>2180</v>
      </c>
      <c r="F1820" s="21">
        <f t="shared" ref="F1820" si="505">+E1820*1.21</f>
        <v>2637.7999999999997</v>
      </c>
      <c r="G1820" s="66"/>
      <c r="H1820" s="135">
        <f t="shared" ref="H1820" si="506">ROUNDUP(T1820,-1)</f>
        <v>0</v>
      </c>
      <c r="I1820" s="294">
        <v>45175</v>
      </c>
      <c r="J1820" s="294">
        <v>45379</v>
      </c>
      <c r="K1820" s="11">
        <f>0.5*2720</f>
        <v>1360</v>
      </c>
      <c r="L1820" s="11"/>
      <c r="M1820" s="11"/>
      <c r="N1820" s="100"/>
      <c r="O1820" s="11">
        <f>MIN(K1820:M1820)</f>
        <v>1360</v>
      </c>
      <c r="P1820" s="11">
        <f t="shared" ref="P1820" si="507">+O1820</f>
        <v>1360</v>
      </c>
      <c r="Q1820" s="11">
        <v>1.6</v>
      </c>
      <c r="R1820" s="11">
        <f t="shared" ref="R1820" si="508">+P1820*Q1820</f>
        <v>2176</v>
      </c>
      <c r="S1820" s="11"/>
      <c r="T1820" s="136">
        <f t="shared" ref="T1820" si="509">+N1820*Q1820</f>
        <v>0</v>
      </c>
    </row>
    <row r="1821" spans="1:20" ht="15.75" customHeight="1">
      <c r="A1821" s="149">
        <v>24</v>
      </c>
      <c r="B1821" s="273"/>
      <c r="C1821" s="28" t="s">
        <v>62693</v>
      </c>
      <c r="D1821" s="41"/>
      <c r="E1821" s="131">
        <f t="shared" ref="E1821" si="510">ROUNDUP(R1821,-1)</f>
        <v>2620</v>
      </c>
      <c r="F1821" s="21">
        <f t="shared" ref="F1821" si="511">+E1821*1.21</f>
        <v>3170.2</v>
      </c>
      <c r="G1821" s="66"/>
      <c r="H1821" s="135">
        <f t="shared" ref="H1821" si="512">ROUNDUP(T1821,-1)</f>
        <v>0</v>
      </c>
      <c r="I1821" s="294">
        <v>45175</v>
      </c>
      <c r="J1821" s="294">
        <v>45379</v>
      </c>
      <c r="K1821" s="11">
        <f>0.5*3265</f>
        <v>1632.5</v>
      </c>
      <c r="L1821" s="11"/>
      <c r="M1821" s="11"/>
      <c r="N1821" s="100"/>
      <c r="O1821" s="11">
        <f>MIN(K1821:M1821)</f>
        <v>1632.5</v>
      </c>
      <c r="P1821" s="11">
        <f t="shared" ref="P1821" si="513">+O1821</f>
        <v>1632.5</v>
      </c>
      <c r="Q1821" s="11">
        <v>1.6</v>
      </c>
      <c r="R1821" s="11">
        <f t="shared" ref="R1821" si="514">+P1821*Q1821</f>
        <v>2612</v>
      </c>
      <c r="S1821" s="11"/>
      <c r="T1821" s="136">
        <f t="shared" ref="T1821" si="515">+N1821*Q1821</f>
        <v>0</v>
      </c>
    </row>
    <row r="1822" spans="1:20" ht="15.75" customHeight="1">
      <c r="A1822" s="149" t="s">
        <v>3512</v>
      </c>
      <c r="B1822" s="273"/>
      <c r="C1822" s="28" t="s">
        <v>37209</v>
      </c>
      <c r="D1822" s="41">
        <v>140</v>
      </c>
      <c r="E1822" s="131">
        <f t="shared" si="486"/>
        <v>3440</v>
      </c>
      <c r="F1822" s="21">
        <f t="shared" si="489"/>
        <v>4162.3999999999996</v>
      </c>
      <c r="G1822" s="21"/>
      <c r="H1822" s="135">
        <f t="shared" si="464"/>
        <v>0</v>
      </c>
      <c r="I1822" s="294">
        <v>45175</v>
      </c>
      <c r="J1822" s="294">
        <v>45336</v>
      </c>
      <c r="K1822" s="10">
        <f>+PROVEEDORES!$D$18*0.5*4.05</f>
        <v>2146.5</v>
      </c>
      <c r="L1822" s="252"/>
      <c r="M1822" s="11"/>
      <c r="N1822" s="100"/>
      <c r="O1822" s="11">
        <f t="shared" si="480"/>
        <v>2146.5</v>
      </c>
      <c r="P1822" s="11">
        <f t="shared" si="491"/>
        <v>2146.5</v>
      </c>
      <c r="Q1822" s="11">
        <v>1.6</v>
      </c>
      <c r="R1822" s="11">
        <f t="shared" si="490"/>
        <v>3434.4</v>
      </c>
      <c r="S1822" s="11"/>
      <c r="T1822" s="136">
        <f t="shared" si="488"/>
        <v>0</v>
      </c>
    </row>
    <row r="1823" spans="1:20" ht="15.75" customHeight="1">
      <c r="A1823" s="149" t="s">
        <v>3512</v>
      </c>
      <c r="B1823" s="273"/>
      <c r="C1823" s="28" t="s">
        <v>37211</v>
      </c>
      <c r="D1823" s="41">
        <v>140</v>
      </c>
      <c r="E1823" s="131">
        <f t="shared" si="486"/>
        <v>5030</v>
      </c>
      <c r="F1823" s="21">
        <f t="shared" si="489"/>
        <v>6086.3</v>
      </c>
      <c r="G1823" s="21"/>
      <c r="H1823" s="135">
        <f t="shared" si="464"/>
        <v>0</v>
      </c>
      <c r="I1823" s="294">
        <v>45175</v>
      </c>
      <c r="J1823" s="294">
        <v>45336</v>
      </c>
      <c r="K1823" s="10">
        <f>+PROVEEDORES!$D$18*0.5*5.92</f>
        <v>3137.6</v>
      </c>
      <c r="L1823" s="10"/>
      <c r="M1823" s="11"/>
      <c r="N1823" s="100"/>
      <c r="O1823" s="11">
        <f t="shared" si="480"/>
        <v>3137.6</v>
      </c>
      <c r="P1823" s="11">
        <f t="shared" si="491"/>
        <v>3137.6</v>
      </c>
      <c r="Q1823" s="11">
        <v>1.6</v>
      </c>
      <c r="R1823" s="11">
        <f t="shared" si="490"/>
        <v>5020.16</v>
      </c>
      <c r="S1823" s="11"/>
      <c r="T1823" s="136">
        <f t="shared" si="488"/>
        <v>0</v>
      </c>
    </row>
    <row r="1824" spans="1:20" ht="15.75" customHeight="1">
      <c r="A1824" s="149" t="s">
        <v>3512</v>
      </c>
      <c r="B1824" s="273"/>
      <c r="C1824" s="28" t="s">
        <v>62691</v>
      </c>
      <c r="D1824" s="41">
        <v>140</v>
      </c>
      <c r="E1824" s="131">
        <f t="shared" ref="E1824" si="516">ROUNDUP(R1824,-1)</f>
        <v>5030</v>
      </c>
      <c r="F1824" s="21">
        <f t="shared" ref="F1824" si="517">+E1824*1.21</f>
        <v>6086.3</v>
      </c>
      <c r="G1824" s="21"/>
      <c r="H1824" s="135">
        <f t="shared" ref="H1824" si="518">ROUNDUP(T1824,-1)</f>
        <v>0</v>
      </c>
      <c r="I1824" s="294">
        <v>45175</v>
      </c>
      <c r="J1824" s="294">
        <v>45379</v>
      </c>
      <c r="K1824" s="10">
        <f>+PROVEEDORES!$D$18*0.5*5.92</f>
        <v>3137.6</v>
      </c>
      <c r="L1824" s="10"/>
      <c r="M1824" s="11"/>
      <c r="N1824" s="100"/>
      <c r="O1824" s="11">
        <f t="shared" ref="O1824" si="519">MIN(K1824:M1824)</f>
        <v>3137.6</v>
      </c>
      <c r="P1824" s="11">
        <f t="shared" ref="P1824" si="520">+O1824</f>
        <v>3137.6</v>
      </c>
      <c r="Q1824" s="11">
        <v>1.6</v>
      </c>
      <c r="R1824" s="11">
        <f t="shared" ref="R1824" si="521">+P1824*Q1824</f>
        <v>5020.16</v>
      </c>
      <c r="S1824" s="11"/>
      <c r="T1824" s="136">
        <f t="shared" ref="T1824" si="522">+N1824*Q1824</f>
        <v>0</v>
      </c>
    </row>
    <row r="1825" spans="1:20" ht="15.75" customHeight="1">
      <c r="A1825" s="149" t="s">
        <v>3512</v>
      </c>
      <c r="B1825" s="273"/>
      <c r="C1825" s="28" t="s">
        <v>37212</v>
      </c>
      <c r="D1825" s="41">
        <v>230</v>
      </c>
      <c r="E1825" s="131">
        <f t="shared" si="486"/>
        <v>5910</v>
      </c>
      <c r="F1825" s="21">
        <f t="shared" si="489"/>
        <v>7151.0999999999995</v>
      </c>
      <c r="G1825" s="21"/>
      <c r="H1825" s="135">
        <f t="shared" si="464"/>
        <v>0</v>
      </c>
      <c r="I1825" s="294">
        <v>45175</v>
      </c>
      <c r="J1825" s="294">
        <v>45336</v>
      </c>
      <c r="K1825" s="10">
        <f>+PROVEEDORES!$D$18*0.5*6.96</f>
        <v>3688.8</v>
      </c>
      <c r="L1825" s="10"/>
      <c r="M1825" s="11"/>
      <c r="N1825" s="100"/>
      <c r="O1825" s="11">
        <f t="shared" si="480"/>
        <v>3688.8</v>
      </c>
      <c r="P1825" s="11">
        <f t="shared" si="491"/>
        <v>3688.8</v>
      </c>
      <c r="Q1825" s="11">
        <v>1.6</v>
      </c>
      <c r="R1825" s="11">
        <f t="shared" si="490"/>
        <v>5902.0800000000008</v>
      </c>
      <c r="S1825" s="11"/>
      <c r="T1825" s="136">
        <f t="shared" si="488"/>
        <v>0</v>
      </c>
    </row>
    <row r="1826" spans="1:20" ht="15.75" customHeight="1">
      <c r="A1826" s="149">
        <v>24</v>
      </c>
      <c r="B1826" s="273"/>
      <c r="C1826" s="28" t="s">
        <v>37213</v>
      </c>
      <c r="D1826" s="71">
        <v>380</v>
      </c>
      <c r="E1826" s="131">
        <f>ROUNDUP(R1826,-1)</f>
        <v>9510</v>
      </c>
      <c r="F1826" s="21">
        <f>+E1826*1.21</f>
        <v>11507.1</v>
      </c>
      <c r="G1826" s="21"/>
      <c r="H1826" s="135">
        <f>ROUNDUP(T1826,-1)</f>
        <v>0</v>
      </c>
      <c r="I1826" s="294">
        <v>45175</v>
      </c>
      <c r="J1826" s="294">
        <v>45336</v>
      </c>
      <c r="K1826" s="10">
        <f>+PROVEEDORES!$D$18*0.5*11.21</f>
        <v>5941.3</v>
      </c>
      <c r="L1826" s="11"/>
      <c r="M1826" s="11"/>
      <c r="N1826" s="100"/>
      <c r="O1826" s="11">
        <f>MIN(K1826:M1826)</f>
        <v>5941.3</v>
      </c>
      <c r="P1826" s="11">
        <f t="shared" si="491"/>
        <v>5941.3</v>
      </c>
      <c r="Q1826" s="11">
        <v>1.6</v>
      </c>
      <c r="R1826" s="11">
        <f t="shared" si="490"/>
        <v>9506.08</v>
      </c>
      <c r="S1826" s="11"/>
      <c r="T1826" s="136">
        <f>+N1826*Q1826</f>
        <v>0</v>
      </c>
    </row>
    <row r="1827" spans="1:20" ht="15.75" customHeight="1">
      <c r="A1827" s="149">
        <v>24</v>
      </c>
      <c r="B1827" s="273"/>
      <c r="C1827" s="28" t="s">
        <v>37214</v>
      </c>
      <c r="D1827" s="41">
        <v>480</v>
      </c>
      <c r="E1827" s="131">
        <f>ROUNDUP(R1827,-1)</f>
        <v>12120</v>
      </c>
      <c r="F1827" s="21">
        <f>+E1827*1.21</f>
        <v>14665.199999999999</v>
      </c>
      <c r="G1827" s="21"/>
      <c r="H1827" s="135">
        <f>ROUNDUP(T1827,-1)</f>
        <v>0</v>
      </c>
      <c r="I1827" s="294">
        <v>45175</v>
      </c>
      <c r="J1827" s="294">
        <v>45336</v>
      </c>
      <c r="K1827" s="10">
        <f>+PROVEEDORES!$D$18*0.5*14.29</f>
        <v>7573.7</v>
      </c>
      <c r="L1827" s="148"/>
      <c r="M1827" s="11"/>
      <c r="N1827" s="100"/>
      <c r="O1827" s="11">
        <f>MIN(K1827:M1827)</f>
        <v>7573.7</v>
      </c>
      <c r="P1827" s="11">
        <f t="shared" si="491"/>
        <v>7573.7</v>
      </c>
      <c r="Q1827" s="11">
        <v>1.6</v>
      </c>
      <c r="R1827" s="11">
        <f t="shared" si="490"/>
        <v>12117.92</v>
      </c>
      <c r="S1827" s="11"/>
      <c r="T1827" s="136">
        <f>+N1827*Q1827</f>
        <v>0</v>
      </c>
    </row>
    <row r="1828" spans="1:20" ht="15.75" customHeight="1">
      <c r="A1828" s="149">
        <v>24</v>
      </c>
      <c r="B1828" s="273"/>
      <c r="C1828" s="28" t="s">
        <v>62690</v>
      </c>
      <c r="D1828" s="41">
        <v>480</v>
      </c>
      <c r="E1828" s="131">
        <f>ROUNDUP(R1828,-1)</f>
        <v>12540</v>
      </c>
      <c r="F1828" s="21">
        <f>+E1828*1.21</f>
        <v>15173.4</v>
      </c>
      <c r="G1828" s="21"/>
      <c r="H1828" s="135">
        <f>ROUNDUP(T1828,-1)</f>
        <v>0</v>
      </c>
      <c r="I1828" s="294">
        <v>45379</v>
      </c>
      <c r="J1828" s="294">
        <v>45379</v>
      </c>
      <c r="K1828" s="10">
        <f>0.5*15666.8</f>
        <v>7833.4</v>
      </c>
      <c r="L1828" s="148"/>
      <c r="M1828" s="11"/>
      <c r="N1828" s="100"/>
      <c r="O1828" s="11">
        <f>MIN(K1828:M1828)</f>
        <v>7833.4</v>
      </c>
      <c r="P1828" s="11">
        <f t="shared" ref="P1828" si="523">+O1828</f>
        <v>7833.4</v>
      </c>
      <c r="Q1828" s="11">
        <v>1.6</v>
      </c>
      <c r="R1828" s="11">
        <f t="shared" ref="R1828" si="524">+P1828*Q1828</f>
        <v>12533.44</v>
      </c>
      <c r="S1828" s="11"/>
      <c r="T1828" s="136">
        <f>+N1828*Q1828</f>
        <v>0</v>
      </c>
    </row>
    <row r="1829" spans="1:20" ht="15.75" customHeight="1">
      <c r="A1829" s="149">
        <v>24</v>
      </c>
      <c r="B1829" s="273"/>
      <c r="C1829" s="28" t="s">
        <v>37215</v>
      </c>
      <c r="D1829" s="41">
        <v>610</v>
      </c>
      <c r="E1829" s="131">
        <f>ROUNDUP(R1829,-1)</f>
        <v>15630</v>
      </c>
      <c r="F1829" s="21">
        <f>+E1829*1.21</f>
        <v>18912.3</v>
      </c>
      <c r="G1829" s="21"/>
      <c r="H1829" s="135">
        <f>ROUNDUP(T1829,-1)</f>
        <v>0</v>
      </c>
      <c r="I1829" s="294">
        <v>45175</v>
      </c>
      <c r="J1829" s="294">
        <v>45336</v>
      </c>
      <c r="K1829" s="10">
        <f>+PROVEEDORES!$D$18*0.5*18.42</f>
        <v>9762.6</v>
      </c>
      <c r="L1829" s="11"/>
      <c r="M1829" s="11"/>
      <c r="N1829" s="100"/>
      <c r="O1829" s="11">
        <f>MIN(K1829:M1829)</f>
        <v>9762.6</v>
      </c>
      <c r="P1829" s="11">
        <f t="shared" si="491"/>
        <v>9762.6</v>
      </c>
      <c r="Q1829" s="11">
        <v>1.6</v>
      </c>
      <c r="R1829" s="11">
        <f t="shared" si="490"/>
        <v>15620.160000000002</v>
      </c>
      <c r="S1829" s="11"/>
      <c r="T1829" s="136">
        <f>+N1829*Q1829</f>
        <v>0</v>
      </c>
    </row>
    <row r="1830" spans="1:20" ht="15.75" customHeight="1">
      <c r="A1830" s="149" t="s">
        <v>2387</v>
      </c>
      <c r="B1830" s="273"/>
      <c r="C1830" s="28" t="s">
        <v>3413</v>
      </c>
      <c r="D1830" s="41">
        <v>160</v>
      </c>
      <c r="E1830" s="131">
        <f t="shared" si="486"/>
        <v>1310</v>
      </c>
      <c r="F1830" s="21">
        <f t="shared" si="489"/>
        <v>1585.1</v>
      </c>
      <c r="G1830" s="307"/>
      <c r="H1830" s="135">
        <f t="shared" si="464"/>
        <v>0</v>
      </c>
      <c r="I1830" s="294">
        <v>45173</v>
      </c>
      <c r="J1830" s="301"/>
      <c r="K1830" s="11"/>
      <c r="L1830" s="11">
        <f>+'AUMENTOS %'!$C$11*817</f>
        <v>817</v>
      </c>
      <c r="M1830" s="11"/>
      <c r="N1830" s="100"/>
      <c r="O1830" s="11">
        <f t="shared" si="480"/>
        <v>817</v>
      </c>
      <c r="P1830" s="11">
        <f>+O1830*'AUMENTOS %'!$D$11</f>
        <v>817</v>
      </c>
      <c r="Q1830" s="11">
        <v>1.6</v>
      </c>
      <c r="R1830" s="11">
        <f t="shared" si="490"/>
        <v>1307.2</v>
      </c>
      <c r="S1830" s="11"/>
      <c r="T1830" s="136">
        <f t="shared" si="488"/>
        <v>0</v>
      </c>
    </row>
    <row r="1831" spans="1:20" ht="15.75" customHeight="1">
      <c r="A1831" s="149" t="s">
        <v>2387</v>
      </c>
      <c r="B1831" s="273"/>
      <c r="C1831" s="28" t="s">
        <v>3412</v>
      </c>
      <c r="D1831" s="41">
        <v>330</v>
      </c>
      <c r="E1831" s="131">
        <f>ROUNDUP(R1831,-1)</f>
        <v>2550</v>
      </c>
      <c r="F1831" s="21">
        <f>+E1831*1.21</f>
        <v>3085.5</v>
      </c>
      <c r="G1831" s="21"/>
      <c r="H1831" s="135">
        <f>ROUNDUP(T1831,-1)</f>
        <v>0</v>
      </c>
      <c r="I1831" s="294">
        <v>45173</v>
      </c>
      <c r="J1831" s="294"/>
      <c r="K1831" s="10"/>
      <c r="L1831" s="11">
        <f>+'AUMENTOS %'!$C$11*1591</f>
        <v>1591</v>
      </c>
      <c r="M1831" s="11"/>
      <c r="N1831" s="100"/>
      <c r="O1831" s="11">
        <f>MIN(K1831:M1831)</f>
        <v>1591</v>
      </c>
      <c r="P1831" s="11">
        <f>+O1831*'AUMENTOS %'!$D$11</f>
        <v>1591</v>
      </c>
      <c r="Q1831" s="11">
        <v>1.6</v>
      </c>
      <c r="R1831" s="11">
        <f t="shared" si="490"/>
        <v>2545.6000000000004</v>
      </c>
      <c r="S1831" s="11"/>
      <c r="T1831" s="136">
        <f>+N1831*Q1831</f>
        <v>0</v>
      </c>
    </row>
    <row r="1832" spans="1:20" ht="15.75" customHeight="1">
      <c r="A1832" s="149" t="s">
        <v>2398</v>
      </c>
      <c r="B1832" s="273">
        <f>ROUNDUP(E1832*1.105,-1)</f>
        <v>72520</v>
      </c>
      <c r="C1832" s="36" t="s">
        <v>1724</v>
      </c>
      <c r="D1832" s="71">
        <v>3930</v>
      </c>
      <c r="E1832" s="131">
        <f t="shared" si="486"/>
        <v>65620</v>
      </c>
      <c r="F1832" s="21">
        <f t="shared" si="489"/>
        <v>79400.2</v>
      </c>
      <c r="G1832" s="21"/>
      <c r="H1832" s="135">
        <f t="shared" ref="H1832:H1905" si="525">ROUNDUP(T1832,-1)</f>
        <v>0</v>
      </c>
      <c r="I1832" s="294">
        <v>45323</v>
      </c>
      <c r="J1832" s="294"/>
      <c r="K1832" s="10">
        <f>2280*0.85*0.94*0.94*1.12*1.12*1.12*1.1*1.1*1.1*1.15*1.12*1.1*1.15*1.15*1.2*1.2*1.25*1.08*1.06*1.15*1.2*1.12*1.2*1.1*1.45*1.3</f>
        <v>47547.791864858038</v>
      </c>
      <c r="L1832" s="11"/>
      <c r="M1832" s="11"/>
      <c r="N1832" s="38"/>
      <c r="O1832" s="11">
        <f t="shared" si="480"/>
        <v>47547.791864858038</v>
      </c>
      <c r="P1832" s="11">
        <f>+O1832*'AUMENTOS %'!$B$5</f>
        <v>47547.791864858038</v>
      </c>
      <c r="Q1832" s="11">
        <v>1.38</v>
      </c>
      <c r="R1832" s="11">
        <f t="shared" si="490"/>
        <v>65615.95277350409</v>
      </c>
      <c r="S1832" s="11"/>
      <c r="T1832" s="136">
        <f t="shared" si="488"/>
        <v>0</v>
      </c>
    </row>
    <row r="1833" spans="1:20" ht="15.75" customHeight="1">
      <c r="A1833" s="149">
        <v>38</v>
      </c>
      <c r="B1833" s="273"/>
      <c r="C1833" s="28" t="s">
        <v>4378</v>
      </c>
      <c r="D1833" s="71"/>
      <c r="E1833" s="131">
        <f t="shared" si="486"/>
        <v>17950</v>
      </c>
      <c r="F1833" s="21" t="s">
        <v>1248</v>
      </c>
      <c r="G1833" s="21">
        <f t="shared" ref="G1833:G1850" si="526">+E1833*1.105</f>
        <v>19834.75</v>
      </c>
      <c r="H1833" s="135">
        <f t="shared" si="525"/>
        <v>0</v>
      </c>
      <c r="I1833" s="294">
        <v>45138</v>
      </c>
      <c r="J1833" s="294"/>
      <c r="K1833" s="10">
        <v>12821</v>
      </c>
      <c r="L1833" s="11"/>
      <c r="M1833" s="11"/>
      <c r="N1833" s="38"/>
      <c r="O1833" s="11">
        <f t="shared" si="480"/>
        <v>12821</v>
      </c>
      <c r="P1833" s="11">
        <f t="shared" si="491"/>
        <v>12821</v>
      </c>
      <c r="Q1833" s="11">
        <v>1.4</v>
      </c>
      <c r="R1833" s="11">
        <f t="shared" si="490"/>
        <v>17949.399999999998</v>
      </c>
      <c r="S1833" s="11"/>
      <c r="T1833" s="136">
        <f t="shared" si="488"/>
        <v>0</v>
      </c>
    </row>
    <row r="1834" spans="1:20" ht="15.75" customHeight="1">
      <c r="A1834" s="149" t="s">
        <v>2398</v>
      </c>
      <c r="B1834" s="273">
        <f t="shared" ref="B1834:B1850" si="527">ROUNDUP(E1834*1.06,-1)</f>
        <v>0</v>
      </c>
      <c r="C1834" s="28" t="s">
        <v>1725</v>
      </c>
      <c r="D1834" s="71">
        <v>5570</v>
      </c>
      <c r="E1834" s="131">
        <f t="shared" si="486"/>
        <v>0</v>
      </c>
      <c r="F1834" s="21" t="s">
        <v>1248</v>
      </c>
      <c r="G1834" s="21">
        <f t="shared" si="526"/>
        <v>0</v>
      </c>
      <c r="H1834" s="135">
        <f t="shared" si="525"/>
        <v>0</v>
      </c>
      <c r="I1834" s="23">
        <v>45275</v>
      </c>
      <c r="J1834" s="294"/>
      <c r="K1834" s="10">
        <f>0.8*0.98*0.94*25611*1.3</f>
        <v>24536.567328000001</v>
      </c>
      <c r="L1834" s="11"/>
      <c r="M1834" s="11"/>
      <c r="N1834" s="38"/>
      <c r="O1834" s="11">
        <f t="shared" si="480"/>
        <v>24536.567328000001</v>
      </c>
      <c r="P1834" s="11">
        <f>+O1834*'AUMENTOS %'!$B$5</f>
        <v>24536.567328000001</v>
      </c>
      <c r="Q1834" s="11"/>
      <c r="R1834" s="11">
        <f t="shared" si="490"/>
        <v>0</v>
      </c>
      <c r="S1834" s="11"/>
      <c r="T1834" s="136">
        <f t="shared" si="488"/>
        <v>0</v>
      </c>
    </row>
    <row r="1835" spans="1:20" ht="15.75" customHeight="1">
      <c r="A1835" s="149" t="s">
        <v>2398</v>
      </c>
      <c r="B1835" s="273">
        <f t="shared" si="527"/>
        <v>0</v>
      </c>
      <c r="C1835" s="28" t="s">
        <v>1726</v>
      </c>
      <c r="D1835" s="71">
        <v>6720</v>
      </c>
      <c r="E1835" s="131">
        <f t="shared" si="486"/>
        <v>0</v>
      </c>
      <c r="F1835" s="21" t="s">
        <v>1248</v>
      </c>
      <c r="G1835" s="21">
        <f t="shared" si="526"/>
        <v>0</v>
      </c>
      <c r="H1835" s="135">
        <f t="shared" si="525"/>
        <v>0</v>
      </c>
      <c r="I1835" s="23">
        <v>45275</v>
      </c>
      <c r="J1835" s="294"/>
      <c r="K1835" s="10">
        <f>4370*0.8*0.98*0.94*1.12*0.95*1.2*1.1*1.1*1.1*1.15*1.12*1.15*1.15*1.2*1.2*1.15</f>
        <v>15438.253181446637</v>
      </c>
      <c r="L1835" s="11"/>
      <c r="M1835" s="10"/>
      <c r="N1835" s="100"/>
      <c r="O1835" s="11">
        <f t="shared" si="480"/>
        <v>15438.253181446637</v>
      </c>
      <c r="P1835" s="11">
        <f>+O1835*'AUMENTOS %'!$B$5</f>
        <v>15438.253181446637</v>
      </c>
      <c r="Q1835" s="11"/>
      <c r="R1835" s="11">
        <f t="shared" si="490"/>
        <v>0</v>
      </c>
      <c r="S1835" s="11"/>
      <c r="T1835" s="136">
        <f t="shared" si="488"/>
        <v>0</v>
      </c>
    </row>
    <row r="1836" spans="1:20" ht="15.75" customHeight="1">
      <c r="A1836" s="149" t="s">
        <v>2398</v>
      </c>
      <c r="B1836" s="273">
        <f t="shared" si="527"/>
        <v>158490</v>
      </c>
      <c r="C1836" s="28" t="s">
        <v>37159</v>
      </c>
      <c r="D1836" s="71">
        <v>7890</v>
      </c>
      <c r="E1836" s="131">
        <f t="shared" si="486"/>
        <v>149510</v>
      </c>
      <c r="F1836" s="21" t="s">
        <v>1248</v>
      </c>
      <c r="G1836" s="21">
        <f t="shared" si="526"/>
        <v>165208.54999999999</v>
      </c>
      <c r="H1836" s="135">
        <f t="shared" si="525"/>
        <v>0</v>
      </c>
      <c r="I1836" s="23">
        <v>45323</v>
      </c>
      <c r="J1836" s="294"/>
      <c r="K1836" s="11">
        <f>0.8*0.97*0.94*151824</f>
        <v>110746.49855999999</v>
      </c>
      <c r="L1836" s="11"/>
      <c r="M1836" s="10"/>
      <c r="N1836" s="100"/>
      <c r="O1836" s="11">
        <f t="shared" si="480"/>
        <v>110746.49855999999</v>
      </c>
      <c r="P1836" s="11">
        <f>+O1836*'AUMENTOS %'!$B$5</f>
        <v>110746.49855999999</v>
      </c>
      <c r="Q1836" s="11">
        <v>1.35</v>
      </c>
      <c r="R1836" s="11">
        <f t="shared" si="490"/>
        <v>149507.77305600001</v>
      </c>
      <c r="S1836" s="11"/>
      <c r="T1836" s="136">
        <f t="shared" ref="T1836:T1852" si="528">+N1836*Q1836</f>
        <v>0</v>
      </c>
    </row>
    <row r="1837" spans="1:20" ht="15.75" customHeight="1">
      <c r="A1837" s="149" t="s">
        <v>2398</v>
      </c>
      <c r="B1837" s="273">
        <f t="shared" si="527"/>
        <v>0</v>
      </c>
      <c r="C1837" s="28" t="s">
        <v>1727</v>
      </c>
      <c r="D1837" s="71">
        <v>0</v>
      </c>
      <c r="E1837" s="131">
        <f t="shared" si="486"/>
        <v>0</v>
      </c>
      <c r="F1837" s="21" t="s">
        <v>1248</v>
      </c>
      <c r="G1837" s="21">
        <f t="shared" si="526"/>
        <v>0</v>
      </c>
      <c r="H1837" s="135">
        <f t="shared" si="525"/>
        <v>0</v>
      </c>
      <c r="I1837" s="23">
        <v>45275</v>
      </c>
      <c r="J1837" s="294"/>
      <c r="K1837" s="10">
        <f>4008*0.737*1.35*1.1</f>
        <v>4386.5355600000003</v>
      </c>
      <c r="L1837" s="11"/>
      <c r="M1837" s="11"/>
      <c r="N1837" s="100"/>
      <c r="O1837" s="11">
        <f t="shared" si="480"/>
        <v>4386.5355600000003</v>
      </c>
      <c r="P1837" s="11">
        <f>+O1837*'AUMENTOS %'!$B$5</f>
        <v>4386.5355600000003</v>
      </c>
      <c r="Q1837" s="11"/>
      <c r="R1837" s="11">
        <f t="shared" si="490"/>
        <v>0</v>
      </c>
      <c r="S1837" s="11"/>
      <c r="T1837" s="136">
        <f t="shared" si="528"/>
        <v>0</v>
      </c>
    </row>
    <row r="1838" spans="1:20" ht="15.75" customHeight="1">
      <c r="A1838" s="149" t="s">
        <v>2398</v>
      </c>
      <c r="B1838" s="273">
        <f t="shared" si="527"/>
        <v>215470</v>
      </c>
      <c r="C1838" s="36" t="s">
        <v>37160</v>
      </c>
      <c r="D1838" s="71">
        <v>10680</v>
      </c>
      <c r="E1838" s="131">
        <f t="shared" si="486"/>
        <v>203270</v>
      </c>
      <c r="F1838" s="21" t="s">
        <v>1248</v>
      </c>
      <c r="G1838" s="21">
        <f t="shared" si="526"/>
        <v>224613.35</v>
      </c>
      <c r="H1838" s="135">
        <f t="shared" si="525"/>
        <v>0</v>
      </c>
      <c r="I1838" s="23">
        <v>45323</v>
      </c>
      <c r="J1838" s="294"/>
      <c r="K1838" s="10">
        <f>0.8*0.97*0.94*206412</f>
        <v>150565.16928</v>
      </c>
      <c r="L1838" s="10"/>
      <c r="M1838" s="11"/>
      <c r="N1838" s="100"/>
      <c r="O1838" s="11">
        <f t="shared" ref="O1838:O1912" si="529">MIN(K1838:M1838)</f>
        <v>150565.16928</v>
      </c>
      <c r="P1838" s="11">
        <f>+O1838*'AUMENTOS %'!$B$5</f>
        <v>150565.16928</v>
      </c>
      <c r="Q1838" s="11">
        <v>1.35</v>
      </c>
      <c r="R1838" s="11">
        <f t="shared" si="490"/>
        <v>203262.97852800001</v>
      </c>
      <c r="S1838" s="11"/>
      <c r="T1838" s="136">
        <f t="shared" si="528"/>
        <v>0</v>
      </c>
    </row>
    <row r="1839" spans="1:20" ht="15.75" customHeight="1">
      <c r="A1839" s="149" t="s">
        <v>2398</v>
      </c>
      <c r="B1839" s="273">
        <f>ROUNDUP(E1839*1.06,-1)</f>
        <v>204790</v>
      </c>
      <c r="C1839" s="36" t="s">
        <v>37161</v>
      </c>
      <c r="D1839" s="71">
        <v>10680</v>
      </c>
      <c r="E1839" s="131">
        <f>ROUNDUP(R1839,-1)</f>
        <v>193190</v>
      </c>
      <c r="F1839" s="21" t="s">
        <v>1248</v>
      </c>
      <c r="G1839" s="21">
        <f>+E1839*1.105</f>
        <v>213474.94999999998</v>
      </c>
      <c r="H1839" s="135">
        <f>ROUNDUP(T1839,-1)</f>
        <v>0</v>
      </c>
      <c r="I1839" s="23">
        <v>45323</v>
      </c>
      <c r="J1839" s="294"/>
      <c r="K1839" s="10">
        <f>0.8*0.97*0.94*196176</f>
        <v>143098.62143999999</v>
      </c>
      <c r="L1839" s="10"/>
      <c r="M1839" s="11"/>
      <c r="N1839" s="100"/>
      <c r="O1839" s="11">
        <f>MIN(K1839:M1839)</f>
        <v>143098.62143999999</v>
      </c>
      <c r="P1839" s="11">
        <f>+O1839*'AUMENTOS %'!$B$5</f>
        <v>143098.62143999999</v>
      </c>
      <c r="Q1839" s="11">
        <v>1.35</v>
      </c>
      <c r="R1839" s="11">
        <f>+P1839*Q1839</f>
        <v>193183.13894400001</v>
      </c>
      <c r="S1839" s="11"/>
      <c r="T1839" s="136">
        <f>+N1839*Q1839</f>
        <v>0</v>
      </c>
    </row>
    <row r="1840" spans="1:20" ht="15.75" customHeight="1">
      <c r="A1840" s="149" t="s">
        <v>2398</v>
      </c>
      <c r="B1840" s="273">
        <f t="shared" si="527"/>
        <v>299160</v>
      </c>
      <c r="C1840" s="36" t="s">
        <v>37162</v>
      </c>
      <c r="D1840" s="71">
        <v>10680</v>
      </c>
      <c r="E1840" s="131">
        <f t="shared" si="486"/>
        <v>282220</v>
      </c>
      <c r="F1840" s="21" t="s">
        <v>1248</v>
      </c>
      <c r="G1840" s="21">
        <f t="shared" si="526"/>
        <v>311853.09999999998</v>
      </c>
      <c r="H1840" s="135">
        <f t="shared" si="525"/>
        <v>0</v>
      </c>
      <c r="I1840" s="23">
        <v>45323</v>
      </c>
      <c r="J1840" s="294"/>
      <c r="K1840" s="10">
        <f>0.8*0.97*0.94*286588</f>
        <v>209048.75071999998</v>
      </c>
      <c r="L1840" s="10"/>
      <c r="M1840" s="11"/>
      <c r="N1840" s="100"/>
      <c r="O1840" s="11">
        <f t="shared" si="529"/>
        <v>209048.75071999998</v>
      </c>
      <c r="P1840" s="11">
        <f>+O1840*'AUMENTOS %'!$B$5</f>
        <v>209048.75071999998</v>
      </c>
      <c r="Q1840" s="11">
        <v>1.35</v>
      </c>
      <c r="R1840" s="11">
        <f t="shared" si="490"/>
        <v>282215.81347200001</v>
      </c>
      <c r="S1840" s="11"/>
      <c r="T1840" s="136">
        <f t="shared" si="528"/>
        <v>0</v>
      </c>
    </row>
    <row r="1841" spans="1:20" ht="15.75" customHeight="1">
      <c r="A1841" s="149" t="s">
        <v>2398</v>
      </c>
      <c r="B1841" s="273">
        <f t="shared" si="527"/>
        <v>286140</v>
      </c>
      <c r="C1841" s="28" t="s">
        <v>1728</v>
      </c>
      <c r="D1841" s="71">
        <v>9590</v>
      </c>
      <c r="E1841" s="131">
        <f>+E1842*0.85</f>
        <v>269934.5</v>
      </c>
      <c r="F1841" s="21" t="s">
        <v>1248</v>
      </c>
      <c r="G1841" s="21">
        <f>+E1841*1.105</f>
        <v>298277.6225</v>
      </c>
      <c r="H1841" s="135">
        <f t="shared" si="525"/>
        <v>0</v>
      </c>
      <c r="I1841" s="23">
        <v>45323</v>
      </c>
      <c r="J1841" s="294"/>
      <c r="K1841" s="10"/>
      <c r="L1841" s="11"/>
      <c r="M1841" s="11"/>
      <c r="N1841" s="100"/>
      <c r="O1841" s="11">
        <f t="shared" si="529"/>
        <v>0</v>
      </c>
      <c r="P1841" s="11">
        <f>+O1841*'AUMENTOS %'!$B$5</f>
        <v>0</v>
      </c>
      <c r="Q1841" s="11"/>
      <c r="R1841" s="11">
        <f t="shared" si="490"/>
        <v>0</v>
      </c>
      <c r="S1841" s="11"/>
      <c r="T1841" s="136">
        <f t="shared" si="528"/>
        <v>0</v>
      </c>
    </row>
    <row r="1842" spans="1:20" ht="15.75" customHeight="1">
      <c r="A1842" s="149" t="s">
        <v>2398</v>
      </c>
      <c r="B1842" s="273">
        <f>ROUNDUP(E1842*1.06,-1)</f>
        <v>336630</v>
      </c>
      <c r="C1842" s="28" t="s">
        <v>1729</v>
      </c>
      <c r="D1842" s="71">
        <v>19400</v>
      </c>
      <c r="E1842" s="131">
        <f>ROUNDUP(R1842,-1)</f>
        <v>317570</v>
      </c>
      <c r="F1842" s="21" t="s">
        <v>1248</v>
      </c>
      <c r="G1842" s="21">
        <f>+E1842*1.105</f>
        <v>350914.85</v>
      </c>
      <c r="H1842" s="135">
        <f>ROUNDUP(T1842,-1)</f>
        <v>0</v>
      </c>
      <c r="I1842" s="23">
        <v>45323</v>
      </c>
      <c r="J1842" s="294"/>
      <c r="K1842" s="32">
        <f>9883*0.8*0.97*0.94*1.2*1.12*1.12*1.12*1.1*1.12*1.1*1.15*1.12*1.15*1.15*1.2*1.2*1.15*1.15*1.08*1.06*1.15*1.2*1.12*1.2*1.1*1.45*1.3</f>
        <v>235233.30444060417</v>
      </c>
      <c r="L1842" s="10"/>
      <c r="M1842" s="10"/>
      <c r="O1842" s="11">
        <f>MIN(K1842:M1842)</f>
        <v>235233.30444060417</v>
      </c>
      <c r="P1842" s="11">
        <f>+O1842*'AUMENTOS %'!$B$5</f>
        <v>235233.30444060417</v>
      </c>
      <c r="Q1842" s="11">
        <v>1.35</v>
      </c>
      <c r="R1842" s="11">
        <f t="shared" si="490"/>
        <v>317564.96099481563</v>
      </c>
      <c r="S1842" s="11"/>
      <c r="T1842" s="136">
        <f>+N1842*Q1842</f>
        <v>0</v>
      </c>
    </row>
    <row r="1843" spans="1:20" ht="15.75" customHeight="1">
      <c r="A1843" s="149">
        <v>18</v>
      </c>
      <c r="B1843" s="273">
        <f>ROUNDUP(E1843*1.06,-1)</f>
        <v>721180</v>
      </c>
      <c r="C1843" s="28" t="s">
        <v>37163</v>
      </c>
      <c r="D1843" s="71"/>
      <c r="E1843" s="131">
        <f>ROUNDUP(R1843,-1)</f>
        <v>680350</v>
      </c>
      <c r="F1843" s="21" t="s">
        <v>1248</v>
      </c>
      <c r="G1843" s="21">
        <f>+E1843*1.105</f>
        <v>751786.75</v>
      </c>
      <c r="H1843" s="135">
        <f>ROUNDUP(T1843,-1)</f>
        <v>0</v>
      </c>
      <c r="I1843" s="23">
        <v>45323</v>
      </c>
      <c r="J1843" s="294"/>
      <c r="K1843" s="10">
        <f>0.8*0.97*0.94*690882</f>
        <v>503956.96607999998</v>
      </c>
      <c r="L1843" s="10"/>
      <c r="M1843" s="10"/>
      <c r="N1843" s="100"/>
      <c r="O1843" s="11">
        <f>MIN(K1843:M1843)</f>
        <v>503956.96607999998</v>
      </c>
      <c r="P1843" s="11">
        <f>+O1843*'AUMENTOS %'!$B$5</f>
        <v>503956.96607999998</v>
      </c>
      <c r="Q1843" s="11">
        <v>1.35</v>
      </c>
      <c r="R1843" s="11">
        <f t="shared" si="490"/>
        <v>680341.90420800005</v>
      </c>
      <c r="S1843" s="11"/>
      <c r="T1843" s="136">
        <f>+N1843*Q1843</f>
        <v>0</v>
      </c>
    </row>
    <row r="1844" spans="1:20" ht="15.75" customHeight="1">
      <c r="A1844" s="149">
        <v>106</v>
      </c>
      <c r="B1844" s="273">
        <f t="shared" si="527"/>
        <v>77540</v>
      </c>
      <c r="C1844" s="28" t="s">
        <v>4083</v>
      </c>
      <c r="D1844" s="71"/>
      <c r="E1844" s="131">
        <f t="shared" si="486"/>
        <v>73150</v>
      </c>
      <c r="F1844" s="21" t="s">
        <v>1248</v>
      </c>
      <c r="G1844" s="21">
        <f t="shared" si="526"/>
        <v>80830.75</v>
      </c>
      <c r="H1844" s="135">
        <f t="shared" si="525"/>
        <v>0</v>
      </c>
      <c r="I1844" s="294">
        <v>45257</v>
      </c>
      <c r="J1844" s="294">
        <v>45334</v>
      </c>
      <c r="K1844" s="10">
        <f>0.82*63712</f>
        <v>52243.839999999997</v>
      </c>
      <c r="L1844" s="10"/>
      <c r="M1844" s="10"/>
      <c r="N1844" s="100"/>
      <c r="O1844" s="11">
        <f t="shared" si="529"/>
        <v>52243.839999999997</v>
      </c>
      <c r="P1844" s="11">
        <f t="shared" si="491"/>
        <v>52243.839999999997</v>
      </c>
      <c r="Q1844" s="11">
        <v>1.4</v>
      </c>
      <c r="R1844" s="11">
        <f t="shared" si="490"/>
        <v>73141.375999999989</v>
      </c>
      <c r="S1844" s="11"/>
      <c r="T1844" s="136">
        <f t="shared" si="528"/>
        <v>0</v>
      </c>
    </row>
    <row r="1845" spans="1:20" ht="15.75" customHeight="1">
      <c r="A1845" s="149">
        <v>38</v>
      </c>
      <c r="B1845" s="273">
        <f t="shared" si="527"/>
        <v>51310</v>
      </c>
      <c r="C1845" s="28" t="s">
        <v>1730</v>
      </c>
      <c r="D1845" s="71">
        <v>13120</v>
      </c>
      <c r="E1845" s="131">
        <f t="shared" si="486"/>
        <v>48400</v>
      </c>
      <c r="F1845" s="21"/>
      <c r="G1845" s="21">
        <f t="shared" si="526"/>
        <v>53482</v>
      </c>
      <c r="H1845" s="135">
        <f t="shared" si="525"/>
        <v>0</v>
      </c>
      <c r="I1845" s="294">
        <v>45138</v>
      </c>
      <c r="J1845" s="294"/>
      <c r="K1845" s="11">
        <f>+'AUMENTOS %'!B10*35851</f>
        <v>35851</v>
      </c>
      <c r="L1845" s="10"/>
      <c r="M1845" s="10"/>
      <c r="N1845" s="100"/>
      <c r="O1845" s="11">
        <f>MIN(K1845:M1845)*'AUMENTOS %'!$B$10</f>
        <v>35851</v>
      </c>
      <c r="P1845" s="11">
        <f t="shared" si="491"/>
        <v>35851</v>
      </c>
      <c r="Q1845" s="11">
        <v>1.35</v>
      </c>
      <c r="R1845" s="11">
        <f t="shared" si="490"/>
        <v>48398.850000000006</v>
      </c>
      <c r="S1845" s="11"/>
      <c r="T1845" s="136">
        <f t="shared" si="528"/>
        <v>0</v>
      </c>
    </row>
    <row r="1846" spans="1:20" ht="15.75" customHeight="1">
      <c r="A1846" s="149">
        <v>108</v>
      </c>
      <c r="B1846" s="273">
        <f>ROUNDUP(E1846*1.06,-1)</f>
        <v>46830</v>
      </c>
      <c r="C1846" s="28" t="s">
        <v>4205</v>
      </c>
      <c r="D1846" s="71">
        <v>3250</v>
      </c>
      <c r="E1846" s="131">
        <f>ROUNDUP(R1846,-1)</f>
        <v>44170</v>
      </c>
      <c r="F1846" s="21" t="s">
        <v>1248</v>
      </c>
      <c r="G1846" s="21">
        <f>+E1846*1.105</f>
        <v>48807.85</v>
      </c>
      <c r="H1846" s="135">
        <f>ROUNDUP(T1846,-1)</f>
        <v>0</v>
      </c>
      <c r="I1846" s="294">
        <v>45240</v>
      </c>
      <c r="J1846" s="294">
        <v>45370</v>
      </c>
      <c r="K1846" s="11">
        <f>0.765*39819</f>
        <v>30461.535</v>
      </c>
      <c r="L1846" s="10"/>
      <c r="M1846" s="10"/>
      <c r="N1846" s="11"/>
      <c r="O1846" s="11">
        <f>MIN(K1846:M1846)</f>
        <v>30461.535</v>
      </c>
      <c r="P1846" s="11">
        <f t="shared" si="491"/>
        <v>30461.535</v>
      </c>
      <c r="Q1846" s="11">
        <v>1.45</v>
      </c>
      <c r="R1846" s="11">
        <f t="shared" si="490"/>
        <v>44169.225749999998</v>
      </c>
      <c r="S1846" s="11"/>
      <c r="T1846" s="136">
        <f>+N1846*Q1846</f>
        <v>0</v>
      </c>
    </row>
    <row r="1847" spans="1:20" ht="15.75" customHeight="1">
      <c r="A1847" s="149">
        <v>108</v>
      </c>
      <c r="B1847" s="273">
        <f>ROUNDUP(E1847*1.06,-1)</f>
        <v>52840</v>
      </c>
      <c r="C1847" s="28" t="s">
        <v>4206</v>
      </c>
      <c r="D1847" s="71">
        <v>5040</v>
      </c>
      <c r="E1847" s="131">
        <f>ROUNDUP(R1847,-1)</f>
        <v>49840</v>
      </c>
      <c r="F1847" s="21" t="s">
        <v>1248</v>
      </c>
      <c r="G1847" s="21">
        <f>+E1847*1.105</f>
        <v>55073.2</v>
      </c>
      <c r="H1847" s="135">
        <f>ROUNDUP(T1847,-1)</f>
        <v>0</v>
      </c>
      <c r="I1847" s="294">
        <v>45240</v>
      </c>
      <c r="J1847" s="294">
        <v>45370</v>
      </c>
      <c r="K1847" s="11">
        <f>0.765*44924</f>
        <v>34366.86</v>
      </c>
      <c r="L1847" s="10"/>
      <c r="M1847" s="10"/>
      <c r="N1847" s="11"/>
      <c r="O1847" s="11">
        <f>MIN(K1847:M1847)</f>
        <v>34366.86</v>
      </c>
      <c r="P1847" s="11">
        <f t="shared" si="491"/>
        <v>34366.86</v>
      </c>
      <c r="Q1847" s="11">
        <v>1.45</v>
      </c>
      <c r="R1847" s="11">
        <f t="shared" si="490"/>
        <v>49831.947</v>
      </c>
      <c r="S1847" s="11"/>
      <c r="T1847" s="136">
        <f>+N1847*Q1847</f>
        <v>0</v>
      </c>
    </row>
    <row r="1848" spans="1:20" ht="15.75" customHeight="1">
      <c r="A1848" s="149" t="s">
        <v>2404</v>
      </c>
      <c r="B1848" s="273">
        <f t="shared" si="527"/>
        <v>113410</v>
      </c>
      <c r="C1848" s="28" t="s">
        <v>1731</v>
      </c>
      <c r="D1848" s="71">
        <v>3250</v>
      </c>
      <c r="E1848" s="131">
        <f t="shared" si="486"/>
        <v>106990</v>
      </c>
      <c r="F1848" s="21" t="s">
        <v>1248</v>
      </c>
      <c r="G1848" s="21">
        <f t="shared" si="526"/>
        <v>118223.95</v>
      </c>
      <c r="H1848" s="135">
        <f t="shared" si="525"/>
        <v>91810</v>
      </c>
      <c r="I1848" s="294">
        <v>45138</v>
      </c>
      <c r="J1848" s="294">
        <v>45274</v>
      </c>
      <c r="K1848" s="143">
        <f>+PROVEEDORES!D6*0.9*72*2</f>
        <v>115992</v>
      </c>
      <c r="L1848" s="10">
        <f>+PROVEEDORES!$D$32*70.27</f>
        <v>73783.5</v>
      </c>
      <c r="M1848" s="10"/>
      <c r="N1848" s="11">
        <v>63316</v>
      </c>
      <c r="O1848" s="11">
        <f t="shared" si="529"/>
        <v>73783.5</v>
      </c>
      <c r="P1848" s="11">
        <f t="shared" si="491"/>
        <v>73783.5</v>
      </c>
      <c r="Q1848" s="11">
        <v>1.45</v>
      </c>
      <c r="R1848" s="11">
        <f t="shared" si="490"/>
        <v>106986.075</v>
      </c>
      <c r="S1848" s="11"/>
      <c r="T1848" s="136">
        <f t="shared" si="528"/>
        <v>91808.2</v>
      </c>
    </row>
    <row r="1849" spans="1:20" ht="15.75" customHeight="1">
      <c r="A1849" s="149" t="s">
        <v>2404</v>
      </c>
      <c r="B1849" s="273">
        <f t="shared" si="527"/>
        <v>151240</v>
      </c>
      <c r="C1849" s="28" t="s">
        <v>1732</v>
      </c>
      <c r="D1849" s="71">
        <v>5040</v>
      </c>
      <c r="E1849" s="131">
        <f t="shared" si="486"/>
        <v>142670</v>
      </c>
      <c r="F1849" s="21" t="s">
        <v>1248</v>
      </c>
      <c r="G1849" s="21">
        <f t="shared" si="526"/>
        <v>157650.35</v>
      </c>
      <c r="H1849" s="135">
        <f t="shared" si="525"/>
        <v>0</v>
      </c>
      <c r="I1849" s="294">
        <v>45108</v>
      </c>
      <c r="J1849" s="294">
        <v>45139</v>
      </c>
      <c r="K1849" s="11">
        <f>+PROVEEDORES!D6*0.9*122.15</f>
        <v>98391.825000000012</v>
      </c>
      <c r="L1849" s="10"/>
      <c r="M1849" s="10"/>
      <c r="N1849" s="11"/>
      <c r="O1849" s="11">
        <f t="shared" si="529"/>
        <v>98391.825000000012</v>
      </c>
      <c r="P1849" s="11">
        <f t="shared" si="491"/>
        <v>98391.825000000012</v>
      </c>
      <c r="Q1849" s="11">
        <v>1.45</v>
      </c>
      <c r="R1849" s="11">
        <f t="shared" si="490"/>
        <v>142668.14625000002</v>
      </c>
      <c r="S1849" s="11"/>
      <c r="T1849" s="136">
        <f t="shared" si="528"/>
        <v>0</v>
      </c>
    </row>
    <row r="1850" spans="1:20" ht="15.75" customHeight="1">
      <c r="A1850" s="149" t="s">
        <v>2404</v>
      </c>
      <c r="B1850" s="273">
        <f t="shared" si="527"/>
        <v>230290</v>
      </c>
      <c r="C1850" s="28" t="s">
        <v>1733</v>
      </c>
      <c r="D1850" s="71">
        <v>9660</v>
      </c>
      <c r="E1850" s="131">
        <f t="shared" si="486"/>
        <v>217250</v>
      </c>
      <c r="F1850" s="21" t="s">
        <v>1248</v>
      </c>
      <c r="G1850" s="21">
        <f t="shared" si="526"/>
        <v>240061.25</v>
      </c>
      <c r="H1850" s="135">
        <f t="shared" si="525"/>
        <v>0</v>
      </c>
      <c r="I1850" s="294">
        <v>45108</v>
      </c>
      <c r="J1850" s="294">
        <v>45139</v>
      </c>
      <c r="K1850" s="11">
        <f>+PROVEEDORES!D6*0.9*186</f>
        <v>149823</v>
      </c>
      <c r="L1850" s="10"/>
      <c r="M1850" s="10"/>
      <c r="N1850" s="11"/>
      <c r="O1850" s="11">
        <f t="shared" si="529"/>
        <v>149823</v>
      </c>
      <c r="P1850" s="11">
        <f t="shared" si="491"/>
        <v>149823</v>
      </c>
      <c r="Q1850" s="11">
        <v>1.45</v>
      </c>
      <c r="R1850" s="11">
        <f t="shared" si="490"/>
        <v>217243.35</v>
      </c>
      <c r="S1850" s="11"/>
      <c r="T1850" s="136">
        <f t="shared" si="528"/>
        <v>0</v>
      </c>
    </row>
    <row r="1851" spans="1:20" ht="15.75" customHeight="1">
      <c r="A1851" s="149"/>
      <c r="B1851" s="273"/>
      <c r="C1851" s="28" t="s">
        <v>2540</v>
      </c>
      <c r="D1851" s="71"/>
      <c r="E1851" s="131">
        <f t="shared" si="486"/>
        <v>1870</v>
      </c>
      <c r="F1851" s="21">
        <f t="shared" ref="F1851:F1883" si="530">+E1851*1.21</f>
        <v>2262.6999999999998</v>
      </c>
      <c r="G1851" s="21"/>
      <c r="H1851" s="135">
        <f t="shared" si="525"/>
        <v>0</v>
      </c>
      <c r="I1851" s="294"/>
      <c r="J1851" s="294">
        <v>44039</v>
      </c>
      <c r="K1851" s="11">
        <f>1399*0.95</f>
        <v>1329.05</v>
      </c>
      <c r="L1851" s="10"/>
      <c r="M1851" s="10"/>
      <c r="N1851" s="100"/>
      <c r="O1851" s="11">
        <f t="shared" si="529"/>
        <v>1329.05</v>
      </c>
      <c r="P1851" s="11">
        <f t="shared" si="491"/>
        <v>1329.05</v>
      </c>
      <c r="Q1851" s="11">
        <v>1.4</v>
      </c>
      <c r="R1851" s="11">
        <f t="shared" si="490"/>
        <v>1860.6699999999998</v>
      </c>
      <c r="S1851" s="11"/>
      <c r="T1851" s="136">
        <f t="shared" si="528"/>
        <v>0</v>
      </c>
    </row>
    <row r="1852" spans="1:20" ht="15.75" customHeight="1">
      <c r="A1852" s="149">
        <v>50</v>
      </c>
      <c r="B1852" s="273">
        <f>ROUNDUP(E1852*1.105,-1)</f>
        <v>105680</v>
      </c>
      <c r="C1852" s="28" t="s">
        <v>3911</v>
      </c>
      <c r="D1852" s="159">
        <v>3360</v>
      </c>
      <c r="E1852" s="139">
        <f t="shared" si="486"/>
        <v>95630</v>
      </c>
      <c r="F1852" s="21">
        <f t="shared" si="530"/>
        <v>115712.3</v>
      </c>
      <c r="G1852" s="21"/>
      <c r="H1852" s="135">
        <f t="shared" si="525"/>
        <v>94880</v>
      </c>
      <c r="I1852" s="294">
        <v>45385</v>
      </c>
      <c r="J1852" s="294"/>
      <c r="K1852" s="43">
        <f>PROVEEDORES!$D$44*0.58*135</f>
        <v>69295.5</v>
      </c>
      <c r="L1852" s="11"/>
      <c r="M1852" s="11"/>
      <c r="N1852" s="171">
        <f>PROVEEDORES!$D$44*0.5985*129.8</f>
        <v>68751.490500000014</v>
      </c>
      <c r="O1852" s="11">
        <f t="shared" si="529"/>
        <v>69295.5</v>
      </c>
      <c r="P1852" s="11">
        <f t="shared" si="491"/>
        <v>69295.5</v>
      </c>
      <c r="Q1852" s="11">
        <v>1.38</v>
      </c>
      <c r="R1852" s="11">
        <f t="shared" si="490"/>
        <v>95627.79</v>
      </c>
      <c r="S1852" s="11"/>
      <c r="T1852" s="136">
        <f t="shared" si="528"/>
        <v>94877.056890000007</v>
      </c>
    </row>
    <row r="1853" spans="1:20" ht="15.75" customHeight="1">
      <c r="A1853" s="149"/>
      <c r="B1853" s="273"/>
      <c r="C1853" s="28" t="s">
        <v>4069</v>
      </c>
      <c r="D1853" s="41">
        <v>60</v>
      </c>
      <c r="E1853" s="131">
        <f t="shared" si="486"/>
        <v>0</v>
      </c>
      <c r="F1853" s="21">
        <f t="shared" si="530"/>
        <v>0</v>
      </c>
      <c r="G1853" s="44"/>
      <c r="H1853" s="135">
        <f t="shared" si="525"/>
        <v>0</v>
      </c>
      <c r="I1853" s="294"/>
      <c r="J1853" s="294">
        <v>43724</v>
      </c>
      <c r="K1853" s="10">
        <f>51.35*1.45</f>
        <v>74.457499999999996</v>
      </c>
      <c r="L1853" s="11"/>
      <c r="M1853" s="11"/>
      <c r="N1853" s="100"/>
      <c r="O1853" s="11">
        <f t="shared" si="529"/>
        <v>74.457499999999996</v>
      </c>
      <c r="P1853" s="11">
        <f t="shared" si="491"/>
        <v>74.457499999999996</v>
      </c>
      <c r="Q1853" s="11"/>
      <c r="R1853" s="11">
        <f t="shared" si="490"/>
        <v>0</v>
      </c>
      <c r="S1853" s="11"/>
      <c r="T1853" s="136">
        <f t="shared" ref="T1853:T1887" si="531">+N1853*Q1853</f>
        <v>0</v>
      </c>
    </row>
    <row r="1854" spans="1:20" ht="15.75" customHeight="1">
      <c r="A1854" s="149">
        <v>44</v>
      </c>
      <c r="B1854" s="273">
        <f>ROUNDUP(E1854*1.105,-1)</f>
        <v>700240</v>
      </c>
      <c r="C1854" s="28" t="s">
        <v>1734</v>
      </c>
      <c r="D1854" s="71">
        <v>23460</v>
      </c>
      <c r="E1854" s="140">
        <f t="shared" ref="E1854:E1923" si="532">ROUNDUP(R1854,-1)</f>
        <v>633700</v>
      </c>
      <c r="F1854" s="21">
        <f t="shared" si="530"/>
        <v>766777</v>
      </c>
      <c r="G1854" s="21"/>
      <c r="H1854" s="135">
        <f t="shared" si="525"/>
        <v>552640</v>
      </c>
      <c r="I1854" s="294">
        <v>45287</v>
      </c>
      <c r="J1854" s="40">
        <v>45329</v>
      </c>
      <c r="K1854" s="10">
        <f>+$K$1523*1.2+PROVEEDORES!$D$38*490.82</f>
        <v>452642.10000000003</v>
      </c>
      <c r="L1854" s="11"/>
      <c r="M1854" s="11"/>
      <c r="N1854" s="10">
        <f>+$K$1523*1.2+376470</f>
        <v>394736.4</v>
      </c>
      <c r="O1854" s="11">
        <f t="shared" si="529"/>
        <v>452642.10000000003</v>
      </c>
      <c r="P1854" s="11">
        <f t="shared" si="491"/>
        <v>452642.10000000003</v>
      </c>
      <c r="Q1854" s="11">
        <v>1.4</v>
      </c>
      <c r="R1854" s="11">
        <f t="shared" si="490"/>
        <v>633698.94000000006</v>
      </c>
      <c r="S1854" s="11"/>
      <c r="T1854" s="136">
        <f t="shared" si="531"/>
        <v>552630.96</v>
      </c>
    </row>
    <row r="1855" spans="1:20" ht="15.75" customHeight="1">
      <c r="A1855" s="149">
        <v>21</v>
      </c>
      <c r="B1855" s="273"/>
      <c r="C1855" s="28" t="s">
        <v>1735</v>
      </c>
      <c r="D1855" s="71"/>
      <c r="E1855" s="131">
        <f t="shared" si="532"/>
        <v>0</v>
      </c>
      <c r="F1855" s="21">
        <f t="shared" si="530"/>
        <v>0</v>
      </c>
      <c r="G1855" s="21"/>
      <c r="H1855" s="135">
        <f t="shared" si="525"/>
        <v>0</v>
      </c>
      <c r="I1855" s="294">
        <v>44126</v>
      </c>
      <c r="J1855" s="294"/>
      <c r="K1855" s="10">
        <f>0.6/12*4844</f>
        <v>242.2</v>
      </c>
      <c r="L1855" s="11"/>
      <c r="M1855" s="11"/>
      <c r="N1855" s="100"/>
      <c r="O1855" s="11">
        <f t="shared" si="529"/>
        <v>242.2</v>
      </c>
      <c r="P1855" s="11">
        <f t="shared" si="491"/>
        <v>242.2</v>
      </c>
      <c r="Q1855" s="11"/>
      <c r="R1855" s="11">
        <f t="shared" si="490"/>
        <v>0</v>
      </c>
      <c r="S1855" s="11"/>
      <c r="T1855" s="136">
        <f t="shared" si="531"/>
        <v>0</v>
      </c>
    </row>
    <row r="1856" spans="1:20" ht="15.75" customHeight="1">
      <c r="A1856" s="149">
        <v>36</v>
      </c>
      <c r="B1856" s="273"/>
      <c r="C1856" s="28" t="s">
        <v>3990</v>
      </c>
      <c r="D1856" s="71"/>
      <c r="E1856" s="131">
        <f t="shared" si="532"/>
        <v>18300</v>
      </c>
      <c r="F1856" s="21">
        <f t="shared" si="530"/>
        <v>22143</v>
      </c>
      <c r="G1856" s="21"/>
      <c r="H1856" s="135">
        <f t="shared" si="525"/>
        <v>17010</v>
      </c>
      <c r="I1856" s="294">
        <v>45296</v>
      </c>
      <c r="J1856" s="294">
        <v>45331</v>
      </c>
      <c r="K1856" s="11">
        <f>0.8*0.94*14308</f>
        <v>10759.616</v>
      </c>
      <c r="L1856" s="11"/>
      <c r="M1856" s="11"/>
      <c r="N1856" s="11">
        <f>0.8*0.94*13298</f>
        <v>10000.096</v>
      </c>
      <c r="O1856" s="11">
        <f t="shared" si="529"/>
        <v>10759.616</v>
      </c>
      <c r="P1856" s="11">
        <f t="shared" si="491"/>
        <v>10759.616</v>
      </c>
      <c r="Q1856" s="11">
        <v>1.7</v>
      </c>
      <c r="R1856" s="11">
        <f t="shared" si="490"/>
        <v>18291.3472</v>
      </c>
      <c r="S1856" s="11"/>
      <c r="T1856" s="136">
        <f t="shared" si="531"/>
        <v>17000.163199999999</v>
      </c>
    </row>
    <row r="1857" spans="1:20" ht="15.75" customHeight="1">
      <c r="A1857" s="149" t="s">
        <v>2857</v>
      </c>
      <c r="B1857" s="273"/>
      <c r="C1857" s="28" t="s">
        <v>44180</v>
      </c>
      <c r="D1857" s="71">
        <v>250</v>
      </c>
      <c r="E1857" s="131">
        <f t="shared" si="532"/>
        <v>2510</v>
      </c>
      <c r="F1857" s="21">
        <f t="shared" si="530"/>
        <v>3037.1</v>
      </c>
      <c r="G1857" s="21"/>
      <c r="H1857" s="135">
        <f t="shared" si="525"/>
        <v>0</v>
      </c>
      <c r="I1857" s="294">
        <v>45217</v>
      </c>
      <c r="J1857" s="294">
        <v>45271</v>
      </c>
      <c r="K1857" s="11"/>
      <c r="L1857" s="10">
        <f>0.6/12*31362</f>
        <v>1568.1</v>
      </c>
      <c r="M1857" s="11"/>
      <c r="N1857" s="100"/>
      <c r="O1857" s="11">
        <f t="shared" si="529"/>
        <v>1568.1</v>
      </c>
      <c r="P1857" s="11">
        <f t="shared" si="491"/>
        <v>1568.1</v>
      </c>
      <c r="Q1857" s="11">
        <v>1.6</v>
      </c>
      <c r="R1857" s="11">
        <f t="shared" si="490"/>
        <v>2508.96</v>
      </c>
      <c r="S1857" s="11"/>
      <c r="T1857" s="136">
        <f t="shared" si="531"/>
        <v>0</v>
      </c>
    </row>
    <row r="1858" spans="1:20" ht="15.75" customHeight="1">
      <c r="A1858" s="149" t="s">
        <v>3824</v>
      </c>
      <c r="B1858" s="273"/>
      <c r="C1858" s="28" t="s">
        <v>44178</v>
      </c>
      <c r="D1858" s="71"/>
      <c r="E1858" s="131">
        <f t="shared" si="532"/>
        <v>23480</v>
      </c>
      <c r="F1858" s="21">
        <f t="shared" si="530"/>
        <v>28410.799999999999</v>
      </c>
      <c r="G1858" s="21"/>
      <c r="H1858" s="135">
        <f t="shared" si="525"/>
        <v>0</v>
      </c>
      <c r="I1858" s="294">
        <v>45274</v>
      </c>
      <c r="J1858" s="294"/>
      <c r="K1858" s="11">
        <f>+PROVEEDORES!D6*0.9*16.5*3</f>
        <v>39872.25</v>
      </c>
      <c r="L1858" s="11">
        <f>0.6*PROVEEDORES!$D$15*245.64/10</f>
        <v>13043.484</v>
      </c>
      <c r="M1858" s="11"/>
      <c r="N1858" s="100"/>
      <c r="O1858" s="11">
        <f t="shared" si="529"/>
        <v>13043.484</v>
      </c>
      <c r="P1858" s="11">
        <f t="shared" si="491"/>
        <v>13043.484</v>
      </c>
      <c r="Q1858" s="11">
        <v>1.8</v>
      </c>
      <c r="R1858" s="11">
        <f t="shared" si="490"/>
        <v>23478.271200000003</v>
      </c>
      <c r="S1858" s="11"/>
      <c r="T1858" s="136">
        <f t="shared" si="531"/>
        <v>0</v>
      </c>
    </row>
    <row r="1859" spans="1:20" ht="15.75" customHeight="1">
      <c r="A1859" s="149" t="s">
        <v>3824</v>
      </c>
      <c r="B1859" s="273"/>
      <c r="C1859" s="28" t="s">
        <v>44179</v>
      </c>
      <c r="D1859" s="71"/>
      <c r="E1859" s="131">
        <f t="shared" si="532"/>
        <v>17080</v>
      </c>
      <c r="F1859" s="21">
        <f t="shared" si="530"/>
        <v>20666.8</v>
      </c>
      <c r="G1859" s="21"/>
      <c r="H1859" s="135">
        <f t="shared" si="525"/>
        <v>0</v>
      </c>
      <c r="I1859" s="294">
        <v>45274</v>
      </c>
      <c r="J1859" s="294"/>
      <c r="K1859" s="11">
        <f>+PROVEEDORES!D6*8.39*1.29*3</f>
        <v>29060.023500000003</v>
      </c>
      <c r="L1859" s="11">
        <f>0.6*PROVEEDORES!$D$15*178.65/10</f>
        <v>9486.3150000000005</v>
      </c>
      <c r="M1859" s="11"/>
      <c r="N1859" s="100"/>
      <c r="O1859" s="11">
        <f t="shared" si="529"/>
        <v>9486.3150000000005</v>
      </c>
      <c r="P1859" s="11">
        <f t="shared" si="491"/>
        <v>9486.3150000000005</v>
      </c>
      <c r="Q1859" s="11">
        <v>1.8</v>
      </c>
      <c r="R1859" s="11">
        <f t="shared" si="490"/>
        <v>17075.367000000002</v>
      </c>
      <c r="S1859" s="11"/>
      <c r="T1859" s="136">
        <f t="shared" si="531"/>
        <v>0</v>
      </c>
    </row>
    <row r="1860" spans="1:20" ht="15.75" customHeight="1">
      <c r="A1860" s="149">
        <v>24</v>
      </c>
      <c r="B1860" s="273"/>
      <c r="C1860" s="28" t="s">
        <v>44349</v>
      </c>
      <c r="D1860" s="71">
        <v>820</v>
      </c>
      <c r="E1860" s="131">
        <f t="shared" si="532"/>
        <v>15050</v>
      </c>
      <c r="F1860" s="21">
        <f t="shared" si="530"/>
        <v>18210.5</v>
      </c>
      <c r="G1860" s="21"/>
      <c r="H1860" s="135">
        <f t="shared" si="525"/>
        <v>0</v>
      </c>
      <c r="I1860" s="294">
        <v>45307</v>
      </c>
      <c r="J1860" s="294"/>
      <c r="K1860" s="11">
        <f>0.5*15200*1.1</f>
        <v>8360</v>
      </c>
      <c r="L1860" s="148"/>
      <c r="M1860" s="11"/>
      <c r="N1860" s="100"/>
      <c r="O1860" s="11">
        <f t="shared" si="529"/>
        <v>8360</v>
      </c>
      <c r="P1860" s="11">
        <f t="shared" si="491"/>
        <v>8360</v>
      </c>
      <c r="Q1860" s="11">
        <v>1.8</v>
      </c>
      <c r="R1860" s="11">
        <f t="shared" si="490"/>
        <v>15048</v>
      </c>
      <c r="S1860" s="11"/>
      <c r="T1860" s="136">
        <f t="shared" si="531"/>
        <v>0</v>
      </c>
    </row>
    <row r="1861" spans="1:20" ht="15.75" customHeight="1">
      <c r="A1861" s="149">
        <v>21</v>
      </c>
      <c r="B1861" s="273"/>
      <c r="C1861" s="28" t="s">
        <v>1736</v>
      </c>
      <c r="D1861" s="71"/>
      <c r="E1861" s="131">
        <f t="shared" si="532"/>
        <v>0</v>
      </c>
      <c r="F1861" s="21">
        <f t="shared" si="530"/>
        <v>0</v>
      </c>
      <c r="G1861" s="21"/>
      <c r="H1861" s="135">
        <f t="shared" si="525"/>
        <v>0</v>
      </c>
      <c r="I1861" s="294">
        <v>44126</v>
      </c>
      <c r="J1861" s="294"/>
      <c r="K1861" s="10">
        <f>0.6/12*2334</f>
        <v>116.69999999999999</v>
      </c>
      <c r="L1861" s="11"/>
      <c r="M1861" s="11"/>
      <c r="N1861" s="100"/>
      <c r="O1861" s="11">
        <f t="shared" si="529"/>
        <v>116.69999999999999</v>
      </c>
      <c r="P1861" s="11">
        <f t="shared" si="491"/>
        <v>116.69999999999999</v>
      </c>
      <c r="Q1861" s="11"/>
      <c r="R1861" s="11">
        <f t="shared" si="490"/>
        <v>0</v>
      </c>
      <c r="S1861" s="11"/>
      <c r="T1861" s="136">
        <f t="shared" si="531"/>
        <v>0</v>
      </c>
    </row>
    <row r="1862" spans="1:20" ht="15.75" customHeight="1">
      <c r="A1862" s="149" t="s">
        <v>2857</v>
      </c>
      <c r="B1862" s="273"/>
      <c r="C1862" s="28" t="s">
        <v>44181</v>
      </c>
      <c r="D1862" s="71">
        <v>150</v>
      </c>
      <c r="E1862" s="131">
        <f t="shared" si="532"/>
        <v>1260</v>
      </c>
      <c r="F1862" s="21">
        <f t="shared" si="530"/>
        <v>1524.6</v>
      </c>
      <c r="G1862" s="21"/>
      <c r="H1862" s="135">
        <f t="shared" si="525"/>
        <v>0</v>
      </c>
      <c r="I1862" s="294">
        <v>45217</v>
      </c>
      <c r="J1862" s="294">
        <v>45271</v>
      </c>
      <c r="K1862" s="11">
        <f>0.65*684*2</f>
        <v>889.2</v>
      </c>
      <c r="L1862" s="10">
        <f>0.6/12*15681</f>
        <v>784.05</v>
      </c>
      <c r="M1862" s="11"/>
      <c r="N1862" s="100"/>
      <c r="O1862" s="11">
        <f t="shared" si="529"/>
        <v>784.05</v>
      </c>
      <c r="P1862" s="11">
        <f t="shared" si="491"/>
        <v>784.05</v>
      </c>
      <c r="Q1862" s="11">
        <v>1.6</v>
      </c>
      <c r="R1862" s="11">
        <f t="shared" si="490"/>
        <v>1254.48</v>
      </c>
      <c r="S1862" s="11"/>
      <c r="T1862" s="136">
        <f t="shared" si="531"/>
        <v>0</v>
      </c>
    </row>
    <row r="1863" spans="1:20" ht="15.75" customHeight="1">
      <c r="A1863" s="149">
        <v>24</v>
      </c>
      <c r="B1863" s="273"/>
      <c r="C1863" s="28" t="s">
        <v>44348</v>
      </c>
      <c r="D1863" s="71">
        <v>460</v>
      </c>
      <c r="E1863" s="131">
        <f t="shared" si="532"/>
        <v>8550</v>
      </c>
      <c r="F1863" s="21">
        <f t="shared" si="530"/>
        <v>10345.5</v>
      </c>
      <c r="G1863" s="21"/>
      <c r="H1863" s="135">
        <f t="shared" si="525"/>
        <v>0</v>
      </c>
      <c r="I1863" s="294">
        <v>45307</v>
      </c>
      <c r="J1863" s="294"/>
      <c r="K1863" s="11">
        <f>0.5*9500</f>
        <v>4750</v>
      </c>
      <c r="L1863" s="11"/>
      <c r="M1863" s="11"/>
      <c r="N1863" s="100"/>
      <c r="O1863" s="11">
        <f t="shared" si="529"/>
        <v>4750</v>
      </c>
      <c r="P1863" s="11">
        <f t="shared" si="491"/>
        <v>4750</v>
      </c>
      <c r="Q1863" s="11">
        <v>1.8</v>
      </c>
      <c r="R1863" s="11">
        <f t="shared" si="490"/>
        <v>8550</v>
      </c>
      <c r="S1863" s="11"/>
      <c r="T1863" s="136">
        <f t="shared" si="531"/>
        <v>0</v>
      </c>
    </row>
    <row r="1864" spans="1:20" ht="15.75" customHeight="1">
      <c r="A1864" s="149">
        <v>21</v>
      </c>
      <c r="B1864" s="273"/>
      <c r="C1864" s="28" t="s">
        <v>4509</v>
      </c>
      <c r="D1864" s="71">
        <v>140</v>
      </c>
      <c r="E1864" s="131">
        <f t="shared" si="532"/>
        <v>4830</v>
      </c>
      <c r="F1864" s="21">
        <f t="shared" si="530"/>
        <v>5844.3</v>
      </c>
      <c r="G1864" s="21"/>
      <c r="H1864" s="135">
        <f t="shared" si="525"/>
        <v>0</v>
      </c>
      <c r="I1864" s="294">
        <v>45307</v>
      </c>
      <c r="J1864" s="294"/>
      <c r="K1864" s="10">
        <f>0.6*5022</f>
        <v>3013.2</v>
      </c>
      <c r="L1864" s="11"/>
      <c r="M1864" s="11"/>
      <c r="N1864" s="100"/>
      <c r="O1864" s="11">
        <f t="shared" si="529"/>
        <v>3013.2</v>
      </c>
      <c r="P1864" s="11">
        <f t="shared" si="491"/>
        <v>3013.2</v>
      </c>
      <c r="Q1864" s="11">
        <v>1.6</v>
      </c>
      <c r="R1864" s="11">
        <f t="shared" si="490"/>
        <v>4821.12</v>
      </c>
      <c r="S1864" s="11"/>
      <c r="T1864" s="136">
        <f t="shared" si="531"/>
        <v>0</v>
      </c>
    </row>
    <row r="1865" spans="1:20" ht="15.75" customHeight="1">
      <c r="A1865" s="149">
        <v>21</v>
      </c>
      <c r="B1865" s="273"/>
      <c r="C1865" s="28" t="s">
        <v>4510</v>
      </c>
      <c r="D1865" s="71">
        <v>130</v>
      </c>
      <c r="E1865" s="131">
        <f t="shared" si="532"/>
        <v>9860</v>
      </c>
      <c r="F1865" s="21">
        <f t="shared" si="530"/>
        <v>11930.6</v>
      </c>
      <c r="G1865" s="21"/>
      <c r="H1865" s="135">
        <f t="shared" si="525"/>
        <v>0</v>
      </c>
      <c r="I1865" s="294">
        <v>45307</v>
      </c>
      <c r="J1865" s="294"/>
      <c r="K1865" s="10">
        <f>0.6*10270</f>
        <v>6162</v>
      </c>
      <c r="L1865" s="11"/>
      <c r="M1865" s="11"/>
      <c r="N1865" s="100"/>
      <c r="O1865" s="11">
        <f t="shared" si="529"/>
        <v>6162</v>
      </c>
      <c r="P1865" s="11">
        <f t="shared" si="491"/>
        <v>6162</v>
      </c>
      <c r="Q1865" s="11">
        <v>1.6</v>
      </c>
      <c r="R1865" s="11">
        <f t="shared" si="490"/>
        <v>9859.2000000000007</v>
      </c>
      <c r="S1865" s="11"/>
      <c r="T1865" s="136">
        <f t="shared" si="531"/>
        <v>0</v>
      </c>
    </row>
    <row r="1866" spans="1:20" ht="15.75" customHeight="1">
      <c r="A1866" s="149">
        <v>38</v>
      </c>
      <c r="B1866" s="273"/>
      <c r="C1866" s="28" t="s">
        <v>4258</v>
      </c>
      <c r="D1866" s="71">
        <v>200</v>
      </c>
      <c r="E1866" s="131">
        <f>ROUNDUP(R1866,-1)</f>
        <v>89570</v>
      </c>
      <c r="F1866" s="21">
        <f>+E1866*1.21</f>
        <v>108379.7</v>
      </c>
      <c r="G1866" s="21"/>
      <c r="H1866" s="135">
        <f>ROUNDUP(T1866,-1)</f>
        <v>0</v>
      </c>
      <c r="I1866" s="294">
        <v>45138</v>
      </c>
      <c r="J1866" s="294">
        <v>45157</v>
      </c>
      <c r="K1866" s="11">
        <v>63977</v>
      </c>
      <c r="L1866" s="11"/>
      <c r="M1866" s="11"/>
      <c r="N1866" s="100"/>
      <c r="O1866" s="11">
        <f>MIN(K1866:M1866)</f>
        <v>63977</v>
      </c>
      <c r="P1866" s="11">
        <f t="shared" si="491"/>
        <v>63977</v>
      </c>
      <c r="Q1866" s="11">
        <v>1.4</v>
      </c>
      <c r="R1866" s="11">
        <f t="shared" si="490"/>
        <v>89567.799999999988</v>
      </c>
      <c r="S1866" s="11"/>
      <c r="T1866" s="136">
        <f>+N1866*Q1866</f>
        <v>0</v>
      </c>
    </row>
    <row r="1867" spans="1:20" ht="15.75" customHeight="1">
      <c r="A1867" s="149">
        <v>38</v>
      </c>
      <c r="B1867" s="273">
        <f>ROUNDUP(E1867*1.105,-1)</f>
        <v>113340</v>
      </c>
      <c r="C1867" s="28" t="s">
        <v>1738</v>
      </c>
      <c r="D1867" s="71">
        <v>10360</v>
      </c>
      <c r="E1867" s="131">
        <f t="shared" si="532"/>
        <v>102570</v>
      </c>
      <c r="F1867" s="21">
        <f t="shared" si="530"/>
        <v>124109.7</v>
      </c>
      <c r="G1867" s="21"/>
      <c r="H1867" s="135">
        <f t="shared" si="525"/>
        <v>96410</v>
      </c>
      <c r="I1867" s="294">
        <v>45138</v>
      </c>
      <c r="J1867" s="294">
        <v>45358</v>
      </c>
      <c r="K1867" s="10">
        <f>+PROVEEDORES!$D$32*69.77</f>
        <v>73258.5</v>
      </c>
      <c r="L1867" s="11"/>
      <c r="M1867" s="11"/>
      <c r="N1867" s="100">
        <f>+K1867*0.94</f>
        <v>68862.989999999991</v>
      </c>
      <c r="O1867" s="11">
        <f t="shared" si="529"/>
        <v>73258.5</v>
      </c>
      <c r="P1867" s="11">
        <f t="shared" si="491"/>
        <v>73258.5</v>
      </c>
      <c r="Q1867" s="11">
        <v>1.4</v>
      </c>
      <c r="R1867" s="11">
        <f t="shared" si="490"/>
        <v>102561.9</v>
      </c>
      <c r="S1867" s="11"/>
      <c r="T1867" s="136">
        <f t="shared" si="531"/>
        <v>96408.185999999987</v>
      </c>
    </row>
    <row r="1868" spans="1:20" ht="15.75" customHeight="1">
      <c r="A1868" s="149" t="s">
        <v>2404</v>
      </c>
      <c r="B1868" s="273">
        <f>ROUNDUP(E1868*1.105,-1)</f>
        <v>285080</v>
      </c>
      <c r="C1868" s="28" t="s">
        <v>2799</v>
      </c>
      <c r="D1868" s="71">
        <v>16420</v>
      </c>
      <c r="E1868" s="131">
        <f t="shared" si="532"/>
        <v>257990</v>
      </c>
      <c r="F1868" s="21">
        <f t="shared" si="530"/>
        <v>312167.89999999997</v>
      </c>
      <c r="G1868" s="21"/>
      <c r="H1868" s="135">
        <f t="shared" si="525"/>
        <v>223590</v>
      </c>
      <c r="I1868" s="294">
        <v>45138</v>
      </c>
      <c r="J1868" s="294">
        <v>45274</v>
      </c>
      <c r="K1868" s="10"/>
      <c r="L1868" s="10">
        <f>+PROVEEDORES!$D$32*175.5</f>
        <v>184275</v>
      </c>
      <c r="M1868" s="11"/>
      <c r="N1868" s="54">
        <v>159706</v>
      </c>
      <c r="O1868" s="11">
        <f t="shared" si="529"/>
        <v>184275</v>
      </c>
      <c r="P1868" s="11">
        <f t="shared" si="491"/>
        <v>184275</v>
      </c>
      <c r="Q1868" s="11">
        <v>1.4</v>
      </c>
      <c r="R1868" s="11">
        <f t="shared" si="490"/>
        <v>257984.99999999997</v>
      </c>
      <c r="S1868" s="11"/>
      <c r="T1868" s="136">
        <f t="shared" si="531"/>
        <v>223588.4</v>
      </c>
    </row>
    <row r="1869" spans="1:20" ht="15.75" customHeight="1">
      <c r="A1869" s="149" t="s">
        <v>2404</v>
      </c>
      <c r="B1869" s="273">
        <f>ROUNDUP(E1869*1.105,-1)</f>
        <v>402410</v>
      </c>
      <c r="C1869" s="28" t="s">
        <v>2798</v>
      </c>
      <c r="D1869" s="71">
        <v>20640</v>
      </c>
      <c r="E1869" s="131">
        <f t="shared" si="532"/>
        <v>364170</v>
      </c>
      <c r="F1869" s="21">
        <f t="shared" si="530"/>
        <v>440645.7</v>
      </c>
      <c r="G1869" s="21"/>
      <c r="H1869" s="135">
        <f t="shared" si="525"/>
        <v>323710</v>
      </c>
      <c r="I1869" s="294">
        <v>45138</v>
      </c>
      <c r="J1869" s="294">
        <v>45274</v>
      </c>
      <c r="K1869" s="10"/>
      <c r="L1869" s="10">
        <f>+PROVEEDORES!$D$32*247.73</f>
        <v>260116.5</v>
      </c>
      <c r="M1869" s="11"/>
      <c r="N1869" s="54">
        <v>231215</v>
      </c>
      <c r="O1869" s="11">
        <f t="shared" si="529"/>
        <v>260116.5</v>
      </c>
      <c r="P1869" s="11">
        <f t="shared" si="491"/>
        <v>260116.5</v>
      </c>
      <c r="Q1869" s="11">
        <v>1.4</v>
      </c>
      <c r="R1869" s="11">
        <f t="shared" si="490"/>
        <v>364163.1</v>
      </c>
      <c r="S1869" s="11"/>
      <c r="T1869" s="136">
        <f t="shared" si="531"/>
        <v>323701</v>
      </c>
    </row>
    <row r="1870" spans="1:20" ht="15.75" customHeight="1">
      <c r="A1870" s="149">
        <v>109</v>
      </c>
      <c r="B1870" s="273">
        <f>ROUNDUP(E1870*1.105,-1)</f>
        <v>183830</v>
      </c>
      <c r="C1870" s="28" t="s">
        <v>4570</v>
      </c>
      <c r="D1870" s="71">
        <v>20640</v>
      </c>
      <c r="E1870" s="131">
        <f>ROUNDUP(R1870,-1)</f>
        <v>166360</v>
      </c>
      <c r="F1870" s="21">
        <f>+E1870*1.21</f>
        <v>201295.6</v>
      </c>
      <c r="G1870" s="21"/>
      <c r="H1870" s="135">
        <f>ROUNDUP(T1870,-1)</f>
        <v>0</v>
      </c>
      <c r="I1870" s="294">
        <v>45313</v>
      </c>
      <c r="J1870" s="294"/>
      <c r="K1870" s="10">
        <f>1.038*110528</f>
        <v>114728.064</v>
      </c>
      <c r="L1870" s="10"/>
      <c r="M1870" s="11"/>
      <c r="N1870" s="54"/>
      <c r="O1870" s="11">
        <f>MIN(K1870:M1870)</f>
        <v>114728.064</v>
      </c>
      <c r="P1870" s="11">
        <f>+O1870</f>
        <v>114728.064</v>
      </c>
      <c r="Q1870" s="11">
        <v>1.45</v>
      </c>
      <c r="R1870" s="11">
        <f>+P1870*Q1870</f>
        <v>166355.69279999999</v>
      </c>
      <c r="S1870" s="11"/>
      <c r="T1870" s="136">
        <f>+N1870*Q1870</f>
        <v>0</v>
      </c>
    </row>
    <row r="1871" spans="1:20" ht="15.75" customHeight="1">
      <c r="A1871" s="149"/>
      <c r="B1871" s="273"/>
      <c r="C1871" s="28" t="s">
        <v>4105</v>
      </c>
      <c r="D1871" s="71">
        <v>200</v>
      </c>
      <c r="E1871" s="131">
        <f t="shared" si="532"/>
        <v>17380</v>
      </c>
      <c r="F1871" s="21">
        <f t="shared" si="530"/>
        <v>21029.8</v>
      </c>
      <c r="G1871" s="21"/>
      <c r="H1871" s="135">
        <f t="shared" si="525"/>
        <v>16330</v>
      </c>
      <c r="I1871" s="294">
        <v>45138</v>
      </c>
      <c r="J1871" s="294"/>
      <c r="K1871" s="11">
        <f>PROVEEDORES!D32*10.34</f>
        <v>10857</v>
      </c>
      <c r="L1871" s="11"/>
      <c r="M1871" s="11"/>
      <c r="N1871" s="100">
        <f>+K1871*0.94</f>
        <v>10205.58</v>
      </c>
      <c r="O1871" s="11">
        <f t="shared" si="529"/>
        <v>10857</v>
      </c>
      <c r="P1871" s="11">
        <f t="shared" si="491"/>
        <v>10857</v>
      </c>
      <c r="Q1871" s="11">
        <v>1.6</v>
      </c>
      <c r="R1871" s="11">
        <f t="shared" si="490"/>
        <v>17371.2</v>
      </c>
      <c r="S1871" s="11"/>
      <c r="T1871" s="136">
        <f t="shared" si="531"/>
        <v>16328.928</v>
      </c>
    </row>
    <row r="1872" spans="1:20" ht="15.75" customHeight="1">
      <c r="A1872" s="149"/>
      <c r="B1872" s="273"/>
      <c r="C1872" s="28" t="s">
        <v>1739</v>
      </c>
      <c r="D1872" s="71">
        <v>110</v>
      </c>
      <c r="E1872" s="131">
        <f t="shared" si="532"/>
        <v>0</v>
      </c>
      <c r="F1872" s="21">
        <f t="shared" si="530"/>
        <v>0</v>
      </c>
      <c r="G1872" s="21"/>
      <c r="H1872" s="135">
        <f t="shared" si="525"/>
        <v>0</v>
      </c>
      <c r="I1872" s="294"/>
      <c r="J1872" s="294">
        <v>42619</v>
      </c>
      <c r="K1872" s="10">
        <f>69*1.5</f>
        <v>103.5</v>
      </c>
      <c r="L1872" s="11"/>
      <c r="M1872" s="11"/>
      <c r="N1872" s="100"/>
      <c r="O1872" s="11">
        <f t="shared" si="529"/>
        <v>103.5</v>
      </c>
      <c r="P1872" s="11">
        <f t="shared" si="491"/>
        <v>103.5</v>
      </c>
      <c r="Q1872" s="11"/>
      <c r="R1872" s="11">
        <f t="shared" si="490"/>
        <v>0</v>
      </c>
      <c r="S1872" s="11"/>
      <c r="T1872" s="136">
        <f t="shared" si="531"/>
        <v>0</v>
      </c>
    </row>
    <row r="1873" spans="1:20" ht="15.75" customHeight="1">
      <c r="A1873" s="149"/>
      <c r="B1873" s="273"/>
      <c r="C1873" s="28" t="s">
        <v>1740</v>
      </c>
      <c r="D1873" s="71">
        <v>200</v>
      </c>
      <c r="E1873" s="131">
        <f t="shared" si="532"/>
        <v>0</v>
      </c>
      <c r="F1873" s="21">
        <f t="shared" si="530"/>
        <v>0</v>
      </c>
      <c r="G1873" s="21"/>
      <c r="H1873" s="135">
        <f t="shared" si="525"/>
        <v>0</v>
      </c>
      <c r="I1873" s="294"/>
      <c r="J1873" s="294">
        <v>43745</v>
      </c>
      <c r="K1873" s="10">
        <f>110*1.6</f>
        <v>176</v>
      </c>
      <c r="L1873" s="11"/>
      <c r="M1873" s="11"/>
      <c r="N1873" s="100"/>
      <c r="O1873" s="11">
        <f t="shared" si="529"/>
        <v>176</v>
      </c>
      <c r="P1873" s="11">
        <f t="shared" si="491"/>
        <v>176</v>
      </c>
      <c r="Q1873" s="11"/>
      <c r="R1873" s="11">
        <f t="shared" si="490"/>
        <v>0</v>
      </c>
      <c r="S1873" s="11"/>
      <c r="T1873" s="136">
        <f t="shared" si="531"/>
        <v>0</v>
      </c>
    </row>
    <row r="1874" spans="1:20" ht="15.75" customHeight="1">
      <c r="A1874" s="149" t="s">
        <v>2387</v>
      </c>
      <c r="B1874" s="273"/>
      <c r="C1874" s="36" t="s">
        <v>1741</v>
      </c>
      <c r="D1874" s="71">
        <v>430</v>
      </c>
      <c r="E1874" s="131">
        <f t="shared" si="532"/>
        <v>3690</v>
      </c>
      <c r="F1874" s="21">
        <f t="shared" si="530"/>
        <v>4464.8999999999996</v>
      </c>
      <c r="G1874" s="21"/>
      <c r="H1874" s="135">
        <f t="shared" si="525"/>
        <v>0</v>
      </c>
      <c r="I1874" s="294">
        <v>45173</v>
      </c>
      <c r="J1874" s="294"/>
      <c r="K1874" s="10"/>
      <c r="L1874" s="11">
        <f>+'AUMENTOS %'!$C$14*2460</f>
        <v>2460</v>
      </c>
      <c r="M1874" s="11"/>
      <c r="N1874" s="100"/>
      <c r="O1874" s="11">
        <f t="shared" si="529"/>
        <v>2460</v>
      </c>
      <c r="P1874" s="11">
        <f t="shared" si="491"/>
        <v>2460</v>
      </c>
      <c r="Q1874" s="11">
        <v>1.5</v>
      </c>
      <c r="R1874" s="11">
        <f t="shared" si="490"/>
        <v>3690</v>
      </c>
      <c r="S1874" s="11"/>
      <c r="T1874" s="136">
        <f t="shared" si="531"/>
        <v>0</v>
      </c>
    </row>
    <row r="1875" spans="1:20" ht="15.75" customHeight="1">
      <c r="A1875" s="149" t="s">
        <v>2387</v>
      </c>
      <c r="B1875" s="273"/>
      <c r="C1875" s="28" t="s">
        <v>1742</v>
      </c>
      <c r="D1875" s="71">
        <v>690</v>
      </c>
      <c r="E1875" s="131">
        <f t="shared" si="532"/>
        <v>6660</v>
      </c>
      <c r="F1875" s="21">
        <f t="shared" si="530"/>
        <v>8058.5999999999995</v>
      </c>
      <c r="G1875" s="21"/>
      <c r="H1875" s="135">
        <f t="shared" si="525"/>
        <v>0</v>
      </c>
      <c r="I1875" s="294">
        <v>45173</v>
      </c>
      <c r="J1875" s="294"/>
      <c r="K1875" s="10">
        <f>+'AUMENTOS %'!D14*PROVEEDORES!D18*0.5*20.5</f>
        <v>10865</v>
      </c>
      <c r="L1875" s="11">
        <f>+'AUMENTOS %'!$C$14*4437</f>
        <v>4437</v>
      </c>
      <c r="M1875" s="11"/>
      <c r="N1875" s="100"/>
      <c r="O1875" s="11">
        <f t="shared" si="529"/>
        <v>4437</v>
      </c>
      <c r="P1875" s="11">
        <f t="shared" si="491"/>
        <v>4437</v>
      </c>
      <c r="Q1875" s="11">
        <v>1.5</v>
      </c>
      <c r="R1875" s="11">
        <f t="shared" si="490"/>
        <v>6655.5</v>
      </c>
      <c r="S1875" s="11"/>
      <c r="T1875" s="136">
        <f t="shared" si="531"/>
        <v>0</v>
      </c>
    </row>
    <row r="1876" spans="1:20" ht="15.75" customHeight="1">
      <c r="A1876" s="149" t="s">
        <v>2387</v>
      </c>
      <c r="B1876" s="273"/>
      <c r="C1876" s="28" t="s">
        <v>1743</v>
      </c>
      <c r="D1876" s="71">
        <v>900</v>
      </c>
      <c r="E1876" s="131">
        <f t="shared" si="532"/>
        <v>7140</v>
      </c>
      <c r="F1876" s="21">
        <f t="shared" si="530"/>
        <v>8639.4</v>
      </c>
      <c r="G1876" s="21"/>
      <c r="H1876" s="135">
        <f t="shared" si="525"/>
        <v>0</v>
      </c>
      <c r="I1876" s="294">
        <v>45173</v>
      </c>
      <c r="J1876" s="294"/>
      <c r="K1876" s="10">
        <f>+'AUMENTOS %'!D14*PROVEEDORES!D18*0.5*19.91</f>
        <v>10552.3</v>
      </c>
      <c r="L1876" s="11">
        <f>+'AUMENTOS %'!$C$14*4760</f>
        <v>4760</v>
      </c>
      <c r="M1876" s="11"/>
      <c r="N1876" s="100"/>
      <c r="O1876" s="11">
        <f t="shared" si="529"/>
        <v>4760</v>
      </c>
      <c r="P1876" s="11">
        <f t="shared" si="491"/>
        <v>4760</v>
      </c>
      <c r="Q1876" s="11">
        <v>1.5</v>
      </c>
      <c r="R1876" s="11">
        <f t="shared" si="490"/>
        <v>7140</v>
      </c>
      <c r="S1876" s="11"/>
      <c r="T1876" s="136">
        <f t="shared" si="531"/>
        <v>0</v>
      </c>
    </row>
    <row r="1877" spans="1:20" ht="15.75" customHeight="1">
      <c r="A1877" s="149">
        <v>38</v>
      </c>
      <c r="B1877" s="273"/>
      <c r="C1877" s="28" t="s">
        <v>2602</v>
      </c>
      <c r="D1877" s="71">
        <v>220</v>
      </c>
      <c r="E1877" s="131">
        <f t="shared" si="532"/>
        <v>5930</v>
      </c>
      <c r="F1877" s="21">
        <f t="shared" si="530"/>
        <v>7175.3</v>
      </c>
      <c r="G1877" s="21"/>
      <c r="H1877" s="135">
        <f t="shared" si="525"/>
        <v>5130</v>
      </c>
      <c r="I1877" s="294">
        <v>45138</v>
      </c>
      <c r="J1877" s="294">
        <v>45274</v>
      </c>
      <c r="K1877" s="10">
        <f>+PROVEEDORES!$D$32*3.76</f>
        <v>3948</v>
      </c>
      <c r="L1877" s="11"/>
      <c r="M1877" s="11"/>
      <c r="N1877" s="100">
        <v>3418</v>
      </c>
      <c r="O1877" s="11">
        <f t="shared" si="529"/>
        <v>3948</v>
      </c>
      <c r="P1877" s="11">
        <f t="shared" si="491"/>
        <v>3948</v>
      </c>
      <c r="Q1877" s="11">
        <v>1.5</v>
      </c>
      <c r="R1877" s="11">
        <f t="shared" si="490"/>
        <v>5922</v>
      </c>
      <c r="S1877" s="11"/>
      <c r="T1877" s="136">
        <f t="shared" si="531"/>
        <v>5127</v>
      </c>
    </row>
    <row r="1878" spans="1:20" ht="15.75" customHeight="1">
      <c r="A1878" s="149">
        <v>38</v>
      </c>
      <c r="B1878" s="273"/>
      <c r="C1878" s="28" t="s">
        <v>2604</v>
      </c>
      <c r="D1878" s="71">
        <v>380</v>
      </c>
      <c r="E1878" s="131">
        <f t="shared" si="532"/>
        <v>10010</v>
      </c>
      <c r="F1878" s="21">
        <f t="shared" si="530"/>
        <v>12112.1</v>
      </c>
      <c r="G1878" s="21"/>
      <c r="H1878" s="135">
        <f t="shared" si="525"/>
        <v>8670</v>
      </c>
      <c r="I1878" s="294">
        <v>45138</v>
      </c>
      <c r="J1878" s="294">
        <v>45274</v>
      </c>
      <c r="K1878" s="10">
        <f>+PROVEEDORES!$D$32*6.35</f>
        <v>6667.5</v>
      </c>
      <c r="L1878" s="11"/>
      <c r="M1878" s="11"/>
      <c r="N1878" s="100">
        <v>5780</v>
      </c>
      <c r="O1878" s="11">
        <f t="shared" si="529"/>
        <v>6667.5</v>
      </c>
      <c r="P1878" s="11">
        <f t="shared" si="491"/>
        <v>6667.5</v>
      </c>
      <c r="Q1878" s="11">
        <v>1.5</v>
      </c>
      <c r="R1878" s="11">
        <f t="shared" si="490"/>
        <v>10001.25</v>
      </c>
      <c r="S1878" s="11"/>
      <c r="T1878" s="136">
        <f t="shared" si="531"/>
        <v>8670</v>
      </c>
    </row>
    <row r="1879" spans="1:20" ht="15.75" customHeight="1">
      <c r="A1879" s="149">
        <v>38</v>
      </c>
      <c r="B1879" s="273"/>
      <c r="C1879" s="28" t="s">
        <v>2603</v>
      </c>
      <c r="D1879" s="71">
        <v>320</v>
      </c>
      <c r="E1879" s="131">
        <f t="shared" si="532"/>
        <v>9220</v>
      </c>
      <c r="F1879" s="21">
        <f t="shared" si="530"/>
        <v>11156.199999999999</v>
      </c>
      <c r="G1879" s="21"/>
      <c r="H1879" s="135">
        <f t="shared" si="525"/>
        <v>8000</v>
      </c>
      <c r="I1879" s="294">
        <v>45138</v>
      </c>
      <c r="J1879" s="294">
        <v>45274</v>
      </c>
      <c r="K1879" s="10">
        <f>+PROVEEDORES!$D$32*5.85</f>
        <v>6142.5</v>
      </c>
      <c r="L1879" s="11"/>
      <c r="M1879" s="11"/>
      <c r="N1879" s="100">
        <v>5328</v>
      </c>
      <c r="O1879" s="11">
        <f t="shared" si="529"/>
        <v>6142.5</v>
      </c>
      <c r="P1879" s="11">
        <f t="shared" si="491"/>
        <v>6142.5</v>
      </c>
      <c r="Q1879" s="11">
        <v>1.5</v>
      </c>
      <c r="R1879" s="11">
        <f t="shared" si="490"/>
        <v>9213.75</v>
      </c>
      <c r="S1879" s="11"/>
      <c r="T1879" s="136">
        <f t="shared" si="531"/>
        <v>7992</v>
      </c>
    </row>
    <row r="1880" spans="1:20" ht="15.75" customHeight="1">
      <c r="A1880" s="149">
        <v>106</v>
      </c>
      <c r="B1880" s="273"/>
      <c r="C1880" s="36" t="s">
        <v>4388</v>
      </c>
      <c r="D1880" s="71">
        <v>380</v>
      </c>
      <c r="E1880" s="131">
        <f>ROUNDUP(R1880,-1)</f>
        <v>7540</v>
      </c>
      <c r="F1880" s="21">
        <f>+E1880*1.21</f>
        <v>9123.4</v>
      </c>
      <c r="G1880" s="21"/>
      <c r="H1880" s="135">
        <f>ROUNDUP(T1880,-1)</f>
        <v>0</v>
      </c>
      <c r="I1880" s="294">
        <v>45274</v>
      </c>
      <c r="J1880" s="294">
        <v>45334</v>
      </c>
      <c r="K1880" s="10">
        <f>0.82*6124</f>
        <v>5021.6799999999994</v>
      </c>
      <c r="L1880" s="11"/>
      <c r="M1880" s="11"/>
      <c r="N1880" s="100"/>
      <c r="O1880" s="11">
        <f>MIN(K1880:M1880)</f>
        <v>5021.6799999999994</v>
      </c>
      <c r="P1880" s="11">
        <f t="shared" si="491"/>
        <v>5021.6799999999994</v>
      </c>
      <c r="Q1880" s="11">
        <v>1.5</v>
      </c>
      <c r="R1880" s="11">
        <f t="shared" si="490"/>
        <v>7532.5199999999986</v>
      </c>
      <c r="S1880" s="11"/>
      <c r="T1880" s="136">
        <f>+N1880*Q1880</f>
        <v>0</v>
      </c>
    </row>
    <row r="1881" spans="1:20" ht="15.75" customHeight="1">
      <c r="A1881" s="149">
        <v>12</v>
      </c>
      <c r="B1881" s="273"/>
      <c r="C1881" s="28" t="s">
        <v>3841</v>
      </c>
      <c r="D1881" s="71">
        <v>380</v>
      </c>
      <c r="E1881" s="131">
        <f t="shared" si="532"/>
        <v>5510</v>
      </c>
      <c r="F1881" s="21">
        <f t="shared" si="530"/>
        <v>6667.0999999999995</v>
      </c>
      <c r="G1881" s="21"/>
      <c r="H1881" s="135">
        <f t="shared" si="525"/>
        <v>0</v>
      </c>
      <c r="I1881" s="294">
        <v>45274</v>
      </c>
      <c r="J1881" s="294">
        <v>45338</v>
      </c>
      <c r="K1881" s="10">
        <v>3673</v>
      </c>
      <c r="L1881" s="11"/>
      <c r="M1881" s="11"/>
      <c r="N1881" s="100"/>
      <c r="O1881" s="11">
        <f t="shared" si="529"/>
        <v>3673</v>
      </c>
      <c r="P1881" s="11">
        <f t="shared" si="491"/>
        <v>3673</v>
      </c>
      <c r="Q1881" s="11">
        <v>1.5</v>
      </c>
      <c r="R1881" s="11">
        <f t="shared" si="490"/>
        <v>5509.5</v>
      </c>
      <c r="S1881" s="11"/>
      <c r="T1881" s="136">
        <f t="shared" si="531"/>
        <v>0</v>
      </c>
    </row>
    <row r="1882" spans="1:20" ht="15.75" customHeight="1">
      <c r="A1882" s="149">
        <v>12</v>
      </c>
      <c r="B1882" s="273"/>
      <c r="C1882" s="28" t="s">
        <v>3840</v>
      </c>
      <c r="D1882" s="71">
        <v>380</v>
      </c>
      <c r="E1882" s="131">
        <f t="shared" si="532"/>
        <v>3810</v>
      </c>
      <c r="F1882" s="21">
        <f t="shared" si="530"/>
        <v>4610.0999999999995</v>
      </c>
      <c r="G1882" s="21"/>
      <c r="H1882" s="135">
        <f t="shared" si="525"/>
        <v>0</v>
      </c>
      <c r="I1882" s="294">
        <v>45274</v>
      </c>
      <c r="J1882" s="294">
        <v>45338</v>
      </c>
      <c r="K1882" s="10">
        <v>2534</v>
      </c>
      <c r="L1882" s="148"/>
      <c r="M1882" s="11"/>
      <c r="N1882" s="100"/>
      <c r="O1882" s="11">
        <f t="shared" si="529"/>
        <v>2534</v>
      </c>
      <c r="P1882" s="11">
        <f t="shared" ref="P1882:P1945" si="533">+O1882</f>
        <v>2534</v>
      </c>
      <c r="Q1882" s="11">
        <v>1.5</v>
      </c>
      <c r="R1882" s="11">
        <f t="shared" ref="R1882:R1945" si="534">+P1882*Q1882</f>
        <v>3801</v>
      </c>
      <c r="S1882" s="11"/>
      <c r="T1882" s="136">
        <f t="shared" si="531"/>
        <v>0</v>
      </c>
    </row>
    <row r="1883" spans="1:20" ht="15.75" customHeight="1">
      <c r="A1883" s="149"/>
      <c r="B1883" s="273"/>
      <c r="C1883" s="28" t="s">
        <v>1744</v>
      </c>
      <c r="D1883" s="71">
        <v>210</v>
      </c>
      <c r="E1883" s="131">
        <f t="shared" si="532"/>
        <v>0</v>
      </c>
      <c r="F1883" s="21">
        <f t="shared" si="530"/>
        <v>0</v>
      </c>
      <c r="G1883" s="21"/>
      <c r="H1883" s="135">
        <f t="shared" si="525"/>
        <v>0</v>
      </c>
      <c r="I1883" s="294"/>
      <c r="J1883" s="294">
        <v>43551</v>
      </c>
      <c r="K1883" s="10">
        <f>136*1.5</f>
        <v>204</v>
      </c>
      <c r="L1883" s="11"/>
      <c r="M1883" s="11"/>
      <c r="N1883" s="100"/>
      <c r="O1883" s="11">
        <f t="shared" si="529"/>
        <v>204</v>
      </c>
      <c r="P1883" s="11">
        <f t="shared" si="533"/>
        <v>204</v>
      </c>
      <c r="Q1883" s="11"/>
      <c r="R1883" s="11">
        <f t="shared" si="534"/>
        <v>0</v>
      </c>
      <c r="S1883" s="11"/>
      <c r="T1883" s="136">
        <f t="shared" si="531"/>
        <v>0</v>
      </c>
    </row>
    <row r="1884" spans="1:20" ht="15.75" customHeight="1">
      <c r="A1884" s="149">
        <v>79</v>
      </c>
      <c r="B1884" s="273"/>
      <c r="C1884" s="28" t="s">
        <v>1745</v>
      </c>
      <c r="D1884" s="71">
        <v>3360</v>
      </c>
      <c r="E1884" s="131">
        <f t="shared" si="532"/>
        <v>0</v>
      </c>
      <c r="F1884" s="21" t="s">
        <v>1248</v>
      </c>
      <c r="G1884" s="21"/>
      <c r="H1884" s="135">
        <f t="shared" si="525"/>
        <v>0</v>
      </c>
      <c r="I1884" s="294">
        <v>43217</v>
      </c>
      <c r="J1884" s="294"/>
      <c r="K1884" s="10">
        <f>2766.1*0.9*1.35</f>
        <v>3360.8114999999998</v>
      </c>
      <c r="L1884" s="11"/>
      <c r="M1884" s="11"/>
      <c r="N1884" s="100"/>
      <c r="O1884" s="11">
        <f t="shared" si="529"/>
        <v>3360.8114999999998</v>
      </c>
      <c r="P1884" s="11">
        <f t="shared" si="533"/>
        <v>3360.8114999999998</v>
      </c>
      <c r="Q1884" s="11"/>
      <c r="R1884" s="11">
        <f t="shared" si="534"/>
        <v>0</v>
      </c>
      <c r="S1884" s="11"/>
      <c r="T1884" s="136">
        <f t="shared" si="531"/>
        <v>0</v>
      </c>
    </row>
    <row r="1885" spans="1:20" ht="15.75" customHeight="1">
      <c r="A1885" s="149">
        <v>38</v>
      </c>
      <c r="B1885" s="273"/>
      <c r="C1885" s="28" t="s">
        <v>1746</v>
      </c>
      <c r="D1885" s="71">
        <v>1120</v>
      </c>
      <c r="E1885" s="131">
        <f t="shared" si="532"/>
        <v>27300</v>
      </c>
      <c r="F1885" s="21" t="s">
        <v>1248</v>
      </c>
      <c r="G1885" s="21">
        <f>+E1885*1.105</f>
        <v>30166.5</v>
      </c>
      <c r="H1885" s="135">
        <f t="shared" si="525"/>
        <v>25660</v>
      </c>
      <c r="I1885" s="294">
        <v>45138</v>
      </c>
      <c r="J1885" s="294">
        <v>45274</v>
      </c>
      <c r="K1885" s="10">
        <f>+PROVEEDORES!$D$32*17.33</f>
        <v>18196.5</v>
      </c>
      <c r="L1885" s="11"/>
      <c r="M1885" s="11"/>
      <c r="N1885" s="100">
        <f>+K1885*0.94</f>
        <v>17104.71</v>
      </c>
      <c r="O1885" s="11">
        <f t="shared" si="529"/>
        <v>18196.5</v>
      </c>
      <c r="P1885" s="11">
        <f t="shared" si="533"/>
        <v>18196.5</v>
      </c>
      <c r="Q1885" s="11">
        <v>1.5</v>
      </c>
      <c r="R1885" s="11">
        <f t="shared" si="534"/>
        <v>27294.75</v>
      </c>
      <c r="S1885" s="11"/>
      <c r="T1885" s="136">
        <f t="shared" si="531"/>
        <v>25657.064999999999</v>
      </c>
    </row>
    <row r="1886" spans="1:20" ht="15.75" customHeight="1">
      <c r="A1886" s="149">
        <v>15</v>
      </c>
      <c r="B1886" s="273"/>
      <c r="C1886" s="28" t="s">
        <v>1748</v>
      </c>
      <c r="D1886" s="71">
        <v>240</v>
      </c>
      <c r="E1886" s="131">
        <f t="shared" si="532"/>
        <v>0</v>
      </c>
      <c r="F1886" s="21">
        <f>+E1886*1.21</f>
        <v>0</v>
      </c>
      <c r="G1886" s="21"/>
      <c r="H1886" s="135">
        <f t="shared" si="525"/>
        <v>0</v>
      </c>
      <c r="I1886" s="294"/>
      <c r="J1886" s="294">
        <v>44865</v>
      </c>
      <c r="K1886" s="10">
        <f>+PROVEEDORES!$D$15*0.8*3.8*2</f>
        <v>5380.8</v>
      </c>
      <c r="L1886" s="10">
        <f>1100*0.8</f>
        <v>880</v>
      </c>
      <c r="M1886" s="11"/>
      <c r="N1886" s="100"/>
      <c r="O1886" s="11">
        <f t="shared" si="529"/>
        <v>880</v>
      </c>
      <c r="P1886" s="11">
        <f t="shared" si="533"/>
        <v>880</v>
      </c>
      <c r="Q1886" s="11"/>
      <c r="R1886" s="11">
        <f t="shared" si="534"/>
        <v>0</v>
      </c>
      <c r="S1886" s="11"/>
      <c r="T1886" s="136">
        <f t="shared" si="531"/>
        <v>0</v>
      </c>
    </row>
    <row r="1887" spans="1:20" ht="15.75" customHeight="1">
      <c r="A1887" s="149">
        <v>41</v>
      </c>
      <c r="B1887" s="273"/>
      <c r="C1887" s="28" t="s">
        <v>4287</v>
      </c>
      <c r="D1887" s="71">
        <v>210</v>
      </c>
      <c r="E1887" s="141">
        <f t="shared" si="532"/>
        <v>3820</v>
      </c>
      <c r="F1887" s="21">
        <f>+E1887*1.21</f>
        <v>4622.2</v>
      </c>
      <c r="G1887" s="21"/>
      <c r="H1887" s="135">
        <f t="shared" si="525"/>
        <v>3380</v>
      </c>
      <c r="I1887" s="294">
        <v>45311</v>
      </c>
      <c r="J1887" s="40"/>
      <c r="K1887" s="11">
        <f>PROVEEDORES!$D$35*0.9*0.9*2.75</f>
        <v>2383.4250000000002</v>
      </c>
      <c r="L1887" s="11"/>
      <c r="M1887" s="11"/>
      <c r="N1887" s="100">
        <f>0.9*0.95*0.95*2600</f>
        <v>2111.85</v>
      </c>
      <c r="O1887" s="11">
        <f t="shared" si="529"/>
        <v>2383.4250000000002</v>
      </c>
      <c r="P1887" s="11">
        <f t="shared" si="533"/>
        <v>2383.4250000000002</v>
      </c>
      <c r="Q1887" s="11">
        <v>1.6</v>
      </c>
      <c r="R1887" s="11">
        <f t="shared" si="534"/>
        <v>3813.4800000000005</v>
      </c>
      <c r="S1887" s="11"/>
      <c r="T1887" s="136">
        <f t="shared" si="531"/>
        <v>3378.96</v>
      </c>
    </row>
    <row r="1888" spans="1:20" ht="15.75" customHeight="1">
      <c r="A1888" s="149">
        <v>15</v>
      </c>
      <c r="B1888" s="273"/>
      <c r="C1888" s="28" t="s">
        <v>1747</v>
      </c>
      <c r="D1888" s="71">
        <v>200</v>
      </c>
      <c r="E1888" s="131">
        <f t="shared" si="532"/>
        <v>0</v>
      </c>
      <c r="F1888" s="21">
        <f>+E1888*1.21</f>
        <v>0</v>
      </c>
      <c r="G1888" s="21">
        <f>391300*0.95*0.95*1.35*0.9*1.21*0.95</f>
        <v>493221.85475062497</v>
      </c>
      <c r="H1888" s="135">
        <f t="shared" si="525"/>
        <v>0</v>
      </c>
      <c r="I1888" s="294"/>
      <c r="J1888" s="294">
        <v>44543</v>
      </c>
      <c r="K1888" s="10">
        <f>+PROVEEDORES!$D$15*0.8*5.52</f>
        <v>3908.16</v>
      </c>
      <c r="L1888" s="11">
        <f>710*0.8*2</f>
        <v>1136</v>
      </c>
      <c r="M1888" s="11"/>
      <c r="N1888" s="100"/>
      <c r="O1888" s="11">
        <f t="shared" si="529"/>
        <v>1136</v>
      </c>
      <c r="P1888" s="11">
        <f t="shared" si="533"/>
        <v>1136</v>
      </c>
      <c r="Q1888" s="11"/>
      <c r="R1888" s="11">
        <f t="shared" si="534"/>
        <v>0</v>
      </c>
      <c r="S1888" s="11"/>
      <c r="T1888" s="136">
        <f t="shared" ref="T1888:T1921" si="535">+N1888*Q1888</f>
        <v>0</v>
      </c>
    </row>
    <row r="1889" spans="1:20" ht="15.75" customHeight="1">
      <c r="A1889" s="149"/>
      <c r="B1889" s="273"/>
      <c r="C1889" s="28" t="s">
        <v>1749</v>
      </c>
      <c r="D1889" s="71"/>
      <c r="E1889" s="131">
        <f t="shared" si="532"/>
        <v>0</v>
      </c>
      <c r="F1889" s="21"/>
      <c r="G1889" s="21"/>
      <c r="H1889" s="135">
        <f t="shared" si="525"/>
        <v>0</v>
      </c>
      <c r="I1889" s="294"/>
      <c r="J1889" s="294">
        <v>42306</v>
      </c>
      <c r="K1889" s="10">
        <f>146.6*0.65*1.5</f>
        <v>142.935</v>
      </c>
      <c r="L1889" s="11"/>
      <c r="M1889" s="32"/>
      <c r="N1889" s="100"/>
      <c r="O1889" s="11">
        <f t="shared" si="529"/>
        <v>142.935</v>
      </c>
      <c r="P1889" s="11">
        <f t="shared" si="533"/>
        <v>142.935</v>
      </c>
      <c r="Q1889" s="11"/>
      <c r="R1889" s="11">
        <f t="shared" si="534"/>
        <v>0</v>
      </c>
      <c r="S1889" s="11"/>
      <c r="T1889" s="136">
        <f t="shared" si="535"/>
        <v>0</v>
      </c>
    </row>
    <row r="1890" spans="1:20" ht="15.75" customHeight="1">
      <c r="A1890" s="149"/>
      <c r="B1890" s="273"/>
      <c r="C1890" s="28" t="s">
        <v>1750</v>
      </c>
      <c r="D1890" s="71"/>
      <c r="E1890" s="131">
        <f t="shared" si="532"/>
        <v>0</v>
      </c>
      <c r="F1890" s="21">
        <f t="shared" ref="F1890:F1896" si="536">+E1890*1.21</f>
        <v>0</v>
      </c>
      <c r="G1890" s="21"/>
      <c r="H1890" s="135">
        <f t="shared" si="525"/>
        <v>0</v>
      </c>
      <c r="I1890" s="294"/>
      <c r="J1890" s="294">
        <v>42229</v>
      </c>
      <c r="K1890" s="10">
        <f>241*0.65*1.35</f>
        <v>211.47750000000002</v>
      </c>
      <c r="L1890" s="11"/>
      <c r="M1890" s="11"/>
      <c r="N1890" s="100"/>
      <c r="O1890" s="11">
        <f t="shared" si="529"/>
        <v>211.47750000000002</v>
      </c>
      <c r="P1890" s="11">
        <f t="shared" si="533"/>
        <v>211.47750000000002</v>
      </c>
      <c r="Q1890" s="11"/>
      <c r="R1890" s="11">
        <f t="shared" si="534"/>
        <v>0</v>
      </c>
      <c r="S1890" s="11"/>
      <c r="T1890" s="136">
        <f t="shared" si="535"/>
        <v>0</v>
      </c>
    </row>
    <row r="1891" spans="1:20" ht="15.75" customHeight="1">
      <c r="A1891" s="149">
        <v>30</v>
      </c>
      <c r="B1891" s="273"/>
      <c r="C1891" s="28" t="s">
        <v>2765</v>
      </c>
      <c r="D1891" s="71">
        <v>690</v>
      </c>
      <c r="E1891" s="131">
        <f t="shared" si="532"/>
        <v>25500</v>
      </c>
      <c r="F1891" s="21">
        <f t="shared" si="536"/>
        <v>30855</v>
      </c>
      <c r="G1891" s="21"/>
      <c r="H1891" s="135">
        <f t="shared" si="525"/>
        <v>0</v>
      </c>
      <c r="I1891" s="294">
        <v>45278</v>
      </c>
      <c r="J1891" s="294"/>
      <c r="K1891" s="11">
        <f>0.67*286.63*PROVEEDORES!D24/10</f>
        <v>16995.725849999999</v>
      </c>
      <c r="L1891" s="10"/>
      <c r="M1891" s="10"/>
      <c r="N1891" s="100"/>
      <c r="O1891" s="11">
        <f t="shared" si="529"/>
        <v>16995.725849999999</v>
      </c>
      <c r="P1891" s="11">
        <f t="shared" si="533"/>
        <v>16995.725849999999</v>
      </c>
      <c r="Q1891" s="11">
        <v>1.5</v>
      </c>
      <c r="R1891" s="11">
        <f t="shared" si="534"/>
        <v>25493.588774999997</v>
      </c>
      <c r="S1891" s="11"/>
      <c r="T1891" s="136">
        <f t="shared" si="535"/>
        <v>0</v>
      </c>
    </row>
    <row r="1892" spans="1:20" ht="15.75" customHeight="1">
      <c r="A1892" s="149">
        <v>30</v>
      </c>
      <c r="B1892" s="273"/>
      <c r="C1892" s="28" t="s">
        <v>2764</v>
      </c>
      <c r="D1892" s="71">
        <v>500</v>
      </c>
      <c r="E1892" s="131">
        <f t="shared" si="532"/>
        <v>11870</v>
      </c>
      <c r="F1892" s="21">
        <f t="shared" si="536"/>
        <v>14362.699999999999</v>
      </c>
      <c r="G1892" s="21"/>
      <c r="H1892" s="135">
        <f t="shared" si="525"/>
        <v>0</v>
      </c>
      <c r="I1892" s="294">
        <v>45278</v>
      </c>
      <c r="J1892" s="294">
        <v>45376</v>
      </c>
      <c r="K1892" s="11">
        <f>0.67*333.48*PROVEEDORES!D24/25</f>
        <v>7909.4786400000003</v>
      </c>
      <c r="L1892" s="172"/>
      <c r="M1892" s="10"/>
      <c r="N1892" s="100"/>
      <c r="O1892" s="11">
        <f t="shared" si="529"/>
        <v>7909.4786400000003</v>
      </c>
      <c r="P1892" s="11">
        <f t="shared" si="533"/>
        <v>7909.4786400000003</v>
      </c>
      <c r="Q1892" s="11">
        <v>1.5</v>
      </c>
      <c r="R1892" s="11">
        <f t="shared" si="534"/>
        <v>11864.21796</v>
      </c>
      <c r="S1892" s="11"/>
      <c r="T1892" s="136">
        <f t="shared" si="535"/>
        <v>0</v>
      </c>
    </row>
    <row r="1893" spans="1:20" ht="15.75" customHeight="1">
      <c r="A1893" s="149"/>
      <c r="B1893" s="273"/>
      <c r="C1893" s="28" t="s">
        <v>4247</v>
      </c>
      <c r="D1893" s="71"/>
      <c r="E1893" s="131">
        <f>ROUNDUP(R1893,-1)</f>
        <v>74320</v>
      </c>
      <c r="F1893" s="21">
        <f t="shared" si="536"/>
        <v>89927.2</v>
      </c>
      <c r="G1893" s="21"/>
      <c r="H1893" s="135">
        <f>ROUNDUP(T1893,-1)</f>
        <v>0</v>
      </c>
      <c r="I1893" s="294">
        <v>45281</v>
      </c>
      <c r="J1893" s="294"/>
      <c r="K1893" s="10">
        <f>K2195+46690</f>
        <v>49545.16</v>
      </c>
      <c r="L1893" s="10"/>
      <c r="M1893" s="10"/>
      <c r="N1893" s="100"/>
      <c r="O1893" s="11">
        <f>MIN(K1893:M1893)</f>
        <v>49545.16</v>
      </c>
      <c r="P1893" s="11">
        <f t="shared" si="533"/>
        <v>49545.16</v>
      </c>
      <c r="Q1893" s="11">
        <v>1.5</v>
      </c>
      <c r="R1893" s="11">
        <f t="shared" si="534"/>
        <v>74317.740000000005</v>
      </c>
      <c r="S1893" s="11"/>
      <c r="T1893" s="136">
        <f>+N1893*Q1893</f>
        <v>0</v>
      </c>
    </row>
    <row r="1894" spans="1:20" ht="15.75" customHeight="1">
      <c r="A1894" s="149"/>
      <c r="B1894" s="273"/>
      <c r="C1894" s="28" t="s">
        <v>4079</v>
      </c>
      <c r="D1894" s="71"/>
      <c r="E1894" s="131">
        <f t="shared" si="532"/>
        <v>101020</v>
      </c>
      <c r="F1894" s="21">
        <f t="shared" si="536"/>
        <v>122234.2</v>
      </c>
      <c r="G1894" s="21"/>
      <c r="H1894" s="135">
        <f t="shared" si="525"/>
        <v>0</v>
      </c>
      <c r="I1894" s="294">
        <v>45281</v>
      </c>
      <c r="J1894" s="294"/>
      <c r="K1894" s="10">
        <f>K2195+64490</f>
        <v>67345.16</v>
      </c>
      <c r="L1894" s="10"/>
      <c r="M1894" s="10"/>
      <c r="N1894" s="100"/>
      <c r="O1894" s="11">
        <f t="shared" si="529"/>
        <v>67345.16</v>
      </c>
      <c r="P1894" s="11">
        <f t="shared" si="533"/>
        <v>67345.16</v>
      </c>
      <c r="Q1894" s="11">
        <v>1.5</v>
      </c>
      <c r="R1894" s="11">
        <f t="shared" si="534"/>
        <v>101017.74</v>
      </c>
      <c r="S1894" s="11"/>
      <c r="T1894" s="136">
        <f t="shared" si="535"/>
        <v>0</v>
      </c>
    </row>
    <row r="1895" spans="1:20" ht="15.75" customHeight="1">
      <c r="A1895" s="149"/>
      <c r="B1895" s="273"/>
      <c r="C1895" s="28" t="s">
        <v>4428</v>
      </c>
      <c r="D1895" s="71"/>
      <c r="E1895" s="131">
        <f t="shared" si="532"/>
        <v>84520</v>
      </c>
      <c r="F1895" s="21">
        <f t="shared" si="536"/>
        <v>102269.2</v>
      </c>
      <c r="G1895" s="21">
        <v>53500</v>
      </c>
      <c r="H1895" s="135">
        <f t="shared" si="525"/>
        <v>0</v>
      </c>
      <c r="I1895" s="294">
        <v>45281</v>
      </c>
      <c r="J1895" s="294"/>
      <c r="K1895" s="10">
        <f>K2195+53490</f>
        <v>56345.16</v>
      </c>
      <c r="L1895" s="10"/>
      <c r="M1895" s="10"/>
      <c r="N1895" s="100"/>
      <c r="O1895" s="11">
        <f t="shared" si="529"/>
        <v>56345.16</v>
      </c>
      <c r="P1895" s="11">
        <f t="shared" si="533"/>
        <v>56345.16</v>
      </c>
      <c r="Q1895" s="11">
        <v>1.5</v>
      </c>
      <c r="R1895" s="11">
        <f t="shared" si="534"/>
        <v>84517.74</v>
      </c>
      <c r="S1895" s="11"/>
      <c r="T1895" s="136">
        <f t="shared" si="535"/>
        <v>0</v>
      </c>
    </row>
    <row r="1896" spans="1:20" ht="15.75" customHeight="1">
      <c r="A1896" s="149"/>
      <c r="B1896" s="273"/>
      <c r="C1896" s="28" t="s">
        <v>4429</v>
      </c>
      <c r="D1896" s="71"/>
      <c r="E1896" s="131">
        <f>ROUNDUP(R1896,-1)</f>
        <v>92020</v>
      </c>
      <c r="F1896" s="21">
        <f t="shared" si="536"/>
        <v>111344.2</v>
      </c>
      <c r="G1896" s="21">
        <v>46500</v>
      </c>
      <c r="H1896" s="135">
        <f>ROUNDUP(T1896,-1)</f>
        <v>0</v>
      </c>
      <c r="I1896" s="294">
        <v>45281</v>
      </c>
      <c r="J1896" s="294"/>
      <c r="K1896" s="10">
        <f>K2195+58490</f>
        <v>61345.16</v>
      </c>
      <c r="L1896" s="10"/>
      <c r="M1896" s="10"/>
      <c r="N1896" s="100"/>
      <c r="O1896" s="11">
        <f>MIN(K1896:M1896)</f>
        <v>61345.16</v>
      </c>
      <c r="P1896" s="11">
        <f t="shared" si="533"/>
        <v>61345.16</v>
      </c>
      <c r="Q1896" s="11">
        <v>1.5</v>
      </c>
      <c r="R1896" s="11">
        <f t="shared" si="534"/>
        <v>92017.74</v>
      </c>
      <c r="S1896" s="11"/>
      <c r="T1896" s="136">
        <f>+N1896*Q1896</f>
        <v>0</v>
      </c>
    </row>
    <row r="1897" spans="1:20" ht="15.75" customHeight="1">
      <c r="A1897" s="149">
        <v>20</v>
      </c>
      <c r="B1897" s="273"/>
      <c r="C1897" s="28" t="s">
        <v>1751</v>
      </c>
      <c r="D1897" s="71">
        <v>11510</v>
      </c>
      <c r="E1897" s="131">
        <f t="shared" si="532"/>
        <v>0</v>
      </c>
      <c r="F1897" s="21" t="s">
        <v>1248</v>
      </c>
      <c r="G1897" s="21" t="s">
        <v>62650</v>
      </c>
      <c r="H1897" s="135">
        <f t="shared" si="525"/>
        <v>0</v>
      </c>
      <c r="I1897" s="40">
        <v>43559</v>
      </c>
      <c r="J1897" s="40"/>
      <c r="K1897" s="10">
        <f>8520*1.35</f>
        <v>11502</v>
      </c>
      <c r="L1897" s="11"/>
      <c r="M1897" s="11"/>
      <c r="N1897" s="100"/>
      <c r="O1897" s="11">
        <f t="shared" si="529"/>
        <v>11502</v>
      </c>
      <c r="P1897" s="11">
        <f t="shared" si="533"/>
        <v>11502</v>
      </c>
      <c r="Q1897" s="11"/>
      <c r="R1897" s="11">
        <f t="shared" si="534"/>
        <v>0</v>
      </c>
      <c r="S1897" s="11"/>
      <c r="T1897" s="136">
        <f t="shared" si="535"/>
        <v>0</v>
      </c>
    </row>
    <row r="1898" spans="1:20" ht="15.75" customHeight="1">
      <c r="A1898" s="149">
        <v>20</v>
      </c>
      <c r="B1898" s="273"/>
      <c r="C1898" s="28" t="s">
        <v>1752</v>
      </c>
      <c r="D1898" s="71">
        <v>10210</v>
      </c>
      <c r="E1898" s="131">
        <f t="shared" si="532"/>
        <v>0</v>
      </c>
      <c r="F1898" s="21" t="s">
        <v>1248</v>
      </c>
      <c r="G1898" s="21">
        <f>+E1898*1.105</f>
        <v>0</v>
      </c>
      <c r="H1898" s="135">
        <f t="shared" si="525"/>
        <v>0</v>
      </c>
      <c r="I1898" s="40">
        <v>43559</v>
      </c>
      <c r="J1898" s="40"/>
      <c r="K1898" s="10">
        <f>7562*1.35</f>
        <v>10208.700000000001</v>
      </c>
      <c r="L1898" s="11"/>
      <c r="M1898" s="11"/>
      <c r="N1898" s="100"/>
      <c r="O1898" s="11">
        <f t="shared" si="529"/>
        <v>10208.700000000001</v>
      </c>
      <c r="P1898" s="11">
        <f t="shared" si="533"/>
        <v>10208.700000000001</v>
      </c>
      <c r="Q1898" s="11"/>
      <c r="R1898" s="11">
        <f t="shared" si="534"/>
        <v>0</v>
      </c>
      <c r="S1898" s="11"/>
      <c r="T1898" s="136">
        <f t="shared" si="535"/>
        <v>0</v>
      </c>
    </row>
    <row r="1899" spans="1:20" ht="15.75" customHeight="1">
      <c r="A1899" s="149">
        <v>20</v>
      </c>
      <c r="B1899" s="273"/>
      <c r="C1899" s="28" t="s">
        <v>1754</v>
      </c>
      <c r="D1899" s="71">
        <v>11380</v>
      </c>
      <c r="E1899" s="131">
        <f t="shared" si="532"/>
        <v>0</v>
      </c>
      <c r="F1899" s="21" t="s">
        <v>1248</v>
      </c>
      <c r="G1899" s="21"/>
      <c r="H1899" s="135">
        <f t="shared" si="525"/>
        <v>0</v>
      </c>
      <c r="I1899" s="40">
        <v>43559</v>
      </c>
      <c r="J1899" s="40"/>
      <c r="K1899" s="10">
        <f>8426*1.35</f>
        <v>11375.1</v>
      </c>
      <c r="L1899" s="11"/>
      <c r="M1899" s="11"/>
      <c r="N1899" s="100"/>
      <c r="O1899" s="11">
        <f t="shared" si="529"/>
        <v>11375.1</v>
      </c>
      <c r="P1899" s="11">
        <f t="shared" si="533"/>
        <v>11375.1</v>
      </c>
      <c r="Q1899" s="11"/>
      <c r="R1899" s="11">
        <f t="shared" si="534"/>
        <v>0</v>
      </c>
      <c r="S1899" s="11"/>
      <c r="T1899" s="136">
        <f t="shared" si="535"/>
        <v>0</v>
      </c>
    </row>
    <row r="1900" spans="1:20" ht="15.75" customHeight="1">
      <c r="A1900" s="149">
        <v>20</v>
      </c>
      <c r="B1900" s="273"/>
      <c r="C1900" s="28" t="s">
        <v>1753</v>
      </c>
      <c r="D1900" s="71">
        <v>14250</v>
      </c>
      <c r="E1900" s="131">
        <f t="shared" si="532"/>
        <v>0</v>
      </c>
      <c r="F1900" s="21" t="s">
        <v>1248</v>
      </c>
      <c r="G1900" s="21">
        <f>+E1900*1.105</f>
        <v>0</v>
      </c>
      <c r="H1900" s="135">
        <f t="shared" si="525"/>
        <v>0</v>
      </c>
      <c r="I1900" s="40">
        <v>43559</v>
      </c>
      <c r="J1900" s="40"/>
      <c r="K1900" s="10">
        <f>10549*1.35</f>
        <v>14241.150000000001</v>
      </c>
      <c r="L1900" s="11"/>
      <c r="M1900" s="11"/>
      <c r="N1900" s="100"/>
      <c r="O1900" s="11">
        <f t="shared" si="529"/>
        <v>14241.150000000001</v>
      </c>
      <c r="P1900" s="11">
        <f t="shared" si="533"/>
        <v>14241.150000000001</v>
      </c>
      <c r="Q1900" s="11"/>
      <c r="R1900" s="11">
        <f t="shared" si="534"/>
        <v>0</v>
      </c>
      <c r="S1900" s="11"/>
      <c r="T1900" s="136">
        <f t="shared" si="535"/>
        <v>0</v>
      </c>
    </row>
    <row r="1901" spans="1:20" ht="15.75" customHeight="1">
      <c r="A1901" s="149">
        <v>20</v>
      </c>
      <c r="B1901" s="273"/>
      <c r="C1901" s="28" t="s">
        <v>1755</v>
      </c>
      <c r="D1901" s="71">
        <v>18710</v>
      </c>
      <c r="E1901" s="131">
        <f t="shared" si="532"/>
        <v>0</v>
      </c>
      <c r="F1901" s="21" t="s">
        <v>1248</v>
      </c>
      <c r="G1901" s="21">
        <f>+E1901*1.105</f>
        <v>0</v>
      </c>
      <c r="H1901" s="135">
        <f t="shared" si="525"/>
        <v>0</v>
      </c>
      <c r="I1901" s="40">
        <v>43559</v>
      </c>
      <c r="J1901" s="40"/>
      <c r="K1901" s="10">
        <f>13856*1.35</f>
        <v>18705.600000000002</v>
      </c>
      <c r="L1901" s="11"/>
      <c r="M1901" s="11"/>
      <c r="N1901" s="100"/>
      <c r="O1901" s="11">
        <f t="shared" si="529"/>
        <v>18705.600000000002</v>
      </c>
      <c r="P1901" s="11">
        <f t="shared" si="533"/>
        <v>18705.600000000002</v>
      </c>
      <c r="Q1901" s="11"/>
      <c r="R1901" s="11">
        <f t="shared" si="534"/>
        <v>0</v>
      </c>
      <c r="S1901" s="11"/>
      <c r="T1901" s="136">
        <f t="shared" si="535"/>
        <v>0</v>
      </c>
    </row>
    <row r="1902" spans="1:20" ht="15.75" customHeight="1">
      <c r="A1902" s="149">
        <v>20</v>
      </c>
      <c r="B1902" s="273"/>
      <c r="C1902" s="28" t="s">
        <v>1756</v>
      </c>
      <c r="D1902" s="71">
        <v>30410</v>
      </c>
      <c r="E1902" s="131">
        <f t="shared" si="532"/>
        <v>0</v>
      </c>
      <c r="F1902" s="21" t="s">
        <v>1248</v>
      </c>
      <c r="G1902" s="21">
        <f>+E1902*1.105</f>
        <v>0</v>
      </c>
      <c r="H1902" s="135">
        <f t="shared" si="525"/>
        <v>0</v>
      </c>
      <c r="I1902" s="40">
        <v>43677</v>
      </c>
      <c r="J1902" s="40"/>
      <c r="K1902" s="11">
        <f>22530*1.35</f>
        <v>30415.500000000004</v>
      </c>
      <c r="L1902" s="11"/>
      <c r="M1902" s="11"/>
      <c r="N1902" s="100"/>
      <c r="O1902" s="11">
        <f t="shared" si="529"/>
        <v>30415.500000000004</v>
      </c>
      <c r="P1902" s="11">
        <f t="shared" si="533"/>
        <v>30415.500000000004</v>
      </c>
      <c r="Q1902" s="11"/>
      <c r="R1902" s="11">
        <f t="shared" si="534"/>
        <v>0</v>
      </c>
      <c r="S1902" s="11"/>
      <c r="T1902" s="136">
        <f t="shared" si="535"/>
        <v>0</v>
      </c>
    </row>
    <row r="1903" spans="1:20" ht="15.75" customHeight="1">
      <c r="A1903" s="149">
        <v>20</v>
      </c>
      <c r="B1903" s="273"/>
      <c r="C1903" s="28" t="s">
        <v>1757</v>
      </c>
      <c r="D1903" s="71">
        <v>32870</v>
      </c>
      <c r="E1903" s="131">
        <f>ROUNDUP(R1903,-1)</f>
        <v>0</v>
      </c>
      <c r="F1903" s="21" t="s">
        <v>1248</v>
      </c>
      <c r="G1903" s="21">
        <f>+E1903*1.105</f>
        <v>0</v>
      </c>
      <c r="H1903" s="135">
        <f>ROUNDUP(T1903,-1)</f>
        <v>0</v>
      </c>
      <c r="I1903" s="40">
        <v>43677</v>
      </c>
      <c r="J1903" s="40"/>
      <c r="K1903" s="11">
        <f>24350*1.35</f>
        <v>32872.5</v>
      </c>
      <c r="L1903" s="11"/>
      <c r="M1903" s="11"/>
      <c r="N1903" s="100"/>
      <c r="O1903" s="11">
        <f>MIN(K1903:M1903)</f>
        <v>32872.5</v>
      </c>
      <c r="P1903" s="11">
        <f t="shared" si="533"/>
        <v>32872.5</v>
      </c>
      <c r="Q1903" s="11"/>
      <c r="R1903" s="11">
        <f t="shared" si="534"/>
        <v>0</v>
      </c>
      <c r="S1903" s="11"/>
      <c r="T1903" s="136">
        <f>+N1903*Q1903</f>
        <v>0</v>
      </c>
    </row>
    <row r="1904" spans="1:20" ht="15.75" customHeight="1">
      <c r="A1904" s="149">
        <v>66</v>
      </c>
      <c r="B1904" s="273"/>
      <c r="C1904" s="28" t="s">
        <v>1758</v>
      </c>
      <c r="D1904" s="71">
        <v>1160</v>
      </c>
      <c r="E1904" s="131">
        <f>ROUNDUP(R1904,-1)</f>
        <v>41330</v>
      </c>
      <c r="F1904" s="21">
        <f>+E1904*1.21</f>
        <v>50009.299999999996</v>
      </c>
      <c r="G1904" s="21"/>
      <c r="H1904" s="135">
        <f>ROUNDUP(T1904,-1)</f>
        <v>0</v>
      </c>
      <c r="I1904" s="40">
        <v>45261</v>
      </c>
      <c r="J1904" s="40"/>
      <c r="K1904" s="11">
        <v>28500</v>
      </c>
      <c r="L1904" s="11"/>
      <c r="M1904" s="11"/>
      <c r="N1904" s="100"/>
      <c r="O1904" s="11">
        <f>MIN(K1904:M1904)</f>
        <v>28500</v>
      </c>
      <c r="P1904" s="11">
        <f t="shared" si="533"/>
        <v>28500</v>
      </c>
      <c r="Q1904" s="11">
        <v>1.45</v>
      </c>
      <c r="R1904" s="11">
        <f t="shared" si="534"/>
        <v>41325</v>
      </c>
      <c r="S1904" s="11"/>
      <c r="T1904" s="136">
        <f>+N1904*Q1904</f>
        <v>0</v>
      </c>
    </row>
    <row r="1905" spans="1:20" ht="15.75" customHeight="1">
      <c r="A1905" s="149">
        <v>66</v>
      </c>
      <c r="B1905" s="273"/>
      <c r="C1905" s="28" t="s">
        <v>2771</v>
      </c>
      <c r="D1905" s="71">
        <v>1830</v>
      </c>
      <c r="E1905" s="131">
        <f t="shared" si="532"/>
        <v>63080</v>
      </c>
      <c r="F1905" s="21">
        <f>+E1905*1.21</f>
        <v>76326.8</v>
      </c>
      <c r="G1905" s="21"/>
      <c r="H1905" s="135">
        <f t="shared" si="525"/>
        <v>0</v>
      </c>
      <c r="I1905" s="40">
        <v>45261</v>
      </c>
      <c r="J1905" s="40"/>
      <c r="K1905" s="11">
        <v>43500</v>
      </c>
      <c r="L1905" s="11"/>
      <c r="M1905" s="11"/>
      <c r="N1905" s="100"/>
      <c r="O1905" s="11">
        <f t="shared" si="529"/>
        <v>43500</v>
      </c>
      <c r="P1905" s="11">
        <f t="shared" si="533"/>
        <v>43500</v>
      </c>
      <c r="Q1905" s="11">
        <v>1.45</v>
      </c>
      <c r="R1905" s="11">
        <f t="shared" si="534"/>
        <v>63075</v>
      </c>
      <c r="S1905" s="11"/>
      <c r="T1905" s="136">
        <f t="shared" si="535"/>
        <v>0</v>
      </c>
    </row>
    <row r="1906" spans="1:20" ht="15.75" customHeight="1">
      <c r="A1906" s="149">
        <v>66</v>
      </c>
      <c r="B1906" s="273"/>
      <c r="C1906" s="28" t="s">
        <v>3926</v>
      </c>
      <c r="D1906" s="71">
        <v>4230</v>
      </c>
      <c r="E1906" s="131">
        <f t="shared" si="532"/>
        <v>65250</v>
      </c>
      <c r="F1906" s="21">
        <f>+E1906*1.21</f>
        <v>78952.5</v>
      </c>
      <c r="G1906" s="21"/>
      <c r="H1906" s="135">
        <f t="shared" ref="H1906:H1973" si="537">ROUNDUP(T1906,-1)</f>
        <v>0</v>
      </c>
      <c r="I1906" s="40">
        <v>45261</v>
      </c>
      <c r="J1906" s="40"/>
      <c r="K1906" s="11">
        <v>45000</v>
      </c>
      <c r="L1906" s="11"/>
      <c r="M1906" s="32"/>
      <c r="N1906" s="100"/>
      <c r="O1906" s="11">
        <f t="shared" si="529"/>
        <v>45000</v>
      </c>
      <c r="P1906" s="11">
        <f t="shared" si="533"/>
        <v>45000</v>
      </c>
      <c r="Q1906" s="11">
        <v>1.45</v>
      </c>
      <c r="R1906" s="11">
        <f t="shared" si="534"/>
        <v>65250</v>
      </c>
      <c r="S1906" s="11"/>
      <c r="T1906" s="136">
        <f t="shared" si="535"/>
        <v>0</v>
      </c>
    </row>
    <row r="1907" spans="1:20" ht="15.75" customHeight="1">
      <c r="A1907" s="149">
        <v>66</v>
      </c>
      <c r="B1907" s="273"/>
      <c r="C1907" s="28" t="s">
        <v>1759</v>
      </c>
      <c r="D1907" s="71"/>
      <c r="E1907" s="131">
        <f t="shared" si="532"/>
        <v>0</v>
      </c>
      <c r="F1907" s="21"/>
      <c r="G1907" s="21" t="s">
        <v>3929</v>
      </c>
      <c r="H1907" s="135">
        <f t="shared" si="537"/>
        <v>0</v>
      </c>
      <c r="I1907" s="40"/>
      <c r="J1907" s="40"/>
      <c r="K1907" s="10"/>
      <c r="L1907" s="11"/>
      <c r="M1907" s="11"/>
      <c r="N1907" s="100"/>
      <c r="O1907" s="11">
        <f t="shared" si="529"/>
        <v>0</v>
      </c>
      <c r="P1907" s="11">
        <f t="shared" si="533"/>
        <v>0</v>
      </c>
      <c r="Q1907" s="11"/>
      <c r="R1907" s="11">
        <f t="shared" si="534"/>
        <v>0</v>
      </c>
      <c r="S1907" s="11"/>
      <c r="T1907" s="136">
        <f t="shared" si="535"/>
        <v>0</v>
      </c>
    </row>
    <row r="1908" spans="1:20" ht="15.75" customHeight="1">
      <c r="A1908" s="149">
        <v>66</v>
      </c>
      <c r="B1908" s="273"/>
      <c r="C1908" s="28" t="s">
        <v>1760</v>
      </c>
      <c r="D1908" s="71">
        <v>2565</v>
      </c>
      <c r="E1908" s="131">
        <f t="shared" si="532"/>
        <v>0</v>
      </c>
      <c r="F1908" s="21">
        <f>+E1908*1.21</f>
        <v>0</v>
      </c>
      <c r="G1908" s="21"/>
      <c r="H1908" s="135">
        <f t="shared" si="537"/>
        <v>0</v>
      </c>
      <c r="I1908" s="40">
        <v>42954</v>
      </c>
      <c r="J1908" s="40"/>
      <c r="K1908" s="10">
        <f>1710*1.5*1.3</f>
        <v>3334.5</v>
      </c>
      <c r="L1908" s="11"/>
      <c r="M1908" s="11"/>
      <c r="N1908" s="100"/>
      <c r="O1908" s="11">
        <f t="shared" si="529"/>
        <v>3334.5</v>
      </c>
      <c r="P1908" s="11">
        <f t="shared" si="533"/>
        <v>3334.5</v>
      </c>
      <c r="Q1908" s="11"/>
      <c r="R1908" s="11">
        <f t="shared" si="534"/>
        <v>0</v>
      </c>
      <c r="S1908" s="11"/>
      <c r="T1908" s="136">
        <f t="shared" si="535"/>
        <v>0</v>
      </c>
    </row>
    <row r="1909" spans="1:20" ht="15.75" customHeight="1">
      <c r="A1909" s="149">
        <v>66</v>
      </c>
      <c r="B1909" s="273"/>
      <c r="C1909" s="28" t="s">
        <v>1761</v>
      </c>
      <c r="D1909" s="71">
        <v>6020</v>
      </c>
      <c r="E1909" s="131">
        <f t="shared" si="532"/>
        <v>0</v>
      </c>
      <c r="F1909" s="21">
        <f>+E1909*1.21</f>
        <v>0</v>
      </c>
      <c r="G1909" s="21"/>
      <c r="H1909" s="135">
        <f t="shared" si="537"/>
        <v>0</v>
      </c>
      <c r="I1909" s="40">
        <v>42954</v>
      </c>
      <c r="J1909" s="40"/>
      <c r="K1909" s="10">
        <f>250*61*0.4*0.68*1.45</f>
        <v>6014.5999999999995</v>
      </c>
      <c r="L1909" s="11"/>
      <c r="M1909" s="11"/>
      <c r="N1909" s="100"/>
      <c r="O1909" s="11">
        <f t="shared" si="529"/>
        <v>6014.5999999999995</v>
      </c>
      <c r="P1909" s="11">
        <f t="shared" si="533"/>
        <v>6014.5999999999995</v>
      </c>
      <c r="Q1909" s="11"/>
      <c r="R1909" s="11">
        <f t="shared" si="534"/>
        <v>0</v>
      </c>
      <c r="S1909" s="11"/>
      <c r="T1909" s="136">
        <f t="shared" si="535"/>
        <v>0</v>
      </c>
    </row>
    <row r="1910" spans="1:20" ht="15.75" customHeight="1">
      <c r="A1910" s="149"/>
      <c r="B1910" s="273"/>
      <c r="C1910" s="28" t="s">
        <v>1762</v>
      </c>
      <c r="D1910" s="71">
        <v>6200</v>
      </c>
      <c r="E1910" s="131">
        <f t="shared" si="532"/>
        <v>0</v>
      </c>
      <c r="F1910" s="21" t="s">
        <v>1248</v>
      </c>
      <c r="G1910" s="21">
        <f t="shared" ref="G1910:G1915" si="538">+E1910*1.105</f>
        <v>0</v>
      </c>
      <c r="H1910" s="135">
        <f t="shared" si="537"/>
        <v>0</v>
      </c>
      <c r="I1910" s="40"/>
      <c r="J1910" s="40">
        <v>42661</v>
      </c>
      <c r="K1910" s="10">
        <f>4584*1.35</f>
        <v>6188.4000000000005</v>
      </c>
      <c r="L1910" s="11"/>
      <c r="M1910" s="11"/>
      <c r="N1910" s="100"/>
      <c r="O1910" s="11">
        <f t="shared" si="529"/>
        <v>6188.4000000000005</v>
      </c>
      <c r="P1910" s="11">
        <f t="shared" si="533"/>
        <v>6188.4000000000005</v>
      </c>
      <c r="Q1910" s="11"/>
      <c r="R1910" s="11">
        <f t="shared" si="534"/>
        <v>0</v>
      </c>
      <c r="S1910" s="11"/>
      <c r="T1910" s="136">
        <f t="shared" si="535"/>
        <v>0</v>
      </c>
    </row>
    <row r="1911" spans="1:20" ht="15.75" customHeight="1">
      <c r="A1911" s="149">
        <v>41</v>
      </c>
      <c r="B1911" s="273">
        <f>ROUNDUP(E1911*1.06,-1)</f>
        <v>808110</v>
      </c>
      <c r="C1911" s="28" t="s">
        <v>1765</v>
      </c>
      <c r="D1911" s="71">
        <v>32750</v>
      </c>
      <c r="E1911" s="141">
        <f>ROUNDUP(R1911,-1)</f>
        <v>762360</v>
      </c>
      <c r="F1911" s="21" t="s">
        <v>1248</v>
      </c>
      <c r="G1911" s="21">
        <f t="shared" si="538"/>
        <v>842407.79999999993</v>
      </c>
      <c r="H1911" s="135">
        <f>ROUNDUP(T1911,-1)</f>
        <v>580180</v>
      </c>
      <c r="I1911" s="40">
        <v>45311</v>
      </c>
      <c r="J1911" s="40"/>
      <c r="K1911" s="11">
        <f>PROVEEDORES!$D$35*0.9*0.9*651.56</f>
        <v>564707.05200000003</v>
      </c>
      <c r="L1911" s="11"/>
      <c r="M1911" s="11"/>
      <c r="N1911" s="100">
        <f>0.9*0.95*0.95*529100</f>
        <v>429761.47499999998</v>
      </c>
      <c r="O1911" s="11">
        <f>MIN(K1911:M1911)</f>
        <v>564707.05200000003</v>
      </c>
      <c r="P1911" s="11">
        <f t="shared" si="533"/>
        <v>564707.05200000003</v>
      </c>
      <c r="Q1911" s="11">
        <v>1.35</v>
      </c>
      <c r="R1911" s="11">
        <f t="shared" si="534"/>
        <v>762354.52020000003</v>
      </c>
      <c r="S1911" s="11"/>
      <c r="T1911" s="136">
        <f>+N1911*Q1911</f>
        <v>580177.99124999996</v>
      </c>
    </row>
    <row r="1912" spans="1:20" ht="15.75" customHeight="1">
      <c r="A1912" s="149"/>
      <c r="B1912" s="273"/>
      <c r="C1912" s="28" t="s">
        <v>1763</v>
      </c>
      <c r="D1912" s="71"/>
      <c r="E1912" s="131">
        <f t="shared" si="532"/>
        <v>0</v>
      </c>
      <c r="F1912" s="21" t="s">
        <v>1248</v>
      </c>
      <c r="G1912" s="21">
        <f t="shared" si="538"/>
        <v>0</v>
      </c>
      <c r="H1912" s="135">
        <f t="shared" si="537"/>
        <v>0</v>
      </c>
      <c r="I1912" s="40">
        <v>42356</v>
      </c>
      <c r="J1912" s="40"/>
      <c r="K1912" s="10">
        <f>1325*14.5*0.9*1.35</f>
        <v>23343.1875</v>
      </c>
      <c r="L1912" s="11"/>
      <c r="M1912" s="11"/>
      <c r="N1912" s="100"/>
      <c r="O1912" s="11">
        <f t="shared" si="529"/>
        <v>23343.1875</v>
      </c>
      <c r="P1912" s="11">
        <f t="shared" si="533"/>
        <v>23343.1875</v>
      </c>
      <c r="Q1912" s="11"/>
      <c r="R1912" s="11">
        <f t="shared" si="534"/>
        <v>0</v>
      </c>
      <c r="S1912" s="11"/>
      <c r="T1912" s="136">
        <f t="shared" si="535"/>
        <v>0</v>
      </c>
    </row>
    <row r="1913" spans="1:20" ht="15.75" customHeight="1">
      <c r="A1913" s="149">
        <v>41</v>
      </c>
      <c r="B1913" s="273">
        <f>ROUNDUP(E1913*1.06,-1)</f>
        <v>1382890</v>
      </c>
      <c r="C1913" s="28" t="s">
        <v>1764</v>
      </c>
      <c r="D1913" s="71">
        <v>66430</v>
      </c>
      <c r="E1913" s="141">
        <f t="shared" si="532"/>
        <v>1304610</v>
      </c>
      <c r="F1913" s="21" t="s">
        <v>1248</v>
      </c>
      <c r="G1913" s="21">
        <f t="shared" si="538"/>
        <v>1441594.05</v>
      </c>
      <c r="H1913" s="135">
        <f t="shared" si="537"/>
        <v>1282950</v>
      </c>
      <c r="I1913" s="40">
        <v>45311</v>
      </c>
      <c r="J1913" s="40"/>
      <c r="K1913" s="11">
        <f>PROVEEDORES!$D$35*0.9*0.9*1115</f>
        <v>966370.5</v>
      </c>
      <c r="L1913" s="11"/>
      <c r="M1913" s="11"/>
      <c r="N1913" s="100">
        <f>0.9*0.95*0.95*1170000</f>
        <v>950332.49999999988</v>
      </c>
      <c r="O1913" s="11">
        <f t="shared" ref="O1913:O1980" si="539">MIN(K1913:M1913)</f>
        <v>966370.5</v>
      </c>
      <c r="P1913" s="11">
        <f t="shared" si="533"/>
        <v>966370.5</v>
      </c>
      <c r="Q1913" s="11">
        <v>1.35</v>
      </c>
      <c r="R1913" s="11">
        <f t="shared" si="534"/>
        <v>1304600.175</v>
      </c>
      <c r="S1913" s="11"/>
      <c r="T1913" s="136">
        <f t="shared" si="535"/>
        <v>1282948.875</v>
      </c>
    </row>
    <row r="1914" spans="1:20" ht="15.75" customHeight="1">
      <c r="A1914" s="149">
        <v>41</v>
      </c>
      <c r="B1914" s="273"/>
      <c r="C1914" s="28" t="s">
        <v>4300</v>
      </c>
      <c r="D1914" s="71"/>
      <c r="E1914" s="141">
        <f t="shared" si="532"/>
        <v>310070</v>
      </c>
      <c r="F1914" s="21" t="s">
        <v>1248</v>
      </c>
      <c r="G1914" s="21">
        <f t="shared" si="538"/>
        <v>342627.35</v>
      </c>
      <c r="H1914" s="135">
        <f t="shared" si="537"/>
        <v>265150</v>
      </c>
      <c r="I1914" s="40">
        <v>45311</v>
      </c>
      <c r="J1914" s="40"/>
      <c r="K1914" s="11">
        <f>PROVEEDORES!$D$35*0.9*0.9*265</f>
        <v>229675.5</v>
      </c>
      <c r="L1914" s="11"/>
      <c r="M1914" s="11"/>
      <c r="N1914" s="100">
        <f>0.9*0.95*0.95*241800</f>
        <v>196402.05</v>
      </c>
      <c r="O1914" s="11">
        <f t="shared" si="539"/>
        <v>229675.5</v>
      </c>
      <c r="P1914" s="11">
        <f t="shared" si="533"/>
        <v>229675.5</v>
      </c>
      <c r="Q1914" s="11">
        <v>1.35</v>
      </c>
      <c r="R1914" s="11">
        <f t="shared" si="534"/>
        <v>310061.92500000005</v>
      </c>
      <c r="S1914" s="11"/>
      <c r="T1914" s="136">
        <f t="shared" si="535"/>
        <v>265142.76750000002</v>
      </c>
    </row>
    <row r="1915" spans="1:20" ht="15.75" customHeight="1">
      <c r="A1915" s="149">
        <v>41</v>
      </c>
      <c r="B1915" s="273"/>
      <c r="C1915" s="28" t="s">
        <v>4299</v>
      </c>
      <c r="D1915" s="71"/>
      <c r="E1915" s="141">
        <f>ROUNDUP(R1915,-1)</f>
        <v>609120</v>
      </c>
      <c r="F1915" s="21" t="s">
        <v>1248</v>
      </c>
      <c r="G1915" s="21">
        <f t="shared" si="538"/>
        <v>673077.6</v>
      </c>
      <c r="H1915" s="135">
        <f>ROUNDUP(T1915,-1)</f>
        <v>623850</v>
      </c>
      <c r="I1915" s="40">
        <v>45311</v>
      </c>
      <c r="J1915" s="40"/>
      <c r="K1915" s="11">
        <f>PROVEEDORES!$D$35*0.9*0.9*502</f>
        <v>435083.4</v>
      </c>
      <c r="L1915" s="11"/>
      <c r="M1915" s="11"/>
      <c r="N1915" s="100">
        <f>0.9*0.95*0.95*548600</f>
        <v>445600.35</v>
      </c>
      <c r="O1915" s="11">
        <f>MIN(K1915:M1915)</f>
        <v>435083.4</v>
      </c>
      <c r="P1915" s="11">
        <f t="shared" si="533"/>
        <v>435083.4</v>
      </c>
      <c r="Q1915" s="11">
        <v>1.4</v>
      </c>
      <c r="R1915" s="11">
        <f t="shared" si="534"/>
        <v>609116.76</v>
      </c>
      <c r="S1915" s="11"/>
      <c r="T1915" s="136">
        <f>+N1915*Q1915</f>
        <v>623840.48999999987</v>
      </c>
    </row>
    <row r="1916" spans="1:20" ht="15.75" customHeight="1">
      <c r="A1916" s="149">
        <v>22</v>
      </c>
      <c r="B1916" s="273"/>
      <c r="C1916" s="28" t="s">
        <v>1766</v>
      </c>
      <c r="D1916" s="71">
        <v>5800</v>
      </c>
      <c r="E1916" s="131">
        <f t="shared" si="532"/>
        <v>156050</v>
      </c>
      <c r="F1916" s="21">
        <f>+E1916*1.21</f>
        <v>188820.5</v>
      </c>
      <c r="G1916" s="21"/>
      <c r="H1916" s="135">
        <f t="shared" si="537"/>
        <v>0</v>
      </c>
      <c r="I1916" s="294">
        <v>44755</v>
      </c>
      <c r="J1916" s="294"/>
      <c r="K1916" s="42">
        <f>+PROVEEDORES!D16*152*0.8</f>
        <v>107616</v>
      </c>
      <c r="L1916" s="34"/>
      <c r="M1916" s="25"/>
      <c r="N1916" s="100"/>
      <c r="O1916" s="11">
        <f t="shared" si="539"/>
        <v>107616</v>
      </c>
      <c r="P1916" s="11">
        <f t="shared" si="533"/>
        <v>107616</v>
      </c>
      <c r="Q1916" s="11">
        <v>1.45</v>
      </c>
      <c r="R1916" s="11">
        <f t="shared" si="534"/>
        <v>156043.19999999998</v>
      </c>
      <c r="S1916" s="11"/>
      <c r="T1916" s="136">
        <f t="shared" si="535"/>
        <v>0</v>
      </c>
    </row>
    <row r="1917" spans="1:20" ht="15.75" customHeight="1">
      <c r="A1917" s="149">
        <v>22</v>
      </c>
      <c r="B1917" s="273"/>
      <c r="C1917" s="28" t="s">
        <v>3650</v>
      </c>
      <c r="D1917" s="71">
        <v>11830</v>
      </c>
      <c r="E1917" s="131">
        <f t="shared" si="532"/>
        <v>374200</v>
      </c>
      <c r="F1917" s="21">
        <f>+E1917*1.21</f>
        <v>452782</v>
      </c>
      <c r="G1917" s="21"/>
      <c r="H1917" s="135">
        <f t="shared" si="537"/>
        <v>0</v>
      </c>
      <c r="I1917" s="294">
        <v>44755</v>
      </c>
      <c r="J1917" s="294"/>
      <c r="K1917" s="11">
        <f>0.9*0.9*360*PROVEEDORES!D16</f>
        <v>258066.00000000003</v>
      </c>
      <c r="L1917" s="34"/>
      <c r="M1917" s="25"/>
      <c r="N1917" s="100"/>
      <c r="O1917" s="11">
        <f t="shared" si="539"/>
        <v>258066.00000000003</v>
      </c>
      <c r="P1917" s="11">
        <f t="shared" si="533"/>
        <v>258066.00000000003</v>
      </c>
      <c r="Q1917" s="11">
        <v>1.45</v>
      </c>
      <c r="R1917" s="11">
        <f t="shared" si="534"/>
        <v>374195.7</v>
      </c>
      <c r="S1917" s="11"/>
      <c r="T1917" s="136">
        <f t="shared" si="535"/>
        <v>0</v>
      </c>
    </row>
    <row r="1918" spans="1:20" ht="15.75" customHeight="1">
      <c r="A1918" s="149">
        <v>22</v>
      </c>
      <c r="B1918" s="273"/>
      <c r="C1918" s="28" t="s">
        <v>1767</v>
      </c>
      <c r="D1918" s="71">
        <v>20890</v>
      </c>
      <c r="E1918" s="131">
        <f t="shared" si="532"/>
        <v>0</v>
      </c>
      <c r="F1918" s="21">
        <f>+E1918*1.21</f>
        <v>0</v>
      </c>
      <c r="G1918" s="21"/>
      <c r="H1918" s="135">
        <f t="shared" si="537"/>
        <v>0</v>
      </c>
      <c r="I1918" s="294"/>
      <c r="J1918" s="294">
        <v>44133</v>
      </c>
      <c r="K1918" s="11">
        <f>321*0.9*0.94*101</f>
        <v>27428.166000000005</v>
      </c>
      <c r="L1918" s="11"/>
      <c r="M1918" s="11"/>
      <c r="N1918" s="100"/>
      <c r="O1918" s="11">
        <f t="shared" si="539"/>
        <v>27428.166000000005</v>
      </c>
      <c r="P1918" s="11">
        <f t="shared" si="533"/>
        <v>27428.166000000005</v>
      </c>
      <c r="Q1918" s="11"/>
      <c r="R1918" s="11">
        <f t="shared" si="534"/>
        <v>0</v>
      </c>
      <c r="S1918" s="11"/>
      <c r="T1918" s="136">
        <f t="shared" si="535"/>
        <v>0</v>
      </c>
    </row>
    <row r="1919" spans="1:20" ht="15.75" customHeight="1">
      <c r="A1919" s="149">
        <v>22</v>
      </c>
      <c r="B1919" s="273"/>
      <c r="C1919" s="28" t="s">
        <v>2103</v>
      </c>
      <c r="D1919" s="71">
        <v>22150</v>
      </c>
      <c r="E1919" s="131">
        <f t="shared" si="532"/>
        <v>0</v>
      </c>
      <c r="F1919" s="21">
        <f>+E1919*1.21</f>
        <v>0</v>
      </c>
      <c r="G1919" s="21"/>
      <c r="H1919" s="135">
        <f t="shared" si="537"/>
        <v>0</v>
      </c>
      <c r="I1919" s="294">
        <v>44349</v>
      </c>
      <c r="J1919" s="294"/>
      <c r="K1919" s="143">
        <f>321*0.9*0.9*105</f>
        <v>27301.050000000007</v>
      </c>
      <c r="L1919" s="34">
        <f>25080*1.08</f>
        <v>27086.400000000001</v>
      </c>
      <c r="M1919" s="11"/>
      <c r="N1919" s="100"/>
      <c r="O1919" s="11">
        <f t="shared" si="539"/>
        <v>27086.400000000001</v>
      </c>
      <c r="P1919" s="11">
        <f t="shared" si="533"/>
        <v>27086.400000000001</v>
      </c>
      <c r="Q1919" s="11"/>
      <c r="R1919" s="11">
        <f t="shared" si="534"/>
        <v>0</v>
      </c>
      <c r="S1919" s="11"/>
      <c r="T1919" s="136">
        <f t="shared" si="535"/>
        <v>0</v>
      </c>
    </row>
    <row r="1920" spans="1:20" ht="15.75" customHeight="1">
      <c r="A1920" s="149">
        <v>22</v>
      </c>
      <c r="B1920" s="273"/>
      <c r="C1920" s="28" t="s">
        <v>1768</v>
      </c>
      <c r="D1920" s="71">
        <v>14600</v>
      </c>
      <c r="E1920" s="131">
        <f t="shared" si="532"/>
        <v>0</v>
      </c>
      <c r="F1920" s="21" t="s">
        <v>1248</v>
      </c>
      <c r="G1920" s="21"/>
      <c r="H1920" s="135">
        <f t="shared" si="537"/>
        <v>0</v>
      </c>
      <c r="I1920" s="294"/>
      <c r="J1920" s="294">
        <v>44981</v>
      </c>
      <c r="K1920" s="11">
        <f>73104*0.9</f>
        <v>65793.600000000006</v>
      </c>
      <c r="L1920" s="11"/>
      <c r="M1920" s="25"/>
      <c r="N1920" s="100"/>
      <c r="O1920" s="11">
        <f t="shared" si="539"/>
        <v>65793.600000000006</v>
      </c>
      <c r="P1920" s="11">
        <f t="shared" si="533"/>
        <v>65793.600000000006</v>
      </c>
      <c r="Q1920" s="11"/>
      <c r="R1920" s="11">
        <f t="shared" si="534"/>
        <v>0</v>
      </c>
      <c r="S1920" s="11"/>
      <c r="T1920" s="136">
        <f t="shared" si="535"/>
        <v>0</v>
      </c>
    </row>
    <row r="1921" spans="1:20" ht="15.75" customHeight="1">
      <c r="A1921" s="149">
        <v>22</v>
      </c>
      <c r="B1921" s="273"/>
      <c r="C1921" s="28" t="s">
        <v>1769</v>
      </c>
      <c r="D1921" s="71">
        <v>20500</v>
      </c>
      <c r="E1921" s="131">
        <f t="shared" si="532"/>
        <v>0</v>
      </c>
      <c r="F1921" s="21" t="s">
        <v>1248</v>
      </c>
      <c r="G1921" s="21"/>
      <c r="H1921" s="135">
        <f t="shared" si="537"/>
        <v>0</v>
      </c>
      <c r="I1921" s="294">
        <v>44599</v>
      </c>
      <c r="J1921" s="40"/>
      <c r="K1921" s="11">
        <f>341*0.9*0.9*PROVEEDORES!D16</f>
        <v>244445.85000000003</v>
      </c>
      <c r="L1921" s="68"/>
      <c r="M1921" s="25"/>
      <c r="N1921" s="100"/>
      <c r="O1921" s="11">
        <f t="shared" si="539"/>
        <v>244445.85000000003</v>
      </c>
      <c r="P1921" s="11">
        <f t="shared" si="533"/>
        <v>244445.85000000003</v>
      </c>
      <c r="Q1921" s="11"/>
      <c r="R1921" s="11">
        <f t="shared" si="534"/>
        <v>0</v>
      </c>
      <c r="S1921" s="11"/>
      <c r="T1921" s="136">
        <f t="shared" si="535"/>
        <v>0</v>
      </c>
    </row>
    <row r="1922" spans="1:20" ht="15.75" customHeight="1">
      <c r="A1922" s="149">
        <v>41</v>
      </c>
      <c r="B1922" s="273"/>
      <c r="C1922" s="28" t="s">
        <v>2926</v>
      </c>
      <c r="D1922" s="71">
        <v>9590</v>
      </c>
      <c r="E1922" s="132">
        <f>ROUNDUP(R1922,-1)</f>
        <v>206110</v>
      </c>
      <c r="F1922" s="21" t="s">
        <v>1248</v>
      </c>
      <c r="G1922" s="21">
        <f>+E1922*1.105</f>
        <v>227751.55</v>
      </c>
      <c r="H1922" s="135">
        <f>ROUNDUP(T1922,-1)</f>
        <v>179140</v>
      </c>
      <c r="I1922" s="40">
        <v>45311</v>
      </c>
      <c r="J1922" s="40"/>
      <c r="K1922" s="11">
        <f>PROVEEDORES!$D$35*0.9*0.9*164</f>
        <v>142138.80000000002</v>
      </c>
      <c r="L1922" s="11"/>
      <c r="M1922" s="11"/>
      <c r="N1922" s="100">
        <f>0.9*0.95*0.95*152100</f>
        <v>123543.22499999999</v>
      </c>
      <c r="O1922" s="11">
        <f>MIN(K1922:M1922)</f>
        <v>142138.80000000002</v>
      </c>
      <c r="P1922" s="11">
        <f t="shared" si="533"/>
        <v>142138.80000000002</v>
      </c>
      <c r="Q1922" s="11">
        <v>1.45</v>
      </c>
      <c r="R1922" s="11">
        <f t="shared" si="534"/>
        <v>206101.26</v>
      </c>
      <c r="S1922" s="11"/>
      <c r="T1922" s="136">
        <f>+N1922*Q1922</f>
        <v>179137.67624999999</v>
      </c>
    </row>
    <row r="1923" spans="1:20" ht="15.75" customHeight="1">
      <c r="A1923" s="149">
        <v>41</v>
      </c>
      <c r="B1923" s="273"/>
      <c r="C1923" s="28" t="s">
        <v>2927</v>
      </c>
      <c r="D1923" s="71">
        <v>20190</v>
      </c>
      <c r="E1923" s="132">
        <f t="shared" si="532"/>
        <v>507720</v>
      </c>
      <c r="F1923" s="21" t="s">
        <v>1248</v>
      </c>
      <c r="G1923" s="21">
        <f>+E1923*1.105</f>
        <v>561030.6</v>
      </c>
      <c r="H1923" s="135">
        <f t="shared" si="537"/>
        <v>444020</v>
      </c>
      <c r="I1923" s="40">
        <v>45311</v>
      </c>
      <c r="J1923" s="40"/>
      <c r="K1923" s="11">
        <f>PROVEEDORES!$D$35*0.9*0.9*404</f>
        <v>350146.80000000005</v>
      </c>
      <c r="L1923" s="11"/>
      <c r="M1923" s="11"/>
      <c r="N1923" s="100">
        <f>0.9*0.95*0.95*377000</f>
        <v>306218.24999999994</v>
      </c>
      <c r="O1923" s="11">
        <f t="shared" si="539"/>
        <v>350146.80000000005</v>
      </c>
      <c r="P1923" s="11">
        <f t="shared" si="533"/>
        <v>350146.80000000005</v>
      </c>
      <c r="Q1923" s="11">
        <v>1.45</v>
      </c>
      <c r="R1923" s="11">
        <f t="shared" si="534"/>
        <v>507712.86000000004</v>
      </c>
      <c r="S1923" s="11"/>
      <c r="T1923" s="136">
        <f t="shared" ref="T1923:T1956" si="540">+N1923*Q1923</f>
        <v>444016.46249999991</v>
      </c>
    </row>
    <row r="1924" spans="1:20" ht="15.75" customHeight="1">
      <c r="A1924" s="149">
        <v>46</v>
      </c>
      <c r="B1924" s="273"/>
      <c r="C1924" s="28" t="s">
        <v>3533</v>
      </c>
      <c r="D1924" s="71"/>
      <c r="E1924" s="131">
        <f t="shared" ref="E1924:E1993" si="541">ROUNDUP(R1924,-1)</f>
        <v>399020</v>
      </c>
      <c r="F1924" s="21">
        <f>+E1924*1.21</f>
        <v>482814.2</v>
      </c>
      <c r="G1924" s="21"/>
      <c r="H1924" s="135">
        <f t="shared" si="537"/>
        <v>0</v>
      </c>
      <c r="I1924" s="294">
        <v>45078</v>
      </c>
      <c r="J1924" s="40"/>
      <c r="K1924" s="11">
        <f>+PROVEEDORES!D40*0.72*364</f>
        <v>262080</v>
      </c>
      <c r="L1924" s="11">
        <f>1870000*1.105</f>
        <v>2066350</v>
      </c>
      <c r="M1924" s="238"/>
      <c r="N1924" s="100"/>
      <c r="O1924" s="11">
        <f t="shared" si="539"/>
        <v>262080</v>
      </c>
      <c r="P1924" s="11">
        <f>+O1924*'AUMENTOS %'!$B$18</f>
        <v>275184</v>
      </c>
      <c r="Q1924" s="11">
        <v>1.45</v>
      </c>
      <c r="R1924" s="11">
        <f t="shared" si="534"/>
        <v>399016.8</v>
      </c>
      <c r="S1924" s="11"/>
      <c r="T1924" s="136">
        <f t="shared" si="540"/>
        <v>0</v>
      </c>
    </row>
    <row r="1925" spans="1:20" ht="15.75" customHeight="1">
      <c r="A1925" s="149">
        <v>46</v>
      </c>
      <c r="B1925" s="273"/>
      <c r="C1925" s="28" t="s">
        <v>2847</v>
      </c>
      <c r="D1925" s="71"/>
      <c r="E1925" s="131">
        <f t="shared" si="541"/>
        <v>277340</v>
      </c>
      <c r="F1925" s="21" t="s">
        <v>1248</v>
      </c>
      <c r="G1925" s="21">
        <f>+E1925*1.105</f>
        <v>306460.7</v>
      </c>
      <c r="H1925" s="135">
        <f t="shared" si="537"/>
        <v>0</v>
      </c>
      <c r="I1925" s="294">
        <v>45181</v>
      </c>
      <c r="J1925" s="40">
        <v>45379</v>
      </c>
      <c r="K1925" s="11">
        <f>+PROVEEDORES!D40*0.72*253</f>
        <v>182160</v>
      </c>
      <c r="L1925" s="11"/>
      <c r="M1925" s="11"/>
      <c r="N1925" s="100"/>
      <c r="O1925" s="11">
        <f t="shared" si="539"/>
        <v>182160</v>
      </c>
      <c r="P1925" s="11">
        <f>+O1925*'AUMENTOS %'!$B$18</f>
        <v>191268</v>
      </c>
      <c r="Q1925" s="11">
        <v>1.45</v>
      </c>
      <c r="R1925" s="11">
        <f t="shared" si="534"/>
        <v>277338.59999999998</v>
      </c>
      <c r="S1925" s="11"/>
      <c r="T1925" s="136">
        <f t="shared" si="540"/>
        <v>0</v>
      </c>
    </row>
    <row r="1926" spans="1:20" ht="15.75" customHeight="1">
      <c r="A1926" s="149">
        <v>46</v>
      </c>
      <c r="B1926" s="273"/>
      <c r="C1926" s="28" t="s">
        <v>4231</v>
      </c>
      <c r="D1926" s="71"/>
      <c r="E1926" s="131">
        <f>ROUNDUP(R1926,-1)</f>
        <v>256520</v>
      </c>
      <c r="F1926" s="21" t="s">
        <v>1248</v>
      </c>
      <c r="G1926" s="21">
        <f>+E1926*1.105</f>
        <v>283454.59999999998</v>
      </c>
      <c r="H1926" s="135">
        <f>ROUNDUP(T1926,-1)</f>
        <v>0</v>
      </c>
      <c r="I1926" s="294">
        <v>45155</v>
      </c>
      <c r="J1926" s="40">
        <v>45271</v>
      </c>
      <c r="K1926" s="11">
        <f>+PROVEEDORES!D40*0.72*234</f>
        <v>168480</v>
      </c>
      <c r="L1926" s="11"/>
      <c r="M1926" s="11"/>
      <c r="N1926" s="100"/>
      <c r="O1926" s="11">
        <f>MIN(K1926:M1926)</f>
        <v>168480</v>
      </c>
      <c r="P1926" s="11">
        <f>+O1926*'AUMENTOS %'!$B$18</f>
        <v>176904</v>
      </c>
      <c r="Q1926" s="11">
        <v>1.45</v>
      </c>
      <c r="R1926" s="11">
        <f t="shared" si="534"/>
        <v>256510.8</v>
      </c>
      <c r="S1926" s="11"/>
      <c r="T1926" s="136">
        <f>+N1926*Q1926</f>
        <v>0</v>
      </c>
    </row>
    <row r="1927" spans="1:20" ht="15.75" customHeight="1">
      <c r="A1927" s="149">
        <v>46</v>
      </c>
      <c r="B1927" s="273"/>
      <c r="C1927" s="28" t="s">
        <v>3674</v>
      </c>
      <c r="D1927" s="71"/>
      <c r="E1927" s="131">
        <f t="shared" si="541"/>
        <v>376000</v>
      </c>
      <c r="F1927" s="21" t="s">
        <v>1248</v>
      </c>
      <c r="G1927" s="21">
        <f>+E1927*1.105</f>
        <v>415480</v>
      </c>
      <c r="H1927" s="135">
        <f t="shared" si="537"/>
        <v>0</v>
      </c>
      <c r="I1927" s="294">
        <v>45181</v>
      </c>
      <c r="J1927" s="40">
        <v>45323</v>
      </c>
      <c r="K1927" s="11">
        <f>+PROVEEDORES!D40*0.72*343</f>
        <v>246960</v>
      </c>
      <c r="L1927" s="11"/>
      <c r="M1927" s="11"/>
      <c r="N1927" s="100"/>
      <c r="O1927" s="11">
        <f t="shared" si="539"/>
        <v>246960</v>
      </c>
      <c r="P1927" s="11">
        <f>+O1927*'AUMENTOS %'!$B$18</f>
        <v>259308</v>
      </c>
      <c r="Q1927" s="11">
        <v>1.45</v>
      </c>
      <c r="R1927" s="11">
        <f t="shared" si="534"/>
        <v>375996.6</v>
      </c>
      <c r="S1927" s="11"/>
      <c r="T1927" s="136">
        <f t="shared" si="540"/>
        <v>0</v>
      </c>
    </row>
    <row r="1928" spans="1:20" ht="15.75" customHeight="1">
      <c r="A1928" s="149" t="s">
        <v>2416</v>
      </c>
      <c r="B1928" s="273"/>
      <c r="C1928" s="28" t="s">
        <v>44284</v>
      </c>
      <c r="D1928" s="71"/>
      <c r="E1928" s="131">
        <f>ROUNDUP(R1928,-1)</f>
        <v>230690</v>
      </c>
      <c r="F1928" s="21">
        <f t="shared" ref="F1928:F1933" si="542">+E1928*1.21</f>
        <v>279134.89999999997</v>
      </c>
      <c r="G1928" s="21"/>
      <c r="H1928" s="135">
        <f>ROUNDUP(T1928,-1)</f>
        <v>0</v>
      </c>
      <c r="I1928" s="294">
        <v>45274</v>
      </c>
      <c r="J1928" s="294"/>
      <c r="K1928" s="10">
        <f>0.6*265152</f>
        <v>159091.19999999998</v>
      </c>
      <c r="L1928" s="11"/>
      <c r="M1928" s="11"/>
      <c r="N1928" s="100"/>
      <c r="O1928" s="11">
        <f>MIN(K1928:M1928)</f>
        <v>159091.19999999998</v>
      </c>
      <c r="P1928" s="11">
        <f t="shared" si="533"/>
        <v>159091.19999999998</v>
      </c>
      <c r="Q1928" s="11">
        <v>1.45</v>
      </c>
      <c r="R1928" s="11">
        <f t="shared" si="534"/>
        <v>230682.23999999996</v>
      </c>
      <c r="S1928" s="11"/>
      <c r="T1928" s="136">
        <f>+N1928*Q1928</f>
        <v>0</v>
      </c>
    </row>
    <row r="1929" spans="1:20" ht="15.75" customHeight="1">
      <c r="A1929" s="149">
        <v>44</v>
      </c>
      <c r="B1929" s="273"/>
      <c r="C1929" s="28" t="s">
        <v>44203</v>
      </c>
      <c r="D1929" s="71"/>
      <c r="E1929" s="140">
        <f t="shared" si="541"/>
        <v>636500</v>
      </c>
      <c r="F1929" s="21">
        <f t="shared" si="542"/>
        <v>770165</v>
      </c>
      <c r="G1929" s="21"/>
      <c r="H1929" s="135">
        <f t="shared" si="537"/>
        <v>0</v>
      </c>
      <c r="I1929" s="294">
        <v>45349</v>
      </c>
      <c r="J1929" s="294"/>
      <c r="K1929" s="10">
        <v>424329</v>
      </c>
      <c r="L1929" s="11"/>
      <c r="M1929" s="11"/>
      <c r="N1929" s="100"/>
      <c r="O1929" s="11">
        <f t="shared" si="539"/>
        <v>424329</v>
      </c>
      <c r="P1929" s="11">
        <f t="shared" si="533"/>
        <v>424329</v>
      </c>
      <c r="Q1929" s="11">
        <v>1.5</v>
      </c>
      <c r="R1929" s="11">
        <f t="shared" si="534"/>
        <v>636493.5</v>
      </c>
      <c r="S1929" s="11"/>
      <c r="T1929" s="136">
        <f t="shared" si="540"/>
        <v>0</v>
      </c>
    </row>
    <row r="1930" spans="1:20" ht="15.75" customHeight="1">
      <c r="A1930" s="149">
        <v>21</v>
      </c>
      <c r="B1930" s="273">
        <f>+E1930*1.105</f>
        <v>390208.64999999997</v>
      </c>
      <c r="C1930" s="28" t="s">
        <v>44285</v>
      </c>
      <c r="D1930" s="71"/>
      <c r="E1930" s="131">
        <f>ROUNDUP(R1930,-1)</f>
        <v>353130</v>
      </c>
      <c r="F1930" s="21" t="s">
        <v>1248</v>
      </c>
      <c r="G1930" s="21">
        <f>+E1930*1.105</f>
        <v>390208.64999999997</v>
      </c>
      <c r="H1930" s="135">
        <f>ROUNDUP(T1930,-1)</f>
        <v>0</v>
      </c>
      <c r="I1930" s="294">
        <v>45274</v>
      </c>
      <c r="J1930" s="294"/>
      <c r="K1930" s="10">
        <f>0.6*405894</f>
        <v>243536.4</v>
      </c>
      <c r="L1930" s="11"/>
      <c r="M1930" s="11"/>
      <c r="N1930" s="100"/>
      <c r="O1930" s="11">
        <f>MIN(K1930:M1930)</f>
        <v>243536.4</v>
      </c>
      <c r="P1930" s="11">
        <f t="shared" si="533"/>
        <v>243536.4</v>
      </c>
      <c r="Q1930" s="11">
        <v>1.45</v>
      </c>
      <c r="R1930" s="11">
        <f t="shared" si="534"/>
        <v>353127.77999999997</v>
      </c>
      <c r="S1930" s="11"/>
      <c r="T1930" s="136">
        <f>+N1930*Q1930</f>
        <v>0</v>
      </c>
    </row>
    <row r="1931" spans="1:20" ht="15.75" customHeight="1">
      <c r="A1931" s="149">
        <v>21</v>
      </c>
      <c r="B1931" s="273"/>
      <c r="C1931" s="28" t="s">
        <v>44286</v>
      </c>
      <c r="D1931" s="71"/>
      <c r="E1931" s="131">
        <f>ROUNDUP(R1931,-1)</f>
        <v>296200</v>
      </c>
      <c r="F1931" s="21" t="s">
        <v>1248</v>
      </c>
      <c r="G1931" s="21">
        <f>+E1931*1.105</f>
        <v>327301</v>
      </c>
      <c r="H1931" s="135">
        <f>ROUNDUP(T1931,-1)</f>
        <v>0</v>
      </c>
      <c r="I1931" s="294">
        <v>45274</v>
      </c>
      <c r="J1931" s="294"/>
      <c r="K1931" s="10">
        <f>0.6*340449</f>
        <v>204269.4</v>
      </c>
      <c r="L1931" s="11"/>
      <c r="M1931" s="11"/>
      <c r="N1931" s="100"/>
      <c r="O1931" s="11">
        <f>MIN(K1931:M1931)</f>
        <v>204269.4</v>
      </c>
      <c r="P1931" s="11">
        <f t="shared" si="533"/>
        <v>204269.4</v>
      </c>
      <c r="Q1931" s="11">
        <v>1.45</v>
      </c>
      <c r="R1931" s="11">
        <f t="shared" si="534"/>
        <v>296190.63</v>
      </c>
      <c r="S1931" s="11"/>
      <c r="T1931" s="136">
        <f>+N1931*Q1931</f>
        <v>0</v>
      </c>
    </row>
    <row r="1932" spans="1:20" ht="15.75" customHeight="1">
      <c r="A1932" s="149">
        <v>76</v>
      </c>
      <c r="B1932" s="273"/>
      <c r="C1932" s="28" t="s">
        <v>3871</v>
      </c>
      <c r="D1932" s="71"/>
      <c r="E1932" s="131">
        <f>ROUNDUP(R1932,-1)</f>
        <v>61690</v>
      </c>
      <c r="F1932" s="21">
        <f t="shared" si="542"/>
        <v>74644.899999999994</v>
      </c>
      <c r="G1932" s="21"/>
      <c r="H1932" s="135">
        <f>ROUNDUP(T1932,-1)</f>
        <v>0</v>
      </c>
      <c r="I1932" s="294">
        <v>44930</v>
      </c>
      <c r="J1932" s="294">
        <v>45233</v>
      </c>
      <c r="K1932" s="11">
        <f>38270+K2195</f>
        <v>41125.160000000003</v>
      </c>
      <c r="L1932" s="172"/>
      <c r="M1932" s="10"/>
      <c r="N1932" s="100"/>
      <c r="O1932" s="11">
        <f>MIN(K1932:M1932)</f>
        <v>41125.160000000003</v>
      </c>
      <c r="P1932" s="11">
        <f t="shared" si="533"/>
        <v>41125.160000000003</v>
      </c>
      <c r="Q1932" s="11">
        <v>1.5</v>
      </c>
      <c r="R1932" s="11">
        <f t="shared" si="534"/>
        <v>61687.740000000005</v>
      </c>
      <c r="S1932" s="11"/>
      <c r="T1932" s="136">
        <f>+N1932*Q1932</f>
        <v>0</v>
      </c>
    </row>
    <row r="1933" spans="1:20" ht="15.75" customHeight="1">
      <c r="A1933" s="149" t="s">
        <v>2915</v>
      </c>
      <c r="B1933" s="273"/>
      <c r="C1933" s="28" t="s">
        <v>3814</v>
      </c>
      <c r="D1933" s="71"/>
      <c r="E1933" s="131">
        <f t="shared" si="541"/>
        <v>667910</v>
      </c>
      <c r="F1933" s="21">
        <f t="shared" si="542"/>
        <v>808171.1</v>
      </c>
      <c r="G1933" s="21"/>
      <c r="H1933" s="135">
        <f t="shared" si="537"/>
        <v>659920</v>
      </c>
      <c r="I1933" s="294">
        <v>44869</v>
      </c>
      <c r="J1933" s="294">
        <v>45349</v>
      </c>
      <c r="K1933" s="11">
        <f>+PROVEEDORES!$D$35*0.9*0.95*0.95*530</f>
        <v>460626.97499999992</v>
      </c>
      <c r="L1933" s="11"/>
      <c r="M1933" s="11">
        <f>235200*2</f>
        <v>470400</v>
      </c>
      <c r="N1933" s="11">
        <f>560313*0.9*0.95*0.95</f>
        <v>455114.23424999998</v>
      </c>
      <c r="O1933" s="11">
        <f t="shared" si="539"/>
        <v>460626.97499999992</v>
      </c>
      <c r="P1933" s="11">
        <f t="shared" si="533"/>
        <v>460626.97499999992</v>
      </c>
      <c r="Q1933" s="11">
        <v>1.45</v>
      </c>
      <c r="R1933" s="11">
        <f t="shared" si="534"/>
        <v>667909.1137499999</v>
      </c>
      <c r="S1933" s="11"/>
      <c r="T1933" s="136">
        <f t="shared" si="540"/>
        <v>659915.63966250001</v>
      </c>
    </row>
    <row r="1934" spans="1:20" ht="15.75" customHeight="1">
      <c r="A1934" s="149">
        <v>41</v>
      </c>
      <c r="B1934" s="273"/>
      <c r="C1934" s="28" t="s">
        <v>2824</v>
      </c>
      <c r="D1934" s="71"/>
      <c r="E1934" s="131">
        <f t="shared" si="541"/>
        <v>567100</v>
      </c>
      <c r="F1934" s="21" t="s">
        <v>1248</v>
      </c>
      <c r="G1934" s="21">
        <f>+E1934*1.105</f>
        <v>626645.5</v>
      </c>
      <c r="H1934" s="135">
        <f t="shared" si="537"/>
        <v>543400</v>
      </c>
      <c r="I1934" s="294">
        <v>44461</v>
      </c>
      <c r="J1934" s="294">
        <v>45349</v>
      </c>
      <c r="K1934" s="11">
        <f>+PROVEEDORES!$D$35*0.9*0.95*0.95*450</f>
        <v>391098.37499999994</v>
      </c>
      <c r="L1934" s="11"/>
      <c r="M1934" s="11"/>
      <c r="N1934" s="11">
        <f>461383*0.9*0.95*0.95</f>
        <v>374758.34174999996</v>
      </c>
      <c r="O1934" s="11">
        <f t="shared" si="539"/>
        <v>391098.37499999994</v>
      </c>
      <c r="P1934" s="11">
        <f t="shared" si="533"/>
        <v>391098.37499999994</v>
      </c>
      <c r="Q1934" s="11">
        <v>1.45</v>
      </c>
      <c r="R1934" s="11">
        <f t="shared" si="534"/>
        <v>567092.64374999993</v>
      </c>
      <c r="S1934" s="11"/>
      <c r="T1934" s="136">
        <f t="shared" si="540"/>
        <v>543399.59553749987</v>
      </c>
    </row>
    <row r="1935" spans="1:20" ht="15.75" customHeight="1">
      <c r="A1935" s="149" t="s">
        <v>2387</v>
      </c>
      <c r="B1935" s="273">
        <f>ROUNDUP(E1935*1.06,-1)</f>
        <v>161530</v>
      </c>
      <c r="C1935" s="28" t="s">
        <v>1770</v>
      </c>
      <c r="D1935" s="71">
        <v>4654</v>
      </c>
      <c r="E1935" s="131">
        <f t="shared" si="541"/>
        <v>152380</v>
      </c>
      <c r="F1935" s="21" t="s">
        <v>1248</v>
      </c>
      <c r="G1935" s="21">
        <f>+E1935*1.105</f>
        <v>168379.9</v>
      </c>
      <c r="H1935" s="135">
        <f t="shared" si="537"/>
        <v>0</v>
      </c>
      <c r="I1935" s="294">
        <v>45173</v>
      </c>
      <c r="J1935" s="294"/>
      <c r="K1935" s="10"/>
      <c r="L1935" s="11">
        <f>+'AUMENTOS %'!C15*112867</f>
        <v>112867</v>
      </c>
      <c r="M1935" s="11"/>
      <c r="N1935" s="100"/>
      <c r="O1935" s="11">
        <f t="shared" si="539"/>
        <v>112867</v>
      </c>
      <c r="P1935" s="11">
        <f t="shared" si="533"/>
        <v>112867</v>
      </c>
      <c r="Q1935" s="11">
        <v>1.35</v>
      </c>
      <c r="R1935" s="11">
        <f t="shared" si="534"/>
        <v>152370.45000000001</v>
      </c>
      <c r="S1935" s="11"/>
      <c r="T1935" s="136">
        <f t="shared" si="540"/>
        <v>0</v>
      </c>
    </row>
    <row r="1936" spans="1:20" ht="15.75" customHeight="1">
      <c r="A1936" s="149">
        <v>38</v>
      </c>
      <c r="B1936" s="273">
        <f>ROUNDUP(E1936*1.06,-1)</f>
        <v>137360</v>
      </c>
      <c r="C1936" s="28" t="s">
        <v>3414</v>
      </c>
      <c r="D1936" s="71"/>
      <c r="E1936" s="131">
        <f t="shared" si="541"/>
        <v>129580</v>
      </c>
      <c r="F1936" s="21" t="s">
        <v>1248</v>
      </c>
      <c r="G1936" s="21">
        <f>+E1936*1.105</f>
        <v>143185.9</v>
      </c>
      <c r="H1936" s="135">
        <f t="shared" si="537"/>
        <v>0</v>
      </c>
      <c r="I1936" s="294">
        <v>45138</v>
      </c>
      <c r="J1936" s="294"/>
      <c r="K1936" s="10">
        <f>+PROVEEDORES!D32*91.41</f>
        <v>95980.5</v>
      </c>
      <c r="L1936" s="11"/>
      <c r="M1936" s="11"/>
      <c r="N1936" s="10"/>
      <c r="O1936" s="11">
        <f t="shared" si="539"/>
        <v>95980.5</v>
      </c>
      <c r="P1936" s="11">
        <f t="shared" si="533"/>
        <v>95980.5</v>
      </c>
      <c r="Q1936" s="11">
        <v>1.35</v>
      </c>
      <c r="R1936" s="11">
        <f t="shared" si="534"/>
        <v>129573.675</v>
      </c>
      <c r="S1936" s="11"/>
      <c r="T1936" s="136">
        <f t="shared" si="540"/>
        <v>0</v>
      </c>
    </row>
    <row r="1937" spans="1:20" ht="15.75" customHeight="1">
      <c r="A1937" s="149">
        <v>52</v>
      </c>
      <c r="B1937" s="273">
        <f>ROUNDUP(E1937*1.06,-1)</f>
        <v>86790</v>
      </c>
      <c r="C1937" s="28" t="s">
        <v>4501</v>
      </c>
      <c r="D1937" s="71"/>
      <c r="E1937" s="131">
        <f t="shared" si="541"/>
        <v>81870</v>
      </c>
      <c r="F1937" s="21" t="s">
        <v>1248</v>
      </c>
      <c r="G1937" s="21">
        <f>+E1937*1.105</f>
        <v>90466.35</v>
      </c>
      <c r="H1937" s="135">
        <f t="shared" si="537"/>
        <v>0</v>
      </c>
      <c r="I1937" s="294"/>
      <c r="J1937" s="294">
        <v>45195</v>
      </c>
      <c r="K1937" s="10">
        <f>+PROVEEDORES!D46*0.75*77</f>
        <v>60637.5</v>
      </c>
      <c r="L1937" s="11"/>
      <c r="M1937" s="11"/>
      <c r="N1937" s="100"/>
      <c r="O1937" s="11">
        <f t="shared" si="539"/>
        <v>60637.5</v>
      </c>
      <c r="P1937" s="11">
        <f t="shared" si="533"/>
        <v>60637.5</v>
      </c>
      <c r="Q1937" s="11">
        <v>1.35</v>
      </c>
      <c r="R1937" s="11">
        <f t="shared" si="534"/>
        <v>81860.625</v>
      </c>
      <c r="S1937" s="11"/>
      <c r="T1937" s="136">
        <f t="shared" si="540"/>
        <v>0</v>
      </c>
    </row>
    <row r="1938" spans="1:20" ht="15.75" customHeight="1">
      <c r="A1938" s="149">
        <v>52</v>
      </c>
      <c r="B1938" s="273"/>
      <c r="C1938" s="28" t="s">
        <v>4500</v>
      </c>
      <c r="D1938" s="71"/>
      <c r="E1938" s="131">
        <f t="shared" si="541"/>
        <v>135890</v>
      </c>
      <c r="F1938" s="21" t="s">
        <v>1248</v>
      </c>
      <c r="G1938" s="21">
        <f>+E1938*1.105</f>
        <v>150158.45000000001</v>
      </c>
      <c r="H1938" s="135">
        <f t="shared" si="537"/>
        <v>0</v>
      </c>
      <c r="I1938" s="294"/>
      <c r="J1938" s="294">
        <v>45323</v>
      </c>
      <c r="K1938" s="10">
        <f>+PROVEEDORES!D46*0.75*119</f>
        <v>93712.5</v>
      </c>
      <c r="L1938" s="11"/>
      <c r="M1938" s="11"/>
      <c r="N1938" s="100"/>
      <c r="O1938" s="11">
        <f t="shared" si="539"/>
        <v>93712.5</v>
      </c>
      <c r="P1938" s="11">
        <f t="shared" si="533"/>
        <v>93712.5</v>
      </c>
      <c r="Q1938" s="11">
        <v>1.45</v>
      </c>
      <c r="R1938" s="11">
        <f t="shared" si="534"/>
        <v>135883.125</v>
      </c>
      <c r="S1938" s="11"/>
      <c r="T1938" s="136">
        <f t="shared" si="540"/>
        <v>0</v>
      </c>
    </row>
    <row r="1939" spans="1:20" ht="15.75" customHeight="1">
      <c r="A1939" s="149">
        <v>18</v>
      </c>
      <c r="B1939" s="273">
        <f>ROUNDUP(E1939*1.105,-1)</f>
        <v>11310</v>
      </c>
      <c r="C1939" s="28" t="s">
        <v>62656</v>
      </c>
      <c r="D1939" s="71">
        <v>17590</v>
      </c>
      <c r="E1939" s="131">
        <f t="shared" ref="E1939" si="543">ROUNDUP(R1939,-1)</f>
        <v>10230</v>
      </c>
      <c r="F1939" s="21">
        <f t="shared" ref="F1939" si="544">+E1939*1.21</f>
        <v>12378.3</v>
      </c>
      <c r="G1939" s="21"/>
      <c r="H1939" s="135">
        <f t="shared" ref="H1939" si="545">ROUNDUP(T1939,-1)</f>
        <v>0</v>
      </c>
      <c r="I1939" s="294">
        <v>45364</v>
      </c>
      <c r="J1939" s="294"/>
      <c r="K1939" s="10">
        <v>6817</v>
      </c>
      <c r="L1939" s="11"/>
      <c r="M1939" s="11"/>
      <c r="N1939" s="100"/>
      <c r="O1939" s="11">
        <f>MIN(K1939:M1939)*'AUMENTOS %'!$B$10</f>
        <v>6817</v>
      </c>
      <c r="P1939" s="11">
        <f t="shared" ref="P1939" si="546">+O1939</f>
        <v>6817</v>
      </c>
      <c r="Q1939" s="11">
        <v>1.5</v>
      </c>
      <c r="R1939" s="11">
        <f t="shared" ref="R1939" si="547">+P1939*Q1939</f>
        <v>10225.5</v>
      </c>
      <c r="S1939" s="11"/>
      <c r="T1939" s="136">
        <f t="shared" ref="T1939" si="548">+N1939*Q1939</f>
        <v>0</v>
      </c>
    </row>
    <row r="1940" spans="1:20" ht="15.75" customHeight="1">
      <c r="A1940" s="149"/>
      <c r="B1940" s="273"/>
      <c r="C1940" s="28" t="s">
        <v>1771</v>
      </c>
      <c r="D1940" s="71">
        <v>660</v>
      </c>
      <c r="E1940" s="131">
        <f t="shared" si="541"/>
        <v>0</v>
      </c>
      <c r="F1940" s="21">
        <f t="shared" ref="F1940:F1945" si="549">+E1940*1.21</f>
        <v>0</v>
      </c>
      <c r="G1940" s="21"/>
      <c r="H1940" s="135">
        <f t="shared" si="537"/>
        <v>0</v>
      </c>
      <c r="I1940" s="294"/>
      <c r="J1940" s="294">
        <v>42976</v>
      </c>
      <c r="K1940" s="10">
        <f>875*0.5*1.5</f>
        <v>656.25</v>
      </c>
      <c r="L1940" s="11"/>
      <c r="M1940" s="11"/>
      <c r="N1940" s="100"/>
      <c r="O1940" s="11">
        <f t="shared" si="539"/>
        <v>656.25</v>
      </c>
      <c r="P1940" s="11">
        <f t="shared" si="533"/>
        <v>656.25</v>
      </c>
      <c r="Q1940" s="11"/>
      <c r="R1940" s="11">
        <f t="shared" si="534"/>
        <v>0</v>
      </c>
      <c r="S1940" s="11"/>
      <c r="T1940" s="136">
        <f t="shared" si="540"/>
        <v>0</v>
      </c>
    </row>
    <row r="1941" spans="1:20" ht="15.75" customHeight="1">
      <c r="A1941" s="149">
        <v>38</v>
      </c>
      <c r="B1941" s="273">
        <f>ROUNDUP(E1941*1.105,-1)</f>
        <v>78100</v>
      </c>
      <c r="C1941" s="28" t="s">
        <v>1772</v>
      </c>
      <c r="D1941" s="71">
        <v>17590</v>
      </c>
      <c r="E1941" s="131">
        <f t="shared" si="541"/>
        <v>70670</v>
      </c>
      <c r="F1941" s="21">
        <f t="shared" si="549"/>
        <v>85510.7</v>
      </c>
      <c r="G1941" s="21"/>
      <c r="H1941" s="135">
        <f t="shared" si="537"/>
        <v>0</v>
      </c>
      <c r="I1941" s="294">
        <v>45138</v>
      </c>
      <c r="J1941" s="294"/>
      <c r="K1941" s="10">
        <f>+'AUMENTOS %'!B10*52342</f>
        <v>52342</v>
      </c>
      <c r="L1941" s="11"/>
      <c r="M1941" s="11"/>
      <c r="N1941" s="100"/>
      <c r="O1941" s="11">
        <f>MIN(K1941:M1941)*'AUMENTOS %'!$B$10</f>
        <v>52342</v>
      </c>
      <c r="P1941" s="11">
        <f t="shared" si="533"/>
        <v>52342</v>
      </c>
      <c r="Q1941" s="11">
        <v>1.35</v>
      </c>
      <c r="R1941" s="11">
        <f t="shared" si="534"/>
        <v>70661.700000000012</v>
      </c>
      <c r="S1941" s="11"/>
      <c r="T1941" s="136">
        <f t="shared" si="540"/>
        <v>0</v>
      </c>
    </row>
    <row r="1942" spans="1:20" ht="15.75" customHeight="1">
      <c r="A1942" s="149"/>
      <c r="B1942" s="273"/>
      <c r="C1942" s="28" t="s">
        <v>1773</v>
      </c>
      <c r="D1942" s="71">
        <v>2140</v>
      </c>
      <c r="E1942" s="131">
        <f t="shared" si="541"/>
        <v>0</v>
      </c>
      <c r="F1942" s="21">
        <f t="shared" si="549"/>
        <v>0</v>
      </c>
      <c r="G1942" s="21"/>
      <c r="H1942" s="135">
        <f t="shared" si="537"/>
        <v>0</v>
      </c>
      <c r="I1942" s="294"/>
      <c r="J1942" s="294">
        <v>42955</v>
      </c>
      <c r="K1942" s="10">
        <f>1336*1.6</f>
        <v>2137.6</v>
      </c>
      <c r="L1942" s="11"/>
      <c r="M1942" s="11"/>
      <c r="N1942" s="100"/>
      <c r="O1942" s="11">
        <f t="shared" si="539"/>
        <v>2137.6</v>
      </c>
      <c r="P1942" s="11">
        <f t="shared" si="533"/>
        <v>2137.6</v>
      </c>
      <c r="Q1942" s="11"/>
      <c r="R1942" s="11">
        <f t="shared" si="534"/>
        <v>0</v>
      </c>
      <c r="S1942" s="11"/>
      <c r="T1942" s="136">
        <f t="shared" si="540"/>
        <v>0</v>
      </c>
    </row>
    <row r="1943" spans="1:20" ht="15.75" customHeight="1">
      <c r="A1943" s="149">
        <v>44</v>
      </c>
      <c r="B1943" s="273"/>
      <c r="C1943" s="28" t="s">
        <v>1774</v>
      </c>
      <c r="D1943" s="71">
        <v>9670</v>
      </c>
      <c r="E1943" s="140">
        <f t="shared" si="541"/>
        <v>105280</v>
      </c>
      <c r="F1943" s="21">
        <f t="shared" si="549"/>
        <v>127388.8</v>
      </c>
      <c r="G1943" s="21"/>
      <c r="H1943" s="135">
        <f t="shared" si="537"/>
        <v>0</v>
      </c>
      <c r="I1943" s="294">
        <v>45254</v>
      </c>
      <c r="J1943" s="294"/>
      <c r="K1943" s="10">
        <f>+PROVEEDORES!$D$38*79.3</f>
        <v>70180.5</v>
      </c>
      <c r="L1943" s="11"/>
      <c r="M1943" s="11"/>
      <c r="N1943" s="100"/>
      <c r="O1943" s="11">
        <f t="shared" si="539"/>
        <v>70180.5</v>
      </c>
      <c r="P1943" s="11">
        <f t="shared" si="533"/>
        <v>70180.5</v>
      </c>
      <c r="Q1943" s="11">
        <v>1.5</v>
      </c>
      <c r="R1943" s="11">
        <f t="shared" si="534"/>
        <v>105270.75</v>
      </c>
      <c r="S1943" s="11"/>
      <c r="T1943" s="136">
        <f t="shared" si="540"/>
        <v>0</v>
      </c>
    </row>
    <row r="1944" spans="1:20" ht="15.75" customHeight="1">
      <c r="A1944" s="149">
        <v>21</v>
      </c>
      <c r="B1944" s="273"/>
      <c r="C1944" s="28" t="s">
        <v>1776</v>
      </c>
      <c r="D1944" s="71">
        <v>60</v>
      </c>
      <c r="E1944" s="131">
        <f t="shared" si="541"/>
        <v>0</v>
      </c>
      <c r="F1944" s="21">
        <f t="shared" si="549"/>
        <v>0</v>
      </c>
      <c r="G1944" s="21"/>
      <c r="H1944" s="135">
        <f t="shared" si="537"/>
        <v>0</v>
      </c>
      <c r="I1944" s="294">
        <v>45153</v>
      </c>
      <c r="J1944" s="294">
        <v>45170</v>
      </c>
      <c r="K1944" s="10"/>
      <c r="L1944" s="11"/>
      <c r="M1944" s="11"/>
      <c r="N1944" s="100"/>
      <c r="O1944" s="11">
        <f t="shared" si="539"/>
        <v>0</v>
      </c>
      <c r="P1944" s="11">
        <f t="shared" si="533"/>
        <v>0</v>
      </c>
      <c r="Q1944" s="11"/>
      <c r="R1944" s="11">
        <f t="shared" si="534"/>
        <v>0</v>
      </c>
      <c r="S1944" s="11"/>
      <c r="T1944" s="136">
        <f t="shared" si="540"/>
        <v>0</v>
      </c>
    </row>
    <row r="1945" spans="1:20" ht="15.75" customHeight="1">
      <c r="A1945" s="149">
        <v>21</v>
      </c>
      <c r="B1945" s="273"/>
      <c r="C1945" s="28" t="s">
        <v>1775</v>
      </c>
      <c r="D1945" s="165">
        <v>95</v>
      </c>
      <c r="E1945" s="131">
        <f>ROUNDUP(R1945,-1)</f>
        <v>0</v>
      </c>
      <c r="F1945" s="21">
        <f t="shared" si="549"/>
        <v>0</v>
      </c>
      <c r="G1945" s="21"/>
      <c r="H1945" s="135">
        <f>ROUNDUP(T1945,-1)</f>
        <v>0</v>
      </c>
      <c r="I1945" s="294">
        <v>45153</v>
      </c>
      <c r="J1945" s="294">
        <v>45170</v>
      </c>
      <c r="K1945" s="10"/>
      <c r="L1945" s="11"/>
      <c r="M1945" s="11"/>
      <c r="N1945" s="100"/>
      <c r="O1945" s="11">
        <f>MIN(K1945:M1945)</f>
        <v>0</v>
      </c>
      <c r="P1945" s="11">
        <f t="shared" si="533"/>
        <v>0</v>
      </c>
      <c r="Q1945" s="11"/>
      <c r="R1945" s="11">
        <f t="shared" si="534"/>
        <v>0</v>
      </c>
      <c r="S1945" s="11"/>
      <c r="T1945" s="136">
        <f>+N1945*Q1945</f>
        <v>0</v>
      </c>
    </row>
    <row r="1946" spans="1:20" ht="15.75" customHeight="1">
      <c r="A1946" s="149">
        <v>33</v>
      </c>
      <c r="B1946" s="273"/>
      <c r="C1946" s="28" t="s">
        <v>3657</v>
      </c>
      <c r="D1946" s="165"/>
      <c r="E1946" s="131">
        <f t="shared" si="541"/>
        <v>2610</v>
      </c>
      <c r="F1946" s="21" t="s">
        <v>1248</v>
      </c>
      <c r="G1946" s="21">
        <f t="shared" ref="G1946:G1998" si="550">+E1946*1.105</f>
        <v>2884.0499999999997</v>
      </c>
      <c r="H1946" s="135">
        <f t="shared" si="537"/>
        <v>0</v>
      </c>
      <c r="I1946" s="294"/>
      <c r="J1946" s="294">
        <v>44609</v>
      </c>
      <c r="K1946" s="10">
        <f>814*2</f>
        <v>1628</v>
      </c>
      <c r="L1946" s="30"/>
      <c r="M1946" s="11"/>
      <c r="N1946" s="100"/>
      <c r="O1946" s="11">
        <f t="shared" si="539"/>
        <v>1628</v>
      </c>
      <c r="P1946" s="11">
        <f t="shared" ref="P1946:P2013" si="551">+O1946</f>
        <v>1628</v>
      </c>
      <c r="Q1946" s="11">
        <v>1.6</v>
      </c>
      <c r="R1946" s="11">
        <f t="shared" ref="R1946:R2013" si="552">+P1946*Q1946</f>
        <v>2604.8000000000002</v>
      </c>
      <c r="S1946" s="11"/>
      <c r="T1946" s="136">
        <f t="shared" si="540"/>
        <v>0</v>
      </c>
    </row>
    <row r="1947" spans="1:20" ht="15.75" customHeight="1">
      <c r="A1947" s="149">
        <v>12</v>
      </c>
      <c r="B1947" s="273"/>
      <c r="C1947" s="28" t="s">
        <v>3999</v>
      </c>
      <c r="D1947" s="165"/>
      <c r="E1947" s="131">
        <f>ROUNDUP(R1947,-1)</f>
        <v>9650</v>
      </c>
      <c r="F1947" s="21" t="s">
        <v>1248</v>
      </c>
      <c r="G1947" s="21">
        <f>+E1947*1.105</f>
        <v>10663.25</v>
      </c>
      <c r="H1947" s="135">
        <f>ROUNDUP(T1947,-1)</f>
        <v>0</v>
      </c>
      <c r="I1947" s="294">
        <v>45274</v>
      </c>
      <c r="J1947" s="294">
        <v>45338</v>
      </c>
      <c r="K1947" s="10">
        <v>6027</v>
      </c>
      <c r="L1947" s="30"/>
      <c r="M1947" s="11"/>
      <c r="N1947" s="100"/>
      <c r="O1947" s="11">
        <f>MIN(K1947:M1947)</f>
        <v>6027</v>
      </c>
      <c r="P1947" s="11">
        <f t="shared" si="551"/>
        <v>6027</v>
      </c>
      <c r="Q1947" s="11">
        <v>1.6</v>
      </c>
      <c r="R1947" s="11">
        <f t="shared" si="552"/>
        <v>9643.2000000000007</v>
      </c>
      <c r="S1947" s="11"/>
      <c r="T1947" s="136">
        <f>+N1947*Q1947</f>
        <v>0</v>
      </c>
    </row>
    <row r="1948" spans="1:20" ht="15.75" customHeight="1">
      <c r="A1948" s="149">
        <v>12</v>
      </c>
      <c r="B1948" s="273"/>
      <c r="C1948" s="28" t="s">
        <v>4000</v>
      </c>
      <c r="D1948" s="165"/>
      <c r="E1948" s="131">
        <f t="shared" si="541"/>
        <v>37420</v>
      </c>
      <c r="F1948" s="21" t="s">
        <v>1248</v>
      </c>
      <c r="G1948" s="21">
        <f t="shared" si="550"/>
        <v>41349.1</v>
      </c>
      <c r="H1948" s="135">
        <f t="shared" si="537"/>
        <v>0</v>
      </c>
      <c r="I1948" s="294">
        <v>45274</v>
      </c>
      <c r="J1948" s="294">
        <v>45338</v>
      </c>
      <c r="K1948" s="10">
        <v>23387</v>
      </c>
      <c r="L1948" s="30"/>
      <c r="M1948" s="11"/>
      <c r="N1948" s="100"/>
      <c r="O1948" s="11">
        <f t="shared" si="539"/>
        <v>23387</v>
      </c>
      <c r="P1948" s="11">
        <f t="shared" si="551"/>
        <v>23387</v>
      </c>
      <c r="Q1948" s="11">
        <v>1.6</v>
      </c>
      <c r="R1948" s="11">
        <f t="shared" si="552"/>
        <v>37419.200000000004</v>
      </c>
      <c r="S1948" s="11"/>
      <c r="T1948" s="136">
        <f t="shared" si="540"/>
        <v>0</v>
      </c>
    </row>
    <row r="1949" spans="1:20" ht="15.75" customHeight="1">
      <c r="A1949" s="149">
        <v>12</v>
      </c>
      <c r="B1949" s="273"/>
      <c r="C1949" s="28" t="s">
        <v>4001</v>
      </c>
      <c r="D1949" s="165"/>
      <c r="E1949" s="131">
        <f t="shared" si="541"/>
        <v>44740</v>
      </c>
      <c r="F1949" s="21" t="s">
        <v>1248</v>
      </c>
      <c r="G1949" s="21">
        <f t="shared" si="550"/>
        <v>49437.7</v>
      </c>
      <c r="H1949" s="135">
        <f t="shared" si="537"/>
        <v>0</v>
      </c>
      <c r="I1949" s="294">
        <v>45274</v>
      </c>
      <c r="J1949" s="294">
        <v>45338</v>
      </c>
      <c r="K1949" s="10">
        <v>27960</v>
      </c>
      <c r="L1949" s="30"/>
      <c r="M1949" s="11"/>
      <c r="N1949" s="100"/>
      <c r="O1949" s="11">
        <f t="shared" si="539"/>
        <v>27960</v>
      </c>
      <c r="P1949" s="11">
        <f t="shared" si="551"/>
        <v>27960</v>
      </c>
      <c r="Q1949" s="11">
        <v>1.6</v>
      </c>
      <c r="R1949" s="11">
        <f t="shared" si="552"/>
        <v>44736</v>
      </c>
      <c r="S1949" s="11"/>
      <c r="T1949" s="136">
        <f t="shared" si="540"/>
        <v>0</v>
      </c>
    </row>
    <row r="1950" spans="1:20" ht="15.75" customHeight="1">
      <c r="A1950" s="149">
        <v>12</v>
      </c>
      <c r="B1950" s="273"/>
      <c r="C1950" s="28" t="s">
        <v>4002</v>
      </c>
      <c r="D1950" s="165"/>
      <c r="E1950" s="131">
        <f t="shared" si="541"/>
        <v>49080</v>
      </c>
      <c r="F1950" s="21" t="s">
        <v>1248</v>
      </c>
      <c r="G1950" s="21">
        <f t="shared" si="550"/>
        <v>54233.4</v>
      </c>
      <c r="H1950" s="135">
        <f t="shared" si="537"/>
        <v>0</v>
      </c>
      <c r="I1950" s="294">
        <v>45274</v>
      </c>
      <c r="J1950" s="294">
        <v>45338</v>
      </c>
      <c r="K1950" s="10">
        <v>30672</v>
      </c>
      <c r="L1950" s="30"/>
      <c r="M1950" s="11"/>
      <c r="N1950" s="100"/>
      <c r="O1950" s="11">
        <f t="shared" si="539"/>
        <v>30672</v>
      </c>
      <c r="P1950" s="11">
        <f t="shared" si="551"/>
        <v>30672</v>
      </c>
      <c r="Q1950" s="11">
        <v>1.6</v>
      </c>
      <c r="R1950" s="11">
        <f t="shared" si="552"/>
        <v>49075.200000000004</v>
      </c>
      <c r="S1950" s="11"/>
      <c r="T1950" s="136">
        <f t="shared" si="540"/>
        <v>0</v>
      </c>
    </row>
    <row r="1951" spans="1:20" ht="15.75" customHeight="1">
      <c r="A1951" s="149" t="s">
        <v>2417</v>
      </c>
      <c r="B1951" s="273"/>
      <c r="C1951" s="28" t="s">
        <v>1789</v>
      </c>
      <c r="D1951" s="165">
        <v>1400</v>
      </c>
      <c r="E1951" s="131">
        <f t="shared" si="541"/>
        <v>0</v>
      </c>
      <c r="F1951" s="21" t="s">
        <v>1248</v>
      </c>
      <c r="G1951" s="21">
        <f t="shared" si="550"/>
        <v>0</v>
      </c>
      <c r="H1951" s="135">
        <f t="shared" si="537"/>
        <v>0</v>
      </c>
      <c r="I1951" s="294"/>
      <c r="J1951" s="294">
        <v>43893</v>
      </c>
      <c r="K1951" s="10">
        <f>+PROVEEDORES!$D$6*15.5</f>
        <v>13872.5</v>
      </c>
      <c r="L1951" s="30"/>
      <c r="M1951" s="11"/>
      <c r="N1951" s="100"/>
      <c r="O1951" s="11">
        <f t="shared" si="539"/>
        <v>13872.5</v>
      </c>
      <c r="P1951" s="11">
        <f t="shared" si="551"/>
        <v>13872.5</v>
      </c>
      <c r="Q1951" s="11"/>
      <c r="R1951" s="11">
        <f t="shared" si="552"/>
        <v>0</v>
      </c>
      <c r="S1951" s="11"/>
      <c r="T1951" s="136">
        <f t="shared" si="540"/>
        <v>0</v>
      </c>
    </row>
    <row r="1952" spans="1:20" ht="15.75" customHeight="1">
      <c r="A1952" s="149" t="s">
        <v>2417</v>
      </c>
      <c r="B1952" s="273"/>
      <c r="C1952" s="28" t="s">
        <v>1792</v>
      </c>
      <c r="D1952" s="165">
        <v>1880</v>
      </c>
      <c r="E1952" s="131">
        <f t="shared" si="541"/>
        <v>29900</v>
      </c>
      <c r="F1952" s="21"/>
      <c r="G1952" s="21">
        <f t="shared" si="550"/>
        <v>33039.5</v>
      </c>
      <c r="H1952" s="135">
        <f t="shared" si="537"/>
        <v>0</v>
      </c>
      <c r="I1952" s="294">
        <v>45274</v>
      </c>
      <c r="J1952" s="294"/>
      <c r="K1952" s="10">
        <v>19927</v>
      </c>
      <c r="L1952" s="30"/>
      <c r="M1952" s="99"/>
      <c r="N1952" s="100"/>
      <c r="O1952" s="11">
        <f t="shared" si="539"/>
        <v>19927</v>
      </c>
      <c r="P1952" s="11">
        <f t="shared" si="551"/>
        <v>19927</v>
      </c>
      <c r="Q1952" s="11">
        <v>1.5</v>
      </c>
      <c r="R1952" s="11">
        <f t="shared" si="552"/>
        <v>29890.5</v>
      </c>
      <c r="S1952" s="11"/>
      <c r="T1952" s="136">
        <f t="shared" si="540"/>
        <v>0</v>
      </c>
    </row>
    <row r="1953" spans="1:20" ht="15.75" customHeight="1">
      <c r="A1953" s="149" t="s">
        <v>2417</v>
      </c>
      <c r="B1953" s="273"/>
      <c r="C1953" s="28" t="s">
        <v>1795</v>
      </c>
      <c r="D1953" s="165">
        <v>1000</v>
      </c>
      <c r="E1953" s="131">
        <f t="shared" si="541"/>
        <v>0</v>
      </c>
      <c r="F1953" s="21" t="s">
        <v>1248</v>
      </c>
      <c r="G1953" s="21">
        <f t="shared" si="550"/>
        <v>0</v>
      </c>
      <c r="H1953" s="135">
        <f t="shared" si="537"/>
        <v>0</v>
      </c>
      <c r="I1953" s="294"/>
      <c r="J1953" s="294">
        <v>44519</v>
      </c>
      <c r="K1953" s="30"/>
      <c r="L1953" s="30"/>
      <c r="M1953" s="11"/>
      <c r="N1953" s="100"/>
      <c r="O1953" s="11">
        <f t="shared" si="539"/>
        <v>0</v>
      </c>
      <c r="P1953" s="11">
        <f t="shared" si="551"/>
        <v>0</v>
      </c>
      <c r="Q1953" s="11"/>
      <c r="R1953" s="11">
        <f t="shared" si="552"/>
        <v>0</v>
      </c>
      <c r="S1953" s="11"/>
      <c r="T1953" s="136">
        <f t="shared" si="540"/>
        <v>0</v>
      </c>
    </row>
    <row r="1954" spans="1:20" ht="15.75" customHeight="1">
      <c r="A1954" s="149" t="s">
        <v>2417</v>
      </c>
      <c r="B1954" s="273"/>
      <c r="C1954" s="28" t="s">
        <v>1790</v>
      </c>
      <c r="D1954" s="165">
        <v>1540</v>
      </c>
      <c r="E1954" s="131">
        <f t="shared" si="541"/>
        <v>37130</v>
      </c>
      <c r="F1954" s="21" t="s">
        <v>1248</v>
      </c>
      <c r="G1954" s="21">
        <f t="shared" si="550"/>
        <v>41028.65</v>
      </c>
      <c r="H1954" s="135">
        <f t="shared" si="537"/>
        <v>0</v>
      </c>
      <c r="I1954" s="294">
        <v>45108</v>
      </c>
      <c r="J1954" s="294">
        <v>45274</v>
      </c>
      <c r="K1954" s="10">
        <f>+PROVEEDORES!$D$6*23*2</f>
        <v>41170</v>
      </c>
      <c r="L1954" s="30"/>
      <c r="M1954" s="11">
        <f>+PROVEEDORES!$D$32*23.57</f>
        <v>24748.5</v>
      </c>
      <c r="N1954" s="100"/>
      <c r="O1954" s="11">
        <f t="shared" si="539"/>
        <v>24748.5</v>
      </c>
      <c r="P1954" s="11">
        <f t="shared" si="551"/>
        <v>24748.5</v>
      </c>
      <c r="Q1954" s="11">
        <v>1.5</v>
      </c>
      <c r="R1954" s="11">
        <f t="shared" si="552"/>
        <v>37122.75</v>
      </c>
      <c r="S1954" s="11"/>
      <c r="T1954" s="136">
        <f t="shared" si="540"/>
        <v>0</v>
      </c>
    </row>
    <row r="1955" spans="1:20" ht="15.75" customHeight="1">
      <c r="A1955" s="149" t="s">
        <v>2417</v>
      </c>
      <c r="B1955" s="273"/>
      <c r="C1955" s="28" t="s">
        <v>1793</v>
      </c>
      <c r="D1955" s="165">
        <v>2030</v>
      </c>
      <c r="E1955" s="131">
        <f t="shared" si="541"/>
        <v>32700</v>
      </c>
      <c r="F1955" s="21" t="s">
        <v>1248</v>
      </c>
      <c r="G1955" s="21">
        <f t="shared" si="550"/>
        <v>36133.5</v>
      </c>
      <c r="H1955" s="135">
        <f t="shared" si="537"/>
        <v>0</v>
      </c>
      <c r="I1955" s="294">
        <v>45274</v>
      </c>
      <c r="J1955" s="294"/>
      <c r="K1955" s="10">
        <v>21795</v>
      </c>
      <c r="L1955" s="30"/>
      <c r="M1955" s="99"/>
      <c r="N1955" s="100"/>
      <c r="O1955" s="11">
        <f t="shared" si="539"/>
        <v>21795</v>
      </c>
      <c r="P1955" s="11">
        <f t="shared" si="551"/>
        <v>21795</v>
      </c>
      <c r="Q1955" s="11">
        <v>1.5</v>
      </c>
      <c r="R1955" s="11">
        <f t="shared" si="552"/>
        <v>32692.5</v>
      </c>
      <c r="S1955" s="11"/>
      <c r="T1955" s="136">
        <f t="shared" si="540"/>
        <v>0</v>
      </c>
    </row>
    <row r="1956" spans="1:20" ht="15.75" customHeight="1">
      <c r="A1956" s="149" t="s">
        <v>2417</v>
      </c>
      <c r="B1956" s="273"/>
      <c r="C1956" s="28" t="s">
        <v>1791</v>
      </c>
      <c r="D1956" s="165">
        <v>1670</v>
      </c>
      <c r="E1956" s="131">
        <f t="shared" si="541"/>
        <v>40530</v>
      </c>
      <c r="F1956" s="21" t="s">
        <v>1248</v>
      </c>
      <c r="G1956" s="21">
        <f t="shared" si="550"/>
        <v>44785.65</v>
      </c>
      <c r="H1956" s="135">
        <f t="shared" si="537"/>
        <v>0</v>
      </c>
      <c r="I1956" s="294">
        <v>45108</v>
      </c>
      <c r="J1956" s="294">
        <v>45274</v>
      </c>
      <c r="K1956" s="10">
        <f>+PROVEEDORES!$D$6*27*2</f>
        <v>48330</v>
      </c>
      <c r="L1956" s="30"/>
      <c r="M1956" s="11">
        <f>+PROVEEDORES!$D$32*25.73</f>
        <v>27016.5</v>
      </c>
      <c r="N1956" s="100"/>
      <c r="O1956" s="11">
        <f t="shared" si="539"/>
        <v>27016.5</v>
      </c>
      <c r="P1956" s="11">
        <f t="shared" si="551"/>
        <v>27016.5</v>
      </c>
      <c r="Q1956" s="11">
        <v>1.5</v>
      </c>
      <c r="R1956" s="11">
        <f t="shared" si="552"/>
        <v>40524.75</v>
      </c>
      <c r="S1956" s="11"/>
      <c r="T1956" s="136">
        <f t="shared" si="540"/>
        <v>0</v>
      </c>
    </row>
    <row r="1957" spans="1:20" ht="15.75" customHeight="1">
      <c r="A1957" s="149" t="s">
        <v>2417</v>
      </c>
      <c r="B1957" s="273"/>
      <c r="C1957" s="28" t="s">
        <v>1794</v>
      </c>
      <c r="D1957" s="165">
        <v>2170</v>
      </c>
      <c r="E1957" s="131">
        <f t="shared" si="541"/>
        <v>34570</v>
      </c>
      <c r="F1957" s="21" t="s">
        <v>1248</v>
      </c>
      <c r="G1957" s="21">
        <f t="shared" si="550"/>
        <v>38199.85</v>
      </c>
      <c r="H1957" s="135">
        <f t="shared" si="537"/>
        <v>0</v>
      </c>
      <c r="I1957" s="294">
        <v>45274</v>
      </c>
      <c r="J1957" s="294"/>
      <c r="K1957" s="10">
        <v>23041</v>
      </c>
      <c r="L1957" s="32">
        <f>+PROVEEDORES!D18*0.5*76</f>
        <v>40280</v>
      </c>
      <c r="M1957" s="99"/>
      <c r="N1957" s="100"/>
      <c r="O1957" s="11">
        <f t="shared" si="539"/>
        <v>23041</v>
      </c>
      <c r="P1957" s="11">
        <f t="shared" si="551"/>
        <v>23041</v>
      </c>
      <c r="Q1957" s="11">
        <v>1.5</v>
      </c>
      <c r="R1957" s="11">
        <f t="shared" si="552"/>
        <v>34561.5</v>
      </c>
      <c r="S1957" s="11"/>
      <c r="T1957" s="136">
        <f t="shared" ref="T1957:T1992" si="553">+N1957*Q1957</f>
        <v>0</v>
      </c>
    </row>
    <row r="1958" spans="1:20" ht="15.75" customHeight="1">
      <c r="A1958" s="149">
        <v>38</v>
      </c>
      <c r="B1958" s="273"/>
      <c r="C1958" s="28" t="s">
        <v>4237</v>
      </c>
      <c r="D1958" s="165">
        <v>2170</v>
      </c>
      <c r="E1958" s="131">
        <f>ROUNDUP(R1958,-1)</f>
        <v>100950</v>
      </c>
      <c r="F1958" s="21" t="s">
        <v>1248</v>
      </c>
      <c r="G1958" s="21">
        <f>+E1958*1.105</f>
        <v>111549.75</v>
      </c>
      <c r="H1958" s="135">
        <f>ROUNDUP(T1958,-1)</f>
        <v>87490</v>
      </c>
      <c r="I1958" s="294">
        <v>45138</v>
      </c>
      <c r="J1958" s="294">
        <v>45274</v>
      </c>
      <c r="K1958" s="10">
        <f>+PROVEEDORES!D32*64.09</f>
        <v>67294.5</v>
      </c>
      <c r="L1958" s="30"/>
      <c r="M1958" s="99"/>
      <c r="N1958" s="100">
        <v>58321</v>
      </c>
      <c r="O1958" s="11">
        <f>MIN(K1958:M1958)</f>
        <v>67294.5</v>
      </c>
      <c r="P1958" s="11">
        <f t="shared" si="551"/>
        <v>67294.5</v>
      </c>
      <c r="Q1958" s="11">
        <v>1.5</v>
      </c>
      <c r="R1958" s="11">
        <f t="shared" si="552"/>
        <v>100941.75</v>
      </c>
      <c r="S1958" s="11"/>
      <c r="T1958" s="136">
        <f>+N1958*Q1958</f>
        <v>87481.5</v>
      </c>
    </row>
    <row r="1959" spans="1:20" ht="15.75" customHeight="1">
      <c r="A1959" s="149">
        <v>12</v>
      </c>
      <c r="B1959" s="273"/>
      <c r="C1959" s="28" t="s">
        <v>4441</v>
      </c>
      <c r="D1959" s="165">
        <v>960</v>
      </c>
      <c r="E1959" s="131">
        <f t="shared" si="541"/>
        <v>0</v>
      </c>
      <c r="F1959" s="21" t="s">
        <v>1248</v>
      </c>
      <c r="G1959" s="21">
        <f t="shared" si="550"/>
        <v>0</v>
      </c>
      <c r="H1959" s="135">
        <f t="shared" si="537"/>
        <v>0</v>
      </c>
      <c r="I1959" s="294">
        <v>45108</v>
      </c>
      <c r="J1959" s="294"/>
      <c r="K1959" s="11">
        <f>4301*1.15</f>
        <v>4946.1499999999996</v>
      </c>
      <c r="L1959" s="10"/>
      <c r="M1959" s="10"/>
      <c r="N1959" s="100"/>
      <c r="O1959" s="11">
        <f t="shared" si="539"/>
        <v>4946.1499999999996</v>
      </c>
      <c r="P1959" s="11">
        <f t="shared" si="551"/>
        <v>4946.1499999999996</v>
      </c>
      <c r="Q1959" s="11"/>
      <c r="R1959" s="11">
        <f t="shared" si="552"/>
        <v>0</v>
      </c>
      <c r="S1959" s="11"/>
      <c r="T1959" s="136">
        <f t="shared" si="553"/>
        <v>0</v>
      </c>
    </row>
    <row r="1960" spans="1:20" ht="15.75" customHeight="1">
      <c r="A1960" s="149">
        <v>12</v>
      </c>
      <c r="B1960" s="273"/>
      <c r="C1960" s="28" t="s">
        <v>4442</v>
      </c>
      <c r="D1960" s="165">
        <v>1400</v>
      </c>
      <c r="E1960" s="131">
        <f t="shared" si="541"/>
        <v>0</v>
      </c>
      <c r="F1960" s="21" t="s">
        <v>1248</v>
      </c>
      <c r="G1960" s="21">
        <f t="shared" si="550"/>
        <v>0</v>
      </c>
      <c r="H1960" s="135">
        <f t="shared" si="537"/>
        <v>0</v>
      </c>
      <c r="I1960" s="294">
        <v>45108</v>
      </c>
      <c r="J1960" s="294"/>
      <c r="K1960" s="11">
        <v>4915</v>
      </c>
      <c r="L1960" s="10"/>
      <c r="M1960" s="10"/>
      <c r="N1960" s="100"/>
      <c r="O1960" s="11">
        <f t="shared" si="539"/>
        <v>4915</v>
      </c>
      <c r="P1960" s="11">
        <f t="shared" si="551"/>
        <v>4915</v>
      </c>
      <c r="Q1960" s="11"/>
      <c r="R1960" s="11">
        <f t="shared" si="552"/>
        <v>0</v>
      </c>
      <c r="S1960" s="11"/>
      <c r="T1960" s="136">
        <f t="shared" si="553"/>
        <v>0</v>
      </c>
    </row>
    <row r="1961" spans="1:20" ht="15.75" customHeight="1">
      <c r="A1961" s="149">
        <v>12</v>
      </c>
      <c r="B1961" s="273"/>
      <c r="C1961" s="28" t="s">
        <v>4443</v>
      </c>
      <c r="D1961" s="165">
        <v>1930</v>
      </c>
      <c r="E1961" s="131">
        <f t="shared" si="541"/>
        <v>0</v>
      </c>
      <c r="F1961" s="21" t="s">
        <v>1248</v>
      </c>
      <c r="G1961" s="21">
        <f t="shared" si="550"/>
        <v>0</v>
      </c>
      <c r="H1961" s="135">
        <f t="shared" si="537"/>
        <v>0</v>
      </c>
      <c r="I1961" s="294">
        <v>45108</v>
      </c>
      <c r="J1961" s="294"/>
      <c r="K1961" s="11">
        <v>5529</v>
      </c>
      <c r="L1961" s="10"/>
      <c r="M1961" s="10"/>
      <c r="N1961" s="100"/>
      <c r="O1961" s="11">
        <f t="shared" si="539"/>
        <v>5529</v>
      </c>
      <c r="P1961" s="11">
        <f t="shared" si="551"/>
        <v>5529</v>
      </c>
      <c r="Q1961" s="11"/>
      <c r="R1961" s="11">
        <f t="shared" si="552"/>
        <v>0</v>
      </c>
      <c r="S1961" s="11"/>
      <c r="T1961" s="136">
        <f t="shared" si="553"/>
        <v>0</v>
      </c>
    </row>
    <row r="1962" spans="1:20" ht="15.75" customHeight="1">
      <c r="A1962" s="149">
        <v>12</v>
      </c>
      <c r="B1962" s="273"/>
      <c r="C1962" s="28" t="s">
        <v>4444</v>
      </c>
      <c r="D1962" s="165">
        <v>1450</v>
      </c>
      <c r="E1962" s="131">
        <f>ROUNDUP(R1962,-1)</f>
        <v>0</v>
      </c>
      <c r="F1962" s="21" t="s">
        <v>1248</v>
      </c>
      <c r="G1962" s="21">
        <f>+E1962*1.105</f>
        <v>0</v>
      </c>
      <c r="H1962" s="135">
        <f>ROUNDUP(T1962,-1)</f>
        <v>0</v>
      </c>
      <c r="I1962" s="294">
        <v>45108</v>
      </c>
      <c r="J1962" s="294"/>
      <c r="K1962" s="11">
        <v>6436</v>
      </c>
      <c r="L1962" s="10"/>
      <c r="M1962" s="10"/>
      <c r="N1962" s="100"/>
      <c r="O1962" s="11">
        <f>MIN(K1962:M1962)</f>
        <v>6436</v>
      </c>
      <c r="P1962" s="11">
        <f t="shared" si="551"/>
        <v>6436</v>
      </c>
      <c r="Q1962" s="11"/>
      <c r="R1962" s="11">
        <f t="shared" si="552"/>
        <v>0</v>
      </c>
      <c r="S1962" s="11"/>
      <c r="T1962" s="136">
        <f>+N1962*Q1962</f>
        <v>0</v>
      </c>
    </row>
    <row r="1963" spans="1:20" ht="15.75" customHeight="1">
      <c r="A1963" s="149">
        <v>12</v>
      </c>
      <c r="B1963" s="273"/>
      <c r="C1963" s="28" t="s">
        <v>4445</v>
      </c>
      <c r="D1963" s="165">
        <v>2370</v>
      </c>
      <c r="E1963" s="131">
        <f>ROUNDUP(R1963,-1)</f>
        <v>0</v>
      </c>
      <c r="F1963" s="21" t="s">
        <v>1248</v>
      </c>
      <c r="G1963" s="21">
        <f>+E1963*1.105</f>
        <v>0</v>
      </c>
      <c r="H1963" s="135">
        <f>ROUNDUP(T1963,-1)</f>
        <v>0</v>
      </c>
      <c r="I1963" s="294">
        <v>45108</v>
      </c>
      <c r="J1963" s="294"/>
      <c r="K1963" s="11">
        <v>8045</v>
      </c>
      <c r="L1963" s="10"/>
      <c r="M1963" s="10"/>
      <c r="N1963" s="100"/>
      <c r="O1963" s="11">
        <f>MIN(K1963:M1963)</f>
        <v>8045</v>
      </c>
      <c r="P1963" s="11">
        <f t="shared" si="551"/>
        <v>8045</v>
      </c>
      <c r="Q1963" s="11"/>
      <c r="R1963" s="11">
        <f t="shared" si="552"/>
        <v>0</v>
      </c>
      <c r="S1963" s="11"/>
      <c r="T1963" s="136">
        <f>+N1963*Q1963</f>
        <v>0</v>
      </c>
    </row>
    <row r="1964" spans="1:20" ht="15.75" customHeight="1">
      <c r="A1964" s="149">
        <v>45</v>
      </c>
      <c r="B1964" s="273"/>
      <c r="C1964" s="28" t="s">
        <v>4489</v>
      </c>
      <c r="D1964" s="41"/>
      <c r="E1964" s="131">
        <f>ROUNDUP(R1964,-1)</f>
        <v>23850</v>
      </c>
      <c r="F1964" s="21">
        <f>+E1964*1.21</f>
        <v>28858.5</v>
      </c>
      <c r="G1964" s="21"/>
      <c r="H1964" s="135">
        <f>ROUNDUP(T1964,-1)</f>
        <v>0</v>
      </c>
      <c r="I1964" s="294"/>
      <c r="J1964" s="294">
        <v>45329</v>
      </c>
      <c r="K1964" s="11">
        <f>0.59*0.95*25787*1.1</f>
        <v>15898.974850000001</v>
      </c>
      <c r="L1964" s="11"/>
      <c r="M1964" s="11"/>
      <c r="N1964" s="100"/>
      <c r="O1964" s="11">
        <f>MIN(K1964:M1964)</f>
        <v>15898.974850000001</v>
      </c>
      <c r="P1964" s="11">
        <f t="shared" si="551"/>
        <v>15898.974850000001</v>
      </c>
      <c r="Q1964" s="11">
        <v>1.5</v>
      </c>
      <c r="R1964" s="11">
        <f t="shared" si="552"/>
        <v>23848.462275000002</v>
      </c>
      <c r="S1964" s="11"/>
      <c r="T1964" s="136">
        <f>+N1964*Q1964</f>
        <v>0</v>
      </c>
    </row>
    <row r="1965" spans="1:20" ht="15.75" customHeight="1">
      <c r="A1965" s="149" t="s">
        <v>2398</v>
      </c>
      <c r="B1965" s="286">
        <f>ROUNDUP(E1965*1.06,-1)</f>
        <v>397630</v>
      </c>
      <c r="C1965" s="36" t="s">
        <v>37164</v>
      </c>
      <c r="D1965" s="165">
        <v>19670</v>
      </c>
      <c r="E1965" s="131">
        <f t="shared" si="541"/>
        <v>375120</v>
      </c>
      <c r="F1965" s="21" t="s">
        <v>1248</v>
      </c>
      <c r="G1965" s="21">
        <f t="shared" si="550"/>
        <v>414507.6</v>
      </c>
      <c r="H1965" s="135">
        <f t="shared" si="537"/>
        <v>0</v>
      </c>
      <c r="I1965" s="23">
        <v>45323</v>
      </c>
      <c r="J1965" s="294"/>
      <c r="K1965" s="39">
        <f>0.8*0.97*0.94*380924</f>
        <v>277861.20256000001</v>
      </c>
      <c r="L1965" s="39"/>
      <c r="M1965" s="11"/>
      <c r="N1965" s="100"/>
      <c r="O1965" s="11">
        <f t="shared" si="539"/>
        <v>277861.20256000001</v>
      </c>
      <c r="P1965" s="11">
        <f>+O1965*'AUMENTOS %'!$B$5</f>
        <v>277861.20256000001</v>
      </c>
      <c r="Q1965" s="11">
        <v>1.35</v>
      </c>
      <c r="R1965" s="11">
        <f t="shared" si="552"/>
        <v>375112.62345600006</v>
      </c>
      <c r="S1965" s="11"/>
      <c r="T1965" s="136">
        <f t="shared" si="553"/>
        <v>0</v>
      </c>
    </row>
    <row r="1966" spans="1:20" ht="15.75" customHeight="1">
      <c r="A1966" s="149" t="s">
        <v>2398</v>
      </c>
      <c r="B1966" s="273">
        <f t="shared" ref="B1966:B1998" si="554">ROUNDUP(E1966*1.06,-1)</f>
        <v>528860</v>
      </c>
      <c r="C1966" s="36" t="s">
        <v>37165</v>
      </c>
      <c r="D1966" s="71">
        <v>27850</v>
      </c>
      <c r="E1966" s="131">
        <f t="shared" si="541"/>
        <v>498920</v>
      </c>
      <c r="F1966" s="21" t="s">
        <v>1248</v>
      </c>
      <c r="G1966" s="21">
        <f t="shared" si="550"/>
        <v>551306.6</v>
      </c>
      <c r="H1966" s="135">
        <f t="shared" si="537"/>
        <v>0</v>
      </c>
      <c r="I1966" s="23">
        <v>45323</v>
      </c>
      <c r="J1966" s="294"/>
      <c r="K1966" s="10">
        <f>0.8*0.97*0.94*506647</f>
        <v>369568.58768</v>
      </c>
      <c r="L1966" s="10"/>
      <c r="M1966" s="11"/>
      <c r="N1966" s="100"/>
      <c r="O1966" s="11">
        <f t="shared" si="539"/>
        <v>369568.58768</v>
      </c>
      <c r="P1966" s="11">
        <f>+O1966*'AUMENTOS %'!$B$5</f>
        <v>369568.58768</v>
      </c>
      <c r="Q1966" s="11">
        <v>1.35</v>
      </c>
      <c r="R1966" s="11">
        <f t="shared" si="552"/>
        <v>498917.593368</v>
      </c>
      <c r="S1966" s="11"/>
      <c r="T1966" s="136">
        <f t="shared" si="553"/>
        <v>0</v>
      </c>
    </row>
    <row r="1967" spans="1:20" ht="15.75" customHeight="1">
      <c r="A1967" s="149" t="s">
        <v>2398</v>
      </c>
      <c r="B1967" s="273">
        <f t="shared" si="554"/>
        <v>0</v>
      </c>
      <c r="C1967" s="36" t="s">
        <v>1778</v>
      </c>
      <c r="D1967" s="165"/>
      <c r="E1967" s="131">
        <f t="shared" si="541"/>
        <v>0</v>
      </c>
      <c r="F1967" s="21" t="s">
        <v>1248</v>
      </c>
      <c r="G1967" s="21">
        <f t="shared" si="550"/>
        <v>0</v>
      </c>
      <c r="H1967" s="135">
        <f t="shared" si="537"/>
        <v>0</v>
      </c>
      <c r="I1967" s="23">
        <v>45275</v>
      </c>
      <c r="J1967" s="294"/>
      <c r="K1967" s="10">
        <f>0.8*0.98*0.94*39825*1.15</f>
        <v>33751.846799999992</v>
      </c>
      <c r="L1967" s="10"/>
      <c r="M1967" s="11"/>
      <c r="N1967" s="100"/>
      <c r="O1967" s="11">
        <f t="shared" si="539"/>
        <v>33751.846799999992</v>
      </c>
      <c r="P1967" s="11">
        <f>+O1967*'AUMENTOS %'!$B$5</f>
        <v>33751.846799999992</v>
      </c>
      <c r="Q1967" s="11"/>
      <c r="R1967" s="11">
        <f t="shared" si="552"/>
        <v>0</v>
      </c>
      <c r="S1967" s="11"/>
      <c r="T1967" s="136">
        <f t="shared" si="553"/>
        <v>0</v>
      </c>
    </row>
    <row r="1968" spans="1:20" ht="15.75" customHeight="1">
      <c r="A1968" s="149" t="s">
        <v>2398</v>
      </c>
      <c r="B1968" s="273">
        <f t="shared" si="554"/>
        <v>0</v>
      </c>
      <c r="C1968" s="36" t="s">
        <v>1777</v>
      </c>
      <c r="D1968" s="165">
        <v>14850</v>
      </c>
      <c r="E1968" s="131">
        <f t="shared" si="541"/>
        <v>0</v>
      </c>
      <c r="F1968" s="21" t="s">
        <v>1248</v>
      </c>
      <c r="G1968" s="21">
        <f t="shared" si="550"/>
        <v>0</v>
      </c>
      <c r="H1968" s="135">
        <f t="shared" si="537"/>
        <v>0</v>
      </c>
      <c r="I1968" s="23">
        <v>45275</v>
      </c>
      <c r="J1968" s="294"/>
      <c r="K1968" s="10">
        <f>0.8*0.98*0.94*30643*1.2*1.15*1.1*1.05*1.08*1.06*1.15</f>
        <v>47387.492555064964</v>
      </c>
      <c r="L1968" s="10"/>
      <c r="M1968" s="11"/>
      <c r="N1968" s="100"/>
      <c r="O1968" s="11">
        <f t="shared" si="539"/>
        <v>47387.492555064964</v>
      </c>
      <c r="P1968" s="11">
        <f>+O1968*'AUMENTOS %'!$B$5</f>
        <v>47387.492555064964</v>
      </c>
      <c r="Q1968" s="11"/>
      <c r="R1968" s="11">
        <f t="shared" si="552"/>
        <v>0</v>
      </c>
      <c r="S1968" s="11"/>
      <c r="T1968" s="136">
        <f t="shared" si="553"/>
        <v>0</v>
      </c>
    </row>
    <row r="1969" spans="1:20" ht="15.75" customHeight="1">
      <c r="A1969" s="149" t="s">
        <v>2398</v>
      </c>
      <c r="B1969" s="273">
        <f t="shared" si="554"/>
        <v>283570</v>
      </c>
      <c r="C1969" s="36" t="s">
        <v>37166</v>
      </c>
      <c r="D1969" s="165">
        <v>18100</v>
      </c>
      <c r="E1969" s="131">
        <f t="shared" si="541"/>
        <v>267510</v>
      </c>
      <c r="F1969" s="21" t="s">
        <v>1248</v>
      </c>
      <c r="G1969" s="21">
        <f t="shared" si="550"/>
        <v>295598.55</v>
      </c>
      <c r="H1969" s="135">
        <f t="shared" si="537"/>
        <v>0</v>
      </c>
      <c r="I1969" s="23">
        <v>45323</v>
      </c>
      <c r="J1969" s="294"/>
      <c r="K1969" s="10">
        <f>0.8*0.98*0.94*268876</f>
        <v>198150.85695999998</v>
      </c>
      <c r="L1969" s="10"/>
      <c r="M1969" s="11"/>
      <c r="N1969" s="100"/>
      <c r="O1969" s="11">
        <f t="shared" si="539"/>
        <v>198150.85695999998</v>
      </c>
      <c r="P1969" s="11">
        <f>+O1969*'AUMENTOS %'!$B$5</f>
        <v>198150.85695999998</v>
      </c>
      <c r="Q1969" s="11">
        <v>1.35</v>
      </c>
      <c r="R1969" s="11">
        <f t="shared" si="552"/>
        <v>267503.65689599997</v>
      </c>
      <c r="S1969" s="11"/>
      <c r="T1969" s="136">
        <f t="shared" si="553"/>
        <v>0</v>
      </c>
    </row>
    <row r="1970" spans="1:20" ht="15.75" customHeight="1">
      <c r="A1970" s="149" t="s">
        <v>2398</v>
      </c>
      <c r="B1970" s="273">
        <f t="shared" si="554"/>
        <v>167680</v>
      </c>
      <c r="C1970" s="36" t="s">
        <v>37167</v>
      </c>
      <c r="D1970" s="165">
        <v>18100</v>
      </c>
      <c r="E1970" s="131">
        <f t="shared" si="541"/>
        <v>158180</v>
      </c>
      <c r="F1970" s="21" t="s">
        <v>1248</v>
      </c>
      <c r="G1970" s="21">
        <f t="shared" si="550"/>
        <v>174788.9</v>
      </c>
      <c r="H1970" s="135">
        <f t="shared" si="537"/>
        <v>0</v>
      </c>
      <c r="I1970" s="23">
        <v>45323</v>
      </c>
      <c r="J1970" s="294"/>
      <c r="K1970" s="10">
        <f>0.8*0.98*0.94*158988</f>
        <v>117167.79647999999</v>
      </c>
      <c r="L1970" s="10"/>
      <c r="M1970" s="11"/>
      <c r="N1970" s="100"/>
      <c r="O1970" s="11">
        <f t="shared" si="539"/>
        <v>117167.79647999999</v>
      </c>
      <c r="P1970" s="11">
        <f>+O1970*'AUMENTOS %'!$B$5</f>
        <v>117167.79647999999</v>
      </c>
      <c r="Q1970" s="11">
        <v>1.35</v>
      </c>
      <c r="R1970" s="11">
        <f t="shared" si="552"/>
        <v>158176.52524799999</v>
      </c>
      <c r="S1970" s="11"/>
      <c r="T1970" s="136">
        <f t="shared" si="553"/>
        <v>0</v>
      </c>
    </row>
    <row r="1971" spans="1:20" ht="15.75" customHeight="1">
      <c r="A1971" s="149">
        <v>18</v>
      </c>
      <c r="B1971" s="273">
        <f t="shared" si="554"/>
        <v>526220</v>
      </c>
      <c r="C1971" s="36" t="s">
        <v>37168</v>
      </c>
      <c r="D1971" s="165"/>
      <c r="E1971" s="131">
        <f t="shared" si="541"/>
        <v>496430</v>
      </c>
      <c r="F1971" s="21" t="s">
        <v>1248</v>
      </c>
      <c r="G1971" s="21">
        <f t="shared" si="550"/>
        <v>548555.15</v>
      </c>
      <c r="H1971" s="135">
        <f t="shared" si="537"/>
        <v>0</v>
      </c>
      <c r="I1971" s="23">
        <v>45323</v>
      </c>
      <c r="J1971" s="294">
        <v>45364</v>
      </c>
      <c r="K1971" s="10">
        <f>0.8*0.98*0.94*498971</f>
        <v>367721.66816</v>
      </c>
      <c r="L1971" s="10"/>
      <c r="M1971" s="11"/>
      <c r="N1971" s="100"/>
      <c r="O1971" s="11">
        <f t="shared" si="539"/>
        <v>367721.66816</v>
      </c>
      <c r="P1971" s="11">
        <f>+O1971*'AUMENTOS %'!$B$5</f>
        <v>367721.66816</v>
      </c>
      <c r="Q1971" s="11">
        <v>1.35</v>
      </c>
      <c r="R1971" s="11">
        <f t="shared" si="552"/>
        <v>496424.25201600004</v>
      </c>
      <c r="S1971" s="11"/>
      <c r="T1971" s="136">
        <f t="shared" si="553"/>
        <v>0</v>
      </c>
    </row>
    <row r="1972" spans="1:20" ht="15.75" customHeight="1">
      <c r="A1972" s="149" t="s">
        <v>2398</v>
      </c>
      <c r="B1972" s="273">
        <f t="shared" si="554"/>
        <v>0</v>
      </c>
      <c r="C1972" s="36" t="s">
        <v>1779</v>
      </c>
      <c r="D1972" s="166">
        <v>23200</v>
      </c>
      <c r="E1972" s="131">
        <f t="shared" si="541"/>
        <v>0</v>
      </c>
      <c r="F1972" s="21" t="s">
        <v>1248</v>
      </c>
      <c r="G1972" s="21">
        <f t="shared" si="550"/>
        <v>0</v>
      </c>
      <c r="H1972" s="135">
        <f t="shared" si="537"/>
        <v>0</v>
      </c>
      <c r="I1972" s="23">
        <v>45275</v>
      </c>
      <c r="J1972" s="294"/>
      <c r="K1972" s="10">
        <f>0.8*0.98*0.94*42840*1.2*1.15*1.3</f>
        <v>56639.0313216</v>
      </c>
      <c r="L1972" s="10"/>
      <c r="M1972" s="11"/>
      <c r="N1972" s="100"/>
      <c r="O1972" s="11">
        <f t="shared" si="539"/>
        <v>56639.0313216</v>
      </c>
      <c r="P1972" s="11">
        <f>+O1972*'AUMENTOS %'!$B$5</f>
        <v>56639.0313216</v>
      </c>
      <c r="Q1972" s="11"/>
      <c r="R1972" s="11">
        <f t="shared" si="552"/>
        <v>0</v>
      </c>
      <c r="S1972" s="11"/>
      <c r="T1972" s="136">
        <f t="shared" si="553"/>
        <v>0</v>
      </c>
    </row>
    <row r="1973" spans="1:20" ht="15.75" customHeight="1">
      <c r="A1973" s="149" t="s">
        <v>2398</v>
      </c>
      <c r="B1973" s="273">
        <f t="shared" si="554"/>
        <v>534320</v>
      </c>
      <c r="C1973" s="36" t="s">
        <v>37169</v>
      </c>
      <c r="D1973" s="166">
        <v>23200</v>
      </c>
      <c r="E1973" s="131">
        <f t="shared" si="541"/>
        <v>504070</v>
      </c>
      <c r="F1973" s="21" t="s">
        <v>1248</v>
      </c>
      <c r="G1973" s="21">
        <f t="shared" si="550"/>
        <v>556997.35</v>
      </c>
      <c r="H1973" s="135">
        <f t="shared" si="537"/>
        <v>0</v>
      </c>
      <c r="I1973" s="23">
        <v>45323</v>
      </c>
      <c r="J1973" s="294"/>
      <c r="K1973" s="10">
        <f>0.8*0.98*0.94*506647</f>
        <v>373378.57311999996</v>
      </c>
      <c r="L1973" s="10"/>
      <c r="M1973" s="11"/>
      <c r="N1973" s="100"/>
      <c r="O1973" s="11">
        <f t="shared" si="539"/>
        <v>373378.57311999996</v>
      </c>
      <c r="P1973" s="11">
        <f>+O1973*'AUMENTOS %'!$B$5</f>
        <v>373378.57311999996</v>
      </c>
      <c r="Q1973" s="11">
        <v>1.35</v>
      </c>
      <c r="R1973" s="11">
        <f t="shared" si="552"/>
        <v>504061.07371199998</v>
      </c>
      <c r="S1973" s="11"/>
      <c r="T1973" s="136">
        <f t="shared" si="553"/>
        <v>0</v>
      </c>
    </row>
    <row r="1974" spans="1:20" ht="15.75" customHeight="1">
      <c r="A1974" s="149" t="s">
        <v>2398</v>
      </c>
      <c r="B1974" s="273">
        <f t="shared" si="554"/>
        <v>0</v>
      </c>
      <c r="C1974" s="36" t="s">
        <v>1780</v>
      </c>
      <c r="D1974" s="165">
        <v>25820</v>
      </c>
      <c r="E1974" s="131">
        <f t="shared" si="541"/>
        <v>0</v>
      </c>
      <c r="F1974" s="21" t="s">
        <v>1248</v>
      </c>
      <c r="G1974" s="21">
        <f t="shared" si="550"/>
        <v>0</v>
      </c>
      <c r="H1974" s="135">
        <f t="shared" ref="H1974:H2042" si="555">ROUNDUP(T1974,-1)</f>
        <v>0</v>
      </c>
      <c r="I1974" s="23">
        <v>45275</v>
      </c>
      <c r="J1974" s="294"/>
      <c r="K1974" s="10">
        <f>23167*0.8*0.98*0.94*1.12*1.1*1.15*1.15*1.12*1.15*1.15</f>
        <v>41203.471390518775</v>
      </c>
      <c r="L1974" s="10"/>
      <c r="M1974" s="11"/>
      <c r="N1974" s="100"/>
      <c r="O1974" s="11">
        <f t="shared" si="539"/>
        <v>41203.471390518775</v>
      </c>
      <c r="P1974" s="11">
        <f>+O1974*'AUMENTOS %'!$B$5</f>
        <v>41203.471390518775</v>
      </c>
      <c r="Q1974" s="11"/>
      <c r="R1974" s="11">
        <f t="shared" si="552"/>
        <v>0</v>
      </c>
      <c r="S1974" s="11"/>
      <c r="T1974" s="136">
        <f t="shared" si="553"/>
        <v>0</v>
      </c>
    </row>
    <row r="1975" spans="1:20" ht="15.75" customHeight="1">
      <c r="A1975" s="149" t="s">
        <v>2398</v>
      </c>
      <c r="B1975" s="273">
        <f t="shared" si="554"/>
        <v>0</v>
      </c>
      <c r="C1975" s="36" t="s">
        <v>1781</v>
      </c>
      <c r="D1975" s="165">
        <v>0</v>
      </c>
      <c r="E1975" s="131">
        <f t="shared" si="541"/>
        <v>0</v>
      </c>
      <c r="F1975" s="21" t="s">
        <v>1248</v>
      </c>
      <c r="G1975" s="21">
        <f t="shared" si="550"/>
        <v>0</v>
      </c>
      <c r="H1975" s="135">
        <f t="shared" si="555"/>
        <v>0</v>
      </c>
      <c r="I1975" s="23">
        <v>45275</v>
      </c>
      <c r="J1975" s="294"/>
      <c r="K1975" s="10"/>
      <c r="L1975" s="10"/>
      <c r="M1975" s="11"/>
      <c r="N1975" s="100"/>
      <c r="O1975" s="11">
        <f t="shared" si="539"/>
        <v>0</v>
      </c>
      <c r="P1975" s="11">
        <f>+O1975*'AUMENTOS %'!$B$5</f>
        <v>0</v>
      </c>
      <c r="Q1975" s="11">
        <v>1.35</v>
      </c>
      <c r="R1975" s="11">
        <f t="shared" si="552"/>
        <v>0</v>
      </c>
      <c r="S1975" s="11"/>
      <c r="T1975" s="136">
        <f t="shared" si="553"/>
        <v>0</v>
      </c>
    </row>
    <row r="1976" spans="1:20" ht="15.75" customHeight="1">
      <c r="A1976" s="149" t="s">
        <v>2398</v>
      </c>
      <c r="B1976" s="273">
        <f t="shared" si="554"/>
        <v>0</v>
      </c>
      <c r="C1976" s="36" t="s">
        <v>1782</v>
      </c>
      <c r="D1976" s="165">
        <v>31560</v>
      </c>
      <c r="E1976" s="131">
        <f t="shared" si="541"/>
        <v>0</v>
      </c>
      <c r="F1976" s="21" t="s">
        <v>1248</v>
      </c>
      <c r="G1976" s="21">
        <f t="shared" si="550"/>
        <v>0</v>
      </c>
      <c r="H1976" s="135">
        <f t="shared" si="555"/>
        <v>0</v>
      </c>
      <c r="I1976" s="23">
        <v>45275</v>
      </c>
      <c r="J1976" s="294"/>
      <c r="K1976" s="11">
        <f>0.8*0.98*0.94*56625*1.2*1.15</f>
        <v>57587.896799999995</v>
      </c>
      <c r="L1976" s="10"/>
      <c r="M1976" s="11"/>
      <c r="N1976" s="100"/>
      <c r="O1976" s="11">
        <f t="shared" si="539"/>
        <v>57587.896799999995</v>
      </c>
      <c r="P1976" s="11">
        <f>+O1976*'AUMENTOS %'!$B$5</f>
        <v>57587.896799999995</v>
      </c>
      <c r="Q1976" s="11"/>
      <c r="R1976" s="11">
        <f t="shared" si="552"/>
        <v>0</v>
      </c>
      <c r="S1976" s="11"/>
      <c r="T1976" s="136">
        <f t="shared" si="553"/>
        <v>0</v>
      </c>
    </row>
    <row r="1977" spans="1:20" ht="15.75" customHeight="1">
      <c r="A1977" s="149" t="s">
        <v>2398</v>
      </c>
      <c r="B1977" s="273">
        <f t="shared" si="554"/>
        <v>861850</v>
      </c>
      <c r="C1977" s="36" t="s">
        <v>37170</v>
      </c>
      <c r="D1977" s="165">
        <v>45960</v>
      </c>
      <c r="E1977" s="131">
        <f t="shared" si="541"/>
        <v>813060</v>
      </c>
      <c r="F1977" s="21" t="s">
        <v>1248</v>
      </c>
      <c r="G1977" s="21">
        <f t="shared" si="550"/>
        <v>898431.29999999993</v>
      </c>
      <c r="H1977" s="135">
        <f t="shared" si="555"/>
        <v>0</v>
      </c>
      <c r="I1977" s="23">
        <v>45323</v>
      </c>
      <c r="J1977" s="294"/>
      <c r="K1977" s="11">
        <f>0.8*0.97*0.94*825647</f>
        <v>602259.94767999998</v>
      </c>
      <c r="L1977" s="11"/>
      <c r="M1977" s="11"/>
      <c r="N1977" s="100"/>
      <c r="O1977" s="11">
        <f t="shared" si="539"/>
        <v>602259.94767999998</v>
      </c>
      <c r="P1977" s="11">
        <f>+O1977*'AUMENTOS %'!$B$5</f>
        <v>602259.94767999998</v>
      </c>
      <c r="Q1977" s="11">
        <v>1.35</v>
      </c>
      <c r="R1977" s="11">
        <f t="shared" si="552"/>
        <v>813050.92936800001</v>
      </c>
      <c r="S1977" s="11"/>
      <c r="T1977" s="136">
        <f t="shared" si="553"/>
        <v>0</v>
      </c>
    </row>
    <row r="1978" spans="1:20" ht="15.75" customHeight="1">
      <c r="A1978" s="149" t="s">
        <v>2398</v>
      </c>
      <c r="B1978" s="273">
        <f t="shared" si="554"/>
        <v>1297210</v>
      </c>
      <c r="C1978" s="36" t="s">
        <v>37172</v>
      </c>
      <c r="D1978" s="165">
        <v>45960</v>
      </c>
      <c r="E1978" s="131">
        <f t="shared" si="541"/>
        <v>1223780</v>
      </c>
      <c r="F1978" s="21" t="s">
        <v>1248</v>
      </c>
      <c r="G1978" s="21">
        <f t="shared" si="550"/>
        <v>1352276.9</v>
      </c>
      <c r="H1978" s="135">
        <f t="shared" si="555"/>
        <v>0</v>
      </c>
      <c r="I1978" s="23">
        <v>45323</v>
      </c>
      <c r="J1978" s="294"/>
      <c r="K1978" s="11">
        <f>0.8*0.97*0.94*1242735</f>
        <v>906500.61839999992</v>
      </c>
      <c r="L1978" s="11"/>
      <c r="M1978" s="11"/>
      <c r="N1978" s="100"/>
      <c r="O1978" s="11">
        <f t="shared" si="539"/>
        <v>906500.61839999992</v>
      </c>
      <c r="P1978" s="11">
        <f>+O1978*'AUMENTOS %'!$B$5</f>
        <v>906500.61839999992</v>
      </c>
      <c r="Q1978" s="11">
        <v>1.35</v>
      </c>
      <c r="R1978" s="11">
        <f t="shared" si="552"/>
        <v>1223775.8348399999</v>
      </c>
      <c r="S1978" s="11"/>
      <c r="T1978" s="136">
        <f t="shared" si="553"/>
        <v>0</v>
      </c>
    </row>
    <row r="1979" spans="1:20" ht="15.75" customHeight="1">
      <c r="A1979" s="149" t="s">
        <v>2398</v>
      </c>
      <c r="B1979" s="273">
        <f t="shared" si="554"/>
        <v>1139690</v>
      </c>
      <c r="C1979" s="36" t="s">
        <v>37171</v>
      </c>
      <c r="D1979" s="165">
        <v>45960</v>
      </c>
      <c r="E1979" s="131">
        <f t="shared" si="541"/>
        <v>1075170</v>
      </c>
      <c r="F1979" s="21" t="s">
        <v>1248</v>
      </c>
      <c r="G1979" s="21">
        <f t="shared" si="550"/>
        <v>1188062.8500000001</v>
      </c>
      <c r="H1979" s="135">
        <f t="shared" si="555"/>
        <v>0</v>
      </c>
      <c r="I1979" s="23">
        <v>45323</v>
      </c>
      <c r="J1979" s="294">
        <v>45364</v>
      </c>
      <c r="K1979" s="11">
        <f>0.8*0.98*0.94*1080676</f>
        <v>796414.98495999991</v>
      </c>
      <c r="L1979" s="11">
        <f>587882*2</f>
        <v>1175764</v>
      </c>
      <c r="M1979" s="11"/>
      <c r="N1979" s="100"/>
      <c r="O1979" s="11">
        <f t="shared" si="539"/>
        <v>796414.98495999991</v>
      </c>
      <c r="P1979" s="11">
        <f>+O1979*'AUMENTOS %'!$B$5</f>
        <v>796414.98495999991</v>
      </c>
      <c r="Q1979" s="11">
        <v>1.35</v>
      </c>
      <c r="R1979" s="11">
        <f t="shared" si="552"/>
        <v>1075160.229696</v>
      </c>
      <c r="S1979" s="11"/>
      <c r="T1979" s="136">
        <f t="shared" si="553"/>
        <v>0</v>
      </c>
    </row>
    <row r="1980" spans="1:20" ht="15.75" customHeight="1">
      <c r="A1980" s="149" t="s">
        <v>2398</v>
      </c>
      <c r="B1980" s="273">
        <f t="shared" si="554"/>
        <v>408260</v>
      </c>
      <c r="C1980" s="36" t="s">
        <v>37174</v>
      </c>
      <c r="D1980" s="165">
        <v>17640</v>
      </c>
      <c r="E1980" s="131">
        <f t="shared" si="541"/>
        <v>385150</v>
      </c>
      <c r="F1980" s="21" t="s">
        <v>1248</v>
      </c>
      <c r="G1980" s="21">
        <f t="shared" si="550"/>
        <v>425590.75</v>
      </c>
      <c r="H1980" s="135">
        <f t="shared" si="555"/>
        <v>0</v>
      </c>
      <c r="I1980" s="23">
        <v>45323</v>
      </c>
      <c r="J1980" s="294"/>
      <c r="K1980" s="10">
        <f>0.8*0.98*0.94*378706</f>
        <v>279091.17375999998</v>
      </c>
      <c r="L1980" s="10"/>
      <c r="M1980" s="11"/>
      <c r="N1980" s="100"/>
      <c r="O1980" s="11">
        <f t="shared" si="539"/>
        <v>279091.17375999998</v>
      </c>
      <c r="P1980" s="11">
        <f>+O1980*'AUMENTOS %'!$B$5</f>
        <v>279091.17375999998</v>
      </c>
      <c r="Q1980" s="11">
        <v>1.38</v>
      </c>
      <c r="R1980" s="11">
        <f t="shared" si="552"/>
        <v>385145.81978879991</v>
      </c>
      <c r="S1980" s="11"/>
      <c r="T1980" s="136">
        <f t="shared" si="553"/>
        <v>0</v>
      </c>
    </row>
    <row r="1981" spans="1:20" ht="15.75" customHeight="1">
      <c r="A1981" s="149">
        <v>18</v>
      </c>
      <c r="B1981" s="273">
        <f t="shared" si="554"/>
        <v>344810</v>
      </c>
      <c r="C1981" s="28" t="s">
        <v>37175</v>
      </c>
      <c r="D1981" s="165"/>
      <c r="E1981" s="131">
        <f t="shared" si="541"/>
        <v>325290</v>
      </c>
      <c r="F1981" s="21" t="s">
        <v>1248</v>
      </c>
      <c r="G1981" s="21">
        <f t="shared" si="550"/>
        <v>359445.45</v>
      </c>
      <c r="H1981" s="135">
        <f t="shared" si="555"/>
        <v>0</v>
      </c>
      <c r="I1981" s="23">
        <v>45323</v>
      </c>
      <c r="J1981" s="294"/>
      <c r="K1981" s="10">
        <f>0.8*0.98*0.94*319846</f>
        <v>235713.70815999998</v>
      </c>
      <c r="L1981" s="10"/>
      <c r="M1981" s="11"/>
      <c r="N1981" s="100"/>
      <c r="O1981" s="11">
        <f t="shared" ref="O1981:O2049" si="556">MIN(K1981:M1981)</f>
        <v>235713.70815999998</v>
      </c>
      <c r="P1981" s="11">
        <f>+O1981*'AUMENTOS %'!$B$5</f>
        <v>235713.70815999998</v>
      </c>
      <c r="Q1981" s="11">
        <v>1.38</v>
      </c>
      <c r="R1981" s="11">
        <f t="shared" si="552"/>
        <v>325284.91726079996</v>
      </c>
      <c r="S1981" s="11"/>
      <c r="T1981" s="136">
        <f t="shared" si="553"/>
        <v>0</v>
      </c>
    </row>
    <row r="1982" spans="1:20" ht="15.75" customHeight="1">
      <c r="A1982" s="149">
        <v>106</v>
      </c>
      <c r="B1982" s="273">
        <f t="shared" si="554"/>
        <v>150410</v>
      </c>
      <c r="C1982" s="36" t="s">
        <v>4084</v>
      </c>
      <c r="D1982" s="165"/>
      <c r="E1982" s="131">
        <f t="shared" si="541"/>
        <v>141890</v>
      </c>
      <c r="F1982" s="21" t="s">
        <v>1248</v>
      </c>
      <c r="G1982" s="21">
        <f t="shared" si="550"/>
        <v>156788.45000000001</v>
      </c>
      <c r="H1982" s="135">
        <f t="shared" si="555"/>
        <v>0</v>
      </c>
      <c r="I1982" s="294">
        <v>45274</v>
      </c>
      <c r="J1982" s="294">
        <v>45334</v>
      </c>
      <c r="K1982" s="10">
        <f>(0.82*122313+K2085*1.35)</f>
        <v>101349.72695999999</v>
      </c>
      <c r="L1982" s="11"/>
      <c r="M1982" s="11"/>
      <c r="N1982" s="100"/>
      <c r="O1982" s="11">
        <f t="shared" si="556"/>
        <v>101349.72695999999</v>
      </c>
      <c r="P1982" s="11">
        <f t="shared" si="551"/>
        <v>101349.72695999999</v>
      </c>
      <c r="Q1982" s="11">
        <v>1.4</v>
      </c>
      <c r="R1982" s="11">
        <f t="shared" si="552"/>
        <v>141889.61774399996</v>
      </c>
      <c r="S1982" s="11"/>
      <c r="T1982" s="136">
        <f t="shared" si="553"/>
        <v>0</v>
      </c>
    </row>
    <row r="1983" spans="1:20" ht="15.75" customHeight="1">
      <c r="A1983" s="149">
        <v>106</v>
      </c>
      <c r="B1983" s="273">
        <f t="shared" si="554"/>
        <v>79040</v>
      </c>
      <c r="C1983" s="36" t="s">
        <v>4085</v>
      </c>
      <c r="D1983" s="165"/>
      <c r="E1983" s="131">
        <f t="shared" si="541"/>
        <v>74560</v>
      </c>
      <c r="F1983" s="21" t="s">
        <v>1248</v>
      </c>
      <c r="G1983" s="21">
        <f t="shared" si="550"/>
        <v>82388.800000000003</v>
      </c>
      <c r="H1983" s="135">
        <f t="shared" si="555"/>
        <v>0</v>
      </c>
      <c r="I1983" s="294">
        <v>45274</v>
      </c>
      <c r="J1983" s="294">
        <v>45334</v>
      </c>
      <c r="K1983" s="10">
        <f>(0.82*60134+K2085*2*1.35)</f>
        <v>51416.013919999998</v>
      </c>
      <c r="L1983" s="11"/>
      <c r="M1983" s="11"/>
      <c r="N1983" s="100"/>
      <c r="O1983" s="11">
        <f t="shared" si="556"/>
        <v>51416.013919999998</v>
      </c>
      <c r="P1983" s="11">
        <f t="shared" si="551"/>
        <v>51416.013919999998</v>
      </c>
      <c r="Q1983" s="11">
        <v>1.45</v>
      </c>
      <c r="R1983" s="11">
        <f t="shared" si="552"/>
        <v>74553.220183999991</v>
      </c>
      <c r="S1983" s="11"/>
      <c r="T1983" s="136">
        <f t="shared" si="553"/>
        <v>0</v>
      </c>
    </row>
    <row r="1984" spans="1:20" ht="15.75" customHeight="1">
      <c r="A1984" s="149">
        <v>106</v>
      </c>
      <c r="B1984" s="273">
        <f t="shared" si="554"/>
        <v>82970</v>
      </c>
      <c r="C1984" s="36" t="s">
        <v>4087</v>
      </c>
      <c r="D1984" s="165"/>
      <c r="E1984" s="131">
        <f t="shared" si="541"/>
        <v>78270</v>
      </c>
      <c r="F1984" s="21" t="s">
        <v>1248</v>
      </c>
      <c r="G1984" s="21">
        <f t="shared" si="550"/>
        <v>86488.35</v>
      </c>
      <c r="H1984" s="135">
        <f t="shared" si="555"/>
        <v>0</v>
      </c>
      <c r="I1984" s="294">
        <v>45274</v>
      </c>
      <c r="J1984" s="294">
        <v>45334</v>
      </c>
      <c r="K1984" s="10">
        <f>(0.82*63258+K2085*2*1.35)</f>
        <v>53977.693919999998</v>
      </c>
      <c r="L1984" s="10"/>
      <c r="M1984" s="11"/>
      <c r="N1984" s="100"/>
      <c r="O1984" s="11">
        <f t="shared" si="556"/>
        <v>53977.693919999998</v>
      </c>
      <c r="P1984" s="11">
        <f t="shared" si="551"/>
        <v>53977.693919999998</v>
      </c>
      <c r="Q1984" s="11">
        <v>1.45</v>
      </c>
      <c r="R1984" s="11">
        <f t="shared" si="552"/>
        <v>78267.656183999992</v>
      </c>
      <c r="S1984" s="11"/>
      <c r="T1984" s="136">
        <f t="shared" si="553"/>
        <v>0</v>
      </c>
    </row>
    <row r="1985" spans="1:20" ht="15.75" customHeight="1">
      <c r="A1985" s="149">
        <v>106</v>
      </c>
      <c r="B1985" s="273">
        <f>ROUNDUP(E1985*1.06,-1)</f>
        <v>161510</v>
      </c>
      <c r="C1985" s="36" t="s">
        <v>4208</v>
      </c>
      <c r="D1985" s="165"/>
      <c r="E1985" s="131">
        <f>ROUNDUP(R1985,-1)</f>
        <v>152360</v>
      </c>
      <c r="F1985" s="21" t="s">
        <v>1248</v>
      </c>
      <c r="G1985" s="21">
        <f>+E1985*1.105</f>
        <v>168357.8</v>
      </c>
      <c r="H1985" s="135">
        <f>ROUNDUP(T1985,-1)</f>
        <v>0</v>
      </c>
      <c r="I1985" s="294">
        <v>45274</v>
      </c>
      <c r="J1985" s="294">
        <v>45334</v>
      </c>
      <c r="K1985" s="10">
        <f>(0.82*128248+K2086*1.35)</f>
        <v>108826.2016</v>
      </c>
      <c r="L1985" s="11"/>
      <c r="M1985" s="11"/>
      <c r="N1985" s="100"/>
      <c r="O1985" s="11">
        <f>MIN(K1985:M1985)</f>
        <v>108826.2016</v>
      </c>
      <c r="P1985" s="11">
        <f t="shared" si="551"/>
        <v>108826.2016</v>
      </c>
      <c r="Q1985" s="11">
        <v>1.4</v>
      </c>
      <c r="R1985" s="11">
        <f t="shared" si="552"/>
        <v>152356.68223999999</v>
      </c>
      <c r="S1985" s="11"/>
      <c r="T1985" s="136">
        <f>+N1985*Q1985</f>
        <v>0</v>
      </c>
    </row>
    <row r="1986" spans="1:20" ht="15.75" customHeight="1">
      <c r="A1986" s="149">
        <v>106</v>
      </c>
      <c r="B1986" s="273">
        <f>ROUNDUP(E1986*1.06,-1)</f>
        <v>281370</v>
      </c>
      <c r="C1986" s="28" t="s">
        <v>4086</v>
      </c>
      <c r="D1986" s="165"/>
      <c r="E1986" s="131">
        <f>ROUNDUP(R1986,-1)</f>
        <v>265440</v>
      </c>
      <c r="F1986" s="21" t="s">
        <v>1248</v>
      </c>
      <c r="G1986" s="21">
        <f>+E1986*1.105</f>
        <v>293311.2</v>
      </c>
      <c r="H1986" s="135">
        <f>ROUNDUP(T1986,-1)</f>
        <v>0</v>
      </c>
      <c r="I1986" s="294">
        <v>45274</v>
      </c>
      <c r="J1986" s="294">
        <v>45334</v>
      </c>
      <c r="K1986" s="10">
        <f>(0.82*226745+K2086*1.35)</f>
        <v>189593.74160000001</v>
      </c>
      <c r="L1986" s="11"/>
      <c r="M1986" s="11"/>
      <c r="N1986" s="100"/>
      <c r="O1986" s="11">
        <f>MIN(K1986:M1986)</f>
        <v>189593.74160000001</v>
      </c>
      <c r="P1986" s="11">
        <f t="shared" si="551"/>
        <v>189593.74160000001</v>
      </c>
      <c r="Q1986" s="11">
        <v>1.4</v>
      </c>
      <c r="R1986" s="11">
        <f t="shared" si="552"/>
        <v>265431.23823999998</v>
      </c>
      <c r="S1986" s="11"/>
      <c r="T1986" s="136">
        <f>+N1986*Q1986</f>
        <v>0</v>
      </c>
    </row>
    <row r="1987" spans="1:20" ht="15.75" customHeight="1">
      <c r="A1987" s="149" t="s">
        <v>2387</v>
      </c>
      <c r="B1987" s="273">
        <f t="shared" si="554"/>
        <v>587110</v>
      </c>
      <c r="C1987" s="28" t="s">
        <v>1783</v>
      </c>
      <c r="D1987" s="165">
        <v>24250</v>
      </c>
      <c r="E1987" s="131">
        <f t="shared" si="541"/>
        <v>553870</v>
      </c>
      <c r="F1987" s="21" t="s">
        <v>1248</v>
      </c>
      <c r="G1987" s="21">
        <f t="shared" si="550"/>
        <v>612026.35</v>
      </c>
      <c r="H1987" s="135">
        <f t="shared" si="555"/>
        <v>0</v>
      </c>
      <c r="I1987" s="294">
        <v>45329</v>
      </c>
      <c r="J1987" s="294"/>
      <c r="K1987" s="11">
        <f>+'AUMENTOS %'!$D$12*0.5*763950</f>
        <v>381975</v>
      </c>
      <c r="L1987" s="101">
        <f>+'AUMENTOS %'!$C$12*163592*3</f>
        <v>490776</v>
      </c>
      <c r="M1987" s="11"/>
      <c r="N1987" s="100"/>
      <c r="O1987" s="11">
        <f t="shared" si="556"/>
        <v>381975</v>
      </c>
      <c r="P1987" s="11">
        <f>+O1987*'AUMENTOS %'!$D$12</f>
        <v>381975</v>
      </c>
      <c r="Q1987" s="11">
        <v>1.45</v>
      </c>
      <c r="R1987" s="11">
        <f t="shared" si="552"/>
        <v>553863.75</v>
      </c>
      <c r="S1987" s="11"/>
      <c r="T1987" s="136">
        <f t="shared" si="553"/>
        <v>0</v>
      </c>
    </row>
    <row r="1988" spans="1:20" ht="15.75" customHeight="1">
      <c r="A1988" s="149" t="s">
        <v>2387</v>
      </c>
      <c r="B1988" s="273">
        <f t="shared" si="554"/>
        <v>565550</v>
      </c>
      <c r="C1988" s="28" t="s">
        <v>1784</v>
      </c>
      <c r="D1988" s="165">
        <v>20250</v>
      </c>
      <c r="E1988" s="131">
        <f t="shared" si="541"/>
        <v>533530</v>
      </c>
      <c r="F1988" s="21" t="s">
        <v>1248</v>
      </c>
      <c r="G1988" s="21">
        <f t="shared" si="550"/>
        <v>589550.65</v>
      </c>
      <c r="H1988" s="135">
        <f t="shared" si="555"/>
        <v>0</v>
      </c>
      <c r="I1988" s="294">
        <v>45329</v>
      </c>
      <c r="J1988" s="294"/>
      <c r="K1988" s="11">
        <f>+'AUMENTOS %'!$D$12*0.5*735900</f>
        <v>367950</v>
      </c>
      <c r="L1988" s="101"/>
      <c r="M1988" s="11"/>
      <c r="N1988" s="100"/>
      <c r="O1988" s="11">
        <f t="shared" si="556"/>
        <v>367950</v>
      </c>
      <c r="P1988" s="11">
        <f>+O1988*'AUMENTOS %'!$D$12</f>
        <v>367950</v>
      </c>
      <c r="Q1988" s="11">
        <v>1.45</v>
      </c>
      <c r="R1988" s="11">
        <f t="shared" si="552"/>
        <v>533527.5</v>
      </c>
      <c r="S1988" s="11"/>
      <c r="T1988" s="136">
        <f t="shared" si="553"/>
        <v>0</v>
      </c>
    </row>
    <row r="1989" spans="1:20" ht="15.75" customHeight="1">
      <c r="A1989" s="149" t="s">
        <v>2387</v>
      </c>
      <c r="B1989" s="273">
        <f t="shared" si="554"/>
        <v>481290</v>
      </c>
      <c r="C1989" s="291" t="s">
        <v>1785</v>
      </c>
      <c r="D1989" s="165">
        <v>17400</v>
      </c>
      <c r="E1989" s="131">
        <f t="shared" si="541"/>
        <v>454040</v>
      </c>
      <c r="F1989" s="21" t="s">
        <v>1248</v>
      </c>
      <c r="G1989" s="21">
        <f t="shared" si="550"/>
        <v>501714.2</v>
      </c>
      <c r="H1989" s="135">
        <f t="shared" si="555"/>
        <v>0</v>
      </c>
      <c r="I1989" s="294">
        <v>45329</v>
      </c>
      <c r="J1989" s="294"/>
      <c r="K1989" s="11">
        <f>+'AUMENTOS %'!$D$12*0.5*672650</f>
        <v>336325</v>
      </c>
      <c r="L1989" s="101">
        <f>+'AUMENTOS %'!$C$12*167851*3</f>
        <v>503553</v>
      </c>
      <c r="M1989" s="11"/>
      <c r="N1989" s="100"/>
      <c r="O1989" s="11">
        <f t="shared" si="556"/>
        <v>336325</v>
      </c>
      <c r="P1989" s="11">
        <f>+O1989*'AUMENTOS %'!$D$12</f>
        <v>336325</v>
      </c>
      <c r="Q1989" s="11">
        <v>1.35</v>
      </c>
      <c r="R1989" s="11">
        <f t="shared" si="552"/>
        <v>454038.75000000006</v>
      </c>
      <c r="S1989" s="11"/>
      <c r="T1989" s="136">
        <f t="shared" si="553"/>
        <v>0</v>
      </c>
    </row>
    <row r="1990" spans="1:20" ht="15.75" customHeight="1">
      <c r="A1990" s="149" t="s">
        <v>2387</v>
      </c>
      <c r="B1990" s="273">
        <f t="shared" si="554"/>
        <v>673080</v>
      </c>
      <c r="C1990" s="291" t="s">
        <v>1786</v>
      </c>
      <c r="D1990" s="165">
        <v>32950</v>
      </c>
      <c r="E1990" s="131">
        <f t="shared" si="541"/>
        <v>634980</v>
      </c>
      <c r="F1990" s="21" t="s">
        <v>1248</v>
      </c>
      <c r="G1990" s="21">
        <f t="shared" si="550"/>
        <v>701652.9</v>
      </c>
      <c r="H1990" s="135">
        <f t="shared" si="555"/>
        <v>0</v>
      </c>
      <c r="I1990" s="294">
        <v>45329</v>
      </c>
      <c r="J1990" s="294"/>
      <c r="K1990" s="11">
        <f>+'AUMENTOS %'!$D$12*0.5*920260</f>
        <v>460130</v>
      </c>
      <c r="L1990" s="101">
        <f>+'AUMENTOS %'!$C$12*470408*2</f>
        <v>940816</v>
      </c>
      <c r="M1990" s="11"/>
      <c r="N1990" s="100"/>
      <c r="O1990" s="11">
        <f t="shared" si="556"/>
        <v>460130</v>
      </c>
      <c r="P1990" s="11">
        <f>+O1990*'AUMENTOS %'!$D$12</f>
        <v>460130</v>
      </c>
      <c r="Q1990" s="11">
        <v>1.38</v>
      </c>
      <c r="R1990" s="11">
        <f t="shared" si="552"/>
        <v>634979.39999999991</v>
      </c>
      <c r="S1990" s="11"/>
      <c r="T1990" s="136">
        <f t="shared" si="553"/>
        <v>0</v>
      </c>
    </row>
    <row r="1991" spans="1:20" ht="15.75" customHeight="1">
      <c r="A1991" s="149" t="s">
        <v>2387</v>
      </c>
      <c r="B1991" s="273">
        <f t="shared" si="554"/>
        <v>764320</v>
      </c>
      <c r="C1991" s="291" t="s">
        <v>62617</v>
      </c>
      <c r="D1991" s="165"/>
      <c r="E1991" s="131">
        <f t="shared" si="541"/>
        <v>721050</v>
      </c>
      <c r="F1991" s="21" t="s">
        <v>1248</v>
      </c>
      <c r="G1991" s="21">
        <f t="shared" si="550"/>
        <v>796760.25</v>
      </c>
      <c r="H1991" s="135">
        <f t="shared" si="555"/>
        <v>0</v>
      </c>
      <c r="I1991" s="294">
        <v>45329</v>
      </c>
      <c r="J1991" s="294"/>
      <c r="K1991" s="11">
        <f>+'AUMENTOS %'!$D$12*0.5*1045000</f>
        <v>522500</v>
      </c>
      <c r="L1991" s="101"/>
      <c r="M1991" s="11"/>
      <c r="N1991" s="100"/>
      <c r="O1991" s="11">
        <f t="shared" ref="O1991" si="557">MIN(K1991:M1991)</f>
        <v>522500</v>
      </c>
      <c r="P1991" s="11">
        <f>+O1991*'AUMENTOS %'!$D$12</f>
        <v>522500</v>
      </c>
      <c r="Q1991" s="11">
        <v>1.38</v>
      </c>
      <c r="R1991" s="11">
        <f t="shared" ref="R1991" si="558">+P1991*Q1991</f>
        <v>721050</v>
      </c>
      <c r="S1991" s="11"/>
      <c r="T1991" s="136">
        <f t="shared" ref="T1991" si="559">+N1991*Q1991</f>
        <v>0</v>
      </c>
    </row>
    <row r="1992" spans="1:20" ht="15.75" customHeight="1">
      <c r="A1992" s="149">
        <v>38</v>
      </c>
      <c r="B1992" s="273">
        <f t="shared" si="554"/>
        <v>0</v>
      </c>
      <c r="C1992" s="28" t="s">
        <v>2120</v>
      </c>
      <c r="D1992" s="165">
        <v>23800</v>
      </c>
      <c r="E1992" s="131">
        <f t="shared" si="541"/>
        <v>0</v>
      </c>
      <c r="F1992" s="21" t="s">
        <v>1248</v>
      </c>
      <c r="G1992" s="21" t="s">
        <v>4193</v>
      </c>
      <c r="H1992" s="135">
        <f t="shared" si="555"/>
        <v>0</v>
      </c>
      <c r="I1992" s="294">
        <v>44826</v>
      </c>
      <c r="J1992" s="294"/>
      <c r="K1992" s="10">
        <v>35231</v>
      </c>
      <c r="L1992" s="11"/>
      <c r="M1992" s="11">
        <f>+M1990*1.36</f>
        <v>0</v>
      </c>
      <c r="N1992" s="100"/>
      <c r="O1992" s="11">
        <f t="shared" si="556"/>
        <v>0</v>
      </c>
      <c r="P1992" s="11">
        <f t="shared" si="551"/>
        <v>0</v>
      </c>
      <c r="Q1992" s="11">
        <v>1.35</v>
      </c>
      <c r="R1992" s="11">
        <f t="shared" si="552"/>
        <v>0</v>
      </c>
      <c r="S1992" s="11"/>
      <c r="T1992" s="136">
        <f t="shared" si="553"/>
        <v>0</v>
      </c>
    </row>
    <row r="1993" spans="1:20" ht="15.75" customHeight="1">
      <c r="A1993" s="149" t="s">
        <v>2398</v>
      </c>
      <c r="B1993" s="273">
        <f t="shared" si="554"/>
        <v>0</v>
      </c>
      <c r="C1993" s="36" t="s">
        <v>1787</v>
      </c>
      <c r="D1993" s="165">
        <v>7880</v>
      </c>
      <c r="E1993" s="131">
        <f t="shared" si="541"/>
        <v>0</v>
      </c>
      <c r="F1993" s="21" t="s">
        <v>1248</v>
      </c>
      <c r="G1993" s="21">
        <f t="shared" si="550"/>
        <v>0</v>
      </c>
      <c r="H1993" s="135">
        <f t="shared" si="555"/>
        <v>0</v>
      </c>
      <c r="I1993" s="294">
        <v>44778</v>
      </c>
      <c r="J1993" s="294"/>
      <c r="K1993" s="10">
        <f>7919*0.8*0.98*0.94*1.1*1.15*1.15*1.12*1.15*1.15</f>
        <v>12575.241335486367</v>
      </c>
      <c r="L1993" s="38"/>
      <c r="M1993" s="11"/>
      <c r="N1993" s="100"/>
      <c r="O1993" s="11">
        <f t="shared" si="556"/>
        <v>12575.241335486367</v>
      </c>
      <c r="P1993" s="11">
        <f>+O1993*'AUMENTOS %'!$B$5</f>
        <v>12575.241335486367</v>
      </c>
      <c r="Q1993" s="11"/>
      <c r="R1993" s="11">
        <f t="shared" si="552"/>
        <v>0</v>
      </c>
      <c r="S1993" s="11"/>
      <c r="T1993" s="136">
        <f t="shared" ref="T1993:T2024" si="560">+N1993*Q1993</f>
        <v>0</v>
      </c>
    </row>
    <row r="1994" spans="1:20" ht="15.75" customHeight="1">
      <c r="A1994" s="149" t="s">
        <v>2398</v>
      </c>
      <c r="B1994" s="273">
        <f t="shared" si="554"/>
        <v>0</v>
      </c>
      <c r="C1994" s="36" t="s">
        <v>2102</v>
      </c>
      <c r="D1994" s="165">
        <v>13100</v>
      </c>
      <c r="E1994" s="131">
        <f t="shared" ref="E1994:E2062" si="561">ROUNDUP(R1994,-1)</f>
        <v>0</v>
      </c>
      <c r="F1994" s="21" t="s">
        <v>1248</v>
      </c>
      <c r="G1994" s="21">
        <f t="shared" si="550"/>
        <v>0</v>
      </c>
      <c r="H1994" s="135">
        <f t="shared" si="555"/>
        <v>0</v>
      </c>
      <c r="I1994" s="294">
        <v>44778</v>
      </c>
      <c r="J1994" s="294"/>
      <c r="K1994" s="10">
        <f>13167*0.8*0.98*0.94*1.1*1.15*1.15*1.12*1.15*1.15</f>
        <v>20908.978742814619</v>
      </c>
      <c r="L1994" s="38"/>
      <c r="M1994" s="11"/>
      <c r="N1994" s="100"/>
      <c r="O1994" s="11">
        <f t="shared" si="556"/>
        <v>20908.978742814619</v>
      </c>
      <c r="P1994" s="11">
        <f>+O1994*'AUMENTOS %'!$B$5</f>
        <v>20908.978742814619</v>
      </c>
      <c r="Q1994" s="11"/>
      <c r="R1994" s="11">
        <f t="shared" si="552"/>
        <v>0</v>
      </c>
      <c r="S1994" s="11"/>
      <c r="T1994" s="136">
        <f t="shared" si="560"/>
        <v>0</v>
      </c>
    </row>
    <row r="1995" spans="1:20" ht="15.75" customHeight="1">
      <c r="A1995" s="149">
        <v>38</v>
      </c>
      <c r="B1995" s="273">
        <f t="shared" si="554"/>
        <v>306050</v>
      </c>
      <c r="C1995" s="28" t="s">
        <v>44334</v>
      </c>
      <c r="D1995" s="165">
        <v>16590</v>
      </c>
      <c r="E1995" s="131">
        <f t="shared" si="561"/>
        <v>288720</v>
      </c>
      <c r="F1995" s="21" t="s">
        <v>1248</v>
      </c>
      <c r="G1995" s="21">
        <f t="shared" si="550"/>
        <v>319035.59999999998</v>
      </c>
      <c r="H1995" s="135">
        <f t="shared" si="555"/>
        <v>0</v>
      </c>
      <c r="I1995" s="294">
        <v>45293</v>
      </c>
      <c r="J1995" s="294">
        <v>45358</v>
      </c>
      <c r="K1995" s="10">
        <f>+PROVEEDORES!D32*189.63</f>
        <v>199111.5</v>
      </c>
      <c r="L1995" s="10"/>
      <c r="M1995" s="11"/>
      <c r="N1995" s="100"/>
      <c r="O1995" s="11">
        <f t="shared" si="556"/>
        <v>199111.5</v>
      </c>
      <c r="P1995" s="11">
        <f t="shared" si="551"/>
        <v>199111.5</v>
      </c>
      <c r="Q1995" s="11">
        <v>1.45</v>
      </c>
      <c r="R1995" s="11">
        <f t="shared" si="552"/>
        <v>288711.67499999999</v>
      </c>
      <c r="S1995" s="11"/>
      <c r="T1995" s="136">
        <f t="shared" si="560"/>
        <v>0</v>
      </c>
    </row>
    <row r="1996" spans="1:20" ht="15.75" customHeight="1">
      <c r="A1996" s="149">
        <v>12</v>
      </c>
      <c r="B1996" s="273">
        <f>ROUNDUP(E1996*1.06,-1)</f>
        <v>165430</v>
      </c>
      <c r="C1996" s="28" t="s">
        <v>37272</v>
      </c>
      <c r="D1996" s="165">
        <v>16590</v>
      </c>
      <c r="E1996" s="131">
        <f>ROUNDUP(R1996,-1)</f>
        <v>156060</v>
      </c>
      <c r="F1996" s="21" t="s">
        <v>1248</v>
      </c>
      <c r="G1996" s="21">
        <f>+E1996*1.105</f>
        <v>172446.3</v>
      </c>
      <c r="H1996" s="135">
        <f>ROUNDUP(T1996,-1)</f>
        <v>0</v>
      </c>
      <c r="I1996" s="294">
        <v>45274</v>
      </c>
      <c r="J1996" s="294"/>
      <c r="K1996" s="10">
        <v>111466</v>
      </c>
      <c r="L1996" s="10"/>
      <c r="M1996" s="11"/>
      <c r="N1996" s="100"/>
      <c r="O1996" s="11">
        <f>MIN(K1996:M1996)</f>
        <v>111466</v>
      </c>
      <c r="P1996" s="11">
        <f>+O1996</f>
        <v>111466</v>
      </c>
      <c r="Q1996" s="11">
        <v>1.4</v>
      </c>
      <c r="R1996" s="11">
        <f>+P1996*Q1996</f>
        <v>156052.4</v>
      </c>
      <c r="S1996" s="11"/>
      <c r="T1996" s="136">
        <f>+N1996*Q1996</f>
        <v>0</v>
      </c>
    </row>
    <row r="1997" spans="1:20" ht="15.75" customHeight="1">
      <c r="A1997" s="149" t="s">
        <v>2387</v>
      </c>
      <c r="B1997" s="273">
        <f t="shared" si="554"/>
        <v>0</v>
      </c>
      <c r="C1997" s="28" t="s">
        <v>1788</v>
      </c>
      <c r="D1997" s="165">
        <v>10630</v>
      </c>
      <c r="E1997" s="131">
        <f t="shared" si="561"/>
        <v>0</v>
      </c>
      <c r="F1997" s="21" t="s">
        <v>1248</v>
      </c>
      <c r="G1997" s="21">
        <f t="shared" si="550"/>
        <v>0</v>
      </c>
      <c r="H1997" s="135">
        <f t="shared" si="555"/>
        <v>0</v>
      </c>
      <c r="I1997" s="294">
        <v>44687</v>
      </c>
      <c r="J1997" s="294"/>
      <c r="K1997" s="11">
        <f>+PROVEEDORES!D18*0.5*212.69*2</f>
        <v>225451.4</v>
      </c>
      <c r="L1997" s="10">
        <v>18796</v>
      </c>
      <c r="M1997" s="10"/>
      <c r="N1997" s="100"/>
      <c r="O1997" s="11">
        <f t="shared" si="556"/>
        <v>18796</v>
      </c>
      <c r="P1997" s="11">
        <f t="shared" si="551"/>
        <v>18796</v>
      </c>
      <c r="Q1997" s="11"/>
      <c r="R1997" s="11">
        <f t="shared" si="552"/>
        <v>0</v>
      </c>
      <c r="S1997" s="11"/>
      <c r="T1997" s="136">
        <f t="shared" si="560"/>
        <v>0</v>
      </c>
    </row>
    <row r="1998" spans="1:20" ht="15.75" customHeight="1">
      <c r="A1998" s="149" t="s">
        <v>2398</v>
      </c>
      <c r="B1998" s="273">
        <f t="shared" si="554"/>
        <v>582600</v>
      </c>
      <c r="C1998" s="28" t="s">
        <v>37173</v>
      </c>
      <c r="D1998" s="165">
        <v>28120</v>
      </c>
      <c r="E1998" s="131">
        <f t="shared" si="561"/>
        <v>549620</v>
      </c>
      <c r="F1998" s="21" t="s">
        <v>1248</v>
      </c>
      <c r="G1998" s="21">
        <f t="shared" si="550"/>
        <v>607330.1</v>
      </c>
      <c r="H1998" s="135">
        <f t="shared" si="555"/>
        <v>0</v>
      </c>
      <c r="I1998" s="23">
        <v>45323</v>
      </c>
      <c r="J1998" s="294"/>
      <c r="K1998" s="10">
        <f>0.8*0.98*0.94*540424</f>
        <v>398270.87104</v>
      </c>
      <c r="L1998" s="10"/>
      <c r="M1998" s="11"/>
      <c r="N1998" s="100"/>
      <c r="O1998" s="11">
        <f t="shared" si="556"/>
        <v>398270.87104</v>
      </c>
      <c r="P1998" s="11">
        <f>+O1998*'AUMENTOS %'!$B$5</f>
        <v>398270.87104</v>
      </c>
      <c r="Q1998" s="11">
        <v>1.38</v>
      </c>
      <c r="R1998" s="11">
        <f t="shared" si="552"/>
        <v>549613.80203519994</v>
      </c>
      <c r="S1998" s="11"/>
      <c r="T1998" s="136">
        <f t="shared" si="560"/>
        <v>0</v>
      </c>
    </row>
    <row r="1999" spans="1:20" ht="15.75" customHeight="1">
      <c r="A1999" s="149" t="s">
        <v>2417</v>
      </c>
      <c r="B1999" s="273"/>
      <c r="C1999" s="28" t="s">
        <v>37216</v>
      </c>
      <c r="D1999" s="165">
        <v>1610</v>
      </c>
      <c r="E1999" s="131">
        <f t="shared" si="561"/>
        <v>27740</v>
      </c>
      <c r="F1999" s="21">
        <f>+E1999*1.21</f>
        <v>33565.4</v>
      </c>
      <c r="G1999" s="76"/>
      <c r="H1999" s="135">
        <f t="shared" si="555"/>
        <v>27740</v>
      </c>
      <c r="I1999" s="294">
        <v>45173</v>
      </c>
      <c r="J1999" s="294">
        <v>45301</v>
      </c>
      <c r="K1999" s="104">
        <f>+PROVEEDORES!D18*0.5*39.3</f>
        <v>20829</v>
      </c>
      <c r="L1999" s="105">
        <f>3736*5</f>
        <v>18680</v>
      </c>
      <c r="M1999" s="99">
        <f>+PROVEEDORES!$D$32*17.61</f>
        <v>18490.5</v>
      </c>
      <c r="N1999" s="100">
        <f>+PROVEEDORES!D32*17.61</f>
        <v>18490.5</v>
      </c>
      <c r="O1999" s="11">
        <f t="shared" si="556"/>
        <v>18490.5</v>
      </c>
      <c r="P1999" s="11">
        <f t="shared" si="551"/>
        <v>18490.5</v>
      </c>
      <c r="Q1999" s="11">
        <v>1.5</v>
      </c>
      <c r="R1999" s="11">
        <f t="shared" si="552"/>
        <v>27735.75</v>
      </c>
      <c r="S1999" s="11"/>
      <c r="T1999" s="136">
        <f t="shared" si="560"/>
        <v>27735.75</v>
      </c>
    </row>
    <row r="2000" spans="1:20" ht="15.75" customHeight="1">
      <c r="A2000" s="149" t="s">
        <v>2417</v>
      </c>
      <c r="B2000" s="273"/>
      <c r="C2000" s="28" t="s">
        <v>37217</v>
      </c>
      <c r="D2000" s="165">
        <v>1780</v>
      </c>
      <c r="E2000" s="131">
        <f t="shared" si="561"/>
        <v>30430</v>
      </c>
      <c r="F2000" s="21">
        <f>+E2000*1.21</f>
        <v>36820.299999999996</v>
      </c>
      <c r="G2000" s="76"/>
      <c r="H2000" s="135">
        <f t="shared" si="555"/>
        <v>30430</v>
      </c>
      <c r="I2000" s="294">
        <v>45173</v>
      </c>
      <c r="J2000" s="294">
        <v>45301</v>
      </c>
      <c r="K2000" s="104">
        <f>+PROVEEDORES!D18*0.5*43.2</f>
        <v>22896</v>
      </c>
      <c r="L2000" s="105">
        <f>4180*5</f>
        <v>20900</v>
      </c>
      <c r="M2000" s="99">
        <f>+PROVEEDORES!$D$32*19.32</f>
        <v>20286</v>
      </c>
      <c r="N2000" s="100">
        <f>+PROVEEDORES!D32*19.32</f>
        <v>20286</v>
      </c>
      <c r="O2000" s="11">
        <f t="shared" si="556"/>
        <v>20286</v>
      </c>
      <c r="P2000" s="11">
        <f t="shared" si="551"/>
        <v>20286</v>
      </c>
      <c r="Q2000" s="11">
        <v>1.5</v>
      </c>
      <c r="R2000" s="11">
        <f t="shared" si="552"/>
        <v>30429</v>
      </c>
      <c r="S2000" s="11"/>
      <c r="T2000" s="136">
        <f t="shared" si="560"/>
        <v>30429</v>
      </c>
    </row>
    <row r="2001" spans="1:20" ht="15.75" customHeight="1">
      <c r="A2001" s="149" t="s">
        <v>2417</v>
      </c>
      <c r="B2001" s="273"/>
      <c r="C2001" s="28" t="s">
        <v>37218</v>
      </c>
      <c r="D2001" s="165">
        <v>1830</v>
      </c>
      <c r="E2001" s="131">
        <f t="shared" si="561"/>
        <v>31300</v>
      </c>
      <c r="F2001" s="21">
        <f>+E2001*1.21</f>
        <v>37873</v>
      </c>
      <c r="G2001" s="76"/>
      <c r="H2001" s="135">
        <f t="shared" si="555"/>
        <v>31300</v>
      </c>
      <c r="I2001" s="294">
        <v>45173</v>
      </c>
      <c r="J2001" s="294">
        <v>45301</v>
      </c>
      <c r="K2001" s="104">
        <f>+PROVEEDORES!D18*0.5*44.3</f>
        <v>23479</v>
      </c>
      <c r="L2001" s="105">
        <f>4270*5</f>
        <v>21350</v>
      </c>
      <c r="M2001" s="99">
        <f>+PROVEEDORES!$D$32*19.87</f>
        <v>20863.5</v>
      </c>
      <c r="N2001" s="100">
        <f>+PROVEEDORES!D32*19.87</f>
        <v>20863.5</v>
      </c>
      <c r="O2001" s="11">
        <f t="shared" si="556"/>
        <v>20863.5</v>
      </c>
      <c r="P2001" s="11">
        <f t="shared" si="551"/>
        <v>20863.5</v>
      </c>
      <c r="Q2001" s="11">
        <v>1.5</v>
      </c>
      <c r="R2001" s="11">
        <f t="shared" si="552"/>
        <v>31295.25</v>
      </c>
      <c r="S2001" s="11"/>
      <c r="T2001" s="136">
        <f t="shared" si="560"/>
        <v>31295.25</v>
      </c>
    </row>
    <row r="2002" spans="1:20" ht="15.75" customHeight="1">
      <c r="A2002" s="149" t="s">
        <v>2417</v>
      </c>
      <c r="B2002" s="273"/>
      <c r="C2002" s="28" t="s">
        <v>37219</v>
      </c>
      <c r="D2002" s="165">
        <v>2180</v>
      </c>
      <c r="E2002" s="131">
        <f t="shared" si="561"/>
        <v>36700</v>
      </c>
      <c r="F2002" s="21">
        <f>+E2002*1.21</f>
        <v>44407</v>
      </c>
      <c r="G2002" s="76"/>
      <c r="H2002" s="135">
        <f t="shared" si="555"/>
        <v>36700</v>
      </c>
      <c r="I2002" s="294">
        <v>45173</v>
      </c>
      <c r="J2002" s="294">
        <v>45301</v>
      </c>
      <c r="K2002" s="104">
        <f>+PROVEEDORES!D18*0.5*52</f>
        <v>27560</v>
      </c>
      <c r="L2002" s="105">
        <f>4893*5</f>
        <v>24465</v>
      </c>
      <c r="M2002" s="99">
        <f>+PROVEEDORES!$D$32*23.3</f>
        <v>24465</v>
      </c>
      <c r="N2002" s="100">
        <f>+PROVEEDORES!D32*23.3</f>
        <v>24465</v>
      </c>
      <c r="O2002" s="11">
        <f t="shared" si="556"/>
        <v>24465</v>
      </c>
      <c r="P2002" s="11">
        <f t="shared" si="551"/>
        <v>24465</v>
      </c>
      <c r="Q2002" s="11">
        <v>1.5</v>
      </c>
      <c r="R2002" s="11">
        <f t="shared" si="552"/>
        <v>36697.5</v>
      </c>
      <c r="S2002" s="11"/>
      <c r="T2002" s="136">
        <f t="shared" si="560"/>
        <v>36697.5</v>
      </c>
    </row>
    <row r="2003" spans="1:20" ht="15.75" customHeight="1">
      <c r="A2003" s="149">
        <v>106</v>
      </c>
      <c r="B2003" s="273"/>
      <c r="C2003" s="28" t="s">
        <v>3967</v>
      </c>
      <c r="D2003" s="165"/>
      <c r="E2003" s="131">
        <f t="shared" si="561"/>
        <v>17480</v>
      </c>
      <c r="F2003" s="21" t="s">
        <v>1248</v>
      </c>
      <c r="G2003" s="21">
        <f>+E2003*1.105</f>
        <v>19315.400000000001</v>
      </c>
      <c r="H2003" s="135">
        <f t="shared" si="555"/>
        <v>0</v>
      </c>
      <c r="I2003" s="294">
        <v>45274</v>
      </c>
      <c r="J2003" s="294">
        <v>45334</v>
      </c>
      <c r="K2003" s="289">
        <f>0.82*14207</f>
        <v>11649.74</v>
      </c>
      <c r="L2003" s="11"/>
      <c r="M2003" s="11"/>
      <c r="N2003" s="100"/>
      <c r="O2003" s="11">
        <f t="shared" si="556"/>
        <v>11649.74</v>
      </c>
      <c r="P2003" s="11">
        <f t="shared" si="551"/>
        <v>11649.74</v>
      </c>
      <c r="Q2003" s="11">
        <v>1.5</v>
      </c>
      <c r="R2003" s="11">
        <f t="shared" si="552"/>
        <v>17474.61</v>
      </c>
      <c r="S2003" s="11"/>
      <c r="T2003" s="136">
        <f t="shared" si="560"/>
        <v>0</v>
      </c>
    </row>
    <row r="2004" spans="1:20" ht="15.75" customHeight="1">
      <c r="A2004" s="149">
        <v>106</v>
      </c>
      <c r="B2004" s="273"/>
      <c r="C2004" s="28" t="s">
        <v>37224</v>
      </c>
      <c r="D2004" s="165"/>
      <c r="E2004" s="131">
        <f>ROUNDUP(R2004,-1)</f>
        <v>9760</v>
      </c>
      <c r="F2004" s="21" t="s">
        <v>1248</v>
      </c>
      <c r="G2004" s="21">
        <f>+E2004*1.105</f>
        <v>10784.8</v>
      </c>
      <c r="H2004" s="135">
        <f>ROUNDUP(T2004,-1)</f>
        <v>0</v>
      </c>
      <c r="I2004" s="294">
        <v>45274</v>
      </c>
      <c r="J2004" s="294">
        <v>45334</v>
      </c>
      <c r="K2004" s="289">
        <f>0.82*7934</f>
        <v>6505.8799999999992</v>
      </c>
      <c r="L2004" s="11"/>
      <c r="M2004" s="11"/>
      <c r="N2004" s="100"/>
      <c r="O2004" s="11">
        <f>MIN(K2004:M2004)</f>
        <v>6505.8799999999992</v>
      </c>
      <c r="P2004" s="11">
        <f>+O2004</f>
        <v>6505.8799999999992</v>
      </c>
      <c r="Q2004" s="11">
        <v>1.5</v>
      </c>
      <c r="R2004" s="11">
        <f>+P2004*Q2004</f>
        <v>9758.82</v>
      </c>
      <c r="S2004" s="11"/>
      <c r="T2004" s="136">
        <f>+N2004*Q2004</f>
        <v>0</v>
      </c>
    </row>
    <row r="2005" spans="1:20" ht="15.75" customHeight="1">
      <c r="A2005" s="149" t="s">
        <v>2417</v>
      </c>
      <c r="B2005" s="273"/>
      <c r="C2005" s="28" t="s">
        <v>1796</v>
      </c>
      <c r="D2005" s="165">
        <v>540</v>
      </c>
      <c r="E2005" s="131">
        <f t="shared" si="561"/>
        <v>25950</v>
      </c>
      <c r="F2005" s="21">
        <f>+E2005*1.21</f>
        <v>31399.5</v>
      </c>
      <c r="G2005" s="21"/>
      <c r="H2005" s="135">
        <f t="shared" si="555"/>
        <v>22490</v>
      </c>
      <c r="I2005" s="294">
        <v>45173</v>
      </c>
      <c r="J2005" s="294">
        <v>45274</v>
      </c>
      <c r="K2005" s="10"/>
      <c r="L2005" s="11"/>
      <c r="M2005" s="10">
        <f>+PROVEEDORES!$D$32*16.47</f>
        <v>17293.5</v>
      </c>
      <c r="N2005" s="100">
        <v>14988</v>
      </c>
      <c r="O2005" s="11">
        <f t="shared" si="556"/>
        <v>17293.5</v>
      </c>
      <c r="P2005" s="11">
        <f t="shared" si="551"/>
        <v>17293.5</v>
      </c>
      <c r="Q2005" s="11">
        <v>1.5</v>
      </c>
      <c r="R2005" s="11">
        <f t="shared" si="552"/>
        <v>25940.25</v>
      </c>
      <c r="S2005" s="11"/>
      <c r="T2005" s="136">
        <f t="shared" si="560"/>
        <v>22482</v>
      </c>
    </row>
    <row r="2006" spans="1:20" ht="15.75" customHeight="1">
      <c r="A2006" s="149" t="s">
        <v>2417</v>
      </c>
      <c r="B2006" s="273"/>
      <c r="C2006" s="28" t="s">
        <v>2808</v>
      </c>
      <c r="D2006" s="165">
        <v>650</v>
      </c>
      <c r="E2006" s="131">
        <f t="shared" si="561"/>
        <v>27000</v>
      </c>
      <c r="F2006" s="21">
        <f>+E2006*1.21</f>
        <v>32670</v>
      </c>
      <c r="G2006" s="21"/>
      <c r="H2006" s="135">
        <f t="shared" si="555"/>
        <v>23410</v>
      </c>
      <c r="I2006" s="294">
        <v>45173</v>
      </c>
      <c r="J2006" s="294">
        <v>45274</v>
      </c>
      <c r="K2006" s="10"/>
      <c r="L2006" s="11"/>
      <c r="M2006" s="10">
        <f>+PROVEEDORES!$D$32*17.14</f>
        <v>17997</v>
      </c>
      <c r="N2006" s="100">
        <v>15603</v>
      </c>
      <c r="O2006" s="11">
        <f t="shared" si="556"/>
        <v>17997</v>
      </c>
      <c r="P2006" s="11">
        <f t="shared" si="551"/>
        <v>17997</v>
      </c>
      <c r="Q2006" s="11">
        <v>1.5</v>
      </c>
      <c r="R2006" s="11">
        <f t="shared" si="552"/>
        <v>26995.5</v>
      </c>
      <c r="S2006" s="11"/>
      <c r="T2006" s="136">
        <f t="shared" si="560"/>
        <v>23404.5</v>
      </c>
    </row>
    <row r="2007" spans="1:20" ht="15.75" customHeight="1">
      <c r="A2007" s="149" t="s">
        <v>2417</v>
      </c>
      <c r="B2007" s="273"/>
      <c r="C2007" s="28" t="s">
        <v>2807</v>
      </c>
      <c r="D2007" s="165">
        <v>395</v>
      </c>
      <c r="E2007" s="131">
        <f t="shared" si="561"/>
        <v>18040</v>
      </c>
      <c r="F2007" s="21" t="s">
        <v>1248</v>
      </c>
      <c r="G2007" s="21">
        <f>+E2007*1.105</f>
        <v>19934.2</v>
      </c>
      <c r="H2007" s="135">
        <f t="shared" si="555"/>
        <v>15600</v>
      </c>
      <c r="I2007" s="294">
        <v>45173</v>
      </c>
      <c r="J2007" s="294">
        <v>45274</v>
      </c>
      <c r="K2007" s="10"/>
      <c r="L2007" s="11"/>
      <c r="M2007" s="10">
        <f>+PROVEEDORES!$D$32*11.45</f>
        <v>12022.5</v>
      </c>
      <c r="N2007" s="100">
        <v>10399</v>
      </c>
      <c r="O2007" s="11">
        <f t="shared" si="556"/>
        <v>12022.5</v>
      </c>
      <c r="P2007" s="11">
        <f t="shared" si="551"/>
        <v>12022.5</v>
      </c>
      <c r="Q2007" s="11">
        <v>1.5</v>
      </c>
      <c r="R2007" s="11">
        <f t="shared" si="552"/>
        <v>18033.75</v>
      </c>
      <c r="S2007" s="11"/>
      <c r="T2007" s="136">
        <f t="shared" si="560"/>
        <v>15598.5</v>
      </c>
    </row>
    <row r="2008" spans="1:20" ht="15.75" customHeight="1">
      <c r="A2008" s="149" t="s">
        <v>2387</v>
      </c>
      <c r="B2008" s="273"/>
      <c r="C2008" s="28" t="s">
        <v>2121</v>
      </c>
      <c r="D2008" s="71">
        <v>1440</v>
      </c>
      <c r="E2008" s="131">
        <f t="shared" si="561"/>
        <v>22640</v>
      </c>
      <c r="F2008" s="21">
        <f>+E2008*1.21</f>
        <v>27394.399999999998</v>
      </c>
      <c r="G2008" s="21"/>
      <c r="H2008" s="135">
        <f t="shared" si="555"/>
        <v>0</v>
      </c>
      <c r="I2008" s="294">
        <v>45173</v>
      </c>
      <c r="J2008" s="294">
        <v>45175</v>
      </c>
      <c r="K2008" s="11">
        <f>+'AUMENTOS %'!D14*PROVEEDORES!D18*0.5*38.91</f>
        <v>20622.3</v>
      </c>
      <c r="L2008" s="10">
        <f>+'AUMENTOS %'!C14*14601</f>
        <v>14601</v>
      </c>
      <c r="M2008" s="10"/>
      <c r="N2008" s="100"/>
      <c r="O2008" s="11">
        <f t="shared" si="556"/>
        <v>14601</v>
      </c>
      <c r="P2008" s="11">
        <f t="shared" si="551"/>
        <v>14601</v>
      </c>
      <c r="Q2008" s="11">
        <v>1.55</v>
      </c>
      <c r="R2008" s="11">
        <f t="shared" si="552"/>
        <v>22631.55</v>
      </c>
      <c r="S2008" s="11"/>
      <c r="T2008" s="136">
        <f t="shared" si="560"/>
        <v>0</v>
      </c>
    </row>
    <row r="2009" spans="1:20" ht="15.75" customHeight="1">
      <c r="A2009" s="149">
        <v>56</v>
      </c>
      <c r="B2009" s="273"/>
      <c r="C2009" s="28" t="s">
        <v>1797</v>
      </c>
      <c r="D2009" s="167">
        <v>220</v>
      </c>
      <c r="E2009" s="139">
        <f t="shared" si="561"/>
        <v>0</v>
      </c>
      <c r="F2009" s="21"/>
      <c r="G2009" s="21"/>
      <c r="H2009" s="135">
        <f t="shared" si="555"/>
        <v>0</v>
      </c>
      <c r="I2009" s="294">
        <v>43424</v>
      </c>
      <c r="J2009" s="294"/>
      <c r="K2009" s="11">
        <f>150*1.45</f>
        <v>217.5</v>
      </c>
      <c r="L2009" s="11"/>
      <c r="M2009" s="11"/>
      <c r="N2009" s="100"/>
      <c r="O2009" s="11">
        <f t="shared" si="556"/>
        <v>217.5</v>
      </c>
      <c r="P2009" s="11">
        <f t="shared" si="551"/>
        <v>217.5</v>
      </c>
      <c r="Q2009" s="11"/>
      <c r="R2009" s="11">
        <f t="shared" si="552"/>
        <v>0</v>
      </c>
      <c r="S2009" s="11"/>
      <c r="T2009" s="136">
        <f t="shared" si="560"/>
        <v>0</v>
      </c>
    </row>
    <row r="2010" spans="1:20" ht="15.75" customHeight="1">
      <c r="A2010" s="149">
        <v>41</v>
      </c>
      <c r="B2010" s="273"/>
      <c r="C2010" s="28" t="s">
        <v>2825</v>
      </c>
      <c r="D2010" s="165">
        <v>300</v>
      </c>
      <c r="E2010" s="131">
        <f t="shared" si="561"/>
        <v>7550</v>
      </c>
      <c r="F2010" s="21">
        <f>+E2010*1.21</f>
        <v>9135.5</v>
      </c>
      <c r="G2010" s="21"/>
      <c r="H2010" s="135">
        <f t="shared" si="555"/>
        <v>7580</v>
      </c>
      <c r="I2010" s="294">
        <v>45311</v>
      </c>
      <c r="J2010" s="294"/>
      <c r="K2010" s="11">
        <f>PROVEEDORES!$D$35*0.9*0.9*6</f>
        <v>5200.2000000000007</v>
      </c>
      <c r="L2010" s="11"/>
      <c r="M2010" s="11"/>
      <c r="N2010" s="11">
        <f>0.9*0.95*0.95*6435</f>
        <v>5226.8287499999997</v>
      </c>
      <c r="O2010" s="11">
        <f t="shared" si="556"/>
        <v>5200.2000000000007</v>
      </c>
      <c r="P2010" s="11">
        <f t="shared" si="551"/>
        <v>5200.2000000000007</v>
      </c>
      <c r="Q2010" s="11">
        <v>1.45</v>
      </c>
      <c r="R2010" s="11">
        <f t="shared" si="552"/>
        <v>7540.2900000000009</v>
      </c>
      <c r="S2010" s="11"/>
      <c r="T2010" s="136">
        <f t="shared" si="560"/>
        <v>7578.9016874999988</v>
      </c>
    </row>
    <row r="2011" spans="1:20" ht="15.75" customHeight="1">
      <c r="A2011" s="149">
        <v>56</v>
      </c>
      <c r="B2011" s="273"/>
      <c r="C2011" s="28" t="s">
        <v>1798</v>
      </c>
      <c r="D2011" s="167">
        <v>220</v>
      </c>
      <c r="E2011" s="139">
        <f t="shared" si="561"/>
        <v>0</v>
      </c>
      <c r="F2011" s="21">
        <f>+E2011*1.21</f>
        <v>0</v>
      </c>
      <c r="G2011" s="21"/>
      <c r="H2011" s="135">
        <f t="shared" si="555"/>
        <v>0</v>
      </c>
      <c r="I2011" s="294">
        <v>43424</v>
      </c>
      <c r="J2011" s="294"/>
      <c r="K2011" s="11">
        <f>150*1.45</f>
        <v>217.5</v>
      </c>
      <c r="L2011" s="11"/>
      <c r="M2011" s="11"/>
      <c r="N2011" s="100"/>
      <c r="O2011" s="11">
        <f t="shared" si="556"/>
        <v>217.5</v>
      </c>
      <c r="P2011" s="11">
        <f t="shared" si="551"/>
        <v>217.5</v>
      </c>
      <c r="Q2011" s="11"/>
      <c r="R2011" s="11">
        <f t="shared" si="552"/>
        <v>0</v>
      </c>
      <c r="S2011" s="11"/>
      <c r="T2011" s="136">
        <f t="shared" si="560"/>
        <v>0</v>
      </c>
    </row>
    <row r="2012" spans="1:20" ht="15.75" customHeight="1">
      <c r="A2012" s="149">
        <v>41</v>
      </c>
      <c r="B2012" s="273"/>
      <c r="C2012" s="28" t="s">
        <v>2826</v>
      </c>
      <c r="D2012" s="71">
        <v>390</v>
      </c>
      <c r="E2012" s="131">
        <f t="shared" si="561"/>
        <v>10160</v>
      </c>
      <c r="F2012" s="21">
        <f>+E2012*1.21</f>
        <v>12293.6</v>
      </c>
      <c r="G2012" s="21">
        <v>9800</v>
      </c>
      <c r="H2012" s="135">
        <f t="shared" si="555"/>
        <v>9030</v>
      </c>
      <c r="I2012" s="294">
        <v>45311</v>
      </c>
      <c r="J2012" s="294"/>
      <c r="K2012" s="11">
        <f>PROVEEDORES!$D$35*0.9*0.9*7.1*1.1</f>
        <v>6768.9270000000006</v>
      </c>
      <c r="L2012" s="11"/>
      <c r="M2012" s="11"/>
      <c r="N2012" s="11">
        <f>0.9*0.95*0.95*7410</f>
        <v>6018.7724999999991</v>
      </c>
      <c r="O2012" s="11">
        <f t="shared" si="556"/>
        <v>6768.9270000000006</v>
      </c>
      <c r="P2012" s="11">
        <f t="shared" si="551"/>
        <v>6768.9270000000006</v>
      </c>
      <c r="Q2012" s="11">
        <v>1.5</v>
      </c>
      <c r="R2012" s="11">
        <f t="shared" si="552"/>
        <v>10153.390500000001</v>
      </c>
      <c r="S2012" s="11"/>
      <c r="T2012" s="136">
        <f t="shared" si="560"/>
        <v>9028.1587499999987</v>
      </c>
    </row>
    <row r="2013" spans="1:20" ht="15.75" customHeight="1">
      <c r="A2013" s="149"/>
      <c r="B2013" s="273"/>
      <c r="C2013" s="28" t="s">
        <v>1799</v>
      </c>
      <c r="D2013" s="165"/>
      <c r="E2013" s="131">
        <f t="shared" si="561"/>
        <v>0</v>
      </c>
      <c r="F2013" s="21"/>
      <c r="G2013" s="21"/>
      <c r="H2013" s="135">
        <f t="shared" si="555"/>
        <v>0</v>
      </c>
      <c r="I2013" s="294"/>
      <c r="J2013" s="294"/>
      <c r="K2013" s="10"/>
      <c r="L2013" s="11"/>
      <c r="M2013" s="11"/>
      <c r="N2013" s="100"/>
      <c r="O2013" s="11">
        <f t="shared" si="556"/>
        <v>0</v>
      </c>
      <c r="P2013" s="11">
        <f t="shared" si="551"/>
        <v>0</v>
      </c>
      <c r="Q2013" s="11"/>
      <c r="R2013" s="11">
        <f t="shared" si="552"/>
        <v>0</v>
      </c>
      <c r="S2013" s="11"/>
      <c r="T2013" s="136">
        <f t="shared" si="560"/>
        <v>0</v>
      </c>
    </row>
    <row r="2014" spans="1:20" ht="15.75" customHeight="1">
      <c r="A2014" s="149">
        <v>30</v>
      </c>
      <c r="B2014" s="273"/>
      <c r="C2014" s="28" t="s">
        <v>2569</v>
      </c>
      <c r="D2014" s="71">
        <v>1590</v>
      </c>
      <c r="E2014" s="131">
        <f t="shared" si="561"/>
        <v>50100</v>
      </c>
      <c r="F2014" s="21">
        <f t="shared" ref="F2014:F2048" si="562">+E2014*1.21</f>
        <v>60621</v>
      </c>
      <c r="G2014" s="21"/>
      <c r="H2014" s="135">
        <f t="shared" si="555"/>
        <v>0</v>
      </c>
      <c r="I2014" s="294">
        <v>45278</v>
      </c>
      <c r="J2014" s="294"/>
      <c r="K2014" s="11">
        <f>0.67*PROVEEDORES!D24*58.27</f>
        <v>34551.196500000005</v>
      </c>
      <c r="L2014" s="10"/>
      <c r="M2014" s="10"/>
      <c r="N2014" s="100"/>
      <c r="O2014" s="11">
        <f t="shared" si="556"/>
        <v>34551.196500000005</v>
      </c>
      <c r="P2014" s="11">
        <f t="shared" ref="P2014:P2075" si="563">+O2014</f>
        <v>34551.196500000005</v>
      </c>
      <c r="Q2014" s="11">
        <v>1.45</v>
      </c>
      <c r="R2014" s="11">
        <f t="shared" ref="R2014:R2075" si="564">+P2014*Q2014</f>
        <v>50099.234925000004</v>
      </c>
      <c r="S2014" s="11"/>
      <c r="T2014" s="136">
        <f t="shared" si="560"/>
        <v>0</v>
      </c>
    </row>
    <row r="2015" spans="1:20" ht="15.75" customHeight="1">
      <c r="A2015" s="149">
        <v>21</v>
      </c>
      <c r="B2015" s="273"/>
      <c r="C2015" s="28" t="s">
        <v>2498</v>
      </c>
      <c r="D2015" s="71"/>
      <c r="E2015" s="131">
        <f t="shared" si="561"/>
        <v>0</v>
      </c>
      <c r="F2015" s="21">
        <f t="shared" si="562"/>
        <v>0</v>
      </c>
      <c r="G2015" s="21"/>
      <c r="H2015" s="135">
        <f t="shared" si="555"/>
        <v>0</v>
      </c>
      <c r="I2015" s="294"/>
      <c r="J2015" s="294">
        <v>44209</v>
      </c>
      <c r="K2015" s="10">
        <f>0.6*2260.44*1.1</f>
        <v>1491.8904</v>
      </c>
      <c r="L2015" s="10">
        <f>1636*0.65*1.4</f>
        <v>1488.76</v>
      </c>
      <c r="M2015" s="11"/>
      <c r="N2015" s="100"/>
      <c r="O2015" s="11">
        <f t="shared" si="556"/>
        <v>1488.76</v>
      </c>
      <c r="P2015" s="11">
        <f t="shared" si="563"/>
        <v>1488.76</v>
      </c>
      <c r="Q2015" s="11"/>
      <c r="R2015" s="11">
        <f t="shared" si="564"/>
        <v>0</v>
      </c>
      <c r="S2015" s="11"/>
      <c r="T2015" s="136">
        <f t="shared" si="560"/>
        <v>0</v>
      </c>
    </row>
    <row r="2016" spans="1:20" ht="15.75" customHeight="1">
      <c r="A2016" s="149">
        <v>21</v>
      </c>
      <c r="B2016" s="273"/>
      <c r="C2016" s="28" t="s">
        <v>2499</v>
      </c>
      <c r="D2016" s="71"/>
      <c r="E2016" s="131">
        <f t="shared" si="561"/>
        <v>0</v>
      </c>
      <c r="F2016" s="21">
        <f t="shared" si="562"/>
        <v>0</v>
      </c>
      <c r="G2016" s="21"/>
      <c r="H2016" s="135">
        <f t="shared" si="555"/>
        <v>0</v>
      </c>
      <c r="I2016" s="294"/>
      <c r="J2016" s="294">
        <v>44209</v>
      </c>
      <c r="K2016" s="10">
        <f>0.6*6541</f>
        <v>3924.6</v>
      </c>
      <c r="L2016" s="10">
        <f>2768*0.65*1.4*1.6</f>
        <v>4030.2080000000005</v>
      </c>
      <c r="M2016" s="11"/>
      <c r="N2016" s="100"/>
      <c r="O2016" s="11">
        <f t="shared" si="556"/>
        <v>3924.6</v>
      </c>
      <c r="P2016" s="11">
        <f t="shared" si="563"/>
        <v>3924.6</v>
      </c>
      <c r="Q2016" s="11"/>
      <c r="R2016" s="11">
        <f t="shared" si="564"/>
        <v>0</v>
      </c>
      <c r="S2016" s="11"/>
      <c r="T2016" s="136">
        <f t="shared" si="560"/>
        <v>0</v>
      </c>
    </row>
    <row r="2017" spans="1:20" ht="15.75" customHeight="1">
      <c r="A2017" s="149">
        <v>30</v>
      </c>
      <c r="B2017" s="273"/>
      <c r="C2017" s="28" t="s">
        <v>1800</v>
      </c>
      <c r="D2017" s="71">
        <v>5170</v>
      </c>
      <c r="E2017" s="131">
        <f t="shared" si="561"/>
        <v>111300</v>
      </c>
      <c r="F2017" s="21">
        <f t="shared" si="562"/>
        <v>134673</v>
      </c>
      <c r="G2017" s="21"/>
      <c r="H2017" s="135">
        <f t="shared" si="555"/>
        <v>0</v>
      </c>
      <c r="I2017" s="294">
        <v>45278</v>
      </c>
      <c r="J2017" s="294"/>
      <c r="K2017" s="11">
        <f>0.67*PROVEEDORES!D24*129.45</f>
        <v>76757.377500000002</v>
      </c>
      <c r="L2017" s="11">
        <f>29350.34*0.6*0.59*0.95*10</f>
        <v>98705.193419999981</v>
      </c>
      <c r="M2017" s="11"/>
      <c r="N2017" s="100"/>
      <c r="O2017" s="11">
        <f t="shared" si="556"/>
        <v>76757.377500000002</v>
      </c>
      <c r="P2017" s="11">
        <f t="shared" si="563"/>
        <v>76757.377500000002</v>
      </c>
      <c r="Q2017" s="11">
        <v>1.45</v>
      </c>
      <c r="R2017" s="11">
        <f t="shared" si="564"/>
        <v>111298.197375</v>
      </c>
      <c r="S2017" s="11"/>
      <c r="T2017" s="136">
        <f t="shared" si="560"/>
        <v>0</v>
      </c>
    </row>
    <row r="2018" spans="1:20" ht="15.75" customHeight="1">
      <c r="A2018" s="149" t="s">
        <v>2398</v>
      </c>
      <c r="B2018" s="273">
        <f>ROUNDUP(E2018*1.105,-1)</f>
        <v>206600</v>
      </c>
      <c r="C2018" s="28" t="s">
        <v>37176</v>
      </c>
      <c r="D2018" s="71">
        <v>10600</v>
      </c>
      <c r="E2018" s="131">
        <f t="shared" si="561"/>
        <v>186960</v>
      </c>
      <c r="F2018" s="21">
        <f t="shared" si="562"/>
        <v>226221.6</v>
      </c>
      <c r="G2018" s="21"/>
      <c r="H2018" s="135">
        <f t="shared" si="555"/>
        <v>0</v>
      </c>
      <c r="I2018" s="23">
        <v>45323</v>
      </c>
      <c r="J2018" s="294"/>
      <c r="K2018" s="10">
        <f>0.8*0.98*0.94*183826</f>
        <v>135472.40896</v>
      </c>
      <c r="L2018" s="10"/>
      <c r="M2018" s="11"/>
      <c r="N2018" s="100"/>
      <c r="O2018" s="11">
        <f t="shared" si="556"/>
        <v>135472.40896</v>
      </c>
      <c r="P2018" s="11">
        <f>+O2018*'AUMENTOS %'!$B$5</f>
        <v>135472.40896</v>
      </c>
      <c r="Q2018" s="11">
        <v>1.38</v>
      </c>
      <c r="R2018" s="11">
        <f t="shared" si="564"/>
        <v>186951.92436479998</v>
      </c>
      <c r="S2018" s="11"/>
      <c r="T2018" s="136">
        <f t="shared" si="560"/>
        <v>0</v>
      </c>
    </row>
    <row r="2019" spans="1:20" ht="15.75" customHeight="1">
      <c r="A2019" s="149">
        <v>38</v>
      </c>
      <c r="B2019" s="273"/>
      <c r="C2019" s="28" t="s">
        <v>2122</v>
      </c>
      <c r="D2019" s="71">
        <v>2140</v>
      </c>
      <c r="E2019" s="131">
        <f t="shared" si="561"/>
        <v>41400</v>
      </c>
      <c r="F2019" s="21">
        <f t="shared" si="562"/>
        <v>50094</v>
      </c>
      <c r="G2019" s="21"/>
      <c r="H2019" s="135">
        <f t="shared" si="555"/>
        <v>35870</v>
      </c>
      <c r="I2019" s="294">
        <v>45138</v>
      </c>
      <c r="J2019" s="294">
        <v>45274</v>
      </c>
      <c r="K2019" s="10">
        <f>+PROVEEDORES!$D$32*26.28</f>
        <v>27594</v>
      </c>
      <c r="L2019" s="11"/>
      <c r="M2019" s="11"/>
      <c r="N2019" s="100">
        <v>23912</v>
      </c>
      <c r="O2019" s="11">
        <f t="shared" si="556"/>
        <v>27594</v>
      </c>
      <c r="P2019" s="11">
        <f t="shared" si="563"/>
        <v>27594</v>
      </c>
      <c r="Q2019" s="11">
        <v>1.5</v>
      </c>
      <c r="R2019" s="11">
        <f t="shared" si="564"/>
        <v>41391</v>
      </c>
      <c r="S2019" s="11"/>
      <c r="T2019" s="136">
        <f t="shared" si="560"/>
        <v>35868</v>
      </c>
    </row>
    <row r="2020" spans="1:20" ht="15.75" customHeight="1">
      <c r="A2020" s="149">
        <v>38</v>
      </c>
      <c r="B2020" s="273"/>
      <c r="C2020" s="28" t="s">
        <v>4219</v>
      </c>
      <c r="D2020" s="71">
        <v>2140</v>
      </c>
      <c r="E2020" s="131">
        <f>ROUNDUP(R2020,-1)</f>
        <v>64300</v>
      </c>
      <c r="F2020" s="21">
        <f>+E2020*1.21</f>
        <v>77803</v>
      </c>
      <c r="G2020" s="21"/>
      <c r="H2020" s="135">
        <f>ROUNDUP(T2020,-1)</f>
        <v>55730</v>
      </c>
      <c r="I2020" s="294">
        <v>45138</v>
      </c>
      <c r="J2020" s="294">
        <v>45274</v>
      </c>
      <c r="K2020" s="10">
        <f>+PROVEEDORES!$D$32*40.82</f>
        <v>42861</v>
      </c>
      <c r="L2020" s="11"/>
      <c r="M2020" s="11"/>
      <c r="N2020" s="100">
        <v>37147</v>
      </c>
      <c r="O2020" s="11">
        <f>MIN(K2020:M2020)</f>
        <v>42861</v>
      </c>
      <c r="P2020" s="11">
        <f t="shared" si="563"/>
        <v>42861</v>
      </c>
      <c r="Q2020" s="11">
        <v>1.5</v>
      </c>
      <c r="R2020" s="11">
        <f t="shared" si="564"/>
        <v>64291.5</v>
      </c>
      <c r="S2020" s="11"/>
      <c r="T2020" s="136">
        <f>+N2020*Q2020</f>
        <v>55720.5</v>
      </c>
    </row>
    <row r="2021" spans="1:20" ht="15.75" customHeight="1">
      <c r="A2021" s="149"/>
      <c r="B2021" s="273"/>
      <c r="C2021" s="28" t="s">
        <v>2168</v>
      </c>
      <c r="D2021" s="71">
        <v>370</v>
      </c>
      <c r="E2021" s="131">
        <f t="shared" si="561"/>
        <v>0</v>
      </c>
      <c r="F2021" s="21">
        <f t="shared" si="562"/>
        <v>0</v>
      </c>
      <c r="G2021" s="21"/>
      <c r="H2021" s="135">
        <f t="shared" si="555"/>
        <v>0</v>
      </c>
      <c r="I2021" s="294">
        <v>43354</v>
      </c>
      <c r="J2021" s="294"/>
      <c r="K2021" s="10">
        <f>248*1.5</f>
        <v>372</v>
      </c>
      <c r="L2021" s="11"/>
      <c r="M2021" s="11"/>
      <c r="N2021" s="100"/>
      <c r="O2021" s="11">
        <f t="shared" si="556"/>
        <v>372</v>
      </c>
      <c r="P2021" s="11">
        <f>+O2021*'AUMENTOS %'!$D$12</f>
        <v>372</v>
      </c>
      <c r="Q2021" s="11"/>
      <c r="R2021" s="11">
        <f t="shared" si="564"/>
        <v>0</v>
      </c>
      <c r="S2021" s="11"/>
      <c r="T2021" s="136">
        <f t="shared" si="560"/>
        <v>0</v>
      </c>
    </row>
    <row r="2022" spans="1:20" ht="15.75" customHeight="1">
      <c r="A2022" s="149"/>
      <c r="B2022" s="273"/>
      <c r="C2022" s="28" t="s">
        <v>2169</v>
      </c>
      <c r="D2022" s="71">
        <v>2120</v>
      </c>
      <c r="E2022" s="131">
        <f t="shared" si="561"/>
        <v>0</v>
      </c>
      <c r="F2022" s="21">
        <f t="shared" si="562"/>
        <v>0</v>
      </c>
      <c r="G2022" s="21"/>
      <c r="H2022" s="135">
        <f t="shared" si="555"/>
        <v>0</v>
      </c>
      <c r="I2022" s="294"/>
      <c r="J2022" s="294">
        <v>43798</v>
      </c>
      <c r="K2022" s="10">
        <f>1323*1.6</f>
        <v>2116.8000000000002</v>
      </c>
      <c r="L2022" s="11"/>
      <c r="M2022" s="11"/>
      <c r="N2022" s="100"/>
      <c r="O2022" s="11">
        <f t="shared" si="556"/>
        <v>2116.8000000000002</v>
      </c>
      <c r="P2022" s="11">
        <f>+O2022*'AUMENTOS %'!$D$12</f>
        <v>2116.8000000000002</v>
      </c>
      <c r="Q2022" s="11"/>
      <c r="R2022" s="11">
        <f t="shared" si="564"/>
        <v>0</v>
      </c>
      <c r="S2022" s="11"/>
      <c r="T2022" s="136">
        <f t="shared" si="560"/>
        <v>0</v>
      </c>
    </row>
    <row r="2023" spans="1:20" ht="15.75" customHeight="1">
      <c r="A2023" s="149" t="s">
        <v>2418</v>
      </c>
      <c r="B2023" s="273"/>
      <c r="C2023" s="28" t="s">
        <v>3684</v>
      </c>
      <c r="D2023" s="71">
        <v>830</v>
      </c>
      <c r="E2023" s="131">
        <f t="shared" si="561"/>
        <v>17470</v>
      </c>
      <c r="F2023" s="21">
        <f t="shared" si="562"/>
        <v>21138.7</v>
      </c>
      <c r="G2023" s="21"/>
      <c r="H2023" s="135">
        <f t="shared" si="555"/>
        <v>0</v>
      </c>
      <c r="I2023" s="294">
        <v>45217</v>
      </c>
      <c r="J2023" s="294">
        <v>45329</v>
      </c>
      <c r="K2023" s="10">
        <f>0.6*19409</f>
        <v>11645.4</v>
      </c>
      <c r="L2023" s="10"/>
      <c r="M2023" s="10"/>
      <c r="N2023" s="100"/>
      <c r="O2023" s="11">
        <f t="shared" si="556"/>
        <v>11645.4</v>
      </c>
      <c r="P2023" s="11">
        <f t="shared" si="563"/>
        <v>11645.4</v>
      </c>
      <c r="Q2023" s="11">
        <v>1.5</v>
      </c>
      <c r="R2023" s="11">
        <f t="shared" si="564"/>
        <v>17468.099999999999</v>
      </c>
      <c r="S2023" s="11"/>
      <c r="T2023" s="136">
        <f t="shared" si="560"/>
        <v>0</v>
      </c>
    </row>
    <row r="2024" spans="1:20" ht="15.75" customHeight="1">
      <c r="A2024" s="149" t="s">
        <v>2418</v>
      </c>
      <c r="B2024" s="273"/>
      <c r="C2024" s="28" t="s">
        <v>3685</v>
      </c>
      <c r="D2024" s="71">
        <v>800</v>
      </c>
      <c r="E2024" s="131">
        <f t="shared" si="561"/>
        <v>15700</v>
      </c>
      <c r="F2024" s="21">
        <f t="shared" si="562"/>
        <v>18997</v>
      </c>
      <c r="G2024" s="21"/>
      <c r="H2024" s="135">
        <f t="shared" si="555"/>
        <v>0</v>
      </c>
      <c r="I2024" s="294">
        <v>45217</v>
      </c>
      <c r="J2024" s="294">
        <v>45329</v>
      </c>
      <c r="K2024" s="10">
        <f>0.6*17436</f>
        <v>10461.6</v>
      </c>
      <c r="L2024" s="10"/>
      <c r="M2024" s="10"/>
      <c r="N2024" s="100"/>
      <c r="O2024" s="11">
        <f t="shared" si="556"/>
        <v>10461.6</v>
      </c>
      <c r="P2024" s="11">
        <f t="shared" si="563"/>
        <v>10461.6</v>
      </c>
      <c r="Q2024" s="11">
        <v>1.5</v>
      </c>
      <c r="R2024" s="11">
        <f t="shared" si="564"/>
        <v>15692.400000000001</v>
      </c>
      <c r="S2024" s="11"/>
      <c r="T2024" s="136">
        <f t="shared" si="560"/>
        <v>0</v>
      </c>
    </row>
    <row r="2025" spans="1:20" ht="15.75" customHeight="1">
      <c r="A2025" s="149" t="s">
        <v>2418</v>
      </c>
      <c r="B2025" s="273"/>
      <c r="C2025" s="28" t="s">
        <v>3686</v>
      </c>
      <c r="D2025" s="71">
        <v>1610</v>
      </c>
      <c r="E2025" s="131">
        <f t="shared" si="561"/>
        <v>30680</v>
      </c>
      <c r="F2025" s="21">
        <f t="shared" si="562"/>
        <v>37122.799999999996</v>
      </c>
      <c r="G2025" s="21"/>
      <c r="H2025" s="135">
        <f t="shared" si="555"/>
        <v>0</v>
      </c>
      <c r="I2025" s="294">
        <v>45217</v>
      </c>
      <c r="J2025" s="294">
        <v>45359</v>
      </c>
      <c r="K2025" s="11">
        <f>0.6*34080</f>
        <v>20448</v>
      </c>
      <c r="L2025" s="11"/>
      <c r="M2025" s="11"/>
      <c r="N2025" s="100"/>
      <c r="O2025" s="11">
        <f t="shared" si="556"/>
        <v>20448</v>
      </c>
      <c r="P2025" s="11">
        <f t="shared" si="563"/>
        <v>20448</v>
      </c>
      <c r="Q2025" s="11">
        <v>1.5</v>
      </c>
      <c r="R2025" s="11">
        <f t="shared" si="564"/>
        <v>30672</v>
      </c>
      <c r="S2025" s="11"/>
      <c r="T2025" s="136">
        <f t="shared" ref="T2025:T2049" si="565">+N2025*Q2025</f>
        <v>0</v>
      </c>
    </row>
    <row r="2026" spans="1:20" ht="15.75" customHeight="1">
      <c r="A2026" s="149">
        <v>21</v>
      </c>
      <c r="B2026" s="273"/>
      <c r="C2026" s="28" t="s">
        <v>4508</v>
      </c>
      <c r="D2026" s="71">
        <v>1610</v>
      </c>
      <c r="E2026" s="131">
        <f>ROUNDUP(R2026,-1)</f>
        <v>38510</v>
      </c>
      <c r="F2026" s="21">
        <f>+E2026*1.21</f>
        <v>46597.1</v>
      </c>
      <c r="G2026" s="21"/>
      <c r="H2026" s="135">
        <f>ROUNDUP(T2026,-1)</f>
        <v>0</v>
      </c>
      <c r="I2026" s="294">
        <v>45217</v>
      </c>
      <c r="J2026" s="294">
        <v>45329</v>
      </c>
      <c r="K2026" s="11">
        <f>0.6*40748*1.05</f>
        <v>25671.24</v>
      </c>
      <c r="L2026" s="11"/>
      <c r="M2026" s="11"/>
      <c r="N2026" s="100"/>
      <c r="O2026" s="11">
        <f>MIN(K2026:M2026)</f>
        <v>25671.24</v>
      </c>
      <c r="P2026" s="11">
        <f>+O2026</f>
        <v>25671.24</v>
      </c>
      <c r="Q2026" s="11">
        <v>1.5</v>
      </c>
      <c r="R2026" s="11">
        <f>+P2026*Q2026</f>
        <v>38506.86</v>
      </c>
      <c r="S2026" s="11"/>
      <c r="T2026" s="136">
        <f>+N2026*Q2026</f>
        <v>0</v>
      </c>
    </row>
    <row r="2027" spans="1:20" ht="15.75" customHeight="1">
      <c r="A2027" s="149" t="s">
        <v>2418</v>
      </c>
      <c r="B2027" s="273"/>
      <c r="C2027" s="28" t="s">
        <v>3825</v>
      </c>
      <c r="D2027" s="71"/>
      <c r="E2027" s="131">
        <f t="shared" si="561"/>
        <v>11930</v>
      </c>
      <c r="F2027" s="21">
        <f t="shared" si="562"/>
        <v>14435.3</v>
      </c>
      <c r="G2027" s="21"/>
      <c r="H2027" s="135">
        <f t="shared" si="555"/>
        <v>0</v>
      </c>
      <c r="I2027" s="294">
        <v>45217</v>
      </c>
      <c r="J2027" s="294">
        <v>45329</v>
      </c>
      <c r="K2027" s="10">
        <f>0.6*13250</f>
        <v>7950</v>
      </c>
      <c r="L2027" s="32"/>
      <c r="M2027" s="11"/>
      <c r="N2027" s="100"/>
      <c r="O2027" s="11">
        <f t="shared" si="556"/>
        <v>7950</v>
      </c>
      <c r="P2027" s="11">
        <f t="shared" si="563"/>
        <v>7950</v>
      </c>
      <c r="Q2027" s="11">
        <v>1.5</v>
      </c>
      <c r="R2027" s="11">
        <f t="shared" si="564"/>
        <v>11925</v>
      </c>
      <c r="S2027" s="11"/>
      <c r="T2027" s="136">
        <f t="shared" si="565"/>
        <v>0</v>
      </c>
    </row>
    <row r="2028" spans="1:20" ht="15.75" customHeight="1">
      <c r="A2028" s="149" t="s">
        <v>2418</v>
      </c>
      <c r="B2028" s="273">
        <f t="shared" ref="B2028:B2046" si="566">ROUNDUP(E2028*1.105,-1)</f>
        <v>31070</v>
      </c>
      <c r="C2028" s="28" t="s">
        <v>3873</v>
      </c>
      <c r="D2028" s="71"/>
      <c r="E2028" s="131">
        <f t="shared" si="561"/>
        <v>28110</v>
      </c>
      <c r="F2028" s="21">
        <f t="shared" si="562"/>
        <v>34013.1</v>
      </c>
      <c r="G2028" s="21"/>
      <c r="H2028" s="135">
        <f t="shared" si="555"/>
        <v>0</v>
      </c>
      <c r="I2028" s="294">
        <v>45217</v>
      </c>
      <c r="J2028" s="294">
        <v>45359</v>
      </c>
      <c r="K2028" s="32">
        <f>0.6*31228</f>
        <v>18736.8</v>
      </c>
      <c r="L2028" s="32"/>
      <c r="M2028" s="11"/>
      <c r="N2028" s="100"/>
      <c r="O2028" s="11">
        <f t="shared" si="556"/>
        <v>18736.8</v>
      </c>
      <c r="P2028" s="11">
        <f t="shared" si="563"/>
        <v>18736.8</v>
      </c>
      <c r="Q2028" s="11">
        <v>1.5</v>
      </c>
      <c r="R2028" s="11">
        <f t="shared" si="564"/>
        <v>28105.199999999997</v>
      </c>
      <c r="S2028" s="11"/>
      <c r="T2028" s="136">
        <f t="shared" si="565"/>
        <v>0</v>
      </c>
    </row>
    <row r="2029" spans="1:20" ht="15.75" customHeight="1">
      <c r="A2029" s="149">
        <v>101</v>
      </c>
      <c r="B2029" s="273"/>
      <c r="C2029" s="28" t="s">
        <v>3917</v>
      </c>
      <c r="D2029" s="71">
        <v>1150</v>
      </c>
      <c r="E2029" s="131">
        <f t="shared" si="561"/>
        <v>22520</v>
      </c>
      <c r="F2029" s="21">
        <f t="shared" si="562"/>
        <v>27249.200000000001</v>
      </c>
      <c r="G2029" s="21"/>
      <c r="H2029" s="135">
        <f t="shared" si="555"/>
        <v>0</v>
      </c>
      <c r="I2029" s="294">
        <v>45254</v>
      </c>
      <c r="J2029" s="40">
        <v>45351</v>
      </c>
      <c r="K2029" s="10">
        <f>0.7*0.9*23829</f>
        <v>15012.27</v>
      </c>
      <c r="L2029" s="10" t="s">
        <v>4502</v>
      </c>
      <c r="M2029" s="11"/>
      <c r="N2029" s="100"/>
      <c r="O2029" s="11">
        <f t="shared" si="556"/>
        <v>15012.27</v>
      </c>
      <c r="P2029" s="11">
        <f t="shared" si="563"/>
        <v>15012.27</v>
      </c>
      <c r="Q2029" s="11">
        <v>1.5</v>
      </c>
      <c r="R2029" s="11">
        <f t="shared" si="564"/>
        <v>22518.404999999999</v>
      </c>
      <c r="S2029" s="11"/>
      <c r="T2029" s="136">
        <f t="shared" si="565"/>
        <v>0</v>
      </c>
    </row>
    <row r="2030" spans="1:20" ht="15.75" customHeight="1">
      <c r="A2030" s="149">
        <v>21</v>
      </c>
      <c r="B2030" s="273">
        <f t="shared" si="566"/>
        <v>27320</v>
      </c>
      <c r="C2030" s="28" t="s">
        <v>2896</v>
      </c>
      <c r="D2030" s="71">
        <v>1420</v>
      </c>
      <c r="E2030" s="131">
        <f t="shared" si="561"/>
        <v>24720</v>
      </c>
      <c r="F2030" s="21">
        <f t="shared" si="562"/>
        <v>29911.200000000001</v>
      </c>
      <c r="G2030" s="44"/>
      <c r="H2030" s="135">
        <f t="shared" si="555"/>
        <v>0</v>
      </c>
      <c r="I2030" s="294">
        <v>45273</v>
      </c>
      <c r="J2030" s="294">
        <v>45329</v>
      </c>
      <c r="K2030" s="11">
        <f>0.6*29417</f>
        <v>17650.2</v>
      </c>
      <c r="L2030" s="11"/>
      <c r="M2030" s="11"/>
      <c r="N2030" s="100"/>
      <c r="O2030" s="11">
        <f t="shared" si="556"/>
        <v>17650.2</v>
      </c>
      <c r="P2030" s="11">
        <f t="shared" si="563"/>
        <v>17650.2</v>
      </c>
      <c r="Q2030" s="11">
        <v>1.4</v>
      </c>
      <c r="R2030" s="11">
        <f t="shared" si="564"/>
        <v>24710.28</v>
      </c>
      <c r="S2030" s="11"/>
      <c r="T2030" s="136">
        <f t="shared" si="565"/>
        <v>0</v>
      </c>
    </row>
    <row r="2031" spans="1:20" ht="15.75" customHeight="1">
      <c r="A2031" s="149">
        <v>21</v>
      </c>
      <c r="B2031" s="273">
        <f t="shared" si="566"/>
        <v>50590</v>
      </c>
      <c r="C2031" s="28" t="s">
        <v>2898</v>
      </c>
      <c r="D2031" s="71">
        <v>2370</v>
      </c>
      <c r="E2031" s="131">
        <f t="shared" si="561"/>
        <v>45780</v>
      </c>
      <c r="F2031" s="21">
        <f t="shared" si="562"/>
        <v>55393.799999999996</v>
      </c>
      <c r="G2031" s="21"/>
      <c r="H2031" s="135">
        <f t="shared" si="555"/>
        <v>0</v>
      </c>
      <c r="I2031" s="294">
        <v>45273</v>
      </c>
      <c r="J2031" s="40">
        <v>45329</v>
      </c>
      <c r="K2031" s="10">
        <f>0.6*54495</f>
        <v>32697</v>
      </c>
      <c r="L2031" s="10"/>
      <c r="M2031" s="11"/>
      <c r="N2031" s="100"/>
      <c r="O2031" s="11">
        <f t="shared" si="556"/>
        <v>32697</v>
      </c>
      <c r="P2031" s="11">
        <f t="shared" si="563"/>
        <v>32697</v>
      </c>
      <c r="Q2031" s="11">
        <v>1.4</v>
      </c>
      <c r="R2031" s="11">
        <f t="shared" si="564"/>
        <v>45775.799999999996</v>
      </c>
      <c r="S2031" s="11"/>
      <c r="T2031" s="136">
        <f t="shared" si="565"/>
        <v>0</v>
      </c>
    </row>
    <row r="2032" spans="1:20" ht="15.75" customHeight="1">
      <c r="A2032" s="149">
        <v>21</v>
      </c>
      <c r="B2032" s="273">
        <f t="shared" si="566"/>
        <v>40200</v>
      </c>
      <c r="C2032" s="28" t="s">
        <v>2897</v>
      </c>
      <c r="D2032" s="71">
        <v>1980</v>
      </c>
      <c r="E2032" s="131">
        <f t="shared" si="561"/>
        <v>36380</v>
      </c>
      <c r="F2032" s="21">
        <f t="shared" si="562"/>
        <v>44019.799999999996</v>
      </c>
      <c r="G2032" s="21"/>
      <c r="H2032" s="135">
        <f t="shared" si="555"/>
        <v>0</v>
      </c>
      <c r="I2032" s="294">
        <v>45273</v>
      </c>
      <c r="J2032" s="40">
        <v>45359</v>
      </c>
      <c r="K2032" s="11">
        <f>0.6*43301</f>
        <v>25980.6</v>
      </c>
      <c r="L2032" s="11"/>
      <c r="M2032" s="11"/>
      <c r="N2032" s="100"/>
      <c r="O2032" s="11">
        <f t="shared" si="556"/>
        <v>25980.6</v>
      </c>
      <c r="P2032" s="11">
        <f t="shared" si="563"/>
        <v>25980.6</v>
      </c>
      <c r="Q2032" s="11">
        <v>1.4</v>
      </c>
      <c r="R2032" s="11">
        <f t="shared" si="564"/>
        <v>36372.839999999997</v>
      </c>
      <c r="S2032" s="11"/>
      <c r="T2032" s="136">
        <f t="shared" si="565"/>
        <v>0</v>
      </c>
    </row>
    <row r="2033" spans="1:20" ht="15.75" customHeight="1">
      <c r="A2033" s="149">
        <v>38</v>
      </c>
      <c r="B2033" s="273"/>
      <c r="C2033" s="28" t="s">
        <v>62671</v>
      </c>
      <c r="D2033" s="71">
        <v>1150</v>
      </c>
      <c r="E2033" s="131">
        <f t="shared" ref="E2033" si="567">ROUNDUP(R2033,-1)</f>
        <v>9080</v>
      </c>
      <c r="F2033" s="21">
        <f t="shared" ref="F2033" si="568">+E2033*1.21</f>
        <v>10986.8</v>
      </c>
      <c r="G2033" s="21"/>
      <c r="H2033" s="135">
        <f t="shared" ref="H2033" si="569">ROUNDUP(T2033,-1)</f>
        <v>0</v>
      </c>
      <c r="I2033" s="294">
        <v>45369</v>
      </c>
      <c r="J2033" s="40"/>
      <c r="K2033" s="10">
        <v>6480</v>
      </c>
      <c r="L2033" s="10"/>
      <c r="M2033" s="11"/>
      <c r="N2033" s="100"/>
      <c r="O2033" s="11">
        <f t="shared" ref="O2033" si="570">MIN(K2033:M2033)</f>
        <v>6480</v>
      </c>
      <c r="P2033" s="11">
        <f t="shared" ref="P2033" si="571">+O2033</f>
        <v>6480</v>
      </c>
      <c r="Q2033" s="11">
        <v>1.4</v>
      </c>
      <c r="R2033" s="11">
        <f t="shared" ref="R2033" si="572">+P2033*Q2033</f>
        <v>9072</v>
      </c>
      <c r="S2033" s="11"/>
      <c r="T2033" s="136">
        <f t="shared" ref="T2033" si="573">+N2033*Q2033</f>
        <v>0</v>
      </c>
    </row>
    <row r="2034" spans="1:20" ht="15.75" customHeight="1">
      <c r="A2034" s="149">
        <v>102</v>
      </c>
      <c r="B2034" s="273"/>
      <c r="C2034" s="28" t="s">
        <v>4072</v>
      </c>
      <c r="D2034" s="71">
        <v>1150</v>
      </c>
      <c r="E2034" s="131">
        <f t="shared" si="561"/>
        <v>11600</v>
      </c>
      <c r="F2034" s="21">
        <f t="shared" si="562"/>
        <v>14036</v>
      </c>
      <c r="G2034" s="21"/>
      <c r="H2034" s="135">
        <f t="shared" si="555"/>
        <v>0</v>
      </c>
      <c r="I2034" s="294">
        <v>45306</v>
      </c>
      <c r="J2034" s="40">
        <v>45364</v>
      </c>
      <c r="K2034" s="10">
        <v>8283</v>
      </c>
      <c r="L2034" s="10"/>
      <c r="M2034" s="11"/>
      <c r="N2034" s="100"/>
      <c r="O2034" s="11">
        <f t="shared" si="556"/>
        <v>8283</v>
      </c>
      <c r="P2034" s="11">
        <f t="shared" si="563"/>
        <v>8283</v>
      </c>
      <c r="Q2034" s="11">
        <v>1.4</v>
      </c>
      <c r="R2034" s="11">
        <f t="shared" si="564"/>
        <v>11596.199999999999</v>
      </c>
      <c r="S2034" s="11"/>
      <c r="T2034" s="136">
        <f t="shared" si="565"/>
        <v>0</v>
      </c>
    </row>
    <row r="2035" spans="1:20" ht="15.75" customHeight="1">
      <c r="A2035" s="149">
        <v>102</v>
      </c>
      <c r="B2035" s="273"/>
      <c r="C2035" s="28" t="s">
        <v>44347</v>
      </c>
      <c r="D2035" s="71">
        <v>1150</v>
      </c>
      <c r="E2035" s="131">
        <f t="shared" ref="E2035" si="574">ROUNDUP(R2035,-1)</f>
        <v>22420</v>
      </c>
      <c r="F2035" s="21">
        <f t="shared" ref="F2035" si="575">+E2035*1.21</f>
        <v>27128.2</v>
      </c>
      <c r="G2035" s="21"/>
      <c r="H2035" s="135">
        <f t="shared" ref="H2035" si="576">ROUNDUP(T2035,-1)</f>
        <v>0</v>
      </c>
      <c r="I2035" s="294">
        <v>45306</v>
      </c>
      <c r="J2035" s="40"/>
      <c r="K2035" s="10">
        <v>16011</v>
      </c>
      <c r="L2035" s="10"/>
      <c r="M2035" s="11"/>
      <c r="N2035" s="100"/>
      <c r="O2035" s="11">
        <f t="shared" ref="O2035" si="577">MIN(K2035:M2035)</f>
        <v>16011</v>
      </c>
      <c r="P2035" s="11">
        <f t="shared" ref="P2035" si="578">+O2035</f>
        <v>16011</v>
      </c>
      <c r="Q2035" s="11">
        <v>1.4</v>
      </c>
      <c r="R2035" s="11">
        <f t="shared" ref="R2035" si="579">+P2035*Q2035</f>
        <v>22415.399999999998</v>
      </c>
      <c r="S2035" s="11"/>
      <c r="T2035" s="136">
        <f t="shared" ref="T2035" si="580">+N2035*Q2035</f>
        <v>0</v>
      </c>
    </row>
    <row r="2036" spans="1:20" ht="15.75" customHeight="1">
      <c r="A2036" s="149">
        <v>21</v>
      </c>
      <c r="B2036" s="273">
        <f t="shared" si="566"/>
        <v>37220</v>
      </c>
      <c r="C2036" s="28" t="s">
        <v>2899</v>
      </c>
      <c r="D2036" s="71">
        <v>1830</v>
      </c>
      <c r="E2036" s="131">
        <f t="shared" si="561"/>
        <v>33680</v>
      </c>
      <c r="F2036" s="21">
        <f t="shared" si="562"/>
        <v>40752.799999999996</v>
      </c>
      <c r="G2036" s="21"/>
      <c r="H2036" s="135">
        <f t="shared" si="555"/>
        <v>0</v>
      </c>
      <c r="I2036" s="294">
        <v>45273</v>
      </c>
      <c r="J2036" s="294">
        <v>45329</v>
      </c>
      <c r="K2036" s="11">
        <f>0.6*40093</f>
        <v>24055.8</v>
      </c>
      <c r="L2036" s="11"/>
      <c r="M2036" s="11"/>
      <c r="N2036" s="100"/>
      <c r="O2036" s="11">
        <f t="shared" si="556"/>
        <v>24055.8</v>
      </c>
      <c r="P2036" s="11">
        <f t="shared" si="563"/>
        <v>24055.8</v>
      </c>
      <c r="Q2036" s="11">
        <v>1.4</v>
      </c>
      <c r="R2036" s="11">
        <f t="shared" si="564"/>
        <v>33678.119999999995</v>
      </c>
      <c r="S2036" s="11"/>
      <c r="T2036" s="136">
        <f t="shared" si="565"/>
        <v>0</v>
      </c>
    </row>
    <row r="2037" spans="1:20" ht="15.75" customHeight="1">
      <c r="A2037" s="149" t="s">
        <v>2418</v>
      </c>
      <c r="B2037" s="273">
        <f t="shared" si="566"/>
        <v>40070</v>
      </c>
      <c r="C2037" s="28" t="s">
        <v>3687</v>
      </c>
      <c r="D2037" s="71">
        <v>1890</v>
      </c>
      <c r="E2037" s="131">
        <f t="shared" si="561"/>
        <v>36260</v>
      </c>
      <c r="F2037" s="21">
        <f t="shared" si="562"/>
        <v>43874.6</v>
      </c>
      <c r="G2037" s="21"/>
      <c r="H2037" s="135">
        <f t="shared" si="555"/>
        <v>0</v>
      </c>
      <c r="I2037" s="294">
        <v>45217</v>
      </c>
      <c r="J2037" s="294">
        <v>45329</v>
      </c>
      <c r="K2037" s="11">
        <f>0.6*40287</f>
        <v>24172.2</v>
      </c>
      <c r="L2037" s="11"/>
      <c r="M2037" s="11"/>
      <c r="N2037" s="100"/>
      <c r="O2037" s="11">
        <f t="shared" si="556"/>
        <v>24172.2</v>
      </c>
      <c r="P2037" s="11">
        <f t="shared" si="563"/>
        <v>24172.2</v>
      </c>
      <c r="Q2037" s="11">
        <v>1.5</v>
      </c>
      <c r="R2037" s="11">
        <f t="shared" si="564"/>
        <v>36258.300000000003</v>
      </c>
      <c r="S2037" s="11"/>
      <c r="T2037" s="136">
        <f t="shared" si="565"/>
        <v>0</v>
      </c>
    </row>
    <row r="2038" spans="1:20" ht="15.75" customHeight="1">
      <c r="A2038" s="149">
        <v>21</v>
      </c>
      <c r="B2038" s="273">
        <f t="shared" si="566"/>
        <v>45310</v>
      </c>
      <c r="C2038" s="28" t="s">
        <v>2900</v>
      </c>
      <c r="D2038" s="71">
        <v>2230</v>
      </c>
      <c r="E2038" s="131">
        <f t="shared" si="561"/>
        <v>41000</v>
      </c>
      <c r="F2038" s="21">
        <f t="shared" si="562"/>
        <v>49610</v>
      </c>
      <c r="G2038" s="21"/>
      <c r="H2038" s="135">
        <f t="shared" si="555"/>
        <v>0</v>
      </c>
      <c r="I2038" s="294">
        <v>45273</v>
      </c>
      <c r="J2038" s="294">
        <v>45329</v>
      </c>
      <c r="K2038" s="11">
        <f>0.6*48808</f>
        <v>29284.799999999999</v>
      </c>
      <c r="L2038" s="11"/>
      <c r="M2038" s="11"/>
      <c r="N2038" s="100"/>
      <c r="O2038" s="11">
        <f t="shared" si="556"/>
        <v>29284.799999999999</v>
      </c>
      <c r="P2038" s="11">
        <f t="shared" si="563"/>
        <v>29284.799999999999</v>
      </c>
      <c r="Q2038" s="11">
        <v>1.4</v>
      </c>
      <c r="R2038" s="11">
        <f t="shared" si="564"/>
        <v>40998.719999999994</v>
      </c>
      <c r="S2038" s="11"/>
      <c r="T2038" s="136">
        <f t="shared" si="565"/>
        <v>0</v>
      </c>
    </row>
    <row r="2039" spans="1:20" ht="15.75" customHeight="1">
      <c r="A2039" s="149">
        <v>21</v>
      </c>
      <c r="B2039" s="273"/>
      <c r="C2039" s="28" t="s">
        <v>3432</v>
      </c>
      <c r="D2039" s="71">
        <v>3050</v>
      </c>
      <c r="E2039" s="131">
        <f t="shared" si="561"/>
        <v>47430</v>
      </c>
      <c r="F2039" s="21">
        <f t="shared" si="562"/>
        <v>57390.299999999996</v>
      </c>
      <c r="G2039" s="70"/>
      <c r="H2039" s="135">
        <f t="shared" si="555"/>
        <v>0</v>
      </c>
      <c r="I2039" s="294">
        <v>45274</v>
      </c>
      <c r="J2039" s="294"/>
      <c r="K2039" s="10">
        <f>0.6*54517</f>
        <v>32710.199999999997</v>
      </c>
      <c r="L2039" s="11"/>
      <c r="M2039" s="11"/>
      <c r="N2039" s="100"/>
      <c r="O2039" s="11">
        <f t="shared" si="556"/>
        <v>32710.199999999997</v>
      </c>
      <c r="P2039" s="11">
        <f t="shared" si="563"/>
        <v>32710.199999999997</v>
      </c>
      <c r="Q2039" s="11">
        <v>1.45</v>
      </c>
      <c r="R2039" s="11">
        <f t="shared" si="564"/>
        <v>47429.789999999994</v>
      </c>
      <c r="S2039" s="11"/>
      <c r="T2039" s="136">
        <f t="shared" si="565"/>
        <v>0</v>
      </c>
    </row>
    <row r="2040" spans="1:20" ht="15.75" customHeight="1">
      <c r="A2040" s="149">
        <v>21</v>
      </c>
      <c r="B2040" s="273"/>
      <c r="C2040" s="28" t="s">
        <v>3753</v>
      </c>
      <c r="D2040" s="71"/>
      <c r="E2040" s="131">
        <f t="shared" si="561"/>
        <v>14280</v>
      </c>
      <c r="F2040" s="21">
        <f t="shared" si="562"/>
        <v>17278.8</v>
      </c>
      <c r="G2040" s="21"/>
      <c r="H2040" s="135">
        <f t="shared" si="555"/>
        <v>0</v>
      </c>
      <c r="I2040" s="294">
        <v>45274</v>
      </c>
      <c r="J2040" s="294"/>
      <c r="K2040" s="10">
        <f>0.6*16404</f>
        <v>9842.4</v>
      </c>
      <c r="L2040" s="11"/>
      <c r="M2040" s="11"/>
      <c r="N2040" s="100"/>
      <c r="O2040" s="11">
        <f t="shared" si="556"/>
        <v>9842.4</v>
      </c>
      <c r="P2040" s="11">
        <f t="shared" si="563"/>
        <v>9842.4</v>
      </c>
      <c r="Q2040" s="11">
        <v>1.45</v>
      </c>
      <c r="R2040" s="11">
        <f t="shared" si="564"/>
        <v>14271.48</v>
      </c>
      <c r="S2040" s="11"/>
      <c r="T2040" s="136">
        <f t="shared" si="565"/>
        <v>0</v>
      </c>
    </row>
    <row r="2041" spans="1:20" ht="15.75" customHeight="1">
      <c r="A2041" s="149" t="s">
        <v>2418</v>
      </c>
      <c r="B2041" s="273">
        <f t="shared" si="566"/>
        <v>54300</v>
      </c>
      <c r="C2041" s="28" t="s">
        <v>3642</v>
      </c>
      <c r="D2041" s="71">
        <v>2540</v>
      </c>
      <c r="E2041" s="131">
        <f t="shared" si="561"/>
        <v>49140</v>
      </c>
      <c r="F2041" s="21">
        <f t="shared" si="562"/>
        <v>59459.4</v>
      </c>
      <c r="G2041" s="21"/>
      <c r="H2041" s="135">
        <f t="shared" si="555"/>
        <v>0</v>
      </c>
      <c r="I2041" s="294">
        <v>45217</v>
      </c>
      <c r="J2041" s="294">
        <v>45329</v>
      </c>
      <c r="K2041" s="11">
        <f>0.6*54589</f>
        <v>32753.399999999998</v>
      </c>
      <c r="L2041" s="11"/>
      <c r="M2041" s="11"/>
      <c r="N2041" s="100"/>
      <c r="O2041" s="11">
        <f t="shared" si="556"/>
        <v>32753.399999999998</v>
      </c>
      <c r="P2041" s="11">
        <f t="shared" si="563"/>
        <v>32753.399999999998</v>
      </c>
      <c r="Q2041" s="11">
        <v>1.5</v>
      </c>
      <c r="R2041" s="11">
        <f t="shared" si="564"/>
        <v>49130.1</v>
      </c>
      <c r="S2041" s="11"/>
      <c r="T2041" s="136">
        <f t="shared" si="565"/>
        <v>0</v>
      </c>
    </row>
    <row r="2042" spans="1:20" ht="15.75" customHeight="1">
      <c r="A2042" s="149" t="s">
        <v>2418</v>
      </c>
      <c r="B2042" s="273">
        <f t="shared" si="566"/>
        <v>37640</v>
      </c>
      <c r="C2042" s="28" t="s">
        <v>3688</v>
      </c>
      <c r="D2042" s="71">
        <v>1610</v>
      </c>
      <c r="E2042" s="131">
        <f t="shared" si="561"/>
        <v>34060</v>
      </c>
      <c r="F2042" s="21">
        <f t="shared" si="562"/>
        <v>41212.6</v>
      </c>
      <c r="G2042" s="21"/>
      <c r="H2042" s="135">
        <f t="shared" si="555"/>
        <v>0</v>
      </c>
      <c r="I2042" s="294">
        <v>45217</v>
      </c>
      <c r="J2042" s="294">
        <v>45329</v>
      </c>
      <c r="K2042" s="11">
        <f>0.6*37840</f>
        <v>22704</v>
      </c>
      <c r="L2042" s="11"/>
      <c r="M2042" s="11"/>
      <c r="N2042" s="100"/>
      <c r="O2042" s="11">
        <f t="shared" si="556"/>
        <v>22704</v>
      </c>
      <c r="P2042" s="11">
        <f t="shared" si="563"/>
        <v>22704</v>
      </c>
      <c r="Q2042" s="11">
        <v>1.5</v>
      </c>
      <c r="R2042" s="11">
        <f t="shared" si="564"/>
        <v>34056</v>
      </c>
      <c r="S2042" s="11"/>
      <c r="T2042" s="136">
        <f t="shared" si="565"/>
        <v>0</v>
      </c>
    </row>
    <row r="2043" spans="1:20" ht="15.75" customHeight="1">
      <c r="A2043" s="149" t="s">
        <v>2418</v>
      </c>
      <c r="B2043" s="273">
        <f t="shared" si="566"/>
        <v>31070</v>
      </c>
      <c r="C2043" s="28" t="s">
        <v>3704</v>
      </c>
      <c r="D2043" s="71"/>
      <c r="E2043" s="131">
        <f t="shared" si="561"/>
        <v>28110</v>
      </c>
      <c r="F2043" s="21">
        <f t="shared" si="562"/>
        <v>34013.1</v>
      </c>
      <c r="G2043" s="21"/>
      <c r="H2043" s="135">
        <f t="shared" ref="H2043:H2067" si="581">ROUNDUP(T2043,-1)</f>
        <v>0</v>
      </c>
      <c r="I2043" s="294">
        <v>45217</v>
      </c>
      <c r="J2043" s="294">
        <v>45359</v>
      </c>
      <c r="K2043" s="32">
        <f>0.6*31228</f>
        <v>18736.8</v>
      </c>
      <c r="L2043" s="32"/>
      <c r="M2043" s="11"/>
      <c r="N2043" s="100"/>
      <c r="O2043" s="11">
        <f t="shared" si="556"/>
        <v>18736.8</v>
      </c>
      <c r="P2043" s="11">
        <f t="shared" si="563"/>
        <v>18736.8</v>
      </c>
      <c r="Q2043" s="11">
        <v>1.5</v>
      </c>
      <c r="R2043" s="11">
        <f t="shared" si="564"/>
        <v>28105.199999999997</v>
      </c>
      <c r="S2043" s="11"/>
      <c r="T2043" s="136">
        <f t="shared" si="565"/>
        <v>0</v>
      </c>
    </row>
    <row r="2044" spans="1:20" ht="15.75" customHeight="1">
      <c r="A2044" s="149">
        <v>21</v>
      </c>
      <c r="B2044" s="273">
        <f t="shared" si="566"/>
        <v>27320</v>
      </c>
      <c r="C2044" s="28" t="s">
        <v>2901</v>
      </c>
      <c r="D2044" s="71">
        <v>1420</v>
      </c>
      <c r="E2044" s="131">
        <f t="shared" si="561"/>
        <v>24720</v>
      </c>
      <c r="F2044" s="21">
        <f t="shared" si="562"/>
        <v>29911.200000000001</v>
      </c>
      <c r="G2044" s="21"/>
      <c r="H2044" s="135">
        <f t="shared" si="581"/>
        <v>0</v>
      </c>
      <c r="I2044" s="294">
        <v>45273</v>
      </c>
      <c r="J2044" s="294">
        <v>45359</v>
      </c>
      <c r="K2044" s="11">
        <f>0.6*29418</f>
        <v>17650.8</v>
      </c>
      <c r="L2044" s="11"/>
      <c r="M2044" s="11"/>
      <c r="N2044" s="100"/>
      <c r="O2044" s="11">
        <f t="shared" si="556"/>
        <v>17650.8</v>
      </c>
      <c r="P2044" s="11">
        <f t="shared" si="563"/>
        <v>17650.8</v>
      </c>
      <c r="Q2044" s="11">
        <v>1.4</v>
      </c>
      <c r="R2044" s="11">
        <f t="shared" si="564"/>
        <v>24711.119999999999</v>
      </c>
      <c r="S2044" s="11"/>
      <c r="T2044" s="136">
        <f t="shared" si="565"/>
        <v>0</v>
      </c>
    </row>
    <row r="2045" spans="1:20" ht="15.75" customHeight="1">
      <c r="A2045" s="149">
        <v>21</v>
      </c>
      <c r="B2045" s="273">
        <f t="shared" si="566"/>
        <v>50590</v>
      </c>
      <c r="C2045" s="28" t="s">
        <v>3513</v>
      </c>
      <c r="D2045" s="71">
        <v>2510</v>
      </c>
      <c r="E2045" s="131">
        <f t="shared" si="561"/>
        <v>45780</v>
      </c>
      <c r="F2045" s="21">
        <f t="shared" si="562"/>
        <v>55393.799999999996</v>
      </c>
      <c r="G2045" s="21"/>
      <c r="H2045" s="135">
        <f t="shared" si="581"/>
        <v>0</v>
      </c>
      <c r="I2045" s="294">
        <v>45273</v>
      </c>
      <c r="J2045" s="294">
        <v>45359</v>
      </c>
      <c r="K2045" s="11">
        <f>0.6*54495</f>
        <v>32697</v>
      </c>
      <c r="L2045" s="11"/>
      <c r="M2045" s="11"/>
      <c r="N2045" s="100"/>
      <c r="O2045" s="11">
        <f t="shared" si="556"/>
        <v>32697</v>
      </c>
      <c r="P2045" s="11">
        <f t="shared" si="563"/>
        <v>32697</v>
      </c>
      <c r="Q2045" s="11">
        <v>1.4</v>
      </c>
      <c r="R2045" s="11">
        <f t="shared" si="564"/>
        <v>45775.799999999996</v>
      </c>
      <c r="S2045" s="11"/>
      <c r="T2045" s="136">
        <f t="shared" si="565"/>
        <v>0</v>
      </c>
    </row>
    <row r="2046" spans="1:20" ht="15.75" customHeight="1">
      <c r="A2046" s="149">
        <v>21</v>
      </c>
      <c r="B2046" s="273">
        <f t="shared" si="566"/>
        <v>40200</v>
      </c>
      <c r="C2046" s="28" t="s">
        <v>2902</v>
      </c>
      <c r="D2046" s="71">
        <v>1980</v>
      </c>
      <c r="E2046" s="131">
        <f t="shared" si="561"/>
        <v>36380</v>
      </c>
      <c r="F2046" s="21">
        <f t="shared" si="562"/>
        <v>44019.799999999996</v>
      </c>
      <c r="G2046" s="21"/>
      <c r="H2046" s="135">
        <f t="shared" si="581"/>
        <v>0</v>
      </c>
      <c r="I2046" s="294">
        <v>45273</v>
      </c>
      <c r="J2046" s="294">
        <v>45329</v>
      </c>
      <c r="K2046" s="11">
        <f>0.6*43301</f>
        <v>25980.6</v>
      </c>
      <c r="L2046" s="11"/>
      <c r="M2046" s="11"/>
      <c r="N2046" s="11"/>
      <c r="O2046" s="11">
        <f t="shared" si="556"/>
        <v>25980.6</v>
      </c>
      <c r="P2046" s="11">
        <f t="shared" si="563"/>
        <v>25980.6</v>
      </c>
      <c r="Q2046" s="11">
        <v>1.4</v>
      </c>
      <c r="R2046" s="11">
        <f t="shared" si="564"/>
        <v>36372.839999999997</v>
      </c>
      <c r="S2046" s="11"/>
      <c r="T2046" s="136">
        <f t="shared" si="565"/>
        <v>0</v>
      </c>
    </row>
    <row r="2047" spans="1:20" ht="15.75" customHeight="1">
      <c r="A2047" s="149">
        <v>101</v>
      </c>
      <c r="B2047" s="273"/>
      <c r="C2047" s="28" t="s">
        <v>44294</v>
      </c>
      <c r="D2047" s="71"/>
      <c r="E2047" s="131">
        <f t="shared" si="561"/>
        <v>28380</v>
      </c>
      <c r="F2047" s="21">
        <f t="shared" si="562"/>
        <v>34339.799999999996</v>
      </c>
      <c r="G2047" s="21"/>
      <c r="H2047" s="135">
        <f t="shared" si="581"/>
        <v>0</v>
      </c>
      <c r="I2047" s="294">
        <v>45254</v>
      </c>
      <c r="J2047" s="294">
        <v>45343</v>
      </c>
      <c r="K2047" s="11">
        <f>0.7*0.9*30024</f>
        <v>18915.12</v>
      </c>
      <c r="L2047" s="11"/>
      <c r="M2047" s="11"/>
      <c r="N2047" s="100"/>
      <c r="O2047" s="11">
        <f t="shared" si="556"/>
        <v>18915.12</v>
      </c>
      <c r="P2047" s="11">
        <f t="shared" si="563"/>
        <v>18915.12</v>
      </c>
      <c r="Q2047" s="11">
        <v>1.5</v>
      </c>
      <c r="R2047" s="11">
        <f t="shared" si="564"/>
        <v>28372.68</v>
      </c>
      <c r="S2047" s="11"/>
      <c r="T2047" s="136">
        <f t="shared" si="565"/>
        <v>0</v>
      </c>
    </row>
    <row r="2048" spans="1:20" ht="15.75" customHeight="1">
      <c r="A2048" s="149"/>
      <c r="B2048" s="273"/>
      <c r="C2048" s="28" t="s">
        <v>1801</v>
      </c>
      <c r="D2048" s="71">
        <v>305</v>
      </c>
      <c r="E2048" s="131">
        <f t="shared" si="561"/>
        <v>0</v>
      </c>
      <c r="F2048" s="21">
        <f t="shared" si="562"/>
        <v>0</v>
      </c>
      <c r="G2048" s="21"/>
      <c r="H2048" s="135">
        <f t="shared" si="581"/>
        <v>0</v>
      </c>
      <c r="I2048" s="294"/>
      <c r="J2048" s="294">
        <v>42214</v>
      </c>
      <c r="K2048" s="10">
        <f>216*1.4</f>
        <v>302.39999999999998</v>
      </c>
      <c r="L2048" s="11"/>
      <c r="M2048" s="11"/>
      <c r="N2048" s="100"/>
      <c r="O2048" s="11">
        <f t="shared" si="556"/>
        <v>302.39999999999998</v>
      </c>
      <c r="P2048" s="11">
        <f t="shared" si="563"/>
        <v>302.39999999999998</v>
      </c>
      <c r="Q2048" s="11"/>
      <c r="R2048" s="11">
        <f t="shared" si="564"/>
        <v>0</v>
      </c>
      <c r="S2048" s="11"/>
      <c r="T2048" s="136">
        <f t="shared" si="565"/>
        <v>0</v>
      </c>
    </row>
    <row r="2049" spans="1:20" ht="15.75" customHeight="1">
      <c r="A2049" s="149">
        <v>55</v>
      </c>
      <c r="B2049" s="273"/>
      <c r="C2049" s="28" t="s">
        <v>1802</v>
      </c>
      <c r="D2049" s="71">
        <v>500</v>
      </c>
      <c r="E2049" s="131">
        <f t="shared" si="561"/>
        <v>11230</v>
      </c>
      <c r="F2049" s="21">
        <f t="shared" ref="F2049:F2080" si="582">+E2049*1.21</f>
        <v>13588.3</v>
      </c>
      <c r="G2049" s="21"/>
      <c r="H2049" s="135">
        <f t="shared" si="581"/>
        <v>0</v>
      </c>
      <c r="I2049" s="294">
        <v>45344</v>
      </c>
      <c r="J2049" s="40"/>
      <c r="K2049" s="11">
        <f>7060*1.06</f>
        <v>7483.6</v>
      </c>
      <c r="L2049" s="11"/>
      <c r="M2049" s="11"/>
      <c r="N2049" s="100"/>
      <c r="O2049" s="11">
        <f t="shared" si="556"/>
        <v>7483.6</v>
      </c>
      <c r="P2049" s="11">
        <f t="shared" si="563"/>
        <v>7483.6</v>
      </c>
      <c r="Q2049" s="11">
        <v>1.5</v>
      </c>
      <c r="R2049" s="11">
        <f t="shared" si="564"/>
        <v>11225.400000000001</v>
      </c>
      <c r="S2049" s="11"/>
      <c r="T2049" s="136">
        <f t="shared" si="565"/>
        <v>0</v>
      </c>
    </row>
    <row r="2050" spans="1:20" ht="15.75" customHeight="1">
      <c r="A2050" s="149">
        <v>55</v>
      </c>
      <c r="B2050" s="273"/>
      <c r="C2050" s="28" t="s">
        <v>1803</v>
      </c>
      <c r="D2050" s="71">
        <v>520</v>
      </c>
      <c r="E2050" s="131">
        <f>ROUNDUP(R2050,-1)</f>
        <v>11140</v>
      </c>
      <c r="F2050" s="21">
        <f>+E2050*1.21</f>
        <v>13479.4</v>
      </c>
      <c r="G2050" s="21"/>
      <c r="H2050" s="135">
        <f>ROUNDUP(T2050,-1)</f>
        <v>0</v>
      </c>
      <c r="I2050" s="294">
        <v>45344</v>
      </c>
      <c r="J2050" s="294"/>
      <c r="K2050" s="11">
        <v>7425</v>
      </c>
      <c r="L2050" s="11"/>
      <c r="M2050" s="11"/>
      <c r="N2050" s="100"/>
      <c r="O2050" s="11">
        <f>MIN(K2050:M2050)</f>
        <v>7425</v>
      </c>
      <c r="P2050" s="11">
        <f>+O2050</f>
        <v>7425</v>
      </c>
      <c r="Q2050" s="11">
        <v>1.5</v>
      </c>
      <c r="R2050" s="11">
        <f>+P2050*Q2050</f>
        <v>11137.5</v>
      </c>
      <c r="S2050" s="11"/>
      <c r="T2050" s="136">
        <f>+N2050*Q2050</f>
        <v>0</v>
      </c>
    </row>
    <row r="2051" spans="1:20" ht="15.75" customHeight="1">
      <c r="A2051" s="149">
        <v>89</v>
      </c>
      <c r="B2051" s="273"/>
      <c r="C2051" s="28" t="s">
        <v>3745</v>
      </c>
      <c r="D2051" s="131">
        <v>2320</v>
      </c>
      <c r="E2051" s="131">
        <f t="shared" si="561"/>
        <v>17130</v>
      </c>
      <c r="F2051" s="21">
        <f t="shared" si="582"/>
        <v>20727.3</v>
      </c>
      <c r="G2051" s="135"/>
      <c r="H2051" s="135">
        <f t="shared" si="581"/>
        <v>0</v>
      </c>
      <c r="I2051" s="294">
        <v>45293</v>
      </c>
      <c r="J2051" s="294">
        <v>45355</v>
      </c>
      <c r="K2051" s="11">
        <v>11414</v>
      </c>
      <c r="L2051" s="11"/>
      <c r="M2051" s="100"/>
      <c r="N2051" s="11"/>
      <c r="O2051" s="11">
        <f t="shared" ref="O2051:O2122" si="583">MIN(K2051:M2051)</f>
        <v>11414</v>
      </c>
      <c r="P2051" s="11">
        <f t="shared" si="563"/>
        <v>11414</v>
      </c>
      <c r="Q2051" s="11">
        <v>1.5</v>
      </c>
      <c r="R2051" s="11">
        <f t="shared" si="564"/>
        <v>17121</v>
      </c>
      <c r="S2051" s="11"/>
      <c r="T2051" s="136"/>
    </row>
    <row r="2052" spans="1:20" ht="15.75" customHeight="1">
      <c r="A2052" s="149">
        <v>55</v>
      </c>
      <c r="B2052" s="273"/>
      <c r="C2052" s="28" t="s">
        <v>2865</v>
      </c>
      <c r="D2052" s="71">
        <v>520</v>
      </c>
      <c r="E2052" s="131">
        <f t="shared" si="561"/>
        <v>11160</v>
      </c>
      <c r="F2052" s="21">
        <f t="shared" si="582"/>
        <v>13503.6</v>
      </c>
      <c r="G2052" s="21"/>
      <c r="H2052" s="135">
        <f t="shared" si="581"/>
        <v>0</v>
      </c>
      <c r="I2052" s="294">
        <v>45344</v>
      </c>
      <c r="J2052" s="294"/>
      <c r="K2052" s="10">
        <v>7440</v>
      </c>
      <c r="L2052" s="11"/>
      <c r="M2052" s="11"/>
      <c r="N2052" s="100"/>
      <c r="O2052" s="11">
        <f t="shared" si="583"/>
        <v>7440</v>
      </c>
      <c r="P2052" s="11">
        <f t="shared" si="563"/>
        <v>7440</v>
      </c>
      <c r="Q2052" s="11">
        <v>1.5</v>
      </c>
      <c r="R2052" s="11">
        <f t="shared" si="564"/>
        <v>11160</v>
      </c>
      <c r="S2052" s="11"/>
      <c r="T2052" s="136">
        <f t="shared" ref="T2052:T2123" si="584">+N2052*Q2052</f>
        <v>0</v>
      </c>
    </row>
    <row r="2053" spans="1:20" ht="15.75" customHeight="1">
      <c r="A2053" s="149">
        <v>89</v>
      </c>
      <c r="B2053" s="273"/>
      <c r="C2053" s="28" t="s">
        <v>1804</v>
      </c>
      <c r="D2053" s="71">
        <v>480</v>
      </c>
      <c r="E2053" s="131">
        <f t="shared" si="561"/>
        <v>22110</v>
      </c>
      <c r="F2053" s="21">
        <f t="shared" si="582"/>
        <v>26753.1</v>
      </c>
      <c r="G2053" s="21"/>
      <c r="H2053" s="135">
        <f t="shared" si="581"/>
        <v>0</v>
      </c>
      <c r="I2053" s="294">
        <v>45323</v>
      </c>
      <c r="J2053" s="294">
        <v>45355</v>
      </c>
      <c r="K2053" s="10">
        <v>14738</v>
      </c>
      <c r="L2053" s="11"/>
      <c r="M2053" s="11"/>
      <c r="N2053" s="100"/>
      <c r="O2053" s="11">
        <f t="shared" si="583"/>
        <v>14738</v>
      </c>
      <c r="P2053" s="11">
        <f t="shared" si="563"/>
        <v>14738</v>
      </c>
      <c r="Q2053" s="11">
        <v>1.5</v>
      </c>
      <c r="R2053" s="11">
        <f t="shared" si="564"/>
        <v>22107</v>
      </c>
      <c r="S2053" s="11"/>
      <c r="T2053" s="136">
        <f t="shared" si="584"/>
        <v>0</v>
      </c>
    </row>
    <row r="2054" spans="1:20" ht="15.75" customHeight="1">
      <c r="A2054" s="149">
        <v>89</v>
      </c>
      <c r="B2054" s="273"/>
      <c r="C2054" s="28" t="s">
        <v>4188</v>
      </c>
      <c r="D2054" s="71">
        <v>480</v>
      </c>
      <c r="E2054" s="131">
        <f>ROUNDUP(R2054,-1)</f>
        <v>34310</v>
      </c>
      <c r="F2054" s="21">
        <f>+E2054*1.21</f>
        <v>41515.1</v>
      </c>
      <c r="G2054" s="21"/>
      <c r="H2054" s="135">
        <f>ROUNDUP(T2054,-1)</f>
        <v>0</v>
      </c>
      <c r="I2054" s="294">
        <v>45293</v>
      </c>
      <c r="J2054" s="294">
        <v>45355</v>
      </c>
      <c r="K2054" s="10">
        <f>21781*1.05</f>
        <v>22870.05</v>
      </c>
      <c r="L2054" s="11"/>
      <c r="M2054" s="11"/>
      <c r="N2054" s="100"/>
      <c r="O2054" s="11">
        <f>MIN(K2054:M2054)</f>
        <v>22870.05</v>
      </c>
      <c r="P2054" s="11">
        <f t="shared" si="563"/>
        <v>22870.05</v>
      </c>
      <c r="Q2054" s="11">
        <v>1.5</v>
      </c>
      <c r="R2054" s="11">
        <f t="shared" si="564"/>
        <v>34305.074999999997</v>
      </c>
      <c r="S2054" s="11"/>
      <c r="T2054" s="136">
        <f>+N2054*Q2054</f>
        <v>0</v>
      </c>
    </row>
    <row r="2055" spans="1:20" ht="15.75" customHeight="1">
      <c r="A2055" s="149">
        <v>89</v>
      </c>
      <c r="B2055" s="273"/>
      <c r="C2055" s="28" t="s">
        <v>3746</v>
      </c>
      <c r="D2055" s="71">
        <v>480</v>
      </c>
      <c r="E2055" s="131">
        <f t="shared" si="561"/>
        <v>28740</v>
      </c>
      <c r="F2055" s="21">
        <f t="shared" si="582"/>
        <v>34775.4</v>
      </c>
      <c r="G2055" s="21"/>
      <c r="H2055" s="135">
        <f t="shared" si="581"/>
        <v>0</v>
      </c>
      <c r="I2055" s="294">
        <v>45323</v>
      </c>
      <c r="J2055" s="294">
        <v>45355</v>
      </c>
      <c r="K2055" s="10">
        <f>+K2053*1.3</f>
        <v>19159.400000000001</v>
      </c>
      <c r="L2055" s="11"/>
      <c r="M2055" s="11"/>
      <c r="N2055" s="100"/>
      <c r="O2055" s="11">
        <f t="shared" si="583"/>
        <v>19159.400000000001</v>
      </c>
      <c r="P2055" s="11">
        <f t="shared" si="563"/>
        <v>19159.400000000001</v>
      </c>
      <c r="Q2055" s="11">
        <v>1.5</v>
      </c>
      <c r="R2055" s="11">
        <f t="shared" si="564"/>
        <v>28739.100000000002</v>
      </c>
      <c r="S2055" s="11"/>
      <c r="T2055" s="136">
        <f t="shared" si="584"/>
        <v>0</v>
      </c>
    </row>
    <row r="2056" spans="1:20" ht="15.75" customHeight="1">
      <c r="A2056" s="149">
        <v>55</v>
      </c>
      <c r="B2056" s="273"/>
      <c r="C2056" s="28" t="s">
        <v>1805</v>
      </c>
      <c r="D2056" s="71">
        <v>670</v>
      </c>
      <c r="E2056" s="131">
        <f t="shared" si="561"/>
        <v>13850</v>
      </c>
      <c r="F2056" s="21">
        <f t="shared" si="582"/>
        <v>16758.5</v>
      </c>
      <c r="G2056" s="21"/>
      <c r="H2056" s="135">
        <f t="shared" si="581"/>
        <v>0</v>
      </c>
      <c r="I2056" s="294">
        <v>45344</v>
      </c>
      <c r="J2056" s="294"/>
      <c r="K2056" s="10">
        <v>9230</v>
      </c>
      <c r="L2056" s="11"/>
      <c r="M2056" s="11"/>
      <c r="N2056" s="100"/>
      <c r="O2056" s="11">
        <f t="shared" si="583"/>
        <v>9230</v>
      </c>
      <c r="P2056" s="11">
        <f t="shared" si="563"/>
        <v>9230</v>
      </c>
      <c r="Q2056" s="11">
        <v>1.5</v>
      </c>
      <c r="R2056" s="11">
        <f t="shared" si="564"/>
        <v>13845</v>
      </c>
      <c r="S2056" s="11"/>
      <c r="T2056" s="136">
        <f t="shared" si="584"/>
        <v>0</v>
      </c>
    </row>
    <row r="2057" spans="1:20" ht="15.75" customHeight="1">
      <c r="A2057" s="149">
        <v>38</v>
      </c>
      <c r="B2057" s="273"/>
      <c r="C2057" s="28" t="s">
        <v>2150</v>
      </c>
      <c r="D2057" s="71">
        <v>9330</v>
      </c>
      <c r="E2057" s="131">
        <f t="shared" si="561"/>
        <v>0</v>
      </c>
      <c r="F2057" s="21">
        <f t="shared" si="582"/>
        <v>0</v>
      </c>
      <c r="G2057" s="21"/>
      <c r="H2057" s="135">
        <f t="shared" si="581"/>
        <v>0</v>
      </c>
      <c r="I2057" s="294">
        <v>44676</v>
      </c>
      <c r="J2057" s="294"/>
      <c r="K2057" s="10">
        <f>15445*0.75</f>
        <v>11583.75</v>
      </c>
      <c r="L2057" s="11"/>
      <c r="M2057" s="11"/>
      <c r="N2057" s="100"/>
      <c r="O2057" s="11">
        <f t="shared" si="583"/>
        <v>11583.75</v>
      </c>
      <c r="P2057" s="11">
        <f t="shared" si="563"/>
        <v>11583.75</v>
      </c>
      <c r="Q2057" s="11"/>
      <c r="R2057" s="11">
        <f t="shared" si="564"/>
        <v>0</v>
      </c>
      <c r="S2057" s="11"/>
      <c r="T2057" s="136">
        <f t="shared" si="584"/>
        <v>0</v>
      </c>
    </row>
    <row r="2058" spans="1:20" ht="15.75" customHeight="1">
      <c r="A2058" s="149">
        <v>38</v>
      </c>
      <c r="B2058" s="273"/>
      <c r="C2058" s="28" t="s">
        <v>1806</v>
      </c>
      <c r="D2058" s="71">
        <v>6930</v>
      </c>
      <c r="E2058" s="131">
        <f t="shared" si="561"/>
        <v>0</v>
      </c>
      <c r="F2058" s="21">
        <f t="shared" si="582"/>
        <v>0</v>
      </c>
      <c r="G2058" s="21"/>
      <c r="H2058" s="135">
        <f t="shared" si="581"/>
        <v>0</v>
      </c>
      <c r="I2058" s="294"/>
      <c r="J2058" s="294">
        <v>43210</v>
      </c>
      <c r="K2058" s="10">
        <f>4950*1.4</f>
        <v>6930</v>
      </c>
      <c r="L2058" s="11"/>
      <c r="M2058" s="11"/>
      <c r="N2058" s="100"/>
      <c r="O2058" s="11">
        <f t="shared" si="583"/>
        <v>6930</v>
      </c>
      <c r="P2058" s="11">
        <f t="shared" si="563"/>
        <v>6930</v>
      </c>
      <c r="Q2058" s="11"/>
      <c r="R2058" s="11">
        <f t="shared" si="564"/>
        <v>0</v>
      </c>
      <c r="S2058" s="11"/>
      <c r="T2058" s="136">
        <f t="shared" si="584"/>
        <v>0</v>
      </c>
    </row>
    <row r="2059" spans="1:20" ht="15.75" customHeight="1">
      <c r="A2059" s="149">
        <v>30</v>
      </c>
      <c r="B2059" s="273"/>
      <c r="C2059" s="28" t="s">
        <v>4158</v>
      </c>
      <c r="D2059" s="71">
        <v>10390</v>
      </c>
      <c r="E2059" s="131">
        <f t="shared" si="561"/>
        <v>256100</v>
      </c>
      <c r="F2059" s="21">
        <f t="shared" si="582"/>
        <v>309881</v>
      </c>
      <c r="G2059" s="21"/>
      <c r="H2059" s="135">
        <f t="shared" si="581"/>
        <v>0</v>
      </c>
      <c r="I2059" s="294">
        <v>45278</v>
      </c>
      <c r="J2059" s="294">
        <v>45323</v>
      </c>
      <c r="K2059" s="11">
        <f>+PROVEEDORES!D24*0.67*308.5</f>
        <v>182925.07500000001</v>
      </c>
      <c r="L2059" s="11"/>
      <c r="M2059" s="11"/>
      <c r="N2059" s="100"/>
      <c r="O2059" s="11">
        <f t="shared" si="583"/>
        <v>182925.07500000001</v>
      </c>
      <c r="P2059" s="11">
        <f t="shared" si="563"/>
        <v>182925.07500000001</v>
      </c>
      <c r="Q2059" s="11">
        <v>1.4</v>
      </c>
      <c r="R2059" s="11">
        <f t="shared" si="564"/>
        <v>256095.10500000001</v>
      </c>
      <c r="S2059" s="11"/>
      <c r="T2059" s="136">
        <f t="shared" si="584"/>
        <v>0</v>
      </c>
    </row>
    <row r="2060" spans="1:20" ht="15.75" customHeight="1">
      <c r="A2060" s="149">
        <v>44</v>
      </c>
      <c r="B2060" s="273">
        <f>ROUNDUP(H2060*1.105,-1)</f>
        <v>103260</v>
      </c>
      <c r="C2060" s="28" t="s">
        <v>1807</v>
      </c>
      <c r="D2060" s="71">
        <v>3290</v>
      </c>
      <c r="E2060" s="140">
        <f t="shared" si="561"/>
        <v>100130</v>
      </c>
      <c r="F2060" s="21">
        <f t="shared" si="582"/>
        <v>121157.3</v>
      </c>
      <c r="G2060" s="21"/>
      <c r="H2060" s="135">
        <f t="shared" si="581"/>
        <v>93440</v>
      </c>
      <c r="I2060" s="294">
        <v>45287</v>
      </c>
      <c r="J2060" s="294">
        <v>45329</v>
      </c>
      <c r="K2060" s="10">
        <f>+PROVEEDORES!$D$38*80.81</f>
        <v>71516.850000000006</v>
      </c>
      <c r="L2060" s="10"/>
      <c r="M2060" s="10"/>
      <c r="N2060" s="100">
        <v>66740</v>
      </c>
      <c r="O2060" s="11">
        <f t="shared" si="583"/>
        <v>71516.850000000006</v>
      </c>
      <c r="P2060" s="11">
        <f t="shared" si="563"/>
        <v>71516.850000000006</v>
      </c>
      <c r="Q2060" s="11">
        <v>1.4</v>
      </c>
      <c r="R2060" s="11">
        <f t="shared" si="564"/>
        <v>100123.59</v>
      </c>
      <c r="S2060" s="11"/>
      <c r="T2060" s="136">
        <f t="shared" si="584"/>
        <v>93436</v>
      </c>
    </row>
    <row r="2061" spans="1:20" ht="15.75" customHeight="1">
      <c r="A2061" s="149">
        <v>44</v>
      </c>
      <c r="B2061" s="273">
        <f>ROUNDUP(H2061*1.105,-1)</f>
        <v>264720</v>
      </c>
      <c r="C2061" s="28" t="s">
        <v>1808</v>
      </c>
      <c r="D2061" s="71">
        <v>8570</v>
      </c>
      <c r="E2061" s="140">
        <f>ROUNDUP(R2061,-1)</f>
        <v>254760</v>
      </c>
      <c r="F2061" s="21">
        <f>+E2061*1.21</f>
        <v>308259.59999999998</v>
      </c>
      <c r="G2061" s="21"/>
      <c r="H2061" s="135">
        <f>ROUNDUP(T2061,-1)</f>
        <v>239560</v>
      </c>
      <c r="I2061" s="294">
        <v>45287</v>
      </c>
      <c r="J2061" s="294">
        <v>45329</v>
      </c>
      <c r="K2061" s="10">
        <f>+PROVEEDORES!$D$38*205.61</f>
        <v>181964.85</v>
      </c>
      <c r="L2061" s="11"/>
      <c r="M2061" s="11"/>
      <c r="N2061" s="100">
        <v>171110</v>
      </c>
      <c r="O2061" s="11">
        <f>MIN(K2061:M2061)</f>
        <v>181964.85</v>
      </c>
      <c r="P2061" s="11">
        <f t="shared" si="563"/>
        <v>181964.85</v>
      </c>
      <c r="Q2061" s="11">
        <v>1.4</v>
      </c>
      <c r="R2061" s="11">
        <f t="shared" si="564"/>
        <v>254750.78999999998</v>
      </c>
      <c r="S2061" s="11"/>
      <c r="T2061" s="136">
        <f>+N2061*Q2061</f>
        <v>239553.99999999997</v>
      </c>
    </row>
    <row r="2062" spans="1:20" ht="15.75" customHeight="1">
      <c r="A2062" s="149">
        <v>30</v>
      </c>
      <c r="B2062" s="273"/>
      <c r="C2062" s="28" t="s">
        <v>4159</v>
      </c>
      <c r="D2062" s="71">
        <v>10390</v>
      </c>
      <c r="E2062" s="131">
        <f t="shared" si="561"/>
        <v>150980</v>
      </c>
      <c r="F2062" s="21">
        <f t="shared" si="582"/>
        <v>182685.8</v>
      </c>
      <c r="G2062" s="21"/>
      <c r="H2062" s="135">
        <f t="shared" si="581"/>
        <v>0</v>
      </c>
      <c r="I2062" s="294">
        <v>45278</v>
      </c>
      <c r="J2062" s="294">
        <v>45323</v>
      </c>
      <c r="K2062" s="11">
        <f>+PROVEEDORES!D24*0.67*181.87</f>
        <v>107839.81650000002</v>
      </c>
      <c r="L2062" s="11"/>
      <c r="M2062" s="11"/>
      <c r="N2062" s="100"/>
      <c r="O2062" s="11">
        <f t="shared" si="583"/>
        <v>107839.81650000002</v>
      </c>
      <c r="P2062" s="11">
        <f t="shared" si="563"/>
        <v>107839.81650000002</v>
      </c>
      <c r="Q2062" s="11">
        <v>1.4</v>
      </c>
      <c r="R2062" s="11">
        <f t="shared" si="564"/>
        <v>150975.74310000002</v>
      </c>
      <c r="S2062" s="11"/>
      <c r="T2062" s="136">
        <f t="shared" si="584"/>
        <v>0</v>
      </c>
    </row>
    <row r="2063" spans="1:20" ht="15.75" customHeight="1">
      <c r="A2063" s="149">
        <v>47</v>
      </c>
      <c r="B2063" s="273"/>
      <c r="C2063" s="36" t="s">
        <v>1809</v>
      </c>
      <c r="D2063" s="71">
        <v>10390</v>
      </c>
      <c r="E2063" s="131">
        <f t="shared" ref="E2063:E2134" si="585">ROUNDUP(R2063,-1)</f>
        <v>0</v>
      </c>
      <c r="F2063" s="21">
        <f t="shared" si="582"/>
        <v>0</v>
      </c>
      <c r="G2063" s="21"/>
      <c r="H2063" s="135">
        <f t="shared" si="581"/>
        <v>0</v>
      </c>
      <c r="I2063" s="294"/>
      <c r="J2063" s="294"/>
      <c r="K2063" s="11">
        <f>3700*1.5*1.3*1.2*1.2*1.5*1.5</f>
        <v>23376.600000000002</v>
      </c>
      <c r="L2063" s="11"/>
      <c r="M2063" s="11"/>
      <c r="N2063" s="100"/>
      <c r="O2063" s="11">
        <f t="shared" si="583"/>
        <v>23376.600000000002</v>
      </c>
      <c r="P2063" s="11">
        <f t="shared" si="563"/>
        <v>23376.600000000002</v>
      </c>
      <c r="Q2063" s="11"/>
      <c r="R2063" s="11">
        <f t="shared" si="564"/>
        <v>0</v>
      </c>
      <c r="S2063" s="11"/>
      <c r="T2063" s="136">
        <f t="shared" si="584"/>
        <v>0</v>
      </c>
    </row>
    <row r="2064" spans="1:20" ht="15.75" customHeight="1">
      <c r="A2064" s="149">
        <v>36</v>
      </c>
      <c r="B2064" s="273"/>
      <c r="C2064" s="28" t="s">
        <v>2538</v>
      </c>
      <c r="D2064" s="71">
        <v>10</v>
      </c>
      <c r="E2064" s="131">
        <f t="shared" si="585"/>
        <v>0</v>
      </c>
      <c r="F2064" s="21">
        <f t="shared" si="582"/>
        <v>0</v>
      </c>
      <c r="G2064" s="21"/>
      <c r="H2064" s="135">
        <f t="shared" si="581"/>
        <v>0</v>
      </c>
      <c r="I2064" s="294">
        <v>45059</v>
      </c>
      <c r="J2064" s="294">
        <v>45118</v>
      </c>
      <c r="K2064" s="11">
        <f>0.8*0.94*538</f>
        <v>404.57600000000002</v>
      </c>
      <c r="L2064" s="11"/>
      <c r="M2064" s="11"/>
      <c r="N2064" s="11"/>
      <c r="O2064" s="11">
        <f t="shared" si="583"/>
        <v>404.57600000000002</v>
      </c>
      <c r="P2064" s="11">
        <f t="shared" si="563"/>
        <v>404.57600000000002</v>
      </c>
      <c r="Q2064" s="11"/>
      <c r="R2064" s="11">
        <f t="shared" si="564"/>
        <v>0</v>
      </c>
      <c r="S2064" s="11"/>
      <c r="T2064" s="136">
        <f t="shared" si="584"/>
        <v>0</v>
      </c>
    </row>
    <row r="2065" spans="1:20" ht="15.75" customHeight="1">
      <c r="A2065" s="149">
        <v>36</v>
      </c>
      <c r="B2065" s="273"/>
      <c r="C2065" s="28" t="s">
        <v>2539</v>
      </c>
      <c r="D2065" s="71">
        <v>70</v>
      </c>
      <c r="E2065" s="131">
        <f t="shared" si="585"/>
        <v>3300</v>
      </c>
      <c r="F2065" s="21">
        <f t="shared" si="582"/>
        <v>3993</v>
      </c>
      <c r="G2065" s="21"/>
      <c r="H2065" s="135">
        <f t="shared" si="581"/>
        <v>0</v>
      </c>
      <c r="I2065" s="294">
        <v>45059</v>
      </c>
      <c r="J2065" s="294">
        <v>45331</v>
      </c>
      <c r="K2065" s="11">
        <f>0.8*0.94*2919</f>
        <v>2195.0880000000002</v>
      </c>
      <c r="L2065" s="11"/>
      <c r="M2065" s="11"/>
      <c r="N2065" s="11"/>
      <c r="O2065" s="11">
        <f t="shared" si="583"/>
        <v>2195.0880000000002</v>
      </c>
      <c r="P2065" s="11">
        <f t="shared" si="563"/>
        <v>2195.0880000000002</v>
      </c>
      <c r="Q2065" s="11">
        <v>1.5</v>
      </c>
      <c r="R2065" s="11">
        <f t="shared" si="564"/>
        <v>3292.6320000000005</v>
      </c>
      <c r="S2065" s="11"/>
      <c r="T2065" s="136">
        <f t="shared" si="584"/>
        <v>0</v>
      </c>
    </row>
    <row r="2066" spans="1:20" ht="15.75" customHeight="1">
      <c r="A2066" s="149">
        <v>36</v>
      </c>
      <c r="B2066" s="273"/>
      <c r="C2066" s="28" t="s">
        <v>3938</v>
      </c>
      <c r="D2066" s="71">
        <v>140</v>
      </c>
      <c r="E2066" s="131">
        <f t="shared" si="585"/>
        <v>8140</v>
      </c>
      <c r="F2066" s="21">
        <f t="shared" si="582"/>
        <v>9849.4</v>
      </c>
      <c r="G2066" s="21"/>
      <c r="H2066" s="135">
        <f t="shared" si="581"/>
        <v>0</v>
      </c>
      <c r="I2066" s="294">
        <v>45059</v>
      </c>
      <c r="J2066" s="294">
        <v>45331</v>
      </c>
      <c r="K2066" s="11">
        <f>0.8*0.94*7211</f>
        <v>5422.6719999999996</v>
      </c>
      <c r="L2066" s="11"/>
      <c r="M2066" s="11"/>
      <c r="N2066" s="100"/>
      <c r="O2066" s="11">
        <f t="shared" si="583"/>
        <v>5422.6719999999996</v>
      </c>
      <c r="P2066" s="11">
        <f t="shared" si="563"/>
        <v>5422.6719999999996</v>
      </c>
      <c r="Q2066" s="11">
        <v>1.5</v>
      </c>
      <c r="R2066" s="11">
        <f t="shared" si="564"/>
        <v>8134.0079999999998</v>
      </c>
      <c r="S2066" s="11"/>
      <c r="T2066" s="136">
        <f t="shared" si="584"/>
        <v>0</v>
      </c>
    </row>
    <row r="2067" spans="1:20" ht="15.75" customHeight="1">
      <c r="A2067" s="149">
        <v>36</v>
      </c>
      <c r="B2067" s="273"/>
      <c r="C2067" s="28" t="s">
        <v>3939</v>
      </c>
      <c r="D2067" s="71">
        <v>140</v>
      </c>
      <c r="E2067" s="131">
        <f t="shared" si="585"/>
        <v>8140</v>
      </c>
      <c r="F2067" s="21">
        <f t="shared" si="582"/>
        <v>9849.4</v>
      </c>
      <c r="G2067" s="21"/>
      <c r="H2067" s="135">
        <f t="shared" si="581"/>
        <v>0</v>
      </c>
      <c r="I2067" s="294">
        <v>45059</v>
      </c>
      <c r="J2067" s="294">
        <v>45331</v>
      </c>
      <c r="K2067" s="11">
        <f>0.8*0.94*7211</f>
        <v>5422.6719999999996</v>
      </c>
      <c r="L2067" s="11"/>
      <c r="M2067" s="11"/>
      <c r="N2067" s="11"/>
      <c r="O2067" s="11">
        <f t="shared" si="583"/>
        <v>5422.6719999999996</v>
      </c>
      <c r="P2067" s="11">
        <f t="shared" si="563"/>
        <v>5422.6719999999996</v>
      </c>
      <c r="Q2067" s="11">
        <v>1.5</v>
      </c>
      <c r="R2067" s="11">
        <f t="shared" si="564"/>
        <v>8134.0079999999998</v>
      </c>
      <c r="S2067" s="11"/>
      <c r="T2067" s="136">
        <f t="shared" si="584"/>
        <v>0</v>
      </c>
    </row>
    <row r="2068" spans="1:20" ht="15.75" customHeight="1">
      <c r="A2068" s="149">
        <v>38</v>
      </c>
      <c r="B2068" s="273"/>
      <c r="C2068" s="28" t="s">
        <v>3415</v>
      </c>
      <c r="D2068" s="71"/>
      <c r="E2068" s="131">
        <f t="shared" si="585"/>
        <v>33790</v>
      </c>
      <c r="F2068" s="21">
        <f t="shared" si="582"/>
        <v>40885.9</v>
      </c>
      <c r="G2068" s="21"/>
      <c r="H2068" s="135"/>
      <c r="I2068" s="294">
        <v>45138</v>
      </c>
      <c r="J2068" s="294">
        <v>45274</v>
      </c>
      <c r="K2068" s="10">
        <f>+PROVEEDORES!$D$32*21.45</f>
        <v>22522.5</v>
      </c>
      <c r="L2068" s="11"/>
      <c r="M2068" s="11"/>
      <c r="N2068" s="100">
        <v>19520</v>
      </c>
      <c r="O2068" s="11">
        <f t="shared" si="583"/>
        <v>22522.5</v>
      </c>
      <c r="P2068" s="11">
        <f t="shared" si="563"/>
        <v>22522.5</v>
      </c>
      <c r="Q2068" s="11">
        <v>1.5</v>
      </c>
      <c r="R2068" s="11">
        <f t="shared" si="564"/>
        <v>33783.75</v>
      </c>
      <c r="S2068" s="11"/>
      <c r="T2068" s="136">
        <f t="shared" si="584"/>
        <v>29280</v>
      </c>
    </row>
    <row r="2069" spans="1:20" ht="15.75" customHeight="1">
      <c r="A2069" s="149">
        <v>38</v>
      </c>
      <c r="B2069" s="273"/>
      <c r="C2069" s="28" t="s">
        <v>3416</v>
      </c>
      <c r="D2069" s="71"/>
      <c r="E2069" s="131">
        <f t="shared" si="585"/>
        <v>33790</v>
      </c>
      <c r="F2069" s="21">
        <f t="shared" si="582"/>
        <v>40885.9</v>
      </c>
      <c r="G2069" s="21"/>
      <c r="H2069" s="135"/>
      <c r="I2069" s="294">
        <v>45138</v>
      </c>
      <c r="J2069" s="294">
        <v>45274</v>
      </c>
      <c r="K2069" s="10">
        <f>+PROVEEDORES!$D$32*21.45</f>
        <v>22522.5</v>
      </c>
      <c r="L2069" s="11"/>
      <c r="M2069" s="11"/>
      <c r="N2069" s="100">
        <v>19520</v>
      </c>
      <c r="O2069" s="11">
        <f t="shared" si="583"/>
        <v>22522.5</v>
      </c>
      <c r="P2069" s="11">
        <f t="shared" si="563"/>
        <v>22522.5</v>
      </c>
      <c r="Q2069" s="11">
        <v>1.5</v>
      </c>
      <c r="R2069" s="11">
        <f t="shared" si="564"/>
        <v>33783.75</v>
      </c>
      <c r="S2069" s="11"/>
      <c r="T2069" s="136">
        <f t="shared" si="584"/>
        <v>29280</v>
      </c>
    </row>
    <row r="2070" spans="1:20" ht="15.75" customHeight="1">
      <c r="A2070" s="149">
        <v>38</v>
      </c>
      <c r="B2070" s="273"/>
      <c r="C2070" s="28" t="s">
        <v>3417</v>
      </c>
      <c r="D2070" s="71"/>
      <c r="E2070" s="131">
        <f t="shared" si="585"/>
        <v>33790</v>
      </c>
      <c r="F2070" s="21">
        <f t="shared" si="582"/>
        <v>40885.9</v>
      </c>
      <c r="G2070" s="21"/>
      <c r="H2070" s="135"/>
      <c r="I2070" s="294">
        <v>45138</v>
      </c>
      <c r="J2070" s="294">
        <v>45274</v>
      </c>
      <c r="K2070" s="10">
        <f>+PROVEEDORES!$D$32*21.45</f>
        <v>22522.5</v>
      </c>
      <c r="L2070" s="11"/>
      <c r="M2070" s="11"/>
      <c r="N2070" s="100">
        <v>19520</v>
      </c>
      <c r="O2070" s="11">
        <f t="shared" si="583"/>
        <v>22522.5</v>
      </c>
      <c r="P2070" s="11">
        <f t="shared" si="563"/>
        <v>22522.5</v>
      </c>
      <c r="Q2070" s="11">
        <v>1.5</v>
      </c>
      <c r="R2070" s="11">
        <f t="shared" si="564"/>
        <v>33783.75</v>
      </c>
      <c r="S2070" s="11"/>
      <c r="T2070" s="136">
        <f t="shared" si="584"/>
        <v>29280</v>
      </c>
    </row>
    <row r="2071" spans="1:20" ht="15.75" customHeight="1">
      <c r="A2071" s="149">
        <v>12</v>
      </c>
      <c r="B2071" s="273"/>
      <c r="C2071" s="28" t="s">
        <v>4179</v>
      </c>
      <c r="D2071" s="71"/>
      <c r="E2071" s="131">
        <f>ROUNDUP(R2071,-1)</f>
        <v>0</v>
      </c>
      <c r="F2071" s="21">
        <f>+E2071*1.21</f>
        <v>0</v>
      </c>
      <c r="G2071" s="21"/>
      <c r="H2071" s="135">
        <f>ROUNDUP(T2071,-1)</f>
        <v>0</v>
      </c>
      <c r="I2071" s="294"/>
      <c r="J2071" s="23">
        <v>44992</v>
      </c>
      <c r="K2071" s="10">
        <v>1880</v>
      </c>
      <c r="L2071" s="11"/>
      <c r="M2071" s="11"/>
      <c r="N2071" s="100"/>
      <c r="O2071" s="11">
        <f>MIN(K2071:M2071)</f>
        <v>1880</v>
      </c>
      <c r="P2071" s="11">
        <f t="shared" si="563"/>
        <v>1880</v>
      </c>
      <c r="Q2071" s="11"/>
      <c r="R2071" s="11">
        <f t="shared" si="564"/>
        <v>0</v>
      </c>
      <c r="S2071" s="11"/>
      <c r="T2071" s="136">
        <f>+N2071*Q2071</f>
        <v>0</v>
      </c>
    </row>
    <row r="2072" spans="1:20" ht="15.75" customHeight="1">
      <c r="A2072" s="149">
        <v>12</v>
      </c>
      <c r="B2072" s="273"/>
      <c r="C2072" s="28" t="s">
        <v>3764</v>
      </c>
      <c r="D2072" s="71"/>
      <c r="E2072" s="131">
        <f t="shared" si="585"/>
        <v>20570</v>
      </c>
      <c r="F2072" s="21">
        <f t="shared" si="582"/>
        <v>24889.7</v>
      </c>
      <c r="G2072" s="21"/>
      <c r="H2072" s="135">
        <f t="shared" ref="H2072:H2142" si="586">ROUNDUP(T2072,-1)</f>
        <v>18510</v>
      </c>
      <c r="I2072" s="294">
        <v>45274</v>
      </c>
      <c r="J2072" s="23">
        <v>45348</v>
      </c>
      <c r="K2072" s="10">
        <v>13710</v>
      </c>
      <c r="L2072" s="11"/>
      <c r="M2072" s="11"/>
      <c r="N2072" s="100">
        <v>12339</v>
      </c>
      <c r="O2072" s="11">
        <f t="shared" si="583"/>
        <v>13710</v>
      </c>
      <c r="P2072" s="11">
        <f t="shared" si="563"/>
        <v>13710</v>
      </c>
      <c r="Q2072" s="11">
        <v>1.5</v>
      </c>
      <c r="R2072" s="11">
        <f t="shared" si="564"/>
        <v>20565</v>
      </c>
      <c r="S2072" s="11"/>
      <c r="T2072" s="136">
        <f t="shared" si="584"/>
        <v>18508.5</v>
      </c>
    </row>
    <row r="2073" spans="1:20" ht="15.75" customHeight="1">
      <c r="A2073" s="149">
        <v>12</v>
      </c>
      <c r="B2073" s="273"/>
      <c r="C2073" s="28" t="s">
        <v>3673</v>
      </c>
      <c r="D2073" s="71"/>
      <c r="E2073" s="131">
        <f t="shared" si="585"/>
        <v>14640</v>
      </c>
      <c r="F2073" s="21">
        <f t="shared" si="582"/>
        <v>17714.399999999998</v>
      </c>
      <c r="G2073" s="21"/>
      <c r="H2073" s="135">
        <f t="shared" si="586"/>
        <v>0</v>
      </c>
      <c r="I2073" s="294">
        <v>45274</v>
      </c>
      <c r="J2073" s="23">
        <v>45338</v>
      </c>
      <c r="K2073" s="10">
        <v>9755</v>
      </c>
      <c r="L2073" s="11"/>
      <c r="M2073" s="11"/>
      <c r="N2073" s="100"/>
      <c r="O2073" s="11">
        <f t="shared" si="583"/>
        <v>9755</v>
      </c>
      <c r="P2073" s="11">
        <f t="shared" si="563"/>
        <v>9755</v>
      </c>
      <c r="Q2073" s="11">
        <v>1.5</v>
      </c>
      <c r="R2073" s="11">
        <f t="shared" si="564"/>
        <v>14632.5</v>
      </c>
      <c r="S2073" s="11"/>
      <c r="T2073" s="136">
        <f t="shared" si="584"/>
        <v>0</v>
      </c>
    </row>
    <row r="2074" spans="1:20" ht="15.75" customHeight="1">
      <c r="A2074" s="149">
        <v>16</v>
      </c>
      <c r="B2074" s="273"/>
      <c r="C2074" s="28" t="s">
        <v>2848</v>
      </c>
      <c r="D2074" s="71">
        <v>680</v>
      </c>
      <c r="E2074" s="147">
        <f t="shared" si="585"/>
        <v>0</v>
      </c>
      <c r="F2074" s="21">
        <f t="shared" si="582"/>
        <v>0</v>
      </c>
      <c r="G2074" s="21"/>
      <c r="H2074" s="135">
        <f t="shared" si="586"/>
        <v>0</v>
      </c>
      <c r="I2074" s="294">
        <v>45054</v>
      </c>
      <c r="J2074" s="294"/>
      <c r="K2074" s="11">
        <f>920*0.9*1.7*1.35*1.1*1.15*1.2</f>
        <v>2884.5946799999997</v>
      </c>
      <c r="L2074" s="11"/>
      <c r="M2074" s="11"/>
      <c r="N2074" s="100"/>
      <c r="O2074" s="11">
        <f t="shared" si="583"/>
        <v>2884.5946799999997</v>
      </c>
      <c r="P2074" s="11">
        <f t="shared" si="563"/>
        <v>2884.5946799999997</v>
      </c>
      <c r="Q2074" s="11"/>
      <c r="R2074" s="11">
        <f t="shared" si="564"/>
        <v>0</v>
      </c>
      <c r="S2074" s="11"/>
      <c r="T2074" s="136">
        <f t="shared" si="584"/>
        <v>0</v>
      </c>
    </row>
    <row r="2075" spans="1:20" ht="15.75" customHeight="1">
      <c r="A2075" s="149"/>
      <c r="B2075" s="273"/>
      <c r="C2075" s="28" t="s">
        <v>1810</v>
      </c>
      <c r="D2075" s="71">
        <v>590</v>
      </c>
      <c r="E2075" s="131">
        <f t="shared" si="585"/>
        <v>0</v>
      </c>
      <c r="F2075" s="21">
        <f t="shared" si="582"/>
        <v>0</v>
      </c>
      <c r="G2075" s="21"/>
      <c r="H2075" s="135">
        <f t="shared" si="586"/>
        <v>0</v>
      </c>
      <c r="I2075" s="294">
        <v>43564</v>
      </c>
      <c r="J2075" s="294"/>
      <c r="K2075" s="11">
        <f>294*2</f>
        <v>588</v>
      </c>
      <c r="L2075" s="11"/>
      <c r="M2075" s="11"/>
      <c r="N2075" s="100"/>
      <c r="O2075" s="11">
        <f t="shared" si="583"/>
        <v>588</v>
      </c>
      <c r="P2075" s="11">
        <f t="shared" si="563"/>
        <v>588</v>
      </c>
      <c r="Q2075" s="11"/>
      <c r="R2075" s="11">
        <f t="shared" si="564"/>
        <v>0</v>
      </c>
      <c r="S2075" s="11"/>
      <c r="T2075" s="136">
        <f t="shared" si="584"/>
        <v>0</v>
      </c>
    </row>
    <row r="2076" spans="1:20" ht="15.75" customHeight="1">
      <c r="A2076" s="149">
        <v>38</v>
      </c>
      <c r="B2076" s="273"/>
      <c r="C2076" s="28" t="s">
        <v>4240</v>
      </c>
      <c r="D2076" s="71">
        <v>820</v>
      </c>
      <c r="E2076" s="131">
        <f t="shared" si="585"/>
        <v>28980</v>
      </c>
      <c r="F2076" s="21">
        <f t="shared" si="582"/>
        <v>35065.799999999996</v>
      </c>
      <c r="G2076" s="21"/>
      <c r="H2076" s="135">
        <f t="shared" si="586"/>
        <v>0</v>
      </c>
      <c r="I2076" s="294">
        <v>45138</v>
      </c>
      <c r="J2076" s="294">
        <v>45337</v>
      </c>
      <c r="K2076" s="11">
        <f>+PROVEEDORES!D46*0.75*23</f>
        <v>18112.5</v>
      </c>
      <c r="L2076" s="148"/>
      <c r="M2076" s="11"/>
      <c r="N2076" s="100"/>
      <c r="O2076" s="11">
        <f t="shared" si="583"/>
        <v>18112.5</v>
      </c>
      <c r="P2076" s="11">
        <f t="shared" ref="P2076:P2147" si="587">+O2076</f>
        <v>18112.5</v>
      </c>
      <c r="Q2076" s="11">
        <v>1.6</v>
      </c>
      <c r="R2076" s="11">
        <f t="shared" ref="R2076:R2147" si="588">+P2076*Q2076</f>
        <v>28980</v>
      </c>
      <c r="S2076" s="11"/>
      <c r="T2076" s="136">
        <f t="shared" si="584"/>
        <v>0</v>
      </c>
    </row>
    <row r="2077" spans="1:20" ht="15.75" customHeight="1">
      <c r="A2077" s="149">
        <v>21</v>
      </c>
      <c r="B2077" s="273"/>
      <c r="C2077" s="28" t="s">
        <v>1812</v>
      </c>
      <c r="D2077" s="71">
        <v>1800</v>
      </c>
      <c r="E2077" s="131">
        <f t="shared" si="585"/>
        <v>0</v>
      </c>
      <c r="F2077" s="21">
        <f t="shared" si="582"/>
        <v>0</v>
      </c>
      <c r="G2077" s="21"/>
      <c r="H2077" s="135">
        <f t="shared" si="586"/>
        <v>0</v>
      </c>
      <c r="I2077" s="294">
        <v>45029</v>
      </c>
      <c r="J2077" s="294"/>
      <c r="K2077" s="10">
        <f>0.6*9721</f>
        <v>5832.5999999999995</v>
      </c>
      <c r="L2077" s="11"/>
      <c r="M2077" s="11"/>
      <c r="N2077" s="100"/>
      <c r="O2077" s="11">
        <f t="shared" si="583"/>
        <v>5832.5999999999995</v>
      </c>
      <c r="P2077" s="11">
        <f t="shared" si="587"/>
        <v>5832.5999999999995</v>
      </c>
      <c r="Q2077" s="11"/>
      <c r="R2077" s="11">
        <f t="shared" si="588"/>
        <v>0</v>
      </c>
      <c r="S2077" s="11"/>
      <c r="T2077" s="136">
        <f t="shared" si="584"/>
        <v>0</v>
      </c>
    </row>
    <row r="2078" spans="1:20" ht="15.75" customHeight="1">
      <c r="A2078" s="149">
        <v>21</v>
      </c>
      <c r="B2078" s="273"/>
      <c r="C2078" s="28" t="s">
        <v>1811</v>
      </c>
      <c r="D2078" s="71">
        <v>1140</v>
      </c>
      <c r="E2078" s="131">
        <f t="shared" si="585"/>
        <v>0</v>
      </c>
      <c r="F2078" s="21">
        <f t="shared" si="582"/>
        <v>0</v>
      </c>
      <c r="G2078" s="21"/>
      <c r="H2078" s="135">
        <f t="shared" si="586"/>
        <v>0</v>
      </c>
      <c r="I2078" s="294">
        <v>45029</v>
      </c>
      <c r="J2078" s="294"/>
      <c r="K2078" s="10">
        <f>0.6*8906</f>
        <v>5343.5999999999995</v>
      </c>
      <c r="L2078" s="11"/>
      <c r="M2078" s="11">
        <f>270+270+270</f>
        <v>810</v>
      </c>
      <c r="N2078" s="100"/>
      <c r="O2078" s="11">
        <f t="shared" si="583"/>
        <v>810</v>
      </c>
      <c r="P2078" s="11">
        <f t="shared" si="587"/>
        <v>810</v>
      </c>
      <c r="Q2078" s="11"/>
      <c r="R2078" s="11">
        <f t="shared" si="588"/>
        <v>0</v>
      </c>
      <c r="S2078" s="11"/>
      <c r="T2078" s="136">
        <f t="shared" si="584"/>
        <v>0</v>
      </c>
    </row>
    <row r="2079" spans="1:20" ht="15.75" customHeight="1">
      <c r="A2079" s="149">
        <v>21</v>
      </c>
      <c r="B2079" s="273">
        <f>ROUNDUP(E2079*1.105,-1)</f>
        <v>48680</v>
      </c>
      <c r="C2079" s="28" t="s">
        <v>2903</v>
      </c>
      <c r="D2079" s="71"/>
      <c r="E2079" s="131">
        <f t="shared" si="585"/>
        <v>44050</v>
      </c>
      <c r="F2079" s="21">
        <f t="shared" si="582"/>
        <v>53300.5</v>
      </c>
      <c r="G2079" s="21"/>
      <c r="H2079" s="135">
        <f t="shared" si="586"/>
        <v>0</v>
      </c>
      <c r="I2079" s="294">
        <v>45273</v>
      </c>
      <c r="J2079" s="294">
        <v>45329</v>
      </c>
      <c r="K2079" s="10">
        <f>0.6*52430</f>
        <v>31458</v>
      </c>
      <c r="L2079" s="11"/>
      <c r="M2079" s="11"/>
      <c r="N2079" s="100"/>
      <c r="O2079" s="11">
        <f t="shared" si="583"/>
        <v>31458</v>
      </c>
      <c r="P2079" s="11">
        <f t="shared" si="587"/>
        <v>31458</v>
      </c>
      <c r="Q2079" s="11">
        <v>1.4</v>
      </c>
      <c r="R2079" s="11">
        <f t="shared" si="588"/>
        <v>44041.2</v>
      </c>
      <c r="S2079" s="11"/>
      <c r="T2079" s="136">
        <f t="shared" si="584"/>
        <v>0</v>
      </c>
    </row>
    <row r="2080" spans="1:20" ht="15.75" customHeight="1">
      <c r="A2080" s="149">
        <v>21</v>
      </c>
      <c r="B2080" s="273">
        <f>ROUNDUP(E2080*1.105,-1)</f>
        <v>36200</v>
      </c>
      <c r="C2080" s="28" t="s">
        <v>2904</v>
      </c>
      <c r="D2080" s="71">
        <v>1540</v>
      </c>
      <c r="E2080" s="131">
        <f t="shared" si="585"/>
        <v>32760</v>
      </c>
      <c r="F2080" s="21">
        <f t="shared" si="582"/>
        <v>39639.599999999999</v>
      </c>
      <c r="G2080" s="21"/>
      <c r="H2080" s="135">
        <f t="shared" si="586"/>
        <v>0</v>
      </c>
      <c r="I2080" s="294">
        <v>45273</v>
      </c>
      <c r="J2080" s="294">
        <v>45329</v>
      </c>
      <c r="K2080" s="10">
        <f>0.6*38445</f>
        <v>23067</v>
      </c>
      <c r="L2080" s="11"/>
      <c r="M2080" s="11"/>
      <c r="N2080" s="100"/>
      <c r="O2080" s="11">
        <f t="shared" si="583"/>
        <v>23067</v>
      </c>
      <c r="P2080" s="11">
        <f t="shared" si="587"/>
        <v>23067</v>
      </c>
      <c r="Q2080" s="11">
        <v>1.42</v>
      </c>
      <c r="R2080" s="11">
        <f t="shared" si="588"/>
        <v>32755.14</v>
      </c>
      <c r="S2080" s="11"/>
      <c r="T2080" s="136">
        <f t="shared" si="584"/>
        <v>0</v>
      </c>
    </row>
    <row r="2081" spans="1:20" ht="15.75" customHeight="1">
      <c r="A2081" s="149">
        <v>21</v>
      </c>
      <c r="B2081" s="273"/>
      <c r="C2081" s="28" t="s">
        <v>3823</v>
      </c>
      <c r="D2081" s="71"/>
      <c r="E2081" s="131">
        <f t="shared" si="585"/>
        <v>38890</v>
      </c>
      <c r="F2081" s="21">
        <f t="shared" ref="F2081:F2095" si="589">+E2081*1.21</f>
        <v>47056.9</v>
      </c>
      <c r="G2081" s="21"/>
      <c r="H2081" s="135">
        <f t="shared" si="586"/>
        <v>0</v>
      </c>
      <c r="I2081" s="294">
        <v>45273</v>
      </c>
      <c r="J2081" s="294">
        <v>45323</v>
      </c>
      <c r="K2081" s="134">
        <f>0.6*38127</f>
        <v>22876.2</v>
      </c>
      <c r="L2081" s="11"/>
      <c r="M2081" s="11"/>
      <c r="N2081" s="100"/>
      <c r="O2081" s="11">
        <f t="shared" si="583"/>
        <v>22876.2</v>
      </c>
      <c r="P2081" s="11">
        <f t="shared" si="587"/>
        <v>22876.2</v>
      </c>
      <c r="Q2081" s="11">
        <v>1.7</v>
      </c>
      <c r="R2081" s="11">
        <f t="shared" si="588"/>
        <v>38889.54</v>
      </c>
      <c r="S2081" s="11"/>
      <c r="T2081" s="136">
        <f t="shared" si="584"/>
        <v>0</v>
      </c>
    </row>
    <row r="2082" spans="1:20" ht="15.75" customHeight="1">
      <c r="A2082" s="149">
        <v>21</v>
      </c>
      <c r="B2082" s="273"/>
      <c r="C2082" s="28" t="s">
        <v>3431</v>
      </c>
      <c r="D2082" s="71">
        <v>970</v>
      </c>
      <c r="E2082" s="131">
        <f t="shared" si="585"/>
        <v>0</v>
      </c>
      <c r="F2082" s="21">
        <f t="shared" si="589"/>
        <v>0</v>
      </c>
      <c r="G2082" s="21"/>
      <c r="H2082" s="135">
        <f t="shared" si="586"/>
        <v>0</v>
      </c>
      <c r="I2082" s="294">
        <v>44863</v>
      </c>
      <c r="J2082" s="294"/>
      <c r="K2082" s="134">
        <f>0.6*3795</f>
        <v>2277</v>
      </c>
      <c r="L2082" s="11"/>
      <c r="M2082" s="11"/>
      <c r="N2082" s="100"/>
      <c r="O2082" s="11">
        <f t="shared" si="583"/>
        <v>2277</v>
      </c>
      <c r="P2082" s="11">
        <f t="shared" si="587"/>
        <v>2277</v>
      </c>
      <c r="Q2082" s="11"/>
      <c r="R2082" s="11">
        <f t="shared" si="588"/>
        <v>0</v>
      </c>
      <c r="S2082" s="11"/>
      <c r="T2082" s="136">
        <f t="shared" si="584"/>
        <v>0</v>
      </c>
    </row>
    <row r="2083" spans="1:20" ht="15.75" customHeight="1">
      <c r="A2083" s="149">
        <v>21</v>
      </c>
      <c r="B2083" s="273"/>
      <c r="C2083" s="28" t="s">
        <v>2816</v>
      </c>
      <c r="D2083" s="71">
        <v>970</v>
      </c>
      <c r="E2083" s="131">
        <f t="shared" si="585"/>
        <v>26270</v>
      </c>
      <c r="F2083" s="21">
        <f t="shared" si="589"/>
        <v>31786.7</v>
      </c>
      <c r="G2083" s="21">
        <f>+E2083+H392</f>
        <v>29160</v>
      </c>
      <c r="H2083" s="135">
        <f t="shared" si="586"/>
        <v>0</v>
      </c>
      <c r="I2083" s="294">
        <v>45273</v>
      </c>
      <c r="J2083" s="294">
        <v>45376</v>
      </c>
      <c r="K2083" s="134">
        <f>0.6*25753</f>
        <v>15451.8</v>
      </c>
      <c r="L2083" s="11"/>
      <c r="M2083" s="11"/>
      <c r="N2083" s="100"/>
      <c r="O2083" s="11">
        <f t="shared" si="583"/>
        <v>15451.8</v>
      </c>
      <c r="P2083" s="11">
        <f t="shared" si="587"/>
        <v>15451.8</v>
      </c>
      <c r="Q2083" s="11">
        <v>1.7</v>
      </c>
      <c r="R2083" s="11">
        <f t="shared" si="588"/>
        <v>26268.059999999998</v>
      </c>
      <c r="S2083" s="11"/>
      <c r="T2083" s="136">
        <f t="shared" si="584"/>
        <v>0</v>
      </c>
    </row>
    <row r="2084" spans="1:20" ht="15.75" customHeight="1">
      <c r="A2084" s="149">
        <v>36</v>
      </c>
      <c r="B2084" s="273"/>
      <c r="C2084" s="28" t="s">
        <v>2850</v>
      </c>
      <c r="D2084" s="71"/>
      <c r="E2084" s="131">
        <f t="shared" si="585"/>
        <v>0</v>
      </c>
      <c r="F2084" s="21">
        <f t="shared" si="589"/>
        <v>0</v>
      </c>
      <c r="G2084" s="21"/>
      <c r="H2084" s="135">
        <f t="shared" si="586"/>
        <v>0</v>
      </c>
      <c r="I2084" s="294">
        <v>44594</v>
      </c>
      <c r="J2084" s="294"/>
      <c r="K2084" s="10">
        <f>0.8*0.94*329*1.2</f>
        <v>296.88959999999997</v>
      </c>
      <c r="L2084" s="148"/>
      <c r="M2084" s="148"/>
      <c r="N2084" s="100"/>
      <c r="O2084" s="11">
        <f t="shared" si="583"/>
        <v>296.88959999999997</v>
      </c>
      <c r="P2084" s="11">
        <f t="shared" si="587"/>
        <v>296.88959999999997</v>
      </c>
      <c r="Q2084" s="11"/>
      <c r="R2084" s="11">
        <f t="shared" si="588"/>
        <v>0</v>
      </c>
      <c r="S2084" s="11"/>
      <c r="T2084" s="136">
        <f t="shared" si="584"/>
        <v>0</v>
      </c>
    </row>
    <row r="2085" spans="1:20" ht="15.75" customHeight="1">
      <c r="A2085" s="149">
        <v>36</v>
      </c>
      <c r="B2085" s="273"/>
      <c r="C2085" s="28" t="s">
        <v>2190</v>
      </c>
      <c r="D2085" s="71">
        <v>50</v>
      </c>
      <c r="E2085" s="131">
        <f t="shared" si="585"/>
        <v>1250</v>
      </c>
      <c r="F2085" s="21">
        <f t="shared" si="589"/>
        <v>1512.5</v>
      </c>
      <c r="G2085" s="21"/>
      <c r="H2085" s="135">
        <f t="shared" si="586"/>
        <v>0</v>
      </c>
      <c r="I2085" s="294">
        <v>45059</v>
      </c>
      <c r="J2085" s="294">
        <v>45331</v>
      </c>
      <c r="K2085" s="10">
        <f>+K2086/4*1.15</f>
        <v>780.04959999999994</v>
      </c>
      <c r="L2085" s="11"/>
      <c r="M2085" s="11"/>
      <c r="N2085" s="100"/>
      <c r="O2085" s="11">
        <f t="shared" si="583"/>
        <v>780.04959999999994</v>
      </c>
      <c r="P2085" s="11">
        <f t="shared" si="587"/>
        <v>780.04959999999994</v>
      </c>
      <c r="Q2085" s="11">
        <v>1.6</v>
      </c>
      <c r="R2085" s="11">
        <f t="shared" si="588"/>
        <v>1248.07936</v>
      </c>
      <c r="S2085" s="11"/>
      <c r="T2085" s="136">
        <f t="shared" si="584"/>
        <v>0</v>
      </c>
    </row>
    <row r="2086" spans="1:20" ht="15.75" customHeight="1">
      <c r="A2086" s="149">
        <v>36</v>
      </c>
      <c r="B2086" s="273"/>
      <c r="C2086" s="28" t="s">
        <v>4462</v>
      </c>
      <c r="D2086" s="71">
        <v>60</v>
      </c>
      <c r="E2086" s="131">
        <f t="shared" si="585"/>
        <v>4350</v>
      </c>
      <c r="F2086" s="21">
        <f t="shared" si="589"/>
        <v>5263.5</v>
      </c>
      <c r="G2086" s="21"/>
      <c r="H2086" s="135">
        <f t="shared" si="586"/>
        <v>0</v>
      </c>
      <c r="I2086" s="294">
        <v>45101</v>
      </c>
      <c r="J2086" s="294">
        <v>45365</v>
      </c>
      <c r="K2086" s="11">
        <f>0.8*0.94*3608</f>
        <v>2713.2159999999999</v>
      </c>
      <c r="L2086" s="148"/>
      <c r="M2086" s="11"/>
      <c r="N2086" s="100"/>
      <c r="O2086" s="11">
        <f t="shared" si="583"/>
        <v>2713.2159999999999</v>
      </c>
      <c r="P2086" s="11">
        <f t="shared" si="587"/>
        <v>2713.2159999999999</v>
      </c>
      <c r="Q2086" s="11">
        <v>1.6</v>
      </c>
      <c r="R2086" s="11">
        <f t="shared" si="588"/>
        <v>4341.1455999999998</v>
      </c>
      <c r="S2086" s="11"/>
      <c r="T2086" s="136">
        <f t="shared" si="584"/>
        <v>0</v>
      </c>
    </row>
    <row r="2087" spans="1:20" ht="15.75" customHeight="1">
      <c r="A2087" s="149">
        <v>36</v>
      </c>
      <c r="B2087" s="273"/>
      <c r="C2087" s="28" t="s">
        <v>2191</v>
      </c>
      <c r="D2087" s="71">
        <v>190</v>
      </c>
      <c r="E2087" s="131">
        <f t="shared" si="585"/>
        <v>1250</v>
      </c>
      <c r="F2087" s="21">
        <f t="shared" si="589"/>
        <v>1512.5</v>
      </c>
      <c r="G2087" s="21"/>
      <c r="H2087" s="135">
        <f t="shared" si="586"/>
        <v>0</v>
      </c>
      <c r="I2087" s="294">
        <v>45059</v>
      </c>
      <c r="J2087" s="294">
        <v>45331</v>
      </c>
      <c r="K2087" s="10">
        <f>+K2088/4*1.15</f>
        <v>779.1848</v>
      </c>
      <c r="L2087" s="11"/>
      <c r="M2087" s="11"/>
      <c r="N2087" s="100"/>
      <c r="O2087" s="11">
        <f t="shared" si="583"/>
        <v>779.1848</v>
      </c>
      <c r="P2087" s="11">
        <f t="shared" si="587"/>
        <v>779.1848</v>
      </c>
      <c r="Q2087" s="11">
        <v>1.6</v>
      </c>
      <c r="R2087" s="11">
        <f t="shared" si="588"/>
        <v>1246.69568</v>
      </c>
      <c r="S2087" s="11"/>
      <c r="T2087" s="136">
        <f t="shared" si="584"/>
        <v>0</v>
      </c>
    </row>
    <row r="2088" spans="1:20" ht="15.75" customHeight="1">
      <c r="A2088" s="149">
        <v>36</v>
      </c>
      <c r="B2088" s="273"/>
      <c r="C2088" s="28" t="s">
        <v>4463</v>
      </c>
      <c r="D2088" s="71">
        <v>240</v>
      </c>
      <c r="E2088" s="131">
        <f t="shared" si="585"/>
        <v>4340</v>
      </c>
      <c r="F2088" s="21">
        <f t="shared" si="589"/>
        <v>5251.4</v>
      </c>
      <c r="G2088" s="21"/>
      <c r="H2088" s="135">
        <f t="shared" si="586"/>
        <v>0</v>
      </c>
      <c r="I2088" s="294">
        <v>45101</v>
      </c>
      <c r="J2088" s="294">
        <v>45331</v>
      </c>
      <c r="K2088" s="11">
        <f>0.8*0.94*3604</f>
        <v>2710.2080000000001</v>
      </c>
      <c r="L2088" s="148"/>
      <c r="M2088" s="11"/>
      <c r="N2088" s="100"/>
      <c r="O2088" s="11">
        <f t="shared" si="583"/>
        <v>2710.2080000000001</v>
      </c>
      <c r="P2088" s="11">
        <f t="shared" si="587"/>
        <v>2710.2080000000001</v>
      </c>
      <c r="Q2088" s="11">
        <v>1.6</v>
      </c>
      <c r="R2088" s="11">
        <f t="shared" si="588"/>
        <v>4336.3328000000001</v>
      </c>
      <c r="S2088" s="11"/>
      <c r="T2088" s="136">
        <f t="shared" si="584"/>
        <v>0</v>
      </c>
    </row>
    <row r="2089" spans="1:20" ht="15.75" customHeight="1">
      <c r="A2089" s="149">
        <v>19</v>
      </c>
      <c r="B2089" s="273"/>
      <c r="C2089" s="28" t="s">
        <v>4581</v>
      </c>
      <c r="D2089" s="71">
        <v>50</v>
      </c>
      <c r="E2089" s="131">
        <f t="shared" si="585"/>
        <v>0</v>
      </c>
      <c r="F2089" s="21">
        <f t="shared" si="589"/>
        <v>0</v>
      </c>
      <c r="G2089" s="21"/>
      <c r="H2089" s="135">
        <f t="shared" si="586"/>
        <v>0</v>
      </c>
      <c r="I2089" s="294">
        <v>44921</v>
      </c>
      <c r="J2089" s="294">
        <v>45035</v>
      </c>
      <c r="K2089" s="10">
        <f>0.65*325</f>
        <v>211.25</v>
      </c>
      <c r="L2089" s="11">
        <f>161.49*0.7*0.9*2</f>
        <v>203.47739999999999</v>
      </c>
      <c r="M2089" s="11"/>
      <c r="N2089" s="100"/>
      <c r="O2089" s="11">
        <f t="shared" si="583"/>
        <v>203.47739999999999</v>
      </c>
      <c r="P2089" s="11">
        <f t="shared" si="587"/>
        <v>203.47739999999999</v>
      </c>
      <c r="Q2089" s="11"/>
      <c r="R2089" s="11">
        <f t="shared" si="588"/>
        <v>0</v>
      </c>
      <c r="S2089" s="11"/>
      <c r="T2089" s="136">
        <f t="shared" si="584"/>
        <v>0</v>
      </c>
    </row>
    <row r="2090" spans="1:20" ht="15.75" customHeight="1">
      <c r="A2090" s="149">
        <v>19</v>
      </c>
      <c r="B2090" s="273"/>
      <c r="C2090" s="28" t="s">
        <v>3740</v>
      </c>
      <c r="D2090" s="71">
        <v>50</v>
      </c>
      <c r="E2090" s="131">
        <f t="shared" si="585"/>
        <v>0</v>
      </c>
      <c r="F2090" s="21">
        <f t="shared" si="589"/>
        <v>0</v>
      </c>
      <c r="G2090" s="21"/>
      <c r="H2090" s="135">
        <f t="shared" si="586"/>
        <v>0</v>
      </c>
      <c r="I2090" s="294">
        <v>44921</v>
      </c>
      <c r="J2090" s="294"/>
      <c r="K2090" s="10">
        <f>0.65*339*1.07</f>
        <v>235.77450000000002</v>
      </c>
      <c r="L2090" s="11"/>
      <c r="M2090" s="11"/>
      <c r="N2090" s="100"/>
      <c r="O2090" s="11">
        <f t="shared" si="583"/>
        <v>235.77450000000002</v>
      </c>
      <c r="P2090" s="11">
        <f t="shared" si="587"/>
        <v>235.77450000000002</v>
      </c>
      <c r="Q2090" s="11"/>
      <c r="R2090" s="11">
        <f t="shared" si="588"/>
        <v>0</v>
      </c>
      <c r="S2090" s="11"/>
      <c r="T2090" s="136">
        <f t="shared" si="584"/>
        <v>0</v>
      </c>
    </row>
    <row r="2091" spans="1:20" ht="15.75" customHeight="1">
      <c r="A2091" s="149">
        <v>101</v>
      </c>
      <c r="B2091" s="273"/>
      <c r="C2091" s="28" t="s">
        <v>4579</v>
      </c>
      <c r="D2091" s="71">
        <v>50</v>
      </c>
      <c r="E2091" s="131">
        <f>ROUNDUP(R2091,-1)</f>
        <v>1080</v>
      </c>
      <c r="F2091" s="21">
        <f>+E2091*1.21</f>
        <v>1306.8</v>
      </c>
      <c r="G2091" s="21"/>
      <c r="H2091" s="135">
        <f>ROUNDUP(T2091,-1)</f>
        <v>0</v>
      </c>
      <c r="I2091" s="294">
        <v>45259</v>
      </c>
      <c r="J2091" s="294">
        <v>45351</v>
      </c>
      <c r="K2091" s="11">
        <f>0.7*0.9*1068</f>
        <v>672.84</v>
      </c>
      <c r="L2091" s="11"/>
      <c r="M2091" s="11"/>
      <c r="N2091" s="100"/>
      <c r="O2091" s="11">
        <f>MIN(K2091:M2091)</f>
        <v>672.84</v>
      </c>
      <c r="P2091" s="11">
        <f>+O2091</f>
        <v>672.84</v>
      </c>
      <c r="Q2091" s="11">
        <v>1.6</v>
      </c>
      <c r="R2091" s="11">
        <f>+P2091*Q2091</f>
        <v>1076.5440000000001</v>
      </c>
      <c r="S2091" s="11"/>
      <c r="T2091" s="136">
        <f>+N2091*Q2091</f>
        <v>0</v>
      </c>
    </row>
    <row r="2092" spans="1:20" ht="15.75" customHeight="1">
      <c r="A2092" s="149">
        <v>101</v>
      </c>
      <c r="B2092" s="273"/>
      <c r="C2092" s="28" t="s">
        <v>4580</v>
      </c>
      <c r="D2092" s="71">
        <v>50</v>
      </c>
      <c r="E2092" s="131">
        <f>ROUNDUP(R2092,-1)</f>
        <v>1360</v>
      </c>
      <c r="F2092" s="21">
        <f>+E2092*1.21</f>
        <v>1645.6</v>
      </c>
      <c r="G2092" s="21"/>
      <c r="H2092" s="135">
        <f>ROUNDUP(T2092,-1)</f>
        <v>0</v>
      </c>
      <c r="I2092" s="294">
        <v>45259</v>
      </c>
      <c r="J2092" s="294">
        <v>45324</v>
      </c>
      <c r="K2092" s="11">
        <f>0.7*0.9*1345</f>
        <v>847.35</v>
      </c>
      <c r="L2092" s="11"/>
      <c r="M2092" s="11"/>
      <c r="N2092" s="100"/>
      <c r="O2092" s="11">
        <f>MIN(K2092:M2092)</f>
        <v>847.35</v>
      </c>
      <c r="P2092" s="11">
        <f>+O2092</f>
        <v>847.35</v>
      </c>
      <c r="Q2092" s="11">
        <v>1.6</v>
      </c>
      <c r="R2092" s="11">
        <f>+P2092*Q2092</f>
        <v>1355.7600000000002</v>
      </c>
      <c r="S2092" s="11"/>
      <c r="T2092" s="136">
        <f>+N2092*Q2092</f>
        <v>0</v>
      </c>
    </row>
    <row r="2093" spans="1:20" ht="15.75" customHeight="1">
      <c r="A2093" s="149">
        <v>101</v>
      </c>
      <c r="B2093" s="273"/>
      <c r="C2093" s="28" t="s">
        <v>62647</v>
      </c>
      <c r="D2093" s="71">
        <v>50</v>
      </c>
      <c r="E2093" s="131">
        <f>ROUNDUP(R2093,-1)</f>
        <v>1750</v>
      </c>
      <c r="F2093" s="21">
        <f>+E2093*1.21</f>
        <v>2117.5</v>
      </c>
      <c r="G2093" s="21"/>
      <c r="H2093" s="135">
        <f>ROUNDUP(T2093,-1)</f>
        <v>0</v>
      </c>
      <c r="I2093" s="294">
        <v>45259</v>
      </c>
      <c r="J2093" s="294">
        <v>45351</v>
      </c>
      <c r="K2093" s="11">
        <f>0.7*0.9*1728</f>
        <v>1088.6400000000001</v>
      </c>
      <c r="L2093" s="11"/>
      <c r="M2093" s="11"/>
      <c r="N2093" s="100"/>
      <c r="O2093" s="11">
        <f>MIN(K2093:M2093)</f>
        <v>1088.6400000000001</v>
      </c>
      <c r="P2093" s="11">
        <f>+O2093</f>
        <v>1088.6400000000001</v>
      </c>
      <c r="Q2093" s="11">
        <v>1.6</v>
      </c>
      <c r="R2093" s="11">
        <f>+P2093*Q2093</f>
        <v>1741.8240000000003</v>
      </c>
      <c r="S2093" s="11"/>
      <c r="T2093" s="136">
        <f>+N2093*Q2093</f>
        <v>0</v>
      </c>
    </row>
    <row r="2094" spans="1:20" ht="15.75" customHeight="1">
      <c r="A2094" s="149">
        <v>101</v>
      </c>
      <c r="B2094" s="273"/>
      <c r="C2094" s="28" t="s">
        <v>3975</v>
      </c>
      <c r="D2094" s="71">
        <v>130</v>
      </c>
      <c r="E2094" s="131">
        <f t="shared" si="585"/>
        <v>2280</v>
      </c>
      <c r="F2094" s="21">
        <f t="shared" si="589"/>
        <v>2758.7999999999997</v>
      </c>
      <c r="G2094" s="21"/>
      <c r="H2094" s="135">
        <f t="shared" si="586"/>
        <v>0</v>
      </c>
      <c r="I2094" s="294">
        <v>45279</v>
      </c>
      <c r="J2094" s="40">
        <v>45385</v>
      </c>
      <c r="K2094" s="10">
        <f>0.7*0.9*2328</f>
        <v>1466.64</v>
      </c>
      <c r="L2094" s="11"/>
      <c r="M2094" s="11"/>
      <c r="N2094" s="100"/>
      <c r="O2094" s="11">
        <f t="shared" si="583"/>
        <v>1466.64</v>
      </c>
      <c r="P2094" s="11">
        <f t="shared" si="587"/>
        <v>1466.64</v>
      </c>
      <c r="Q2094" s="11">
        <v>1.55</v>
      </c>
      <c r="R2094" s="11">
        <f t="shared" si="588"/>
        <v>2273.2920000000004</v>
      </c>
      <c r="S2094" s="11"/>
      <c r="T2094" s="136">
        <f t="shared" si="584"/>
        <v>0</v>
      </c>
    </row>
    <row r="2095" spans="1:20" ht="15.75" customHeight="1">
      <c r="A2095" s="149">
        <v>101</v>
      </c>
      <c r="B2095" s="273"/>
      <c r="C2095" s="28" t="s">
        <v>44216</v>
      </c>
      <c r="D2095" s="71">
        <v>120</v>
      </c>
      <c r="E2095" s="131">
        <f t="shared" si="585"/>
        <v>2190</v>
      </c>
      <c r="F2095" s="21">
        <f t="shared" si="589"/>
        <v>2649.9</v>
      </c>
      <c r="G2095" s="21"/>
      <c r="H2095" s="135">
        <f t="shared" si="586"/>
        <v>0</v>
      </c>
      <c r="I2095" s="294">
        <v>45279</v>
      </c>
      <c r="J2095" s="40">
        <v>45324</v>
      </c>
      <c r="K2095" s="10">
        <f>0.7*0.9*2242</f>
        <v>1412.46</v>
      </c>
      <c r="L2095" s="11"/>
      <c r="M2095" s="11"/>
      <c r="N2095" s="100"/>
      <c r="O2095" s="11">
        <f t="shared" si="583"/>
        <v>1412.46</v>
      </c>
      <c r="P2095" s="11">
        <f t="shared" si="587"/>
        <v>1412.46</v>
      </c>
      <c r="Q2095" s="11">
        <v>1.55</v>
      </c>
      <c r="R2095" s="11">
        <f t="shared" si="588"/>
        <v>2189.3130000000001</v>
      </c>
      <c r="S2095" s="11"/>
      <c r="T2095" s="136">
        <f t="shared" si="584"/>
        <v>0</v>
      </c>
    </row>
    <row r="2096" spans="1:20" ht="15.75" customHeight="1">
      <c r="A2096" s="149">
        <v>106</v>
      </c>
      <c r="B2096" s="273"/>
      <c r="C2096" s="28" t="s">
        <v>62613</v>
      </c>
      <c r="D2096" s="71">
        <v>120</v>
      </c>
      <c r="E2096" s="131">
        <f t="shared" ref="E2096" si="590">ROUNDUP(R2096,-1)</f>
        <v>3410</v>
      </c>
      <c r="F2096" s="21">
        <f t="shared" ref="F2096" si="591">+E2096*1.21</f>
        <v>4126.0999999999995</v>
      </c>
      <c r="G2096" s="21"/>
      <c r="H2096" s="135">
        <f t="shared" ref="H2096" si="592">ROUNDUP(T2096,-1)</f>
        <v>0</v>
      </c>
      <c r="I2096" s="294">
        <v>45274</v>
      </c>
      <c r="J2096" s="40">
        <v>45334</v>
      </c>
      <c r="K2096" s="10">
        <f>0.82*2677</f>
        <v>2195.14</v>
      </c>
      <c r="L2096" s="11"/>
      <c r="M2096" s="11"/>
      <c r="N2096" s="100"/>
      <c r="O2096" s="11">
        <f t="shared" ref="O2096" si="593">MIN(K2096:M2096)</f>
        <v>2195.14</v>
      </c>
      <c r="P2096" s="11">
        <f t="shared" ref="P2096" si="594">+O2096</f>
        <v>2195.14</v>
      </c>
      <c r="Q2096" s="11">
        <v>1.55</v>
      </c>
      <c r="R2096" s="11">
        <f t="shared" ref="R2096" si="595">+P2096*Q2096</f>
        <v>3402.4670000000001</v>
      </c>
      <c r="S2096" s="11"/>
      <c r="T2096" s="136">
        <f t="shared" ref="T2096" si="596">+N2096*Q2096</f>
        <v>0</v>
      </c>
    </row>
    <row r="2097" spans="1:20" ht="15.75" customHeight="1">
      <c r="A2097" s="149">
        <v>106</v>
      </c>
      <c r="B2097" s="273"/>
      <c r="C2097" s="28" t="s">
        <v>44350</v>
      </c>
      <c r="D2097" s="71">
        <v>120</v>
      </c>
      <c r="E2097" s="131">
        <f t="shared" ref="E2097" si="597">ROUNDUP(R2097,-1)</f>
        <v>2780</v>
      </c>
      <c r="F2097" s="21">
        <f t="shared" ref="F2097" si="598">+E2097*1.21</f>
        <v>3363.7999999999997</v>
      </c>
      <c r="G2097" s="21"/>
      <c r="H2097" s="135">
        <f t="shared" ref="H2097" si="599">ROUNDUP(T2097,-1)</f>
        <v>0</v>
      </c>
      <c r="I2097" s="294">
        <v>45334</v>
      </c>
      <c r="J2097" s="40">
        <v>45350</v>
      </c>
      <c r="K2097" s="10">
        <f>0.82*2184</f>
        <v>1790.8799999999999</v>
      </c>
      <c r="L2097" s="11"/>
      <c r="M2097" s="11"/>
      <c r="N2097" s="100"/>
      <c r="O2097" s="11">
        <f t="shared" ref="O2097" si="600">MIN(K2097:M2097)</f>
        <v>1790.8799999999999</v>
      </c>
      <c r="P2097" s="11">
        <f t="shared" ref="P2097" si="601">+O2097</f>
        <v>1790.8799999999999</v>
      </c>
      <c r="Q2097" s="11">
        <v>1.55</v>
      </c>
      <c r="R2097" s="11">
        <f t="shared" ref="R2097" si="602">+P2097*Q2097</f>
        <v>2775.864</v>
      </c>
      <c r="S2097" s="11"/>
      <c r="T2097" s="136">
        <f t="shared" ref="T2097" si="603">+N2097*Q2097</f>
        <v>0</v>
      </c>
    </row>
    <row r="2098" spans="1:20" ht="15.75" customHeight="1">
      <c r="A2098" s="149">
        <v>38</v>
      </c>
      <c r="B2098" s="273"/>
      <c r="C2098" s="28" t="s">
        <v>1813</v>
      </c>
      <c r="D2098" s="71">
        <v>1100</v>
      </c>
      <c r="E2098" s="131">
        <f t="shared" si="585"/>
        <v>25550</v>
      </c>
      <c r="F2098" s="21" t="s">
        <v>1248</v>
      </c>
      <c r="G2098" s="21">
        <f>+E2098*1.105</f>
        <v>28232.75</v>
      </c>
      <c r="H2098" s="135">
        <f t="shared" si="586"/>
        <v>22150</v>
      </c>
      <c r="I2098" s="294">
        <v>45138</v>
      </c>
      <c r="J2098" s="40">
        <v>45274</v>
      </c>
      <c r="K2098" s="10">
        <f>+PROVEEDORES!$D$32*16.22</f>
        <v>17031</v>
      </c>
      <c r="L2098" s="11"/>
      <c r="M2098" s="11"/>
      <c r="N2098" s="100">
        <v>14763</v>
      </c>
      <c r="O2098" s="11">
        <f t="shared" si="583"/>
        <v>17031</v>
      </c>
      <c r="P2098" s="11">
        <f t="shared" si="587"/>
        <v>17031</v>
      </c>
      <c r="Q2098" s="11">
        <v>1.5</v>
      </c>
      <c r="R2098" s="11">
        <f t="shared" si="588"/>
        <v>25546.5</v>
      </c>
      <c r="S2098" s="11"/>
      <c r="T2098" s="136">
        <f t="shared" si="584"/>
        <v>22144.5</v>
      </c>
    </row>
    <row r="2099" spans="1:20" ht="15.75" customHeight="1">
      <c r="A2099" s="149">
        <v>38</v>
      </c>
      <c r="B2099" s="273"/>
      <c r="C2099" s="28" t="s">
        <v>3894</v>
      </c>
      <c r="D2099" s="71">
        <v>1100</v>
      </c>
      <c r="E2099" s="131">
        <f t="shared" si="585"/>
        <v>9270</v>
      </c>
      <c r="F2099" s="21">
        <f t="shared" ref="F2099:F2148" si="604">+E2099*1.21</f>
        <v>11216.699999999999</v>
      </c>
      <c r="G2099" s="21"/>
      <c r="H2099" s="135">
        <f t="shared" si="586"/>
        <v>8030</v>
      </c>
      <c r="I2099" s="294">
        <v>45227</v>
      </c>
      <c r="J2099" s="40">
        <v>45274</v>
      </c>
      <c r="K2099" s="10">
        <f>+PROVEEDORES!$D$32*5.88</f>
        <v>6174</v>
      </c>
      <c r="L2099" s="11"/>
      <c r="M2099" s="11"/>
      <c r="N2099" s="100">
        <v>5350</v>
      </c>
      <c r="O2099" s="11">
        <f t="shared" si="583"/>
        <v>6174</v>
      </c>
      <c r="P2099" s="11">
        <f t="shared" si="587"/>
        <v>6174</v>
      </c>
      <c r="Q2099" s="11">
        <v>1.5</v>
      </c>
      <c r="R2099" s="11">
        <f t="shared" si="588"/>
        <v>9261</v>
      </c>
      <c r="S2099" s="11"/>
      <c r="T2099" s="136">
        <f t="shared" si="584"/>
        <v>8025</v>
      </c>
    </row>
    <row r="2100" spans="1:20" ht="15.75" customHeight="1">
      <c r="A2100" s="149" t="s">
        <v>2387</v>
      </c>
      <c r="B2100" s="273"/>
      <c r="C2100" s="28" t="s">
        <v>1814</v>
      </c>
      <c r="D2100" s="71">
        <v>620</v>
      </c>
      <c r="E2100" s="131">
        <f t="shared" si="585"/>
        <v>17730</v>
      </c>
      <c r="F2100" s="21">
        <f t="shared" si="604"/>
        <v>21453.3</v>
      </c>
      <c r="G2100" s="21"/>
      <c r="H2100" s="135">
        <f t="shared" si="586"/>
        <v>0</v>
      </c>
      <c r="I2100" s="294">
        <v>45138</v>
      </c>
      <c r="J2100" s="294">
        <v>45175</v>
      </c>
      <c r="K2100" s="10">
        <f>+'AUMENTOS %'!C14*PROVEEDORES!D18*0.5*22.3</f>
        <v>11819</v>
      </c>
      <c r="L2100" s="11"/>
      <c r="M2100" s="11"/>
      <c r="N2100" s="100"/>
      <c r="O2100" s="11">
        <f t="shared" si="583"/>
        <v>11819</v>
      </c>
      <c r="P2100" s="11">
        <f t="shared" si="587"/>
        <v>11819</v>
      </c>
      <c r="Q2100" s="11">
        <v>1.5</v>
      </c>
      <c r="R2100" s="11">
        <f t="shared" si="588"/>
        <v>17728.5</v>
      </c>
      <c r="S2100" s="11"/>
      <c r="T2100" s="136">
        <f t="shared" si="584"/>
        <v>0</v>
      </c>
    </row>
    <row r="2101" spans="1:20" ht="15.75" customHeight="1">
      <c r="A2101" s="149">
        <v>24</v>
      </c>
      <c r="B2101" s="273"/>
      <c r="C2101" s="28" t="s">
        <v>2831</v>
      </c>
      <c r="D2101" s="71">
        <v>130</v>
      </c>
      <c r="E2101" s="131">
        <f t="shared" si="585"/>
        <v>2950</v>
      </c>
      <c r="F2101" s="21">
        <f t="shared" si="604"/>
        <v>3569.5</v>
      </c>
      <c r="G2101" s="21"/>
      <c r="H2101" s="135">
        <f t="shared" si="586"/>
        <v>0</v>
      </c>
      <c r="I2101" s="294"/>
      <c r="J2101" s="294">
        <v>45363</v>
      </c>
      <c r="K2101" s="10">
        <f>+PROVEEDORES!D18*0.5*3.7</f>
        <v>1961</v>
      </c>
      <c r="L2101" s="11"/>
      <c r="M2101" s="11"/>
      <c r="N2101" s="137"/>
      <c r="O2101" s="11">
        <f t="shared" si="583"/>
        <v>1961</v>
      </c>
      <c r="P2101" s="11">
        <f t="shared" si="587"/>
        <v>1961</v>
      </c>
      <c r="Q2101" s="11">
        <v>1.5</v>
      </c>
      <c r="R2101" s="11">
        <f t="shared" si="588"/>
        <v>2941.5</v>
      </c>
      <c r="S2101" s="11"/>
      <c r="T2101" s="136">
        <f t="shared" si="584"/>
        <v>0</v>
      </c>
    </row>
    <row r="2102" spans="1:20" ht="15.75" customHeight="1">
      <c r="A2102" s="149"/>
      <c r="B2102" s="273"/>
      <c r="C2102" s="28" t="s">
        <v>2832</v>
      </c>
      <c r="D2102" s="71"/>
      <c r="E2102" s="131">
        <f t="shared" si="585"/>
        <v>740</v>
      </c>
      <c r="F2102" s="21">
        <f t="shared" si="604"/>
        <v>895.4</v>
      </c>
      <c r="G2102" s="21"/>
      <c r="H2102" s="135">
        <f t="shared" si="586"/>
        <v>0</v>
      </c>
      <c r="I2102" s="294"/>
      <c r="J2102" s="294">
        <v>44238</v>
      </c>
      <c r="K2102" s="10">
        <v>489</v>
      </c>
      <c r="L2102" s="11"/>
      <c r="M2102" s="11"/>
      <c r="N2102" s="100"/>
      <c r="O2102" s="11">
        <f t="shared" si="583"/>
        <v>489</v>
      </c>
      <c r="P2102" s="11">
        <f t="shared" si="587"/>
        <v>489</v>
      </c>
      <c r="Q2102" s="11">
        <v>1.5</v>
      </c>
      <c r="R2102" s="11">
        <f t="shared" si="588"/>
        <v>733.5</v>
      </c>
      <c r="S2102" s="11"/>
      <c r="T2102" s="136">
        <f t="shared" si="584"/>
        <v>0</v>
      </c>
    </row>
    <row r="2103" spans="1:20" ht="15.75" customHeight="1">
      <c r="A2103" s="149">
        <v>24</v>
      </c>
      <c r="B2103" s="273"/>
      <c r="C2103" s="28" t="s">
        <v>2830</v>
      </c>
      <c r="D2103" s="71">
        <v>220</v>
      </c>
      <c r="E2103" s="131">
        <f t="shared" si="585"/>
        <v>5090</v>
      </c>
      <c r="F2103" s="21">
        <f t="shared" si="604"/>
        <v>6158.9</v>
      </c>
      <c r="G2103" s="21"/>
      <c r="H2103" s="135">
        <f t="shared" si="586"/>
        <v>0</v>
      </c>
      <c r="I2103" s="294"/>
      <c r="J2103" s="294">
        <v>45287</v>
      </c>
      <c r="K2103" s="10">
        <f>+PROVEEDORES!D18*0.5*6.4</f>
        <v>3392</v>
      </c>
      <c r="L2103" s="11"/>
      <c r="M2103" s="11"/>
      <c r="N2103" s="137"/>
      <c r="O2103" s="11">
        <f t="shared" si="583"/>
        <v>3392</v>
      </c>
      <c r="P2103" s="11">
        <f t="shared" si="587"/>
        <v>3392</v>
      </c>
      <c r="Q2103" s="11">
        <v>1.5</v>
      </c>
      <c r="R2103" s="11">
        <f t="shared" si="588"/>
        <v>5088</v>
      </c>
      <c r="S2103" s="11"/>
      <c r="T2103" s="136">
        <f t="shared" si="584"/>
        <v>0</v>
      </c>
    </row>
    <row r="2104" spans="1:20" ht="15.75" customHeight="1">
      <c r="A2104" s="149">
        <v>19</v>
      </c>
      <c r="B2104" s="273"/>
      <c r="C2104" s="28" t="s">
        <v>2748</v>
      </c>
      <c r="D2104" s="71"/>
      <c r="E2104" s="131">
        <f t="shared" si="585"/>
        <v>3070</v>
      </c>
      <c r="F2104" s="21">
        <f t="shared" si="604"/>
        <v>3714.7</v>
      </c>
      <c r="G2104" s="21"/>
      <c r="H2104" s="135">
        <f t="shared" si="586"/>
        <v>0</v>
      </c>
      <c r="I2104" s="294">
        <v>44991</v>
      </c>
      <c r="J2104" s="294"/>
      <c r="K2104" s="10"/>
      <c r="L2104" s="11">
        <f>0.65*2941*1.07</f>
        <v>2045.4655000000002</v>
      </c>
      <c r="M2104" s="11"/>
      <c r="N2104" s="137"/>
      <c r="O2104" s="11">
        <f t="shared" si="583"/>
        <v>2045.4655000000002</v>
      </c>
      <c r="P2104" s="11">
        <f t="shared" si="587"/>
        <v>2045.4655000000002</v>
      </c>
      <c r="Q2104" s="11">
        <v>1.5</v>
      </c>
      <c r="R2104" s="11">
        <f t="shared" si="588"/>
        <v>3068.1982500000004</v>
      </c>
      <c r="S2104" s="11"/>
      <c r="T2104" s="136">
        <f t="shared" si="584"/>
        <v>0</v>
      </c>
    </row>
    <row r="2105" spans="1:20" ht="15.75" customHeight="1">
      <c r="A2105" s="149">
        <v>24</v>
      </c>
      <c r="B2105" s="273"/>
      <c r="C2105" s="28" t="s">
        <v>3913</v>
      </c>
      <c r="D2105" s="71">
        <v>1300</v>
      </c>
      <c r="E2105" s="131">
        <f t="shared" si="585"/>
        <v>0</v>
      </c>
      <c r="F2105" s="21">
        <f t="shared" si="604"/>
        <v>0</v>
      </c>
      <c r="G2105" s="21"/>
      <c r="H2105" s="135">
        <f t="shared" si="586"/>
        <v>0</v>
      </c>
      <c r="I2105" s="294">
        <v>44806</v>
      </c>
      <c r="J2105" s="294"/>
      <c r="K2105" s="10">
        <f>0.8*5277</f>
        <v>4221.6000000000004</v>
      </c>
      <c r="L2105" s="11"/>
      <c r="M2105" s="11"/>
      <c r="N2105" s="137"/>
      <c r="O2105" s="11">
        <f t="shared" si="583"/>
        <v>4221.6000000000004</v>
      </c>
      <c r="P2105" s="11">
        <f t="shared" si="587"/>
        <v>4221.6000000000004</v>
      </c>
      <c r="Q2105" s="11"/>
      <c r="R2105" s="11">
        <f t="shared" si="588"/>
        <v>0</v>
      </c>
      <c r="S2105" s="11"/>
      <c r="T2105" s="136">
        <f t="shared" si="584"/>
        <v>0</v>
      </c>
    </row>
    <row r="2106" spans="1:20" ht="15.75" customHeight="1">
      <c r="A2106" s="149" t="s">
        <v>3385</v>
      </c>
      <c r="B2106" s="273"/>
      <c r="C2106" s="20" t="s">
        <v>3833</v>
      </c>
      <c r="D2106" s="71">
        <v>530</v>
      </c>
      <c r="E2106" s="131">
        <f t="shared" si="585"/>
        <v>13480</v>
      </c>
      <c r="F2106" s="21">
        <f t="shared" si="604"/>
        <v>16310.8</v>
      </c>
      <c r="G2106" s="22"/>
      <c r="H2106" s="135">
        <f t="shared" si="586"/>
        <v>0</v>
      </c>
      <c r="I2106" s="294">
        <v>45286</v>
      </c>
      <c r="J2106" s="23">
        <v>45330</v>
      </c>
      <c r="K2106" s="10"/>
      <c r="L2106" s="137"/>
      <c r="M2106" s="25">
        <v>8425</v>
      </c>
      <c r="N2106" s="100"/>
      <c r="O2106" s="11">
        <f t="shared" si="583"/>
        <v>8425</v>
      </c>
      <c r="P2106" s="11">
        <f t="shared" si="587"/>
        <v>8425</v>
      </c>
      <c r="Q2106" s="25">
        <v>1.6</v>
      </c>
      <c r="R2106" s="11">
        <f t="shared" si="588"/>
        <v>13480</v>
      </c>
      <c r="S2106" s="11"/>
      <c r="T2106" s="136">
        <f t="shared" si="584"/>
        <v>0</v>
      </c>
    </row>
    <row r="2107" spans="1:20" ht="15.75" customHeight="1">
      <c r="A2107" s="149">
        <v>51</v>
      </c>
      <c r="B2107" s="273"/>
      <c r="C2107" s="20" t="s">
        <v>2766</v>
      </c>
      <c r="D2107" s="71">
        <v>680</v>
      </c>
      <c r="E2107" s="199">
        <f t="shared" si="585"/>
        <v>13070</v>
      </c>
      <c r="F2107" s="21">
        <f t="shared" si="604"/>
        <v>15814.699999999999</v>
      </c>
      <c r="G2107" s="22"/>
      <c r="H2107" s="135">
        <f t="shared" si="586"/>
        <v>0</v>
      </c>
      <c r="I2107" s="294">
        <v>45383</v>
      </c>
      <c r="J2107" s="23"/>
      <c r="K2107" s="10">
        <f>0.85*20489/2</f>
        <v>8707.8249999999989</v>
      </c>
      <c r="L2107" s="25"/>
      <c r="M2107" s="25"/>
      <c r="N2107" s="137"/>
      <c r="O2107" s="11">
        <f t="shared" si="583"/>
        <v>8707.8249999999989</v>
      </c>
      <c r="P2107" s="11">
        <f t="shared" si="587"/>
        <v>8707.8249999999989</v>
      </c>
      <c r="Q2107" s="25">
        <v>1.5</v>
      </c>
      <c r="R2107" s="11">
        <f t="shared" si="588"/>
        <v>13061.737499999999</v>
      </c>
      <c r="S2107" s="11"/>
      <c r="T2107" s="136">
        <f t="shared" si="584"/>
        <v>0</v>
      </c>
    </row>
    <row r="2108" spans="1:20" ht="15.75" customHeight="1">
      <c r="A2108" s="149">
        <v>51</v>
      </c>
      <c r="B2108" s="273"/>
      <c r="C2108" s="20" t="s">
        <v>2114</v>
      </c>
      <c r="D2108" s="71">
        <v>2430</v>
      </c>
      <c r="E2108" s="199">
        <f t="shared" si="585"/>
        <v>0</v>
      </c>
      <c r="F2108" s="21">
        <f t="shared" si="604"/>
        <v>0</v>
      </c>
      <c r="G2108" s="22"/>
      <c r="H2108" s="135">
        <f t="shared" si="586"/>
        <v>0</v>
      </c>
      <c r="I2108" s="294">
        <v>44547</v>
      </c>
      <c r="J2108" s="23"/>
      <c r="K2108" s="10">
        <f>0.85*2205*1.12*1.1</f>
        <v>2309.0760000000005</v>
      </c>
      <c r="L2108" s="11"/>
      <c r="M2108" s="25"/>
      <c r="N2108" s="137"/>
      <c r="O2108" s="11">
        <f t="shared" si="583"/>
        <v>2309.0760000000005</v>
      </c>
      <c r="P2108" s="11">
        <f t="shared" si="587"/>
        <v>2309.0760000000005</v>
      </c>
      <c r="Q2108" s="25"/>
      <c r="R2108" s="11">
        <f t="shared" si="588"/>
        <v>0</v>
      </c>
      <c r="S2108" s="11"/>
      <c r="T2108" s="136">
        <f t="shared" si="584"/>
        <v>0</v>
      </c>
    </row>
    <row r="2109" spans="1:20" ht="15.75" customHeight="1">
      <c r="A2109" s="149">
        <v>12</v>
      </c>
      <c r="B2109" s="273"/>
      <c r="C2109" s="20" t="s">
        <v>4446</v>
      </c>
      <c r="D2109" s="71"/>
      <c r="E2109" s="131">
        <f t="shared" si="585"/>
        <v>7710</v>
      </c>
      <c r="F2109" s="21">
        <f t="shared" si="604"/>
        <v>9329.1</v>
      </c>
      <c r="G2109" s="22"/>
      <c r="H2109" s="135">
        <f t="shared" si="586"/>
        <v>0</v>
      </c>
      <c r="I2109" s="294">
        <v>45274</v>
      </c>
      <c r="J2109" s="23">
        <v>45338</v>
      </c>
      <c r="K2109" s="10">
        <v>5134</v>
      </c>
      <c r="L2109" s="25"/>
      <c r="M2109" s="25"/>
      <c r="N2109" s="137"/>
      <c r="O2109" s="11">
        <f t="shared" si="583"/>
        <v>5134</v>
      </c>
      <c r="P2109" s="11">
        <f t="shared" si="587"/>
        <v>5134</v>
      </c>
      <c r="Q2109" s="25">
        <v>1.5</v>
      </c>
      <c r="R2109" s="11">
        <f t="shared" si="588"/>
        <v>7701</v>
      </c>
      <c r="S2109" s="11"/>
      <c r="T2109" s="136">
        <f t="shared" si="584"/>
        <v>0</v>
      </c>
    </row>
    <row r="2110" spans="1:20" ht="15.75" customHeight="1">
      <c r="A2110" s="149">
        <v>12</v>
      </c>
      <c r="B2110" s="273"/>
      <c r="C2110" s="20" t="s">
        <v>3492</v>
      </c>
      <c r="D2110" s="71"/>
      <c r="E2110" s="131">
        <f t="shared" si="585"/>
        <v>0</v>
      </c>
      <c r="F2110" s="21">
        <f t="shared" si="604"/>
        <v>0</v>
      </c>
      <c r="G2110" s="22"/>
      <c r="H2110" s="135">
        <f t="shared" si="586"/>
        <v>0</v>
      </c>
      <c r="I2110" s="294">
        <v>44749</v>
      </c>
      <c r="J2110" s="23"/>
      <c r="K2110" s="102">
        <v>1164</v>
      </c>
      <c r="L2110" s="25"/>
      <c r="M2110" s="25"/>
      <c r="N2110" s="137"/>
      <c r="O2110" s="11">
        <f t="shared" si="583"/>
        <v>1164</v>
      </c>
      <c r="P2110" s="11">
        <f t="shared" si="587"/>
        <v>1164</v>
      </c>
      <c r="Q2110" s="25"/>
      <c r="R2110" s="11">
        <f t="shared" si="588"/>
        <v>0</v>
      </c>
      <c r="S2110" s="11"/>
      <c r="T2110" s="136">
        <f t="shared" si="584"/>
        <v>0</v>
      </c>
    </row>
    <row r="2111" spans="1:20" ht="15.75" customHeight="1">
      <c r="A2111" s="149">
        <v>38</v>
      </c>
      <c r="B2111" s="273"/>
      <c r="C2111" s="28" t="s">
        <v>2790</v>
      </c>
      <c r="D2111" s="71">
        <v>350</v>
      </c>
      <c r="E2111" s="131">
        <f t="shared" si="585"/>
        <v>8210</v>
      </c>
      <c r="F2111" s="21">
        <f t="shared" si="604"/>
        <v>9934.1</v>
      </c>
      <c r="G2111" s="21"/>
      <c r="H2111" s="135">
        <f t="shared" si="586"/>
        <v>7110</v>
      </c>
      <c r="I2111" s="294">
        <v>45138</v>
      </c>
      <c r="J2111" s="294">
        <v>45274</v>
      </c>
      <c r="K2111" s="10">
        <f>+PROVEEDORES!$D$32*5.21</f>
        <v>5470.5</v>
      </c>
      <c r="L2111" s="11"/>
      <c r="M2111" s="11"/>
      <c r="N2111" s="100">
        <v>4740</v>
      </c>
      <c r="O2111" s="11">
        <f t="shared" si="583"/>
        <v>5470.5</v>
      </c>
      <c r="P2111" s="11">
        <f t="shared" si="587"/>
        <v>5470.5</v>
      </c>
      <c r="Q2111" s="11">
        <v>1.5</v>
      </c>
      <c r="R2111" s="11">
        <f t="shared" si="588"/>
        <v>8205.75</v>
      </c>
      <c r="S2111" s="11"/>
      <c r="T2111" s="136">
        <f t="shared" si="584"/>
        <v>7110</v>
      </c>
    </row>
    <row r="2112" spans="1:20" ht="15.75" customHeight="1">
      <c r="A2112" s="149" t="s">
        <v>44322</v>
      </c>
      <c r="B2112" s="273"/>
      <c r="C2112" s="28" t="s">
        <v>1815</v>
      </c>
      <c r="D2112" s="71">
        <v>1030</v>
      </c>
      <c r="E2112" s="131">
        <f t="shared" si="585"/>
        <v>25320</v>
      </c>
      <c r="F2112" s="21">
        <f t="shared" si="604"/>
        <v>30637.200000000001</v>
      </c>
      <c r="G2112" s="21"/>
      <c r="H2112" s="135">
        <f t="shared" si="586"/>
        <v>0</v>
      </c>
      <c r="I2112" s="294">
        <v>45059</v>
      </c>
      <c r="J2112" s="294">
        <v>45332</v>
      </c>
      <c r="K2112" s="10">
        <f>0.8*0.94*23214</f>
        <v>17456.928</v>
      </c>
      <c r="L2112" s="42"/>
      <c r="M2112" s="42"/>
      <c r="N2112" s="37"/>
      <c r="O2112" s="11">
        <f t="shared" si="583"/>
        <v>17456.928</v>
      </c>
      <c r="P2112" s="11">
        <f t="shared" si="587"/>
        <v>17456.928</v>
      </c>
      <c r="Q2112" s="11">
        <v>1.45</v>
      </c>
      <c r="R2112" s="11">
        <f t="shared" si="588"/>
        <v>25312.545599999998</v>
      </c>
      <c r="S2112" s="11"/>
      <c r="T2112" s="136">
        <f t="shared" si="584"/>
        <v>0</v>
      </c>
    </row>
    <row r="2113" spans="1:20" ht="15.75" customHeight="1">
      <c r="A2113" s="149" t="s">
        <v>44322</v>
      </c>
      <c r="B2113" s="273"/>
      <c r="C2113" s="28" t="s">
        <v>4218</v>
      </c>
      <c r="D2113" s="71">
        <v>1030</v>
      </c>
      <c r="E2113" s="131">
        <f>ROUNDUP(R2113,-1)</f>
        <v>20070</v>
      </c>
      <c r="F2113" s="21">
        <f>+E2113*1.21</f>
        <v>24284.7</v>
      </c>
      <c r="G2113" s="21"/>
      <c r="H2113" s="135">
        <f>ROUNDUP(T2113,-1)</f>
        <v>0</v>
      </c>
      <c r="I2113" s="294">
        <v>45059</v>
      </c>
      <c r="J2113" s="294">
        <v>45332</v>
      </c>
      <c r="K2113" s="42">
        <f>0.8*0.94*18405</f>
        <v>13840.56</v>
      </c>
      <c r="L2113" s="42"/>
      <c r="M2113" s="42"/>
      <c r="N2113" s="37"/>
      <c r="O2113" s="11">
        <f>MIN(K2113:M2113)</f>
        <v>13840.56</v>
      </c>
      <c r="P2113" s="11">
        <f t="shared" si="587"/>
        <v>13840.56</v>
      </c>
      <c r="Q2113" s="11">
        <v>1.45</v>
      </c>
      <c r="R2113" s="11">
        <f t="shared" si="588"/>
        <v>20068.811999999998</v>
      </c>
      <c r="S2113" s="11"/>
      <c r="T2113" s="136">
        <f>+N2113*Q2113</f>
        <v>0</v>
      </c>
    </row>
    <row r="2114" spans="1:20" ht="15.75" customHeight="1">
      <c r="A2114" s="149" t="s">
        <v>44322</v>
      </c>
      <c r="B2114" s="273"/>
      <c r="C2114" s="28" t="s">
        <v>1816</v>
      </c>
      <c r="D2114" s="71"/>
      <c r="E2114" s="131">
        <f t="shared" si="585"/>
        <v>32850</v>
      </c>
      <c r="F2114" s="21">
        <f t="shared" si="604"/>
        <v>39748.5</v>
      </c>
      <c r="G2114" s="21"/>
      <c r="H2114" s="135">
        <f t="shared" si="586"/>
        <v>0</v>
      </c>
      <c r="I2114" s="294">
        <v>45059</v>
      </c>
      <c r="J2114" s="294">
        <v>45332</v>
      </c>
      <c r="K2114" s="10">
        <f>0.8*0.94*30123</f>
        <v>22652.495999999999</v>
      </c>
      <c r="L2114" s="42"/>
      <c r="M2114" s="42"/>
      <c r="N2114" s="37"/>
      <c r="O2114" s="11">
        <f t="shared" si="583"/>
        <v>22652.495999999999</v>
      </c>
      <c r="P2114" s="11">
        <f t="shared" si="587"/>
        <v>22652.495999999999</v>
      </c>
      <c r="Q2114" s="11">
        <v>1.45</v>
      </c>
      <c r="R2114" s="11">
        <f t="shared" si="588"/>
        <v>32846.119200000001</v>
      </c>
      <c r="S2114" s="11"/>
      <c r="T2114" s="136">
        <f t="shared" si="584"/>
        <v>0</v>
      </c>
    </row>
    <row r="2115" spans="1:20" ht="15.75" customHeight="1">
      <c r="A2115" s="149" t="s">
        <v>2402</v>
      </c>
      <c r="B2115" s="273"/>
      <c r="C2115" s="28" t="s">
        <v>3705</v>
      </c>
      <c r="D2115" s="71">
        <v>130</v>
      </c>
      <c r="E2115" s="131">
        <f t="shared" si="585"/>
        <v>20840</v>
      </c>
      <c r="F2115" s="21">
        <f t="shared" si="604"/>
        <v>25216.399999999998</v>
      </c>
      <c r="G2115" s="21"/>
      <c r="H2115" s="135">
        <f t="shared" si="586"/>
        <v>0</v>
      </c>
      <c r="I2115" s="294">
        <v>45217</v>
      </c>
      <c r="J2115" s="294">
        <v>45329</v>
      </c>
      <c r="K2115" s="10">
        <f>0.6*23151</f>
        <v>13890.6</v>
      </c>
      <c r="L2115" s="11"/>
      <c r="M2115" s="11"/>
      <c r="N2115" s="100"/>
      <c r="O2115" s="11">
        <f t="shared" si="583"/>
        <v>13890.6</v>
      </c>
      <c r="P2115" s="11">
        <f t="shared" si="587"/>
        <v>13890.6</v>
      </c>
      <c r="Q2115" s="11">
        <v>1.5</v>
      </c>
      <c r="R2115" s="11">
        <f t="shared" si="588"/>
        <v>20835.900000000001</v>
      </c>
      <c r="S2115" s="11"/>
      <c r="T2115" s="136">
        <f t="shared" si="584"/>
        <v>0</v>
      </c>
    </row>
    <row r="2116" spans="1:20" ht="15.75" customHeight="1">
      <c r="A2116" s="149">
        <v>12</v>
      </c>
      <c r="B2116" s="273"/>
      <c r="C2116" s="20" t="s">
        <v>37238</v>
      </c>
      <c r="D2116" s="71"/>
      <c r="E2116" s="131">
        <f>ROUNDUP(R2116,-1)</f>
        <v>11590</v>
      </c>
      <c r="F2116" s="21">
        <f>+E2116*1.21</f>
        <v>14023.9</v>
      </c>
      <c r="G2116" s="22"/>
      <c r="H2116" s="135">
        <f>ROUNDUP(T2116,-1)</f>
        <v>0</v>
      </c>
      <c r="I2116" s="294">
        <v>45274</v>
      </c>
      <c r="J2116" s="23">
        <v>45338</v>
      </c>
      <c r="K2116" s="171">
        <v>7722</v>
      </c>
      <c r="L2116" s="25"/>
      <c r="M2116" s="25"/>
      <c r="N2116" s="137"/>
      <c r="O2116" s="11">
        <f>MIN(K2116:M2116)</f>
        <v>7722</v>
      </c>
      <c r="P2116" s="11">
        <f>+O2116</f>
        <v>7722</v>
      </c>
      <c r="Q2116" s="25">
        <v>1.5</v>
      </c>
      <c r="R2116" s="11">
        <f>+P2116*Q2116</f>
        <v>11583</v>
      </c>
      <c r="S2116" s="11"/>
      <c r="T2116" s="136">
        <f>+N2116*Q2116</f>
        <v>0</v>
      </c>
    </row>
    <row r="2117" spans="1:20" ht="15.75" customHeight="1">
      <c r="A2117" s="149">
        <v>12</v>
      </c>
      <c r="B2117" s="273"/>
      <c r="C2117" s="20" t="s">
        <v>37239</v>
      </c>
      <c r="D2117" s="71"/>
      <c r="E2117" s="131">
        <f>ROUNDUP(R2117,-1)</f>
        <v>14760</v>
      </c>
      <c r="F2117" s="21">
        <f>+E2117*1.21</f>
        <v>17859.599999999999</v>
      </c>
      <c r="G2117" s="22"/>
      <c r="H2117" s="135">
        <f>ROUNDUP(T2117,-1)</f>
        <v>0</v>
      </c>
      <c r="I2117" s="294">
        <v>45274</v>
      </c>
      <c r="J2117" s="23">
        <v>45338</v>
      </c>
      <c r="K2117" s="171">
        <v>9839</v>
      </c>
      <c r="L2117" s="25"/>
      <c r="M2117" s="25"/>
      <c r="N2117" s="137"/>
      <c r="O2117" s="11">
        <f>MIN(K2117:M2117)</f>
        <v>9839</v>
      </c>
      <c r="P2117" s="11">
        <f>+O2117</f>
        <v>9839</v>
      </c>
      <c r="Q2117" s="25">
        <v>1.5</v>
      </c>
      <c r="R2117" s="11">
        <f>+P2117*Q2117</f>
        <v>14758.5</v>
      </c>
      <c r="S2117" s="11"/>
      <c r="T2117" s="136">
        <f>+N2117*Q2117</f>
        <v>0</v>
      </c>
    </row>
    <row r="2118" spans="1:20" ht="15.75" customHeight="1">
      <c r="A2118" s="149" t="s">
        <v>2387</v>
      </c>
      <c r="B2118" s="273"/>
      <c r="C2118" s="28" t="s">
        <v>1817</v>
      </c>
      <c r="D2118" s="71">
        <v>870</v>
      </c>
      <c r="E2118" s="131">
        <f t="shared" si="585"/>
        <v>37380</v>
      </c>
      <c r="F2118" s="21">
        <f t="shared" si="604"/>
        <v>45229.799999999996</v>
      </c>
      <c r="G2118" s="21"/>
      <c r="H2118" s="135">
        <f t="shared" si="586"/>
        <v>0</v>
      </c>
      <c r="I2118" s="294">
        <v>45173</v>
      </c>
      <c r="J2118" s="294">
        <v>45175</v>
      </c>
      <c r="K2118" s="11">
        <f>'AUMENTOS %'!D14*PROVEEDORES!D18*0.5*24.32*2</f>
        <v>25779.200000000001</v>
      </c>
      <c r="L2118" s="11"/>
      <c r="M2118" s="11"/>
      <c r="N2118" s="100"/>
      <c r="O2118" s="11">
        <f t="shared" si="583"/>
        <v>25779.200000000001</v>
      </c>
      <c r="P2118" s="11">
        <f t="shared" si="587"/>
        <v>25779.200000000001</v>
      </c>
      <c r="Q2118" s="11">
        <v>1.45</v>
      </c>
      <c r="R2118" s="11">
        <f t="shared" si="588"/>
        <v>37379.839999999997</v>
      </c>
      <c r="S2118" s="11"/>
      <c r="T2118" s="136">
        <f t="shared" si="584"/>
        <v>0</v>
      </c>
    </row>
    <row r="2119" spans="1:20" ht="15.75" customHeight="1">
      <c r="A2119" s="149" t="s">
        <v>2387</v>
      </c>
      <c r="B2119" s="273"/>
      <c r="C2119" s="28" t="s">
        <v>2800</v>
      </c>
      <c r="D2119" s="71">
        <v>720</v>
      </c>
      <c r="E2119" s="131">
        <f t="shared" si="585"/>
        <v>0</v>
      </c>
      <c r="F2119" s="21">
        <f t="shared" si="604"/>
        <v>0</v>
      </c>
      <c r="G2119" s="21"/>
      <c r="H2119" s="135">
        <f t="shared" si="586"/>
        <v>0</v>
      </c>
      <c r="I2119" s="294">
        <v>45173</v>
      </c>
      <c r="J2119" s="294"/>
      <c r="K2119" s="11"/>
      <c r="L2119" s="11"/>
      <c r="M2119" s="11"/>
      <c r="N2119" s="100"/>
      <c r="O2119" s="11">
        <f t="shared" si="583"/>
        <v>0</v>
      </c>
      <c r="P2119" s="11">
        <f t="shared" si="587"/>
        <v>0</v>
      </c>
      <c r="Q2119" s="11">
        <v>1.45</v>
      </c>
      <c r="R2119" s="11">
        <f t="shared" si="588"/>
        <v>0</v>
      </c>
      <c r="S2119" s="11"/>
      <c r="T2119" s="136">
        <f t="shared" si="584"/>
        <v>0</v>
      </c>
    </row>
    <row r="2120" spans="1:20" ht="15.75" customHeight="1">
      <c r="A2120" s="149">
        <v>38</v>
      </c>
      <c r="B2120" s="273"/>
      <c r="C2120" s="28" t="s">
        <v>3935</v>
      </c>
      <c r="D2120" s="71">
        <v>720</v>
      </c>
      <c r="E2120" s="131">
        <f t="shared" si="585"/>
        <v>19570</v>
      </c>
      <c r="F2120" s="21">
        <f t="shared" si="604"/>
        <v>23679.7</v>
      </c>
      <c r="G2120" s="21"/>
      <c r="H2120" s="135">
        <f t="shared" si="586"/>
        <v>18260</v>
      </c>
      <c r="I2120" s="294">
        <v>45138</v>
      </c>
      <c r="J2120" s="294">
        <v>45293</v>
      </c>
      <c r="K2120" s="11">
        <f>+PROVEEDORES!D32*12.42</f>
        <v>13041</v>
      </c>
      <c r="L2120" s="11"/>
      <c r="M2120" s="11"/>
      <c r="N2120" s="100">
        <v>12170</v>
      </c>
      <c r="O2120" s="11">
        <f t="shared" si="583"/>
        <v>13041</v>
      </c>
      <c r="P2120" s="11">
        <f t="shared" si="587"/>
        <v>13041</v>
      </c>
      <c r="Q2120" s="11">
        <v>1.5</v>
      </c>
      <c r="R2120" s="11">
        <f t="shared" si="588"/>
        <v>19561.5</v>
      </c>
      <c r="S2120" s="11"/>
      <c r="T2120" s="136">
        <f t="shared" si="584"/>
        <v>18255</v>
      </c>
    </row>
    <row r="2121" spans="1:20" ht="15.75" customHeight="1">
      <c r="A2121" s="149">
        <v>24</v>
      </c>
      <c r="B2121" s="273"/>
      <c r="C2121" s="28" t="s">
        <v>2605</v>
      </c>
      <c r="D2121" s="71">
        <v>390</v>
      </c>
      <c r="E2121" s="131">
        <f t="shared" si="585"/>
        <v>8990</v>
      </c>
      <c r="F2121" s="21">
        <f t="shared" si="604"/>
        <v>10877.9</v>
      </c>
      <c r="G2121" s="21"/>
      <c r="H2121" s="135">
        <f t="shared" si="586"/>
        <v>0</v>
      </c>
      <c r="I2121" s="294"/>
      <c r="J2121" s="294">
        <v>45175</v>
      </c>
      <c r="K2121" s="11">
        <f>+PROVEEDORES!D18*0.5*11.3</f>
        <v>5989</v>
      </c>
      <c r="L2121" s="11"/>
      <c r="M2121" s="11"/>
      <c r="N2121" s="100"/>
      <c r="O2121" s="11">
        <f t="shared" si="583"/>
        <v>5989</v>
      </c>
      <c r="P2121" s="11">
        <f t="shared" si="587"/>
        <v>5989</v>
      </c>
      <c r="Q2121" s="11">
        <v>1.5</v>
      </c>
      <c r="R2121" s="11">
        <f t="shared" si="588"/>
        <v>8983.5</v>
      </c>
      <c r="S2121" s="11"/>
      <c r="T2121" s="136">
        <f t="shared" si="584"/>
        <v>0</v>
      </c>
    </row>
    <row r="2122" spans="1:20" ht="15.75" customHeight="1">
      <c r="A2122" s="149">
        <v>24</v>
      </c>
      <c r="B2122" s="273"/>
      <c r="C2122" s="28" t="s">
        <v>2606</v>
      </c>
      <c r="D2122" s="71">
        <v>650</v>
      </c>
      <c r="E2122" s="131">
        <f t="shared" si="585"/>
        <v>10580</v>
      </c>
      <c r="F2122" s="21">
        <f t="shared" si="604"/>
        <v>12801.8</v>
      </c>
      <c r="G2122" s="21"/>
      <c r="H2122" s="135">
        <f t="shared" si="586"/>
        <v>0</v>
      </c>
      <c r="I2122" s="294"/>
      <c r="J2122" s="294">
        <v>45175</v>
      </c>
      <c r="K2122" s="11">
        <f>+PROVEEDORES!D18*0.5*13.3</f>
        <v>7049</v>
      </c>
      <c r="L2122" s="11"/>
      <c r="M2122" s="11"/>
      <c r="N2122" s="100"/>
      <c r="O2122" s="11">
        <f t="shared" si="583"/>
        <v>7049</v>
      </c>
      <c r="P2122" s="11">
        <f t="shared" si="587"/>
        <v>7049</v>
      </c>
      <c r="Q2122" s="11">
        <v>1.5</v>
      </c>
      <c r="R2122" s="11">
        <f t="shared" si="588"/>
        <v>10573.5</v>
      </c>
      <c r="S2122" s="11"/>
      <c r="T2122" s="136">
        <f t="shared" si="584"/>
        <v>0</v>
      </c>
    </row>
    <row r="2123" spans="1:20" ht="15.75" customHeight="1">
      <c r="A2123" s="149">
        <v>106</v>
      </c>
      <c r="B2123" s="273"/>
      <c r="C2123" s="28" t="s">
        <v>44324</v>
      </c>
      <c r="D2123" s="71"/>
      <c r="E2123" s="131">
        <f t="shared" si="585"/>
        <v>4560</v>
      </c>
      <c r="F2123" s="21">
        <f t="shared" si="604"/>
        <v>5517.5999999999995</v>
      </c>
      <c r="G2123" s="21"/>
      <c r="H2123" s="135">
        <f t="shared" si="586"/>
        <v>0</v>
      </c>
      <c r="I2123" s="294">
        <v>45281</v>
      </c>
      <c r="J2123" s="294"/>
      <c r="K2123" s="10">
        <f>0.82*3706</f>
        <v>3038.9199999999996</v>
      </c>
      <c r="L2123" s="11"/>
      <c r="M2123" s="11"/>
      <c r="N2123" s="100"/>
      <c r="O2123" s="11">
        <f t="shared" ref="O2123:O2191" si="605">MIN(K2123:M2123)</f>
        <v>3038.9199999999996</v>
      </c>
      <c r="P2123" s="11">
        <f t="shared" si="587"/>
        <v>3038.9199999999996</v>
      </c>
      <c r="Q2123" s="11">
        <v>1.5</v>
      </c>
      <c r="R2123" s="11">
        <f t="shared" si="588"/>
        <v>4558.3799999999992</v>
      </c>
      <c r="S2123" s="11"/>
      <c r="T2123" s="136">
        <f t="shared" si="584"/>
        <v>0</v>
      </c>
    </row>
    <row r="2124" spans="1:20" ht="15.75" customHeight="1">
      <c r="A2124" s="149"/>
      <c r="B2124" s="273"/>
      <c r="C2124" s="28" t="s">
        <v>2833</v>
      </c>
      <c r="D2124" s="71">
        <v>651</v>
      </c>
      <c r="E2124" s="131">
        <f t="shared" si="585"/>
        <v>1860</v>
      </c>
      <c r="F2124" s="21">
        <f t="shared" si="604"/>
        <v>2250.6</v>
      </c>
      <c r="G2124" s="21"/>
      <c r="H2124" s="135">
        <f t="shared" si="586"/>
        <v>0</v>
      </c>
      <c r="I2124" s="294"/>
      <c r="J2124" s="294">
        <v>44238</v>
      </c>
      <c r="K2124" s="11">
        <v>1240</v>
      </c>
      <c r="L2124" s="11"/>
      <c r="M2124" s="11"/>
      <c r="N2124" s="100"/>
      <c r="O2124" s="11">
        <f t="shared" si="605"/>
        <v>1240</v>
      </c>
      <c r="P2124" s="11">
        <f t="shared" si="587"/>
        <v>1240</v>
      </c>
      <c r="Q2124" s="11">
        <v>1.5</v>
      </c>
      <c r="R2124" s="11">
        <f t="shared" si="588"/>
        <v>1860</v>
      </c>
      <c r="S2124" s="11"/>
      <c r="T2124" s="136">
        <f t="shared" ref="T2124:T2192" si="606">+N2124*Q2124</f>
        <v>0</v>
      </c>
    </row>
    <row r="2125" spans="1:20" ht="15.75" customHeight="1">
      <c r="A2125" s="149" t="s">
        <v>2387</v>
      </c>
      <c r="B2125" s="273"/>
      <c r="C2125" s="28" t="s">
        <v>2801</v>
      </c>
      <c r="D2125" s="71">
        <v>620</v>
      </c>
      <c r="E2125" s="131">
        <f t="shared" si="585"/>
        <v>17730</v>
      </c>
      <c r="F2125" s="21">
        <f t="shared" si="604"/>
        <v>21453.3</v>
      </c>
      <c r="G2125" s="21"/>
      <c r="H2125" s="135">
        <f t="shared" si="586"/>
        <v>0</v>
      </c>
      <c r="I2125" s="294">
        <v>45173</v>
      </c>
      <c r="J2125" s="23">
        <v>45175</v>
      </c>
      <c r="K2125" s="10">
        <f>+'AUMENTOS %'!$D$14*PROVEEDORES!$D$18*0.5*22.3</f>
        <v>11819</v>
      </c>
      <c r="L2125" s="11">
        <f>+'AUMENTOS %'!$C$14*6283*2</f>
        <v>12566</v>
      </c>
      <c r="M2125" s="11"/>
      <c r="N2125" s="100"/>
      <c r="O2125" s="11">
        <f t="shared" si="605"/>
        <v>11819</v>
      </c>
      <c r="P2125" s="11">
        <f t="shared" si="587"/>
        <v>11819</v>
      </c>
      <c r="Q2125" s="11">
        <v>1.5</v>
      </c>
      <c r="R2125" s="11">
        <f t="shared" si="588"/>
        <v>17728.5</v>
      </c>
      <c r="S2125" s="11"/>
      <c r="T2125" s="136">
        <f t="shared" si="606"/>
        <v>0</v>
      </c>
    </row>
    <row r="2126" spans="1:20" ht="15.75" customHeight="1">
      <c r="A2126" s="149" t="s">
        <v>2387</v>
      </c>
      <c r="B2126" s="273"/>
      <c r="C2126" s="20" t="s">
        <v>3805</v>
      </c>
      <c r="D2126" s="71">
        <v>530</v>
      </c>
      <c r="E2126" s="131">
        <f t="shared" si="585"/>
        <v>15600</v>
      </c>
      <c r="F2126" s="21">
        <f t="shared" si="604"/>
        <v>18876</v>
      </c>
      <c r="G2126" s="22"/>
      <c r="H2126" s="135">
        <f t="shared" si="586"/>
        <v>0</v>
      </c>
      <c r="I2126" s="294">
        <v>45173</v>
      </c>
      <c r="J2126" s="23">
        <v>45175</v>
      </c>
      <c r="K2126" s="10">
        <f>+'AUMENTOS %'!$D$14*PROVEEDORES!$D$18*0.5*19.62</f>
        <v>10398.6</v>
      </c>
      <c r="L2126" s="11">
        <f>+'AUMENTOS %'!$C$14*5390*2</f>
        <v>10780</v>
      </c>
      <c r="M2126" s="25"/>
      <c r="N2126" s="137"/>
      <c r="O2126" s="11">
        <f t="shared" si="605"/>
        <v>10398.6</v>
      </c>
      <c r="P2126" s="11">
        <f t="shared" si="587"/>
        <v>10398.6</v>
      </c>
      <c r="Q2126" s="25">
        <v>1.5</v>
      </c>
      <c r="R2126" s="11">
        <f t="shared" si="588"/>
        <v>15597.900000000001</v>
      </c>
      <c r="S2126" s="11"/>
      <c r="T2126" s="136">
        <f t="shared" si="606"/>
        <v>0</v>
      </c>
    </row>
    <row r="2127" spans="1:20" ht="15.75" customHeight="1">
      <c r="A2127" s="149">
        <v>12</v>
      </c>
      <c r="B2127" s="273"/>
      <c r="C2127" s="20" t="s">
        <v>4538</v>
      </c>
      <c r="D2127" s="71"/>
      <c r="E2127" s="131">
        <f>ROUNDUP(R2127,-1)</f>
        <v>7720</v>
      </c>
      <c r="F2127" s="21">
        <f>+E2127*1.21</f>
        <v>9341.1999999999989</v>
      </c>
      <c r="G2127" s="21"/>
      <c r="H2127" s="135">
        <f>ROUNDUP(T2127,-1)</f>
        <v>0</v>
      </c>
      <c r="I2127" s="294">
        <v>45274</v>
      </c>
      <c r="J2127" s="294">
        <v>45338</v>
      </c>
      <c r="K2127" s="10">
        <v>5142</v>
      </c>
      <c r="L2127" s="10"/>
      <c r="M2127" s="11"/>
      <c r="N2127" s="137"/>
      <c r="O2127" s="11">
        <f>MIN(K2127:M2127)</f>
        <v>5142</v>
      </c>
      <c r="P2127" s="11">
        <f>+O2127</f>
        <v>5142</v>
      </c>
      <c r="Q2127" s="11">
        <v>1.5</v>
      </c>
      <c r="R2127" s="11">
        <f>+P2127*Q2127</f>
        <v>7713</v>
      </c>
      <c r="S2127" s="11"/>
      <c r="T2127" s="136">
        <f>+N2127*Q2127</f>
        <v>0</v>
      </c>
    </row>
    <row r="2128" spans="1:20" ht="15.75" customHeight="1">
      <c r="A2128" s="149">
        <v>36</v>
      </c>
      <c r="B2128" s="273"/>
      <c r="C2128" s="20" t="s">
        <v>3914</v>
      </c>
      <c r="D2128" s="71"/>
      <c r="E2128" s="131">
        <f t="shared" si="585"/>
        <v>17930</v>
      </c>
      <c r="F2128" s="21">
        <f t="shared" si="604"/>
        <v>21695.3</v>
      </c>
      <c r="G2128" s="22"/>
      <c r="H2128" s="135">
        <f t="shared" si="586"/>
        <v>0</v>
      </c>
      <c r="I2128" s="294">
        <v>45059</v>
      </c>
      <c r="J2128" s="23">
        <v>45331</v>
      </c>
      <c r="K2128" s="10">
        <f>0.8*0.94*15892</f>
        <v>11950.784</v>
      </c>
      <c r="L2128" s="25"/>
      <c r="M2128" s="25"/>
      <c r="N2128" s="137"/>
      <c r="O2128" s="11">
        <f t="shared" si="605"/>
        <v>11950.784</v>
      </c>
      <c r="P2128" s="11">
        <f t="shared" si="587"/>
        <v>11950.784</v>
      </c>
      <c r="Q2128" s="25">
        <v>1.5</v>
      </c>
      <c r="R2128" s="11">
        <f t="shared" si="588"/>
        <v>17926.175999999999</v>
      </c>
      <c r="S2128" s="11"/>
      <c r="T2128" s="136">
        <f t="shared" si="606"/>
        <v>0</v>
      </c>
    </row>
    <row r="2129" spans="1:20" ht="15.75" customHeight="1">
      <c r="A2129" s="149">
        <v>19</v>
      </c>
      <c r="B2129" s="273"/>
      <c r="C2129" s="20" t="s">
        <v>3692</v>
      </c>
      <c r="D2129" s="71"/>
      <c r="E2129" s="131">
        <f t="shared" si="585"/>
        <v>3500</v>
      </c>
      <c r="F2129" s="21">
        <f t="shared" si="604"/>
        <v>4235</v>
      </c>
      <c r="G2129" s="21"/>
      <c r="H2129" s="135">
        <f t="shared" si="586"/>
        <v>0</v>
      </c>
      <c r="I2129" s="294">
        <v>44991</v>
      </c>
      <c r="J2129" s="294"/>
      <c r="K2129" s="10"/>
      <c r="L2129" s="10">
        <f>0.65*3347*1.07</f>
        <v>2327.8385000000003</v>
      </c>
      <c r="M2129" s="11"/>
      <c r="N2129" s="137"/>
      <c r="O2129" s="11">
        <f t="shared" si="605"/>
        <v>2327.8385000000003</v>
      </c>
      <c r="P2129" s="11">
        <f t="shared" si="587"/>
        <v>2327.8385000000003</v>
      </c>
      <c r="Q2129" s="11">
        <v>1.5</v>
      </c>
      <c r="R2129" s="11">
        <f t="shared" si="588"/>
        <v>3491.7577500000007</v>
      </c>
      <c r="S2129" s="11"/>
      <c r="T2129" s="136">
        <f t="shared" si="606"/>
        <v>0</v>
      </c>
    </row>
    <row r="2130" spans="1:20" ht="15.75" customHeight="1">
      <c r="A2130" s="149" t="s">
        <v>2387</v>
      </c>
      <c r="B2130" s="273"/>
      <c r="C2130" s="20" t="s">
        <v>3693</v>
      </c>
      <c r="D2130" s="71">
        <v>730</v>
      </c>
      <c r="E2130" s="131">
        <f t="shared" si="585"/>
        <v>18850</v>
      </c>
      <c r="F2130" s="21">
        <f t="shared" si="604"/>
        <v>22808.5</v>
      </c>
      <c r="G2130" s="22"/>
      <c r="H2130" s="135">
        <f t="shared" si="586"/>
        <v>0</v>
      </c>
      <c r="I2130" s="294">
        <v>45173</v>
      </c>
      <c r="J2130" s="23">
        <v>45175</v>
      </c>
      <c r="K2130" s="10">
        <f>+'AUMENTOS %'!$D$14*PROVEEDORES!$D$18*0.5*26.5</f>
        <v>14045</v>
      </c>
      <c r="L2130" s="11">
        <f>+'AUMENTOS %'!$C$14*6283*2</f>
        <v>12566</v>
      </c>
      <c r="M2130" s="25"/>
      <c r="N2130" s="137"/>
      <c r="O2130" s="11">
        <f t="shared" si="605"/>
        <v>12566</v>
      </c>
      <c r="P2130" s="11">
        <f t="shared" si="587"/>
        <v>12566</v>
      </c>
      <c r="Q2130" s="25">
        <v>1.5</v>
      </c>
      <c r="R2130" s="11">
        <f t="shared" si="588"/>
        <v>18849</v>
      </c>
      <c r="S2130" s="11"/>
      <c r="T2130" s="136">
        <f t="shared" si="606"/>
        <v>0</v>
      </c>
    </row>
    <row r="2131" spans="1:20" ht="15.75" customHeight="1">
      <c r="A2131" s="149" t="s">
        <v>2387</v>
      </c>
      <c r="B2131" s="273"/>
      <c r="C2131" s="20" t="s">
        <v>3694</v>
      </c>
      <c r="D2131" s="71">
        <v>850</v>
      </c>
      <c r="E2131" s="131">
        <f t="shared" si="585"/>
        <v>16940</v>
      </c>
      <c r="F2131" s="21">
        <f t="shared" si="604"/>
        <v>20497.399999999998</v>
      </c>
      <c r="G2131" s="22"/>
      <c r="H2131" s="135">
        <f t="shared" si="586"/>
        <v>0</v>
      </c>
      <c r="I2131" s="294">
        <v>45173</v>
      </c>
      <c r="J2131" s="23">
        <v>45175</v>
      </c>
      <c r="K2131" s="10">
        <f>+'AUMENTOS %'!$D$14*PROVEEDORES!$D$18*0.5*28.34*2</f>
        <v>30040.400000000001</v>
      </c>
      <c r="L2131" s="11">
        <f>+'AUMENTOS %'!$C$14*11291</f>
        <v>11291</v>
      </c>
      <c r="M2131" s="25"/>
      <c r="N2131" s="137"/>
      <c r="O2131" s="11">
        <f t="shared" si="605"/>
        <v>11291</v>
      </c>
      <c r="P2131" s="11">
        <f t="shared" si="587"/>
        <v>11291</v>
      </c>
      <c r="Q2131" s="25">
        <v>1.5</v>
      </c>
      <c r="R2131" s="11">
        <f t="shared" si="588"/>
        <v>16936.5</v>
      </c>
      <c r="S2131" s="11"/>
      <c r="T2131" s="136">
        <f t="shared" si="606"/>
        <v>0</v>
      </c>
    </row>
    <row r="2132" spans="1:20" ht="15.75" customHeight="1">
      <c r="A2132" s="149">
        <v>38</v>
      </c>
      <c r="B2132" s="273"/>
      <c r="C2132" s="20" t="s">
        <v>3695</v>
      </c>
      <c r="D2132" s="71"/>
      <c r="E2132" s="131">
        <f t="shared" si="585"/>
        <v>8920</v>
      </c>
      <c r="F2132" s="21">
        <f t="shared" si="604"/>
        <v>10793.199999999999</v>
      </c>
      <c r="G2132" s="22"/>
      <c r="H2132" s="135">
        <f t="shared" si="586"/>
        <v>7740</v>
      </c>
      <c r="I2132" s="294">
        <v>45138</v>
      </c>
      <c r="J2132" s="23">
        <v>45293</v>
      </c>
      <c r="K2132" s="10">
        <f>+PROVEEDORES!$D$32*5.66</f>
        <v>5943</v>
      </c>
      <c r="L2132" s="25"/>
      <c r="M2132" s="25"/>
      <c r="N2132" s="100">
        <v>5155</v>
      </c>
      <c r="O2132" s="11">
        <f t="shared" si="605"/>
        <v>5943</v>
      </c>
      <c r="P2132" s="11">
        <f t="shared" si="587"/>
        <v>5943</v>
      </c>
      <c r="Q2132" s="25">
        <v>1.5</v>
      </c>
      <c r="R2132" s="11">
        <f t="shared" si="588"/>
        <v>8914.5</v>
      </c>
      <c r="S2132" s="11"/>
      <c r="T2132" s="136">
        <f t="shared" si="606"/>
        <v>7732.5</v>
      </c>
    </row>
    <row r="2133" spans="1:20" ht="15.75" customHeight="1">
      <c r="A2133" s="149">
        <v>41</v>
      </c>
      <c r="B2133" s="273"/>
      <c r="C2133" s="28" t="s">
        <v>4202</v>
      </c>
      <c r="D2133" s="71">
        <v>2270</v>
      </c>
      <c r="E2133" s="132">
        <f t="shared" si="585"/>
        <v>41860</v>
      </c>
      <c r="F2133" s="21">
        <f t="shared" si="604"/>
        <v>50650.6</v>
      </c>
      <c r="G2133" s="21"/>
      <c r="H2133" s="135">
        <f t="shared" si="586"/>
        <v>0</v>
      </c>
      <c r="I2133" s="294"/>
      <c r="J2133" s="294">
        <v>45012</v>
      </c>
      <c r="K2133" s="10">
        <f>+PROVEEDORES!D35*24.45</f>
        <v>26161.5</v>
      </c>
      <c r="L2133" s="11"/>
      <c r="M2133" s="11"/>
      <c r="N2133" s="100"/>
      <c r="O2133" s="11">
        <f t="shared" si="605"/>
        <v>26161.5</v>
      </c>
      <c r="P2133" s="11">
        <f t="shared" si="587"/>
        <v>26161.5</v>
      </c>
      <c r="Q2133" s="11">
        <v>1.6</v>
      </c>
      <c r="R2133" s="11">
        <f t="shared" si="588"/>
        <v>41858.400000000001</v>
      </c>
      <c r="S2133" s="11"/>
      <c r="T2133" s="136">
        <f t="shared" si="606"/>
        <v>0</v>
      </c>
    </row>
    <row r="2134" spans="1:20" ht="15.75" customHeight="1">
      <c r="A2134" s="149">
        <v>41</v>
      </c>
      <c r="B2134" s="273"/>
      <c r="C2134" s="28" t="s">
        <v>1818</v>
      </c>
      <c r="D2134" s="71">
        <v>1300</v>
      </c>
      <c r="E2134" s="132">
        <f t="shared" si="585"/>
        <v>40110</v>
      </c>
      <c r="F2134" s="21">
        <f t="shared" si="604"/>
        <v>48533.1</v>
      </c>
      <c r="G2134" s="44"/>
      <c r="H2134" s="135">
        <f t="shared" si="586"/>
        <v>0</v>
      </c>
      <c r="I2134" s="294"/>
      <c r="J2134" s="294">
        <v>45350</v>
      </c>
      <c r="K2134" s="10">
        <f>0.9*PROVEEDORES!D35*24.5</f>
        <v>23593.5</v>
      </c>
      <c r="L2134" s="11"/>
      <c r="M2134" s="11"/>
      <c r="N2134" s="137"/>
      <c r="O2134" s="11">
        <f t="shared" si="605"/>
        <v>23593.5</v>
      </c>
      <c r="P2134" s="11">
        <f t="shared" si="587"/>
        <v>23593.5</v>
      </c>
      <c r="Q2134" s="11">
        <v>1.7</v>
      </c>
      <c r="R2134" s="11">
        <f t="shared" si="588"/>
        <v>40108.949999999997</v>
      </c>
      <c r="S2134" s="11"/>
      <c r="T2134" s="136">
        <f t="shared" si="606"/>
        <v>0</v>
      </c>
    </row>
    <row r="2135" spans="1:20" ht="15.75" customHeight="1">
      <c r="A2135" s="149">
        <v>41</v>
      </c>
      <c r="B2135" s="273"/>
      <c r="C2135" s="28" t="s">
        <v>1819</v>
      </c>
      <c r="D2135" s="71">
        <v>2040</v>
      </c>
      <c r="E2135" s="132">
        <f t="shared" ref="E2135:E2202" si="607">ROUNDUP(R2135,-1)</f>
        <v>80600</v>
      </c>
      <c r="F2135" s="21">
        <f t="shared" si="604"/>
        <v>97526</v>
      </c>
      <c r="G2135" s="21"/>
      <c r="H2135" s="135">
        <f t="shared" si="586"/>
        <v>0</v>
      </c>
      <c r="I2135" s="294"/>
      <c r="J2135" s="294">
        <v>45187</v>
      </c>
      <c r="K2135" s="10">
        <f>0.9*PROVEEDORES!D35*(24.5+24.73)</f>
        <v>47408.490000000005</v>
      </c>
      <c r="L2135" s="196"/>
      <c r="M2135" s="11"/>
      <c r="N2135" s="137"/>
      <c r="O2135" s="11">
        <f t="shared" si="605"/>
        <v>47408.490000000005</v>
      </c>
      <c r="P2135" s="11">
        <f t="shared" si="587"/>
        <v>47408.490000000005</v>
      </c>
      <c r="Q2135" s="11">
        <v>1.7</v>
      </c>
      <c r="R2135" s="11">
        <f t="shared" si="588"/>
        <v>80594.433000000005</v>
      </c>
      <c r="S2135" s="11"/>
      <c r="T2135" s="136">
        <f t="shared" si="606"/>
        <v>0</v>
      </c>
    </row>
    <row r="2136" spans="1:20" ht="15.75" customHeight="1">
      <c r="A2136" s="149">
        <v>25</v>
      </c>
      <c r="B2136" s="273"/>
      <c r="C2136" s="20" t="s">
        <v>1821</v>
      </c>
      <c r="D2136" s="71">
        <v>1520</v>
      </c>
      <c r="E2136" s="131">
        <f t="shared" si="607"/>
        <v>0</v>
      </c>
      <c r="F2136" s="21">
        <f t="shared" si="604"/>
        <v>0</v>
      </c>
      <c r="G2136" s="22"/>
      <c r="H2136" s="135">
        <f t="shared" si="586"/>
        <v>0</v>
      </c>
      <c r="I2136" s="23">
        <v>43777</v>
      </c>
      <c r="J2136" s="23"/>
      <c r="K2136" s="10">
        <f>930*1.5*1.05</f>
        <v>1464.75</v>
      </c>
      <c r="L2136" s="25"/>
      <c r="M2136" s="25"/>
      <c r="N2136" s="137"/>
      <c r="O2136" s="11">
        <f t="shared" si="605"/>
        <v>1464.75</v>
      </c>
      <c r="P2136" s="11">
        <f t="shared" si="587"/>
        <v>1464.75</v>
      </c>
      <c r="Q2136" s="25"/>
      <c r="R2136" s="11">
        <f t="shared" si="588"/>
        <v>0</v>
      </c>
      <c r="S2136" s="11"/>
      <c r="T2136" s="136">
        <f t="shared" si="606"/>
        <v>0</v>
      </c>
    </row>
    <row r="2137" spans="1:20" ht="15.75" customHeight="1">
      <c r="A2137" s="149">
        <v>41</v>
      </c>
      <c r="B2137" s="273"/>
      <c r="C2137" s="28" t="s">
        <v>1820</v>
      </c>
      <c r="D2137" s="71">
        <v>3240</v>
      </c>
      <c r="E2137" s="132">
        <f t="shared" si="607"/>
        <v>39130</v>
      </c>
      <c r="F2137" s="21">
        <f t="shared" si="604"/>
        <v>47347.299999999996</v>
      </c>
      <c r="G2137" s="21"/>
      <c r="H2137" s="135">
        <f t="shared" si="586"/>
        <v>0</v>
      </c>
      <c r="I2137" s="294"/>
      <c r="J2137" s="294">
        <v>45350</v>
      </c>
      <c r="K2137" s="10">
        <f>0.9*PROVEEDORES!D35*23.9</f>
        <v>23015.699999999997</v>
      </c>
      <c r="L2137" s="11">
        <f>24804*0.9*1.6</f>
        <v>35717.760000000002</v>
      </c>
      <c r="M2137" s="11"/>
      <c r="N2137" s="137"/>
      <c r="O2137" s="11">
        <f t="shared" si="605"/>
        <v>23015.699999999997</v>
      </c>
      <c r="P2137" s="11">
        <f t="shared" si="587"/>
        <v>23015.699999999997</v>
      </c>
      <c r="Q2137" s="11">
        <v>1.7</v>
      </c>
      <c r="R2137" s="11">
        <f t="shared" si="588"/>
        <v>39126.689999999995</v>
      </c>
      <c r="S2137" s="11"/>
      <c r="T2137" s="136">
        <f t="shared" si="606"/>
        <v>0</v>
      </c>
    </row>
    <row r="2138" spans="1:20" ht="15.75" customHeight="1">
      <c r="A2138" s="149"/>
      <c r="B2138" s="273"/>
      <c r="C2138" s="20" t="s">
        <v>3724</v>
      </c>
      <c r="D2138" s="71">
        <v>5730</v>
      </c>
      <c r="E2138" s="131">
        <f t="shared" si="607"/>
        <v>100980</v>
      </c>
      <c r="F2138" s="21">
        <f t="shared" si="604"/>
        <v>122185.8</v>
      </c>
      <c r="G2138" s="22"/>
      <c r="H2138" s="135">
        <f t="shared" si="586"/>
        <v>0</v>
      </c>
      <c r="I2138" s="23">
        <v>44860</v>
      </c>
      <c r="J2138" s="23"/>
      <c r="K2138" s="10">
        <f>14960*0.9*5</f>
        <v>67320</v>
      </c>
      <c r="L2138" s="25"/>
      <c r="M2138" s="25"/>
      <c r="N2138" s="137"/>
      <c r="O2138" s="11">
        <f t="shared" si="605"/>
        <v>67320</v>
      </c>
      <c r="P2138" s="11">
        <f t="shared" si="587"/>
        <v>67320</v>
      </c>
      <c r="Q2138" s="25">
        <v>1.5</v>
      </c>
      <c r="R2138" s="11">
        <f t="shared" si="588"/>
        <v>100980</v>
      </c>
      <c r="S2138" s="11"/>
      <c r="T2138" s="136">
        <f t="shared" si="606"/>
        <v>0</v>
      </c>
    </row>
    <row r="2139" spans="1:20" ht="15.75" customHeight="1">
      <c r="A2139" s="149">
        <v>101</v>
      </c>
      <c r="B2139" s="273"/>
      <c r="C2139" s="28" t="s">
        <v>3976</v>
      </c>
      <c r="D2139" s="71">
        <v>730</v>
      </c>
      <c r="E2139" s="131">
        <f t="shared" si="607"/>
        <v>16490</v>
      </c>
      <c r="F2139" s="21">
        <f t="shared" si="604"/>
        <v>19952.899999999998</v>
      </c>
      <c r="G2139" s="22"/>
      <c r="H2139" s="135">
        <f t="shared" si="586"/>
        <v>0</v>
      </c>
      <c r="I2139" s="294">
        <v>45343</v>
      </c>
      <c r="J2139" s="23">
        <v>45351</v>
      </c>
      <c r="K2139" s="10">
        <f>0.7*0.9*16351</f>
        <v>10301.129999999999</v>
      </c>
      <c r="L2139" s="25"/>
      <c r="M2139" s="25"/>
      <c r="N2139" s="137"/>
      <c r="O2139" s="11">
        <f t="shared" si="605"/>
        <v>10301.129999999999</v>
      </c>
      <c r="P2139" s="11">
        <f t="shared" si="587"/>
        <v>10301.129999999999</v>
      </c>
      <c r="Q2139" s="25">
        <v>1.6</v>
      </c>
      <c r="R2139" s="11">
        <f t="shared" si="588"/>
        <v>16481.808000000001</v>
      </c>
      <c r="S2139" s="11"/>
      <c r="T2139" s="136">
        <f t="shared" si="606"/>
        <v>0</v>
      </c>
    </row>
    <row r="2140" spans="1:20" ht="15.75" customHeight="1">
      <c r="A2140" s="149">
        <v>101</v>
      </c>
      <c r="B2140" s="273"/>
      <c r="C2140" s="28" t="s">
        <v>3977</v>
      </c>
      <c r="D2140" s="71">
        <v>510</v>
      </c>
      <c r="E2140" s="131">
        <f t="shared" si="607"/>
        <v>16490</v>
      </c>
      <c r="F2140" s="21">
        <f t="shared" si="604"/>
        <v>19952.899999999998</v>
      </c>
      <c r="G2140" s="22"/>
      <c r="H2140" s="135">
        <f t="shared" si="586"/>
        <v>0</v>
      </c>
      <c r="I2140" s="294">
        <v>45343</v>
      </c>
      <c r="J2140" s="23">
        <v>45351</v>
      </c>
      <c r="K2140" s="10">
        <f>0.7*0.9*16351</f>
        <v>10301.129999999999</v>
      </c>
      <c r="L2140" s="25"/>
      <c r="M2140" s="25"/>
      <c r="N2140" s="137"/>
      <c r="O2140" s="11">
        <f t="shared" si="605"/>
        <v>10301.129999999999</v>
      </c>
      <c r="P2140" s="11">
        <f t="shared" si="587"/>
        <v>10301.129999999999</v>
      </c>
      <c r="Q2140" s="25">
        <v>1.6</v>
      </c>
      <c r="R2140" s="11">
        <f t="shared" si="588"/>
        <v>16481.808000000001</v>
      </c>
      <c r="S2140" s="11"/>
      <c r="T2140" s="136">
        <f t="shared" si="606"/>
        <v>0</v>
      </c>
    </row>
    <row r="2141" spans="1:20" ht="15.75" customHeight="1">
      <c r="A2141" s="149"/>
      <c r="B2141" s="273"/>
      <c r="C2141" s="28" t="s">
        <v>1822</v>
      </c>
      <c r="D2141" s="71"/>
      <c r="E2141" s="131">
        <f t="shared" si="607"/>
        <v>0</v>
      </c>
      <c r="F2141" s="21">
        <f t="shared" si="604"/>
        <v>0</v>
      </c>
      <c r="G2141" s="22"/>
      <c r="H2141" s="135">
        <f t="shared" si="586"/>
        <v>0</v>
      </c>
      <c r="I2141" s="23"/>
      <c r="J2141" s="23">
        <v>43084</v>
      </c>
      <c r="K2141" s="10">
        <f>120*2*1.03</f>
        <v>247.20000000000002</v>
      </c>
      <c r="L2141" s="25"/>
      <c r="M2141" s="25"/>
      <c r="N2141" s="100"/>
      <c r="O2141" s="11">
        <f t="shared" si="605"/>
        <v>247.20000000000002</v>
      </c>
      <c r="P2141" s="11">
        <f t="shared" si="587"/>
        <v>247.20000000000002</v>
      </c>
      <c r="Q2141" s="25"/>
      <c r="R2141" s="11">
        <f t="shared" si="588"/>
        <v>0</v>
      </c>
      <c r="S2141" s="11"/>
      <c r="T2141" s="136">
        <f t="shared" si="606"/>
        <v>0</v>
      </c>
    </row>
    <row r="2142" spans="1:20" ht="15.75" customHeight="1">
      <c r="A2142" s="149">
        <v>25</v>
      </c>
      <c r="B2142" s="273"/>
      <c r="C2142" s="28" t="s">
        <v>1823</v>
      </c>
      <c r="D2142" s="71">
        <v>1200</v>
      </c>
      <c r="E2142" s="131">
        <f t="shared" si="607"/>
        <v>9900</v>
      </c>
      <c r="F2142" s="21">
        <f t="shared" si="604"/>
        <v>11979</v>
      </c>
      <c r="G2142" s="21"/>
      <c r="H2142" s="135">
        <f t="shared" si="586"/>
        <v>0</v>
      </c>
      <c r="I2142" s="294">
        <v>44776</v>
      </c>
      <c r="J2142" s="294"/>
      <c r="K2142" s="11">
        <f>3093*2</f>
        <v>6186</v>
      </c>
      <c r="L2142" s="11"/>
      <c r="M2142" s="11"/>
      <c r="N2142" s="100"/>
      <c r="O2142" s="11">
        <f t="shared" si="605"/>
        <v>6186</v>
      </c>
      <c r="P2142" s="11">
        <f t="shared" si="587"/>
        <v>6186</v>
      </c>
      <c r="Q2142" s="11">
        <v>1.6</v>
      </c>
      <c r="R2142" s="11">
        <f t="shared" si="588"/>
        <v>9897.6</v>
      </c>
      <c r="S2142" s="11"/>
      <c r="T2142" s="136">
        <f t="shared" si="606"/>
        <v>0</v>
      </c>
    </row>
    <row r="2143" spans="1:20" ht="15.75" customHeight="1">
      <c r="A2143" s="149">
        <v>25</v>
      </c>
      <c r="B2143" s="273"/>
      <c r="C2143" s="28" t="s">
        <v>4175</v>
      </c>
      <c r="D2143" s="71">
        <v>4400</v>
      </c>
      <c r="E2143" s="131">
        <f t="shared" si="607"/>
        <v>31510</v>
      </c>
      <c r="F2143" s="21">
        <f t="shared" si="604"/>
        <v>38127.1</v>
      </c>
      <c r="G2143" s="21"/>
      <c r="H2143" s="135">
        <f t="shared" ref="H2143:H2210" si="608">ROUNDUP(T2143,-1)</f>
        <v>0</v>
      </c>
      <c r="I2143" s="294"/>
      <c r="J2143" s="294">
        <v>44991</v>
      </c>
      <c r="K2143" s="11">
        <v>19690</v>
      </c>
      <c r="L2143" s="11"/>
      <c r="M2143" s="11"/>
      <c r="N2143" s="100"/>
      <c r="O2143" s="11">
        <f t="shared" si="605"/>
        <v>19690</v>
      </c>
      <c r="P2143" s="11">
        <f t="shared" si="587"/>
        <v>19690</v>
      </c>
      <c r="Q2143" s="11">
        <v>1.6</v>
      </c>
      <c r="R2143" s="11">
        <f t="shared" si="588"/>
        <v>31504</v>
      </c>
      <c r="S2143" s="11"/>
      <c r="T2143" s="136">
        <f t="shared" si="606"/>
        <v>0</v>
      </c>
    </row>
    <row r="2144" spans="1:20" ht="15.75" customHeight="1">
      <c r="A2144" s="149">
        <v>25</v>
      </c>
      <c r="B2144" s="273"/>
      <c r="C2144" s="28" t="s">
        <v>4176</v>
      </c>
      <c r="D2144" s="71">
        <v>8500</v>
      </c>
      <c r="E2144" s="131">
        <f t="shared" si="607"/>
        <v>104620</v>
      </c>
      <c r="F2144" s="21">
        <f t="shared" si="604"/>
        <v>126590.2</v>
      </c>
      <c r="G2144" s="44"/>
      <c r="H2144" s="135">
        <f t="shared" si="608"/>
        <v>0</v>
      </c>
      <c r="I2144" s="294"/>
      <c r="J2144" s="294">
        <v>45342</v>
      </c>
      <c r="K2144" s="11">
        <v>52310</v>
      </c>
      <c r="L2144" s="11"/>
      <c r="M2144" s="11"/>
      <c r="N2144" s="100"/>
      <c r="O2144" s="11">
        <f t="shared" si="605"/>
        <v>52310</v>
      </c>
      <c r="P2144" s="11">
        <f t="shared" si="587"/>
        <v>52310</v>
      </c>
      <c r="Q2144" s="11">
        <v>2</v>
      </c>
      <c r="R2144" s="11">
        <f t="shared" si="588"/>
        <v>104620</v>
      </c>
      <c r="S2144" s="11"/>
      <c r="T2144" s="136">
        <f t="shared" si="606"/>
        <v>0</v>
      </c>
    </row>
    <row r="2145" spans="1:20" ht="15.75" customHeight="1">
      <c r="A2145" s="149">
        <v>44</v>
      </c>
      <c r="B2145" s="273"/>
      <c r="C2145" s="28" t="s">
        <v>37231</v>
      </c>
      <c r="D2145" s="71">
        <v>8500</v>
      </c>
      <c r="E2145" s="131">
        <f>ROUNDUP(R2145,-1)</f>
        <v>0</v>
      </c>
      <c r="F2145" s="21">
        <f>+E2145*1.21</f>
        <v>0</v>
      </c>
      <c r="G2145" s="44"/>
      <c r="H2145" s="135">
        <f>ROUNDUP(T2145,-1)</f>
        <v>0</v>
      </c>
      <c r="I2145" s="294"/>
      <c r="J2145" s="294">
        <v>45188</v>
      </c>
      <c r="K2145" s="11">
        <f>+PROVEEDORES!D38*25</f>
        <v>22125</v>
      </c>
      <c r="L2145" s="196"/>
      <c r="M2145" s="11"/>
      <c r="N2145" s="100"/>
      <c r="O2145" s="11">
        <f>MIN(K2145:M2145)</f>
        <v>22125</v>
      </c>
      <c r="P2145" s="11">
        <f>+O2145</f>
        <v>22125</v>
      </c>
      <c r="Q2145" s="11"/>
      <c r="R2145" s="11">
        <f>+P2145*Q2145</f>
        <v>0</v>
      </c>
      <c r="S2145" s="11"/>
      <c r="T2145" s="136">
        <f>+N2145*Q2145</f>
        <v>0</v>
      </c>
    </row>
    <row r="2146" spans="1:20" ht="15.75" customHeight="1">
      <c r="A2146" s="149">
        <v>101</v>
      </c>
      <c r="B2146" s="273"/>
      <c r="C2146" s="28" t="s">
        <v>4504</v>
      </c>
      <c r="D2146" s="71">
        <v>660</v>
      </c>
      <c r="E2146" s="131">
        <f t="shared" si="607"/>
        <v>1520</v>
      </c>
      <c r="F2146" s="21">
        <f t="shared" si="604"/>
        <v>1839.2</v>
      </c>
      <c r="G2146" s="21"/>
      <c r="H2146" s="135">
        <f t="shared" si="608"/>
        <v>0</v>
      </c>
      <c r="I2146" s="40">
        <v>45254</v>
      </c>
      <c r="J2146" s="294">
        <v>45324</v>
      </c>
      <c r="K2146" s="11">
        <f>0.7*0.9*13326/10</f>
        <v>839.5379999999999</v>
      </c>
      <c r="L2146" s="11"/>
      <c r="M2146" s="11"/>
      <c r="N2146" s="100"/>
      <c r="O2146" s="11">
        <f t="shared" si="605"/>
        <v>839.5379999999999</v>
      </c>
      <c r="P2146" s="11">
        <f t="shared" si="587"/>
        <v>839.5379999999999</v>
      </c>
      <c r="Q2146" s="11">
        <v>1.8</v>
      </c>
      <c r="R2146" s="11">
        <f t="shared" si="588"/>
        <v>1511.1683999999998</v>
      </c>
      <c r="S2146" s="11"/>
      <c r="T2146" s="136">
        <f t="shared" si="606"/>
        <v>0</v>
      </c>
    </row>
    <row r="2147" spans="1:20" ht="15.75" customHeight="1">
      <c r="A2147" s="149">
        <v>101</v>
      </c>
      <c r="B2147" s="273"/>
      <c r="C2147" s="28" t="s">
        <v>4505</v>
      </c>
      <c r="D2147" s="71">
        <v>80</v>
      </c>
      <c r="E2147" s="131">
        <f t="shared" si="607"/>
        <v>1370</v>
      </c>
      <c r="F2147" s="21">
        <f t="shared" si="604"/>
        <v>1657.7</v>
      </c>
      <c r="G2147" s="21"/>
      <c r="H2147" s="135">
        <f t="shared" si="608"/>
        <v>0</v>
      </c>
      <c r="I2147" s="40">
        <v>45254</v>
      </c>
      <c r="J2147" s="294">
        <v>45324</v>
      </c>
      <c r="K2147" s="11">
        <f>0.7*0.9*12007/10</f>
        <v>756.44100000000003</v>
      </c>
      <c r="L2147" s="11">
        <f>938*0.6/5*6*2</f>
        <v>1350.7199999999998</v>
      </c>
      <c r="M2147" s="11"/>
      <c r="N2147" s="100"/>
      <c r="O2147" s="11">
        <f t="shared" si="605"/>
        <v>756.44100000000003</v>
      </c>
      <c r="P2147" s="11">
        <f t="shared" si="587"/>
        <v>756.44100000000003</v>
      </c>
      <c r="Q2147" s="11">
        <v>1.8</v>
      </c>
      <c r="R2147" s="11">
        <f t="shared" si="588"/>
        <v>1361.5938000000001</v>
      </c>
      <c r="S2147" s="11"/>
      <c r="T2147" s="136">
        <f t="shared" si="606"/>
        <v>0</v>
      </c>
    </row>
    <row r="2148" spans="1:20" ht="15.75" customHeight="1">
      <c r="A2148" s="149" t="s">
        <v>2403</v>
      </c>
      <c r="B2148" s="273"/>
      <c r="C2148" s="28" t="s">
        <v>2856</v>
      </c>
      <c r="D2148" s="71">
        <v>110</v>
      </c>
      <c r="E2148" s="131">
        <f t="shared" si="607"/>
        <v>0</v>
      </c>
      <c r="F2148" s="21">
        <f t="shared" si="604"/>
        <v>0</v>
      </c>
      <c r="G2148" s="21"/>
      <c r="H2148" s="135">
        <f t="shared" si="608"/>
        <v>0</v>
      </c>
      <c r="I2148" s="40">
        <v>44287</v>
      </c>
      <c r="J2148" s="294"/>
      <c r="K2148" s="11">
        <v>126</v>
      </c>
      <c r="L2148" s="11">
        <f>131.45*0.65*2</f>
        <v>170.88499999999999</v>
      </c>
      <c r="M2148" s="11"/>
      <c r="N2148" s="100"/>
      <c r="O2148" s="11">
        <f t="shared" si="605"/>
        <v>126</v>
      </c>
      <c r="P2148" s="11">
        <f t="shared" ref="P2148:P2212" si="609">+O2148</f>
        <v>126</v>
      </c>
      <c r="Q2148" s="11"/>
      <c r="R2148" s="11">
        <f t="shared" ref="R2148:R2212" si="610">+P2148*Q2148</f>
        <v>0</v>
      </c>
      <c r="S2148" s="11"/>
      <c r="T2148" s="136">
        <f t="shared" si="606"/>
        <v>0</v>
      </c>
    </row>
    <row r="2149" spans="1:20" ht="15.75" customHeight="1">
      <c r="A2149" s="149">
        <v>38</v>
      </c>
      <c r="B2149" s="273"/>
      <c r="C2149" s="28" t="s">
        <v>44314</v>
      </c>
      <c r="D2149" s="71"/>
      <c r="E2149" s="131">
        <f t="shared" si="607"/>
        <v>1800750</v>
      </c>
      <c r="F2149" s="21" t="s">
        <v>1248</v>
      </c>
      <c r="G2149" s="21">
        <f>+E2149*1.105</f>
        <v>1989828.75</v>
      </c>
      <c r="H2149" s="135">
        <f t="shared" si="608"/>
        <v>1671200</v>
      </c>
      <c r="I2149" s="294"/>
      <c r="J2149" s="294">
        <v>45274</v>
      </c>
      <c r="K2149" s="10">
        <f>+PROVEEDORES!D32*1225</f>
        <v>1286250</v>
      </c>
      <c r="L2149" s="10"/>
      <c r="M2149" s="11"/>
      <c r="N2149" s="100">
        <v>1193712</v>
      </c>
      <c r="O2149" s="11">
        <f t="shared" si="605"/>
        <v>1286250</v>
      </c>
      <c r="P2149" s="11">
        <f t="shared" si="609"/>
        <v>1286250</v>
      </c>
      <c r="Q2149" s="11">
        <v>1.4</v>
      </c>
      <c r="R2149" s="11">
        <f t="shared" si="610"/>
        <v>1800750</v>
      </c>
      <c r="S2149" s="11"/>
      <c r="T2149" s="136">
        <f t="shared" si="606"/>
        <v>1671196.7999999998</v>
      </c>
    </row>
    <row r="2150" spans="1:20" ht="15.75" customHeight="1">
      <c r="A2150" s="149">
        <v>38</v>
      </c>
      <c r="B2150" s="273"/>
      <c r="C2150" s="28" t="s">
        <v>44315</v>
      </c>
      <c r="D2150" s="71"/>
      <c r="E2150" s="131">
        <f>ROUNDUP(R2150,-1)</f>
        <v>1524390</v>
      </c>
      <c r="F2150" s="21" t="s">
        <v>1248</v>
      </c>
      <c r="G2150" s="21">
        <f>+E2150*1.105</f>
        <v>1684450.95</v>
      </c>
      <c r="H2150" s="135">
        <f>ROUNDUP(T2150,-1)</f>
        <v>1414720</v>
      </c>
      <c r="I2150" s="294"/>
      <c r="J2150" s="294">
        <v>45274</v>
      </c>
      <c r="K2150" s="10">
        <f>+PROVEEDORES!D32*1037</f>
        <v>1088850</v>
      </c>
      <c r="L2150" s="10"/>
      <c r="M2150" s="11"/>
      <c r="N2150" s="100">
        <v>1010512</v>
      </c>
      <c r="O2150" s="11">
        <f>MIN(K2150:M2150)</f>
        <v>1088850</v>
      </c>
      <c r="P2150" s="11">
        <f>+O2150</f>
        <v>1088850</v>
      </c>
      <c r="Q2150" s="11">
        <v>1.4</v>
      </c>
      <c r="R2150" s="11">
        <f>+P2150*Q2150</f>
        <v>1524390</v>
      </c>
      <c r="S2150" s="11"/>
      <c r="T2150" s="136">
        <f>+N2150*Q2150</f>
        <v>1414716.7999999998</v>
      </c>
    </row>
    <row r="2151" spans="1:20" ht="15.75" customHeight="1">
      <c r="A2151" s="149">
        <v>41</v>
      </c>
      <c r="B2151" s="273"/>
      <c r="C2151" s="28" t="s">
        <v>4309</v>
      </c>
      <c r="D2151" s="71"/>
      <c r="E2151" s="131">
        <f t="shared" si="607"/>
        <v>3425900</v>
      </c>
      <c r="F2151" s="21" t="s">
        <v>1248</v>
      </c>
      <c r="G2151" s="21">
        <f t="shared" ref="G2151:G2156" si="611">+E2151*1.105</f>
        <v>3785619.5</v>
      </c>
      <c r="H2151" s="135">
        <f t="shared" si="608"/>
        <v>2975020</v>
      </c>
      <c r="I2151" s="294">
        <v>45311</v>
      </c>
      <c r="J2151" s="40"/>
      <c r="K2151" s="11">
        <f>+PROVEEDORES!$D$35*0.9*0.9*2928</f>
        <v>2537697.6</v>
      </c>
      <c r="L2151" s="11"/>
      <c r="M2151" s="11"/>
      <c r="N2151" s="100">
        <f>0.9*0.95*0.95*2713100</f>
        <v>2203715.4749999996</v>
      </c>
      <c r="O2151" s="11">
        <f t="shared" si="605"/>
        <v>2537697.6</v>
      </c>
      <c r="P2151" s="11">
        <f t="shared" si="609"/>
        <v>2537697.6</v>
      </c>
      <c r="Q2151" s="11">
        <v>1.35</v>
      </c>
      <c r="R2151" s="11">
        <f t="shared" si="610"/>
        <v>3425891.7600000002</v>
      </c>
      <c r="S2151" s="11"/>
      <c r="T2151" s="136">
        <f t="shared" si="606"/>
        <v>2975015.8912499999</v>
      </c>
    </row>
    <row r="2152" spans="1:20" ht="15.75" customHeight="1">
      <c r="A2152" s="149">
        <v>41</v>
      </c>
      <c r="B2152" s="273">
        <f>ROUNDUP(E2152*1.06,-1)</f>
        <v>0</v>
      </c>
      <c r="C2152" s="28" t="s">
        <v>4310</v>
      </c>
      <c r="D2152" s="71"/>
      <c r="E2152" s="131">
        <f t="shared" si="607"/>
        <v>0</v>
      </c>
      <c r="F2152" s="21" t="s">
        <v>1248</v>
      </c>
      <c r="G2152" s="21">
        <f t="shared" si="611"/>
        <v>0</v>
      </c>
      <c r="H2152" s="135">
        <f t="shared" si="608"/>
        <v>0</v>
      </c>
      <c r="I2152" s="294">
        <v>45059</v>
      </c>
      <c r="J2152" s="40"/>
      <c r="K2152" s="11">
        <f>+PROVEEDORES!D35*0.9*0.9*2804</f>
        <v>2430226.8000000003</v>
      </c>
      <c r="L2152" s="11"/>
      <c r="M2152" s="11"/>
      <c r="N2152" s="100"/>
      <c r="O2152" s="11">
        <f t="shared" si="605"/>
        <v>2430226.8000000003</v>
      </c>
      <c r="P2152" s="11">
        <f t="shared" si="609"/>
        <v>2430226.8000000003</v>
      </c>
      <c r="Q2152" s="11"/>
      <c r="R2152" s="11">
        <f t="shared" si="610"/>
        <v>0</v>
      </c>
      <c r="S2152" s="11"/>
      <c r="T2152" s="136">
        <f t="shared" si="606"/>
        <v>0</v>
      </c>
    </row>
    <row r="2153" spans="1:20" ht="15.75" customHeight="1">
      <c r="A2153" s="149">
        <v>41</v>
      </c>
      <c r="B2153" s="273">
        <f>ROUNDUP(E2153*1.06,-1)</f>
        <v>0</v>
      </c>
      <c r="C2153" s="28" t="s">
        <v>4312</v>
      </c>
      <c r="D2153" s="71"/>
      <c r="E2153" s="131">
        <f t="shared" si="607"/>
        <v>0</v>
      </c>
      <c r="F2153" s="76" t="s">
        <v>1248</v>
      </c>
      <c r="G2153" s="21">
        <f t="shared" si="611"/>
        <v>0</v>
      </c>
      <c r="H2153" s="135">
        <f t="shared" si="608"/>
        <v>0</v>
      </c>
      <c r="I2153" s="294">
        <v>45059</v>
      </c>
      <c r="J2153" s="40"/>
      <c r="K2153" s="11">
        <f>+PROVEEDORES!D35*0.9*0.9*2338</f>
        <v>2026344.6</v>
      </c>
      <c r="L2153" s="11"/>
      <c r="M2153" s="10"/>
      <c r="N2153" s="100"/>
      <c r="O2153" s="11">
        <f t="shared" si="605"/>
        <v>2026344.6</v>
      </c>
      <c r="P2153" s="11">
        <f t="shared" si="609"/>
        <v>2026344.6</v>
      </c>
      <c r="Q2153" s="11"/>
      <c r="R2153" s="11">
        <f t="shared" si="610"/>
        <v>0</v>
      </c>
      <c r="S2153" s="11"/>
      <c r="T2153" s="136">
        <f t="shared" si="606"/>
        <v>0</v>
      </c>
    </row>
    <row r="2154" spans="1:20" ht="15.75" customHeight="1">
      <c r="A2154" s="149">
        <v>41</v>
      </c>
      <c r="B2154" s="273">
        <f>ROUNDUP(E2154*1.06,-1)</f>
        <v>0</v>
      </c>
      <c r="C2154" s="28" t="s">
        <v>4311</v>
      </c>
      <c r="D2154" s="71"/>
      <c r="E2154" s="131">
        <f t="shared" si="607"/>
        <v>0</v>
      </c>
      <c r="F2154" s="21" t="s">
        <v>1248</v>
      </c>
      <c r="G2154" s="21">
        <f t="shared" si="611"/>
        <v>0</v>
      </c>
      <c r="H2154" s="135">
        <f t="shared" si="608"/>
        <v>0</v>
      </c>
      <c r="I2154" s="294">
        <v>45059</v>
      </c>
      <c r="J2154" s="40"/>
      <c r="K2154" s="11">
        <f>PROVEEDORES!$D$35*0.9*0.9*2272</f>
        <v>1969142.4000000001</v>
      </c>
      <c r="L2154" s="11"/>
      <c r="M2154" s="11"/>
      <c r="N2154" s="100"/>
      <c r="O2154" s="11">
        <f t="shared" si="605"/>
        <v>1969142.4000000001</v>
      </c>
      <c r="P2154" s="11">
        <f t="shared" si="609"/>
        <v>1969142.4000000001</v>
      </c>
      <c r="Q2154" s="11"/>
      <c r="R2154" s="11">
        <f t="shared" si="610"/>
        <v>0</v>
      </c>
      <c r="S2154" s="11"/>
      <c r="T2154" s="136">
        <f t="shared" si="606"/>
        <v>0</v>
      </c>
    </row>
    <row r="2155" spans="1:20" ht="15.75" customHeight="1">
      <c r="A2155" s="149">
        <v>41</v>
      </c>
      <c r="B2155" s="273">
        <f>ROUNDUP(E2155*1.06,-1)</f>
        <v>2506560</v>
      </c>
      <c r="C2155" s="28" t="s">
        <v>4313</v>
      </c>
      <c r="D2155" s="71">
        <v>108060</v>
      </c>
      <c r="E2155" s="131">
        <f t="shared" si="607"/>
        <v>2364670</v>
      </c>
      <c r="F2155" s="21" t="s">
        <v>1248</v>
      </c>
      <c r="G2155" s="21">
        <f t="shared" si="611"/>
        <v>2612960.35</v>
      </c>
      <c r="H2155" s="135">
        <f t="shared" si="608"/>
        <v>1900190</v>
      </c>
      <c r="I2155" s="294">
        <v>45311</v>
      </c>
      <c r="J2155" s="40"/>
      <c r="K2155" s="11">
        <f>PROVEEDORES!$D$35*0.9*0.9*2021</f>
        <v>1751600.7000000002</v>
      </c>
      <c r="L2155" s="11"/>
      <c r="M2155" s="11"/>
      <c r="N2155" s="100">
        <f>0.9*0.95*0.95*1732900</f>
        <v>1407548.0249999999</v>
      </c>
      <c r="O2155" s="11">
        <f t="shared" si="605"/>
        <v>1751600.7000000002</v>
      </c>
      <c r="P2155" s="11">
        <f t="shared" si="609"/>
        <v>1751600.7000000002</v>
      </c>
      <c r="Q2155" s="11">
        <v>1.35</v>
      </c>
      <c r="R2155" s="11">
        <f t="shared" si="610"/>
        <v>2364660.9450000003</v>
      </c>
      <c r="S2155" s="11"/>
      <c r="T2155" s="136">
        <f t="shared" si="606"/>
        <v>1900189.83375</v>
      </c>
    </row>
    <row r="2156" spans="1:20" ht="15.75" customHeight="1">
      <c r="A2156" s="149">
        <v>41</v>
      </c>
      <c r="B2156" s="273">
        <f>ROUNDUP(E2156*1.06,-1)</f>
        <v>2076680</v>
      </c>
      <c r="C2156" s="28" t="s">
        <v>4314</v>
      </c>
      <c r="D2156" s="71">
        <v>108060</v>
      </c>
      <c r="E2156" s="131">
        <f t="shared" si="607"/>
        <v>1959130</v>
      </c>
      <c r="F2156" s="21" t="s">
        <v>1248</v>
      </c>
      <c r="G2156" s="21">
        <f t="shared" si="611"/>
        <v>2164838.65</v>
      </c>
      <c r="H2156" s="135">
        <f t="shared" si="608"/>
        <v>1552370</v>
      </c>
      <c r="I2156" s="294">
        <v>45311</v>
      </c>
      <c r="J2156" s="40"/>
      <c r="K2156" s="11">
        <f>PROVEEDORES!$D$35*0.9*0.9*1674.4</f>
        <v>1451202.4800000002</v>
      </c>
      <c r="L2156" s="11"/>
      <c r="M2156" s="11"/>
      <c r="N2156" s="100">
        <f>0.9*0.95*0.95*1415700</f>
        <v>1149902.325</v>
      </c>
      <c r="O2156" s="11">
        <f t="shared" si="605"/>
        <v>1451202.4800000002</v>
      </c>
      <c r="P2156" s="11">
        <f t="shared" si="609"/>
        <v>1451202.4800000002</v>
      </c>
      <c r="Q2156" s="11">
        <v>1.35</v>
      </c>
      <c r="R2156" s="11">
        <f t="shared" si="610"/>
        <v>1959123.3480000005</v>
      </c>
      <c r="S2156" s="11"/>
      <c r="T2156" s="136">
        <f t="shared" si="606"/>
        <v>1552368.1387499999</v>
      </c>
    </row>
    <row r="2157" spans="1:20" ht="15.75" customHeight="1">
      <c r="A2157" s="149">
        <v>106</v>
      </c>
      <c r="B2157" s="273"/>
      <c r="C2157" s="28" t="s">
        <v>4088</v>
      </c>
      <c r="D2157" s="71">
        <v>340</v>
      </c>
      <c r="E2157" s="131">
        <f t="shared" si="607"/>
        <v>20340</v>
      </c>
      <c r="F2157" s="21">
        <f t="shared" ref="F2157:F2171" si="612">+E2157*1.21</f>
        <v>24611.399999999998</v>
      </c>
      <c r="G2157" s="21"/>
      <c r="H2157" s="135">
        <f t="shared" si="608"/>
        <v>0</v>
      </c>
      <c r="I2157" s="294">
        <v>45274</v>
      </c>
      <c r="J2157" s="294">
        <v>45334</v>
      </c>
      <c r="K2157" s="11">
        <f>0.82*16534</f>
        <v>13557.88</v>
      </c>
      <c r="L2157" s="11"/>
      <c r="M2157" s="11"/>
      <c r="N2157" s="100"/>
      <c r="O2157" s="11">
        <f t="shared" si="605"/>
        <v>13557.88</v>
      </c>
      <c r="P2157" s="11">
        <f t="shared" si="609"/>
        <v>13557.88</v>
      </c>
      <c r="Q2157" s="11">
        <v>1.5</v>
      </c>
      <c r="R2157" s="11">
        <f t="shared" si="610"/>
        <v>20336.82</v>
      </c>
      <c r="S2157" s="11"/>
      <c r="T2157" s="136">
        <f t="shared" si="606"/>
        <v>0</v>
      </c>
    </row>
    <row r="2158" spans="1:20" ht="15.75" customHeight="1">
      <c r="A2158" s="149">
        <v>109</v>
      </c>
      <c r="B2158" s="273"/>
      <c r="C2158" s="28" t="s">
        <v>44338</v>
      </c>
      <c r="D2158" s="71">
        <v>340</v>
      </c>
      <c r="E2158" s="131">
        <f t="shared" ref="E2158" si="613">ROUNDUP(R2158,-1)</f>
        <v>14720</v>
      </c>
      <c r="F2158" s="21">
        <f t="shared" ref="F2158" si="614">+E2158*1.21</f>
        <v>17811.2</v>
      </c>
      <c r="G2158" s="21"/>
      <c r="H2158" s="135">
        <f t="shared" ref="H2158" si="615">ROUNDUP(T2158,-1)</f>
        <v>0</v>
      </c>
      <c r="I2158" s="294">
        <v>45313</v>
      </c>
      <c r="J2158" s="294"/>
      <c r="K2158" s="11">
        <f>1.038*8860</f>
        <v>9196.68</v>
      </c>
      <c r="L2158" s="11"/>
      <c r="M2158" s="11"/>
      <c r="N2158" s="100"/>
      <c r="O2158" s="11">
        <f t="shared" ref="O2158" si="616">MIN(K2158:M2158)</f>
        <v>9196.68</v>
      </c>
      <c r="P2158" s="11">
        <f t="shared" ref="P2158" si="617">+O2158</f>
        <v>9196.68</v>
      </c>
      <c r="Q2158" s="11">
        <v>1.6</v>
      </c>
      <c r="R2158" s="11">
        <f t="shared" ref="R2158" si="618">+P2158*Q2158</f>
        <v>14714.688000000002</v>
      </c>
      <c r="S2158" s="11"/>
      <c r="T2158" s="136">
        <f t="shared" ref="T2158" si="619">+N2158*Q2158</f>
        <v>0</v>
      </c>
    </row>
    <row r="2159" spans="1:20" ht="15.75" customHeight="1">
      <c r="A2159" s="149" t="s">
        <v>2883</v>
      </c>
      <c r="B2159" s="273"/>
      <c r="C2159" s="28" t="s">
        <v>4245</v>
      </c>
      <c r="D2159" s="71">
        <v>340</v>
      </c>
      <c r="E2159" s="131">
        <f t="shared" si="607"/>
        <v>9360</v>
      </c>
      <c r="F2159" s="21">
        <f t="shared" si="612"/>
        <v>11325.6</v>
      </c>
      <c r="G2159" s="21"/>
      <c r="H2159" s="135">
        <f t="shared" si="608"/>
        <v>0</v>
      </c>
      <c r="I2159" s="294">
        <v>45274</v>
      </c>
      <c r="J2159" s="294"/>
      <c r="K2159" s="11">
        <f>0.6*9740</f>
        <v>5844</v>
      </c>
      <c r="L2159" s="11"/>
      <c r="M2159" s="11"/>
      <c r="N2159" s="100"/>
      <c r="O2159" s="11">
        <f t="shared" si="605"/>
        <v>5844</v>
      </c>
      <c r="P2159" s="11">
        <f t="shared" si="609"/>
        <v>5844</v>
      </c>
      <c r="Q2159" s="11">
        <v>1.6</v>
      </c>
      <c r="R2159" s="11">
        <f t="shared" si="610"/>
        <v>9350.4</v>
      </c>
      <c r="S2159" s="11"/>
      <c r="T2159" s="136">
        <f t="shared" si="606"/>
        <v>0</v>
      </c>
    </row>
    <row r="2160" spans="1:20" ht="15.75" customHeight="1">
      <c r="A2160" s="149">
        <v>12</v>
      </c>
      <c r="B2160" s="273"/>
      <c r="C2160" s="28" t="s">
        <v>4383</v>
      </c>
      <c r="D2160" s="71"/>
      <c r="E2160" s="131">
        <f t="shared" si="607"/>
        <v>5810</v>
      </c>
      <c r="F2160" s="21">
        <f t="shared" si="612"/>
        <v>7030.0999999999995</v>
      </c>
      <c r="G2160" s="21"/>
      <c r="H2160" s="135">
        <f t="shared" si="608"/>
        <v>0</v>
      </c>
      <c r="I2160" s="294">
        <v>45274</v>
      </c>
      <c r="J2160" s="294">
        <v>45338</v>
      </c>
      <c r="K2160" s="11">
        <v>3631</v>
      </c>
      <c r="L2160" s="11"/>
      <c r="M2160" s="11"/>
      <c r="N2160" s="100"/>
      <c r="O2160" s="11">
        <f t="shared" si="605"/>
        <v>3631</v>
      </c>
      <c r="P2160" s="11">
        <f t="shared" si="609"/>
        <v>3631</v>
      </c>
      <c r="Q2160" s="11">
        <v>1.6</v>
      </c>
      <c r="R2160" s="11">
        <f t="shared" si="610"/>
        <v>5809.6</v>
      </c>
      <c r="S2160" s="11"/>
      <c r="T2160" s="136">
        <f t="shared" si="606"/>
        <v>0</v>
      </c>
    </row>
    <row r="2161" spans="1:20" ht="15.75" customHeight="1">
      <c r="A2161" s="149">
        <v>109</v>
      </c>
      <c r="B2161" s="273"/>
      <c r="C2161" s="28" t="s">
        <v>44339</v>
      </c>
      <c r="D2161" s="71"/>
      <c r="E2161" s="131">
        <f t="shared" ref="E2161" si="620">ROUNDUP(R2161,-1)</f>
        <v>7030</v>
      </c>
      <c r="F2161" s="21">
        <f t="shared" ref="F2161" si="621">+E2161*1.21</f>
        <v>8506.2999999999993</v>
      </c>
      <c r="G2161" s="21"/>
      <c r="H2161" s="135">
        <f t="shared" ref="H2161" si="622">ROUNDUP(T2161,-1)</f>
        <v>0</v>
      </c>
      <c r="I2161" s="294">
        <v>45313</v>
      </c>
      <c r="J2161" s="294"/>
      <c r="K2161" s="11">
        <f>1.038*4227</f>
        <v>4387.6260000000002</v>
      </c>
      <c r="L2161" s="11"/>
      <c r="M2161" s="11"/>
      <c r="N2161" s="100"/>
      <c r="O2161" s="11">
        <f t="shared" ref="O2161" si="623">MIN(K2161:M2161)</f>
        <v>4387.6260000000002</v>
      </c>
      <c r="P2161" s="11">
        <f t="shared" ref="P2161" si="624">+O2161</f>
        <v>4387.6260000000002</v>
      </c>
      <c r="Q2161" s="11">
        <v>1.6</v>
      </c>
      <c r="R2161" s="11">
        <f t="shared" ref="R2161" si="625">+P2161*Q2161</f>
        <v>7020.2016000000003</v>
      </c>
      <c r="S2161" s="11"/>
      <c r="T2161" s="136">
        <f t="shared" ref="T2161" si="626">+N2161*Q2161</f>
        <v>0</v>
      </c>
    </row>
    <row r="2162" spans="1:20" ht="15.75" customHeight="1">
      <c r="A2162" s="149">
        <v>18</v>
      </c>
      <c r="B2162" s="273">
        <f>ROUNDUP(E2162*1.105,-1)</f>
        <v>184110</v>
      </c>
      <c r="C2162" s="28" t="s">
        <v>37177</v>
      </c>
      <c r="D2162" s="71">
        <v>7400</v>
      </c>
      <c r="E2162" s="131">
        <f t="shared" si="607"/>
        <v>166610</v>
      </c>
      <c r="F2162" s="21">
        <f t="shared" si="612"/>
        <v>201598.1</v>
      </c>
      <c r="G2162" s="21"/>
      <c r="H2162" s="135">
        <f t="shared" si="608"/>
        <v>0</v>
      </c>
      <c r="I2162" s="23">
        <v>45323</v>
      </c>
      <c r="J2162" s="294"/>
      <c r="K2162" s="11">
        <f>0.8*0.98*0.94*0.95*172440</f>
        <v>120727.31327999999</v>
      </c>
      <c r="L2162" s="11"/>
      <c r="M2162" s="11"/>
      <c r="N2162" s="100"/>
      <c r="O2162" s="11">
        <f t="shared" si="605"/>
        <v>120727.31327999999</v>
      </c>
      <c r="P2162" s="11">
        <f>+O2162*'AUMENTOS %'!$B$5</f>
        <v>120727.31327999999</v>
      </c>
      <c r="Q2162" s="11">
        <v>1.38</v>
      </c>
      <c r="R2162" s="11">
        <f t="shared" si="610"/>
        <v>166603.69232639996</v>
      </c>
      <c r="S2162" s="11"/>
      <c r="T2162" s="136">
        <f t="shared" si="606"/>
        <v>0</v>
      </c>
    </row>
    <row r="2163" spans="1:20" ht="15.75" customHeight="1">
      <c r="A2163" s="149">
        <v>38</v>
      </c>
      <c r="B2163" s="273"/>
      <c r="C2163" s="28" t="s">
        <v>44201</v>
      </c>
      <c r="D2163" s="131"/>
      <c r="E2163" s="131">
        <f>ROUNDUP(R2163,-1)</f>
        <v>119070</v>
      </c>
      <c r="F2163" s="21">
        <f>+E2163*1.21</f>
        <v>144074.69999999998</v>
      </c>
      <c r="G2163" s="135"/>
      <c r="H2163" s="135">
        <f>ROUNDUP(T2163,-1)</f>
        <v>0</v>
      </c>
      <c r="I2163" s="294">
        <v>45307</v>
      </c>
      <c r="J2163" s="294"/>
      <c r="K2163" s="10">
        <v>79380</v>
      </c>
      <c r="L2163" s="11"/>
      <c r="M2163" s="100"/>
      <c r="N2163" s="100"/>
      <c r="O2163" s="11">
        <f>MIN(K2163:M2163)</f>
        <v>79380</v>
      </c>
      <c r="P2163" s="11">
        <f>+O2163</f>
        <v>79380</v>
      </c>
      <c r="Q2163" s="11">
        <v>1.5</v>
      </c>
      <c r="R2163" s="11">
        <f>+P2163*Q2163</f>
        <v>119070</v>
      </c>
      <c r="S2163" s="11"/>
      <c r="T2163" s="136">
        <f>+N2163*Q2163</f>
        <v>0</v>
      </c>
    </row>
    <row r="2164" spans="1:20" ht="15.75" customHeight="1">
      <c r="A2164" s="149">
        <v>108</v>
      </c>
      <c r="B2164" s="273"/>
      <c r="C2164" s="28" t="s">
        <v>4556</v>
      </c>
      <c r="D2164" s="131"/>
      <c r="E2164" s="131">
        <f t="shared" si="607"/>
        <v>44170</v>
      </c>
      <c r="F2164" s="21">
        <f t="shared" si="612"/>
        <v>53445.7</v>
      </c>
      <c r="G2164" s="135"/>
      <c r="H2164" s="135">
        <f t="shared" si="608"/>
        <v>0</v>
      </c>
      <c r="I2164" s="294">
        <v>45252</v>
      </c>
      <c r="J2164" s="294">
        <v>45370</v>
      </c>
      <c r="K2164" s="10">
        <f>0.765*39819</f>
        <v>30461.535</v>
      </c>
      <c r="L2164" s="11"/>
      <c r="M2164" s="100"/>
      <c r="N2164" s="100"/>
      <c r="O2164" s="11">
        <f t="shared" si="605"/>
        <v>30461.535</v>
      </c>
      <c r="P2164" s="11">
        <f>+O2164</f>
        <v>30461.535</v>
      </c>
      <c r="Q2164" s="11">
        <v>1.45</v>
      </c>
      <c r="R2164" s="11">
        <f t="shared" si="610"/>
        <v>44169.225749999998</v>
      </c>
      <c r="S2164" s="11"/>
      <c r="T2164" s="136">
        <f t="shared" si="606"/>
        <v>0</v>
      </c>
    </row>
    <row r="2165" spans="1:20" ht="15.75" customHeight="1">
      <c r="A2165" s="149">
        <v>18</v>
      </c>
      <c r="B2165" s="273">
        <f>ROUNDUP(E2165*1.105,-1)</f>
        <v>72010</v>
      </c>
      <c r="C2165" s="36" t="s">
        <v>37178</v>
      </c>
      <c r="D2165" s="71">
        <v>6719</v>
      </c>
      <c r="E2165" s="131">
        <f t="shared" si="607"/>
        <v>65160</v>
      </c>
      <c r="F2165" s="21">
        <f t="shared" si="612"/>
        <v>78843.599999999991</v>
      </c>
      <c r="G2165" s="21"/>
      <c r="H2165" s="135">
        <f t="shared" si="608"/>
        <v>0</v>
      </c>
      <c r="I2165" s="294">
        <v>45323</v>
      </c>
      <c r="J2165" s="294"/>
      <c r="K2165" s="11">
        <f>0.8*0.98*0.94*0.95*67440</f>
        <v>47215.55328</v>
      </c>
      <c r="L2165" s="11"/>
      <c r="M2165" s="11"/>
      <c r="N2165" s="100"/>
      <c r="O2165" s="11">
        <f t="shared" si="605"/>
        <v>47215.55328</v>
      </c>
      <c r="P2165" s="11">
        <f>+O2165*'AUMENTOS %'!$B$5</f>
        <v>47215.55328</v>
      </c>
      <c r="Q2165" s="11">
        <v>1.38</v>
      </c>
      <c r="R2165" s="11">
        <f t="shared" si="610"/>
        <v>65157.463526399995</v>
      </c>
      <c r="S2165" s="11"/>
      <c r="T2165" s="136">
        <f t="shared" si="606"/>
        <v>0</v>
      </c>
    </row>
    <row r="2166" spans="1:20" ht="15.75" customHeight="1">
      <c r="A2166" s="149">
        <v>18</v>
      </c>
      <c r="B2166" s="273">
        <f>ROUNDUP(E2166*1.105,-1)</f>
        <v>96160</v>
      </c>
      <c r="C2166" s="36" t="s">
        <v>37179</v>
      </c>
      <c r="D2166" s="71">
        <v>6720</v>
      </c>
      <c r="E2166" s="131">
        <f t="shared" si="607"/>
        <v>87020</v>
      </c>
      <c r="F2166" s="21">
        <f t="shared" si="612"/>
        <v>105294.2</v>
      </c>
      <c r="G2166" s="21"/>
      <c r="H2166" s="135">
        <f t="shared" si="608"/>
        <v>0</v>
      </c>
      <c r="I2166" s="294">
        <v>45323</v>
      </c>
      <c r="J2166" s="294"/>
      <c r="K2166" s="11">
        <f>0.8*0.98*0.94*0.95*90060</f>
        <v>63052.086719999999</v>
      </c>
      <c r="L2166" s="11"/>
      <c r="M2166" s="11"/>
      <c r="N2166" s="100"/>
      <c r="O2166" s="11">
        <f t="shared" si="605"/>
        <v>63052.086719999999</v>
      </c>
      <c r="P2166" s="11">
        <f>+O2166*'AUMENTOS %'!$B$5</f>
        <v>63052.086719999999</v>
      </c>
      <c r="Q2166" s="11">
        <v>1.38</v>
      </c>
      <c r="R2166" s="11">
        <f t="shared" si="610"/>
        <v>87011.879673599993</v>
      </c>
      <c r="S2166" s="11"/>
      <c r="T2166" s="136">
        <f t="shared" si="606"/>
        <v>0</v>
      </c>
    </row>
    <row r="2167" spans="1:20" ht="15.75" customHeight="1">
      <c r="A2167" s="149"/>
      <c r="B2167" s="273">
        <f>ROUNDUP(E2167*1.105,-1)</f>
        <v>94450</v>
      </c>
      <c r="C2167" s="28" t="s">
        <v>1824</v>
      </c>
      <c r="D2167" s="71">
        <v>2100</v>
      </c>
      <c r="E2167" s="131">
        <f t="shared" si="607"/>
        <v>85470</v>
      </c>
      <c r="F2167" s="21">
        <f t="shared" si="612"/>
        <v>103418.7</v>
      </c>
      <c r="G2167" s="21"/>
      <c r="H2167" s="135">
        <f t="shared" si="608"/>
        <v>0</v>
      </c>
      <c r="I2167" s="294">
        <v>45329</v>
      </c>
      <c r="J2167" s="294"/>
      <c r="K2167" s="11">
        <f>'AUMENTOS %'!D13*0.5*126610</f>
        <v>63305</v>
      </c>
      <c r="L2167" s="11"/>
      <c r="M2167" s="11"/>
      <c r="N2167" s="100"/>
      <c r="O2167" s="11">
        <f t="shared" si="605"/>
        <v>63305</v>
      </c>
      <c r="P2167" s="11">
        <f t="shared" si="609"/>
        <v>63305</v>
      </c>
      <c r="Q2167" s="11">
        <v>1.35</v>
      </c>
      <c r="R2167" s="11">
        <f t="shared" si="610"/>
        <v>85461.75</v>
      </c>
      <c r="S2167" s="11"/>
      <c r="T2167" s="136">
        <f t="shared" si="606"/>
        <v>0</v>
      </c>
    </row>
    <row r="2168" spans="1:20" ht="15.75" customHeight="1">
      <c r="A2168" s="149"/>
      <c r="B2168" s="273"/>
      <c r="C2168" s="28" t="s">
        <v>4143</v>
      </c>
      <c r="D2168" s="71"/>
      <c r="E2168" s="131">
        <f>ROUNDUP(R2168,-1)</f>
        <v>287050</v>
      </c>
      <c r="F2168" s="21">
        <f>+E2168*1.21</f>
        <v>347330.5</v>
      </c>
      <c r="G2168" s="21"/>
      <c r="H2168" s="135">
        <f>ROUNDUP(T2168,-1)</f>
        <v>0</v>
      </c>
      <c r="I2168" s="294">
        <v>45358</v>
      </c>
      <c r="J2168" s="294"/>
      <c r="K2168" s="10">
        <v>191363</v>
      </c>
      <c r="L2168" s="11"/>
      <c r="M2168" s="11"/>
      <c r="N2168" s="100"/>
      <c r="O2168" s="11">
        <f>MIN(K2168:M2168)</f>
        <v>191363</v>
      </c>
      <c r="P2168" s="11">
        <f t="shared" si="609"/>
        <v>191363</v>
      </c>
      <c r="Q2168" s="11">
        <v>1.5</v>
      </c>
      <c r="R2168" s="11">
        <f t="shared" si="610"/>
        <v>287044.5</v>
      </c>
      <c r="S2168" s="11"/>
      <c r="T2168" s="136">
        <f>+N2168*Q2168</f>
        <v>0</v>
      </c>
    </row>
    <row r="2169" spans="1:20" ht="15.75" customHeight="1">
      <c r="A2169" s="149"/>
      <c r="B2169" s="273"/>
      <c r="C2169" s="28" t="s">
        <v>2164</v>
      </c>
      <c r="D2169" s="71">
        <v>2390</v>
      </c>
      <c r="E2169" s="131">
        <f t="shared" si="607"/>
        <v>0</v>
      </c>
      <c r="F2169" s="21">
        <f t="shared" si="612"/>
        <v>0</v>
      </c>
      <c r="G2169" s="21"/>
      <c r="H2169" s="135">
        <f t="shared" si="608"/>
        <v>0</v>
      </c>
      <c r="I2169" s="294"/>
      <c r="J2169" s="294">
        <v>43798</v>
      </c>
      <c r="K2169" s="11">
        <f>1490*1.6</f>
        <v>2384</v>
      </c>
      <c r="L2169" s="11"/>
      <c r="M2169" s="11"/>
      <c r="N2169" s="100"/>
      <c r="O2169" s="11">
        <f t="shared" si="605"/>
        <v>2384</v>
      </c>
      <c r="P2169" s="11">
        <f>+O2169*'AUMENTOS %'!$D$12</f>
        <v>2384</v>
      </c>
      <c r="Q2169" s="11"/>
      <c r="R2169" s="11">
        <f t="shared" si="610"/>
        <v>0</v>
      </c>
      <c r="S2169" s="11"/>
      <c r="T2169" s="136">
        <f t="shared" si="606"/>
        <v>0</v>
      </c>
    </row>
    <row r="2170" spans="1:20" ht="15.75" customHeight="1">
      <c r="A2170" s="149"/>
      <c r="B2170" s="273"/>
      <c r="C2170" s="28" t="s">
        <v>1825</v>
      </c>
      <c r="D2170" s="71">
        <v>750</v>
      </c>
      <c r="E2170" s="131">
        <f t="shared" si="607"/>
        <v>0</v>
      </c>
      <c r="F2170" s="21">
        <f t="shared" si="612"/>
        <v>0</v>
      </c>
      <c r="G2170" s="21"/>
      <c r="H2170" s="135">
        <f t="shared" si="608"/>
        <v>0</v>
      </c>
      <c r="I2170" s="294"/>
      <c r="J2170" s="294">
        <v>43193</v>
      </c>
      <c r="K2170" s="11">
        <f>496*1.5*3</f>
        <v>2232</v>
      </c>
      <c r="L2170" s="11"/>
      <c r="M2170" s="11"/>
      <c r="N2170" s="100"/>
      <c r="O2170" s="11">
        <f>MIN(K2170:M2170)*'AUMENTOS %'!$B$9</f>
        <v>2232</v>
      </c>
      <c r="P2170" s="11">
        <f t="shared" si="609"/>
        <v>2232</v>
      </c>
      <c r="Q2170" s="11"/>
      <c r="R2170" s="11">
        <f t="shared" si="610"/>
        <v>0</v>
      </c>
      <c r="S2170" s="11"/>
      <c r="T2170" s="136">
        <f t="shared" si="606"/>
        <v>0</v>
      </c>
    </row>
    <row r="2171" spans="1:20" ht="15.75" customHeight="1">
      <c r="A2171" s="149"/>
      <c r="B2171" s="273"/>
      <c r="C2171" s="28" t="s">
        <v>2165</v>
      </c>
      <c r="D2171" s="71">
        <v>4100</v>
      </c>
      <c r="E2171" s="131">
        <f t="shared" si="607"/>
        <v>34740</v>
      </c>
      <c r="F2171" s="21">
        <f t="shared" si="612"/>
        <v>42035.4</v>
      </c>
      <c r="G2171" s="21"/>
      <c r="H2171" s="135">
        <f t="shared" si="608"/>
        <v>0</v>
      </c>
      <c r="I2171" s="294">
        <v>45114</v>
      </c>
      <c r="J2171" s="294"/>
      <c r="K2171" s="11">
        <f>23157</f>
        <v>23157</v>
      </c>
      <c r="L2171" s="11"/>
      <c r="M2171" s="11"/>
      <c r="N2171" s="100"/>
      <c r="O2171" s="11">
        <f t="shared" si="605"/>
        <v>23157</v>
      </c>
      <c r="P2171" s="11">
        <f>+O2171*'AUMENTOS %'!$D$12</f>
        <v>23157</v>
      </c>
      <c r="Q2171" s="11">
        <v>1.5</v>
      </c>
      <c r="R2171" s="11">
        <f t="shared" si="610"/>
        <v>34735.5</v>
      </c>
      <c r="S2171" s="11"/>
      <c r="T2171" s="136">
        <f t="shared" si="606"/>
        <v>0</v>
      </c>
    </row>
    <row r="2172" spans="1:20" ht="15.75" customHeight="1">
      <c r="A2172" s="149">
        <v>41</v>
      </c>
      <c r="B2172" s="273">
        <f>ROUNDUP(E2172*1.06,-1)</f>
        <v>894230</v>
      </c>
      <c r="C2172" s="28" t="s">
        <v>4302</v>
      </c>
      <c r="D2172" s="71">
        <v>35550</v>
      </c>
      <c r="E2172" s="131">
        <f t="shared" si="607"/>
        <v>843610</v>
      </c>
      <c r="F2172" s="21" t="s">
        <v>1248</v>
      </c>
      <c r="G2172" s="21">
        <f>+E2172*1.105</f>
        <v>932189.04999999993</v>
      </c>
      <c r="H2172" s="135">
        <f t="shared" si="608"/>
        <v>789730</v>
      </c>
      <c r="I2172" s="294">
        <v>45311</v>
      </c>
      <c r="J2172" s="294"/>
      <c r="K2172" s="11">
        <f>PROVEEDORES!$D$35*0.9*0.9*721</f>
        <v>624890.70000000007</v>
      </c>
      <c r="L2172" s="11"/>
      <c r="M2172" s="11"/>
      <c r="N2172" s="100">
        <f>0.9*0.95*0.95*720200</f>
        <v>584982.44999999995</v>
      </c>
      <c r="O2172" s="11">
        <f t="shared" si="605"/>
        <v>624890.70000000007</v>
      </c>
      <c r="P2172" s="11">
        <f t="shared" si="609"/>
        <v>624890.70000000007</v>
      </c>
      <c r="Q2172" s="11">
        <v>1.35</v>
      </c>
      <c r="R2172" s="11">
        <f t="shared" si="610"/>
        <v>843602.44500000018</v>
      </c>
      <c r="S2172" s="11"/>
      <c r="T2172" s="136">
        <f t="shared" si="606"/>
        <v>789726.3075</v>
      </c>
    </row>
    <row r="2173" spans="1:20" ht="15.75" customHeight="1">
      <c r="A2173" s="149">
        <v>41</v>
      </c>
      <c r="B2173" s="273">
        <f>ROUNDUP(E2173*1.06,-1)</f>
        <v>1892080</v>
      </c>
      <c r="C2173" s="28" t="s">
        <v>4303</v>
      </c>
      <c r="D2173" s="71"/>
      <c r="E2173" s="131">
        <f>ROUNDUP(R2173,-1)</f>
        <v>1784980</v>
      </c>
      <c r="F2173" s="21" t="s">
        <v>1248</v>
      </c>
      <c r="G2173" s="21">
        <f>+E2173*1.105</f>
        <v>1972402.9</v>
      </c>
      <c r="H2173" s="135">
        <f>ROUNDUP(T2173,-1)</f>
        <v>1503910</v>
      </c>
      <c r="I2173" s="294">
        <v>45311</v>
      </c>
      <c r="J2173" s="294"/>
      <c r="K2173" s="11">
        <f>+PROVEEDORES!$D$35*0.9*0.9*1525.56</f>
        <v>1322202.852</v>
      </c>
      <c r="L2173" s="11"/>
      <c r="M2173" s="11"/>
      <c r="N2173" s="100">
        <f>0.9*0.95*0.95*1371500</f>
        <v>1114000.875</v>
      </c>
      <c r="O2173" s="11">
        <f>MIN(K2173:M2173)</f>
        <v>1322202.852</v>
      </c>
      <c r="P2173" s="11">
        <f t="shared" si="609"/>
        <v>1322202.852</v>
      </c>
      <c r="Q2173" s="11">
        <v>1.35</v>
      </c>
      <c r="R2173" s="11">
        <f t="shared" si="610"/>
        <v>1784973.8502</v>
      </c>
      <c r="S2173" s="11"/>
      <c r="T2173" s="136">
        <f>+N2173*Q2173</f>
        <v>1503901.1812500001</v>
      </c>
    </row>
    <row r="2174" spans="1:20" ht="15.75" customHeight="1">
      <c r="A2174" s="149">
        <v>23</v>
      </c>
      <c r="B2174" s="273"/>
      <c r="C2174" s="28" t="s">
        <v>1826</v>
      </c>
      <c r="D2174" s="71">
        <v>2120</v>
      </c>
      <c r="E2174" s="131">
        <f t="shared" si="607"/>
        <v>70290</v>
      </c>
      <c r="F2174" s="21">
        <f t="shared" ref="F2174:F2185" si="627">+E2174*1.21</f>
        <v>85050.9</v>
      </c>
      <c r="G2174" s="21"/>
      <c r="H2174" s="135">
        <f t="shared" si="608"/>
        <v>0</v>
      </c>
      <c r="I2174" s="294">
        <v>45351</v>
      </c>
      <c r="J2174" s="294"/>
      <c r="K2174" s="42">
        <f>0.9*53860</f>
        <v>48474</v>
      </c>
      <c r="L2174" s="34"/>
      <c r="M2174" s="11"/>
      <c r="N2174" s="100"/>
      <c r="O2174" s="11">
        <f t="shared" si="605"/>
        <v>48474</v>
      </c>
      <c r="P2174" s="11">
        <f t="shared" si="609"/>
        <v>48474</v>
      </c>
      <c r="Q2174" s="11">
        <v>1.45</v>
      </c>
      <c r="R2174" s="11">
        <f t="shared" si="610"/>
        <v>70287.3</v>
      </c>
      <c r="S2174" s="11"/>
      <c r="T2174" s="136">
        <f t="shared" si="606"/>
        <v>0</v>
      </c>
    </row>
    <row r="2175" spans="1:20" ht="15.75" customHeight="1">
      <c r="A2175" s="149">
        <v>23</v>
      </c>
      <c r="B2175" s="273"/>
      <c r="C2175" s="28" t="s">
        <v>1827</v>
      </c>
      <c r="D2175" s="71">
        <v>2600</v>
      </c>
      <c r="E2175" s="131">
        <f t="shared" si="607"/>
        <v>95640</v>
      </c>
      <c r="F2175" s="21">
        <f t="shared" si="627"/>
        <v>115724.4</v>
      </c>
      <c r="G2175" s="21"/>
      <c r="H2175" s="135">
        <f t="shared" si="608"/>
        <v>0</v>
      </c>
      <c r="I2175" s="294">
        <v>45351</v>
      </c>
      <c r="J2175" s="294"/>
      <c r="K2175" s="42">
        <f>0.9*73280</f>
        <v>65952</v>
      </c>
      <c r="L2175" s="11"/>
      <c r="M2175" s="11"/>
      <c r="N2175" s="100"/>
      <c r="O2175" s="11">
        <f t="shared" si="605"/>
        <v>65952</v>
      </c>
      <c r="P2175" s="11">
        <f t="shared" si="609"/>
        <v>65952</v>
      </c>
      <c r="Q2175" s="11">
        <v>1.45</v>
      </c>
      <c r="R2175" s="11">
        <f t="shared" si="610"/>
        <v>95630.399999999994</v>
      </c>
      <c r="S2175" s="11"/>
      <c r="T2175" s="136">
        <f t="shared" si="606"/>
        <v>0</v>
      </c>
    </row>
    <row r="2176" spans="1:20" ht="15.75" customHeight="1">
      <c r="A2176" s="149">
        <v>44</v>
      </c>
      <c r="B2176" s="273">
        <f>ROUNDUP(H2176*1.105,-1)</f>
        <v>784580</v>
      </c>
      <c r="C2176" s="28" t="s">
        <v>2877</v>
      </c>
      <c r="D2176" s="71">
        <v>13500</v>
      </c>
      <c r="E2176" s="140">
        <f t="shared" si="607"/>
        <v>1006350</v>
      </c>
      <c r="F2176" s="21">
        <f t="shared" si="627"/>
        <v>1217683.5</v>
      </c>
      <c r="G2176" s="21"/>
      <c r="H2176" s="135">
        <f t="shared" si="608"/>
        <v>710020</v>
      </c>
      <c r="I2176" s="294">
        <v>45342</v>
      </c>
      <c r="J2176" s="294"/>
      <c r="K2176" s="10">
        <f>+PROVEEDORES!$D$38*812.22</f>
        <v>718814.70000000007</v>
      </c>
      <c r="L2176" s="11"/>
      <c r="M2176" s="11"/>
      <c r="N2176" s="100">
        <v>507152</v>
      </c>
      <c r="O2176" s="11">
        <f t="shared" si="605"/>
        <v>718814.70000000007</v>
      </c>
      <c r="P2176" s="11">
        <f t="shared" si="609"/>
        <v>718814.70000000007</v>
      </c>
      <c r="Q2176" s="11">
        <v>1.4</v>
      </c>
      <c r="R2176" s="11">
        <f t="shared" si="610"/>
        <v>1006340.5800000001</v>
      </c>
      <c r="S2176" s="11"/>
      <c r="T2176" s="136">
        <f t="shared" si="606"/>
        <v>710012.79999999993</v>
      </c>
    </row>
    <row r="2177" spans="1:20" ht="15.75" customHeight="1">
      <c r="A2177" s="149">
        <v>50</v>
      </c>
      <c r="B2177" s="273">
        <f>ROUNDUP(E2177*1.105,-1)</f>
        <v>823410</v>
      </c>
      <c r="C2177" s="28" t="s">
        <v>1828</v>
      </c>
      <c r="D2177" s="168">
        <v>34110</v>
      </c>
      <c r="E2177" s="139">
        <f t="shared" si="607"/>
        <v>745160</v>
      </c>
      <c r="F2177" s="21">
        <f t="shared" si="627"/>
        <v>901643.6</v>
      </c>
      <c r="G2177" s="72"/>
      <c r="H2177" s="135">
        <f t="shared" si="608"/>
        <v>685190</v>
      </c>
      <c r="I2177" s="294">
        <v>45385</v>
      </c>
      <c r="J2177" s="40"/>
      <c r="K2177" s="43">
        <f>PROVEEDORES!$D$44*0.58*1036.93</f>
        <v>532256.16899999999</v>
      </c>
      <c r="L2177" s="11"/>
      <c r="M2177" s="10"/>
      <c r="N2177" s="171">
        <f>PROVEEDORES!$D$44*0.5985*924</f>
        <v>489417.39</v>
      </c>
      <c r="O2177" s="11">
        <f t="shared" si="605"/>
        <v>532256.16899999999</v>
      </c>
      <c r="P2177" s="11">
        <f t="shared" si="609"/>
        <v>532256.16899999999</v>
      </c>
      <c r="Q2177" s="11">
        <v>1.4</v>
      </c>
      <c r="R2177" s="11">
        <f t="shared" si="610"/>
        <v>745158.63659999997</v>
      </c>
      <c r="S2177" s="11"/>
      <c r="T2177" s="136">
        <f t="shared" si="606"/>
        <v>685184.34600000002</v>
      </c>
    </row>
    <row r="2178" spans="1:20" ht="15.75" customHeight="1">
      <c r="A2178" s="149" t="s">
        <v>4569</v>
      </c>
      <c r="B2178" s="273"/>
      <c r="C2178" s="28" t="s">
        <v>4567</v>
      </c>
      <c r="D2178" s="71">
        <v>4050</v>
      </c>
      <c r="E2178" s="131">
        <f t="shared" si="607"/>
        <v>80440</v>
      </c>
      <c r="F2178" s="21">
        <f t="shared" si="627"/>
        <v>97332.4</v>
      </c>
      <c r="G2178" s="72"/>
      <c r="H2178" s="135">
        <f t="shared" si="608"/>
        <v>76030</v>
      </c>
      <c r="I2178" s="294">
        <v>45313</v>
      </c>
      <c r="J2178" s="40">
        <v>45373</v>
      </c>
      <c r="K2178" s="11">
        <f>PROVEEDORES!$D$35*0.9*0.9*56*1.1</f>
        <v>53388.720000000008</v>
      </c>
      <c r="L2178" s="11">
        <f>1.038*48430</f>
        <v>50270.340000000004</v>
      </c>
      <c r="M2178" s="10"/>
      <c r="N2178" s="100">
        <f>0.9*0.95*0.95*58500</f>
        <v>47516.624999999993</v>
      </c>
      <c r="O2178" s="11">
        <f t="shared" si="605"/>
        <v>50270.340000000004</v>
      </c>
      <c r="P2178" s="11">
        <f t="shared" si="609"/>
        <v>50270.340000000004</v>
      </c>
      <c r="Q2178" s="11">
        <v>1.6</v>
      </c>
      <c r="R2178" s="11">
        <f t="shared" si="610"/>
        <v>80432.544000000009</v>
      </c>
      <c r="S2178" s="11"/>
      <c r="T2178" s="136">
        <f t="shared" si="606"/>
        <v>76026.599999999991</v>
      </c>
    </row>
    <row r="2179" spans="1:20" ht="15.75" customHeight="1">
      <c r="A2179" s="149" t="s">
        <v>4569</v>
      </c>
      <c r="B2179" s="273"/>
      <c r="C2179" s="28" t="s">
        <v>4565</v>
      </c>
      <c r="D2179" s="71">
        <v>5340</v>
      </c>
      <c r="E2179" s="131">
        <f t="shared" si="607"/>
        <v>116210</v>
      </c>
      <c r="F2179" s="21">
        <f t="shared" si="627"/>
        <v>140614.1</v>
      </c>
      <c r="G2179" s="72"/>
      <c r="H2179" s="135">
        <f t="shared" si="608"/>
        <v>114890</v>
      </c>
      <c r="I2179" s="294">
        <v>45313</v>
      </c>
      <c r="J2179" s="294">
        <v>45348</v>
      </c>
      <c r="K2179" s="11">
        <f>PROVEEDORES!$D$35*0.9*0.9*83*1.1</f>
        <v>79129.710000000006</v>
      </c>
      <c r="L2179" s="11">
        <f>1.038*69968</f>
        <v>72626.784</v>
      </c>
      <c r="M2179" s="11"/>
      <c r="N2179" s="100">
        <f>0.9*0.95*0.95*88400</f>
        <v>71802.899999999994</v>
      </c>
      <c r="O2179" s="11">
        <f t="shared" si="605"/>
        <v>72626.784</v>
      </c>
      <c r="P2179" s="11">
        <f t="shared" si="609"/>
        <v>72626.784</v>
      </c>
      <c r="Q2179" s="11">
        <v>1.6</v>
      </c>
      <c r="R2179" s="11">
        <f t="shared" si="610"/>
        <v>116202.85440000001</v>
      </c>
      <c r="S2179" s="11"/>
      <c r="T2179" s="136">
        <f t="shared" si="606"/>
        <v>114884.64</v>
      </c>
    </row>
    <row r="2180" spans="1:20" ht="15.75" customHeight="1">
      <c r="A2180" s="149" t="s">
        <v>4569</v>
      </c>
      <c r="B2180" s="273"/>
      <c r="C2180" s="28" t="s">
        <v>4566</v>
      </c>
      <c r="D2180" s="71">
        <v>8740</v>
      </c>
      <c r="E2180" s="131">
        <f t="shared" si="607"/>
        <v>166010</v>
      </c>
      <c r="F2180" s="21">
        <f t="shared" si="627"/>
        <v>200872.1</v>
      </c>
      <c r="G2180" s="72">
        <f>+L2180*1.4</f>
        <v>145251.69959999999</v>
      </c>
      <c r="H2180" s="135">
        <f t="shared" si="608"/>
        <v>177400</v>
      </c>
      <c r="I2180" s="294">
        <v>45313</v>
      </c>
      <c r="J2180" s="294"/>
      <c r="K2180" s="11">
        <f>PROVEEDORES!$D$35*0.9*0.9*128*1.1</f>
        <v>122031.36000000002</v>
      </c>
      <c r="L2180" s="11">
        <f>1.038*99953</f>
        <v>103751.21400000001</v>
      </c>
      <c r="M2180" s="11"/>
      <c r="N2180" s="100">
        <f>0.9*0.95*0.95*136500</f>
        <v>110872.12499999999</v>
      </c>
      <c r="O2180" s="11">
        <f t="shared" si="605"/>
        <v>103751.21400000001</v>
      </c>
      <c r="P2180" s="11">
        <f t="shared" si="609"/>
        <v>103751.21400000001</v>
      </c>
      <c r="Q2180" s="11">
        <v>1.6</v>
      </c>
      <c r="R2180" s="11">
        <f t="shared" si="610"/>
        <v>166001.94240000003</v>
      </c>
      <c r="S2180" s="11"/>
      <c r="T2180" s="136">
        <f t="shared" si="606"/>
        <v>177395.4</v>
      </c>
    </row>
    <row r="2181" spans="1:20" ht="15.75" customHeight="1">
      <c r="A2181" s="149">
        <v>12</v>
      </c>
      <c r="B2181" s="273"/>
      <c r="C2181" s="28" t="s">
        <v>1829</v>
      </c>
      <c r="D2181" s="71">
        <v>1500</v>
      </c>
      <c r="E2181" s="131">
        <f t="shared" si="607"/>
        <v>0</v>
      </c>
      <c r="F2181" s="21">
        <f t="shared" si="627"/>
        <v>0</v>
      </c>
      <c r="G2181" s="72"/>
      <c r="H2181" s="135">
        <f t="shared" si="608"/>
        <v>0</v>
      </c>
      <c r="I2181" s="294">
        <v>44774</v>
      </c>
      <c r="J2181" s="294"/>
      <c r="K2181" s="11">
        <v>2438</v>
      </c>
      <c r="L2181" s="11"/>
      <c r="M2181" s="11"/>
      <c r="N2181" s="100"/>
      <c r="O2181" s="11">
        <f t="shared" si="605"/>
        <v>2438</v>
      </c>
      <c r="P2181" s="11">
        <f t="shared" si="609"/>
        <v>2438</v>
      </c>
      <c r="Q2181" s="11"/>
      <c r="R2181" s="11">
        <f t="shared" si="610"/>
        <v>0</v>
      </c>
      <c r="S2181" s="11"/>
      <c r="T2181" s="136">
        <f t="shared" si="606"/>
        <v>0</v>
      </c>
    </row>
    <row r="2182" spans="1:20" ht="15.75" customHeight="1">
      <c r="A2182" s="149">
        <v>41</v>
      </c>
      <c r="B2182" s="273"/>
      <c r="C2182" s="28" t="s">
        <v>1830</v>
      </c>
      <c r="D2182" s="71">
        <v>540</v>
      </c>
      <c r="E2182" s="132">
        <f t="shared" si="607"/>
        <v>0</v>
      </c>
      <c r="F2182" s="21">
        <f t="shared" si="627"/>
        <v>0</v>
      </c>
      <c r="G2182" s="72"/>
      <c r="H2182" s="135">
        <f t="shared" si="608"/>
        <v>0</v>
      </c>
      <c r="I2182" s="294"/>
      <c r="J2182" s="294">
        <v>43242</v>
      </c>
      <c r="K2182" s="11">
        <f>338*1.6</f>
        <v>540.80000000000007</v>
      </c>
      <c r="L2182" s="11"/>
      <c r="M2182" s="11"/>
      <c r="N2182" s="100"/>
      <c r="O2182" s="11">
        <f t="shared" si="605"/>
        <v>540.80000000000007</v>
      </c>
      <c r="P2182" s="11">
        <f t="shared" si="609"/>
        <v>540.80000000000007</v>
      </c>
      <c r="Q2182" s="11"/>
      <c r="R2182" s="11">
        <f t="shared" si="610"/>
        <v>0</v>
      </c>
      <c r="S2182" s="11"/>
      <c r="T2182" s="136">
        <f t="shared" si="606"/>
        <v>0</v>
      </c>
    </row>
    <row r="2183" spans="1:20" ht="15.75" customHeight="1">
      <c r="A2183" s="149">
        <v>21</v>
      </c>
      <c r="B2183" s="273"/>
      <c r="C2183" s="28" t="s">
        <v>44182</v>
      </c>
      <c r="D2183" s="71">
        <v>150</v>
      </c>
      <c r="E2183" s="131">
        <f t="shared" si="607"/>
        <v>2980</v>
      </c>
      <c r="F2183" s="21">
        <f t="shared" si="627"/>
        <v>3605.7999999999997</v>
      </c>
      <c r="G2183" s="72"/>
      <c r="H2183" s="135">
        <f t="shared" si="608"/>
        <v>0</v>
      </c>
      <c r="I2183" s="294">
        <v>45313</v>
      </c>
      <c r="J2183" s="294"/>
      <c r="K2183" s="10">
        <f>0.6*3303</f>
        <v>1981.8</v>
      </c>
      <c r="L2183" s="11"/>
      <c r="M2183" s="11"/>
      <c r="N2183" s="100"/>
      <c r="O2183" s="11">
        <f t="shared" si="605"/>
        <v>1981.8</v>
      </c>
      <c r="P2183" s="11">
        <f t="shared" si="609"/>
        <v>1981.8</v>
      </c>
      <c r="Q2183" s="11">
        <v>1.5</v>
      </c>
      <c r="R2183" s="11">
        <f t="shared" si="610"/>
        <v>2972.7</v>
      </c>
      <c r="S2183" s="11"/>
      <c r="T2183" s="136">
        <f t="shared" si="606"/>
        <v>0</v>
      </c>
    </row>
    <row r="2184" spans="1:20" ht="15.75" customHeight="1">
      <c r="A2184" s="149">
        <v>21</v>
      </c>
      <c r="B2184" s="273"/>
      <c r="C2184" s="28" t="s">
        <v>44183</v>
      </c>
      <c r="D2184" s="71">
        <v>220</v>
      </c>
      <c r="E2184" s="131">
        <f t="shared" si="607"/>
        <v>4530</v>
      </c>
      <c r="F2184" s="21">
        <f t="shared" si="627"/>
        <v>5481.3</v>
      </c>
      <c r="G2184" s="72"/>
      <c r="H2184" s="135">
        <f t="shared" si="608"/>
        <v>0</v>
      </c>
      <c r="I2184" s="294">
        <v>45313</v>
      </c>
      <c r="J2184" s="294"/>
      <c r="K2184" s="10">
        <f>0.6*5025</f>
        <v>3015</v>
      </c>
      <c r="L2184" s="11"/>
      <c r="M2184" s="11"/>
      <c r="N2184" s="100"/>
      <c r="O2184" s="11">
        <f t="shared" si="605"/>
        <v>3015</v>
      </c>
      <c r="P2184" s="11">
        <f t="shared" si="609"/>
        <v>3015</v>
      </c>
      <c r="Q2184" s="11">
        <v>1.5</v>
      </c>
      <c r="R2184" s="11">
        <f t="shared" si="610"/>
        <v>4522.5</v>
      </c>
      <c r="S2184" s="11"/>
      <c r="T2184" s="136">
        <f t="shared" si="606"/>
        <v>0</v>
      </c>
    </row>
    <row r="2185" spans="1:20" ht="15.75" customHeight="1">
      <c r="A2185" s="149">
        <v>21</v>
      </c>
      <c r="B2185" s="273"/>
      <c r="C2185" s="28" t="s">
        <v>44184</v>
      </c>
      <c r="D2185" s="71">
        <v>280</v>
      </c>
      <c r="E2185" s="131">
        <f t="shared" si="607"/>
        <v>4910</v>
      </c>
      <c r="F2185" s="21">
        <f t="shared" si="627"/>
        <v>5941.0999999999995</v>
      </c>
      <c r="G2185" s="72"/>
      <c r="H2185" s="135">
        <f t="shared" si="608"/>
        <v>0</v>
      </c>
      <c r="I2185" s="294">
        <v>45313</v>
      </c>
      <c r="J2185" s="294"/>
      <c r="K2185" s="10">
        <f>0.6*5449</f>
        <v>3269.4</v>
      </c>
      <c r="L2185" s="11"/>
      <c r="M2185" s="11"/>
      <c r="N2185" s="100"/>
      <c r="O2185" s="11">
        <f t="shared" si="605"/>
        <v>3269.4</v>
      </c>
      <c r="P2185" s="11">
        <f t="shared" si="609"/>
        <v>3269.4</v>
      </c>
      <c r="Q2185" s="11">
        <v>1.5</v>
      </c>
      <c r="R2185" s="11">
        <f t="shared" si="610"/>
        <v>4904.1000000000004</v>
      </c>
      <c r="S2185" s="11"/>
      <c r="T2185" s="136">
        <f t="shared" si="606"/>
        <v>0</v>
      </c>
    </row>
    <row r="2186" spans="1:20" ht="15.75" customHeight="1">
      <c r="A2186" s="149" t="s">
        <v>2403</v>
      </c>
      <c r="B2186" s="273"/>
      <c r="C2186" s="28" t="s">
        <v>4062</v>
      </c>
      <c r="D2186" s="71">
        <v>320</v>
      </c>
      <c r="E2186" s="131">
        <f>ROUNDUP(R2186,-1)</f>
        <v>6470</v>
      </c>
      <c r="F2186" s="21">
        <f>+E2186*1.21</f>
        <v>7828.7</v>
      </c>
      <c r="G2186" s="21"/>
      <c r="H2186" s="135">
        <f>ROUNDUP(T2186,-1)</f>
        <v>0</v>
      </c>
      <c r="I2186" s="294">
        <v>45313</v>
      </c>
      <c r="J2186" s="294"/>
      <c r="K2186" s="10">
        <f>0.6*7185</f>
        <v>4311</v>
      </c>
      <c r="L2186" s="10"/>
      <c r="M2186" s="11"/>
      <c r="N2186" s="100"/>
      <c r="O2186" s="11">
        <f>MIN(K2186:M2186)</f>
        <v>4311</v>
      </c>
      <c r="P2186" s="11">
        <f t="shared" si="609"/>
        <v>4311</v>
      </c>
      <c r="Q2186" s="11">
        <v>1.5</v>
      </c>
      <c r="R2186" s="11">
        <f t="shared" si="610"/>
        <v>6466.5</v>
      </c>
      <c r="S2186" s="11"/>
      <c r="T2186" s="136">
        <f>+N2186*Q2186</f>
        <v>0</v>
      </c>
    </row>
    <row r="2187" spans="1:20" ht="15.75" customHeight="1">
      <c r="A2187" s="149"/>
      <c r="B2187" s="273"/>
      <c r="C2187" s="28" t="s">
        <v>1831</v>
      </c>
      <c r="D2187" s="71">
        <v>8950</v>
      </c>
      <c r="E2187" s="131">
        <f t="shared" si="607"/>
        <v>0</v>
      </c>
      <c r="F2187" s="21" t="s">
        <v>1248</v>
      </c>
      <c r="G2187" s="21"/>
      <c r="H2187" s="135">
        <f t="shared" si="608"/>
        <v>0</v>
      </c>
      <c r="I2187" s="294">
        <v>40805</v>
      </c>
      <c r="J2187" s="294"/>
      <c r="K2187" s="10">
        <f>8100*0.85*1.3</f>
        <v>8950.5</v>
      </c>
      <c r="L2187" s="11"/>
      <c r="M2187" s="11"/>
      <c r="N2187" s="100"/>
      <c r="O2187" s="11">
        <f t="shared" si="605"/>
        <v>8950.5</v>
      </c>
      <c r="P2187" s="11">
        <f t="shared" si="609"/>
        <v>8950.5</v>
      </c>
      <c r="Q2187" s="11"/>
      <c r="R2187" s="11">
        <f t="shared" si="610"/>
        <v>0</v>
      </c>
      <c r="S2187" s="11"/>
      <c r="T2187" s="136">
        <f t="shared" si="606"/>
        <v>0</v>
      </c>
    </row>
    <row r="2188" spans="1:20" ht="15.75" customHeight="1">
      <c r="A2188" s="149">
        <v>31</v>
      </c>
      <c r="B2188" s="273"/>
      <c r="C2188" s="28" t="s">
        <v>2552</v>
      </c>
      <c r="D2188" s="71">
        <v>87360</v>
      </c>
      <c r="E2188" s="131">
        <f t="shared" si="607"/>
        <v>0</v>
      </c>
      <c r="F2188" s="21" t="s">
        <v>1248</v>
      </c>
      <c r="G2188" s="21"/>
      <c r="H2188" s="135">
        <f t="shared" si="608"/>
        <v>0</v>
      </c>
      <c r="I2188" s="294">
        <v>45112</v>
      </c>
      <c r="J2188" s="40"/>
      <c r="K2188" s="11">
        <f>5100+35*K367+505000*0.96</f>
        <v>650970</v>
      </c>
      <c r="L2188" s="11"/>
      <c r="M2188" s="11"/>
      <c r="N2188" s="100"/>
      <c r="O2188" s="11">
        <f t="shared" si="605"/>
        <v>650970</v>
      </c>
      <c r="P2188" s="11">
        <f t="shared" si="609"/>
        <v>650970</v>
      </c>
      <c r="Q2188" s="11"/>
      <c r="R2188" s="11">
        <f t="shared" si="610"/>
        <v>0</v>
      </c>
      <c r="S2188" s="11"/>
      <c r="T2188" s="136">
        <f t="shared" si="606"/>
        <v>0</v>
      </c>
    </row>
    <row r="2189" spans="1:20" ht="15.75" customHeight="1">
      <c r="A2189" s="149">
        <v>31</v>
      </c>
      <c r="B2189" s="273"/>
      <c r="C2189" s="28" t="s">
        <v>2553</v>
      </c>
      <c r="D2189" s="71">
        <v>83430</v>
      </c>
      <c r="E2189" s="131">
        <f t="shared" si="607"/>
        <v>2303230</v>
      </c>
      <c r="F2189" s="21" t="s">
        <v>1248</v>
      </c>
      <c r="G2189" s="21">
        <f>+E2189*1.105</f>
        <v>2545069.15</v>
      </c>
      <c r="H2189" s="135">
        <f t="shared" si="608"/>
        <v>0</v>
      </c>
      <c r="I2189" s="294">
        <v>45138</v>
      </c>
      <c r="J2189" s="294">
        <v>45366</v>
      </c>
      <c r="K2189" s="11">
        <f>(60000+35*L365+1250000*0.96)</f>
        <v>1354839.2549999999</v>
      </c>
      <c r="L2189" s="196"/>
      <c r="M2189" s="11"/>
      <c r="N2189" s="100"/>
      <c r="O2189" s="11">
        <f t="shared" si="605"/>
        <v>1354839.2549999999</v>
      </c>
      <c r="P2189" s="11">
        <f t="shared" si="609"/>
        <v>1354839.2549999999</v>
      </c>
      <c r="Q2189" s="11">
        <v>1.7</v>
      </c>
      <c r="R2189" s="11">
        <f t="shared" si="610"/>
        <v>2303226.7334999996</v>
      </c>
      <c r="S2189" s="11"/>
      <c r="T2189" s="136">
        <f t="shared" si="606"/>
        <v>0</v>
      </c>
    </row>
    <row r="2190" spans="1:20" ht="15.75" customHeight="1">
      <c r="A2190" s="149"/>
      <c r="B2190" s="273"/>
      <c r="C2190" s="28" t="s">
        <v>1832</v>
      </c>
      <c r="D2190" s="71">
        <v>15520</v>
      </c>
      <c r="E2190" s="131">
        <f t="shared" si="607"/>
        <v>0</v>
      </c>
      <c r="F2190" s="21" t="s">
        <v>1248</v>
      </c>
      <c r="G2190" s="21"/>
      <c r="H2190" s="135">
        <f t="shared" si="608"/>
        <v>0</v>
      </c>
      <c r="I2190" s="294">
        <v>41173</v>
      </c>
      <c r="J2190" s="294"/>
      <c r="K2190" s="10">
        <f>11932*1.3</f>
        <v>15511.6</v>
      </c>
      <c r="L2190" s="11"/>
      <c r="M2190" s="11"/>
      <c r="N2190" s="100"/>
      <c r="O2190" s="11">
        <f t="shared" si="605"/>
        <v>15511.6</v>
      </c>
      <c r="P2190" s="11">
        <f t="shared" si="609"/>
        <v>15511.6</v>
      </c>
      <c r="Q2190" s="11"/>
      <c r="R2190" s="11">
        <f t="shared" si="610"/>
        <v>0</v>
      </c>
      <c r="S2190" s="11"/>
      <c r="T2190" s="136">
        <f t="shared" si="606"/>
        <v>0</v>
      </c>
    </row>
    <row r="2191" spans="1:20" ht="15.75" customHeight="1">
      <c r="A2191" s="149"/>
      <c r="B2191" s="273"/>
      <c r="C2191" s="28" t="s">
        <v>1833</v>
      </c>
      <c r="D2191" s="71">
        <v>19487</v>
      </c>
      <c r="E2191" s="131">
        <f t="shared" si="607"/>
        <v>0</v>
      </c>
      <c r="F2191" s="21" t="s">
        <v>1248</v>
      </c>
      <c r="G2191" s="21"/>
      <c r="H2191" s="135">
        <f t="shared" si="608"/>
        <v>0</v>
      </c>
      <c r="I2191" s="294">
        <v>40625</v>
      </c>
      <c r="J2191" s="294"/>
      <c r="K2191" s="10">
        <f>14990*1.3</f>
        <v>19487</v>
      </c>
      <c r="L2191" s="11"/>
      <c r="M2191" s="11"/>
      <c r="N2191" s="100"/>
      <c r="O2191" s="11">
        <f t="shared" si="605"/>
        <v>19487</v>
      </c>
      <c r="P2191" s="11">
        <f t="shared" si="609"/>
        <v>19487</v>
      </c>
      <c r="Q2191" s="11"/>
      <c r="R2191" s="11">
        <f t="shared" si="610"/>
        <v>0</v>
      </c>
      <c r="S2191" s="11"/>
      <c r="T2191" s="136">
        <f t="shared" si="606"/>
        <v>0</v>
      </c>
    </row>
    <row r="2192" spans="1:20" ht="15.75" customHeight="1">
      <c r="A2192" s="149">
        <v>25</v>
      </c>
      <c r="B2192" s="273"/>
      <c r="C2192" s="28" t="s">
        <v>1834</v>
      </c>
      <c r="D2192" s="71">
        <v>360</v>
      </c>
      <c r="E2192" s="131">
        <f t="shared" si="607"/>
        <v>0</v>
      </c>
      <c r="F2192" s="21">
        <f t="shared" ref="F2192:F2220" si="628">+E2192*1.21</f>
        <v>0</v>
      </c>
      <c r="G2192" s="21"/>
      <c r="H2192" s="135">
        <f t="shared" si="608"/>
        <v>0</v>
      </c>
      <c r="I2192" s="294">
        <v>43530</v>
      </c>
      <c r="J2192" s="294"/>
      <c r="K2192" s="10">
        <f>237*1.5</f>
        <v>355.5</v>
      </c>
      <c r="L2192" s="11"/>
      <c r="M2192" s="11"/>
      <c r="N2192" s="100"/>
      <c r="O2192" s="11">
        <f t="shared" ref="O2192:O2249" si="629">MIN(K2192:M2192)</f>
        <v>355.5</v>
      </c>
      <c r="P2192" s="11">
        <f t="shared" si="609"/>
        <v>355.5</v>
      </c>
      <c r="Q2192" s="11"/>
      <c r="R2192" s="11">
        <f t="shared" si="610"/>
        <v>0</v>
      </c>
      <c r="S2192" s="11"/>
      <c r="T2192" s="136">
        <f t="shared" si="606"/>
        <v>0</v>
      </c>
    </row>
    <row r="2193" spans="1:20" ht="15.75" customHeight="1">
      <c r="A2193" s="149">
        <v>26</v>
      </c>
      <c r="B2193" s="273"/>
      <c r="C2193" s="28" t="s">
        <v>3462</v>
      </c>
      <c r="D2193" s="71">
        <v>90</v>
      </c>
      <c r="E2193" s="131">
        <f t="shared" si="607"/>
        <v>0</v>
      </c>
      <c r="F2193" s="21">
        <f t="shared" si="628"/>
        <v>0</v>
      </c>
      <c r="G2193" s="21"/>
      <c r="H2193" s="135">
        <f t="shared" si="608"/>
        <v>0</v>
      </c>
      <c r="I2193" s="294"/>
      <c r="J2193" s="294">
        <v>42384</v>
      </c>
      <c r="K2193" s="10">
        <f>29*3</f>
        <v>87</v>
      </c>
      <c r="L2193" s="11"/>
      <c r="M2193" s="11"/>
      <c r="N2193" s="100"/>
      <c r="O2193" s="11">
        <f t="shared" si="629"/>
        <v>87</v>
      </c>
      <c r="P2193" s="11">
        <f t="shared" si="609"/>
        <v>87</v>
      </c>
      <c r="Q2193" s="11"/>
      <c r="R2193" s="11">
        <f t="shared" si="610"/>
        <v>0</v>
      </c>
      <c r="S2193" s="11"/>
      <c r="T2193" s="136">
        <f t="shared" ref="T2193:T2250" si="630">+N2193*Q2193</f>
        <v>0</v>
      </c>
    </row>
    <row r="2194" spans="1:20" ht="15.75" customHeight="1">
      <c r="A2194" s="149"/>
      <c r="B2194" s="273"/>
      <c r="C2194" s="28" t="s">
        <v>2192</v>
      </c>
      <c r="D2194" s="71">
        <v>180</v>
      </c>
      <c r="E2194" s="131">
        <f t="shared" si="607"/>
        <v>0</v>
      </c>
      <c r="F2194" s="21">
        <f t="shared" si="628"/>
        <v>0</v>
      </c>
      <c r="G2194" s="21"/>
      <c r="H2194" s="135">
        <f t="shared" si="608"/>
        <v>0</v>
      </c>
      <c r="I2194" s="294"/>
      <c r="J2194" s="294"/>
      <c r="K2194" s="10">
        <f>100*1.8</f>
        <v>180</v>
      </c>
      <c r="L2194" s="11"/>
      <c r="M2194" s="11">
        <f>22*4600</f>
        <v>101200</v>
      </c>
      <c r="N2194" s="100"/>
      <c r="O2194" s="11">
        <f t="shared" si="629"/>
        <v>180</v>
      </c>
      <c r="P2194" s="11">
        <f t="shared" si="609"/>
        <v>180</v>
      </c>
      <c r="Q2194" s="11"/>
      <c r="R2194" s="11">
        <f t="shared" si="610"/>
        <v>0</v>
      </c>
      <c r="S2194" s="11"/>
      <c r="T2194" s="136">
        <f t="shared" si="630"/>
        <v>0</v>
      </c>
    </row>
    <row r="2195" spans="1:20" ht="15.75" customHeight="1">
      <c r="A2195" s="149">
        <v>101</v>
      </c>
      <c r="B2195" s="273"/>
      <c r="C2195" s="28" t="s">
        <v>44272</v>
      </c>
      <c r="D2195" s="71">
        <v>180</v>
      </c>
      <c r="E2195" s="131">
        <f t="shared" si="607"/>
        <v>4860</v>
      </c>
      <c r="F2195" s="21">
        <f t="shared" si="628"/>
        <v>5880.5999999999995</v>
      </c>
      <c r="G2195" s="21"/>
      <c r="H2195" s="135">
        <f t="shared" si="608"/>
        <v>0</v>
      </c>
      <c r="I2195" s="294">
        <v>45254</v>
      </c>
      <c r="J2195" s="294">
        <v>45385</v>
      </c>
      <c r="K2195" s="10">
        <f>0.7*0.9*4532</f>
        <v>2855.16</v>
      </c>
      <c r="L2195" s="11"/>
      <c r="M2195" s="11"/>
      <c r="N2195" s="100"/>
      <c r="O2195" s="11">
        <f t="shared" si="629"/>
        <v>2855.16</v>
      </c>
      <c r="P2195" s="11">
        <f t="shared" si="609"/>
        <v>2855.16</v>
      </c>
      <c r="Q2195" s="11">
        <v>1.7</v>
      </c>
      <c r="R2195" s="11">
        <f t="shared" si="610"/>
        <v>4853.7719999999999</v>
      </c>
      <c r="S2195" s="11"/>
      <c r="T2195" s="136">
        <f t="shared" si="630"/>
        <v>0</v>
      </c>
    </row>
    <row r="2196" spans="1:20" ht="15.75" customHeight="1">
      <c r="A2196" s="149">
        <v>44</v>
      </c>
      <c r="B2196" s="273"/>
      <c r="C2196" s="28" t="s">
        <v>3520</v>
      </c>
      <c r="D2196" s="71">
        <v>2120</v>
      </c>
      <c r="E2196" s="140">
        <f t="shared" si="607"/>
        <v>35990</v>
      </c>
      <c r="F2196" s="21">
        <f t="shared" si="628"/>
        <v>43547.9</v>
      </c>
      <c r="G2196" s="21"/>
      <c r="H2196" s="135">
        <f t="shared" si="608"/>
        <v>0</v>
      </c>
      <c r="I2196" s="294">
        <v>45254</v>
      </c>
      <c r="J2196" s="294"/>
      <c r="K2196" s="10">
        <f>+PROVEEDORES!$D$38*27.11</f>
        <v>23992.35</v>
      </c>
      <c r="L2196" s="11"/>
      <c r="M2196" s="11"/>
      <c r="N2196" s="100"/>
      <c r="O2196" s="11">
        <f t="shared" si="629"/>
        <v>23992.35</v>
      </c>
      <c r="P2196" s="11">
        <f t="shared" si="609"/>
        <v>23992.35</v>
      </c>
      <c r="Q2196" s="11">
        <v>1.5</v>
      </c>
      <c r="R2196" s="11">
        <f t="shared" si="610"/>
        <v>35988.524999999994</v>
      </c>
      <c r="S2196" s="11"/>
      <c r="T2196" s="136">
        <f t="shared" si="630"/>
        <v>0</v>
      </c>
    </row>
    <row r="2197" spans="1:20" ht="15.75" customHeight="1">
      <c r="A2197" s="149">
        <v>44</v>
      </c>
      <c r="B2197" s="273"/>
      <c r="C2197" s="28" t="s">
        <v>3521</v>
      </c>
      <c r="D2197" s="71">
        <v>1730</v>
      </c>
      <c r="E2197" s="140">
        <f t="shared" si="607"/>
        <v>33220</v>
      </c>
      <c r="F2197" s="21">
        <f t="shared" si="628"/>
        <v>40196.199999999997</v>
      </c>
      <c r="G2197" s="44"/>
      <c r="H2197" s="135">
        <f t="shared" si="608"/>
        <v>0</v>
      </c>
      <c r="I2197" s="294">
        <v>45254</v>
      </c>
      <c r="J2197" s="294"/>
      <c r="K2197" s="10">
        <f>+PROVEEDORES!$D$38*25.02</f>
        <v>22142.7</v>
      </c>
      <c r="L2197" s="11"/>
      <c r="M2197" s="11"/>
      <c r="N2197" s="100"/>
      <c r="O2197" s="11">
        <f t="shared" si="629"/>
        <v>22142.7</v>
      </c>
      <c r="P2197" s="11">
        <f t="shared" si="609"/>
        <v>22142.7</v>
      </c>
      <c r="Q2197" s="11">
        <v>1.5</v>
      </c>
      <c r="R2197" s="11">
        <f t="shared" si="610"/>
        <v>33214.050000000003</v>
      </c>
      <c r="S2197" s="11"/>
      <c r="T2197" s="136">
        <f t="shared" si="630"/>
        <v>0</v>
      </c>
    </row>
    <row r="2198" spans="1:20" ht="15.75" customHeight="1">
      <c r="A2198" s="149">
        <v>97</v>
      </c>
      <c r="B2198" s="273"/>
      <c r="C2198" s="28" t="s">
        <v>3608</v>
      </c>
      <c r="D2198" s="71"/>
      <c r="E2198" s="131">
        <f t="shared" si="607"/>
        <v>2850</v>
      </c>
      <c r="F2198" s="21">
        <f t="shared" si="628"/>
        <v>3448.5</v>
      </c>
      <c r="G2198" s="21"/>
      <c r="H2198" s="135">
        <f t="shared" si="608"/>
        <v>0</v>
      </c>
      <c r="I2198" s="294"/>
      <c r="J2198" s="294">
        <v>44533</v>
      </c>
      <c r="K2198" s="10">
        <f>1458+120</f>
        <v>1578</v>
      </c>
      <c r="L2198" s="11"/>
      <c r="M2198" s="11"/>
      <c r="N2198" s="100"/>
      <c r="O2198" s="11">
        <f t="shared" si="629"/>
        <v>1578</v>
      </c>
      <c r="P2198" s="11">
        <f t="shared" si="609"/>
        <v>1578</v>
      </c>
      <c r="Q2198" s="11">
        <v>1.8</v>
      </c>
      <c r="R2198" s="11">
        <f t="shared" si="610"/>
        <v>2840.4</v>
      </c>
      <c r="S2198" s="11"/>
      <c r="T2198" s="136">
        <f t="shared" si="630"/>
        <v>0</v>
      </c>
    </row>
    <row r="2199" spans="1:20" ht="15.75" customHeight="1">
      <c r="A2199" s="149"/>
      <c r="B2199" s="273"/>
      <c r="C2199" s="28" t="s">
        <v>3463</v>
      </c>
      <c r="D2199" s="167">
        <v>510</v>
      </c>
      <c r="E2199" s="139">
        <f t="shared" si="607"/>
        <v>630</v>
      </c>
      <c r="F2199" s="21">
        <f t="shared" si="628"/>
        <v>762.3</v>
      </c>
      <c r="G2199" s="21"/>
      <c r="H2199" s="135">
        <f t="shared" si="608"/>
        <v>0</v>
      </c>
      <c r="I2199" s="294"/>
      <c r="J2199" s="294">
        <v>44433</v>
      </c>
      <c r="K2199" s="10">
        <f>0.7*0.9*617</f>
        <v>388.71</v>
      </c>
      <c r="L2199" s="11"/>
      <c r="M2199" s="11"/>
      <c r="N2199" s="100"/>
      <c r="O2199" s="11">
        <f t="shared" si="629"/>
        <v>388.71</v>
      </c>
      <c r="P2199" s="11">
        <f t="shared" si="609"/>
        <v>388.71</v>
      </c>
      <c r="Q2199" s="11">
        <v>1.6</v>
      </c>
      <c r="R2199" s="11">
        <f t="shared" si="610"/>
        <v>621.93600000000004</v>
      </c>
      <c r="S2199" s="11"/>
      <c r="T2199" s="136">
        <f t="shared" si="630"/>
        <v>0</v>
      </c>
    </row>
    <row r="2200" spans="1:20" ht="15.75" customHeight="1">
      <c r="A2200" s="149">
        <v>25</v>
      </c>
      <c r="B2200" s="273"/>
      <c r="C2200" s="28" t="s">
        <v>1835</v>
      </c>
      <c r="D2200" s="71">
        <v>700</v>
      </c>
      <c r="E2200" s="131">
        <f t="shared" si="607"/>
        <v>0</v>
      </c>
      <c r="F2200" s="21">
        <f t="shared" si="628"/>
        <v>0</v>
      </c>
      <c r="G2200" s="21"/>
      <c r="H2200" s="135">
        <f t="shared" si="608"/>
        <v>0</v>
      </c>
      <c r="I2200" s="294">
        <v>43530</v>
      </c>
      <c r="J2200" s="294"/>
      <c r="K2200" s="10">
        <f>465*1.5</f>
        <v>697.5</v>
      </c>
      <c r="L2200" s="11"/>
      <c r="M2200" s="11"/>
      <c r="N2200" s="100"/>
      <c r="O2200" s="11">
        <f t="shared" si="629"/>
        <v>697.5</v>
      </c>
      <c r="P2200" s="11">
        <f t="shared" si="609"/>
        <v>697.5</v>
      </c>
      <c r="Q2200" s="11"/>
      <c r="R2200" s="11">
        <f t="shared" si="610"/>
        <v>0</v>
      </c>
      <c r="S2200" s="11"/>
      <c r="T2200" s="136">
        <f t="shared" si="630"/>
        <v>0</v>
      </c>
    </row>
    <row r="2201" spans="1:20" ht="15.75" customHeight="1">
      <c r="A2201" s="149"/>
      <c r="B2201" s="273"/>
      <c r="C2201" s="28" t="s">
        <v>1838</v>
      </c>
      <c r="D2201" s="167">
        <v>510</v>
      </c>
      <c r="E2201" s="139">
        <f t="shared" si="607"/>
        <v>0</v>
      </c>
      <c r="F2201" s="21">
        <f t="shared" si="628"/>
        <v>0</v>
      </c>
      <c r="G2201" s="21"/>
      <c r="H2201" s="135">
        <f t="shared" si="608"/>
        <v>0</v>
      </c>
      <c r="I2201" s="294"/>
      <c r="J2201" s="294">
        <v>42807</v>
      </c>
      <c r="K2201" s="10">
        <f>198*1.8+150</f>
        <v>506.40000000000003</v>
      </c>
      <c r="L2201" s="11"/>
      <c r="M2201" s="11"/>
      <c r="N2201" s="100"/>
      <c r="O2201" s="11">
        <f t="shared" si="629"/>
        <v>506.40000000000003</v>
      </c>
      <c r="P2201" s="11">
        <f t="shared" si="609"/>
        <v>506.40000000000003</v>
      </c>
      <c r="Q2201" s="11"/>
      <c r="R2201" s="11">
        <f t="shared" si="610"/>
        <v>0</v>
      </c>
      <c r="S2201" s="11"/>
      <c r="T2201" s="136">
        <f t="shared" si="630"/>
        <v>0</v>
      </c>
    </row>
    <row r="2202" spans="1:20" ht="15.75" customHeight="1">
      <c r="A2202" s="149">
        <v>44</v>
      </c>
      <c r="B2202" s="273"/>
      <c r="C2202" s="28" t="s">
        <v>37230</v>
      </c>
      <c r="D2202" s="71"/>
      <c r="E2202" s="131">
        <f t="shared" si="607"/>
        <v>0</v>
      </c>
      <c r="F2202" s="21">
        <f t="shared" si="628"/>
        <v>0</v>
      </c>
      <c r="G2202" s="21"/>
      <c r="H2202" s="135">
        <f t="shared" si="608"/>
        <v>0</v>
      </c>
      <c r="I2202" s="294"/>
      <c r="J2202" s="294">
        <v>45188</v>
      </c>
      <c r="K2202" s="10">
        <f>+PROVEEDORES!D38*24</f>
        <v>21240</v>
      </c>
      <c r="L2202" s="11"/>
      <c r="M2202" s="11"/>
      <c r="N2202" s="100"/>
      <c r="O2202" s="11">
        <f t="shared" si="629"/>
        <v>21240</v>
      </c>
      <c r="P2202" s="11"/>
      <c r="Q2202" s="11">
        <v>1.8</v>
      </c>
      <c r="R2202" s="11">
        <f t="shared" si="610"/>
        <v>0</v>
      </c>
      <c r="S2202" s="11"/>
      <c r="T2202" s="136">
        <f t="shared" si="630"/>
        <v>0</v>
      </c>
    </row>
    <row r="2203" spans="1:20" ht="15.75" customHeight="1">
      <c r="A2203" s="149">
        <v>25</v>
      </c>
      <c r="B2203" s="273"/>
      <c r="C2203" s="28" t="s">
        <v>1836</v>
      </c>
      <c r="D2203" s="71">
        <v>920</v>
      </c>
      <c r="E2203" s="131">
        <f t="shared" ref="E2203:E2208" si="631">ROUNDUP(R2203,-1)</f>
        <v>2930</v>
      </c>
      <c r="F2203" s="21">
        <f t="shared" si="628"/>
        <v>3545.2999999999997</v>
      </c>
      <c r="G2203" s="21"/>
      <c r="H2203" s="135">
        <f t="shared" si="608"/>
        <v>0</v>
      </c>
      <c r="I2203" s="294">
        <v>44845</v>
      </c>
      <c r="J2203" s="294"/>
      <c r="K2203" s="10">
        <f>1300*1.5</f>
        <v>1950</v>
      </c>
      <c r="L2203" s="11"/>
      <c r="M2203" s="11"/>
      <c r="N2203" s="100"/>
      <c r="O2203" s="11">
        <f t="shared" si="629"/>
        <v>1950</v>
      </c>
      <c r="P2203" s="11">
        <f t="shared" si="609"/>
        <v>1950</v>
      </c>
      <c r="Q2203" s="11">
        <v>1.5</v>
      </c>
      <c r="R2203" s="11">
        <f t="shared" si="610"/>
        <v>2925</v>
      </c>
      <c r="S2203" s="11"/>
      <c r="T2203" s="136">
        <f t="shared" si="630"/>
        <v>0</v>
      </c>
    </row>
    <row r="2204" spans="1:20" ht="15.75" customHeight="1">
      <c r="A2204" s="149">
        <v>97</v>
      </c>
      <c r="B2204" s="273"/>
      <c r="C2204" s="28" t="s">
        <v>3609</v>
      </c>
      <c r="D2204" s="71"/>
      <c r="E2204" s="131">
        <f t="shared" si="631"/>
        <v>3270</v>
      </c>
      <c r="F2204" s="21">
        <f t="shared" si="628"/>
        <v>3956.7</v>
      </c>
      <c r="G2204" s="21"/>
      <c r="H2204" s="135">
        <f t="shared" si="608"/>
        <v>0</v>
      </c>
      <c r="I2204" s="294"/>
      <c r="J2204" s="294">
        <v>44533</v>
      </c>
      <c r="K2204" s="10">
        <f>1209*1.4+120</f>
        <v>1812.6</v>
      </c>
      <c r="L2204" s="11"/>
      <c r="M2204" s="11"/>
      <c r="N2204" s="100"/>
      <c r="O2204" s="11">
        <f t="shared" si="629"/>
        <v>1812.6</v>
      </c>
      <c r="P2204" s="11">
        <f t="shared" si="609"/>
        <v>1812.6</v>
      </c>
      <c r="Q2204" s="11">
        <v>1.8</v>
      </c>
      <c r="R2204" s="11">
        <f t="shared" si="610"/>
        <v>3262.68</v>
      </c>
      <c r="S2204" s="11"/>
      <c r="T2204" s="136">
        <f t="shared" si="630"/>
        <v>0</v>
      </c>
    </row>
    <row r="2205" spans="1:20" ht="15.75" customHeight="1">
      <c r="A2205" s="149">
        <v>25</v>
      </c>
      <c r="B2205" s="273"/>
      <c r="C2205" s="28" t="s">
        <v>1837</v>
      </c>
      <c r="D2205" s="71">
        <v>830</v>
      </c>
      <c r="E2205" s="131">
        <f t="shared" si="631"/>
        <v>26000</v>
      </c>
      <c r="F2205" s="21">
        <f t="shared" si="628"/>
        <v>31460</v>
      </c>
      <c r="G2205" s="21"/>
      <c r="H2205" s="135">
        <f t="shared" si="608"/>
        <v>0</v>
      </c>
      <c r="I2205" s="294">
        <v>43530</v>
      </c>
      <c r="J2205" s="294"/>
      <c r="K2205" s="10">
        <f>1300</f>
        <v>1300</v>
      </c>
      <c r="L2205" s="11"/>
      <c r="M2205" s="11"/>
      <c r="N2205" s="100"/>
      <c r="O2205" s="11">
        <f t="shared" si="629"/>
        <v>1300</v>
      </c>
      <c r="P2205" s="11">
        <f t="shared" si="609"/>
        <v>1300</v>
      </c>
      <c r="Q2205" s="11">
        <v>20</v>
      </c>
      <c r="R2205" s="11">
        <f t="shared" si="610"/>
        <v>26000</v>
      </c>
      <c r="S2205" s="11"/>
      <c r="T2205" s="136">
        <f t="shared" si="630"/>
        <v>0</v>
      </c>
    </row>
    <row r="2206" spans="1:20" ht="15.75" customHeight="1">
      <c r="A2206" s="149">
        <v>31</v>
      </c>
      <c r="B2206" s="273"/>
      <c r="C2206" s="28" t="s">
        <v>2118</v>
      </c>
      <c r="D2206" s="71">
        <v>1470</v>
      </c>
      <c r="E2206" s="131">
        <f t="shared" si="631"/>
        <v>0</v>
      </c>
      <c r="F2206" s="21">
        <f t="shared" si="628"/>
        <v>0</v>
      </c>
      <c r="G2206" s="21"/>
      <c r="H2206" s="135">
        <f t="shared" si="608"/>
        <v>0</v>
      </c>
      <c r="I2206" s="294"/>
      <c r="J2206" s="294">
        <v>43773</v>
      </c>
      <c r="K2206" s="10">
        <f>810*1.5*1.1*1.1*1.5</f>
        <v>2205.2250000000004</v>
      </c>
      <c r="L2206" s="11"/>
      <c r="M2206" s="11"/>
      <c r="N2206" s="100"/>
      <c r="O2206" s="11">
        <f t="shared" si="629"/>
        <v>2205.2250000000004</v>
      </c>
      <c r="P2206" s="11">
        <f t="shared" si="609"/>
        <v>2205.2250000000004</v>
      </c>
      <c r="Q2206" s="11"/>
      <c r="R2206" s="11">
        <f t="shared" si="610"/>
        <v>0</v>
      </c>
      <c r="S2206" s="11"/>
      <c r="T2206" s="136">
        <f t="shared" si="630"/>
        <v>0</v>
      </c>
    </row>
    <row r="2207" spans="1:20" ht="15.75" customHeight="1">
      <c r="A2207" s="149" t="s">
        <v>2557</v>
      </c>
      <c r="B2207" s="273"/>
      <c r="C2207" s="28" t="s">
        <v>44185</v>
      </c>
      <c r="D2207" s="71">
        <v>1710</v>
      </c>
      <c r="E2207" s="131">
        <f t="shared" si="631"/>
        <v>32390</v>
      </c>
      <c r="F2207" s="21">
        <f t="shared" si="628"/>
        <v>39191.9</v>
      </c>
      <c r="G2207" s="21"/>
      <c r="H2207" s="135">
        <f t="shared" si="608"/>
        <v>29450</v>
      </c>
      <c r="I2207" s="294">
        <v>45274</v>
      </c>
      <c r="J2207" s="294">
        <v>45378</v>
      </c>
      <c r="K2207" s="10"/>
      <c r="L2207" s="11">
        <f>0.6*34822</f>
        <v>20893.2</v>
      </c>
      <c r="M2207" s="11"/>
      <c r="N2207" s="100">
        <v>19000</v>
      </c>
      <c r="O2207" s="11">
        <f t="shared" si="629"/>
        <v>20893.2</v>
      </c>
      <c r="P2207" s="11">
        <f t="shared" si="609"/>
        <v>20893.2</v>
      </c>
      <c r="Q2207" s="11">
        <v>1.55</v>
      </c>
      <c r="R2207" s="11">
        <f t="shared" si="610"/>
        <v>32384.460000000003</v>
      </c>
      <c r="S2207" s="11"/>
      <c r="T2207" s="136">
        <f t="shared" si="630"/>
        <v>29450</v>
      </c>
    </row>
    <row r="2208" spans="1:20" ht="15.75" customHeight="1">
      <c r="A2208" s="149" t="s">
        <v>2557</v>
      </c>
      <c r="B2208" s="273"/>
      <c r="C2208" s="28" t="s">
        <v>44186</v>
      </c>
      <c r="D2208" s="71">
        <v>1710</v>
      </c>
      <c r="E2208" s="131">
        <f t="shared" si="631"/>
        <v>32390</v>
      </c>
      <c r="F2208" s="21">
        <f t="shared" si="628"/>
        <v>39191.9</v>
      </c>
      <c r="G2208" s="76"/>
      <c r="H2208" s="135">
        <f t="shared" si="608"/>
        <v>29450</v>
      </c>
      <c r="I2208" s="294">
        <v>45274</v>
      </c>
      <c r="J2208" s="294">
        <v>45378</v>
      </c>
      <c r="K2208" s="10"/>
      <c r="L2208" s="11">
        <f>0.6*34822</f>
        <v>20893.2</v>
      </c>
      <c r="M2208" s="11"/>
      <c r="N2208" s="100">
        <v>19000</v>
      </c>
      <c r="O2208" s="11">
        <f t="shared" si="629"/>
        <v>20893.2</v>
      </c>
      <c r="P2208" s="11">
        <f t="shared" si="609"/>
        <v>20893.2</v>
      </c>
      <c r="Q2208" s="11">
        <v>1.55</v>
      </c>
      <c r="R2208" s="11">
        <f t="shared" si="610"/>
        <v>32384.460000000003</v>
      </c>
      <c r="S2208" s="11"/>
      <c r="T2208" s="136">
        <f t="shared" si="630"/>
        <v>29450</v>
      </c>
    </row>
    <row r="2209" spans="1:20" ht="15.75" customHeight="1">
      <c r="A2209" s="149" t="s">
        <v>2557</v>
      </c>
      <c r="B2209" s="273"/>
      <c r="C2209" s="28" t="s">
        <v>44187</v>
      </c>
      <c r="D2209" s="71">
        <v>0</v>
      </c>
      <c r="E2209" s="131">
        <f>ROUNDUP(R2209,-1)</f>
        <v>48580</v>
      </c>
      <c r="F2209" s="21">
        <f t="shared" si="628"/>
        <v>58781.799999999996</v>
      </c>
      <c r="G2209" s="21"/>
      <c r="H2209" s="135">
        <f t="shared" si="608"/>
        <v>44950</v>
      </c>
      <c r="I2209" s="294">
        <v>45274</v>
      </c>
      <c r="J2209" s="294">
        <v>45378</v>
      </c>
      <c r="K2209" s="10"/>
      <c r="L2209" s="11">
        <f>0.6*52227</f>
        <v>31336.199999999997</v>
      </c>
      <c r="M2209" s="99"/>
      <c r="N2209" s="100">
        <v>29000</v>
      </c>
      <c r="O2209" s="11">
        <f t="shared" si="629"/>
        <v>31336.199999999997</v>
      </c>
      <c r="P2209" s="11">
        <f t="shared" si="609"/>
        <v>31336.199999999997</v>
      </c>
      <c r="Q2209" s="11">
        <v>1.55</v>
      </c>
      <c r="R2209" s="11">
        <f t="shared" si="610"/>
        <v>48571.109999999993</v>
      </c>
      <c r="S2209" s="11"/>
      <c r="T2209" s="136">
        <f t="shared" si="630"/>
        <v>44950</v>
      </c>
    </row>
    <row r="2210" spans="1:20" ht="15.75" customHeight="1">
      <c r="A2210" s="149" t="s">
        <v>2557</v>
      </c>
      <c r="B2210" s="273"/>
      <c r="C2210" s="28" t="s">
        <v>1839</v>
      </c>
      <c r="D2210" s="71">
        <v>0</v>
      </c>
      <c r="E2210" s="131">
        <f>ROUNDUP(R2210,-1)</f>
        <v>0</v>
      </c>
      <c r="F2210" s="21">
        <f t="shared" si="628"/>
        <v>0</v>
      </c>
      <c r="G2210" s="21"/>
      <c r="H2210" s="135">
        <f t="shared" si="608"/>
        <v>0</v>
      </c>
      <c r="I2210" s="294">
        <v>44497</v>
      </c>
      <c r="J2210" s="294"/>
      <c r="K2210" s="10">
        <f>0.65*8531</f>
        <v>5545.1500000000005</v>
      </c>
      <c r="L2210" s="11"/>
      <c r="M2210" s="99"/>
      <c r="N2210" s="100"/>
      <c r="O2210" s="11">
        <f t="shared" si="629"/>
        <v>5545.1500000000005</v>
      </c>
      <c r="P2210" s="11">
        <f t="shared" si="609"/>
        <v>5545.1500000000005</v>
      </c>
      <c r="Q2210" s="11"/>
      <c r="R2210" s="11">
        <f t="shared" si="610"/>
        <v>0</v>
      </c>
      <c r="S2210" s="11"/>
      <c r="T2210" s="136">
        <f t="shared" si="630"/>
        <v>0</v>
      </c>
    </row>
    <row r="2211" spans="1:20" ht="15.75" customHeight="1">
      <c r="A2211" s="149" t="s">
        <v>2557</v>
      </c>
      <c r="B2211" s="273"/>
      <c r="C2211" s="28" t="s">
        <v>44188</v>
      </c>
      <c r="D2211" s="71">
        <v>3420</v>
      </c>
      <c r="E2211" s="131">
        <f>ROUNDUP(R2211,-1)</f>
        <v>64360</v>
      </c>
      <c r="F2211" s="21">
        <f t="shared" si="628"/>
        <v>77875.599999999991</v>
      </c>
      <c r="G2211" s="21"/>
      <c r="H2211" s="135">
        <f t="shared" ref="H2211:H2268" si="632">ROUNDUP(T2211,-1)</f>
        <v>58900</v>
      </c>
      <c r="I2211" s="294">
        <v>45274</v>
      </c>
      <c r="J2211" s="294">
        <v>45378</v>
      </c>
      <c r="K2211" s="11">
        <f>0.65*18902*5</f>
        <v>61431.500000000007</v>
      </c>
      <c r="L2211" s="11">
        <f>0.6*69199</f>
        <v>41519.4</v>
      </c>
      <c r="M2211" s="11"/>
      <c r="N2211" s="100">
        <v>38000</v>
      </c>
      <c r="O2211" s="11">
        <f t="shared" si="629"/>
        <v>41519.4</v>
      </c>
      <c r="P2211" s="11">
        <f t="shared" si="609"/>
        <v>41519.4</v>
      </c>
      <c r="Q2211" s="11">
        <v>1.55</v>
      </c>
      <c r="R2211" s="11">
        <f t="shared" si="610"/>
        <v>64355.070000000007</v>
      </c>
      <c r="S2211" s="11"/>
      <c r="T2211" s="136">
        <f t="shared" si="630"/>
        <v>58900</v>
      </c>
    </row>
    <row r="2212" spans="1:20" ht="15.75" customHeight="1">
      <c r="A2212" s="149" t="s">
        <v>2557</v>
      </c>
      <c r="B2212" s="273"/>
      <c r="C2212" s="28" t="s">
        <v>44189</v>
      </c>
      <c r="D2212" s="71">
        <v>3420</v>
      </c>
      <c r="E2212" s="131">
        <f t="shared" ref="E2212:E2268" si="633">ROUNDUP(R2212,-1)</f>
        <v>64360</v>
      </c>
      <c r="F2212" s="21">
        <f t="shared" si="628"/>
        <v>77875.599999999991</v>
      </c>
      <c r="G2212" s="21"/>
      <c r="H2212" s="135">
        <f t="shared" si="632"/>
        <v>58900</v>
      </c>
      <c r="I2212" s="294">
        <v>45274</v>
      </c>
      <c r="J2212" s="294">
        <v>45378</v>
      </c>
      <c r="K2212" s="11">
        <f>0.65*18902*5</f>
        <v>61431.500000000007</v>
      </c>
      <c r="L2212" s="11">
        <f>0.6*69199</f>
        <v>41519.4</v>
      </c>
      <c r="M2212" s="11"/>
      <c r="N2212" s="100">
        <v>38000</v>
      </c>
      <c r="O2212" s="11">
        <f t="shared" si="629"/>
        <v>41519.4</v>
      </c>
      <c r="P2212" s="11">
        <f t="shared" si="609"/>
        <v>41519.4</v>
      </c>
      <c r="Q2212" s="11">
        <v>1.55</v>
      </c>
      <c r="R2212" s="11">
        <f t="shared" si="610"/>
        <v>64355.070000000007</v>
      </c>
      <c r="S2212" s="11"/>
      <c r="T2212" s="136">
        <f t="shared" si="630"/>
        <v>58900</v>
      </c>
    </row>
    <row r="2213" spans="1:20" ht="15.75" customHeight="1">
      <c r="A2213" s="149"/>
      <c r="B2213" s="273"/>
      <c r="C2213" s="28" t="s">
        <v>2234</v>
      </c>
      <c r="D2213" s="71">
        <v>1060</v>
      </c>
      <c r="E2213" s="131">
        <f t="shared" si="633"/>
        <v>6870</v>
      </c>
      <c r="F2213" s="21">
        <f t="shared" si="628"/>
        <v>8312.6999999999989</v>
      </c>
      <c r="G2213" s="21"/>
      <c r="H2213" s="135">
        <f t="shared" si="632"/>
        <v>0</v>
      </c>
      <c r="I2213" s="294"/>
      <c r="J2213" s="294">
        <v>45126</v>
      </c>
      <c r="K2213" s="10">
        <f>3064*1.4</f>
        <v>4289.5999999999995</v>
      </c>
      <c r="L2213" s="11"/>
      <c r="M2213" s="11"/>
      <c r="N2213" s="100"/>
      <c r="O2213" s="11">
        <f>MIN(K2213:M2213)*'AUMENTOS %'!$B$9</f>
        <v>4289.5999999999995</v>
      </c>
      <c r="P2213" s="11">
        <f t="shared" ref="P2213:P2263" si="634">+O2213</f>
        <v>4289.5999999999995</v>
      </c>
      <c r="Q2213" s="11">
        <v>1.6</v>
      </c>
      <c r="R2213" s="11">
        <f t="shared" ref="R2213:R2268" si="635">+P2213*Q2213</f>
        <v>6863.36</v>
      </c>
      <c r="S2213" s="11"/>
      <c r="T2213" s="136">
        <f t="shared" si="630"/>
        <v>0</v>
      </c>
    </row>
    <row r="2214" spans="1:20" ht="15.75" customHeight="1">
      <c r="A2214" s="149"/>
      <c r="B2214" s="273"/>
      <c r="C2214" s="28" t="s">
        <v>3815</v>
      </c>
      <c r="D2214" s="71">
        <v>1060</v>
      </c>
      <c r="E2214" s="131">
        <f t="shared" si="633"/>
        <v>1430</v>
      </c>
      <c r="F2214" s="21">
        <f t="shared" si="628"/>
        <v>1730.3</v>
      </c>
      <c r="G2214" s="21"/>
      <c r="H2214" s="135">
        <f t="shared" si="632"/>
        <v>0</v>
      </c>
      <c r="I2214" s="294"/>
      <c r="J2214" s="294">
        <v>44755</v>
      </c>
      <c r="K2214" s="10">
        <v>892</v>
      </c>
      <c r="L2214" s="11"/>
      <c r="M2214" s="11"/>
      <c r="N2214" s="100"/>
      <c r="O2214" s="11">
        <f>MIN(K2214:M2214)*'AUMENTOS %'!$B$9</f>
        <v>892</v>
      </c>
      <c r="P2214" s="11">
        <f t="shared" si="634"/>
        <v>892</v>
      </c>
      <c r="Q2214" s="11">
        <v>1.6</v>
      </c>
      <c r="R2214" s="11">
        <f t="shared" si="635"/>
        <v>1427.2</v>
      </c>
      <c r="S2214" s="11"/>
      <c r="T2214" s="136">
        <f t="shared" si="630"/>
        <v>0</v>
      </c>
    </row>
    <row r="2215" spans="1:20" ht="15.75" customHeight="1">
      <c r="A2215" s="149">
        <v>87</v>
      </c>
      <c r="B2215" s="273"/>
      <c r="C2215" s="28" t="s">
        <v>1840</v>
      </c>
      <c r="D2215" s="71">
        <v>200</v>
      </c>
      <c r="E2215" s="131">
        <f t="shared" si="633"/>
        <v>8800</v>
      </c>
      <c r="F2215" s="21">
        <f t="shared" si="628"/>
        <v>10648</v>
      </c>
      <c r="G2215" s="21"/>
      <c r="H2215" s="135">
        <f t="shared" si="632"/>
        <v>0</v>
      </c>
      <c r="I2215" s="294">
        <v>45323</v>
      </c>
      <c r="J2215" s="294"/>
      <c r="K2215" s="10">
        <v>5500</v>
      </c>
      <c r="L2215" s="11"/>
      <c r="M2215" s="11"/>
      <c r="N2215" s="100"/>
      <c r="O2215" s="11">
        <f t="shared" si="629"/>
        <v>5500</v>
      </c>
      <c r="P2215" s="11">
        <f t="shared" si="634"/>
        <v>5500</v>
      </c>
      <c r="Q2215" s="11">
        <v>1.6</v>
      </c>
      <c r="R2215" s="11">
        <f t="shared" si="635"/>
        <v>8800</v>
      </c>
      <c r="S2215" s="11"/>
      <c r="T2215" s="136">
        <f t="shared" si="630"/>
        <v>0</v>
      </c>
    </row>
    <row r="2216" spans="1:20" ht="15.75" customHeight="1">
      <c r="A2216" s="149"/>
      <c r="B2216" s="273"/>
      <c r="C2216" s="28" t="s">
        <v>2202</v>
      </c>
      <c r="D2216" s="71">
        <v>1250</v>
      </c>
      <c r="E2216" s="131">
        <f t="shared" si="633"/>
        <v>0</v>
      </c>
      <c r="F2216" s="21">
        <f t="shared" si="628"/>
        <v>0</v>
      </c>
      <c r="G2216" s="21"/>
      <c r="H2216" s="135">
        <f t="shared" si="632"/>
        <v>0</v>
      </c>
      <c r="I2216" s="294">
        <v>43873</v>
      </c>
      <c r="J2216" s="294"/>
      <c r="K2216" s="10">
        <f>1323*0.7*0.9*1.5</f>
        <v>1250.2349999999999</v>
      </c>
      <c r="L2216" s="11"/>
      <c r="M2216" s="11"/>
      <c r="N2216" s="100"/>
      <c r="O2216" s="11">
        <f t="shared" si="629"/>
        <v>1250.2349999999999</v>
      </c>
      <c r="P2216" s="11">
        <f t="shared" si="634"/>
        <v>1250.2349999999999</v>
      </c>
      <c r="Q2216" s="11"/>
      <c r="R2216" s="11">
        <f t="shared" si="635"/>
        <v>0</v>
      </c>
      <c r="S2216" s="11"/>
      <c r="T2216" s="136">
        <f t="shared" si="630"/>
        <v>0</v>
      </c>
    </row>
    <row r="2217" spans="1:20" ht="15.75" customHeight="1">
      <c r="A2217" s="149"/>
      <c r="B2217" s="273"/>
      <c r="C2217" s="28" t="s">
        <v>2201</v>
      </c>
      <c r="D2217" s="71">
        <v>1590</v>
      </c>
      <c r="E2217" s="131">
        <f t="shared" si="633"/>
        <v>0</v>
      </c>
      <c r="F2217" s="21">
        <f t="shared" si="628"/>
        <v>0</v>
      </c>
      <c r="G2217" s="21"/>
      <c r="H2217" s="135">
        <f t="shared" si="632"/>
        <v>0</v>
      </c>
      <c r="I2217" s="294">
        <v>43873</v>
      </c>
      <c r="J2217" s="294"/>
      <c r="K2217" s="10">
        <f>1680*0.7*0.9*1.5</f>
        <v>1587.6000000000001</v>
      </c>
      <c r="L2217" s="11"/>
      <c r="M2217" s="11"/>
      <c r="N2217" s="100"/>
      <c r="O2217" s="11">
        <f t="shared" si="629"/>
        <v>1587.6000000000001</v>
      </c>
      <c r="P2217" s="11">
        <f t="shared" si="634"/>
        <v>1587.6000000000001</v>
      </c>
      <c r="Q2217" s="11"/>
      <c r="R2217" s="11">
        <f t="shared" si="635"/>
        <v>0</v>
      </c>
      <c r="S2217" s="11"/>
      <c r="T2217" s="136">
        <f t="shared" si="630"/>
        <v>0</v>
      </c>
    </row>
    <row r="2218" spans="1:20" ht="15.75" customHeight="1">
      <c r="A2218" s="149"/>
      <c r="B2218" s="273"/>
      <c r="C2218" s="28" t="s">
        <v>2203</v>
      </c>
      <c r="D2218" s="71">
        <v>800</v>
      </c>
      <c r="E2218" s="131">
        <f t="shared" si="633"/>
        <v>0</v>
      </c>
      <c r="F2218" s="21">
        <f t="shared" si="628"/>
        <v>0</v>
      </c>
      <c r="G2218" s="21"/>
      <c r="H2218" s="135">
        <f t="shared" si="632"/>
        <v>0</v>
      </c>
      <c r="I2218" s="294">
        <v>43873</v>
      </c>
      <c r="J2218" s="294"/>
      <c r="K2218" s="10">
        <f>844*0.7*0.9*1.5</f>
        <v>797.58</v>
      </c>
      <c r="L2218" s="11"/>
      <c r="M2218" s="11"/>
      <c r="N2218" s="100"/>
      <c r="O2218" s="11">
        <f t="shared" si="629"/>
        <v>797.58</v>
      </c>
      <c r="P2218" s="11">
        <f t="shared" si="634"/>
        <v>797.58</v>
      </c>
      <c r="Q2218" s="11"/>
      <c r="R2218" s="11">
        <f t="shared" si="635"/>
        <v>0</v>
      </c>
      <c r="S2218" s="11"/>
      <c r="T2218" s="136">
        <f t="shared" si="630"/>
        <v>0</v>
      </c>
    </row>
    <row r="2219" spans="1:20" ht="15.75" customHeight="1">
      <c r="A2219" s="149">
        <v>23</v>
      </c>
      <c r="B2219" s="273"/>
      <c r="C2219" s="28" t="s">
        <v>3870</v>
      </c>
      <c r="D2219" s="71">
        <v>320</v>
      </c>
      <c r="E2219" s="131">
        <f t="shared" si="633"/>
        <v>7700</v>
      </c>
      <c r="F2219" s="21">
        <f t="shared" si="628"/>
        <v>9317</v>
      </c>
      <c r="G2219" s="21"/>
      <c r="H2219" s="135">
        <f t="shared" si="632"/>
        <v>0</v>
      </c>
      <c r="I2219" s="294">
        <v>45351</v>
      </c>
      <c r="J2219" s="294"/>
      <c r="K2219" s="134">
        <f>0.75*6032</f>
        <v>4524</v>
      </c>
      <c r="L2219" s="11"/>
      <c r="M2219" s="11"/>
      <c r="N2219" s="100"/>
      <c r="O2219" s="11">
        <f t="shared" si="629"/>
        <v>4524</v>
      </c>
      <c r="P2219" s="11">
        <f t="shared" si="634"/>
        <v>4524</v>
      </c>
      <c r="Q2219" s="11">
        <v>1.7</v>
      </c>
      <c r="R2219" s="11">
        <f t="shared" si="635"/>
        <v>7690.8</v>
      </c>
      <c r="S2219" s="11"/>
      <c r="T2219" s="136">
        <f t="shared" si="630"/>
        <v>0</v>
      </c>
    </row>
    <row r="2220" spans="1:20" ht="15.75" customHeight="1">
      <c r="A2220" s="149"/>
      <c r="B2220" s="273"/>
      <c r="C2220" s="28" t="s">
        <v>1843</v>
      </c>
      <c r="D2220" s="71">
        <v>2860</v>
      </c>
      <c r="E2220" s="131">
        <f t="shared" si="633"/>
        <v>0</v>
      </c>
      <c r="F2220" s="21">
        <f t="shared" si="628"/>
        <v>0</v>
      </c>
      <c r="G2220" s="21"/>
      <c r="H2220" s="135">
        <f t="shared" si="632"/>
        <v>0</v>
      </c>
      <c r="I2220" s="294"/>
      <c r="J2220" s="294">
        <v>43595</v>
      </c>
      <c r="K2220" s="10">
        <f>1901*1.5</f>
        <v>2851.5</v>
      </c>
      <c r="L2220" s="11"/>
      <c r="M2220" s="11"/>
      <c r="N2220" s="100"/>
      <c r="O2220" s="11">
        <f t="shared" si="629"/>
        <v>2851.5</v>
      </c>
      <c r="P2220" s="11">
        <f>+O2220*'AUMENTOS %'!$D$12</f>
        <v>2851.5</v>
      </c>
      <c r="Q2220" s="11"/>
      <c r="R2220" s="11">
        <f t="shared" si="635"/>
        <v>0</v>
      </c>
      <c r="S2220" s="11"/>
      <c r="T2220" s="136">
        <f t="shared" si="630"/>
        <v>0</v>
      </c>
    </row>
    <row r="2221" spans="1:20" ht="15.75" customHeight="1">
      <c r="A2221" s="149"/>
      <c r="B2221" s="273"/>
      <c r="C2221" s="28" t="s">
        <v>3613</v>
      </c>
      <c r="D2221" s="71">
        <v>13880</v>
      </c>
      <c r="E2221" s="131">
        <f t="shared" si="633"/>
        <v>89040</v>
      </c>
      <c r="F2221" s="21">
        <f t="shared" ref="F2221:F2249" si="636">+E2221*1.21</f>
        <v>107738.4</v>
      </c>
      <c r="G2221" s="21"/>
      <c r="H2221" s="135">
        <f t="shared" si="632"/>
        <v>0</v>
      </c>
      <c r="I2221" s="294"/>
      <c r="J2221" s="294">
        <v>45243</v>
      </c>
      <c r="K2221" s="10">
        <v>55646</v>
      </c>
      <c r="L2221" s="11"/>
      <c r="M2221" s="11"/>
      <c r="N2221" s="100"/>
      <c r="O2221" s="11">
        <f>MIN(K2221:M2221)*'AUMENTOS %'!$B$9</f>
        <v>55646</v>
      </c>
      <c r="P2221" s="11">
        <f t="shared" si="634"/>
        <v>55646</v>
      </c>
      <c r="Q2221" s="11">
        <v>1.6</v>
      </c>
      <c r="R2221" s="11">
        <f t="shared" si="635"/>
        <v>89033.600000000006</v>
      </c>
      <c r="S2221" s="11"/>
      <c r="T2221" s="136">
        <f t="shared" si="630"/>
        <v>0</v>
      </c>
    </row>
    <row r="2222" spans="1:20" ht="15.75" customHeight="1">
      <c r="A2222" s="149"/>
      <c r="B2222" s="273"/>
      <c r="C2222" s="28" t="s">
        <v>4549</v>
      </c>
      <c r="D2222" s="71">
        <v>13880</v>
      </c>
      <c r="E2222" s="131">
        <f t="shared" si="633"/>
        <v>20500</v>
      </c>
      <c r="F2222" s="21">
        <f t="shared" si="636"/>
        <v>24805</v>
      </c>
      <c r="G2222" s="21"/>
      <c r="H2222" s="135">
        <f t="shared" si="632"/>
        <v>0</v>
      </c>
      <c r="I2222" s="294"/>
      <c r="J2222" s="294">
        <v>45146</v>
      </c>
      <c r="K2222" s="10">
        <f>15500/1.21</f>
        <v>12809.917355371901</v>
      </c>
      <c r="L2222" s="11"/>
      <c r="M2222" s="11"/>
      <c r="N2222" s="100"/>
      <c r="O2222" s="11">
        <f>MIN(K2222:M2222)*'AUMENTOS %'!$B$9</f>
        <v>12809.917355371901</v>
      </c>
      <c r="P2222" s="11">
        <f t="shared" si="634"/>
        <v>12809.917355371901</v>
      </c>
      <c r="Q2222" s="11">
        <v>1.6</v>
      </c>
      <c r="R2222" s="11">
        <f t="shared" si="635"/>
        <v>20495.867768595042</v>
      </c>
      <c r="S2222" s="11"/>
      <c r="T2222" s="136">
        <f t="shared" si="630"/>
        <v>0</v>
      </c>
    </row>
    <row r="2223" spans="1:20" ht="15.75" customHeight="1">
      <c r="A2223" s="149"/>
      <c r="B2223" s="273"/>
      <c r="C2223" s="28" t="s">
        <v>3730</v>
      </c>
      <c r="D2223" s="71">
        <v>13880</v>
      </c>
      <c r="E2223" s="131">
        <f>ROUNDUP(R2223,-1)</f>
        <v>13740</v>
      </c>
      <c r="F2223" s="21">
        <f>+E2223*1.21</f>
        <v>16625.399999999998</v>
      </c>
      <c r="G2223" s="21"/>
      <c r="H2223" s="135">
        <f>ROUNDUP(T2223,-1)</f>
        <v>0</v>
      </c>
      <c r="I2223" s="294"/>
      <c r="J2223" s="294">
        <v>44642</v>
      </c>
      <c r="K2223" s="10">
        <v>8585</v>
      </c>
      <c r="L2223" s="11"/>
      <c r="M2223" s="11"/>
      <c r="N2223" s="100"/>
      <c r="O2223" s="11">
        <f>MIN(K2223:M2223)*'AUMENTOS %'!$B$9</f>
        <v>8585</v>
      </c>
      <c r="P2223" s="11">
        <f>+O2223</f>
        <v>8585</v>
      </c>
      <c r="Q2223" s="11">
        <v>1.6</v>
      </c>
      <c r="R2223" s="11">
        <f>+P2223*Q2223</f>
        <v>13736</v>
      </c>
      <c r="S2223" s="11"/>
      <c r="T2223" s="136">
        <f>+N2223*Q2223</f>
        <v>0</v>
      </c>
    </row>
    <row r="2224" spans="1:20" ht="15.75" customHeight="1">
      <c r="A2224" s="149">
        <v>87</v>
      </c>
      <c r="B2224" s="273"/>
      <c r="C2224" s="28" t="s">
        <v>2875</v>
      </c>
      <c r="D2224" s="71">
        <v>1600</v>
      </c>
      <c r="E2224" s="131">
        <f t="shared" si="633"/>
        <v>22400</v>
      </c>
      <c r="F2224" s="21">
        <f t="shared" si="636"/>
        <v>27104</v>
      </c>
      <c r="G2224" s="21"/>
      <c r="H2224" s="135">
        <f t="shared" si="632"/>
        <v>0</v>
      </c>
      <c r="I2224" s="294">
        <v>45377</v>
      </c>
      <c r="J2224" s="294"/>
      <c r="K2224" s="10">
        <f>10000*2</f>
        <v>20000</v>
      </c>
      <c r="L2224" s="11">
        <v>14000</v>
      </c>
      <c r="M2224" s="11"/>
      <c r="N2224" s="100"/>
      <c r="O2224" s="11">
        <f t="shared" si="629"/>
        <v>14000</v>
      </c>
      <c r="P2224" s="11">
        <f t="shared" si="634"/>
        <v>14000</v>
      </c>
      <c r="Q2224" s="11">
        <v>1.6</v>
      </c>
      <c r="R2224" s="11">
        <f t="shared" si="635"/>
        <v>22400</v>
      </c>
      <c r="S2224" s="11"/>
      <c r="T2224" s="136">
        <f t="shared" si="630"/>
        <v>0</v>
      </c>
    </row>
    <row r="2225" spans="1:20" ht="15.75" customHeight="1">
      <c r="A2225" s="149">
        <v>87</v>
      </c>
      <c r="B2225" s="273"/>
      <c r="C2225" s="28" t="s">
        <v>2874</v>
      </c>
      <c r="D2225" s="71"/>
      <c r="E2225" s="131">
        <f t="shared" si="633"/>
        <v>24000</v>
      </c>
      <c r="F2225" s="21">
        <f t="shared" si="636"/>
        <v>29040</v>
      </c>
      <c r="G2225" s="21"/>
      <c r="H2225" s="135">
        <f t="shared" si="632"/>
        <v>0</v>
      </c>
      <c r="I2225" s="294">
        <v>45323</v>
      </c>
      <c r="J2225" s="294"/>
      <c r="K2225" s="10">
        <v>15000</v>
      </c>
      <c r="L2225" s="11"/>
      <c r="M2225" s="11"/>
      <c r="N2225" s="100"/>
      <c r="O2225" s="11">
        <f t="shared" si="629"/>
        <v>15000</v>
      </c>
      <c r="P2225" s="11">
        <f t="shared" si="634"/>
        <v>15000</v>
      </c>
      <c r="Q2225" s="11">
        <v>1.6</v>
      </c>
      <c r="R2225" s="11">
        <f t="shared" si="635"/>
        <v>24000</v>
      </c>
      <c r="S2225" s="11"/>
      <c r="T2225" s="136">
        <f t="shared" si="630"/>
        <v>0</v>
      </c>
    </row>
    <row r="2226" spans="1:20" ht="15.75" customHeight="1">
      <c r="A2226" s="149"/>
      <c r="B2226" s="273"/>
      <c r="C2226" s="28" t="s">
        <v>4183</v>
      </c>
      <c r="D2226" s="71">
        <v>1000</v>
      </c>
      <c r="E2226" s="131">
        <f t="shared" si="633"/>
        <v>8320</v>
      </c>
      <c r="F2226" s="21">
        <f t="shared" si="636"/>
        <v>10067.199999999999</v>
      </c>
      <c r="G2226" s="21"/>
      <c r="H2226" s="135">
        <f t="shared" si="632"/>
        <v>0</v>
      </c>
      <c r="I2226" s="294"/>
      <c r="J2226" s="294">
        <v>44999</v>
      </c>
      <c r="K2226" s="10">
        <v>5200</v>
      </c>
      <c r="L2226" s="11"/>
      <c r="M2226" s="11"/>
      <c r="N2226" s="100"/>
      <c r="O2226" s="11">
        <f t="shared" si="629"/>
        <v>5200</v>
      </c>
      <c r="P2226" s="11">
        <f t="shared" si="634"/>
        <v>5200</v>
      </c>
      <c r="Q2226" s="11">
        <v>1.6</v>
      </c>
      <c r="R2226" s="11">
        <f t="shared" si="635"/>
        <v>8320</v>
      </c>
      <c r="S2226" s="11"/>
      <c r="T2226" s="136">
        <f t="shared" si="630"/>
        <v>0</v>
      </c>
    </row>
    <row r="2227" spans="1:20" ht="15.75" customHeight="1">
      <c r="A2227" s="149"/>
      <c r="B2227" s="273"/>
      <c r="C2227" s="28" t="s">
        <v>4186</v>
      </c>
      <c r="D2227" s="71">
        <v>1000</v>
      </c>
      <c r="E2227" s="131">
        <f>ROUNDUP(R2227,-1)</f>
        <v>8800</v>
      </c>
      <c r="F2227" s="21">
        <f>+E2227*1.21</f>
        <v>10648</v>
      </c>
      <c r="G2227" s="21"/>
      <c r="H2227" s="135">
        <f>ROUNDUP(T2227,-1)</f>
        <v>0</v>
      </c>
      <c r="I2227" s="294"/>
      <c r="J2227" s="294">
        <v>45002</v>
      </c>
      <c r="K2227" s="10">
        <v>5500</v>
      </c>
      <c r="L2227" s="11"/>
      <c r="M2227" s="11"/>
      <c r="N2227" s="100"/>
      <c r="O2227" s="11">
        <f>MIN(K2227:M2227)</f>
        <v>5500</v>
      </c>
      <c r="P2227" s="11">
        <f t="shared" si="634"/>
        <v>5500</v>
      </c>
      <c r="Q2227" s="11">
        <v>1.6</v>
      </c>
      <c r="R2227" s="11">
        <f t="shared" si="635"/>
        <v>8800</v>
      </c>
      <c r="S2227" s="11"/>
      <c r="T2227" s="136">
        <f>+N2227*Q2227</f>
        <v>0</v>
      </c>
    </row>
    <row r="2228" spans="1:20" ht="15.75" customHeight="1">
      <c r="A2228" s="149"/>
      <c r="B2228" s="273"/>
      <c r="C2228" s="28" t="s">
        <v>4187</v>
      </c>
      <c r="D2228" s="71">
        <v>1000</v>
      </c>
      <c r="E2228" s="131">
        <f>ROUNDUP(R2228,-1)</f>
        <v>15360</v>
      </c>
      <c r="F2228" s="21">
        <f>+E2228*1.21</f>
        <v>18585.599999999999</v>
      </c>
      <c r="G2228" s="21"/>
      <c r="H2228" s="135">
        <f>ROUNDUP(T2228,-1)</f>
        <v>0</v>
      </c>
      <c r="I2228" s="294"/>
      <c r="J2228" s="294">
        <v>45002</v>
      </c>
      <c r="K2228" s="10">
        <f>8000*1.2</f>
        <v>9600</v>
      </c>
      <c r="L2228" s="11"/>
      <c r="M2228" s="11"/>
      <c r="N2228" s="100"/>
      <c r="O2228" s="11">
        <f>MIN(K2228:M2228)</f>
        <v>9600</v>
      </c>
      <c r="P2228" s="11">
        <f t="shared" si="634"/>
        <v>9600</v>
      </c>
      <c r="Q2228" s="11">
        <v>1.6</v>
      </c>
      <c r="R2228" s="11">
        <f t="shared" si="635"/>
        <v>15360</v>
      </c>
      <c r="S2228" s="11"/>
      <c r="T2228" s="136">
        <f>+N2228*Q2228</f>
        <v>0</v>
      </c>
    </row>
    <row r="2229" spans="1:20" ht="15.75" customHeight="1">
      <c r="A2229" s="149"/>
      <c r="B2229" s="273"/>
      <c r="C2229" s="28" t="s">
        <v>1841</v>
      </c>
      <c r="D2229" s="71">
        <v>1110</v>
      </c>
      <c r="E2229" s="131">
        <f t="shared" si="633"/>
        <v>0</v>
      </c>
      <c r="F2229" s="21">
        <f t="shared" si="636"/>
        <v>0</v>
      </c>
      <c r="G2229" s="21"/>
      <c r="H2229" s="135">
        <f t="shared" si="632"/>
        <v>0</v>
      </c>
      <c r="I2229" s="294"/>
      <c r="J2229" s="294">
        <v>43546</v>
      </c>
      <c r="K2229" s="10">
        <f>650*1.7</f>
        <v>1105</v>
      </c>
      <c r="L2229" s="11"/>
      <c r="M2229" s="11"/>
      <c r="N2229" s="100"/>
      <c r="O2229" s="11">
        <f t="shared" si="629"/>
        <v>1105</v>
      </c>
      <c r="P2229" s="11">
        <f t="shared" si="634"/>
        <v>1105</v>
      </c>
      <c r="Q2229" s="11"/>
      <c r="R2229" s="11">
        <f t="shared" si="635"/>
        <v>0</v>
      </c>
      <c r="S2229" s="11"/>
      <c r="T2229" s="136">
        <f t="shared" si="630"/>
        <v>0</v>
      </c>
    </row>
    <row r="2230" spans="1:20" ht="15.75" customHeight="1">
      <c r="A2230" s="149"/>
      <c r="B2230" s="273"/>
      <c r="C2230" s="28" t="s">
        <v>1842</v>
      </c>
      <c r="D2230" s="71">
        <v>20</v>
      </c>
      <c r="E2230" s="131">
        <f t="shared" si="633"/>
        <v>0</v>
      </c>
      <c r="F2230" s="21">
        <f t="shared" si="636"/>
        <v>0</v>
      </c>
      <c r="G2230" s="21"/>
      <c r="H2230" s="135">
        <f t="shared" si="632"/>
        <v>0</v>
      </c>
      <c r="I2230" s="294"/>
      <c r="J2230" s="294"/>
      <c r="K2230" s="10"/>
      <c r="L2230" s="11"/>
      <c r="M2230" s="11"/>
      <c r="N2230" s="100"/>
      <c r="O2230" s="11">
        <f t="shared" si="629"/>
        <v>0</v>
      </c>
      <c r="P2230" s="11">
        <f t="shared" si="634"/>
        <v>0</v>
      </c>
      <c r="Q2230" s="11"/>
      <c r="R2230" s="11">
        <f t="shared" si="635"/>
        <v>0</v>
      </c>
      <c r="S2230" s="11"/>
      <c r="T2230" s="136">
        <f t="shared" si="630"/>
        <v>0</v>
      </c>
    </row>
    <row r="2231" spans="1:20" ht="15.75" customHeight="1">
      <c r="A2231" s="149">
        <v>42</v>
      </c>
      <c r="B2231" s="273"/>
      <c r="C2231" s="28" t="s">
        <v>4119</v>
      </c>
      <c r="D2231" s="71">
        <v>25</v>
      </c>
      <c r="E2231" s="131">
        <f t="shared" si="633"/>
        <v>870</v>
      </c>
      <c r="F2231" s="21">
        <f t="shared" si="636"/>
        <v>1052.7</v>
      </c>
      <c r="G2231" s="21"/>
      <c r="H2231" s="135">
        <f t="shared" si="632"/>
        <v>750</v>
      </c>
      <c r="I2231" s="294"/>
      <c r="J2231" s="294">
        <v>45387</v>
      </c>
      <c r="K2231" s="10">
        <f>+PROVEEDORES!D36*0.65</f>
        <v>575.25</v>
      </c>
      <c r="L2231" s="11"/>
      <c r="M2231" s="11"/>
      <c r="N2231" s="100">
        <v>495</v>
      </c>
      <c r="O2231" s="11">
        <f t="shared" si="629"/>
        <v>575.25</v>
      </c>
      <c r="P2231" s="11">
        <f t="shared" si="634"/>
        <v>575.25</v>
      </c>
      <c r="Q2231" s="11">
        <v>1.5</v>
      </c>
      <c r="R2231" s="11">
        <f t="shared" si="635"/>
        <v>862.875</v>
      </c>
      <c r="S2231" s="11"/>
      <c r="T2231" s="136">
        <f t="shared" si="630"/>
        <v>742.5</v>
      </c>
    </row>
    <row r="2232" spans="1:20" ht="15.75" customHeight="1">
      <c r="A2232" s="149">
        <v>39</v>
      </c>
      <c r="B2232" s="273"/>
      <c r="C2232" s="28" t="s">
        <v>2181</v>
      </c>
      <c r="D2232" s="71">
        <v>11700</v>
      </c>
      <c r="E2232" s="131">
        <f t="shared" si="633"/>
        <v>0</v>
      </c>
      <c r="F2232" s="21">
        <f t="shared" si="636"/>
        <v>0</v>
      </c>
      <c r="G2232" s="21"/>
      <c r="H2232" s="135">
        <f t="shared" si="632"/>
        <v>0</v>
      </c>
      <c r="I2232" s="294">
        <v>44655</v>
      </c>
      <c r="J2232" s="294"/>
      <c r="K2232" s="10">
        <f>23000*0.85*1.1</f>
        <v>21505</v>
      </c>
      <c r="L2232" s="11"/>
      <c r="M2232" s="11"/>
      <c r="N2232" s="100"/>
      <c r="O2232" s="11">
        <f t="shared" si="629"/>
        <v>21505</v>
      </c>
      <c r="P2232" s="11">
        <f t="shared" si="634"/>
        <v>21505</v>
      </c>
      <c r="Q2232" s="11"/>
      <c r="R2232" s="11">
        <f t="shared" si="635"/>
        <v>0</v>
      </c>
      <c r="S2232" s="11"/>
      <c r="T2232" s="136">
        <f t="shared" si="630"/>
        <v>0</v>
      </c>
    </row>
    <row r="2233" spans="1:20" ht="15.75" customHeight="1">
      <c r="A2233" s="149">
        <v>12</v>
      </c>
      <c r="B2233" s="273"/>
      <c r="C2233" s="28" t="s">
        <v>4546</v>
      </c>
      <c r="D2233" s="71">
        <v>230</v>
      </c>
      <c r="E2233" s="131">
        <f t="shared" si="633"/>
        <v>36980</v>
      </c>
      <c r="F2233" s="21">
        <f t="shared" si="636"/>
        <v>44745.799999999996</v>
      </c>
      <c r="G2233" s="21"/>
      <c r="H2233" s="135">
        <f t="shared" si="632"/>
        <v>0</v>
      </c>
      <c r="I2233" s="294">
        <v>45274</v>
      </c>
      <c r="J2233" s="294">
        <v>45338</v>
      </c>
      <c r="K2233" s="10">
        <v>24650</v>
      </c>
      <c r="L2233" s="11"/>
      <c r="M2233" s="11"/>
      <c r="N2233" s="100"/>
      <c r="O2233" s="11">
        <f t="shared" si="629"/>
        <v>24650</v>
      </c>
      <c r="P2233" s="11">
        <f t="shared" si="634"/>
        <v>24650</v>
      </c>
      <c r="Q2233" s="11">
        <v>1.5</v>
      </c>
      <c r="R2233" s="11">
        <f t="shared" si="635"/>
        <v>36975</v>
      </c>
      <c r="S2233" s="11"/>
      <c r="T2233" s="136">
        <f t="shared" si="630"/>
        <v>0</v>
      </c>
    </row>
    <row r="2234" spans="1:20" ht="15.75" customHeight="1">
      <c r="A2234" s="149"/>
      <c r="B2234" s="273"/>
      <c r="C2234" s="28" t="s">
        <v>2280</v>
      </c>
      <c r="D2234" s="71">
        <v>43200</v>
      </c>
      <c r="E2234" s="131">
        <f t="shared" si="633"/>
        <v>0</v>
      </c>
      <c r="F2234" s="21">
        <f t="shared" si="636"/>
        <v>0</v>
      </c>
      <c r="G2234" s="21"/>
      <c r="H2234" s="135">
        <f t="shared" si="632"/>
        <v>0</v>
      </c>
      <c r="I2234" s="294"/>
      <c r="J2234" s="294">
        <v>44027</v>
      </c>
      <c r="K2234" s="10">
        <v>35000</v>
      </c>
      <c r="L2234" s="11"/>
      <c r="M2234" s="11"/>
      <c r="N2234" s="100"/>
      <c r="O2234" s="11">
        <f t="shared" si="629"/>
        <v>35000</v>
      </c>
      <c r="P2234" s="11">
        <f t="shared" si="634"/>
        <v>35000</v>
      </c>
      <c r="Q2234" s="11"/>
      <c r="R2234" s="11">
        <f t="shared" si="635"/>
        <v>0</v>
      </c>
      <c r="S2234" s="11"/>
      <c r="T2234" s="136">
        <f t="shared" si="630"/>
        <v>0</v>
      </c>
    </row>
    <row r="2235" spans="1:20" ht="15.75" customHeight="1">
      <c r="A2235" s="149" t="s">
        <v>4528</v>
      </c>
      <c r="B2235" s="273"/>
      <c r="C2235" s="28" t="s">
        <v>1844</v>
      </c>
      <c r="D2235" s="71">
        <v>20</v>
      </c>
      <c r="E2235" s="131">
        <f t="shared" si="633"/>
        <v>780</v>
      </c>
      <c r="F2235" s="21">
        <f t="shared" si="636"/>
        <v>943.8</v>
      </c>
      <c r="G2235" s="21"/>
      <c r="H2235" s="135">
        <f t="shared" si="632"/>
        <v>730</v>
      </c>
      <c r="I2235" s="294">
        <v>45383</v>
      </c>
      <c r="J2235" s="40"/>
      <c r="K2235" s="10">
        <f>0.6*54*10*1.2</f>
        <v>388.8</v>
      </c>
      <c r="L2235" s="11">
        <f>0.4*PROVEEDORES!$D$26*1.05*2</f>
        <v>743.4</v>
      </c>
      <c r="M2235" s="11">
        <f>0.54*0.9*PROVEEDORES!$J$29*0.95*1.2</f>
        <v>490.32539999999995</v>
      </c>
      <c r="N2235" s="11">
        <f>0.54*0.9*1.06*705</f>
        <v>363.18780000000004</v>
      </c>
      <c r="O2235" s="11">
        <f t="shared" si="629"/>
        <v>388.8</v>
      </c>
      <c r="P2235" s="11">
        <f t="shared" si="634"/>
        <v>388.8</v>
      </c>
      <c r="Q2235" s="11">
        <v>2</v>
      </c>
      <c r="R2235" s="11">
        <f t="shared" si="635"/>
        <v>777.6</v>
      </c>
      <c r="S2235" s="11"/>
      <c r="T2235" s="136">
        <f t="shared" si="630"/>
        <v>726.37560000000008</v>
      </c>
    </row>
    <row r="2236" spans="1:20" ht="15.75" customHeight="1">
      <c r="A2236" s="149" t="s">
        <v>4529</v>
      </c>
      <c r="B2236" s="273"/>
      <c r="C2236" s="28" t="s">
        <v>4513</v>
      </c>
      <c r="D2236" s="71">
        <v>20</v>
      </c>
      <c r="E2236" s="131">
        <f>ROUNDUP(R2236,-1)</f>
        <v>920</v>
      </c>
      <c r="F2236" s="21">
        <f>+E2236*1.21</f>
        <v>1113.2</v>
      </c>
      <c r="G2236" s="21" t="s">
        <v>2357</v>
      </c>
      <c r="H2236" s="135">
        <f>ROUNDUP(T2236,-1)</f>
        <v>710</v>
      </c>
      <c r="I2236" s="294">
        <v>45383</v>
      </c>
      <c r="J2236" s="40"/>
      <c r="K2236" s="10">
        <f>0.6*85*10</f>
        <v>510</v>
      </c>
      <c r="L2236" s="11">
        <f>0.48*PROVEEDORES!$D$26*2</f>
        <v>849.6</v>
      </c>
      <c r="M2236" s="11">
        <f>0.54*0.9*PROVEEDORES!$J$29*1*1.25</f>
        <v>537.63750000000005</v>
      </c>
      <c r="N2236" s="11">
        <f>0.54*0.9*1.06*763</f>
        <v>393.06708000000003</v>
      </c>
      <c r="O2236" s="11">
        <f>MIN(K2236:L2236)</f>
        <v>510</v>
      </c>
      <c r="P2236" s="11">
        <f t="shared" si="634"/>
        <v>510</v>
      </c>
      <c r="Q2236" s="11">
        <v>1.8</v>
      </c>
      <c r="R2236" s="11">
        <f t="shared" si="635"/>
        <v>918</v>
      </c>
      <c r="S2236" s="11"/>
      <c r="T2236" s="136">
        <f>+N2236*Q2236</f>
        <v>707.52074400000004</v>
      </c>
    </row>
    <row r="2237" spans="1:20" ht="15.75" customHeight="1">
      <c r="A2237" s="149" t="s">
        <v>4528</v>
      </c>
      <c r="B2237" s="273"/>
      <c r="C2237" s="28" t="s">
        <v>1845</v>
      </c>
      <c r="D2237" s="71">
        <v>40</v>
      </c>
      <c r="E2237" s="131">
        <f t="shared" si="633"/>
        <v>1540</v>
      </c>
      <c r="F2237" s="21">
        <f t="shared" si="636"/>
        <v>1863.3999999999999</v>
      </c>
      <c r="G2237" s="44"/>
      <c r="H2237" s="135">
        <f t="shared" si="632"/>
        <v>1290</v>
      </c>
      <c r="I2237" s="294">
        <v>45383</v>
      </c>
      <c r="J2237" s="40"/>
      <c r="K2237" s="11">
        <f>0.6*142*10</f>
        <v>852</v>
      </c>
      <c r="L2237" s="11">
        <f>0.85*PROVEEDORES!$D$26*2</f>
        <v>1504.5</v>
      </c>
      <c r="M2237" s="11">
        <f>0.54*0.9*PROVEEDORES!$J$29*1.8*1.25</f>
        <v>967.74750000000017</v>
      </c>
      <c r="N2237" s="11">
        <f>0.54*0.9*1.06*1385</f>
        <v>713.49660000000006</v>
      </c>
      <c r="O2237" s="11">
        <f>MIN(K2237:L2237)</f>
        <v>852</v>
      </c>
      <c r="P2237" s="11">
        <f t="shared" si="634"/>
        <v>852</v>
      </c>
      <c r="Q2237" s="11">
        <v>1.8</v>
      </c>
      <c r="R2237" s="11">
        <f t="shared" si="635"/>
        <v>1533.6000000000001</v>
      </c>
      <c r="S2237" s="11"/>
      <c r="T2237" s="136">
        <f>+N2237*Q2237</f>
        <v>1284.2938800000002</v>
      </c>
    </row>
    <row r="2238" spans="1:20" ht="15.75" customHeight="1">
      <c r="A2238" s="149" t="s">
        <v>4528</v>
      </c>
      <c r="B2238" s="273"/>
      <c r="C2238" s="28" t="s">
        <v>1846</v>
      </c>
      <c r="D2238" s="71">
        <v>80</v>
      </c>
      <c r="E2238" s="131">
        <f>ROUNDUP(R2238,-1)</f>
        <v>2310</v>
      </c>
      <c r="F2238" s="21">
        <f>+E2238*1.21</f>
        <v>2795.1</v>
      </c>
      <c r="G2238" s="21"/>
      <c r="H2238" s="135">
        <f>ROUNDUP(T2238,-1)</f>
        <v>2270</v>
      </c>
      <c r="I2238" s="294">
        <v>45383</v>
      </c>
      <c r="J2238" s="40"/>
      <c r="K2238" s="11">
        <f>0.6*274*6*1.3</f>
        <v>1282.3200000000002</v>
      </c>
      <c r="L2238" s="11">
        <f>1.2*PROVEEDORES!$D$26*2</f>
        <v>2124</v>
      </c>
      <c r="M2238" s="11">
        <f>0.54*0.9*PROVEEDORES!$J$29*3.15*1.25</f>
        <v>1693.558125</v>
      </c>
      <c r="N2238" s="11">
        <f>0.54*0.9*1.06*2446</f>
        <v>1260.0813600000001</v>
      </c>
      <c r="O2238" s="11">
        <f>MIN(K2238:L2238)</f>
        <v>1282.3200000000002</v>
      </c>
      <c r="P2238" s="11">
        <f t="shared" si="634"/>
        <v>1282.3200000000002</v>
      </c>
      <c r="Q2238" s="11">
        <v>1.8</v>
      </c>
      <c r="R2238" s="11">
        <f t="shared" si="635"/>
        <v>2308.1760000000004</v>
      </c>
      <c r="S2238" s="11"/>
      <c r="T2238" s="136">
        <f>+N2238*Q2238</f>
        <v>2268.1464480000004</v>
      </c>
    </row>
    <row r="2239" spans="1:20" ht="15.75" customHeight="1">
      <c r="A2239" s="149"/>
      <c r="B2239" s="273"/>
      <c r="C2239" s="28" t="s">
        <v>2823</v>
      </c>
      <c r="D2239" s="71">
        <v>2550</v>
      </c>
      <c r="E2239" s="131">
        <f t="shared" si="633"/>
        <v>45750</v>
      </c>
      <c r="F2239" s="21">
        <f t="shared" si="636"/>
        <v>55357.5</v>
      </c>
      <c r="G2239" s="21"/>
      <c r="H2239" s="135">
        <f t="shared" si="632"/>
        <v>0</v>
      </c>
      <c r="I2239" s="294">
        <v>45301</v>
      </c>
      <c r="J2239" s="294"/>
      <c r="K2239" s="32">
        <f>(500+30000)</f>
        <v>30500</v>
      </c>
      <c r="L2239" s="73"/>
      <c r="M2239" s="73"/>
      <c r="N2239" s="100"/>
      <c r="O2239" s="11">
        <f t="shared" si="629"/>
        <v>30500</v>
      </c>
      <c r="P2239" s="11">
        <f t="shared" si="634"/>
        <v>30500</v>
      </c>
      <c r="Q2239" s="11">
        <v>1.5</v>
      </c>
      <c r="R2239" s="11">
        <f t="shared" si="635"/>
        <v>45750</v>
      </c>
      <c r="S2239" s="11"/>
      <c r="T2239" s="136">
        <f t="shared" si="630"/>
        <v>0</v>
      </c>
    </row>
    <row r="2240" spans="1:20" ht="15.75" customHeight="1">
      <c r="A2240" s="149">
        <v>79</v>
      </c>
      <c r="B2240" s="273"/>
      <c r="C2240" s="28" t="s">
        <v>2265</v>
      </c>
      <c r="D2240" s="71">
        <v>4140</v>
      </c>
      <c r="E2240" s="131">
        <f t="shared" si="633"/>
        <v>0</v>
      </c>
      <c r="F2240" s="21">
        <f t="shared" si="636"/>
        <v>0</v>
      </c>
      <c r="G2240" s="21"/>
      <c r="H2240" s="135">
        <f t="shared" si="632"/>
        <v>0</v>
      </c>
      <c r="I2240" s="294">
        <v>43972</v>
      </c>
      <c r="J2240" s="294"/>
      <c r="K2240" s="32">
        <f>3405*0.9*1.35</f>
        <v>4137.0749999999998</v>
      </c>
      <c r="L2240" s="73"/>
      <c r="M2240" s="73"/>
      <c r="N2240" s="100"/>
      <c r="O2240" s="11">
        <f t="shared" si="629"/>
        <v>4137.0749999999998</v>
      </c>
      <c r="P2240" s="11">
        <f t="shared" si="634"/>
        <v>4137.0749999999998</v>
      </c>
      <c r="Q2240" s="11"/>
      <c r="R2240" s="11">
        <f t="shared" si="635"/>
        <v>0</v>
      </c>
      <c r="S2240" s="11"/>
      <c r="T2240" s="136">
        <f t="shared" si="630"/>
        <v>0</v>
      </c>
    </row>
    <row r="2241" spans="1:20" ht="15.75" customHeight="1">
      <c r="A2241" s="149" t="s">
        <v>2442</v>
      </c>
      <c r="B2241" s="273"/>
      <c r="C2241" s="28" t="s">
        <v>1847</v>
      </c>
      <c r="D2241" s="71">
        <v>380</v>
      </c>
      <c r="E2241" s="131">
        <f t="shared" si="633"/>
        <v>13840</v>
      </c>
      <c r="F2241" s="21">
        <f t="shared" si="636"/>
        <v>16746.399999999998</v>
      </c>
      <c r="G2241" s="21"/>
      <c r="H2241" s="135">
        <f t="shared" si="632"/>
        <v>0</v>
      </c>
      <c r="I2241" s="294">
        <v>45286</v>
      </c>
      <c r="J2241" s="294">
        <v>45329</v>
      </c>
      <c r="K2241" s="10">
        <f>PROVEEDORES!D8*9.6*2</f>
        <v>16992</v>
      </c>
      <c r="L2241" s="10">
        <f>PROVEEDORES!D23*9.77</f>
        <v>8646.4499999999989</v>
      </c>
      <c r="M2241" s="10"/>
      <c r="N2241" s="100"/>
      <c r="O2241" s="11">
        <f t="shared" si="629"/>
        <v>8646.4499999999989</v>
      </c>
      <c r="P2241" s="11">
        <f t="shared" si="634"/>
        <v>8646.4499999999989</v>
      </c>
      <c r="Q2241" s="11">
        <v>1.6</v>
      </c>
      <c r="R2241" s="11">
        <f t="shared" si="635"/>
        <v>13834.32</v>
      </c>
      <c r="S2241" s="11"/>
      <c r="T2241" s="136">
        <f t="shared" si="630"/>
        <v>0</v>
      </c>
    </row>
    <row r="2242" spans="1:20" ht="15.75" customHeight="1">
      <c r="A2242" s="149"/>
      <c r="B2242" s="273"/>
      <c r="C2242" s="28" t="s">
        <v>1848</v>
      </c>
      <c r="D2242" s="71">
        <v>400</v>
      </c>
      <c r="E2242" s="131">
        <f t="shared" si="633"/>
        <v>0</v>
      </c>
      <c r="F2242" s="21">
        <f t="shared" si="636"/>
        <v>0</v>
      </c>
      <c r="G2242" s="21"/>
      <c r="H2242" s="135">
        <f t="shared" si="632"/>
        <v>0</v>
      </c>
      <c r="I2242" s="294"/>
      <c r="J2242" s="294"/>
      <c r="K2242" s="11">
        <f>270*1.5</f>
        <v>405</v>
      </c>
      <c r="L2242" s="10"/>
      <c r="M2242" s="10"/>
      <c r="N2242" s="100"/>
      <c r="O2242" s="11">
        <f t="shared" si="629"/>
        <v>405</v>
      </c>
      <c r="P2242" s="11">
        <f t="shared" si="634"/>
        <v>405</v>
      </c>
      <c r="Q2242" s="11"/>
      <c r="R2242" s="11">
        <f t="shared" si="635"/>
        <v>0</v>
      </c>
      <c r="S2242" s="11"/>
      <c r="T2242" s="136">
        <f t="shared" si="630"/>
        <v>0</v>
      </c>
    </row>
    <row r="2243" spans="1:20" ht="15.75" customHeight="1">
      <c r="A2243" s="149"/>
      <c r="B2243" s="273"/>
      <c r="C2243" s="28" t="s">
        <v>1849</v>
      </c>
      <c r="D2243" s="71">
        <v>500</v>
      </c>
      <c r="E2243" s="131">
        <f t="shared" si="633"/>
        <v>0</v>
      </c>
      <c r="F2243" s="21">
        <f t="shared" si="636"/>
        <v>0</v>
      </c>
      <c r="G2243" s="21"/>
      <c r="H2243" s="135">
        <f t="shared" si="632"/>
        <v>0</v>
      </c>
      <c r="I2243" s="294">
        <v>43138</v>
      </c>
      <c r="J2243" s="294"/>
      <c r="K2243" s="11">
        <f>335*1.5</f>
        <v>502.5</v>
      </c>
      <c r="L2243" s="10"/>
      <c r="M2243" s="10"/>
      <c r="N2243" s="100"/>
      <c r="O2243" s="11">
        <f t="shared" si="629"/>
        <v>502.5</v>
      </c>
      <c r="P2243" s="11">
        <f t="shared" si="634"/>
        <v>502.5</v>
      </c>
      <c r="Q2243" s="11"/>
      <c r="R2243" s="11">
        <f t="shared" si="635"/>
        <v>0</v>
      </c>
      <c r="S2243" s="11"/>
      <c r="T2243" s="136">
        <f t="shared" si="630"/>
        <v>0</v>
      </c>
    </row>
    <row r="2244" spans="1:20" ht="15.75" customHeight="1">
      <c r="A2244" s="149">
        <v>29</v>
      </c>
      <c r="B2244" s="273"/>
      <c r="C2244" s="28" t="s">
        <v>4527</v>
      </c>
      <c r="D2244" s="71">
        <v>1030</v>
      </c>
      <c r="E2244" s="131">
        <f t="shared" si="633"/>
        <v>35820</v>
      </c>
      <c r="F2244" s="21">
        <f t="shared" si="636"/>
        <v>43342.2</v>
      </c>
      <c r="G2244" s="21"/>
      <c r="H2244" s="135">
        <f t="shared" si="632"/>
        <v>0</v>
      </c>
      <c r="I2244" s="294">
        <v>45286</v>
      </c>
      <c r="J2244" s="294">
        <v>45343</v>
      </c>
      <c r="K2244" s="10">
        <f>+PROVEEDORES!D23*(9.63+17.35)</f>
        <v>23877.300000000003</v>
      </c>
      <c r="L2244" s="10"/>
      <c r="M2244" s="11"/>
      <c r="N2244" s="100"/>
      <c r="O2244" s="11">
        <f t="shared" si="629"/>
        <v>23877.300000000003</v>
      </c>
      <c r="P2244" s="11">
        <f t="shared" si="634"/>
        <v>23877.300000000003</v>
      </c>
      <c r="Q2244" s="11">
        <v>1.5</v>
      </c>
      <c r="R2244" s="11">
        <f t="shared" si="635"/>
        <v>35815.950000000004</v>
      </c>
      <c r="S2244" s="11"/>
      <c r="T2244" s="136">
        <f t="shared" si="630"/>
        <v>0</v>
      </c>
    </row>
    <row r="2245" spans="1:20" ht="15.75" customHeight="1">
      <c r="A2245" s="149"/>
      <c r="B2245" s="273"/>
      <c r="C2245" s="28" t="s">
        <v>1850</v>
      </c>
      <c r="D2245" s="71">
        <v>800</v>
      </c>
      <c r="E2245" s="131">
        <f t="shared" si="633"/>
        <v>0</v>
      </c>
      <c r="F2245" s="21">
        <f t="shared" si="636"/>
        <v>0</v>
      </c>
      <c r="G2245" s="21"/>
      <c r="H2245" s="135">
        <f t="shared" si="632"/>
        <v>0</v>
      </c>
      <c r="I2245" s="294"/>
      <c r="J2245" s="294">
        <v>43860</v>
      </c>
      <c r="K2245" s="11">
        <f>546*1.45</f>
        <v>791.69999999999993</v>
      </c>
      <c r="L2245" s="10"/>
      <c r="M2245" s="10"/>
      <c r="N2245" s="100"/>
      <c r="O2245" s="11">
        <f t="shared" si="629"/>
        <v>791.69999999999993</v>
      </c>
      <c r="P2245" s="11">
        <f t="shared" si="634"/>
        <v>791.69999999999993</v>
      </c>
      <c r="Q2245" s="11"/>
      <c r="R2245" s="11">
        <f t="shared" si="635"/>
        <v>0</v>
      </c>
      <c r="S2245" s="11"/>
      <c r="T2245" s="136">
        <f t="shared" si="630"/>
        <v>0</v>
      </c>
    </row>
    <row r="2246" spans="1:20" ht="15.75" customHeight="1">
      <c r="A2246" s="149">
        <v>29</v>
      </c>
      <c r="B2246" s="273"/>
      <c r="C2246" s="28" t="s">
        <v>4486</v>
      </c>
      <c r="D2246" s="71">
        <v>2390</v>
      </c>
      <c r="E2246" s="131">
        <f t="shared" si="633"/>
        <v>0</v>
      </c>
      <c r="F2246" s="21">
        <f t="shared" si="636"/>
        <v>0</v>
      </c>
      <c r="G2246" s="21"/>
      <c r="H2246" s="135">
        <f t="shared" si="632"/>
        <v>0</v>
      </c>
      <c r="I2246" s="294">
        <v>45156</v>
      </c>
      <c r="J2246" s="294"/>
      <c r="K2246" s="10"/>
      <c r="L2246" s="11"/>
      <c r="M2246" s="11"/>
      <c r="N2246" s="100"/>
      <c r="O2246" s="11">
        <f t="shared" si="629"/>
        <v>0</v>
      </c>
      <c r="P2246" s="11">
        <f t="shared" si="634"/>
        <v>0</v>
      </c>
      <c r="Q2246" s="11">
        <v>1.6</v>
      </c>
      <c r="R2246" s="11">
        <f t="shared" si="635"/>
        <v>0</v>
      </c>
      <c r="S2246" s="11"/>
      <c r="T2246" s="136">
        <f t="shared" si="630"/>
        <v>0</v>
      </c>
    </row>
    <row r="2247" spans="1:20" ht="15.75" customHeight="1">
      <c r="A2247" s="149">
        <v>14</v>
      </c>
      <c r="B2247" s="273"/>
      <c r="C2247" s="28" t="s">
        <v>2242</v>
      </c>
      <c r="D2247" s="71">
        <v>290</v>
      </c>
      <c r="E2247" s="131">
        <f t="shared" si="633"/>
        <v>0</v>
      </c>
      <c r="F2247" s="21">
        <f t="shared" si="636"/>
        <v>0</v>
      </c>
      <c r="G2247" s="21"/>
      <c r="H2247" s="135">
        <f t="shared" si="632"/>
        <v>0</v>
      </c>
      <c r="I2247" s="294"/>
      <c r="J2247" s="294"/>
      <c r="K2247" s="10">
        <f>190*1.5</f>
        <v>285</v>
      </c>
      <c r="L2247" s="11"/>
      <c r="M2247" s="11"/>
      <c r="N2247" s="100"/>
      <c r="O2247" s="11">
        <f t="shared" si="629"/>
        <v>285</v>
      </c>
      <c r="P2247" s="11">
        <f t="shared" si="634"/>
        <v>285</v>
      </c>
      <c r="Q2247" s="11"/>
      <c r="R2247" s="11">
        <f t="shared" si="635"/>
        <v>0</v>
      </c>
      <c r="S2247" s="11"/>
      <c r="T2247" s="136">
        <f t="shared" si="630"/>
        <v>0</v>
      </c>
    </row>
    <row r="2248" spans="1:20" ht="15.75" customHeight="1">
      <c r="A2248" s="149">
        <v>24</v>
      </c>
      <c r="B2248" s="273"/>
      <c r="C2248" s="28" t="s">
        <v>2575</v>
      </c>
      <c r="D2248" s="71"/>
      <c r="E2248" s="131">
        <f t="shared" si="633"/>
        <v>0</v>
      </c>
      <c r="F2248" s="21">
        <f t="shared" si="636"/>
        <v>0</v>
      </c>
      <c r="G2248" s="21"/>
      <c r="H2248" s="135">
        <f t="shared" si="632"/>
        <v>0</v>
      </c>
      <c r="I2248" s="294"/>
      <c r="J2248" s="294">
        <v>44036</v>
      </c>
      <c r="K2248" s="10">
        <f>596*0.5</f>
        <v>298</v>
      </c>
      <c r="L2248" s="11"/>
      <c r="M2248" s="11"/>
      <c r="N2248" s="100"/>
      <c r="O2248" s="11">
        <f t="shared" si="629"/>
        <v>298</v>
      </c>
      <c r="P2248" s="11">
        <f t="shared" si="634"/>
        <v>298</v>
      </c>
      <c r="Q2248" s="11"/>
      <c r="R2248" s="11">
        <f t="shared" si="635"/>
        <v>0</v>
      </c>
      <c r="S2248" s="11"/>
      <c r="T2248" s="136">
        <f t="shared" si="630"/>
        <v>0</v>
      </c>
    </row>
    <row r="2249" spans="1:20" ht="15.75" customHeight="1">
      <c r="A2249" s="149">
        <v>36</v>
      </c>
      <c r="B2249" s="273"/>
      <c r="C2249" s="28" t="s">
        <v>2243</v>
      </c>
      <c r="D2249" s="71"/>
      <c r="E2249" s="131">
        <f t="shared" si="633"/>
        <v>0</v>
      </c>
      <c r="F2249" s="21">
        <f t="shared" si="636"/>
        <v>0</v>
      </c>
      <c r="G2249" s="21"/>
      <c r="H2249" s="135">
        <f t="shared" si="632"/>
        <v>0</v>
      </c>
      <c r="I2249" s="294">
        <v>44594</v>
      </c>
      <c r="J2249" s="294"/>
      <c r="K2249" s="10">
        <f>0.8*308*2</f>
        <v>492.8</v>
      </c>
      <c r="L2249" s="11"/>
      <c r="M2249" s="11"/>
      <c r="N2249" s="100"/>
      <c r="O2249" s="11">
        <f t="shared" si="629"/>
        <v>492.8</v>
      </c>
      <c r="P2249" s="11">
        <f t="shared" si="634"/>
        <v>492.8</v>
      </c>
      <c r="Q2249" s="11"/>
      <c r="R2249" s="11">
        <f t="shared" si="635"/>
        <v>0</v>
      </c>
      <c r="S2249" s="11"/>
      <c r="T2249" s="136">
        <f t="shared" si="630"/>
        <v>0</v>
      </c>
    </row>
    <row r="2250" spans="1:20" ht="15.75" customHeight="1">
      <c r="A2250" s="149">
        <v>36</v>
      </c>
      <c r="B2250" s="273"/>
      <c r="C2250" s="28" t="s">
        <v>2574</v>
      </c>
      <c r="D2250" s="71"/>
      <c r="E2250" s="131">
        <f t="shared" si="633"/>
        <v>0</v>
      </c>
      <c r="F2250" s="21">
        <f t="shared" ref="F2250:F2282" si="637">+E2250*1.21</f>
        <v>0</v>
      </c>
      <c r="G2250" s="21"/>
      <c r="H2250" s="135">
        <f t="shared" si="632"/>
        <v>0</v>
      </c>
      <c r="I2250" s="294">
        <v>44594</v>
      </c>
      <c r="J2250" s="294"/>
      <c r="K2250" s="10">
        <f>0.8*471</f>
        <v>376.8</v>
      </c>
      <c r="L2250" s="11"/>
      <c r="M2250" s="11"/>
      <c r="N2250" s="100"/>
      <c r="O2250" s="11">
        <f t="shared" ref="O2250:O2317" si="638">MIN(K2250:M2250)</f>
        <v>376.8</v>
      </c>
      <c r="P2250" s="11">
        <f t="shared" si="634"/>
        <v>376.8</v>
      </c>
      <c r="Q2250" s="11"/>
      <c r="R2250" s="11">
        <f t="shared" si="635"/>
        <v>0</v>
      </c>
      <c r="S2250" s="11"/>
      <c r="T2250" s="136">
        <f t="shared" si="630"/>
        <v>0</v>
      </c>
    </row>
    <row r="2251" spans="1:20" ht="15.75" customHeight="1">
      <c r="A2251" s="149">
        <v>48</v>
      </c>
      <c r="B2251" s="273"/>
      <c r="C2251" s="28" t="s">
        <v>2275</v>
      </c>
      <c r="D2251" s="71">
        <v>190</v>
      </c>
      <c r="E2251" s="131">
        <f t="shared" si="633"/>
        <v>0</v>
      </c>
      <c r="F2251" s="21">
        <f t="shared" si="637"/>
        <v>0</v>
      </c>
      <c r="G2251" s="21"/>
      <c r="H2251" s="135">
        <f t="shared" si="632"/>
        <v>0</v>
      </c>
      <c r="I2251" s="294"/>
      <c r="J2251" s="294">
        <v>44000</v>
      </c>
      <c r="K2251" s="10">
        <f>125*1.5</f>
        <v>187.5</v>
      </c>
      <c r="L2251" s="11"/>
      <c r="M2251" s="196"/>
      <c r="N2251" s="100"/>
      <c r="O2251" s="11">
        <f t="shared" si="638"/>
        <v>187.5</v>
      </c>
      <c r="P2251" s="11">
        <f t="shared" si="634"/>
        <v>187.5</v>
      </c>
      <c r="Q2251" s="11"/>
      <c r="R2251" s="11">
        <f t="shared" si="635"/>
        <v>0</v>
      </c>
      <c r="S2251" s="11"/>
      <c r="T2251" s="136">
        <f t="shared" ref="T2251:T2318" si="639">+N2251*Q2251</f>
        <v>0</v>
      </c>
    </row>
    <row r="2252" spans="1:20" ht="15.75" customHeight="1">
      <c r="A2252" s="149">
        <v>51</v>
      </c>
      <c r="B2252" s="273"/>
      <c r="C2252" s="28" t="s">
        <v>62614</v>
      </c>
      <c r="D2252" s="71">
        <v>4430</v>
      </c>
      <c r="E2252" s="199">
        <f t="shared" si="633"/>
        <v>91430</v>
      </c>
      <c r="F2252" s="21">
        <f t="shared" si="637"/>
        <v>110630.3</v>
      </c>
      <c r="G2252" s="21"/>
      <c r="H2252" s="135">
        <f t="shared" si="632"/>
        <v>0</v>
      </c>
      <c r="I2252" s="294">
        <v>45383</v>
      </c>
      <c r="J2252" s="294"/>
      <c r="K2252" s="10">
        <f>0.85*71704</f>
        <v>60948.4</v>
      </c>
      <c r="L2252" s="11"/>
      <c r="M2252" s="11"/>
      <c r="N2252" s="100"/>
      <c r="O2252" s="11">
        <f t="shared" si="638"/>
        <v>60948.4</v>
      </c>
      <c r="P2252" s="11">
        <f t="shared" si="634"/>
        <v>60948.4</v>
      </c>
      <c r="Q2252" s="11">
        <v>1.5</v>
      </c>
      <c r="R2252" s="11">
        <f t="shared" si="635"/>
        <v>91422.6</v>
      </c>
      <c r="S2252" s="11"/>
      <c r="T2252" s="136">
        <f t="shared" si="639"/>
        <v>0</v>
      </c>
    </row>
    <row r="2253" spans="1:20" ht="15.75" customHeight="1">
      <c r="A2253" s="149" t="s">
        <v>2387</v>
      </c>
      <c r="B2253" s="273">
        <f>ROUNDUP(E2253*1.105,-1)</f>
        <v>126510</v>
      </c>
      <c r="C2253" s="28" t="s">
        <v>1851</v>
      </c>
      <c r="D2253" s="71">
        <v>10510</v>
      </c>
      <c r="E2253" s="131">
        <f t="shared" si="633"/>
        <v>114480</v>
      </c>
      <c r="F2253" s="21">
        <f t="shared" si="637"/>
        <v>138520.79999999999</v>
      </c>
      <c r="G2253" s="21"/>
      <c r="H2253" s="135">
        <f t="shared" si="632"/>
        <v>0</v>
      </c>
      <c r="I2253" s="294">
        <v>45173</v>
      </c>
      <c r="J2253" s="294">
        <v>45175</v>
      </c>
      <c r="K2253" s="10">
        <f>'AUMENTOS %'!D13*0.5*157900</f>
        <v>78950</v>
      </c>
      <c r="L2253" s="11">
        <f>+'AUMENTOS %'!C13*68186*2</f>
        <v>136372</v>
      </c>
      <c r="M2253" s="11"/>
      <c r="N2253" s="100"/>
      <c r="O2253" s="11">
        <f t="shared" si="638"/>
        <v>78950</v>
      </c>
      <c r="P2253" s="11">
        <f>+O2253*'AUMENTOS %'!D13</f>
        <v>78950</v>
      </c>
      <c r="Q2253" s="11">
        <v>1.45</v>
      </c>
      <c r="R2253" s="11">
        <f t="shared" si="635"/>
        <v>114477.5</v>
      </c>
      <c r="S2253" s="11"/>
      <c r="T2253" s="136">
        <f t="shared" si="639"/>
        <v>0</v>
      </c>
    </row>
    <row r="2254" spans="1:20" ht="15.75" customHeight="1">
      <c r="A2254" s="149" t="s">
        <v>2398</v>
      </c>
      <c r="B2254" s="273">
        <f>ROUNDUP(E2254*1.105,-1)</f>
        <v>257690</v>
      </c>
      <c r="C2254" s="36" t="s">
        <v>37180</v>
      </c>
      <c r="D2254" s="71">
        <v>10830</v>
      </c>
      <c r="E2254" s="131">
        <f t="shared" si="633"/>
        <v>233200</v>
      </c>
      <c r="F2254" s="21">
        <f t="shared" si="637"/>
        <v>282172</v>
      </c>
      <c r="G2254" s="21"/>
      <c r="H2254" s="135">
        <f t="shared" si="632"/>
        <v>0</v>
      </c>
      <c r="I2254" s="294">
        <v>45323</v>
      </c>
      <c r="J2254" s="294"/>
      <c r="K2254" s="10">
        <f>0.8*0.98*0.94*0.95*241360</f>
        <v>168979.03232</v>
      </c>
      <c r="L2254" s="11"/>
      <c r="M2254" s="11"/>
      <c r="N2254" s="100"/>
      <c r="O2254" s="11">
        <f t="shared" si="638"/>
        <v>168979.03232</v>
      </c>
      <c r="P2254" s="11">
        <f>+O2254*'AUMENTOS %'!$B$5</f>
        <v>168979.03232</v>
      </c>
      <c r="Q2254" s="11">
        <v>1.38</v>
      </c>
      <c r="R2254" s="11">
        <f t="shared" si="635"/>
        <v>233191.06460159997</v>
      </c>
      <c r="S2254" s="11"/>
      <c r="T2254" s="136">
        <f t="shared" si="639"/>
        <v>0</v>
      </c>
    </row>
    <row r="2255" spans="1:20" ht="15.75" customHeight="1">
      <c r="A2255" s="149">
        <v>31</v>
      </c>
      <c r="B2255" s="273"/>
      <c r="C2255" s="28" t="s">
        <v>3465</v>
      </c>
      <c r="D2255" s="71">
        <v>300</v>
      </c>
      <c r="E2255" s="131">
        <f t="shared" si="633"/>
        <v>0</v>
      </c>
      <c r="F2255" s="21">
        <f t="shared" si="637"/>
        <v>0</v>
      </c>
      <c r="G2255" s="21"/>
      <c r="H2255" s="135">
        <f t="shared" si="632"/>
        <v>0</v>
      </c>
      <c r="I2255" s="294"/>
      <c r="J2255" s="294">
        <v>44438</v>
      </c>
      <c r="K2255" s="10">
        <v>780</v>
      </c>
      <c r="L2255" s="11"/>
      <c r="M2255" s="11"/>
      <c r="N2255" s="100"/>
      <c r="O2255" s="11">
        <f t="shared" si="638"/>
        <v>780</v>
      </c>
      <c r="P2255" s="11">
        <f t="shared" si="634"/>
        <v>780</v>
      </c>
      <c r="Q2255" s="11"/>
      <c r="R2255" s="11">
        <f t="shared" si="635"/>
        <v>0</v>
      </c>
      <c r="S2255" s="11"/>
      <c r="T2255" s="136">
        <f t="shared" si="639"/>
        <v>0</v>
      </c>
    </row>
    <row r="2256" spans="1:20" ht="15.75" customHeight="1">
      <c r="A2256" s="149">
        <v>38</v>
      </c>
      <c r="B2256" s="273"/>
      <c r="C2256" s="28" t="s">
        <v>2461</v>
      </c>
      <c r="D2256" s="71">
        <v>2980</v>
      </c>
      <c r="E2256" s="131">
        <f t="shared" si="633"/>
        <v>65430</v>
      </c>
      <c r="F2256" s="21">
        <f t="shared" si="637"/>
        <v>79170.3</v>
      </c>
      <c r="G2256" s="21"/>
      <c r="H2256" s="135">
        <f t="shared" si="632"/>
        <v>45800</v>
      </c>
      <c r="I2256" s="294">
        <v>45138</v>
      </c>
      <c r="J2256" s="294">
        <v>45349</v>
      </c>
      <c r="K2256" s="10">
        <f>+PROVEEDORES!$D$32*41.54</f>
        <v>43617</v>
      </c>
      <c r="L2256" s="11"/>
      <c r="M2256" s="11"/>
      <c r="N2256" s="100">
        <f>+K2256*0.7</f>
        <v>30531.899999999998</v>
      </c>
      <c r="O2256" s="11">
        <f t="shared" si="638"/>
        <v>43617</v>
      </c>
      <c r="P2256" s="11">
        <f t="shared" si="634"/>
        <v>43617</v>
      </c>
      <c r="Q2256" s="11">
        <v>1.5</v>
      </c>
      <c r="R2256" s="11">
        <f t="shared" si="635"/>
        <v>65425.5</v>
      </c>
      <c r="S2256" s="11"/>
      <c r="T2256" s="136">
        <f t="shared" si="639"/>
        <v>45797.85</v>
      </c>
    </row>
    <row r="2257" spans="1:20" ht="15.75" customHeight="1">
      <c r="A2257" s="149"/>
      <c r="B2257" s="273"/>
      <c r="C2257" s="28" t="s">
        <v>2818</v>
      </c>
      <c r="D2257" s="71">
        <v>849</v>
      </c>
      <c r="E2257" s="131">
        <f t="shared" si="633"/>
        <v>210</v>
      </c>
      <c r="F2257" s="21">
        <f t="shared" si="637"/>
        <v>254.1</v>
      </c>
      <c r="G2257" s="21"/>
      <c r="H2257" s="135">
        <f t="shared" si="632"/>
        <v>0</v>
      </c>
      <c r="I2257" s="294">
        <v>44223</v>
      </c>
      <c r="J2257" s="294"/>
      <c r="K2257" s="10">
        <f>0.65*201.58*2</f>
        <v>262.05400000000003</v>
      </c>
      <c r="L2257" s="11">
        <f>0.6*225</f>
        <v>135</v>
      </c>
      <c r="M2257" s="11"/>
      <c r="N2257" s="100"/>
      <c r="O2257" s="11">
        <f t="shared" si="638"/>
        <v>135</v>
      </c>
      <c r="P2257" s="11">
        <f t="shared" si="634"/>
        <v>135</v>
      </c>
      <c r="Q2257" s="11">
        <v>1.5</v>
      </c>
      <c r="R2257" s="11">
        <f t="shared" si="635"/>
        <v>202.5</v>
      </c>
      <c r="S2257" s="11"/>
      <c r="T2257" s="136">
        <f t="shared" si="639"/>
        <v>0</v>
      </c>
    </row>
    <row r="2258" spans="1:20" ht="15.75" customHeight="1">
      <c r="A2258" s="149">
        <v>38</v>
      </c>
      <c r="B2258" s="273"/>
      <c r="C2258" s="28" t="s">
        <v>2791</v>
      </c>
      <c r="D2258" s="71">
        <v>850</v>
      </c>
      <c r="E2258" s="131">
        <f t="shared" si="633"/>
        <v>0</v>
      </c>
      <c r="F2258" s="21">
        <f t="shared" si="637"/>
        <v>0</v>
      </c>
      <c r="G2258" s="21"/>
      <c r="H2258" s="135">
        <f t="shared" si="632"/>
        <v>0</v>
      </c>
      <c r="I2258" s="294">
        <v>45138</v>
      </c>
      <c r="J2258" s="294"/>
      <c r="K2258" s="10">
        <f>+PROVEEDORES!$D$32*5.12</f>
        <v>5376</v>
      </c>
      <c r="L2258" s="11"/>
      <c r="M2258" s="11"/>
      <c r="N2258" s="100"/>
      <c r="O2258" s="11">
        <f t="shared" si="638"/>
        <v>5376</v>
      </c>
      <c r="P2258" s="11">
        <f t="shared" si="634"/>
        <v>5376</v>
      </c>
      <c r="Q2258" s="11"/>
      <c r="R2258" s="11">
        <f t="shared" si="635"/>
        <v>0</v>
      </c>
      <c r="S2258" s="11"/>
      <c r="T2258" s="136">
        <f t="shared" si="639"/>
        <v>0</v>
      </c>
    </row>
    <row r="2259" spans="1:20" ht="15.75" customHeight="1">
      <c r="A2259" s="149">
        <v>21</v>
      </c>
      <c r="B2259" s="273"/>
      <c r="C2259" s="28" t="s">
        <v>2269</v>
      </c>
      <c r="D2259" s="71">
        <v>850</v>
      </c>
      <c r="E2259" s="131">
        <f t="shared" si="633"/>
        <v>0</v>
      </c>
      <c r="F2259" s="21">
        <f t="shared" si="637"/>
        <v>0</v>
      </c>
      <c r="G2259" s="21"/>
      <c r="H2259" s="135">
        <f t="shared" si="632"/>
        <v>0</v>
      </c>
      <c r="I2259" s="294">
        <v>44106</v>
      </c>
      <c r="J2259" s="294">
        <v>44126</v>
      </c>
      <c r="K2259" s="10">
        <f>0.6*1389</f>
        <v>833.4</v>
      </c>
      <c r="L2259" s="11"/>
      <c r="M2259" s="11"/>
      <c r="N2259" s="100"/>
      <c r="O2259" s="11">
        <f t="shared" si="638"/>
        <v>833.4</v>
      </c>
      <c r="P2259" s="11">
        <f t="shared" si="634"/>
        <v>833.4</v>
      </c>
      <c r="Q2259" s="11"/>
      <c r="R2259" s="11">
        <f t="shared" si="635"/>
        <v>0</v>
      </c>
      <c r="S2259" s="11"/>
      <c r="T2259" s="136">
        <f t="shared" si="639"/>
        <v>0</v>
      </c>
    </row>
    <row r="2260" spans="1:20" ht="15.75" customHeight="1">
      <c r="A2260" s="149">
        <v>21</v>
      </c>
      <c r="B2260" s="273"/>
      <c r="C2260" s="28" t="s">
        <v>2583</v>
      </c>
      <c r="D2260" s="71"/>
      <c r="E2260" s="131">
        <f t="shared" si="633"/>
        <v>0</v>
      </c>
      <c r="F2260" s="21">
        <f t="shared" si="637"/>
        <v>0</v>
      </c>
      <c r="G2260" s="21"/>
      <c r="H2260" s="135">
        <f t="shared" si="632"/>
        <v>0</v>
      </c>
      <c r="I2260" s="294">
        <v>44106</v>
      </c>
      <c r="J2260" s="294">
        <v>44126</v>
      </c>
      <c r="K2260" s="10">
        <f>0.6*1527</f>
        <v>916.19999999999993</v>
      </c>
      <c r="L2260" s="11"/>
      <c r="M2260" s="11"/>
      <c r="N2260" s="100"/>
      <c r="O2260" s="11">
        <f t="shared" si="638"/>
        <v>916.19999999999993</v>
      </c>
      <c r="P2260" s="11">
        <f t="shared" si="634"/>
        <v>916.19999999999993</v>
      </c>
      <c r="Q2260" s="11"/>
      <c r="R2260" s="11">
        <f t="shared" si="635"/>
        <v>0</v>
      </c>
      <c r="S2260" s="11"/>
      <c r="T2260" s="136">
        <f t="shared" si="639"/>
        <v>0</v>
      </c>
    </row>
    <row r="2261" spans="1:20" ht="15.75" customHeight="1">
      <c r="A2261" s="149">
        <v>38</v>
      </c>
      <c r="B2261" s="273"/>
      <c r="C2261" s="28" t="s">
        <v>2812</v>
      </c>
      <c r="D2261" s="71"/>
      <c r="E2261" s="131">
        <f t="shared" si="633"/>
        <v>0</v>
      </c>
      <c r="F2261" s="21">
        <f t="shared" si="637"/>
        <v>0</v>
      </c>
      <c r="G2261" s="21"/>
      <c r="H2261" s="135">
        <f t="shared" si="632"/>
        <v>0</v>
      </c>
      <c r="I2261" s="294">
        <v>45138</v>
      </c>
      <c r="J2261" s="294"/>
      <c r="K2261" s="10">
        <f>+PROVEEDORES!$D$32*13.65</f>
        <v>14332.5</v>
      </c>
      <c r="L2261" s="11"/>
      <c r="M2261" s="11"/>
      <c r="N2261" s="100"/>
      <c r="O2261" s="11">
        <f t="shared" si="638"/>
        <v>14332.5</v>
      </c>
      <c r="P2261" s="11">
        <f t="shared" si="634"/>
        <v>14332.5</v>
      </c>
      <c r="Q2261" s="11"/>
      <c r="R2261" s="11">
        <f t="shared" si="635"/>
        <v>0</v>
      </c>
      <c r="S2261" s="11"/>
      <c r="T2261" s="136">
        <f t="shared" si="639"/>
        <v>0</v>
      </c>
    </row>
    <row r="2262" spans="1:20" ht="15.75" customHeight="1">
      <c r="A2262" s="149">
        <v>38</v>
      </c>
      <c r="B2262" s="273"/>
      <c r="C2262" s="28" t="s">
        <v>2870</v>
      </c>
      <c r="D2262" s="71"/>
      <c r="E2262" s="131">
        <f t="shared" si="633"/>
        <v>0</v>
      </c>
      <c r="F2262" s="21">
        <f t="shared" si="637"/>
        <v>0</v>
      </c>
      <c r="G2262" s="21"/>
      <c r="H2262" s="135">
        <f t="shared" si="632"/>
        <v>0</v>
      </c>
      <c r="I2262" s="294">
        <v>45138</v>
      </c>
      <c r="J2262" s="294"/>
      <c r="K2262" s="10">
        <f>+PROVEEDORES!$D$32*18.11</f>
        <v>19015.5</v>
      </c>
      <c r="L2262" s="11"/>
      <c r="M2262" s="11"/>
      <c r="N2262" s="100"/>
      <c r="O2262" s="11">
        <f t="shared" si="638"/>
        <v>19015.5</v>
      </c>
      <c r="P2262" s="11">
        <f t="shared" si="634"/>
        <v>19015.5</v>
      </c>
      <c r="Q2262" s="11"/>
      <c r="R2262" s="11">
        <f t="shared" si="635"/>
        <v>0</v>
      </c>
      <c r="S2262" s="11"/>
      <c r="T2262" s="136">
        <f t="shared" si="639"/>
        <v>0</v>
      </c>
    </row>
    <row r="2263" spans="1:20" ht="15.75" customHeight="1">
      <c r="A2263" s="149">
        <v>87</v>
      </c>
      <c r="B2263" s="273"/>
      <c r="C2263" s="28" t="s">
        <v>3982</v>
      </c>
      <c r="D2263" s="71">
        <v>140</v>
      </c>
      <c r="E2263" s="131">
        <f t="shared" si="633"/>
        <v>1760</v>
      </c>
      <c r="F2263" s="21">
        <f t="shared" si="637"/>
        <v>2129.6</v>
      </c>
      <c r="G2263" s="21"/>
      <c r="H2263" s="135">
        <f t="shared" si="632"/>
        <v>0</v>
      </c>
      <c r="I2263" s="294">
        <v>45323</v>
      </c>
      <c r="J2263" s="294"/>
      <c r="K2263" s="10">
        <v>1100</v>
      </c>
      <c r="L2263" s="11"/>
      <c r="M2263" s="11"/>
      <c r="N2263" s="100"/>
      <c r="O2263" s="11">
        <f t="shared" si="638"/>
        <v>1100</v>
      </c>
      <c r="P2263" s="11">
        <f t="shared" si="634"/>
        <v>1100</v>
      </c>
      <c r="Q2263" s="11">
        <v>1.6</v>
      </c>
      <c r="R2263" s="11">
        <f t="shared" si="635"/>
        <v>1760</v>
      </c>
      <c r="S2263" s="11"/>
      <c r="T2263" s="136">
        <f t="shared" si="639"/>
        <v>0</v>
      </c>
    </row>
    <row r="2264" spans="1:20" ht="15.75" customHeight="1">
      <c r="A2264" s="149" t="s">
        <v>2398</v>
      </c>
      <c r="B2264" s="273"/>
      <c r="C2264" s="28" t="s">
        <v>2611</v>
      </c>
      <c r="D2264" s="71">
        <v>2910</v>
      </c>
      <c r="E2264" s="131">
        <f t="shared" si="633"/>
        <v>60900</v>
      </c>
      <c r="F2264" s="21">
        <f t="shared" si="637"/>
        <v>73689</v>
      </c>
      <c r="G2264" s="21"/>
      <c r="H2264" s="135">
        <f t="shared" si="632"/>
        <v>0</v>
      </c>
      <c r="I2264" s="23">
        <v>45323</v>
      </c>
      <c r="J2264" s="294"/>
      <c r="K2264" s="10">
        <f>0.8*0.98*0.94*0.95*56119</f>
        <v>39289.585328000001</v>
      </c>
      <c r="L2264" s="11"/>
      <c r="M2264" s="10"/>
      <c r="N2264" s="100"/>
      <c r="O2264" s="11">
        <f t="shared" si="638"/>
        <v>39289.585328000001</v>
      </c>
      <c r="P2264" s="11">
        <f>+O2264*'AUMENTOS %'!$B$5</f>
        <v>39289.585328000001</v>
      </c>
      <c r="Q2264" s="11">
        <v>1.55</v>
      </c>
      <c r="R2264" s="11">
        <f t="shared" si="635"/>
        <v>60898.857258400007</v>
      </c>
      <c r="S2264" s="11"/>
      <c r="T2264" s="136">
        <f t="shared" si="639"/>
        <v>0</v>
      </c>
    </row>
    <row r="2265" spans="1:20" ht="15.75" customHeight="1">
      <c r="A2265" s="149" t="s">
        <v>2398</v>
      </c>
      <c r="B2265" s="273"/>
      <c r="C2265" s="28" t="s">
        <v>2244</v>
      </c>
      <c r="D2265" s="71">
        <v>2450</v>
      </c>
      <c r="E2265" s="131">
        <f t="shared" si="633"/>
        <v>53160</v>
      </c>
      <c r="F2265" s="21">
        <f t="shared" si="637"/>
        <v>64323.6</v>
      </c>
      <c r="G2265" s="21"/>
      <c r="H2265" s="135">
        <f t="shared" si="632"/>
        <v>0</v>
      </c>
      <c r="I2265" s="23">
        <v>45323</v>
      </c>
      <c r="J2265" s="294"/>
      <c r="K2265" s="10">
        <f>0.8*0.98*0.94*0.95*48980</f>
        <v>34291.485759999996</v>
      </c>
      <c r="L2265" s="11"/>
      <c r="M2265" s="11"/>
      <c r="N2265" s="100"/>
      <c r="O2265" s="11">
        <f t="shared" si="638"/>
        <v>34291.485759999996</v>
      </c>
      <c r="P2265" s="11">
        <f>+O2265*'AUMENTOS %'!$B$5</f>
        <v>34291.485759999996</v>
      </c>
      <c r="Q2265" s="11">
        <v>1.55</v>
      </c>
      <c r="R2265" s="11">
        <f t="shared" si="635"/>
        <v>53151.802927999997</v>
      </c>
      <c r="S2265" s="11"/>
      <c r="T2265" s="136">
        <f t="shared" si="639"/>
        <v>0</v>
      </c>
    </row>
    <row r="2266" spans="1:20" ht="15.75" customHeight="1">
      <c r="A2266" s="149" t="s">
        <v>2398</v>
      </c>
      <c r="B2266" s="273"/>
      <c r="C2266" s="28" t="s">
        <v>3895</v>
      </c>
      <c r="D2266" s="71">
        <v>720</v>
      </c>
      <c r="E2266" s="131">
        <f t="shared" si="633"/>
        <v>15000</v>
      </c>
      <c r="F2266" s="21">
        <f t="shared" si="637"/>
        <v>18150</v>
      </c>
      <c r="G2266" s="21"/>
      <c r="H2266" s="135">
        <f t="shared" si="632"/>
        <v>0</v>
      </c>
      <c r="I2266" s="23">
        <v>45323</v>
      </c>
      <c r="J2266" s="294"/>
      <c r="K2266" s="10">
        <f>0.8*0.98*0.94*0.95*13816</f>
        <v>9672.7473919999993</v>
      </c>
      <c r="L2266" s="11"/>
      <c r="M2266" s="11"/>
      <c r="N2266" s="100"/>
      <c r="O2266" s="11">
        <f t="shared" si="638"/>
        <v>9672.7473919999993</v>
      </c>
      <c r="P2266" s="11">
        <f>+O2266*'AUMENTOS %'!$B$5</f>
        <v>9672.7473919999993</v>
      </c>
      <c r="Q2266" s="11">
        <v>1.55</v>
      </c>
      <c r="R2266" s="11">
        <f t="shared" si="635"/>
        <v>14992.758457599999</v>
      </c>
      <c r="S2266" s="11"/>
      <c r="T2266" s="136">
        <f t="shared" si="639"/>
        <v>0</v>
      </c>
    </row>
    <row r="2267" spans="1:20" ht="15.75" customHeight="1">
      <c r="A2267" s="149" t="s">
        <v>2398</v>
      </c>
      <c r="B2267" s="273"/>
      <c r="C2267" s="28" t="s">
        <v>37281</v>
      </c>
      <c r="D2267" s="71">
        <v>720</v>
      </c>
      <c r="E2267" s="131">
        <f t="shared" si="633"/>
        <v>15510</v>
      </c>
      <c r="F2267" s="21">
        <f t="shared" si="637"/>
        <v>18767.099999999999</v>
      </c>
      <c r="G2267" s="21"/>
      <c r="H2267" s="135">
        <f t="shared" si="632"/>
        <v>0</v>
      </c>
      <c r="I2267" s="23">
        <v>45323</v>
      </c>
      <c r="J2267" s="294"/>
      <c r="K2267" s="10">
        <f>0.8*0.98*0.94*0.95*14292</f>
        <v>10006.000704</v>
      </c>
      <c r="L2267" s="11"/>
      <c r="M2267" s="11"/>
      <c r="N2267" s="100"/>
      <c r="O2267" s="11">
        <f t="shared" si="638"/>
        <v>10006.000704</v>
      </c>
      <c r="P2267" s="11">
        <f>+O2267*'AUMENTOS %'!$B$5</f>
        <v>10006.000704</v>
      </c>
      <c r="Q2267" s="11">
        <v>1.55</v>
      </c>
      <c r="R2267" s="11">
        <f t="shared" si="635"/>
        <v>15509.301091200001</v>
      </c>
      <c r="S2267" s="11"/>
      <c r="T2267" s="136">
        <f t="shared" si="639"/>
        <v>0</v>
      </c>
    </row>
    <row r="2268" spans="1:20" ht="15.75" customHeight="1">
      <c r="A2268" s="149" t="s">
        <v>2398</v>
      </c>
      <c r="B2268" s="273"/>
      <c r="C2268" s="28" t="s">
        <v>37282</v>
      </c>
      <c r="D2268" s="71">
        <v>1530</v>
      </c>
      <c r="E2268" s="131">
        <f t="shared" si="633"/>
        <v>34150</v>
      </c>
      <c r="F2268" s="21">
        <f t="shared" si="637"/>
        <v>41321.5</v>
      </c>
      <c r="G2268" s="21"/>
      <c r="H2268" s="135">
        <f t="shared" si="632"/>
        <v>0</v>
      </c>
      <c r="I2268" s="23">
        <v>45323</v>
      </c>
      <c r="J2268" s="294"/>
      <c r="K2268" s="11">
        <f>0.8*0.98*0.94*0.95*31465</f>
        <v>22029.024079999999</v>
      </c>
      <c r="L2268" s="11"/>
      <c r="M2268" s="11"/>
      <c r="N2268" s="100"/>
      <c r="O2268" s="11">
        <f t="shared" si="638"/>
        <v>22029.024079999999</v>
      </c>
      <c r="P2268" s="11">
        <f>+O2268*'AUMENTOS %'!$B$5</f>
        <v>22029.024079999999</v>
      </c>
      <c r="Q2268" s="11">
        <v>1.55</v>
      </c>
      <c r="R2268" s="11">
        <f t="shared" si="635"/>
        <v>34144.987324000002</v>
      </c>
      <c r="S2268" s="11"/>
      <c r="T2268" s="136">
        <f t="shared" si="639"/>
        <v>0</v>
      </c>
    </row>
    <row r="2269" spans="1:20" ht="15.75" customHeight="1">
      <c r="A2269" s="149" t="s">
        <v>2398</v>
      </c>
      <c r="B2269" s="273"/>
      <c r="C2269" s="28" t="s">
        <v>4561</v>
      </c>
      <c r="D2269" s="71">
        <v>720</v>
      </c>
      <c r="E2269" s="131">
        <f t="shared" ref="E2269:E2337" si="640">ROUNDUP(R2269,-1)</f>
        <v>5910</v>
      </c>
      <c r="F2269" s="21">
        <f t="shared" si="637"/>
        <v>7151.0999999999995</v>
      </c>
      <c r="G2269" s="21"/>
      <c r="H2269" s="135">
        <f t="shared" ref="H2269:H2337" si="641">ROUNDUP(T2269,-1)</f>
        <v>0</v>
      </c>
      <c r="I2269" s="23">
        <v>45323</v>
      </c>
      <c r="J2269" s="294"/>
      <c r="K2269" s="11">
        <f>0.8*0.98*0.94*0.95*5443</f>
        <v>3810.7096159999996</v>
      </c>
      <c r="L2269" s="11"/>
      <c r="M2269" s="11"/>
      <c r="N2269" s="100"/>
      <c r="O2269" s="11">
        <f t="shared" si="638"/>
        <v>3810.7096159999996</v>
      </c>
      <c r="P2269" s="11">
        <f>+O2269*'AUMENTOS %'!$B$5</f>
        <v>3810.7096159999996</v>
      </c>
      <c r="Q2269" s="11">
        <v>1.55</v>
      </c>
      <c r="R2269" s="11">
        <f t="shared" ref="R2269:R2336" si="642">+P2269*Q2269</f>
        <v>5906.5999047999994</v>
      </c>
      <c r="S2269" s="11"/>
      <c r="T2269" s="136">
        <f t="shared" si="639"/>
        <v>0</v>
      </c>
    </row>
    <row r="2270" spans="1:20" ht="15.75" customHeight="1">
      <c r="A2270" s="149"/>
      <c r="B2270" s="273"/>
      <c r="C2270" s="28" t="s">
        <v>1852</v>
      </c>
      <c r="D2270" s="71">
        <v>60</v>
      </c>
      <c r="E2270" s="131">
        <f t="shared" si="640"/>
        <v>0</v>
      </c>
      <c r="F2270" s="21">
        <f t="shared" si="637"/>
        <v>0</v>
      </c>
      <c r="G2270" s="21"/>
      <c r="H2270" s="135">
        <f t="shared" si="641"/>
        <v>0</v>
      </c>
      <c r="I2270" s="294"/>
      <c r="J2270" s="294">
        <v>41864</v>
      </c>
      <c r="K2270" s="10">
        <f>20*2</f>
        <v>40</v>
      </c>
      <c r="L2270" s="11"/>
      <c r="M2270" s="11"/>
      <c r="N2270" s="100"/>
      <c r="O2270" s="11">
        <f t="shared" si="638"/>
        <v>40</v>
      </c>
      <c r="P2270" s="11">
        <f t="shared" ref="P2270:P2336" si="643">+O2270</f>
        <v>40</v>
      </c>
      <c r="Q2270" s="11"/>
      <c r="R2270" s="11">
        <f t="shared" si="642"/>
        <v>0</v>
      </c>
      <c r="S2270" s="11"/>
      <c r="T2270" s="136">
        <f t="shared" si="639"/>
        <v>0</v>
      </c>
    </row>
    <row r="2271" spans="1:20" ht="15.75" customHeight="1">
      <c r="A2271" s="149">
        <v>73</v>
      </c>
      <c r="B2271" s="273"/>
      <c r="C2271" s="28" t="s">
        <v>1853</v>
      </c>
      <c r="D2271" s="71">
        <v>10780</v>
      </c>
      <c r="E2271" s="131">
        <f t="shared" si="640"/>
        <v>0</v>
      </c>
      <c r="F2271" s="21">
        <f t="shared" si="637"/>
        <v>0</v>
      </c>
      <c r="G2271" s="21"/>
      <c r="H2271" s="135">
        <f t="shared" si="641"/>
        <v>0</v>
      </c>
      <c r="I2271" s="294">
        <v>43321</v>
      </c>
      <c r="J2271" s="294"/>
      <c r="K2271" s="10">
        <f>7703*1.4</f>
        <v>10784.199999999999</v>
      </c>
      <c r="L2271" s="11"/>
      <c r="M2271" s="11"/>
      <c r="N2271" s="100"/>
      <c r="O2271" s="11">
        <f t="shared" si="638"/>
        <v>10784.199999999999</v>
      </c>
      <c r="P2271" s="11">
        <f t="shared" si="643"/>
        <v>10784.199999999999</v>
      </c>
      <c r="Q2271" s="11"/>
      <c r="R2271" s="11">
        <f t="shared" si="642"/>
        <v>0</v>
      </c>
      <c r="S2271" s="11"/>
      <c r="T2271" s="136">
        <f t="shared" si="639"/>
        <v>0</v>
      </c>
    </row>
    <row r="2272" spans="1:20" ht="15.75" customHeight="1">
      <c r="A2272" s="149">
        <v>73</v>
      </c>
      <c r="B2272" s="273"/>
      <c r="C2272" s="28" t="s">
        <v>1854</v>
      </c>
      <c r="D2272" s="71">
        <v>14910</v>
      </c>
      <c r="E2272" s="131">
        <f t="shared" si="640"/>
        <v>0</v>
      </c>
      <c r="F2272" s="21">
        <f t="shared" si="637"/>
        <v>0</v>
      </c>
      <c r="G2272" s="21"/>
      <c r="H2272" s="135">
        <f t="shared" si="641"/>
        <v>0</v>
      </c>
      <c r="I2272" s="294">
        <v>43321</v>
      </c>
      <c r="J2272" s="294"/>
      <c r="K2272" s="10">
        <f>10653*1.4</f>
        <v>14914.199999999999</v>
      </c>
      <c r="L2272" s="11"/>
      <c r="M2272" s="11"/>
      <c r="N2272" s="100"/>
      <c r="O2272" s="11">
        <f t="shared" si="638"/>
        <v>14914.199999999999</v>
      </c>
      <c r="P2272" s="11">
        <f t="shared" si="643"/>
        <v>14914.199999999999</v>
      </c>
      <c r="Q2272" s="11"/>
      <c r="R2272" s="11">
        <f t="shared" si="642"/>
        <v>0</v>
      </c>
      <c r="S2272" s="11"/>
      <c r="T2272" s="136">
        <f t="shared" si="639"/>
        <v>0</v>
      </c>
    </row>
    <row r="2273" spans="1:20" ht="15.75" customHeight="1">
      <c r="A2273" s="149"/>
      <c r="B2273" s="273"/>
      <c r="C2273" s="28" t="s">
        <v>1855</v>
      </c>
      <c r="D2273" s="71"/>
      <c r="E2273" s="131">
        <f t="shared" si="640"/>
        <v>0</v>
      </c>
      <c r="F2273" s="21">
        <f t="shared" si="637"/>
        <v>0</v>
      </c>
      <c r="G2273" s="21"/>
      <c r="H2273" s="135">
        <f t="shared" si="641"/>
        <v>0</v>
      </c>
      <c r="I2273" s="294">
        <v>42870</v>
      </c>
      <c r="J2273" s="294"/>
      <c r="K2273" s="10">
        <f>250*1.5</f>
        <v>375</v>
      </c>
      <c r="L2273" s="11"/>
      <c r="M2273" s="11"/>
      <c r="N2273" s="100"/>
      <c r="O2273" s="11">
        <f t="shared" si="638"/>
        <v>375</v>
      </c>
      <c r="P2273" s="11">
        <f t="shared" si="643"/>
        <v>375</v>
      </c>
      <c r="Q2273" s="11"/>
      <c r="R2273" s="11">
        <f t="shared" si="642"/>
        <v>0</v>
      </c>
      <c r="S2273" s="11"/>
      <c r="T2273" s="136">
        <f t="shared" si="639"/>
        <v>0</v>
      </c>
    </row>
    <row r="2274" spans="1:20" ht="15.75" customHeight="1">
      <c r="A2274" s="149"/>
      <c r="B2274" s="273"/>
      <c r="C2274" s="28" t="s">
        <v>1856</v>
      </c>
      <c r="D2274" s="71">
        <v>280</v>
      </c>
      <c r="E2274" s="131">
        <f t="shared" si="640"/>
        <v>0</v>
      </c>
      <c r="F2274" s="21">
        <f t="shared" si="637"/>
        <v>0</v>
      </c>
      <c r="G2274" s="21"/>
      <c r="H2274" s="135">
        <f t="shared" si="641"/>
        <v>0</v>
      </c>
      <c r="I2274" s="294">
        <v>42654</v>
      </c>
      <c r="J2274" s="294"/>
      <c r="K2274" s="10">
        <f>180*1.5</f>
        <v>270</v>
      </c>
      <c r="L2274" s="11"/>
      <c r="M2274" s="11"/>
      <c r="N2274" s="100"/>
      <c r="O2274" s="11">
        <f t="shared" si="638"/>
        <v>270</v>
      </c>
      <c r="P2274" s="11">
        <f t="shared" si="643"/>
        <v>270</v>
      </c>
      <c r="Q2274" s="11"/>
      <c r="R2274" s="11">
        <f t="shared" si="642"/>
        <v>0</v>
      </c>
      <c r="S2274" s="11"/>
      <c r="T2274" s="136">
        <f t="shared" si="639"/>
        <v>0</v>
      </c>
    </row>
    <row r="2275" spans="1:20" ht="15.75" customHeight="1">
      <c r="A2275" s="149">
        <v>38</v>
      </c>
      <c r="B2275" s="273"/>
      <c r="C2275" s="28" t="s">
        <v>4525</v>
      </c>
      <c r="D2275" s="41"/>
      <c r="E2275" s="131">
        <f t="shared" si="640"/>
        <v>17210</v>
      </c>
      <c r="F2275" s="21">
        <f>+E2275*1.21</f>
        <v>20824.099999999999</v>
      </c>
      <c r="G2275" s="21"/>
      <c r="H2275" s="135">
        <f t="shared" si="641"/>
        <v>14910</v>
      </c>
      <c r="I2275" s="294"/>
      <c r="J2275" s="294">
        <v>45274</v>
      </c>
      <c r="K2275" s="11">
        <f>PROVEEDORES!$D$32*10.24</f>
        <v>10752</v>
      </c>
      <c r="L2275" s="11"/>
      <c r="M2275" s="11"/>
      <c r="N2275" s="100">
        <v>9317</v>
      </c>
      <c r="O2275" s="11">
        <f t="shared" si="638"/>
        <v>10752</v>
      </c>
      <c r="P2275" s="11">
        <f t="shared" si="643"/>
        <v>10752</v>
      </c>
      <c r="Q2275" s="11">
        <v>1.6</v>
      </c>
      <c r="R2275" s="11">
        <f t="shared" si="642"/>
        <v>17203.2</v>
      </c>
      <c r="S2275" s="11"/>
      <c r="T2275" s="136">
        <f t="shared" si="639"/>
        <v>14907.2</v>
      </c>
    </row>
    <row r="2276" spans="1:20" ht="15.75" customHeight="1">
      <c r="A2276" s="149">
        <v>38</v>
      </c>
      <c r="B2276" s="273"/>
      <c r="C2276" s="28" t="s">
        <v>2462</v>
      </c>
      <c r="D2276" s="71">
        <v>130</v>
      </c>
      <c r="E2276" s="131">
        <f t="shared" si="640"/>
        <v>1340</v>
      </c>
      <c r="F2276" s="21">
        <f t="shared" si="637"/>
        <v>1621.3999999999999</v>
      </c>
      <c r="G2276" s="21"/>
      <c r="H2276" s="135">
        <f t="shared" si="641"/>
        <v>0</v>
      </c>
      <c r="I2276" s="294">
        <v>45138</v>
      </c>
      <c r="J2276" s="294"/>
      <c r="K2276" s="11">
        <f>+'AUMENTOS %'!$B$9*835</f>
        <v>835</v>
      </c>
      <c r="L2276" s="10"/>
      <c r="M2276" s="10"/>
      <c r="N2276" s="100"/>
      <c r="O2276" s="11">
        <f>MIN(K2276:M2276)*'AUMENTOS %'!$B$9</f>
        <v>835</v>
      </c>
      <c r="P2276" s="11">
        <f t="shared" si="643"/>
        <v>835</v>
      </c>
      <c r="Q2276" s="11">
        <v>1.6</v>
      </c>
      <c r="R2276" s="11">
        <f t="shared" si="642"/>
        <v>1336</v>
      </c>
      <c r="S2276" s="11"/>
      <c r="T2276" s="136">
        <f t="shared" si="639"/>
        <v>0</v>
      </c>
    </row>
    <row r="2277" spans="1:20" ht="15.75" customHeight="1">
      <c r="A2277" s="149">
        <v>38</v>
      </c>
      <c r="B2277" s="273"/>
      <c r="C2277" s="28" t="s">
        <v>2463</v>
      </c>
      <c r="D2277" s="71">
        <v>170</v>
      </c>
      <c r="E2277" s="131">
        <f t="shared" si="640"/>
        <v>3000</v>
      </c>
      <c r="F2277" s="21">
        <f t="shared" si="637"/>
        <v>3630</v>
      </c>
      <c r="G2277" s="21"/>
      <c r="H2277" s="135">
        <f t="shared" si="641"/>
        <v>0</v>
      </c>
      <c r="I2277" s="294">
        <v>45138</v>
      </c>
      <c r="J2277" s="294"/>
      <c r="K2277" s="11">
        <f>+'AUMENTOS %'!$B$9*1871</f>
        <v>1871</v>
      </c>
      <c r="L2277" s="11"/>
      <c r="M2277" s="11"/>
      <c r="N2277" s="100"/>
      <c r="O2277" s="11">
        <f>MIN(K2277:M2277)*'AUMENTOS %'!$B$9</f>
        <v>1871</v>
      </c>
      <c r="P2277" s="11">
        <f t="shared" si="643"/>
        <v>1871</v>
      </c>
      <c r="Q2277" s="11">
        <v>1.6</v>
      </c>
      <c r="R2277" s="11">
        <f t="shared" si="642"/>
        <v>2993.6000000000004</v>
      </c>
      <c r="S2277" s="11"/>
      <c r="T2277" s="136">
        <f t="shared" si="639"/>
        <v>0</v>
      </c>
    </row>
    <row r="2278" spans="1:20" ht="15.75" customHeight="1">
      <c r="A2278" s="149">
        <v>106</v>
      </c>
      <c r="B2278" s="273"/>
      <c r="C2278" s="28" t="s">
        <v>3969</v>
      </c>
      <c r="D2278" s="71"/>
      <c r="E2278" s="131">
        <f t="shared" si="640"/>
        <v>710</v>
      </c>
      <c r="F2278" s="21">
        <f t="shared" si="637"/>
        <v>859.1</v>
      </c>
      <c r="G2278" s="21"/>
      <c r="H2278" s="135">
        <f t="shared" si="641"/>
        <v>0</v>
      </c>
      <c r="I2278" s="294">
        <v>45274</v>
      </c>
      <c r="J2278" s="294">
        <v>45334</v>
      </c>
      <c r="K2278" s="10">
        <f>0.82*26907/50</f>
        <v>441.27479999999997</v>
      </c>
      <c r="L2278" s="196"/>
      <c r="M2278" s="11"/>
      <c r="N2278" s="100"/>
      <c r="O2278" s="11">
        <f t="shared" si="638"/>
        <v>441.27479999999997</v>
      </c>
      <c r="P2278" s="11">
        <f t="shared" si="643"/>
        <v>441.27479999999997</v>
      </c>
      <c r="Q2278" s="11">
        <v>1.6</v>
      </c>
      <c r="R2278" s="11">
        <f t="shared" si="642"/>
        <v>706.03967999999998</v>
      </c>
      <c r="S2278" s="11"/>
      <c r="T2278" s="136">
        <f t="shared" si="639"/>
        <v>0</v>
      </c>
    </row>
    <row r="2279" spans="1:20" ht="15.75" customHeight="1">
      <c r="A2279" s="149">
        <v>38</v>
      </c>
      <c r="B2279" s="273"/>
      <c r="C2279" s="28" t="s">
        <v>4476</v>
      </c>
      <c r="D2279" s="71">
        <v>20</v>
      </c>
      <c r="E2279" s="131">
        <f t="shared" si="640"/>
        <v>290</v>
      </c>
      <c r="F2279" s="21">
        <f t="shared" si="637"/>
        <v>350.9</v>
      </c>
      <c r="G2279" s="21"/>
      <c r="H2279" s="135">
        <f t="shared" si="641"/>
        <v>0</v>
      </c>
      <c r="I2279" s="294">
        <v>45138</v>
      </c>
      <c r="J2279" s="294"/>
      <c r="K2279" s="11">
        <f>+'AUMENTOS %'!$B$9*9010/50</f>
        <v>180.2</v>
      </c>
      <c r="L2279" s="11"/>
      <c r="M2279" s="11"/>
      <c r="N2279" s="100"/>
      <c r="O2279" s="11">
        <f>MIN(K2279:M2279)*'AUMENTOS %'!$B$9</f>
        <v>180.2</v>
      </c>
      <c r="P2279" s="11">
        <f t="shared" si="643"/>
        <v>180.2</v>
      </c>
      <c r="Q2279" s="11">
        <v>1.6</v>
      </c>
      <c r="R2279" s="11">
        <f t="shared" si="642"/>
        <v>288.32</v>
      </c>
      <c r="S2279" s="11"/>
      <c r="T2279" s="136">
        <f t="shared" si="639"/>
        <v>0</v>
      </c>
    </row>
    <row r="2280" spans="1:20" ht="15.75" customHeight="1">
      <c r="A2280" s="149" t="s">
        <v>2387</v>
      </c>
      <c r="B2280" s="273"/>
      <c r="C2280" s="28" t="s">
        <v>3812</v>
      </c>
      <c r="D2280" s="71">
        <v>30</v>
      </c>
      <c r="E2280" s="131">
        <f t="shared" si="640"/>
        <v>640</v>
      </c>
      <c r="F2280" s="21">
        <f t="shared" si="637"/>
        <v>774.4</v>
      </c>
      <c r="G2280" s="21"/>
      <c r="H2280" s="135">
        <f t="shared" si="641"/>
        <v>0</v>
      </c>
      <c r="I2280" s="294"/>
      <c r="J2280" s="294">
        <v>45351</v>
      </c>
      <c r="K2280" s="32">
        <f>'AUMENTOS %'!D14*PROVEEDORES!D18*0.5*0.75</f>
        <v>397.5</v>
      </c>
      <c r="L2280" s="11">
        <f>+'AUMENTOS %'!C14*23238/100*2</f>
        <v>464.76</v>
      </c>
      <c r="M2280" s="11"/>
      <c r="N2280" s="100"/>
      <c r="O2280" s="11">
        <f t="shared" si="638"/>
        <v>397.5</v>
      </c>
      <c r="P2280" s="11">
        <f t="shared" si="643"/>
        <v>397.5</v>
      </c>
      <c r="Q2280" s="11">
        <v>1.6</v>
      </c>
      <c r="R2280" s="11">
        <f t="shared" si="642"/>
        <v>636</v>
      </c>
      <c r="S2280" s="11"/>
      <c r="T2280" s="136">
        <f t="shared" si="639"/>
        <v>0</v>
      </c>
    </row>
    <row r="2281" spans="1:20" ht="15.75" customHeight="1">
      <c r="A2281" s="149">
        <v>18</v>
      </c>
      <c r="B2281" s="273"/>
      <c r="C2281" s="28" t="s">
        <v>1857</v>
      </c>
      <c r="D2281" s="71"/>
      <c r="E2281" s="131">
        <f t="shared" si="640"/>
        <v>0</v>
      </c>
      <c r="F2281" s="21">
        <f t="shared" si="637"/>
        <v>0</v>
      </c>
      <c r="G2281" s="21"/>
      <c r="H2281" s="135">
        <f t="shared" si="641"/>
        <v>0</v>
      </c>
      <c r="I2281" s="23">
        <v>45275</v>
      </c>
      <c r="J2281" s="294">
        <v>43524</v>
      </c>
      <c r="K2281" s="32">
        <f>141*1.7*1.3</f>
        <v>311.61</v>
      </c>
      <c r="L2281" s="11"/>
      <c r="M2281" s="11"/>
      <c r="N2281" s="100"/>
      <c r="O2281" s="11">
        <f t="shared" si="638"/>
        <v>311.61</v>
      </c>
      <c r="P2281" s="11">
        <f>+O2281*'AUMENTOS %'!$B$5</f>
        <v>311.61</v>
      </c>
      <c r="Q2281" s="11"/>
      <c r="R2281" s="11">
        <f t="shared" si="642"/>
        <v>0</v>
      </c>
      <c r="S2281" s="11"/>
      <c r="T2281" s="136">
        <f t="shared" si="639"/>
        <v>0</v>
      </c>
    </row>
    <row r="2282" spans="1:20" ht="15.75" customHeight="1">
      <c r="A2282" s="149">
        <v>38</v>
      </c>
      <c r="B2282" s="273"/>
      <c r="C2282" s="28" t="s">
        <v>4425</v>
      </c>
      <c r="D2282" s="71">
        <v>430</v>
      </c>
      <c r="E2282" s="131">
        <f>ROUNDUP(R2282,-1)</f>
        <v>6570</v>
      </c>
      <c r="F2282" s="21">
        <f t="shared" si="637"/>
        <v>7949.7</v>
      </c>
      <c r="G2282" s="21"/>
      <c r="H2282" s="135">
        <f>ROUNDUP(T2282,-1)</f>
        <v>5700</v>
      </c>
      <c r="I2282" s="294">
        <v>45138</v>
      </c>
      <c r="J2282" s="294">
        <v>45274</v>
      </c>
      <c r="K2282" s="10">
        <f>+PROVEEDORES!$D$32*3.91</f>
        <v>4105.5</v>
      </c>
      <c r="L2282" s="11"/>
      <c r="M2282" s="11"/>
      <c r="N2282" s="100">
        <v>3560</v>
      </c>
      <c r="O2282" s="11">
        <f>MIN(K2282:M2282)</f>
        <v>4105.5</v>
      </c>
      <c r="P2282" s="11">
        <f>+O2282</f>
        <v>4105.5</v>
      </c>
      <c r="Q2282" s="11">
        <v>1.6</v>
      </c>
      <c r="R2282" s="11">
        <f>+P2282*Q2282</f>
        <v>6568.8</v>
      </c>
      <c r="S2282" s="11"/>
      <c r="T2282" s="136">
        <f>+N2282*Q2282</f>
        <v>5696</v>
      </c>
    </row>
    <row r="2283" spans="1:20" ht="15.75" customHeight="1">
      <c r="A2283" s="149">
        <v>38</v>
      </c>
      <c r="B2283" s="273"/>
      <c r="C2283" s="28" t="s">
        <v>1858</v>
      </c>
      <c r="D2283" s="71">
        <v>430</v>
      </c>
      <c r="E2283" s="131">
        <f t="shared" si="640"/>
        <v>8120</v>
      </c>
      <c r="F2283" s="21">
        <f t="shared" ref="F2283:F2317" si="644">+E2283*1.21</f>
        <v>9825.1999999999989</v>
      </c>
      <c r="G2283" s="21"/>
      <c r="H2283" s="135">
        <f t="shared" si="641"/>
        <v>7040</v>
      </c>
      <c r="I2283" s="294">
        <v>45138</v>
      </c>
      <c r="J2283" s="294">
        <v>45274</v>
      </c>
      <c r="K2283" s="10">
        <f>+PROVEEDORES!$D$32*4.83</f>
        <v>5071.5</v>
      </c>
      <c r="L2283" s="11"/>
      <c r="M2283" s="11"/>
      <c r="N2283" s="100">
        <v>4396</v>
      </c>
      <c r="O2283" s="11">
        <f t="shared" si="638"/>
        <v>5071.5</v>
      </c>
      <c r="P2283" s="11">
        <f t="shared" si="643"/>
        <v>5071.5</v>
      </c>
      <c r="Q2283" s="11">
        <v>1.6</v>
      </c>
      <c r="R2283" s="11">
        <f t="shared" si="642"/>
        <v>8114.4000000000005</v>
      </c>
      <c r="S2283" s="11"/>
      <c r="T2283" s="136">
        <f t="shared" si="639"/>
        <v>7033.6</v>
      </c>
    </row>
    <row r="2284" spans="1:20" ht="15.75" customHeight="1">
      <c r="A2284" s="149">
        <v>56</v>
      </c>
      <c r="B2284" s="273"/>
      <c r="C2284" s="28" t="s">
        <v>44220</v>
      </c>
      <c r="D2284" s="71">
        <v>1780</v>
      </c>
      <c r="E2284" s="131">
        <f t="shared" si="640"/>
        <v>44830</v>
      </c>
      <c r="F2284" s="21">
        <f t="shared" si="644"/>
        <v>54244.299999999996</v>
      </c>
      <c r="G2284" s="21"/>
      <c r="H2284" s="135">
        <f t="shared" si="641"/>
        <v>0</v>
      </c>
      <c r="I2284" s="294">
        <v>44777</v>
      </c>
      <c r="J2284" s="294">
        <v>45373</v>
      </c>
      <c r="K2284" s="143">
        <f>+PROVEEDORES!$D$50*34.93</f>
        <v>30913.05</v>
      </c>
      <c r="L2284" s="143"/>
      <c r="M2284" s="11"/>
      <c r="N2284" s="143"/>
      <c r="O2284" s="11">
        <f t="shared" si="638"/>
        <v>30913.05</v>
      </c>
      <c r="P2284" s="11">
        <f t="shared" si="643"/>
        <v>30913.05</v>
      </c>
      <c r="Q2284" s="11">
        <v>1.45</v>
      </c>
      <c r="R2284" s="11">
        <f t="shared" si="642"/>
        <v>44823.922500000001</v>
      </c>
      <c r="S2284" s="11"/>
      <c r="T2284" s="136">
        <f t="shared" si="639"/>
        <v>0</v>
      </c>
    </row>
    <row r="2285" spans="1:20" ht="15.75" customHeight="1">
      <c r="A2285" s="149">
        <v>56</v>
      </c>
      <c r="B2285" s="273"/>
      <c r="C2285" s="28" t="s">
        <v>44221</v>
      </c>
      <c r="D2285" s="71">
        <v>2030</v>
      </c>
      <c r="E2285" s="131">
        <f t="shared" si="640"/>
        <v>46360</v>
      </c>
      <c r="F2285" s="21">
        <f t="shared" si="644"/>
        <v>56095.6</v>
      </c>
      <c r="G2285" s="21"/>
      <c r="H2285" s="135">
        <f t="shared" si="641"/>
        <v>0</v>
      </c>
      <c r="I2285" s="294">
        <v>44777</v>
      </c>
      <c r="J2285" s="294">
        <v>45373</v>
      </c>
      <c r="K2285" s="143">
        <f>+PROVEEDORES!$D$50*37.41</f>
        <v>33107.85</v>
      </c>
      <c r="L2285" s="143"/>
      <c r="M2285" s="10"/>
      <c r="N2285" s="100"/>
      <c r="O2285" s="11">
        <f t="shared" si="638"/>
        <v>33107.85</v>
      </c>
      <c r="P2285" s="11">
        <f t="shared" si="643"/>
        <v>33107.85</v>
      </c>
      <c r="Q2285" s="11">
        <v>1.4</v>
      </c>
      <c r="R2285" s="11">
        <f t="shared" si="642"/>
        <v>46350.99</v>
      </c>
      <c r="S2285" s="11"/>
      <c r="T2285" s="136">
        <f t="shared" si="639"/>
        <v>0</v>
      </c>
    </row>
    <row r="2286" spans="1:20" ht="15.75" customHeight="1">
      <c r="A2286" s="149">
        <v>56</v>
      </c>
      <c r="B2286" s="273"/>
      <c r="C2286" s="28" t="s">
        <v>44222</v>
      </c>
      <c r="D2286" s="71">
        <v>2030</v>
      </c>
      <c r="E2286" s="131">
        <f>ROUNDUP(R2286,-1)</f>
        <v>50680</v>
      </c>
      <c r="F2286" s="21">
        <f>+E2286*1.21</f>
        <v>61322.799999999996</v>
      </c>
      <c r="G2286" s="21"/>
      <c r="H2286" s="135">
        <f>ROUNDUP(T2286,-1)</f>
        <v>0</v>
      </c>
      <c r="I2286" s="294">
        <v>44777</v>
      </c>
      <c r="J2286" s="294">
        <v>45373</v>
      </c>
      <c r="K2286" s="143">
        <f>+PROVEEDORES!$D$50*39.49</f>
        <v>34948.65</v>
      </c>
      <c r="L2286" s="143"/>
      <c r="M2286" s="10"/>
      <c r="N2286" s="100"/>
      <c r="O2286" s="11">
        <f>MIN(K2286:M2286)</f>
        <v>34948.65</v>
      </c>
      <c r="P2286" s="11">
        <f>+O2286</f>
        <v>34948.65</v>
      </c>
      <c r="Q2286" s="11">
        <v>1.45</v>
      </c>
      <c r="R2286" s="11">
        <f>+P2286*Q2286</f>
        <v>50675.542500000003</v>
      </c>
      <c r="S2286" s="11"/>
      <c r="T2286" s="136">
        <f>+N2286*Q2286</f>
        <v>0</v>
      </c>
    </row>
    <row r="2287" spans="1:20" ht="15.75" customHeight="1">
      <c r="A2287" s="149">
        <v>56</v>
      </c>
      <c r="B2287" s="273"/>
      <c r="C2287" s="28" t="s">
        <v>44223</v>
      </c>
      <c r="D2287" s="71">
        <v>2650</v>
      </c>
      <c r="E2287" s="131">
        <f t="shared" si="640"/>
        <v>20370</v>
      </c>
      <c r="F2287" s="21">
        <f t="shared" si="644"/>
        <v>24647.7</v>
      </c>
      <c r="G2287" s="21"/>
      <c r="H2287" s="135">
        <f t="shared" si="641"/>
        <v>0</v>
      </c>
      <c r="I2287" s="294">
        <v>44777</v>
      </c>
      <c r="J2287" s="294">
        <v>45136</v>
      </c>
      <c r="K2287" s="143">
        <f>+PROVEEDORES!$D$50*76.14</f>
        <v>67383.899999999994</v>
      </c>
      <c r="L2287" s="47">
        <f>37.3*130*3</f>
        <v>14547</v>
      </c>
      <c r="M2287" s="10"/>
      <c r="N2287" s="100"/>
      <c r="O2287" s="11">
        <f t="shared" si="638"/>
        <v>14547</v>
      </c>
      <c r="P2287" s="11">
        <f t="shared" si="643"/>
        <v>14547</v>
      </c>
      <c r="Q2287" s="11">
        <v>1.4</v>
      </c>
      <c r="R2287" s="11">
        <f t="shared" si="642"/>
        <v>20365.8</v>
      </c>
      <c r="S2287" s="11"/>
      <c r="T2287" s="136">
        <f t="shared" si="639"/>
        <v>0</v>
      </c>
    </row>
    <row r="2288" spans="1:20" ht="15.75" customHeight="1">
      <c r="A2288" s="149">
        <v>56</v>
      </c>
      <c r="B2288" s="273"/>
      <c r="C2288" s="28" t="s">
        <v>44224</v>
      </c>
      <c r="D2288" s="71">
        <v>2820</v>
      </c>
      <c r="E2288" s="131">
        <f t="shared" si="640"/>
        <v>120550</v>
      </c>
      <c r="F2288" s="21">
        <f t="shared" si="644"/>
        <v>145865.5</v>
      </c>
      <c r="G2288" s="21"/>
      <c r="H2288" s="135">
        <f t="shared" si="641"/>
        <v>0</v>
      </c>
      <c r="I2288" s="294">
        <v>44777</v>
      </c>
      <c r="J2288" s="294">
        <v>45136</v>
      </c>
      <c r="K2288" s="143">
        <f>+PROVEEDORES!$D$50*97.29</f>
        <v>86101.650000000009</v>
      </c>
      <c r="L2288" s="31"/>
      <c r="M2288" s="10"/>
      <c r="N2288" s="100"/>
      <c r="O2288" s="11">
        <f t="shared" si="638"/>
        <v>86101.650000000009</v>
      </c>
      <c r="P2288" s="11">
        <f t="shared" si="643"/>
        <v>86101.650000000009</v>
      </c>
      <c r="Q2288" s="11">
        <v>1.4</v>
      </c>
      <c r="R2288" s="11">
        <f t="shared" si="642"/>
        <v>120542.31</v>
      </c>
      <c r="S2288" s="11"/>
      <c r="T2288" s="136">
        <f t="shared" si="639"/>
        <v>0</v>
      </c>
    </row>
    <row r="2289" spans="1:20" ht="15.75" customHeight="1">
      <c r="A2289" s="149" t="s">
        <v>2426</v>
      </c>
      <c r="B2289" s="273"/>
      <c r="C2289" s="28" t="s">
        <v>3722</v>
      </c>
      <c r="D2289" s="142">
        <v>1730</v>
      </c>
      <c r="E2289" s="139">
        <f t="shared" si="640"/>
        <v>0</v>
      </c>
      <c r="F2289" s="21">
        <f t="shared" si="644"/>
        <v>0</v>
      </c>
      <c r="G2289" s="21"/>
      <c r="H2289" s="135">
        <f t="shared" si="641"/>
        <v>0</v>
      </c>
      <c r="I2289" s="294">
        <v>45254</v>
      </c>
      <c r="J2289" s="294"/>
      <c r="K2289" s="43">
        <f>PROVEEDORES!$D$44*0.58*132</f>
        <v>67755.599999999991</v>
      </c>
      <c r="L2289" s="11"/>
      <c r="M2289" s="11"/>
      <c r="N2289" s="171">
        <f>PROVEEDORES!$D$44*0.5985*226.01</f>
        <v>119711.28172499999</v>
      </c>
      <c r="O2289" s="11">
        <f t="shared" si="638"/>
        <v>67755.599999999991</v>
      </c>
      <c r="P2289" s="11">
        <f t="shared" si="643"/>
        <v>67755.599999999991</v>
      </c>
      <c r="Q2289" s="11"/>
      <c r="R2289" s="11">
        <f t="shared" si="642"/>
        <v>0</v>
      </c>
      <c r="S2289" s="11"/>
      <c r="T2289" s="136">
        <f t="shared" si="639"/>
        <v>0</v>
      </c>
    </row>
    <row r="2290" spans="1:20" ht="15.75" customHeight="1">
      <c r="A2290" s="149">
        <v>41</v>
      </c>
      <c r="B2290" s="273">
        <f>ROUNDUP(E2290*1.105,-1)</f>
        <v>52970</v>
      </c>
      <c r="C2290" s="28" t="s">
        <v>4304</v>
      </c>
      <c r="D2290" s="71">
        <v>1870</v>
      </c>
      <c r="E2290" s="131">
        <f t="shared" si="640"/>
        <v>47930</v>
      </c>
      <c r="F2290" s="21">
        <f t="shared" si="644"/>
        <v>57995.299999999996</v>
      </c>
      <c r="G2290" s="21" t="s">
        <v>4453</v>
      </c>
      <c r="H2290" s="135">
        <f t="shared" si="641"/>
        <v>38590</v>
      </c>
      <c r="I2290" s="294">
        <v>45311</v>
      </c>
      <c r="J2290" s="294"/>
      <c r="K2290" s="10">
        <f>+PROVEEDORES!$D$35*0.9*0.9*39.5</f>
        <v>34234.65</v>
      </c>
      <c r="L2290" s="11"/>
      <c r="M2290" s="11"/>
      <c r="N2290" s="100">
        <f>0.9*0.95*0.95*33930</f>
        <v>27559.642499999998</v>
      </c>
      <c r="O2290" s="11">
        <f t="shared" si="638"/>
        <v>34234.65</v>
      </c>
      <c r="P2290" s="11">
        <f t="shared" si="643"/>
        <v>34234.65</v>
      </c>
      <c r="Q2290" s="11">
        <v>1.4</v>
      </c>
      <c r="R2290" s="11">
        <f t="shared" si="642"/>
        <v>47928.51</v>
      </c>
      <c r="S2290" s="11"/>
      <c r="T2290" s="136">
        <f t="shared" si="639"/>
        <v>38583.499499999998</v>
      </c>
    </row>
    <row r="2291" spans="1:20" ht="15.75" customHeight="1">
      <c r="A2291" s="149">
        <v>26</v>
      </c>
      <c r="B2291" s="273"/>
      <c r="C2291" s="28" t="s">
        <v>4177</v>
      </c>
      <c r="D2291" s="71">
        <v>2270</v>
      </c>
      <c r="E2291" s="131">
        <f t="shared" si="640"/>
        <v>71690</v>
      </c>
      <c r="F2291" s="21">
        <f t="shared" si="644"/>
        <v>86744.9</v>
      </c>
      <c r="G2291" s="21">
        <v>39500</v>
      </c>
      <c r="H2291" s="135">
        <f t="shared" si="641"/>
        <v>0</v>
      </c>
      <c r="I2291" s="294">
        <v>45329</v>
      </c>
      <c r="J2291" s="294"/>
      <c r="K2291" s="42">
        <f>PROVEEDORES!$D$20*0.75*72</f>
        <v>47790</v>
      </c>
      <c r="L2291" s="42"/>
      <c r="M2291" s="30"/>
      <c r="N2291" s="37"/>
      <c r="O2291" s="11">
        <f t="shared" si="638"/>
        <v>47790</v>
      </c>
      <c r="P2291" s="11">
        <f t="shared" si="643"/>
        <v>47790</v>
      </c>
      <c r="Q2291" s="11">
        <v>1.5</v>
      </c>
      <c r="R2291" s="11">
        <f t="shared" si="642"/>
        <v>71685</v>
      </c>
      <c r="S2291" s="11"/>
      <c r="T2291" s="136">
        <f t="shared" si="639"/>
        <v>0</v>
      </c>
    </row>
    <row r="2292" spans="1:20" ht="15.75" customHeight="1">
      <c r="A2292" s="149">
        <v>26</v>
      </c>
      <c r="B2292" s="273"/>
      <c r="C2292" s="28" t="s">
        <v>4256</v>
      </c>
      <c r="D2292" s="71">
        <v>2550</v>
      </c>
      <c r="E2292" s="131">
        <f t="shared" si="640"/>
        <v>74340</v>
      </c>
      <c r="F2292" s="21">
        <f t="shared" si="644"/>
        <v>89951.4</v>
      </c>
      <c r="G2292" s="21"/>
      <c r="H2292" s="135">
        <f t="shared" si="641"/>
        <v>0</v>
      </c>
      <c r="I2292" s="294">
        <v>45329</v>
      </c>
      <c r="J2292" s="294"/>
      <c r="K2292" s="42">
        <f>PROVEEDORES!$D$20*0.75*80</f>
        <v>53100</v>
      </c>
      <c r="L2292" s="42"/>
      <c r="M2292" s="30"/>
      <c r="N2292" s="100"/>
      <c r="O2292" s="11">
        <f t="shared" si="638"/>
        <v>53100</v>
      </c>
      <c r="P2292" s="11">
        <f t="shared" si="643"/>
        <v>53100</v>
      </c>
      <c r="Q2292" s="11">
        <v>1.4</v>
      </c>
      <c r="R2292" s="11">
        <f t="shared" si="642"/>
        <v>74340</v>
      </c>
      <c r="S2292" s="11"/>
      <c r="T2292" s="136">
        <f t="shared" si="639"/>
        <v>0</v>
      </c>
    </row>
    <row r="2293" spans="1:20" ht="15.75" customHeight="1">
      <c r="A2293" s="149">
        <v>26</v>
      </c>
      <c r="B2293" s="273"/>
      <c r="C2293" s="28" t="s">
        <v>4255</v>
      </c>
      <c r="D2293" s="71">
        <v>2550</v>
      </c>
      <c r="E2293" s="131">
        <f>ROUNDUP(R2293,-1)</f>
        <v>83640</v>
      </c>
      <c r="F2293" s="21">
        <f>+E2293*1.21</f>
        <v>101204.4</v>
      </c>
      <c r="G2293" s="21"/>
      <c r="H2293" s="135">
        <f>ROUNDUP(T2293,-1)</f>
        <v>0</v>
      </c>
      <c r="I2293" s="294">
        <v>45329</v>
      </c>
      <c r="J2293" s="294"/>
      <c r="K2293" s="42">
        <f>PROVEEDORES!$D$20*0.75*90</f>
        <v>59737.5</v>
      </c>
      <c r="L2293" s="42"/>
      <c r="M2293" s="30"/>
      <c r="N2293" s="100"/>
      <c r="O2293" s="11">
        <f>MIN(K2293:M2293)</f>
        <v>59737.5</v>
      </c>
      <c r="P2293" s="11">
        <f t="shared" si="643"/>
        <v>59737.5</v>
      </c>
      <c r="Q2293" s="11">
        <v>1.4</v>
      </c>
      <c r="R2293" s="11">
        <f t="shared" si="642"/>
        <v>83632.5</v>
      </c>
      <c r="S2293" s="11"/>
      <c r="T2293" s="136">
        <f>+N2293*Q2293</f>
        <v>0</v>
      </c>
    </row>
    <row r="2294" spans="1:20" ht="15.75" customHeight="1">
      <c r="A2294" s="149"/>
      <c r="B2294" s="273"/>
      <c r="C2294" s="28" t="s">
        <v>2397</v>
      </c>
      <c r="D2294" s="142">
        <v>1940</v>
      </c>
      <c r="E2294" s="139">
        <f t="shared" si="640"/>
        <v>0</v>
      </c>
      <c r="F2294" s="21">
        <f t="shared" si="644"/>
        <v>0</v>
      </c>
      <c r="G2294" s="21"/>
      <c r="H2294" s="135">
        <f t="shared" si="641"/>
        <v>0</v>
      </c>
      <c r="I2294" s="294">
        <v>44200</v>
      </c>
      <c r="J2294" s="294"/>
      <c r="K2294" s="43">
        <f>PROVEEDORES!$D$44*0.58*43</f>
        <v>22071.899999999998</v>
      </c>
      <c r="L2294" s="11"/>
      <c r="M2294" s="74"/>
      <c r="N2294" s="100"/>
      <c r="O2294" s="11">
        <f t="shared" si="638"/>
        <v>22071.899999999998</v>
      </c>
      <c r="P2294" s="11">
        <f t="shared" si="643"/>
        <v>22071.899999999998</v>
      </c>
      <c r="Q2294" s="11"/>
      <c r="R2294" s="11">
        <f t="shared" si="642"/>
        <v>0</v>
      </c>
      <c r="S2294" s="11"/>
      <c r="T2294" s="136">
        <f t="shared" si="639"/>
        <v>0</v>
      </c>
    </row>
    <row r="2295" spans="1:20" ht="15.75" customHeight="1">
      <c r="A2295" s="149">
        <v>41</v>
      </c>
      <c r="B2295" s="273"/>
      <c r="C2295" s="28" t="s">
        <v>4305</v>
      </c>
      <c r="D2295" s="71">
        <v>1970</v>
      </c>
      <c r="E2295" s="131">
        <f t="shared" si="640"/>
        <v>0</v>
      </c>
      <c r="F2295" s="21">
        <f t="shared" si="644"/>
        <v>0</v>
      </c>
      <c r="G2295" s="21" t="s">
        <v>2627</v>
      </c>
      <c r="H2295" s="135">
        <f t="shared" si="641"/>
        <v>0</v>
      </c>
      <c r="I2295" s="294">
        <v>45059</v>
      </c>
      <c r="J2295" s="294"/>
      <c r="K2295" s="10">
        <f>+PROVEEDORES!$D$35*0.9*0.9*32.5</f>
        <v>28167.75</v>
      </c>
      <c r="L2295" s="11"/>
      <c r="M2295" s="30"/>
      <c r="N2295" s="37"/>
      <c r="O2295" s="11">
        <f t="shared" si="638"/>
        <v>28167.75</v>
      </c>
      <c r="P2295" s="11">
        <f t="shared" si="643"/>
        <v>28167.75</v>
      </c>
      <c r="Q2295" s="11"/>
      <c r="R2295" s="11">
        <f t="shared" si="642"/>
        <v>0</v>
      </c>
      <c r="S2295" s="11"/>
      <c r="T2295" s="136">
        <f t="shared" si="639"/>
        <v>0</v>
      </c>
    </row>
    <row r="2296" spans="1:20" ht="15.75" customHeight="1">
      <c r="A2296" s="149">
        <v>41</v>
      </c>
      <c r="B2296" s="273">
        <f>ROUNDUP(E2296*1.105,-1)</f>
        <v>0</v>
      </c>
      <c r="C2296" s="28" t="s">
        <v>4306</v>
      </c>
      <c r="D2296" s="71">
        <v>2230</v>
      </c>
      <c r="E2296" s="131">
        <f t="shared" si="640"/>
        <v>0</v>
      </c>
      <c r="F2296" s="21">
        <f t="shared" si="644"/>
        <v>0</v>
      </c>
      <c r="G2296" s="21" t="s">
        <v>4455</v>
      </c>
      <c r="H2296" s="135">
        <f t="shared" si="641"/>
        <v>0</v>
      </c>
      <c r="I2296" s="294">
        <v>45059</v>
      </c>
      <c r="J2296" s="294"/>
      <c r="K2296" s="10">
        <f>+PROVEEDORES!$D$35*0.9*0.9*38</f>
        <v>32934.6</v>
      </c>
      <c r="L2296" s="32"/>
      <c r="M2296" s="30"/>
      <c r="N2296" s="37"/>
      <c r="O2296" s="11">
        <f t="shared" si="638"/>
        <v>32934.6</v>
      </c>
      <c r="P2296" s="11">
        <f t="shared" si="643"/>
        <v>32934.6</v>
      </c>
      <c r="Q2296" s="11"/>
      <c r="R2296" s="11">
        <f t="shared" si="642"/>
        <v>0</v>
      </c>
      <c r="S2296" s="11"/>
      <c r="T2296" s="136">
        <f t="shared" si="639"/>
        <v>0</v>
      </c>
    </row>
    <row r="2297" spans="1:20" ht="15.75" customHeight="1">
      <c r="A2297" s="149">
        <v>41</v>
      </c>
      <c r="B2297" s="273">
        <f>ROUNDUP(E2297*1.105,-1)</f>
        <v>0</v>
      </c>
      <c r="C2297" s="28" t="s">
        <v>4307</v>
      </c>
      <c r="D2297" s="71">
        <v>2340</v>
      </c>
      <c r="E2297" s="131">
        <f>ROUNDUP(R2297,-1)</f>
        <v>0</v>
      </c>
      <c r="F2297" s="21">
        <f>+E2297*1.21</f>
        <v>0</v>
      </c>
      <c r="G2297" s="21" t="s">
        <v>2626</v>
      </c>
      <c r="H2297" s="135">
        <f>ROUNDUP(T2297,-1)</f>
        <v>0</v>
      </c>
      <c r="I2297" s="294">
        <v>45059</v>
      </c>
      <c r="J2297" s="294"/>
      <c r="K2297" s="10">
        <f>+PROVEEDORES!$D$35*0.9*0.9*43.5</f>
        <v>37701.450000000004</v>
      </c>
      <c r="L2297" s="32"/>
      <c r="M2297" s="30"/>
      <c r="N2297" s="37"/>
      <c r="O2297" s="11">
        <f>MIN(K2297:M2297)</f>
        <v>37701.450000000004</v>
      </c>
      <c r="P2297" s="11">
        <f t="shared" si="643"/>
        <v>37701.450000000004</v>
      </c>
      <c r="Q2297" s="11"/>
      <c r="R2297" s="11">
        <f t="shared" si="642"/>
        <v>0</v>
      </c>
      <c r="S2297" s="11"/>
      <c r="T2297" s="136">
        <f>+N2297*Q2297</f>
        <v>0</v>
      </c>
    </row>
    <row r="2298" spans="1:20" ht="15.75" customHeight="1">
      <c r="A2298" s="149">
        <v>41</v>
      </c>
      <c r="B2298" s="273">
        <f>ROUNDUP(E2298*1.105,-1)</f>
        <v>113040</v>
      </c>
      <c r="C2298" s="28" t="s">
        <v>4308</v>
      </c>
      <c r="D2298" s="71">
        <v>3540</v>
      </c>
      <c r="E2298" s="131">
        <f t="shared" si="640"/>
        <v>102290</v>
      </c>
      <c r="F2298" s="21">
        <f t="shared" si="644"/>
        <v>123770.9</v>
      </c>
      <c r="G2298" s="21" t="s">
        <v>4454</v>
      </c>
      <c r="H2298" s="135">
        <f t="shared" si="641"/>
        <v>63420</v>
      </c>
      <c r="I2298" s="294">
        <v>45311</v>
      </c>
      <c r="J2298" s="294"/>
      <c r="K2298" s="10">
        <f>+PROVEEDORES!$D$35*0.9*0.9*84.3</f>
        <v>73062.81</v>
      </c>
      <c r="L2298" s="32"/>
      <c r="M2298" s="30"/>
      <c r="N2298" s="100">
        <f>0.9*0.95*0.95*55770</f>
        <v>45299.182499999995</v>
      </c>
      <c r="O2298" s="11">
        <f t="shared" si="638"/>
        <v>73062.81</v>
      </c>
      <c r="P2298" s="11">
        <f t="shared" si="643"/>
        <v>73062.81</v>
      </c>
      <c r="Q2298" s="11">
        <v>1.4</v>
      </c>
      <c r="R2298" s="11">
        <f t="shared" si="642"/>
        <v>102287.93399999999</v>
      </c>
      <c r="S2298" s="11"/>
      <c r="T2298" s="136">
        <f t="shared" si="639"/>
        <v>63418.855499999991</v>
      </c>
    </row>
    <row r="2299" spans="1:20" ht="15.75" customHeight="1">
      <c r="A2299" s="149">
        <v>65</v>
      </c>
      <c r="B2299" s="273"/>
      <c r="C2299" s="28" t="s">
        <v>1859</v>
      </c>
      <c r="D2299" s="71">
        <v>420</v>
      </c>
      <c r="E2299" s="131">
        <f t="shared" si="640"/>
        <v>36920</v>
      </c>
      <c r="F2299" s="21">
        <f t="shared" si="644"/>
        <v>44673.2</v>
      </c>
      <c r="G2299" s="21"/>
      <c r="H2299" s="135">
        <f t="shared" si="641"/>
        <v>0</v>
      </c>
      <c r="I2299" s="294">
        <v>45286</v>
      </c>
      <c r="J2299" s="294"/>
      <c r="K2299" s="10">
        <v>26000</v>
      </c>
      <c r="L2299" s="148"/>
      <c r="M2299" s="11"/>
      <c r="N2299" s="100"/>
      <c r="O2299" s="11">
        <f t="shared" si="638"/>
        <v>26000</v>
      </c>
      <c r="P2299" s="11">
        <f t="shared" si="643"/>
        <v>26000</v>
      </c>
      <c r="Q2299" s="11">
        <v>1.42</v>
      </c>
      <c r="R2299" s="11">
        <f t="shared" si="642"/>
        <v>36920</v>
      </c>
      <c r="S2299" s="11"/>
      <c r="T2299" s="136">
        <f t="shared" si="639"/>
        <v>0</v>
      </c>
    </row>
    <row r="2300" spans="1:20" ht="15.75" customHeight="1">
      <c r="A2300" s="149">
        <v>30</v>
      </c>
      <c r="B2300" s="273"/>
      <c r="C2300" s="28" t="s">
        <v>1860</v>
      </c>
      <c r="D2300" s="71">
        <v>950</v>
      </c>
      <c r="E2300" s="131">
        <f t="shared" si="640"/>
        <v>0</v>
      </c>
      <c r="F2300" s="21">
        <f t="shared" si="644"/>
        <v>0</v>
      </c>
      <c r="G2300" s="21"/>
      <c r="H2300" s="135">
        <f t="shared" si="641"/>
        <v>0</v>
      </c>
      <c r="I2300" s="294">
        <v>43843</v>
      </c>
      <c r="J2300" s="294">
        <v>43906</v>
      </c>
      <c r="K2300" s="10">
        <f>633*1.5</f>
        <v>949.5</v>
      </c>
      <c r="L2300" s="11"/>
      <c r="M2300" s="11"/>
      <c r="N2300" s="37"/>
      <c r="O2300" s="11">
        <f t="shared" si="638"/>
        <v>949.5</v>
      </c>
      <c r="P2300" s="11">
        <f t="shared" si="643"/>
        <v>949.5</v>
      </c>
      <c r="Q2300" s="11"/>
      <c r="R2300" s="11">
        <f t="shared" si="642"/>
        <v>0</v>
      </c>
      <c r="S2300" s="11"/>
      <c r="T2300" s="136">
        <f t="shared" si="639"/>
        <v>0</v>
      </c>
    </row>
    <row r="2301" spans="1:20" ht="15.75" customHeight="1">
      <c r="A2301" s="149">
        <v>65</v>
      </c>
      <c r="B2301" s="273"/>
      <c r="C2301" s="28" t="s">
        <v>1861</v>
      </c>
      <c r="D2301" s="71">
        <v>520</v>
      </c>
      <c r="E2301" s="131">
        <f t="shared" si="640"/>
        <v>42600</v>
      </c>
      <c r="F2301" s="21">
        <f t="shared" si="644"/>
        <v>51546</v>
      </c>
      <c r="G2301" s="21"/>
      <c r="H2301" s="135">
        <f t="shared" si="641"/>
        <v>0</v>
      </c>
      <c r="I2301" s="294">
        <v>45286</v>
      </c>
      <c r="J2301" s="294"/>
      <c r="K2301" s="10">
        <v>30000</v>
      </c>
      <c r="L2301" s="11"/>
      <c r="M2301" s="11"/>
      <c r="N2301" s="37"/>
      <c r="O2301" s="11">
        <f t="shared" si="638"/>
        <v>30000</v>
      </c>
      <c r="P2301" s="11">
        <f t="shared" si="643"/>
        <v>30000</v>
      </c>
      <c r="Q2301" s="11">
        <v>1.42</v>
      </c>
      <c r="R2301" s="11">
        <f t="shared" si="642"/>
        <v>42600</v>
      </c>
      <c r="S2301" s="11"/>
      <c r="T2301" s="136">
        <f t="shared" si="639"/>
        <v>0</v>
      </c>
    </row>
    <row r="2302" spans="1:20" ht="15.75" customHeight="1">
      <c r="A2302" s="149">
        <v>30</v>
      </c>
      <c r="B2302" s="273"/>
      <c r="C2302" s="28" t="s">
        <v>1862</v>
      </c>
      <c r="D2302" s="71">
        <v>1390</v>
      </c>
      <c r="E2302" s="131">
        <f t="shared" si="640"/>
        <v>0</v>
      </c>
      <c r="F2302" s="21">
        <f t="shared" si="644"/>
        <v>0</v>
      </c>
      <c r="G2302" s="21"/>
      <c r="H2302" s="135">
        <f t="shared" si="641"/>
        <v>0</v>
      </c>
      <c r="I2302" s="294">
        <v>43843</v>
      </c>
      <c r="J2302" s="294">
        <v>43906</v>
      </c>
      <c r="K2302" s="10">
        <f>924*1.5</f>
        <v>1386</v>
      </c>
      <c r="L2302" s="11"/>
      <c r="M2302" s="11"/>
      <c r="N2302" s="100"/>
      <c r="O2302" s="11">
        <f t="shared" si="638"/>
        <v>1386</v>
      </c>
      <c r="P2302" s="11">
        <f t="shared" si="643"/>
        <v>1386</v>
      </c>
      <c r="Q2302" s="11"/>
      <c r="R2302" s="11">
        <f t="shared" si="642"/>
        <v>0</v>
      </c>
      <c r="S2302" s="11"/>
      <c r="T2302" s="136">
        <f t="shared" si="639"/>
        <v>0</v>
      </c>
    </row>
    <row r="2303" spans="1:20" ht="15.75" customHeight="1">
      <c r="A2303" s="149"/>
      <c r="B2303" s="273"/>
      <c r="C2303" s="28" t="s">
        <v>2104</v>
      </c>
      <c r="D2303" s="71">
        <v>150</v>
      </c>
      <c r="E2303" s="131">
        <f t="shared" si="640"/>
        <v>0</v>
      </c>
      <c r="F2303" s="21">
        <f t="shared" si="644"/>
        <v>0</v>
      </c>
      <c r="G2303" s="21"/>
      <c r="H2303" s="135">
        <f t="shared" si="641"/>
        <v>0</v>
      </c>
      <c r="I2303" s="294"/>
      <c r="J2303" s="294">
        <v>43739</v>
      </c>
      <c r="K2303" s="10">
        <f>100*0.5</f>
        <v>50</v>
      </c>
      <c r="L2303" s="11"/>
      <c r="M2303" s="11"/>
      <c r="N2303" s="100"/>
      <c r="O2303" s="11">
        <f t="shared" si="638"/>
        <v>50</v>
      </c>
      <c r="P2303" s="11">
        <f t="shared" si="643"/>
        <v>50</v>
      </c>
      <c r="Q2303" s="11"/>
      <c r="R2303" s="11">
        <f t="shared" si="642"/>
        <v>0</v>
      </c>
      <c r="S2303" s="11"/>
      <c r="T2303" s="136">
        <f t="shared" si="639"/>
        <v>0</v>
      </c>
    </row>
    <row r="2304" spans="1:20" ht="15.75" customHeight="1">
      <c r="A2304" s="149"/>
      <c r="B2304" s="273"/>
      <c r="C2304" s="28" t="s">
        <v>4523</v>
      </c>
      <c r="D2304" s="71">
        <v>150</v>
      </c>
      <c r="E2304" s="131">
        <f>ROUNDUP(R2304,-1)</f>
        <v>1040</v>
      </c>
      <c r="F2304" s="21">
        <f>+E2304*1.21</f>
        <v>1258.3999999999999</v>
      </c>
      <c r="G2304" s="21"/>
      <c r="H2304" s="135">
        <f>ROUNDUP(T2304,-1)</f>
        <v>0</v>
      </c>
      <c r="I2304" s="294"/>
      <c r="J2304" s="294">
        <v>45131</v>
      </c>
      <c r="K2304" s="10">
        <f>0.75*860</f>
        <v>645</v>
      </c>
      <c r="L2304" s="11"/>
      <c r="M2304" s="11"/>
      <c r="N2304" s="100"/>
      <c r="O2304" s="11">
        <f t="shared" si="638"/>
        <v>645</v>
      </c>
      <c r="P2304" s="11">
        <f>+O2304</f>
        <v>645</v>
      </c>
      <c r="Q2304" s="11">
        <v>1.6</v>
      </c>
      <c r="R2304" s="11">
        <f>+P2304*Q2304</f>
        <v>1032</v>
      </c>
      <c r="S2304" s="11"/>
      <c r="T2304" s="136">
        <f>+N2304*Q2304</f>
        <v>0</v>
      </c>
    </row>
    <row r="2305" spans="1:20" ht="15.75" customHeight="1">
      <c r="A2305" s="149">
        <v>65</v>
      </c>
      <c r="B2305" s="273"/>
      <c r="C2305" s="28" t="s">
        <v>2837</v>
      </c>
      <c r="D2305" s="71">
        <v>0</v>
      </c>
      <c r="E2305" s="131">
        <f t="shared" si="640"/>
        <v>5320</v>
      </c>
      <c r="F2305" s="21">
        <f t="shared" si="644"/>
        <v>6437.2</v>
      </c>
      <c r="G2305" s="21"/>
      <c r="H2305" s="135">
        <f t="shared" si="641"/>
        <v>0</v>
      </c>
      <c r="I2305" s="294">
        <v>45286</v>
      </c>
      <c r="J2305" s="40"/>
      <c r="K2305" s="10">
        <v>3800</v>
      </c>
      <c r="L2305" s="196"/>
      <c r="M2305" s="11"/>
      <c r="N2305" s="100"/>
      <c r="O2305" s="11">
        <f t="shared" si="638"/>
        <v>3800</v>
      </c>
      <c r="P2305" s="11">
        <f t="shared" si="643"/>
        <v>3800</v>
      </c>
      <c r="Q2305" s="11">
        <v>1.4</v>
      </c>
      <c r="R2305" s="11">
        <f t="shared" si="642"/>
        <v>5320</v>
      </c>
      <c r="S2305" s="11"/>
      <c r="T2305" s="136">
        <f t="shared" si="639"/>
        <v>0</v>
      </c>
    </row>
    <row r="2306" spans="1:20" ht="15.75" customHeight="1">
      <c r="A2306" s="149">
        <v>30</v>
      </c>
      <c r="B2306" s="273"/>
      <c r="C2306" s="28" t="s">
        <v>1863</v>
      </c>
      <c r="D2306" s="71">
        <v>140</v>
      </c>
      <c r="E2306" s="131">
        <f t="shared" si="640"/>
        <v>0</v>
      </c>
      <c r="F2306" s="21">
        <f t="shared" si="644"/>
        <v>0</v>
      </c>
      <c r="G2306" s="21"/>
      <c r="H2306" s="135">
        <f t="shared" si="641"/>
        <v>0</v>
      </c>
      <c r="I2306" s="294">
        <v>43843</v>
      </c>
      <c r="J2306" s="294">
        <v>43906</v>
      </c>
      <c r="K2306" s="10">
        <f>88*1.5</f>
        <v>132</v>
      </c>
      <c r="L2306" s="11"/>
      <c r="M2306" s="11"/>
      <c r="N2306" s="100"/>
      <c r="O2306" s="11">
        <f t="shared" si="638"/>
        <v>132</v>
      </c>
      <c r="P2306" s="11">
        <f t="shared" si="643"/>
        <v>132</v>
      </c>
      <c r="Q2306" s="11"/>
      <c r="R2306" s="11">
        <f t="shared" si="642"/>
        <v>0</v>
      </c>
      <c r="S2306" s="11"/>
      <c r="T2306" s="136">
        <f t="shared" si="639"/>
        <v>0</v>
      </c>
    </row>
    <row r="2307" spans="1:20" ht="15.75" customHeight="1">
      <c r="A2307" s="149">
        <v>30</v>
      </c>
      <c r="B2307" s="273"/>
      <c r="C2307" s="28" t="s">
        <v>1864</v>
      </c>
      <c r="D2307" s="71">
        <v>150</v>
      </c>
      <c r="E2307" s="131">
        <f t="shared" si="640"/>
        <v>0</v>
      </c>
      <c r="F2307" s="21">
        <f t="shared" si="644"/>
        <v>0</v>
      </c>
      <c r="G2307" s="21"/>
      <c r="H2307" s="135">
        <f t="shared" si="641"/>
        <v>0</v>
      </c>
      <c r="I2307" s="294">
        <v>43843</v>
      </c>
      <c r="J2307" s="294">
        <v>43906</v>
      </c>
      <c r="K2307" s="10">
        <f>94*1.2*1.2</f>
        <v>135.35999999999999</v>
      </c>
      <c r="L2307" s="11"/>
      <c r="M2307" s="11"/>
      <c r="N2307" s="100"/>
      <c r="O2307" s="11">
        <f t="shared" si="638"/>
        <v>135.35999999999999</v>
      </c>
      <c r="P2307" s="11">
        <f t="shared" si="643"/>
        <v>135.35999999999999</v>
      </c>
      <c r="Q2307" s="11"/>
      <c r="R2307" s="11">
        <f t="shared" si="642"/>
        <v>0</v>
      </c>
      <c r="S2307" s="11"/>
      <c r="T2307" s="136">
        <f t="shared" si="639"/>
        <v>0</v>
      </c>
    </row>
    <row r="2308" spans="1:20" ht="15.75" customHeight="1">
      <c r="A2308" s="149">
        <v>30</v>
      </c>
      <c r="B2308" s="273"/>
      <c r="C2308" s="28" t="s">
        <v>1865</v>
      </c>
      <c r="D2308" s="71">
        <v>170</v>
      </c>
      <c r="E2308" s="131">
        <f t="shared" si="640"/>
        <v>0</v>
      </c>
      <c r="F2308" s="21">
        <f t="shared" si="644"/>
        <v>0</v>
      </c>
      <c r="G2308" s="21"/>
      <c r="H2308" s="135">
        <f t="shared" si="641"/>
        <v>0</v>
      </c>
      <c r="I2308" s="294">
        <v>43843</v>
      </c>
      <c r="J2308" s="294">
        <v>43906</v>
      </c>
      <c r="K2308" s="10">
        <f>110*1.5</f>
        <v>165</v>
      </c>
      <c r="L2308" s="11"/>
      <c r="M2308" s="11"/>
      <c r="N2308" s="100"/>
      <c r="O2308" s="11">
        <f t="shared" si="638"/>
        <v>165</v>
      </c>
      <c r="P2308" s="11">
        <f t="shared" si="643"/>
        <v>165</v>
      </c>
      <c r="Q2308" s="11"/>
      <c r="R2308" s="11">
        <f t="shared" si="642"/>
        <v>0</v>
      </c>
      <c r="S2308" s="11"/>
      <c r="T2308" s="136">
        <f t="shared" si="639"/>
        <v>0</v>
      </c>
    </row>
    <row r="2309" spans="1:20" ht="15.75" customHeight="1">
      <c r="A2309" s="149" t="s">
        <v>2427</v>
      </c>
      <c r="B2309" s="273"/>
      <c r="C2309" s="28" t="s">
        <v>1866</v>
      </c>
      <c r="D2309" s="71">
        <v>1130</v>
      </c>
      <c r="E2309" s="131">
        <f t="shared" si="640"/>
        <v>7040</v>
      </c>
      <c r="F2309" s="21">
        <f t="shared" si="644"/>
        <v>8518.4</v>
      </c>
      <c r="G2309" s="21"/>
      <c r="H2309" s="135">
        <f t="shared" si="641"/>
        <v>0</v>
      </c>
      <c r="I2309" s="294">
        <v>45226</v>
      </c>
      <c r="J2309" s="294"/>
      <c r="K2309" s="11">
        <v>4400</v>
      </c>
      <c r="L2309" s="11"/>
      <c r="M2309" s="11"/>
      <c r="N2309" s="100"/>
      <c r="O2309" s="11">
        <f t="shared" si="638"/>
        <v>4400</v>
      </c>
      <c r="P2309" s="11">
        <f t="shared" si="643"/>
        <v>4400</v>
      </c>
      <c r="Q2309" s="11">
        <v>1.6</v>
      </c>
      <c r="R2309" s="11">
        <f t="shared" si="642"/>
        <v>7040</v>
      </c>
      <c r="S2309" s="11"/>
      <c r="T2309" s="136">
        <f t="shared" si="639"/>
        <v>0</v>
      </c>
    </row>
    <row r="2310" spans="1:20" ht="15.75" customHeight="1">
      <c r="A2310" s="149" t="s">
        <v>2427</v>
      </c>
      <c r="B2310" s="273"/>
      <c r="C2310" s="28" t="s">
        <v>1867</v>
      </c>
      <c r="D2310" s="71">
        <v>450</v>
      </c>
      <c r="E2310" s="131">
        <f t="shared" si="640"/>
        <v>0</v>
      </c>
      <c r="F2310" s="21">
        <f t="shared" si="644"/>
        <v>0</v>
      </c>
      <c r="G2310" s="21"/>
      <c r="H2310" s="135">
        <f t="shared" si="641"/>
        <v>0</v>
      </c>
      <c r="I2310" s="294"/>
      <c r="J2310" s="294">
        <v>44230</v>
      </c>
      <c r="K2310" s="11">
        <f>550+69+95+75+85</f>
        <v>874</v>
      </c>
      <c r="L2310" s="11"/>
      <c r="M2310" s="11"/>
      <c r="N2310" s="100"/>
      <c r="O2310" s="11">
        <f t="shared" si="638"/>
        <v>874</v>
      </c>
      <c r="P2310" s="11">
        <f t="shared" si="643"/>
        <v>874</v>
      </c>
      <c r="Q2310" s="11"/>
      <c r="R2310" s="11">
        <f t="shared" si="642"/>
        <v>0</v>
      </c>
      <c r="S2310" s="11"/>
      <c r="T2310" s="136">
        <f t="shared" si="639"/>
        <v>0</v>
      </c>
    </row>
    <row r="2311" spans="1:20" ht="15.75" customHeight="1">
      <c r="A2311" s="149" t="s">
        <v>2427</v>
      </c>
      <c r="B2311" s="273"/>
      <c r="C2311" s="28" t="s">
        <v>1868</v>
      </c>
      <c r="D2311" s="71">
        <v>200</v>
      </c>
      <c r="E2311" s="131">
        <f t="shared" si="640"/>
        <v>0</v>
      </c>
      <c r="F2311" s="21">
        <f t="shared" si="644"/>
        <v>0</v>
      </c>
      <c r="G2311" s="21"/>
      <c r="H2311" s="135">
        <f t="shared" si="641"/>
        <v>0</v>
      </c>
      <c r="I2311" s="294"/>
      <c r="J2311" s="294">
        <v>44384</v>
      </c>
      <c r="K2311" s="32">
        <v>255</v>
      </c>
      <c r="L2311" s="32"/>
      <c r="M2311" s="11"/>
      <c r="N2311" s="100"/>
      <c r="O2311" s="11">
        <f t="shared" si="638"/>
        <v>255</v>
      </c>
      <c r="P2311" s="11">
        <f t="shared" si="643"/>
        <v>255</v>
      </c>
      <c r="Q2311" s="11"/>
      <c r="R2311" s="11">
        <f t="shared" si="642"/>
        <v>0</v>
      </c>
      <c r="S2311" s="11"/>
      <c r="T2311" s="136">
        <f t="shared" si="639"/>
        <v>0</v>
      </c>
    </row>
    <row r="2312" spans="1:20" ht="15.75" customHeight="1">
      <c r="A2312" s="149">
        <v>21</v>
      </c>
      <c r="B2312" s="273"/>
      <c r="C2312" s="28" t="s">
        <v>3711</v>
      </c>
      <c r="D2312" s="71">
        <v>850</v>
      </c>
      <c r="E2312" s="131">
        <f t="shared" si="640"/>
        <v>0</v>
      </c>
      <c r="F2312" s="21">
        <f t="shared" si="644"/>
        <v>0</v>
      </c>
      <c r="G2312" s="21"/>
      <c r="H2312" s="135">
        <f t="shared" si="641"/>
        <v>0</v>
      </c>
      <c r="I2312" s="294"/>
      <c r="J2312" s="294">
        <v>44711</v>
      </c>
      <c r="K2312" s="10">
        <f>+PROVEEDORES!$D$15*0.6*13.66</f>
        <v>7253.46</v>
      </c>
      <c r="L2312" s="32"/>
      <c r="M2312" s="32"/>
      <c r="N2312" s="100"/>
      <c r="O2312" s="11">
        <f t="shared" si="638"/>
        <v>7253.46</v>
      </c>
      <c r="P2312" s="11">
        <f t="shared" si="643"/>
        <v>7253.46</v>
      </c>
      <c r="Q2312" s="11"/>
      <c r="R2312" s="11">
        <f t="shared" si="642"/>
        <v>0</v>
      </c>
      <c r="S2312" s="11"/>
      <c r="T2312" s="136">
        <f t="shared" si="639"/>
        <v>0</v>
      </c>
    </row>
    <row r="2313" spans="1:20" ht="15.75" customHeight="1">
      <c r="A2313" s="149">
        <v>42</v>
      </c>
      <c r="B2313" s="273"/>
      <c r="C2313" s="28" t="s">
        <v>2757</v>
      </c>
      <c r="D2313" s="71">
        <v>630</v>
      </c>
      <c r="E2313" s="131">
        <f t="shared" si="640"/>
        <v>0</v>
      </c>
      <c r="F2313" s="21">
        <f t="shared" si="644"/>
        <v>0</v>
      </c>
      <c r="G2313" s="21"/>
      <c r="H2313" s="135">
        <f t="shared" si="641"/>
        <v>0</v>
      </c>
      <c r="I2313" s="294"/>
      <c r="J2313" s="294">
        <v>44168</v>
      </c>
      <c r="K2313" s="30">
        <v>480</v>
      </c>
      <c r="L2313" s="32"/>
      <c r="M2313" s="32"/>
      <c r="N2313" s="100"/>
      <c r="O2313" s="11">
        <f t="shared" si="638"/>
        <v>480</v>
      </c>
      <c r="P2313" s="11">
        <f t="shared" si="643"/>
        <v>480</v>
      </c>
      <c r="Q2313" s="11"/>
      <c r="R2313" s="11">
        <f t="shared" si="642"/>
        <v>0</v>
      </c>
      <c r="S2313" s="11"/>
      <c r="T2313" s="136">
        <f t="shared" si="639"/>
        <v>0</v>
      </c>
    </row>
    <row r="2314" spans="1:20" ht="15.75" customHeight="1">
      <c r="A2314" s="149">
        <v>36</v>
      </c>
      <c r="B2314" s="273"/>
      <c r="C2314" s="28" t="s">
        <v>2163</v>
      </c>
      <c r="D2314" s="71">
        <v>800</v>
      </c>
      <c r="E2314" s="131">
        <f t="shared" si="640"/>
        <v>0</v>
      </c>
      <c r="F2314" s="21">
        <f t="shared" si="644"/>
        <v>0</v>
      </c>
      <c r="G2314" s="21"/>
      <c r="H2314" s="135">
        <f t="shared" si="641"/>
        <v>0</v>
      </c>
      <c r="I2314" s="294"/>
      <c r="J2314" s="294">
        <v>44383</v>
      </c>
      <c r="K2314" s="32">
        <f>0.8*0.94*1119</f>
        <v>841.48800000000006</v>
      </c>
      <c r="L2314" s="30"/>
      <c r="M2314" s="32"/>
      <c r="N2314" s="100"/>
      <c r="O2314" s="11">
        <f t="shared" si="638"/>
        <v>841.48800000000006</v>
      </c>
      <c r="P2314" s="11">
        <f t="shared" si="643"/>
        <v>841.48800000000006</v>
      </c>
      <c r="Q2314" s="11"/>
      <c r="R2314" s="11">
        <f t="shared" si="642"/>
        <v>0</v>
      </c>
      <c r="S2314" s="11"/>
      <c r="T2314" s="136">
        <f t="shared" si="639"/>
        <v>0</v>
      </c>
    </row>
    <row r="2315" spans="1:20" ht="15.75" customHeight="1">
      <c r="A2315" s="149">
        <v>21</v>
      </c>
      <c r="B2315" s="273"/>
      <c r="C2315" s="28" t="s">
        <v>44310</v>
      </c>
      <c r="D2315" s="71">
        <v>760</v>
      </c>
      <c r="E2315" s="131">
        <f t="shared" si="640"/>
        <v>10400</v>
      </c>
      <c r="F2315" s="21">
        <f t="shared" si="644"/>
        <v>12584</v>
      </c>
      <c r="G2315" s="44"/>
      <c r="H2315" s="135">
        <f t="shared" si="641"/>
        <v>0</v>
      </c>
      <c r="I2315" s="294">
        <v>44921</v>
      </c>
      <c r="J2315" s="294">
        <v>45363</v>
      </c>
      <c r="K2315" s="10">
        <f>8382/ 1.21</f>
        <v>6927.272727272727</v>
      </c>
      <c r="L2315" s="32">
        <f>2930*3</f>
        <v>8790</v>
      </c>
      <c r="M2315" s="32"/>
      <c r="N2315" s="100"/>
      <c r="O2315" s="11">
        <f t="shared" si="638"/>
        <v>6927.272727272727</v>
      </c>
      <c r="P2315" s="11">
        <f t="shared" si="643"/>
        <v>6927.272727272727</v>
      </c>
      <c r="Q2315" s="11">
        <v>1.5</v>
      </c>
      <c r="R2315" s="11">
        <f t="shared" si="642"/>
        <v>10390.90909090909</v>
      </c>
      <c r="S2315" s="11"/>
      <c r="T2315" s="136">
        <f t="shared" si="639"/>
        <v>0</v>
      </c>
    </row>
    <row r="2316" spans="1:20" ht="15.75" customHeight="1">
      <c r="A2316" s="149">
        <v>36</v>
      </c>
      <c r="B2316" s="273"/>
      <c r="C2316" s="28" t="s">
        <v>3640</v>
      </c>
      <c r="D2316" s="71">
        <v>980</v>
      </c>
      <c r="E2316" s="131">
        <f t="shared" si="640"/>
        <v>0</v>
      </c>
      <c r="F2316" s="21">
        <f t="shared" si="644"/>
        <v>0</v>
      </c>
      <c r="G2316" s="21"/>
      <c r="H2316" s="135">
        <f t="shared" si="641"/>
        <v>0</v>
      </c>
      <c r="I2316" s="294">
        <v>45059</v>
      </c>
      <c r="J2316" s="294">
        <v>45118</v>
      </c>
      <c r="K2316" s="32">
        <f>0.8*0.94*5136</f>
        <v>3862.2719999999999</v>
      </c>
      <c r="L2316" s="247"/>
      <c r="M2316" s="32"/>
      <c r="N2316" s="32"/>
      <c r="O2316" s="11">
        <f t="shared" si="638"/>
        <v>3862.2719999999999</v>
      </c>
      <c r="P2316" s="11">
        <f t="shared" si="643"/>
        <v>3862.2719999999999</v>
      </c>
      <c r="Q2316" s="11"/>
      <c r="R2316" s="11">
        <f t="shared" si="642"/>
        <v>0</v>
      </c>
      <c r="S2316" s="11"/>
      <c r="T2316" s="136">
        <f t="shared" si="639"/>
        <v>0</v>
      </c>
    </row>
    <row r="2317" spans="1:20" ht="15.75" customHeight="1">
      <c r="A2317" s="149">
        <v>42</v>
      </c>
      <c r="B2317" s="273"/>
      <c r="C2317" s="28" t="s">
        <v>2756</v>
      </c>
      <c r="D2317" s="71">
        <v>1020</v>
      </c>
      <c r="E2317" s="131">
        <f t="shared" si="640"/>
        <v>0</v>
      </c>
      <c r="F2317" s="21">
        <f t="shared" si="644"/>
        <v>0</v>
      </c>
      <c r="G2317" s="21"/>
      <c r="H2317" s="135">
        <f t="shared" si="641"/>
        <v>0</v>
      </c>
      <c r="I2317" s="294"/>
      <c r="J2317" s="294">
        <v>44657</v>
      </c>
      <c r="K2317" s="30">
        <f>+PROVEEDORES!D36*12.43*1.2</f>
        <v>13200.659999999998</v>
      </c>
      <c r="L2317" s="32"/>
      <c r="M2317" s="32"/>
      <c r="N2317" s="100"/>
      <c r="O2317" s="11">
        <f t="shared" si="638"/>
        <v>13200.659999999998</v>
      </c>
      <c r="P2317" s="11">
        <f t="shared" si="643"/>
        <v>13200.659999999998</v>
      </c>
      <c r="Q2317" s="11"/>
      <c r="R2317" s="11">
        <f t="shared" si="642"/>
        <v>0</v>
      </c>
      <c r="S2317" s="11"/>
      <c r="T2317" s="136">
        <f t="shared" si="639"/>
        <v>0</v>
      </c>
    </row>
    <row r="2318" spans="1:20" ht="15.75" customHeight="1">
      <c r="A2318" s="149">
        <v>21</v>
      </c>
      <c r="B2318" s="273"/>
      <c r="C2318" s="28" t="s">
        <v>44311</v>
      </c>
      <c r="D2318" s="71">
        <v>760</v>
      </c>
      <c r="E2318" s="131">
        <f t="shared" si="640"/>
        <v>15000</v>
      </c>
      <c r="F2318" s="21">
        <f>+E2318*1.21</f>
        <v>18150</v>
      </c>
      <c r="G2318" s="44"/>
      <c r="H2318" s="135">
        <f t="shared" si="641"/>
        <v>0</v>
      </c>
      <c r="I2318" s="294"/>
      <c r="J2318" s="294">
        <v>45363</v>
      </c>
      <c r="K2318" s="10">
        <f>12096 /1.21</f>
        <v>9996.6942148760336</v>
      </c>
      <c r="L2318" s="32"/>
      <c r="M2318" s="32"/>
      <c r="N2318" s="100"/>
      <c r="O2318" s="11">
        <f t="shared" ref="O2318:O2383" si="645">MIN(K2318:M2318)</f>
        <v>9996.6942148760336</v>
      </c>
      <c r="P2318" s="11">
        <f t="shared" si="643"/>
        <v>9996.6942148760336</v>
      </c>
      <c r="Q2318" s="11">
        <v>1.5</v>
      </c>
      <c r="R2318" s="11">
        <f t="shared" si="642"/>
        <v>14995.041322314049</v>
      </c>
      <c r="S2318" s="11"/>
      <c r="T2318" s="136">
        <f t="shared" si="639"/>
        <v>0</v>
      </c>
    </row>
    <row r="2319" spans="1:20" ht="15.75" customHeight="1">
      <c r="A2319" s="149">
        <v>36</v>
      </c>
      <c r="B2319" s="273"/>
      <c r="C2319" s="28" t="s">
        <v>3641</v>
      </c>
      <c r="D2319" s="71">
        <v>1020</v>
      </c>
      <c r="E2319" s="131">
        <f t="shared" si="640"/>
        <v>0</v>
      </c>
      <c r="F2319" s="21">
        <f>+E2319*1.21</f>
        <v>0</v>
      </c>
      <c r="G2319" s="21"/>
      <c r="H2319" s="135">
        <f t="shared" si="641"/>
        <v>0</v>
      </c>
      <c r="I2319" s="294">
        <v>45059</v>
      </c>
      <c r="J2319" s="294">
        <v>45274</v>
      </c>
      <c r="K2319" s="32">
        <f>0.8*0.94*24485</f>
        <v>18412.72</v>
      </c>
      <c r="L2319" s="32"/>
      <c r="M2319" s="32"/>
      <c r="N2319" s="32"/>
      <c r="O2319" s="11">
        <f t="shared" si="645"/>
        <v>18412.72</v>
      </c>
      <c r="P2319" s="11">
        <f t="shared" si="643"/>
        <v>18412.72</v>
      </c>
      <c r="Q2319" s="11"/>
      <c r="R2319" s="11">
        <f t="shared" si="642"/>
        <v>0</v>
      </c>
      <c r="S2319" s="11"/>
      <c r="T2319" s="136">
        <f t="shared" ref="T2319:T2358" si="646">+N2319*Q2319</f>
        <v>0</v>
      </c>
    </row>
    <row r="2320" spans="1:20" ht="15.75" customHeight="1">
      <c r="A2320" s="149">
        <v>42</v>
      </c>
      <c r="B2320" s="273"/>
      <c r="C2320" s="28" t="s">
        <v>3447</v>
      </c>
      <c r="D2320" s="71">
        <v>1310</v>
      </c>
      <c r="E2320" s="131">
        <f t="shared" si="640"/>
        <v>0</v>
      </c>
      <c r="F2320" s="21">
        <f>+E2320*1.21</f>
        <v>0</v>
      </c>
      <c r="G2320" s="21"/>
      <c r="H2320" s="135">
        <f t="shared" si="641"/>
        <v>0</v>
      </c>
      <c r="I2320" s="294"/>
      <c r="J2320" s="294">
        <v>44658</v>
      </c>
      <c r="K2320" s="30">
        <f>+PROVEEDORES!D36*16.83</f>
        <v>14894.55</v>
      </c>
      <c r="L2320" s="32"/>
      <c r="M2320" s="32"/>
      <c r="N2320" s="100"/>
      <c r="O2320" s="11">
        <f t="shared" si="645"/>
        <v>14894.55</v>
      </c>
      <c r="P2320" s="11">
        <f t="shared" si="643"/>
        <v>14894.55</v>
      </c>
      <c r="Q2320" s="11"/>
      <c r="R2320" s="11">
        <f t="shared" si="642"/>
        <v>0</v>
      </c>
      <c r="S2320" s="11"/>
      <c r="T2320" s="136">
        <f t="shared" si="646"/>
        <v>0</v>
      </c>
    </row>
    <row r="2321" spans="1:20" ht="15.75" customHeight="1">
      <c r="A2321" s="149" t="s">
        <v>2417</v>
      </c>
      <c r="B2321" s="273"/>
      <c r="C2321" s="28" t="s">
        <v>1871</v>
      </c>
      <c r="D2321" s="71">
        <v>160</v>
      </c>
      <c r="E2321" s="131">
        <f t="shared" si="640"/>
        <v>0</v>
      </c>
      <c r="F2321" s="21" t="s">
        <v>1248</v>
      </c>
      <c r="G2321" s="21"/>
      <c r="H2321" s="135">
        <f t="shared" si="641"/>
        <v>0</v>
      </c>
      <c r="I2321" s="294">
        <v>43294</v>
      </c>
      <c r="J2321" s="294"/>
      <c r="K2321" s="11">
        <f>166*0.5*2</f>
        <v>166</v>
      </c>
      <c r="L2321" s="11"/>
      <c r="M2321" s="11"/>
      <c r="N2321" s="100"/>
      <c r="O2321" s="11">
        <f t="shared" si="645"/>
        <v>166</v>
      </c>
      <c r="P2321" s="11">
        <f t="shared" si="643"/>
        <v>166</v>
      </c>
      <c r="Q2321" s="11"/>
      <c r="R2321" s="11">
        <f t="shared" si="642"/>
        <v>0</v>
      </c>
      <c r="S2321" s="11"/>
      <c r="T2321" s="136">
        <f t="shared" si="646"/>
        <v>0</v>
      </c>
    </row>
    <row r="2322" spans="1:20" ht="15.75" customHeight="1">
      <c r="A2322" s="149" t="s">
        <v>2398</v>
      </c>
      <c r="B2322" s="273">
        <f>ROUNDUP(E2322*1.105,-1)</f>
        <v>143570</v>
      </c>
      <c r="C2322" s="28" t="s">
        <v>37181</v>
      </c>
      <c r="D2322" s="71">
        <v>5760</v>
      </c>
      <c r="E2322" s="131">
        <f t="shared" si="640"/>
        <v>129920</v>
      </c>
      <c r="F2322" s="21">
        <f t="shared" ref="F2322:F2333" si="647">+E2322*1.21</f>
        <v>157203.19999999998</v>
      </c>
      <c r="G2322" s="44"/>
      <c r="H2322" s="135">
        <f t="shared" si="641"/>
        <v>0</v>
      </c>
      <c r="I2322" s="23">
        <v>45323</v>
      </c>
      <c r="J2322" s="294"/>
      <c r="K2322" s="10">
        <f>0.8*0.98*0.94*127744</f>
        <v>94142.218239999987</v>
      </c>
      <c r="L2322" s="10"/>
      <c r="M2322" s="11"/>
      <c r="N2322" s="100"/>
      <c r="O2322" s="11">
        <f t="shared" si="645"/>
        <v>94142.218239999987</v>
      </c>
      <c r="P2322" s="11">
        <f>+O2322*'AUMENTOS %'!$B$5</f>
        <v>94142.218239999987</v>
      </c>
      <c r="Q2322" s="11">
        <v>1.38</v>
      </c>
      <c r="R2322" s="11">
        <f t="shared" si="642"/>
        <v>129916.26117119998</v>
      </c>
      <c r="S2322" s="11"/>
      <c r="T2322" s="136">
        <f t="shared" si="646"/>
        <v>0</v>
      </c>
    </row>
    <row r="2323" spans="1:20" ht="15.75" customHeight="1">
      <c r="A2323" s="149">
        <v>12</v>
      </c>
      <c r="B2323" s="273"/>
      <c r="C2323" s="28" t="s">
        <v>37273</v>
      </c>
      <c r="D2323" s="71"/>
      <c r="E2323" s="131">
        <f t="shared" si="640"/>
        <v>2990</v>
      </c>
      <c r="F2323" s="21">
        <f t="shared" si="647"/>
        <v>3617.9</v>
      </c>
      <c r="G2323" s="21"/>
      <c r="H2323" s="135">
        <f t="shared" si="641"/>
        <v>0</v>
      </c>
      <c r="I2323" s="294">
        <v>45274</v>
      </c>
      <c r="J2323" s="23"/>
      <c r="K2323" s="11">
        <v>1993</v>
      </c>
      <c r="L2323" s="11"/>
      <c r="M2323" s="10"/>
      <c r="N2323" s="100"/>
      <c r="O2323" s="11">
        <f>MIN(K2323:M2323)</f>
        <v>1993</v>
      </c>
      <c r="P2323" s="11">
        <f>+O2323</f>
        <v>1993</v>
      </c>
      <c r="Q2323" s="11">
        <v>1.5</v>
      </c>
      <c r="R2323" s="11">
        <f t="shared" si="642"/>
        <v>2989.5</v>
      </c>
      <c r="S2323" s="11"/>
      <c r="T2323" s="136">
        <f>+N2323*Q2323</f>
        <v>0</v>
      </c>
    </row>
    <row r="2324" spans="1:20" ht="15.75" customHeight="1">
      <c r="A2324" s="149" t="s">
        <v>2403</v>
      </c>
      <c r="B2324" s="273"/>
      <c r="C2324" s="28" t="s">
        <v>1869</v>
      </c>
      <c r="D2324" s="71">
        <v>600</v>
      </c>
      <c r="E2324" s="131">
        <f t="shared" si="640"/>
        <v>0</v>
      </c>
      <c r="F2324" s="21">
        <f t="shared" si="647"/>
        <v>0</v>
      </c>
      <c r="G2324" s="21"/>
      <c r="H2324" s="135">
        <f t="shared" si="641"/>
        <v>0</v>
      </c>
      <c r="I2324" s="294">
        <v>45217</v>
      </c>
      <c r="J2324" s="294"/>
      <c r="K2324" s="32"/>
      <c r="L2324" s="32">
        <f>+L2326/3</f>
        <v>5201</v>
      </c>
      <c r="M2324" s="11">
        <f>+K2326/3*1.5</f>
        <v>0</v>
      </c>
      <c r="N2324" s="100"/>
      <c r="O2324" s="11">
        <f t="shared" si="645"/>
        <v>0</v>
      </c>
      <c r="P2324" s="11">
        <f t="shared" si="643"/>
        <v>0</v>
      </c>
      <c r="Q2324" s="11">
        <v>1.5</v>
      </c>
      <c r="R2324" s="11">
        <f t="shared" si="642"/>
        <v>0</v>
      </c>
      <c r="S2324" s="11"/>
      <c r="T2324" s="136">
        <f t="shared" si="646"/>
        <v>0</v>
      </c>
    </row>
    <row r="2325" spans="1:20" ht="15.75" customHeight="1">
      <c r="A2325" s="149" t="s">
        <v>2403</v>
      </c>
      <c r="B2325" s="273"/>
      <c r="C2325" s="28" t="s">
        <v>3390</v>
      </c>
      <c r="D2325" s="71">
        <v>790</v>
      </c>
      <c r="E2325" s="131">
        <f t="shared" si="640"/>
        <v>15610</v>
      </c>
      <c r="F2325" s="21">
        <f t="shared" si="647"/>
        <v>18888.099999999999</v>
      </c>
      <c r="G2325" s="21"/>
      <c r="H2325" s="135">
        <f t="shared" si="641"/>
        <v>0</v>
      </c>
      <c r="I2325" s="294">
        <v>45274</v>
      </c>
      <c r="J2325" s="294">
        <v>45335</v>
      </c>
      <c r="K2325" s="32"/>
      <c r="L2325" s="32">
        <f>0.6*17338</f>
        <v>10402.799999999999</v>
      </c>
      <c r="M2325" s="11"/>
      <c r="N2325" s="100"/>
      <c r="O2325" s="11">
        <f t="shared" si="645"/>
        <v>10402.799999999999</v>
      </c>
      <c r="P2325" s="11">
        <f t="shared" si="643"/>
        <v>10402.799999999999</v>
      </c>
      <c r="Q2325" s="11">
        <v>1.5</v>
      </c>
      <c r="R2325" s="11">
        <f t="shared" si="642"/>
        <v>15604.199999999999</v>
      </c>
      <c r="S2325" s="11"/>
      <c r="T2325" s="136">
        <f t="shared" si="646"/>
        <v>0</v>
      </c>
    </row>
    <row r="2326" spans="1:20" ht="15.75" customHeight="1">
      <c r="A2326" s="149" t="s">
        <v>2403</v>
      </c>
      <c r="B2326" s="302"/>
      <c r="C2326" s="285" t="s">
        <v>3391</v>
      </c>
      <c r="D2326" s="71">
        <v>1190</v>
      </c>
      <c r="E2326" s="131">
        <f>ROUNDUP(R2326,-1)</f>
        <v>23410</v>
      </c>
      <c r="F2326" s="21">
        <f>+E2326*1.21</f>
        <v>28326.1</v>
      </c>
      <c r="G2326" s="21"/>
      <c r="H2326" s="135">
        <f>ROUNDUP(T2326,-1)</f>
        <v>0</v>
      </c>
      <c r="I2326" s="294">
        <v>45282</v>
      </c>
      <c r="J2326" s="294">
        <v>45376</v>
      </c>
      <c r="K2326" s="32"/>
      <c r="L2326" s="32">
        <f>0.6*26005</f>
        <v>15603</v>
      </c>
      <c r="M2326" s="11">
        <f>(43200/1.21/6*3)</f>
        <v>17851.239669421488</v>
      </c>
      <c r="N2326" s="239"/>
      <c r="O2326" s="11">
        <f>MIN(K2326:M2326)</f>
        <v>15603</v>
      </c>
      <c r="P2326" s="11">
        <f t="shared" si="643"/>
        <v>15603</v>
      </c>
      <c r="Q2326" s="11">
        <v>1.5</v>
      </c>
      <c r="R2326" s="11">
        <f t="shared" si="642"/>
        <v>23404.5</v>
      </c>
      <c r="S2326" s="11"/>
      <c r="T2326" s="136">
        <f>+N2326*Q2326</f>
        <v>0</v>
      </c>
    </row>
    <row r="2327" spans="1:20" ht="15.75" customHeight="1">
      <c r="A2327" s="149" t="s">
        <v>2403</v>
      </c>
      <c r="B2327" s="273"/>
      <c r="C2327" s="28" t="s">
        <v>2924</v>
      </c>
      <c r="D2327" s="71">
        <v>790</v>
      </c>
      <c r="E2327" s="131">
        <f t="shared" si="640"/>
        <v>23810</v>
      </c>
      <c r="F2327" s="21">
        <f t="shared" si="647"/>
        <v>28810.1</v>
      </c>
      <c r="G2327" s="21"/>
      <c r="H2327" s="135">
        <f t="shared" si="641"/>
        <v>0</v>
      </c>
      <c r="I2327" s="294">
        <v>45274</v>
      </c>
      <c r="J2327" s="294">
        <v>45335</v>
      </c>
      <c r="K2327" s="32"/>
      <c r="L2327" s="32">
        <f>+L2328/3*2</f>
        <v>31207.199999999997</v>
      </c>
      <c r="M2327" s="11">
        <f>+M2328/3*2</f>
        <v>15867.768595041323</v>
      </c>
      <c r="N2327" s="100"/>
      <c r="O2327" s="11">
        <f t="shared" si="645"/>
        <v>15867.768595041323</v>
      </c>
      <c r="P2327" s="11">
        <f t="shared" si="643"/>
        <v>15867.768595041323</v>
      </c>
      <c r="Q2327" s="11">
        <v>1.5</v>
      </c>
      <c r="R2327" s="11">
        <f t="shared" si="642"/>
        <v>23801.652892561986</v>
      </c>
      <c r="S2327" s="11"/>
      <c r="T2327" s="136">
        <f t="shared" si="646"/>
        <v>0</v>
      </c>
    </row>
    <row r="2328" spans="1:20" ht="15.75" customHeight="1">
      <c r="A2328" s="149" t="s">
        <v>2403</v>
      </c>
      <c r="B2328" s="302"/>
      <c r="C2328" s="285" t="s">
        <v>44190</v>
      </c>
      <c r="D2328" s="71">
        <v>1190</v>
      </c>
      <c r="E2328" s="131">
        <f t="shared" si="640"/>
        <v>35710</v>
      </c>
      <c r="F2328" s="21">
        <f t="shared" si="647"/>
        <v>43209.1</v>
      </c>
      <c r="G2328" s="21"/>
      <c r="H2328" s="135">
        <f t="shared" si="641"/>
        <v>0</v>
      </c>
      <c r="I2328" s="294">
        <v>45282</v>
      </c>
      <c r="J2328" s="294">
        <v>45356</v>
      </c>
      <c r="K2328" s="32"/>
      <c r="L2328" s="32">
        <f>0.6*39009*2</f>
        <v>46810.799999999996</v>
      </c>
      <c r="M2328" s="11">
        <f>(57600/1.21/6*3)</f>
        <v>23801.652892561986</v>
      </c>
      <c r="N2328" s="239"/>
      <c r="O2328" s="11">
        <f t="shared" si="645"/>
        <v>23801.652892561986</v>
      </c>
      <c r="P2328" s="11">
        <f t="shared" si="643"/>
        <v>23801.652892561986</v>
      </c>
      <c r="Q2328" s="11">
        <v>1.5</v>
      </c>
      <c r="R2328" s="11">
        <f t="shared" si="642"/>
        <v>35702.479338842983</v>
      </c>
      <c r="S2328" s="11"/>
      <c r="T2328" s="136">
        <f t="shared" si="646"/>
        <v>0</v>
      </c>
    </row>
    <row r="2329" spans="1:20" ht="15.75" customHeight="1">
      <c r="A2329" s="149"/>
      <c r="B2329" s="273"/>
      <c r="C2329" s="28" t="s">
        <v>62685</v>
      </c>
      <c r="D2329" s="71">
        <v>1190</v>
      </c>
      <c r="E2329" s="131">
        <f>ROUNDUP(R2329,-1)</f>
        <v>35710</v>
      </c>
      <c r="F2329" s="21">
        <f>+E2329*1.21</f>
        <v>43209.1</v>
      </c>
      <c r="G2329" s="21"/>
      <c r="H2329" s="135">
        <f>ROUNDUP(T2329,-1)</f>
        <v>0</v>
      </c>
      <c r="I2329" s="294"/>
      <c r="J2329" s="40">
        <v>45376</v>
      </c>
      <c r="K2329" s="32">
        <f>47604/2</f>
        <v>23802</v>
      </c>
      <c r="L2329" s="32"/>
      <c r="M2329" s="148"/>
      <c r="N2329" s="239"/>
      <c r="O2329" s="11">
        <f>MIN(K2329:M2329)</f>
        <v>23802</v>
      </c>
      <c r="P2329" s="11">
        <f t="shared" si="643"/>
        <v>23802</v>
      </c>
      <c r="Q2329" s="11">
        <v>1.5</v>
      </c>
      <c r="R2329" s="11">
        <f t="shared" si="642"/>
        <v>35703</v>
      </c>
      <c r="S2329" s="11"/>
      <c r="T2329" s="136">
        <f>+N2329*Q2329</f>
        <v>0</v>
      </c>
    </row>
    <row r="2330" spans="1:20" ht="15.75" customHeight="1">
      <c r="A2330" s="149"/>
      <c r="B2330" s="273"/>
      <c r="C2330" s="28" t="s">
        <v>2172</v>
      </c>
      <c r="D2330" s="71">
        <v>1650</v>
      </c>
      <c r="E2330" s="131">
        <f t="shared" si="640"/>
        <v>34720</v>
      </c>
      <c r="F2330" s="21">
        <f t="shared" si="647"/>
        <v>42011.199999999997</v>
      </c>
      <c r="G2330" s="21">
        <v>34800</v>
      </c>
      <c r="H2330" s="135">
        <f t="shared" si="641"/>
        <v>0</v>
      </c>
      <c r="I2330" s="294">
        <v>45282</v>
      </c>
      <c r="J2330" s="294">
        <v>45351</v>
      </c>
      <c r="K2330" s="32">
        <f>28000/ 1.21</f>
        <v>23140.495867768597</v>
      </c>
      <c r="L2330" s="247"/>
      <c r="M2330" s="11"/>
      <c r="N2330" s="100"/>
      <c r="O2330" s="11">
        <f t="shared" si="645"/>
        <v>23140.495867768597</v>
      </c>
      <c r="P2330" s="11">
        <f t="shared" si="643"/>
        <v>23140.495867768597</v>
      </c>
      <c r="Q2330" s="11">
        <v>1.5</v>
      </c>
      <c r="R2330" s="11">
        <f t="shared" si="642"/>
        <v>34710.743801652898</v>
      </c>
      <c r="S2330" s="11"/>
      <c r="T2330" s="136">
        <f t="shared" si="646"/>
        <v>0</v>
      </c>
    </row>
    <row r="2331" spans="1:20" ht="15.75" customHeight="1">
      <c r="A2331" s="149"/>
      <c r="B2331" s="273"/>
      <c r="C2331" s="28" t="s">
        <v>2173</v>
      </c>
      <c r="D2331" s="71">
        <v>1430</v>
      </c>
      <c r="E2331" s="131">
        <f t="shared" si="640"/>
        <v>30380</v>
      </c>
      <c r="F2331" s="21">
        <f t="shared" si="647"/>
        <v>36759.799999999996</v>
      </c>
      <c r="G2331" s="21"/>
      <c r="H2331" s="135">
        <f t="shared" si="641"/>
        <v>0</v>
      </c>
      <c r="I2331" s="294">
        <v>45282</v>
      </c>
      <c r="J2331" s="294">
        <v>45356</v>
      </c>
      <c r="K2331" s="32">
        <f>24500 /1.21</f>
        <v>20247.933884297523</v>
      </c>
      <c r="L2331" s="32"/>
      <c r="M2331" s="11"/>
      <c r="N2331" s="100"/>
      <c r="O2331" s="11">
        <f t="shared" si="645"/>
        <v>20247.933884297523</v>
      </c>
      <c r="P2331" s="11">
        <f t="shared" si="643"/>
        <v>20247.933884297523</v>
      </c>
      <c r="Q2331" s="11">
        <v>1.5</v>
      </c>
      <c r="R2331" s="11">
        <f t="shared" si="642"/>
        <v>30371.900826446283</v>
      </c>
      <c r="S2331" s="11"/>
      <c r="T2331" s="136">
        <f t="shared" si="646"/>
        <v>0</v>
      </c>
    </row>
    <row r="2332" spans="1:20" ht="15.75" customHeight="1">
      <c r="A2332" s="149">
        <v>44</v>
      </c>
      <c r="B2332" s="273">
        <f>ROUNDUP(H2332*1.105,-1)</f>
        <v>36700</v>
      </c>
      <c r="C2332" s="28" t="s">
        <v>1870</v>
      </c>
      <c r="D2332" s="71">
        <v>1390</v>
      </c>
      <c r="E2332" s="140">
        <f t="shared" si="640"/>
        <v>32150</v>
      </c>
      <c r="F2332" s="21">
        <f t="shared" si="647"/>
        <v>38901.5</v>
      </c>
      <c r="G2332" s="21"/>
      <c r="H2332" s="135">
        <f t="shared" si="641"/>
        <v>33210</v>
      </c>
      <c r="I2332" s="294">
        <v>45287</v>
      </c>
      <c r="J2332" s="294">
        <v>45376</v>
      </c>
      <c r="K2332" s="10">
        <f>+PROVEEDORES!$D$38*32.75</f>
        <v>28983.75</v>
      </c>
      <c r="L2332" s="11"/>
      <c r="M2332" s="11">
        <v>22960</v>
      </c>
      <c r="N2332" s="100">
        <v>23718</v>
      </c>
      <c r="O2332" s="11">
        <f t="shared" si="645"/>
        <v>22960</v>
      </c>
      <c r="P2332" s="11">
        <f t="shared" si="643"/>
        <v>22960</v>
      </c>
      <c r="Q2332" s="11">
        <v>1.4</v>
      </c>
      <c r="R2332" s="11">
        <f t="shared" si="642"/>
        <v>32143.999999999996</v>
      </c>
      <c r="S2332" s="11"/>
      <c r="T2332" s="136">
        <f t="shared" si="646"/>
        <v>33205.199999999997</v>
      </c>
    </row>
    <row r="2333" spans="1:20" ht="15.75" customHeight="1">
      <c r="A2333" s="149">
        <v>50</v>
      </c>
      <c r="B2333" s="273">
        <f>ROUNDUP(E2333*1.105,-1)</f>
        <v>46700</v>
      </c>
      <c r="C2333" s="28" t="s">
        <v>44255</v>
      </c>
      <c r="D2333" s="170">
        <v>1530</v>
      </c>
      <c r="E2333" s="139">
        <f t="shared" si="640"/>
        <v>42260</v>
      </c>
      <c r="F2333" s="21">
        <f t="shared" si="647"/>
        <v>51134.6</v>
      </c>
      <c r="G2333" s="21"/>
      <c r="H2333" s="135">
        <f t="shared" si="641"/>
        <v>39000</v>
      </c>
      <c r="I2333" s="294">
        <v>45385</v>
      </c>
      <c r="J2333" s="294"/>
      <c r="K2333" s="43">
        <f>PROVEEDORES!$D$44*0.58*58.8</f>
        <v>30182.039999999997</v>
      </c>
      <c r="L2333" s="11"/>
      <c r="M2333" s="11"/>
      <c r="N2333" s="171">
        <f>PROVEEDORES!$D$44*0.5985*52.58</f>
        <v>27850.180049999999</v>
      </c>
      <c r="O2333" s="11">
        <f t="shared" si="645"/>
        <v>30182.039999999997</v>
      </c>
      <c r="P2333" s="11">
        <f t="shared" si="643"/>
        <v>30182.039999999997</v>
      </c>
      <c r="Q2333" s="11">
        <v>1.4</v>
      </c>
      <c r="R2333" s="11">
        <f t="shared" si="642"/>
        <v>42254.855999999992</v>
      </c>
      <c r="S2333" s="11"/>
      <c r="T2333" s="136">
        <f t="shared" si="646"/>
        <v>38990.252069999995</v>
      </c>
    </row>
    <row r="2334" spans="1:20" ht="15.75" customHeight="1">
      <c r="A2334" s="149"/>
      <c r="B2334" s="273"/>
      <c r="C2334" s="28" t="s">
        <v>1872</v>
      </c>
      <c r="D2334" s="71">
        <v>46590</v>
      </c>
      <c r="E2334" s="131">
        <f t="shared" si="640"/>
        <v>0</v>
      </c>
      <c r="F2334" s="21" t="s">
        <v>1248</v>
      </c>
      <c r="G2334" s="21"/>
      <c r="H2334" s="135">
        <f t="shared" si="641"/>
        <v>0</v>
      </c>
      <c r="I2334" s="294"/>
      <c r="J2334" s="294">
        <v>42016</v>
      </c>
      <c r="K2334" s="10">
        <f>745*0.9*105*1.32</f>
        <v>92931.3</v>
      </c>
      <c r="L2334" s="11"/>
      <c r="M2334" s="11"/>
      <c r="N2334" s="100"/>
      <c r="O2334" s="11">
        <f t="shared" si="645"/>
        <v>92931.3</v>
      </c>
      <c r="P2334" s="11">
        <f t="shared" si="643"/>
        <v>92931.3</v>
      </c>
      <c r="Q2334" s="11"/>
      <c r="R2334" s="11">
        <f t="shared" si="642"/>
        <v>0</v>
      </c>
      <c r="S2334" s="11"/>
      <c r="T2334" s="136">
        <f t="shared" si="646"/>
        <v>0</v>
      </c>
    </row>
    <row r="2335" spans="1:20" ht="15.75" customHeight="1">
      <c r="A2335" s="149"/>
      <c r="B2335" s="273"/>
      <c r="C2335" s="28" t="s">
        <v>1873</v>
      </c>
      <c r="D2335" s="71">
        <v>14660</v>
      </c>
      <c r="E2335" s="131">
        <f t="shared" si="640"/>
        <v>0</v>
      </c>
      <c r="F2335" s="21" t="s">
        <v>1248</v>
      </c>
      <c r="G2335" s="21"/>
      <c r="H2335" s="135">
        <f t="shared" si="641"/>
        <v>0</v>
      </c>
      <c r="I2335" s="294">
        <v>41697</v>
      </c>
      <c r="J2335" s="294"/>
      <c r="K2335" s="10">
        <f>+(7513+3764)*1.3</f>
        <v>14660.1</v>
      </c>
      <c r="L2335" s="11"/>
      <c r="M2335" s="11"/>
      <c r="N2335" s="100"/>
      <c r="O2335" s="11">
        <f t="shared" si="645"/>
        <v>14660.1</v>
      </c>
      <c r="P2335" s="11">
        <f t="shared" si="643"/>
        <v>14660.1</v>
      </c>
      <c r="Q2335" s="11"/>
      <c r="R2335" s="11">
        <f t="shared" si="642"/>
        <v>0</v>
      </c>
      <c r="S2335" s="11"/>
      <c r="T2335" s="136">
        <f t="shared" si="646"/>
        <v>0</v>
      </c>
    </row>
    <row r="2336" spans="1:20" ht="15.75" customHeight="1">
      <c r="A2336" s="149"/>
      <c r="B2336" s="273"/>
      <c r="C2336" s="28" t="s">
        <v>1874</v>
      </c>
      <c r="D2336" s="71">
        <v>56210</v>
      </c>
      <c r="E2336" s="131">
        <f t="shared" si="640"/>
        <v>0</v>
      </c>
      <c r="F2336" s="21" t="s">
        <v>1248</v>
      </c>
      <c r="G2336" s="21"/>
      <c r="H2336" s="135">
        <f t="shared" si="641"/>
        <v>0</v>
      </c>
      <c r="I2336" s="294"/>
      <c r="J2336" s="294">
        <v>42016</v>
      </c>
      <c r="K2336" s="10">
        <f>40154*0.85*1.35+8830*0.85*1.35</f>
        <v>56209.140000000007</v>
      </c>
      <c r="L2336" s="11"/>
      <c r="M2336" s="11"/>
      <c r="N2336" s="100"/>
      <c r="O2336" s="11">
        <f t="shared" si="645"/>
        <v>56209.140000000007</v>
      </c>
      <c r="P2336" s="11">
        <f t="shared" si="643"/>
        <v>56209.140000000007</v>
      </c>
      <c r="Q2336" s="11"/>
      <c r="R2336" s="11">
        <f t="shared" si="642"/>
        <v>0</v>
      </c>
      <c r="S2336" s="11"/>
      <c r="T2336" s="136">
        <f t="shared" si="646"/>
        <v>0</v>
      </c>
    </row>
    <row r="2337" spans="1:20" ht="15.75" customHeight="1">
      <c r="A2337" s="149">
        <v>41</v>
      </c>
      <c r="B2337" s="273"/>
      <c r="C2337" s="28" t="s">
        <v>4315</v>
      </c>
      <c r="D2337" s="71">
        <v>25860</v>
      </c>
      <c r="E2337" s="132">
        <f t="shared" si="640"/>
        <v>1758580</v>
      </c>
      <c r="F2337" s="21" t="s">
        <v>1248</v>
      </c>
      <c r="G2337" s="21">
        <f>+E2337*1.105</f>
        <v>1943230.9</v>
      </c>
      <c r="H2337" s="135">
        <f t="shared" si="641"/>
        <v>1523860</v>
      </c>
      <c r="I2337" s="294">
        <v>45311</v>
      </c>
      <c r="J2337" s="294"/>
      <c r="K2337" s="10">
        <f>+PROVEEDORES!$D$35*0.9*0.9*(1190+313)</f>
        <v>1302650.1000000001</v>
      </c>
      <c r="L2337" s="148"/>
      <c r="M2337" s="11"/>
      <c r="N2337" s="100">
        <f>0.9*0.95*0.95*(1107600+282100)</f>
        <v>1128783.825</v>
      </c>
      <c r="O2337" s="11">
        <f t="shared" si="645"/>
        <v>1302650.1000000001</v>
      </c>
      <c r="P2337" s="11">
        <f t="shared" ref="P2337:P2401" si="648">+O2337</f>
        <v>1302650.1000000001</v>
      </c>
      <c r="Q2337" s="11">
        <v>1.35</v>
      </c>
      <c r="R2337" s="11">
        <f t="shared" ref="R2337:R2401" si="649">+P2337*Q2337</f>
        <v>1758577.6350000002</v>
      </c>
      <c r="S2337" s="11"/>
      <c r="T2337" s="136">
        <f t="shared" si="646"/>
        <v>1523858.1637500001</v>
      </c>
    </row>
    <row r="2338" spans="1:20" ht="15.75" customHeight="1">
      <c r="A2338" s="149">
        <v>69</v>
      </c>
      <c r="B2338" s="273"/>
      <c r="C2338" s="28" t="s">
        <v>2565</v>
      </c>
      <c r="D2338" s="71">
        <v>3751</v>
      </c>
      <c r="E2338" s="131">
        <f t="shared" ref="E2338:E2402" si="650">ROUNDUP(R2338,-1)</f>
        <v>0</v>
      </c>
      <c r="F2338" s="21">
        <f t="shared" ref="F2338:F2361" si="651">+E2338*1.21</f>
        <v>0</v>
      </c>
      <c r="G2338" s="21"/>
      <c r="H2338" s="135">
        <f t="shared" ref="H2338:H2402" si="652">ROUNDUP(T2338,-1)</f>
        <v>0</v>
      </c>
      <c r="I2338" s="294"/>
      <c r="J2338" s="294">
        <v>44054</v>
      </c>
      <c r="K2338" s="11">
        <f>6612*2</f>
        <v>13224</v>
      </c>
      <c r="L2338" s="11"/>
      <c r="M2338" s="10"/>
      <c r="N2338" s="100"/>
      <c r="O2338" s="11">
        <f>MIN(K2338:M2338)*'AUMENTOS %'!$B$9</f>
        <v>13224</v>
      </c>
      <c r="P2338" s="11">
        <f t="shared" si="648"/>
        <v>13224</v>
      </c>
      <c r="Q2338" s="11"/>
      <c r="R2338" s="11">
        <f t="shared" si="649"/>
        <v>0</v>
      </c>
      <c r="S2338" s="11"/>
      <c r="T2338" s="136">
        <f t="shared" si="646"/>
        <v>0</v>
      </c>
    </row>
    <row r="2339" spans="1:20" ht="15.75" customHeight="1">
      <c r="A2339" s="149">
        <v>38</v>
      </c>
      <c r="B2339" s="273"/>
      <c r="C2339" s="28" t="s">
        <v>3531</v>
      </c>
      <c r="D2339" s="71"/>
      <c r="E2339" s="131">
        <f t="shared" si="650"/>
        <v>11130</v>
      </c>
      <c r="F2339" s="21">
        <f t="shared" si="651"/>
        <v>13467.3</v>
      </c>
      <c r="G2339" s="21"/>
      <c r="H2339" s="135">
        <f t="shared" si="652"/>
        <v>0</v>
      </c>
      <c r="I2339" s="294">
        <v>45138</v>
      </c>
      <c r="J2339" s="294"/>
      <c r="K2339" s="11">
        <f>+'AUMENTOS %'!D14*PROVEEDORES!D18*0.5*33.2*2</f>
        <v>35192</v>
      </c>
      <c r="L2339" s="11">
        <f>+'AUMENTOS %'!C14*7416</f>
        <v>7416</v>
      </c>
      <c r="M2339" s="10"/>
      <c r="N2339" s="100"/>
      <c r="O2339" s="11">
        <f t="shared" si="645"/>
        <v>7416</v>
      </c>
      <c r="P2339" s="11">
        <f t="shared" si="648"/>
        <v>7416</v>
      </c>
      <c r="Q2339" s="11">
        <v>1.5</v>
      </c>
      <c r="R2339" s="11">
        <f t="shared" si="649"/>
        <v>11124</v>
      </c>
      <c r="S2339" s="11"/>
      <c r="T2339" s="136">
        <f t="shared" si="646"/>
        <v>0</v>
      </c>
    </row>
    <row r="2340" spans="1:20" ht="15.75" customHeight="1">
      <c r="A2340" s="149">
        <v>12</v>
      </c>
      <c r="B2340" s="273"/>
      <c r="C2340" s="28" t="s">
        <v>3767</v>
      </c>
      <c r="D2340" s="71"/>
      <c r="E2340" s="131">
        <f t="shared" si="650"/>
        <v>9090</v>
      </c>
      <c r="F2340" s="21">
        <f t="shared" si="651"/>
        <v>10998.9</v>
      </c>
      <c r="G2340" s="21"/>
      <c r="H2340" s="135">
        <f t="shared" si="652"/>
        <v>7830</v>
      </c>
      <c r="I2340" s="294">
        <v>45274</v>
      </c>
      <c r="J2340" s="23">
        <v>45338</v>
      </c>
      <c r="K2340" s="11">
        <v>6059</v>
      </c>
      <c r="L2340" s="11"/>
      <c r="M2340" s="10"/>
      <c r="N2340" s="100">
        <v>5215</v>
      </c>
      <c r="O2340" s="11">
        <f t="shared" si="645"/>
        <v>6059</v>
      </c>
      <c r="P2340" s="11">
        <f t="shared" si="648"/>
        <v>6059</v>
      </c>
      <c r="Q2340" s="11">
        <v>1.5</v>
      </c>
      <c r="R2340" s="11">
        <f t="shared" si="649"/>
        <v>9088.5</v>
      </c>
      <c r="S2340" s="11"/>
      <c r="T2340" s="136">
        <f t="shared" si="646"/>
        <v>7822.5</v>
      </c>
    </row>
    <row r="2341" spans="1:20" ht="15.75" customHeight="1">
      <c r="A2341" s="149">
        <v>12</v>
      </c>
      <c r="B2341" s="273"/>
      <c r="C2341" s="28" t="s">
        <v>62630</v>
      </c>
      <c r="D2341" s="71"/>
      <c r="E2341" s="131">
        <f t="shared" ref="E2341" si="653">ROUNDUP(R2341,-1)</f>
        <v>7710</v>
      </c>
      <c r="F2341" s="21">
        <f t="shared" ref="F2341" si="654">+E2341*1.21</f>
        <v>9329.1</v>
      </c>
      <c r="G2341" s="21"/>
      <c r="H2341" s="135">
        <f t="shared" ref="H2341" si="655">ROUNDUP(T2341,-1)</f>
        <v>7830</v>
      </c>
      <c r="I2341" s="294">
        <v>45274</v>
      </c>
      <c r="J2341" s="23">
        <v>45348</v>
      </c>
      <c r="K2341" s="11">
        <v>5134</v>
      </c>
      <c r="L2341" s="11"/>
      <c r="M2341" s="10"/>
      <c r="N2341" s="100">
        <v>5215</v>
      </c>
      <c r="O2341" s="11">
        <f t="shared" ref="O2341" si="656">MIN(K2341:M2341)</f>
        <v>5134</v>
      </c>
      <c r="P2341" s="11">
        <f t="shared" ref="P2341" si="657">+O2341</f>
        <v>5134</v>
      </c>
      <c r="Q2341" s="11">
        <v>1.5</v>
      </c>
      <c r="R2341" s="11">
        <f t="shared" ref="R2341" si="658">+P2341*Q2341</f>
        <v>7701</v>
      </c>
      <c r="S2341" s="11"/>
      <c r="T2341" s="136">
        <f t="shared" ref="T2341" si="659">+N2341*Q2341</f>
        <v>7822.5</v>
      </c>
    </row>
    <row r="2342" spans="1:20" ht="15.75" customHeight="1">
      <c r="A2342" s="149">
        <v>55</v>
      </c>
      <c r="B2342" s="273"/>
      <c r="C2342" s="28" t="s">
        <v>1875</v>
      </c>
      <c r="D2342" s="71">
        <v>310</v>
      </c>
      <c r="E2342" s="131">
        <f t="shared" si="650"/>
        <v>4230</v>
      </c>
      <c r="F2342" s="21">
        <f t="shared" si="651"/>
        <v>5118.3</v>
      </c>
      <c r="G2342" s="21">
        <v>4800</v>
      </c>
      <c r="H2342" s="135">
        <f t="shared" si="652"/>
        <v>0</v>
      </c>
      <c r="I2342" s="294">
        <v>45344</v>
      </c>
      <c r="J2342" s="294"/>
      <c r="K2342" s="10">
        <v>2815</v>
      </c>
      <c r="L2342" s="11"/>
      <c r="M2342" s="11"/>
      <c r="N2342" s="100"/>
      <c r="O2342" s="11">
        <f t="shared" si="645"/>
        <v>2815</v>
      </c>
      <c r="P2342" s="11">
        <f t="shared" si="648"/>
        <v>2815</v>
      </c>
      <c r="Q2342" s="11">
        <v>1.5</v>
      </c>
      <c r="R2342" s="11">
        <f t="shared" si="649"/>
        <v>4222.5</v>
      </c>
      <c r="S2342" s="11"/>
      <c r="T2342" s="136">
        <f t="shared" si="646"/>
        <v>0</v>
      </c>
    </row>
    <row r="2343" spans="1:20" ht="15.75" customHeight="1">
      <c r="A2343" s="149">
        <v>29</v>
      </c>
      <c r="B2343" s="273"/>
      <c r="C2343" s="28" t="s">
        <v>1876</v>
      </c>
      <c r="D2343" s="71">
        <v>690</v>
      </c>
      <c r="E2343" s="131">
        <f t="shared" si="650"/>
        <v>11680</v>
      </c>
      <c r="F2343" s="21">
        <f t="shared" si="651"/>
        <v>14132.8</v>
      </c>
      <c r="G2343" s="21"/>
      <c r="H2343" s="135">
        <f t="shared" si="652"/>
        <v>0</v>
      </c>
      <c r="I2343" s="294">
        <v>45286</v>
      </c>
      <c r="J2343" s="294">
        <v>45341</v>
      </c>
      <c r="K2343" s="10">
        <v>7786</v>
      </c>
      <c r="L2343" s="11"/>
      <c r="M2343" s="11"/>
      <c r="N2343" s="100"/>
      <c r="O2343" s="11">
        <f t="shared" si="645"/>
        <v>7786</v>
      </c>
      <c r="P2343" s="11">
        <f t="shared" si="648"/>
        <v>7786</v>
      </c>
      <c r="Q2343" s="11">
        <v>1.5</v>
      </c>
      <c r="R2343" s="11">
        <f t="shared" si="649"/>
        <v>11679</v>
      </c>
      <c r="S2343" s="11"/>
      <c r="T2343" s="136">
        <f t="shared" si="646"/>
        <v>0</v>
      </c>
    </row>
    <row r="2344" spans="1:20" ht="15.75" customHeight="1">
      <c r="A2344" s="149">
        <v>38</v>
      </c>
      <c r="B2344" s="273"/>
      <c r="C2344" s="28" t="s">
        <v>3774</v>
      </c>
      <c r="D2344" s="71">
        <v>10</v>
      </c>
      <c r="E2344" s="131">
        <f t="shared" si="650"/>
        <v>1330</v>
      </c>
      <c r="F2344" s="21">
        <f t="shared" si="651"/>
        <v>1609.3</v>
      </c>
      <c r="G2344" s="21"/>
      <c r="H2344" s="135">
        <f t="shared" si="652"/>
        <v>1150</v>
      </c>
      <c r="I2344" s="294">
        <v>45138</v>
      </c>
      <c r="J2344" s="40">
        <v>45274</v>
      </c>
      <c r="K2344" s="11">
        <f>+PROVEEDORES!D32*0.63</f>
        <v>661.5</v>
      </c>
      <c r="L2344" s="10"/>
      <c r="M2344" s="11"/>
      <c r="N2344" s="100">
        <v>574</v>
      </c>
      <c r="O2344" s="11">
        <f t="shared" si="645"/>
        <v>661.5</v>
      </c>
      <c r="P2344" s="11">
        <f t="shared" si="648"/>
        <v>661.5</v>
      </c>
      <c r="Q2344" s="11">
        <v>2</v>
      </c>
      <c r="R2344" s="11">
        <f t="shared" si="649"/>
        <v>1323</v>
      </c>
      <c r="S2344" s="11"/>
      <c r="T2344" s="136">
        <f t="shared" si="646"/>
        <v>1148</v>
      </c>
    </row>
    <row r="2345" spans="1:20" ht="15.75" customHeight="1">
      <c r="A2345" s="149">
        <v>24</v>
      </c>
      <c r="B2345" s="273"/>
      <c r="C2345" s="28" t="s">
        <v>2747</v>
      </c>
      <c r="D2345" s="71">
        <v>10</v>
      </c>
      <c r="E2345" s="131">
        <f t="shared" si="650"/>
        <v>230</v>
      </c>
      <c r="F2345" s="21">
        <f t="shared" si="651"/>
        <v>278.3</v>
      </c>
      <c r="G2345" s="21"/>
      <c r="H2345" s="135">
        <f t="shared" si="652"/>
        <v>0</v>
      </c>
      <c r="I2345" s="294">
        <v>45299</v>
      </c>
      <c r="J2345" s="40"/>
      <c r="K2345" s="11">
        <f>2213*0.5/10</f>
        <v>110.65</v>
      </c>
      <c r="L2345" s="172"/>
      <c r="M2345" s="11"/>
      <c r="N2345" s="100"/>
      <c r="O2345" s="11">
        <f t="shared" si="645"/>
        <v>110.65</v>
      </c>
      <c r="P2345" s="11">
        <f t="shared" si="648"/>
        <v>110.65</v>
      </c>
      <c r="Q2345" s="11">
        <v>2</v>
      </c>
      <c r="R2345" s="11">
        <f t="shared" si="649"/>
        <v>221.3</v>
      </c>
      <c r="S2345" s="11"/>
      <c r="T2345" s="136">
        <f t="shared" si="646"/>
        <v>0</v>
      </c>
    </row>
    <row r="2346" spans="1:20" ht="15.75" customHeight="1">
      <c r="A2346" s="149">
        <v>38</v>
      </c>
      <c r="B2346" s="273"/>
      <c r="C2346" s="28" t="s">
        <v>3508</v>
      </c>
      <c r="D2346" s="71">
        <v>230</v>
      </c>
      <c r="E2346" s="131">
        <f t="shared" si="650"/>
        <v>17380</v>
      </c>
      <c r="F2346" s="21">
        <f t="shared" si="651"/>
        <v>21029.8</v>
      </c>
      <c r="G2346" s="21"/>
      <c r="H2346" s="135">
        <f t="shared" si="652"/>
        <v>15060</v>
      </c>
      <c r="I2346" s="294">
        <v>45138</v>
      </c>
      <c r="J2346" s="40">
        <v>45274</v>
      </c>
      <c r="K2346" s="10">
        <f>+PROVEEDORES!D32*10.34</f>
        <v>10857</v>
      </c>
      <c r="L2346" s="11"/>
      <c r="M2346" s="11"/>
      <c r="N2346" s="100">
        <v>9412</v>
      </c>
      <c r="O2346" s="11">
        <f t="shared" si="645"/>
        <v>10857</v>
      </c>
      <c r="P2346" s="11">
        <f t="shared" si="648"/>
        <v>10857</v>
      </c>
      <c r="Q2346" s="11">
        <v>1.6</v>
      </c>
      <c r="R2346" s="11">
        <f t="shared" si="649"/>
        <v>17371.2</v>
      </c>
      <c r="S2346" s="11"/>
      <c r="T2346" s="136">
        <f t="shared" si="646"/>
        <v>15059.2</v>
      </c>
    </row>
    <row r="2347" spans="1:20" ht="15.75" customHeight="1">
      <c r="A2347" s="149" t="s">
        <v>2387</v>
      </c>
      <c r="B2347" s="273"/>
      <c r="C2347" s="28" t="s">
        <v>1877</v>
      </c>
      <c r="D2347" s="71">
        <v>230</v>
      </c>
      <c r="E2347" s="131">
        <f t="shared" si="650"/>
        <v>5900</v>
      </c>
      <c r="F2347" s="21">
        <f t="shared" si="651"/>
        <v>7139</v>
      </c>
      <c r="G2347" s="21"/>
      <c r="H2347" s="135">
        <f t="shared" si="652"/>
        <v>4500</v>
      </c>
      <c r="I2347" s="294">
        <v>45138</v>
      </c>
      <c r="J2347" s="40">
        <v>45359</v>
      </c>
      <c r="K2347" s="10">
        <f>'AUMENTOS %'!D11*PROVEEDORES!D18*0.5*4.36*1.5</f>
        <v>3466.2000000000003</v>
      </c>
      <c r="L2347" s="148"/>
      <c r="M2347" s="148"/>
      <c r="N2347" s="10">
        <f>'AUMENTOS %'!D11*PROVEEDORES!D18*0.5*4.99</f>
        <v>2644.7000000000003</v>
      </c>
      <c r="O2347" s="11">
        <f t="shared" si="645"/>
        <v>3466.2000000000003</v>
      </c>
      <c r="P2347" s="11">
        <f>+O2347*'AUMENTOS %'!D11</f>
        <v>3466.2000000000003</v>
      </c>
      <c r="Q2347" s="11">
        <v>1.7</v>
      </c>
      <c r="R2347" s="11">
        <f t="shared" si="649"/>
        <v>5892.54</v>
      </c>
      <c r="S2347" s="11"/>
      <c r="T2347" s="136">
        <f t="shared" si="646"/>
        <v>4495.9900000000007</v>
      </c>
    </row>
    <row r="2348" spans="1:20" ht="15.75" customHeight="1">
      <c r="A2348" s="149">
        <v>24</v>
      </c>
      <c r="B2348" s="273"/>
      <c r="C2348" s="28" t="s">
        <v>3503</v>
      </c>
      <c r="D2348" s="71">
        <v>230</v>
      </c>
      <c r="E2348" s="131">
        <f t="shared" si="650"/>
        <v>0</v>
      </c>
      <c r="F2348" s="21">
        <f t="shared" si="651"/>
        <v>0</v>
      </c>
      <c r="G2348" s="21"/>
      <c r="H2348" s="135">
        <f t="shared" si="652"/>
        <v>0</v>
      </c>
      <c r="I2348" s="294">
        <v>44749</v>
      </c>
      <c r="J2348" s="40"/>
      <c r="K2348" s="11">
        <f>+PROVEEDORES!D18*0.5*4.36</f>
        <v>2310.8000000000002</v>
      </c>
      <c r="L2348" s="11"/>
      <c r="M2348" s="11"/>
      <c r="N2348" s="100"/>
      <c r="O2348" s="11">
        <f t="shared" si="645"/>
        <v>2310.8000000000002</v>
      </c>
      <c r="P2348" s="11">
        <f t="shared" si="648"/>
        <v>2310.8000000000002</v>
      </c>
      <c r="Q2348" s="11"/>
      <c r="R2348" s="11">
        <f t="shared" si="649"/>
        <v>0</v>
      </c>
      <c r="S2348" s="11"/>
      <c r="T2348" s="136">
        <f t="shared" si="646"/>
        <v>0</v>
      </c>
    </row>
    <row r="2349" spans="1:20" ht="15.75" customHeight="1">
      <c r="A2349" s="149">
        <v>38</v>
      </c>
      <c r="B2349" s="273"/>
      <c r="C2349" s="28" t="s">
        <v>3744</v>
      </c>
      <c r="D2349" s="71"/>
      <c r="E2349" s="131">
        <f t="shared" si="650"/>
        <v>3720</v>
      </c>
      <c r="F2349" s="21">
        <f t="shared" si="651"/>
        <v>4501.2</v>
      </c>
      <c r="G2349" s="21">
        <f>1108000*0.95*0.95*0.9*1.35*1.105+245700*0.95*0.95*0.9*1.35*1.105</f>
        <v>1640243.0091937501</v>
      </c>
      <c r="H2349" s="135">
        <f t="shared" si="652"/>
        <v>3230</v>
      </c>
      <c r="I2349" s="294">
        <v>45138</v>
      </c>
      <c r="J2349" s="40">
        <v>45274</v>
      </c>
      <c r="K2349" s="10">
        <f>+PROVEEDORES!$D$32*2.21</f>
        <v>2320.5</v>
      </c>
      <c r="L2349" s="11"/>
      <c r="M2349" s="11"/>
      <c r="N2349" s="100">
        <v>2013</v>
      </c>
      <c r="O2349" s="11">
        <f t="shared" si="645"/>
        <v>2320.5</v>
      </c>
      <c r="P2349" s="11">
        <f t="shared" si="648"/>
        <v>2320.5</v>
      </c>
      <c r="Q2349" s="11">
        <v>1.6</v>
      </c>
      <c r="R2349" s="11">
        <f t="shared" si="649"/>
        <v>3712.8</v>
      </c>
      <c r="S2349" s="11"/>
      <c r="T2349" s="136">
        <f t="shared" si="646"/>
        <v>3220.8</v>
      </c>
    </row>
    <row r="2350" spans="1:20" ht="15.75" customHeight="1">
      <c r="A2350" s="149">
        <v>19</v>
      </c>
      <c r="B2350" s="273"/>
      <c r="C2350" s="28" t="s">
        <v>3524</v>
      </c>
      <c r="D2350" s="71">
        <v>140</v>
      </c>
      <c r="E2350" s="131">
        <f t="shared" si="650"/>
        <v>0</v>
      </c>
      <c r="F2350" s="21">
        <f t="shared" si="651"/>
        <v>0</v>
      </c>
      <c r="G2350" s="21">
        <f>779000*0.95*0.95*1.35*1.105+245700*0.95*0.95*0.9*1.35*1.105</f>
        <v>1346479.3945687502</v>
      </c>
      <c r="H2350" s="135">
        <f t="shared" si="652"/>
        <v>0</v>
      </c>
      <c r="I2350" s="294"/>
      <c r="J2350" s="294">
        <v>44609</v>
      </c>
      <c r="K2350" s="10">
        <f>0.65*265</f>
        <v>172.25</v>
      </c>
      <c r="L2350" s="11"/>
      <c r="M2350" s="11"/>
      <c r="N2350" s="100"/>
      <c r="O2350" s="11">
        <f t="shared" si="645"/>
        <v>172.25</v>
      </c>
      <c r="P2350" s="11">
        <f t="shared" si="648"/>
        <v>172.25</v>
      </c>
      <c r="Q2350" s="11"/>
      <c r="R2350" s="11">
        <f t="shared" si="649"/>
        <v>0</v>
      </c>
      <c r="S2350" s="11"/>
      <c r="T2350" s="136">
        <f t="shared" si="646"/>
        <v>0</v>
      </c>
    </row>
    <row r="2351" spans="1:20" ht="15.75" customHeight="1">
      <c r="A2351" s="149">
        <v>99</v>
      </c>
      <c r="B2351" s="273"/>
      <c r="C2351" s="28" t="s">
        <v>3950</v>
      </c>
      <c r="D2351" s="71">
        <v>140</v>
      </c>
      <c r="E2351" s="131">
        <f t="shared" si="650"/>
        <v>16390</v>
      </c>
      <c r="F2351" s="21">
        <f t="shared" si="651"/>
        <v>19831.899999999998</v>
      </c>
      <c r="G2351" s="21"/>
      <c r="H2351" s="135">
        <f t="shared" si="652"/>
        <v>0</v>
      </c>
      <c r="I2351" s="294">
        <v>45278</v>
      </c>
      <c r="J2351" s="294">
        <v>45349</v>
      </c>
      <c r="K2351" s="11">
        <f>0.95*11498</f>
        <v>10923.1</v>
      </c>
      <c r="L2351" s="11"/>
      <c r="M2351" s="11"/>
      <c r="N2351" s="100"/>
      <c r="O2351" s="11">
        <f t="shared" si="645"/>
        <v>10923.1</v>
      </c>
      <c r="P2351" s="11">
        <f t="shared" si="648"/>
        <v>10923.1</v>
      </c>
      <c r="Q2351" s="11">
        <v>1.5</v>
      </c>
      <c r="R2351" s="11">
        <f t="shared" si="649"/>
        <v>16384.650000000001</v>
      </c>
      <c r="S2351" s="11"/>
      <c r="T2351" s="136">
        <f t="shared" si="646"/>
        <v>0</v>
      </c>
    </row>
    <row r="2352" spans="1:20" ht="15.75" customHeight="1">
      <c r="A2352" s="149">
        <v>32</v>
      </c>
      <c r="B2352" s="273"/>
      <c r="C2352" s="28" t="s">
        <v>2220</v>
      </c>
      <c r="D2352" s="71">
        <v>250</v>
      </c>
      <c r="E2352" s="131">
        <f t="shared" si="650"/>
        <v>0</v>
      </c>
      <c r="F2352" s="21">
        <f t="shared" si="651"/>
        <v>0</v>
      </c>
      <c r="G2352" s="21"/>
      <c r="H2352" s="135">
        <f t="shared" si="652"/>
        <v>0</v>
      </c>
      <c r="I2352" s="294">
        <v>43892</v>
      </c>
      <c r="J2352" s="294"/>
      <c r="K2352" s="10">
        <f>166*1.5*1.2</f>
        <v>298.8</v>
      </c>
      <c r="L2352" s="11"/>
      <c r="M2352" s="11"/>
      <c r="N2352" s="100"/>
      <c r="O2352" s="11">
        <f t="shared" si="645"/>
        <v>298.8</v>
      </c>
      <c r="P2352" s="11">
        <f t="shared" si="648"/>
        <v>298.8</v>
      </c>
      <c r="Q2352" s="11"/>
      <c r="R2352" s="11">
        <f t="shared" si="649"/>
        <v>0</v>
      </c>
      <c r="S2352" s="11"/>
      <c r="T2352" s="136">
        <f t="shared" si="646"/>
        <v>0</v>
      </c>
    </row>
    <row r="2353" spans="1:20" ht="15.75" customHeight="1">
      <c r="A2353" s="149">
        <v>32</v>
      </c>
      <c r="B2353" s="273"/>
      <c r="C2353" s="28" t="s">
        <v>2221</v>
      </c>
      <c r="D2353" s="71">
        <v>320</v>
      </c>
      <c r="E2353" s="131">
        <f t="shared" si="650"/>
        <v>0</v>
      </c>
      <c r="F2353" s="21">
        <f t="shared" si="651"/>
        <v>0</v>
      </c>
      <c r="G2353" s="21"/>
      <c r="H2353" s="135">
        <f t="shared" si="652"/>
        <v>0</v>
      </c>
      <c r="I2353" s="294">
        <v>43892</v>
      </c>
      <c r="J2353" s="294"/>
      <c r="K2353" s="10">
        <f>212*1.5*1.4</f>
        <v>445.2</v>
      </c>
      <c r="L2353" s="11"/>
      <c r="M2353" s="11"/>
      <c r="N2353" s="100"/>
      <c r="O2353" s="11">
        <f t="shared" si="645"/>
        <v>445.2</v>
      </c>
      <c r="P2353" s="11">
        <f t="shared" si="648"/>
        <v>445.2</v>
      </c>
      <c r="Q2353" s="11"/>
      <c r="R2353" s="11">
        <f t="shared" si="649"/>
        <v>0</v>
      </c>
      <c r="S2353" s="11"/>
      <c r="T2353" s="136">
        <f t="shared" si="646"/>
        <v>0</v>
      </c>
    </row>
    <row r="2354" spans="1:20" ht="15.75" customHeight="1">
      <c r="A2354" s="149">
        <v>44</v>
      </c>
      <c r="B2354" s="273"/>
      <c r="C2354" s="28" t="s">
        <v>1878</v>
      </c>
      <c r="D2354" s="71">
        <v>140</v>
      </c>
      <c r="E2354" s="140">
        <f t="shared" si="650"/>
        <v>12150</v>
      </c>
      <c r="F2354" s="21">
        <f t="shared" si="651"/>
        <v>14701.5</v>
      </c>
      <c r="G2354" s="21"/>
      <c r="H2354" s="135">
        <f t="shared" si="652"/>
        <v>0</v>
      </c>
      <c r="I2354" s="294">
        <v>45254</v>
      </c>
      <c r="J2354" s="294"/>
      <c r="K2354" s="10">
        <f>+PROVEEDORES!$D$38*6.21*1.3</f>
        <v>7144.6050000000005</v>
      </c>
      <c r="L2354" s="11"/>
      <c r="M2354" s="11"/>
      <c r="N2354" s="100"/>
      <c r="O2354" s="11">
        <f t="shared" si="645"/>
        <v>7144.6050000000005</v>
      </c>
      <c r="P2354" s="11">
        <f t="shared" si="648"/>
        <v>7144.6050000000005</v>
      </c>
      <c r="Q2354" s="11">
        <v>1.7</v>
      </c>
      <c r="R2354" s="11">
        <f t="shared" si="649"/>
        <v>12145.8285</v>
      </c>
      <c r="S2354" s="11"/>
      <c r="T2354" s="136">
        <f t="shared" si="646"/>
        <v>0</v>
      </c>
    </row>
    <row r="2355" spans="1:20" ht="15.75" customHeight="1">
      <c r="A2355" s="149">
        <v>39</v>
      </c>
      <c r="B2355" s="273"/>
      <c r="C2355" s="28" t="s">
        <v>2585</v>
      </c>
      <c r="D2355" s="71">
        <v>200</v>
      </c>
      <c r="E2355" s="131">
        <f t="shared" si="650"/>
        <v>0</v>
      </c>
      <c r="F2355" s="21">
        <f t="shared" si="651"/>
        <v>0</v>
      </c>
      <c r="G2355" s="21"/>
      <c r="H2355" s="135">
        <f t="shared" si="652"/>
        <v>0</v>
      </c>
      <c r="I2355" s="294">
        <v>44655</v>
      </c>
      <c r="J2355" s="294"/>
      <c r="K2355" s="10">
        <f>400*0.85*1.1*2</f>
        <v>748.00000000000011</v>
      </c>
      <c r="L2355" s="11"/>
      <c r="M2355" s="11"/>
      <c r="N2355" s="100"/>
      <c r="O2355" s="11">
        <f t="shared" si="645"/>
        <v>748.00000000000011</v>
      </c>
      <c r="P2355" s="11">
        <f t="shared" si="648"/>
        <v>748.00000000000011</v>
      </c>
      <c r="Q2355" s="11"/>
      <c r="R2355" s="11">
        <f t="shared" si="649"/>
        <v>0</v>
      </c>
      <c r="S2355" s="11"/>
      <c r="T2355" s="136">
        <f t="shared" si="646"/>
        <v>0</v>
      </c>
    </row>
    <row r="2356" spans="1:20" ht="15.75" customHeight="1">
      <c r="A2356" s="149">
        <v>105</v>
      </c>
      <c r="B2356" s="273"/>
      <c r="C2356" s="28" t="s">
        <v>3942</v>
      </c>
      <c r="D2356" s="71">
        <v>150</v>
      </c>
      <c r="E2356" s="131">
        <f t="shared" si="650"/>
        <v>800</v>
      </c>
      <c r="F2356" s="21">
        <f t="shared" si="651"/>
        <v>968</v>
      </c>
      <c r="G2356" s="21"/>
      <c r="H2356" s="135">
        <f t="shared" si="652"/>
        <v>0</v>
      </c>
      <c r="I2356" s="294"/>
      <c r="J2356" s="294">
        <v>44833</v>
      </c>
      <c r="K2356" s="10">
        <v>400</v>
      </c>
      <c r="L2356" s="11"/>
      <c r="M2356" s="11"/>
      <c r="N2356" s="100"/>
      <c r="O2356" s="11">
        <f t="shared" si="645"/>
        <v>400</v>
      </c>
      <c r="P2356" s="11">
        <f t="shared" si="648"/>
        <v>400</v>
      </c>
      <c r="Q2356" s="11">
        <v>2</v>
      </c>
      <c r="R2356" s="11">
        <f t="shared" si="649"/>
        <v>800</v>
      </c>
      <c r="S2356" s="11"/>
      <c r="T2356" s="136">
        <f t="shared" si="646"/>
        <v>0</v>
      </c>
    </row>
    <row r="2357" spans="1:20" ht="15.75" customHeight="1">
      <c r="A2357" s="149">
        <v>105</v>
      </c>
      <c r="B2357" s="273"/>
      <c r="C2357" s="28" t="s">
        <v>3941</v>
      </c>
      <c r="D2357" s="71">
        <v>170</v>
      </c>
      <c r="E2357" s="131">
        <f t="shared" si="650"/>
        <v>900</v>
      </c>
      <c r="F2357" s="21">
        <f t="shared" si="651"/>
        <v>1089</v>
      </c>
      <c r="G2357" s="21"/>
      <c r="H2357" s="135">
        <f t="shared" si="652"/>
        <v>0</v>
      </c>
      <c r="I2357" s="294"/>
      <c r="J2357" s="294">
        <v>44833</v>
      </c>
      <c r="K2357" s="10">
        <v>450</v>
      </c>
      <c r="L2357" s="11"/>
      <c r="M2357" s="11"/>
      <c r="N2357" s="100"/>
      <c r="O2357" s="11">
        <f t="shared" si="645"/>
        <v>450</v>
      </c>
      <c r="P2357" s="11">
        <f t="shared" si="648"/>
        <v>450</v>
      </c>
      <c r="Q2357" s="11">
        <v>2</v>
      </c>
      <c r="R2357" s="11">
        <f t="shared" si="649"/>
        <v>900</v>
      </c>
      <c r="S2357" s="11"/>
      <c r="T2357" s="136">
        <f t="shared" si="646"/>
        <v>0</v>
      </c>
    </row>
    <row r="2358" spans="1:20" ht="15.75" customHeight="1">
      <c r="A2358" s="149">
        <v>41</v>
      </c>
      <c r="B2358" s="273"/>
      <c r="C2358" s="28" t="s">
        <v>3726</v>
      </c>
      <c r="D2358" s="71">
        <v>1640</v>
      </c>
      <c r="E2358" s="131">
        <f t="shared" si="650"/>
        <v>25440</v>
      </c>
      <c r="F2358" s="21">
        <f t="shared" si="651"/>
        <v>30782.399999999998</v>
      </c>
      <c r="G2358" s="21"/>
      <c r="H2358" s="135">
        <f t="shared" si="652"/>
        <v>0</v>
      </c>
      <c r="I2358" s="294"/>
      <c r="J2358" s="294">
        <v>44678</v>
      </c>
      <c r="K2358" s="10">
        <f>+PROVEEDORES!$D$35*15.85</f>
        <v>16959.5</v>
      </c>
      <c r="L2358" s="11"/>
      <c r="M2358" s="11"/>
      <c r="N2358" s="100"/>
      <c r="O2358" s="11">
        <f t="shared" si="645"/>
        <v>16959.5</v>
      </c>
      <c r="P2358" s="11">
        <f t="shared" si="648"/>
        <v>16959.5</v>
      </c>
      <c r="Q2358" s="11">
        <v>1.5</v>
      </c>
      <c r="R2358" s="11">
        <f t="shared" si="649"/>
        <v>25439.25</v>
      </c>
      <c r="S2358" s="11"/>
      <c r="T2358" s="136">
        <f t="shared" si="646"/>
        <v>0</v>
      </c>
    </row>
    <row r="2359" spans="1:20" ht="15.75" customHeight="1">
      <c r="A2359" s="149">
        <v>41</v>
      </c>
      <c r="B2359" s="273"/>
      <c r="C2359" s="28" t="s">
        <v>1880</v>
      </c>
      <c r="D2359" s="71">
        <v>4500</v>
      </c>
      <c r="E2359" s="131">
        <f t="shared" si="650"/>
        <v>104330</v>
      </c>
      <c r="F2359" s="21">
        <f t="shared" si="651"/>
        <v>126239.3</v>
      </c>
      <c r="G2359" s="21"/>
      <c r="H2359" s="135">
        <f t="shared" si="652"/>
        <v>0</v>
      </c>
      <c r="I2359" s="294"/>
      <c r="J2359" s="294">
        <v>44678</v>
      </c>
      <c r="K2359" s="10">
        <f>+PROVEEDORES!$D$35*65</f>
        <v>69550</v>
      </c>
      <c r="L2359" s="11"/>
      <c r="M2359" s="11"/>
      <c r="N2359" s="100"/>
      <c r="O2359" s="11">
        <f t="shared" si="645"/>
        <v>69550</v>
      </c>
      <c r="P2359" s="11">
        <f t="shared" si="648"/>
        <v>69550</v>
      </c>
      <c r="Q2359" s="11">
        <v>1.5</v>
      </c>
      <c r="R2359" s="11">
        <f t="shared" si="649"/>
        <v>104325</v>
      </c>
      <c r="S2359" s="11"/>
      <c r="T2359" s="136"/>
    </row>
    <row r="2360" spans="1:20" ht="15.75" customHeight="1">
      <c r="A2360" s="149">
        <v>41</v>
      </c>
      <c r="B2360" s="273"/>
      <c r="C2360" s="28" t="s">
        <v>3727</v>
      </c>
      <c r="D2360" s="71"/>
      <c r="E2360" s="131">
        <f t="shared" si="650"/>
        <v>16380</v>
      </c>
      <c r="F2360" s="21">
        <f t="shared" si="651"/>
        <v>19819.8</v>
      </c>
      <c r="G2360" s="21"/>
      <c r="H2360" s="135">
        <f t="shared" si="652"/>
        <v>0</v>
      </c>
      <c r="I2360" s="294"/>
      <c r="J2360" s="294">
        <v>44678</v>
      </c>
      <c r="K2360" s="10">
        <f>+PROVEEDORES!$D$35*10.2</f>
        <v>10914</v>
      </c>
      <c r="L2360" s="11"/>
      <c r="M2360" s="11"/>
      <c r="N2360" s="100"/>
      <c r="O2360" s="11">
        <f t="shared" si="645"/>
        <v>10914</v>
      </c>
      <c r="P2360" s="11">
        <f t="shared" si="648"/>
        <v>10914</v>
      </c>
      <c r="Q2360" s="11">
        <v>1.5</v>
      </c>
      <c r="R2360" s="11">
        <f t="shared" si="649"/>
        <v>16371</v>
      </c>
      <c r="S2360" s="11"/>
      <c r="T2360" s="136">
        <f t="shared" ref="T2360:T2393" si="660">+N2360*Q2360</f>
        <v>0</v>
      </c>
    </row>
    <row r="2361" spans="1:20" ht="15.75" customHeight="1">
      <c r="A2361" s="149"/>
      <c r="B2361" s="273"/>
      <c r="C2361" s="28" t="s">
        <v>1879</v>
      </c>
      <c r="D2361" s="71">
        <v>640</v>
      </c>
      <c r="E2361" s="131">
        <f t="shared" si="650"/>
        <v>0</v>
      </c>
      <c r="F2361" s="21">
        <f t="shared" si="651"/>
        <v>0</v>
      </c>
      <c r="G2361" s="21"/>
      <c r="H2361" s="135">
        <f t="shared" si="652"/>
        <v>0</v>
      </c>
      <c r="I2361" s="294">
        <v>42564</v>
      </c>
      <c r="J2361" s="294"/>
      <c r="K2361" s="10">
        <f>400*1.6</f>
        <v>640</v>
      </c>
      <c r="L2361" s="11"/>
      <c r="M2361" s="11"/>
      <c r="N2361" s="100"/>
      <c r="O2361" s="11">
        <f t="shared" si="645"/>
        <v>640</v>
      </c>
      <c r="P2361" s="11">
        <f t="shared" si="648"/>
        <v>640</v>
      </c>
      <c r="Q2361" s="11"/>
      <c r="R2361" s="11">
        <f t="shared" si="649"/>
        <v>0</v>
      </c>
      <c r="S2361" s="11"/>
      <c r="T2361" s="136">
        <f t="shared" si="660"/>
        <v>0</v>
      </c>
    </row>
    <row r="2362" spans="1:20" ht="15.75" customHeight="1">
      <c r="A2362" s="149">
        <v>45</v>
      </c>
      <c r="B2362" s="273"/>
      <c r="C2362" s="28" t="s">
        <v>44276</v>
      </c>
      <c r="D2362" s="71">
        <v>8690</v>
      </c>
      <c r="E2362" s="131">
        <f t="shared" si="650"/>
        <v>176570</v>
      </c>
      <c r="F2362" s="21" t="s">
        <v>1248</v>
      </c>
      <c r="G2362" s="21">
        <f>+E2362*1.105</f>
        <v>195109.85</v>
      </c>
      <c r="H2362" s="135">
        <f t="shared" si="652"/>
        <v>0</v>
      </c>
      <c r="I2362" s="294">
        <v>45254</v>
      </c>
      <c r="J2362" s="294">
        <v>45329</v>
      </c>
      <c r="K2362" s="11">
        <f>0.59*0.95*217254</f>
        <v>121770.867</v>
      </c>
      <c r="L2362" s="11"/>
      <c r="M2362" s="11"/>
      <c r="N2362" s="100"/>
      <c r="O2362" s="11">
        <f t="shared" si="645"/>
        <v>121770.867</v>
      </c>
      <c r="P2362" s="11">
        <f t="shared" si="648"/>
        <v>121770.867</v>
      </c>
      <c r="Q2362" s="11">
        <v>1.45</v>
      </c>
      <c r="R2362" s="11">
        <f t="shared" si="649"/>
        <v>176567.75714999999</v>
      </c>
      <c r="S2362" s="11"/>
      <c r="T2362" s="136">
        <f t="shared" si="660"/>
        <v>0</v>
      </c>
    </row>
    <row r="2363" spans="1:20" ht="15.75" customHeight="1">
      <c r="A2363" s="149">
        <v>76</v>
      </c>
      <c r="B2363" s="273"/>
      <c r="C2363" s="28" t="s">
        <v>3813</v>
      </c>
      <c r="D2363" s="71">
        <v>8690</v>
      </c>
      <c r="E2363" s="131">
        <f t="shared" si="650"/>
        <v>119120</v>
      </c>
      <c r="F2363" s="21" t="s">
        <v>1248</v>
      </c>
      <c r="G2363" s="21">
        <f>+E2363*1.105</f>
        <v>131627.6</v>
      </c>
      <c r="H2363" s="135">
        <f t="shared" si="652"/>
        <v>0</v>
      </c>
      <c r="I2363" s="294">
        <v>44930</v>
      </c>
      <c r="J2363" s="294">
        <v>45258</v>
      </c>
      <c r="K2363" s="11">
        <f>0.9*91279</f>
        <v>82151.100000000006</v>
      </c>
      <c r="L2363" s="11"/>
      <c r="M2363" s="11"/>
      <c r="N2363" s="100"/>
      <c r="O2363" s="11">
        <f t="shared" si="645"/>
        <v>82151.100000000006</v>
      </c>
      <c r="P2363" s="11">
        <f t="shared" si="648"/>
        <v>82151.100000000006</v>
      </c>
      <c r="Q2363" s="11">
        <v>1.45</v>
      </c>
      <c r="R2363" s="11">
        <f t="shared" si="649"/>
        <v>119119.095</v>
      </c>
      <c r="S2363" s="11"/>
      <c r="T2363" s="136">
        <f t="shared" si="660"/>
        <v>0</v>
      </c>
    </row>
    <row r="2364" spans="1:20" ht="15.75" customHeight="1">
      <c r="A2364" s="149">
        <v>110</v>
      </c>
      <c r="B2364" s="273">
        <f>ROUNDUP(E2364*1.105,-1)</f>
        <v>14430</v>
      </c>
      <c r="C2364" s="28" t="s">
        <v>44345</v>
      </c>
      <c r="D2364" s="71">
        <v>980340</v>
      </c>
      <c r="E2364" s="131">
        <f t="shared" si="650"/>
        <v>13050</v>
      </c>
      <c r="F2364" s="21" t="s">
        <v>1248</v>
      </c>
      <c r="G2364" s="21">
        <f>+E2364*1.105</f>
        <v>14420.25</v>
      </c>
      <c r="H2364" s="135">
        <f t="shared" si="652"/>
        <v>0</v>
      </c>
      <c r="I2364" s="294">
        <v>45306</v>
      </c>
      <c r="J2364" s="294"/>
      <c r="K2364" s="10">
        <v>9000</v>
      </c>
      <c r="L2364" s="11"/>
      <c r="M2364" s="11"/>
      <c r="N2364" s="100"/>
      <c r="O2364" s="11">
        <f t="shared" si="645"/>
        <v>9000</v>
      </c>
      <c r="P2364" s="11">
        <f t="shared" si="648"/>
        <v>9000</v>
      </c>
      <c r="Q2364" s="11">
        <v>1.45</v>
      </c>
      <c r="R2364" s="11">
        <f t="shared" si="649"/>
        <v>13050</v>
      </c>
      <c r="S2364" s="11"/>
      <c r="T2364" s="136">
        <f t="shared" si="660"/>
        <v>0</v>
      </c>
    </row>
    <row r="2365" spans="1:20" ht="15.75" customHeight="1">
      <c r="A2365" s="149">
        <v>50</v>
      </c>
      <c r="B2365" s="273">
        <f>ROUNDUP(E2365*1.06,-1)</f>
        <v>23050</v>
      </c>
      <c r="C2365" s="28" t="s">
        <v>44256</v>
      </c>
      <c r="D2365" s="142">
        <v>490</v>
      </c>
      <c r="E2365" s="139">
        <f t="shared" si="650"/>
        <v>21740</v>
      </c>
      <c r="F2365" s="21">
        <f t="shared" ref="F2365:F2398" si="661">+E2365*1.21</f>
        <v>26305.399999999998</v>
      </c>
      <c r="G2365" s="21"/>
      <c r="H2365" s="135">
        <f t="shared" si="652"/>
        <v>19670</v>
      </c>
      <c r="I2365" s="294">
        <v>45385</v>
      </c>
      <c r="J2365" s="40"/>
      <c r="K2365" s="43">
        <f>PROVEEDORES!$D$44*0.58*31.36</f>
        <v>16097.087999999998</v>
      </c>
      <c r="L2365" s="148"/>
      <c r="M2365" s="252"/>
      <c r="N2365" s="171">
        <f>PROVEEDORES!$D$44*0.5985*27.5</f>
        <v>14565.99375</v>
      </c>
      <c r="O2365" s="11">
        <f t="shared" si="645"/>
        <v>16097.087999999998</v>
      </c>
      <c r="P2365" s="11">
        <f t="shared" si="648"/>
        <v>16097.087999999998</v>
      </c>
      <c r="Q2365" s="11">
        <v>1.35</v>
      </c>
      <c r="R2365" s="11">
        <f t="shared" si="649"/>
        <v>21731.068799999997</v>
      </c>
      <c r="S2365" s="11"/>
      <c r="T2365" s="136">
        <f t="shared" si="660"/>
        <v>19664.091562500002</v>
      </c>
    </row>
    <row r="2366" spans="1:20" ht="15.75" customHeight="1">
      <c r="A2366" s="149">
        <v>50</v>
      </c>
      <c r="B2366" s="273">
        <f>ROUNDUP(E2366*1.06,-1)</f>
        <v>25920</v>
      </c>
      <c r="C2366" s="28" t="s">
        <v>44257</v>
      </c>
      <c r="D2366" s="142">
        <v>520</v>
      </c>
      <c r="E2366" s="139">
        <f t="shared" si="650"/>
        <v>24450</v>
      </c>
      <c r="F2366" s="21">
        <f t="shared" si="661"/>
        <v>29584.5</v>
      </c>
      <c r="G2366" s="21"/>
      <c r="H2366" s="135">
        <f t="shared" si="652"/>
        <v>22820</v>
      </c>
      <c r="I2366" s="294">
        <v>45385</v>
      </c>
      <c r="J2366" s="294"/>
      <c r="K2366" s="43">
        <f>PROVEEDORES!$D$44*0.58*35.28</f>
        <v>18109.223999999998</v>
      </c>
      <c r="L2366" s="11"/>
      <c r="M2366" s="10"/>
      <c r="N2366" s="171">
        <f>PROVEEDORES!$D$44*0.5985*31.9</f>
        <v>16896.552749999999</v>
      </c>
      <c r="O2366" s="11">
        <f t="shared" si="645"/>
        <v>18109.223999999998</v>
      </c>
      <c r="P2366" s="11">
        <f t="shared" si="648"/>
        <v>18109.223999999998</v>
      </c>
      <c r="Q2366" s="11">
        <v>1.35</v>
      </c>
      <c r="R2366" s="11">
        <f t="shared" si="649"/>
        <v>24447.452399999998</v>
      </c>
      <c r="S2366" s="11"/>
      <c r="T2366" s="136">
        <f t="shared" si="660"/>
        <v>22810.346212500001</v>
      </c>
    </row>
    <row r="2367" spans="1:20" ht="15.75" customHeight="1">
      <c r="A2367" s="149">
        <v>50</v>
      </c>
      <c r="B2367" s="273">
        <f>ROUNDUP(E2367*1.06,-1)</f>
        <v>18430</v>
      </c>
      <c r="C2367" s="28" t="s">
        <v>44258</v>
      </c>
      <c r="D2367" s="142">
        <v>460</v>
      </c>
      <c r="E2367" s="139">
        <f t="shared" si="650"/>
        <v>17380</v>
      </c>
      <c r="F2367" s="21">
        <f t="shared" si="661"/>
        <v>21029.8</v>
      </c>
      <c r="G2367" s="21"/>
      <c r="H2367" s="135">
        <f t="shared" si="652"/>
        <v>16900</v>
      </c>
      <c r="I2367" s="294">
        <v>45385</v>
      </c>
      <c r="J2367" s="294"/>
      <c r="K2367" s="43">
        <f>PROVEEDORES!$D$44*0.58*23.35</f>
        <v>11985.555</v>
      </c>
      <c r="L2367" s="11"/>
      <c r="M2367" s="10"/>
      <c r="N2367" s="171">
        <f>PROVEEDORES!$D$44*0.5985*22</f>
        <v>11652.795</v>
      </c>
      <c r="O2367" s="11">
        <f t="shared" si="645"/>
        <v>11985.555</v>
      </c>
      <c r="P2367" s="11">
        <f t="shared" si="648"/>
        <v>11985.555</v>
      </c>
      <c r="Q2367" s="11">
        <v>1.45</v>
      </c>
      <c r="R2367" s="11">
        <f t="shared" si="649"/>
        <v>17379.054749999999</v>
      </c>
      <c r="S2367" s="11"/>
      <c r="T2367" s="136">
        <f t="shared" si="660"/>
        <v>16896.552749999999</v>
      </c>
    </row>
    <row r="2368" spans="1:20" ht="15.75" customHeight="1">
      <c r="A2368" s="149">
        <v>105</v>
      </c>
      <c r="B2368" s="273"/>
      <c r="C2368" s="28" t="s">
        <v>3501</v>
      </c>
      <c r="D2368" s="71">
        <v>620</v>
      </c>
      <c r="E2368" s="131">
        <f t="shared" si="650"/>
        <v>3200</v>
      </c>
      <c r="F2368" s="21">
        <f t="shared" si="661"/>
        <v>3872</v>
      </c>
      <c r="G2368" s="21"/>
      <c r="H2368" s="135">
        <f t="shared" si="652"/>
        <v>0</v>
      </c>
      <c r="I2368" s="294"/>
      <c r="J2368" s="294">
        <v>44862</v>
      </c>
      <c r="K2368" s="10">
        <v>1600</v>
      </c>
      <c r="L2368" s="11"/>
      <c r="M2368" s="11"/>
      <c r="N2368" s="100"/>
      <c r="O2368" s="11">
        <f t="shared" si="645"/>
        <v>1600</v>
      </c>
      <c r="P2368" s="11">
        <f t="shared" si="648"/>
        <v>1600</v>
      </c>
      <c r="Q2368" s="11">
        <v>2</v>
      </c>
      <c r="R2368" s="11">
        <f t="shared" si="649"/>
        <v>3200</v>
      </c>
      <c r="S2368" s="11"/>
      <c r="T2368" s="136">
        <f t="shared" si="660"/>
        <v>0</v>
      </c>
    </row>
    <row r="2369" spans="1:20" ht="15.75" customHeight="1">
      <c r="A2369" s="149">
        <v>105</v>
      </c>
      <c r="B2369" s="273"/>
      <c r="C2369" s="28" t="s">
        <v>2160</v>
      </c>
      <c r="D2369" s="71">
        <v>620</v>
      </c>
      <c r="E2369" s="131">
        <f t="shared" si="650"/>
        <v>0</v>
      </c>
      <c r="F2369" s="21">
        <f t="shared" si="661"/>
        <v>0</v>
      </c>
      <c r="G2369" s="21"/>
      <c r="H2369" s="135">
        <f t="shared" si="652"/>
        <v>0</v>
      </c>
      <c r="I2369" s="294"/>
      <c r="J2369" s="294">
        <v>43871</v>
      </c>
      <c r="K2369" s="10">
        <f>310*2</f>
        <v>620</v>
      </c>
      <c r="L2369" s="11"/>
      <c r="M2369" s="11"/>
      <c r="N2369" s="100"/>
      <c r="O2369" s="11">
        <f t="shared" si="645"/>
        <v>620</v>
      </c>
      <c r="P2369" s="11">
        <f t="shared" si="648"/>
        <v>620</v>
      </c>
      <c r="Q2369" s="11"/>
      <c r="R2369" s="11">
        <f t="shared" si="649"/>
        <v>0</v>
      </c>
      <c r="S2369" s="11"/>
      <c r="T2369" s="136">
        <f t="shared" si="660"/>
        <v>0</v>
      </c>
    </row>
    <row r="2370" spans="1:20" ht="15.75" customHeight="1">
      <c r="A2370" s="149">
        <v>105</v>
      </c>
      <c r="B2370" s="273"/>
      <c r="C2370" s="28" t="s">
        <v>2154</v>
      </c>
      <c r="D2370" s="71">
        <v>640</v>
      </c>
      <c r="E2370" s="131">
        <f t="shared" si="650"/>
        <v>3960</v>
      </c>
      <c r="F2370" s="21">
        <f t="shared" si="661"/>
        <v>4791.5999999999995</v>
      </c>
      <c r="G2370" s="21"/>
      <c r="H2370" s="135">
        <f t="shared" si="652"/>
        <v>0</v>
      </c>
      <c r="I2370" s="294"/>
      <c r="J2370" s="294">
        <v>44900</v>
      </c>
      <c r="K2370" s="10">
        <v>1980</v>
      </c>
      <c r="L2370" s="11"/>
      <c r="M2370" s="11"/>
      <c r="N2370" s="100"/>
      <c r="O2370" s="11">
        <f t="shared" si="645"/>
        <v>1980</v>
      </c>
      <c r="P2370" s="11">
        <f t="shared" si="648"/>
        <v>1980</v>
      </c>
      <c r="Q2370" s="11">
        <v>2</v>
      </c>
      <c r="R2370" s="11">
        <f t="shared" si="649"/>
        <v>3960</v>
      </c>
      <c r="S2370" s="136"/>
      <c r="T2370" s="136">
        <f t="shared" si="660"/>
        <v>0</v>
      </c>
    </row>
    <row r="2371" spans="1:20" ht="15.75" customHeight="1">
      <c r="A2371" s="149">
        <v>105</v>
      </c>
      <c r="B2371" s="273"/>
      <c r="C2371" s="28" t="s">
        <v>2218</v>
      </c>
      <c r="D2371" s="71">
        <v>870</v>
      </c>
      <c r="E2371" s="131">
        <f t="shared" si="650"/>
        <v>0</v>
      </c>
      <c r="F2371" s="21">
        <f t="shared" si="661"/>
        <v>0</v>
      </c>
      <c r="G2371" s="21"/>
      <c r="H2371" s="135">
        <f t="shared" si="652"/>
        <v>0</v>
      </c>
      <c r="I2371" s="294"/>
      <c r="J2371" s="294">
        <v>43888</v>
      </c>
      <c r="K2371" s="10">
        <f>480*1.8</f>
        <v>864</v>
      </c>
      <c r="L2371" s="11"/>
      <c r="M2371" s="11"/>
      <c r="N2371" s="100"/>
      <c r="O2371" s="11">
        <f t="shared" si="645"/>
        <v>864</v>
      </c>
      <c r="P2371" s="11">
        <f t="shared" si="648"/>
        <v>864</v>
      </c>
      <c r="Q2371" s="11"/>
      <c r="R2371" s="11">
        <f t="shared" si="649"/>
        <v>0</v>
      </c>
      <c r="S2371" s="11"/>
      <c r="T2371" s="136">
        <f t="shared" si="660"/>
        <v>0</v>
      </c>
    </row>
    <row r="2372" spans="1:20" ht="15.75" customHeight="1">
      <c r="A2372" s="149">
        <v>105</v>
      </c>
      <c r="B2372" s="273"/>
      <c r="C2372" s="28" t="s">
        <v>2217</v>
      </c>
      <c r="D2372" s="71"/>
      <c r="E2372" s="131">
        <f t="shared" si="650"/>
        <v>2500</v>
      </c>
      <c r="F2372" s="21">
        <f t="shared" si="661"/>
        <v>3025</v>
      </c>
      <c r="G2372" s="21"/>
      <c r="H2372" s="135">
        <f t="shared" si="652"/>
        <v>0</v>
      </c>
      <c r="I2372" s="294">
        <v>44552</v>
      </c>
      <c r="J2372" s="294"/>
      <c r="K2372" s="10">
        <v>1250</v>
      </c>
      <c r="L2372" s="11"/>
      <c r="M2372" s="10"/>
      <c r="N2372" s="100"/>
      <c r="O2372" s="11">
        <f t="shared" si="645"/>
        <v>1250</v>
      </c>
      <c r="P2372" s="11">
        <f t="shared" si="648"/>
        <v>1250</v>
      </c>
      <c r="Q2372" s="11">
        <v>2</v>
      </c>
      <c r="R2372" s="11">
        <f t="shared" si="649"/>
        <v>2500</v>
      </c>
      <c r="S2372" s="11"/>
      <c r="T2372" s="136">
        <f t="shared" si="660"/>
        <v>0</v>
      </c>
    </row>
    <row r="2373" spans="1:20" ht="15.75" customHeight="1">
      <c r="A2373" s="149">
        <v>105</v>
      </c>
      <c r="B2373" s="273"/>
      <c r="C2373" s="28" t="s">
        <v>1881</v>
      </c>
      <c r="D2373" s="71">
        <v>850</v>
      </c>
      <c r="E2373" s="131">
        <f t="shared" si="650"/>
        <v>5600</v>
      </c>
      <c r="F2373" s="21">
        <f t="shared" si="661"/>
        <v>6776</v>
      </c>
      <c r="G2373" s="21"/>
      <c r="H2373" s="135">
        <f t="shared" si="652"/>
        <v>0</v>
      </c>
      <c r="I2373" s="294"/>
      <c r="J2373" s="294">
        <v>45131</v>
      </c>
      <c r="K2373" s="10">
        <v>2800</v>
      </c>
      <c r="L2373" s="11"/>
      <c r="M2373" s="11"/>
      <c r="N2373" s="100"/>
      <c r="O2373" s="11">
        <f t="shared" si="645"/>
        <v>2800</v>
      </c>
      <c r="P2373" s="11">
        <f t="shared" si="648"/>
        <v>2800</v>
      </c>
      <c r="Q2373" s="11">
        <v>2</v>
      </c>
      <c r="R2373" s="11">
        <f t="shared" si="649"/>
        <v>5600</v>
      </c>
      <c r="S2373" s="11"/>
      <c r="T2373" s="136">
        <f t="shared" si="660"/>
        <v>0</v>
      </c>
    </row>
    <row r="2374" spans="1:20" ht="15.75" customHeight="1">
      <c r="A2374" s="149">
        <v>105</v>
      </c>
      <c r="B2374" s="273"/>
      <c r="C2374" s="28" t="s">
        <v>1882</v>
      </c>
      <c r="D2374" s="71">
        <v>740</v>
      </c>
      <c r="E2374" s="131">
        <f t="shared" si="650"/>
        <v>5200</v>
      </c>
      <c r="F2374" s="21">
        <f t="shared" si="661"/>
        <v>6292</v>
      </c>
      <c r="G2374" s="21"/>
      <c r="H2374" s="135">
        <f t="shared" si="652"/>
        <v>0</v>
      </c>
      <c r="I2374" s="294">
        <v>44609</v>
      </c>
      <c r="J2374" s="294">
        <v>44862</v>
      </c>
      <c r="K2374" s="10">
        <f>1300*2</f>
        <v>2600</v>
      </c>
      <c r="L2374" s="11"/>
      <c r="M2374" s="11"/>
      <c r="N2374" s="100"/>
      <c r="O2374" s="11">
        <f t="shared" si="645"/>
        <v>2600</v>
      </c>
      <c r="P2374" s="11">
        <f t="shared" si="648"/>
        <v>2600</v>
      </c>
      <c r="Q2374" s="11">
        <v>2</v>
      </c>
      <c r="R2374" s="11">
        <f t="shared" si="649"/>
        <v>5200</v>
      </c>
      <c r="S2374" s="11"/>
      <c r="T2374" s="136">
        <f t="shared" si="660"/>
        <v>0</v>
      </c>
    </row>
    <row r="2375" spans="1:20" ht="15.75" customHeight="1">
      <c r="A2375" s="149">
        <v>105</v>
      </c>
      <c r="B2375" s="273"/>
      <c r="C2375" s="28" t="s">
        <v>3502</v>
      </c>
      <c r="D2375" s="71"/>
      <c r="E2375" s="131">
        <f t="shared" si="650"/>
        <v>2180</v>
      </c>
      <c r="F2375" s="21">
        <f t="shared" si="661"/>
        <v>2637.7999999999997</v>
      </c>
      <c r="G2375" s="21"/>
      <c r="H2375" s="135">
        <f t="shared" si="652"/>
        <v>0</v>
      </c>
      <c r="I2375" s="294"/>
      <c r="J2375" s="294">
        <v>44488</v>
      </c>
      <c r="K2375" s="10">
        <v>1090</v>
      </c>
      <c r="L2375" s="11"/>
      <c r="M2375" s="11"/>
      <c r="N2375" s="100"/>
      <c r="O2375" s="11">
        <f t="shared" si="645"/>
        <v>1090</v>
      </c>
      <c r="P2375" s="11">
        <f t="shared" si="648"/>
        <v>1090</v>
      </c>
      <c r="Q2375" s="11">
        <v>2</v>
      </c>
      <c r="R2375" s="11">
        <f t="shared" si="649"/>
        <v>2180</v>
      </c>
      <c r="S2375" s="11"/>
      <c r="T2375" s="136">
        <f t="shared" si="660"/>
        <v>0</v>
      </c>
    </row>
    <row r="2376" spans="1:20" ht="15.75" customHeight="1">
      <c r="A2376" s="149">
        <v>105</v>
      </c>
      <c r="B2376" s="273"/>
      <c r="C2376" s="28" t="s">
        <v>62672</v>
      </c>
      <c r="D2376" s="71">
        <v>740</v>
      </c>
      <c r="E2376" s="131">
        <f t="shared" ref="E2376:E2377" si="662">ROUNDUP(R2376,-1)</f>
        <v>49800</v>
      </c>
      <c r="F2376" s="21">
        <f t="shared" ref="F2376:F2377" si="663">+E2376*1.21</f>
        <v>60258</v>
      </c>
      <c r="G2376" s="21"/>
      <c r="H2376" s="135">
        <f t="shared" ref="H2376:H2377" si="664">ROUNDUP(T2376,-1)</f>
        <v>0</v>
      </c>
      <c r="I2376" s="294">
        <v>45370</v>
      </c>
      <c r="J2376" s="294"/>
      <c r="K2376" s="10">
        <v>24900</v>
      </c>
      <c r="L2376" s="11"/>
      <c r="M2376" s="11"/>
      <c r="N2376" s="100"/>
      <c r="O2376" s="11">
        <f t="shared" ref="O2376:O2377" si="665">MIN(K2376:M2376)</f>
        <v>24900</v>
      </c>
      <c r="P2376" s="11">
        <f t="shared" ref="P2376:P2377" si="666">+O2376</f>
        <v>24900</v>
      </c>
      <c r="Q2376" s="11">
        <v>2</v>
      </c>
      <c r="R2376" s="11">
        <f t="shared" ref="R2376:R2377" si="667">+P2376*Q2376</f>
        <v>49800</v>
      </c>
      <c r="S2376" s="11"/>
      <c r="T2376" s="136">
        <f t="shared" ref="T2376:T2377" si="668">+N2376*Q2376</f>
        <v>0</v>
      </c>
    </row>
    <row r="2377" spans="1:20" ht="15.75" customHeight="1">
      <c r="A2377" s="149">
        <v>105</v>
      </c>
      <c r="B2377" s="273"/>
      <c r="C2377" s="28" t="s">
        <v>62673</v>
      </c>
      <c r="D2377" s="71"/>
      <c r="E2377" s="131">
        <f t="shared" si="662"/>
        <v>55000</v>
      </c>
      <c r="F2377" s="21">
        <f t="shared" si="663"/>
        <v>66550</v>
      </c>
      <c r="G2377" s="21"/>
      <c r="H2377" s="135">
        <f t="shared" si="664"/>
        <v>0</v>
      </c>
      <c r="I2377" s="294">
        <v>45370</v>
      </c>
      <c r="J2377" s="294"/>
      <c r="K2377" s="10">
        <v>27500</v>
      </c>
      <c r="L2377" s="11"/>
      <c r="M2377" s="11"/>
      <c r="N2377" s="100"/>
      <c r="O2377" s="11">
        <f t="shared" si="665"/>
        <v>27500</v>
      </c>
      <c r="P2377" s="11">
        <f t="shared" si="666"/>
        <v>27500</v>
      </c>
      <c r="Q2377" s="11">
        <v>2</v>
      </c>
      <c r="R2377" s="11">
        <f t="shared" si="667"/>
        <v>55000</v>
      </c>
      <c r="S2377" s="11"/>
      <c r="T2377" s="136">
        <f t="shared" si="668"/>
        <v>0</v>
      </c>
    </row>
    <row r="2378" spans="1:20" ht="15.75" customHeight="1">
      <c r="A2378" s="149">
        <v>105</v>
      </c>
      <c r="B2378" s="273"/>
      <c r="C2378" s="28" t="s">
        <v>3543</v>
      </c>
      <c r="D2378" s="71"/>
      <c r="E2378" s="131">
        <f t="shared" si="650"/>
        <v>5300</v>
      </c>
      <c r="F2378" s="21">
        <f t="shared" si="661"/>
        <v>6413</v>
      </c>
      <c r="G2378" s="21"/>
      <c r="H2378" s="135">
        <f t="shared" si="652"/>
        <v>0</v>
      </c>
      <c r="I2378" s="294"/>
      <c r="J2378" s="294">
        <v>44531</v>
      </c>
      <c r="K2378" s="10">
        <v>2650</v>
      </c>
      <c r="L2378" s="11"/>
      <c r="M2378" s="11"/>
      <c r="N2378" s="100"/>
      <c r="O2378" s="11">
        <f t="shared" si="645"/>
        <v>2650</v>
      </c>
      <c r="P2378" s="11">
        <f t="shared" si="648"/>
        <v>2650</v>
      </c>
      <c r="Q2378" s="11">
        <v>2</v>
      </c>
      <c r="R2378" s="11">
        <f t="shared" si="649"/>
        <v>5300</v>
      </c>
      <c r="S2378" s="11"/>
      <c r="T2378" s="136">
        <f t="shared" si="660"/>
        <v>0</v>
      </c>
    </row>
    <row r="2379" spans="1:20" ht="15.75" customHeight="1">
      <c r="A2379" s="149">
        <v>105</v>
      </c>
      <c r="B2379" s="273"/>
      <c r="C2379" s="28" t="s">
        <v>1885</v>
      </c>
      <c r="D2379" s="71">
        <v>260</v>
      </c>
      <c r="E2379" s="131">
        <f t="shared" si="650"/>
        <v>2100</v>
      </c>
      <c r="F2379" s="21">
        <f t="shared" si="661"/>
        <v>2541</v>
      </c>
      <c r="G2379" s="21"/>
      <c r="H2379" s="135">
        <f t="shared" si="652"/>
        <v>0</v>
      </c>
      <c r="I2379" s="294">
        <v>45370</v>
      </c>
      <c r="J2379" s="294"/>
      <c r="K2379" s="10">
        <v>1050</v>
      </c>
      <c r="L2379" s="11"/>
      <c r="M2379" s="11"/>
      <c r="N2379" s="100"/>
      <c r="O2379" s="11">
        <f t="shared" si="645"/>
        <v>1050</v>
      </c>
      <c r="P2379" s="11">
        <f t="shared" si="648"/>
        <v>1050</v>
      </c>
      <c r="Q2379" s="11">
        <v>2</v>
      </c>
      <c r="R2379" s="11">
        <f t="shared" si="649"/>
        <v>2100</v>
      </c>
      <c r="S2379" s="11"/>
      <c r="T2379" s="136">
        <f t="shared" si="660"/>
        <v>0</v>
      </c>
    </row>
    <row r="2380" spans="1:20" ht="15.75" customHeight="1">
      <c r="A2380" s="149">
        <v>105</v>
      </c>
      <c r="B2380" s="273"/>
      <c r="C2380" s="28" t="s">
        <v>2090</v>
      </c>
      <c r="D2380" s="71">
        <v>180</v>
      </c>
      <c r="E2380" s="131">
        <f t="shared" si="650"/>
        <v>2460</v>
      </c>
      <c r="F2380" s="21">
        <f t="shared" si="661"/>
        <v>2976.6</v>
      </c>
      <c r="G2380" s="21"/>
      <c r="H2380" s="135">
        <f t="shared" si="652"/>
        <v>0</v>
      </c>
      <c r="I2380" s="294">
        <v>45370</v>
      </c>
      <c r="J2380" s="294"/>
      <c r="K2380" s="10">
        <v>1230</v>
      </c>
      <c r="L2380" s="11"/>
      <c r="M2380" s="11"/>
      <c r="N2380" s="100"/>
      <c r="O2380" s="11">
        <f t="shared" si="645"/>
        <v>1230</v>
      </c>
      <c r="P2380" s="11">
        <f t="shared" si="648"/>
        <v>1230</v>
      </c>
      <c r="Q2380" s="11">
        <v>2</v>
      </c>
      <c r="R2380" s="11">
        <f t="shared" si="649"/>
        <v>2460</v>
      </c>
      <c r="S2380" s="11"/>
      <c r="T2380" s="136">
        <f t="shared" si="660"/>
        <v>0</v>
      </c>
    </row>
    <row r="2381" spans="1:20" ht="15.75" customHeight="1">
      <c r="A2381" s="149">
        <v>105</v>
      </c>
      <c r="B2381" s="273"/>
      <c r="C2381" s="28" t="s">
        <v>1886</v>
      </c>
      <c r="D2381" s="71">
        <v>180</v>
      </c>
      <c r="E2381" s="131">
        <f t="shared" si="650"/>
        <v>0</v>
      </c>
      <c r="F2381" s="21">
        <f t="shared" si="661"/>
        <v>0</v>
      </c>
      <c r="G2381" s="21"/>
      <c r="H2381" s="135">
        <f t="shared" si="652"/>
        <v>0</v>
      </c>
      <c r="I2381" s="294"/>
      <c r="J2381" s="294">
        <v>43626</v>
      </c>
      <c r="K2381" s="10">
        <f>78*2</f>
        <v>156</v>
      </c>
      <c r="L2381" s="11"/>
      <c r="M2381" s="11"/>
      <c r="N2381" s="100"/>
      <c r="O2381" s="11">
        <f t="shared" si="645"/>
        <v>156</v>
      </c>
      <c r="P2381" s="11">
        <f t="shared" si="648"/>
        <v>156</v>
      </c>
      <c r="Q2381" s="11"/>
      <c r="R2381" s="11">
        <f t="shared" si="649"/>
        <v>0</v>
      </c>
      <c r="S2381" s="11"/>
      <c r="T2381" s="136">
        <f t="shared" si="660"/>
        <v>0</v>
      </c>
    </row>
    <row r="2382" spans="1:20" ht="15.75" customHeight="1">
      <c r="A2382" s="149">
        <v>105</v>
      </c>
      <c r="B2382" s="273"/>
      <c r="C2382" s="28" t="s">
        <v>1887</v>
      </c>
      <c r="D2382" s="71"/>
      <c r="E2382" s="131">
        <f t="shared" si="650"/>
        <v>560</v>
      </c>
      <c r="F2382" s="21">
        <f t="shared" si="661"/>
        <v>677.6</v>
      </c>
      <c r="G2382" s="21"/>
      <c r="H2382" s="135">
        <f t="shared" si="652"/>
        <v>0</v>
      </c>
      <c r="I2382" s="294">
        <v>44552</v>
      </c>
      <c r="J2382" s="294"/>
      <c r="K2382" s="10">
        <v>280</v>
      </c>
      <c r="L2382" s="11"/>
      <c r="M2382" s="11"/>
      <c r="N2382" s="100"/>
      <c r="O2382" s="11">
        <f t="shared" si="645"/>
        <v>280</v>
      </c>
      <c r="P2382" s="11">
        <f t="shared" si="648"/>
        <v>280</v>
      </c>
      <c r="Q2382" s="11">
        <v>2</v>
      </c>
      <c r="R2382" s="11">
        <f t="shared" si="649"/>
        <v>560</v>
      </c>
      <c r="S2382" s="11"/>
      <c r="T2382" s="136">
        <f t="shared" si="660"/>
        <v>0</v>
      </c>
    </row>
    <row r="2383" spans="1:20" ht="15.75" customHeight="1">
      <c r="A2383" s="149">
        <v>105</v>
      </c>
      <c r="B2383" s="273"/>
      <c r="C2383" s="28" t="s">
        <v>2091</v>
      </c>
      <c r="D2383" s="71">
        <v>200</v>
      </c>
      <c r="E2383" s="131">
        <f t="shared" si="650"/>
        <v>2550</v>
      </c>
      <c r="F2383" s="21">
        <f t="shared" si="661"/>
        <v>3085.5</v>
      </c>
      <c r="G2383" s="21"/>
      <c r="H2383" s="135">
        <f t="shared" si="652"/>
        <v>0</v>
      </c>
      <c r="I2383" s="294">
        <v>44957</v>
      </c>
      <c r="J2383" s="294"/>
      <c r="K2383" s="10">
        <f>850*1.5</f>
        <v>1275</v>
      </c>
      <c r="L2383" s="11"/>
      <c r="M2383" s="11"/>
      <c r="N2383" s="100"/>
      <c r="O2383" s="11">
        <f t="shared" si="645"/>
        <v>1275</v>
      </c>
      <c r="P2383" s="11">
        <f t="shared" si="648"/>
        <v>1275</v>
      </c>
      <c r="Q2383" s="11">
        <v>2</v>
      </c>
      <c r="R2383" s="11">
        <f t="shared" si="649"/>
        <v>2550</v>
      </c>
      <c r="S2383" s="11"/>
      <c r="T2383" s="136">
        <f t="shared" si="660"/>
        <v>0</v>
      </c>
    </row>
    <row r="2384" spans="1:20" ht="15.75" customHeight="1">
      <c r="A2384" s="149">
        <v>105</v>
      </c>
      <c r="B2384" s="273"/>
      <c r="C2384" s="28" t="s">
        <v>2159</v>
      </c>
      <c r="D2384" s="71">
        <v>310</v>
      </c>
      <c r="E2384" s="131">
        <f t="shared" si="650"/>
        <v>7900</v>
      </c>
      <c r="F2384" s="21">
        <f t="shared" si="661"/>
        <v>9559</v>
      </c>
      <c r="G2384" s="21"/>
      <c r="H2384" s="135">
        <f t="shared" si="652"/>
        <v>0</v>
      </c>
      <c r="I2384" s="294">
        <v>45370</v>
      </c>
      <c r="J2384" s="294"/>
      <c r="K2384" s="10">
        <v>3950</v>
      </c>
      <c r="L2384" s="11"/>
      <c r="M2384" s="11"/>
      <c r="N2384" s="100"/>
      <c r="O2384" s="11">
        <f t="shared" ref="O2384:O2446" si="669">MIN(K2384:M2384)</f>
        <v>3950</v>
      </c>
      <c r="P2384" s="11">
        <f t="shared" si="648"/>
        <v>3950</v>
      </c>
      <c r="Q2384" s="11">
        <v>2</v>
      </c>
      <c r="R2384" s="11">
        <f t="shared" si="649"/>
        <v>7900</v>
      </c>
      <c r="S2384" s="11"/>
      <c r="T2384" s="136">
        <f t="shared" si="660"/>
        <v>0</v>
      </c>
    </row>
    <row r="2385" spans="1:20" ht="15.75" customHeight="1">
      <c r="A2385" s="149">
        <v>105</v>
      </c>
      <c r="B2385" s="273"/>
      <c r="C2385" s="28" t="s">
        <v>2879</v>
      </c>
      <c r="D2385" s="71"/>
      <c r="E2385" s="131">
        <f t="shared" si="650"/>
        <v>10400</v>
      </c>
      <c r="F2385" s="21">
        <f t="shared" si="661"/>
        <v>12584</v>
      </c>
      <c r="G2385" s="21"/>
      <c r="H2385" s="135">
        <f t="shared" si="652"/>
        <v>0</v>
      </c>
      <c r="I2385" s="294">
        <v>45370</v>
      </c>
      <c r="J2385" s="294"/>
      <c r="K2385" s="10">
        <v>5200</v>
      </c>
      <c r="L2385" s="11"/>
      <c r="M2385" s="11"/>
      <c r="N2385" s="100"/>
      <c r="O2385" s="11">
        <f t="shared" si="669"/>
        <v>5200</v>
      </c>
      <c r="P2385" s="11">
        <f t="shared" si="648"/>
        <v>5200</v>
      </c>
      <c r="Q2385" s="11">
        <v>2</v>
      </c>
      <c r="R2385" s="11">
        <f t="shared" si="649"/>
        <v>10400</v>
      </c>
      <c r="S2385" s="11"/>
      <c r="T2385" s="136">
        <f t="shared" si="660"/>
        <v>0</v>
      </c>
    </row>
    <row r="2386" spans="1:20" ht="15.75" customHeight="1">
      <c r="A2386" s="149">
        <v>105</v>
      </c>
      <c r="B2386" s="273"/>
      <c r="C2386" s="28" t="s">
        <v>4239</v>
      </c>
      <c r="D2386" s="71"/>
      <c r="E2386" s="131">
        <f t="shared" si="650"/>
        <v>5300</v>
      </c>
      <c r="F2386" s="21">
        <f t="shared" si="661"/>
        <v>6413</v>
      </c>
      <c r="G2386" s="21"/>
      <c r="H2386" s="135">
        <f t="shared" si="652"/>
        <v>0</v>
      </c>
      <c r="I2386" s="294">
        <v>45041</v>
      </c>
      <c r="J2386" s="294"/>
      <c r="K2386" s="10">
        <v>2650</v>
      </c>
      <c r="L2386" s="11"/>
      <c r="M2386" s="11"/>
      <c r="N2386" s="100"/>
      <c r="O2386" s="11">
        <f t="shared" si="669"/>
        <v>2650</v>
      </c>
      <c r="P2386" s="11">
        <f t="shared" si="648"/>
        <v>2650</v>
      </c>
      <c r="Q2386" s="11">
        <v>2</v>
      </c>
      <c r="R2386" s="11">
        <f t="shared" si="649"/>
        <v>5300</v>
      </c>
      <c r="S2386" s="11"/>
      <c r="T2386" s="136">
        <f t="shared" si="660"/>
        <v>0</v>
      </c>
    </row>
    <row r="2387" spans="1:20" ht="15.75" customHeight="1">
      <c r="A2387" s="149">
        <v>105</v>
      </c>
      <c r="B2387" s="273"/>
      <c r="C2387" s="28" t="s">
        <v>1888</v>
      </c>
      <c r="D2387" s="71"/>
      <c r="E2387" s="131">
        <f t="shared" si="650"/>
        <v>13900</v>
      </c>
      <c r="F2387" s="21">
        <f t="shared" si="661"/>
        <v>16819</v>
      </c>
      <c r="G2387" s="21"/>
      <c r="H2387" s="135">
        <f t="shared" si="652"/>
        <v>0</v>
      </c>
      <c r="I2387" s="294">
        <v>45370</v>
      </c>
      <c r="J2387" s="294"/>
      <c r="K2387" s="10">
        <v>6950</v>
      </c>
      <c r="L2387" s="11"/>
      <c r="M2387" s="11"/>
      <c r="N2387" s="100"/>
      <c r="O2387" s="11">
        <f t="shared" si="669"/>
        <v>6950</v>
      </c>
      <c r="P2387" s="11">
        <f t="shared" si="648"/>
        <v>6950</v>
      </c>
      <c r="Q2387" s="11">
        <v>2</v>
      </c>
      <c r="R2387" s="11">
        <f t="shared" si="649"/>
        <v>13900</v>
      </c>
      <c r="S2387" s="11"/>
      <c r="T2387" s="136">
        <f t="shared" si="660"/>
        <v>0</v>
      </c>
    </row>
    <row r="2388" spans="1:20" ht="15.75" customHeight="1">
      <c r="A2388" s="149">
        <v>105</v>
      </c>
      <c r="B2388" s="273"/>
      <c r="C2388" s="28" t="s">
        <v>1883</v>
      </c>
      <c r="D2388" s="71">
        <v>140</v>
      </c>
      <c r="E2388" s="131">
        <f t="shared" si="650"/>
        <v>1960</v>
      </c>
      <c r="F2388" s="21">
        <f t="shared" si="661"/>
        <v>2371.6</v>
      </c>
      <c r="G2388" s="21"/>
      <c r="H2388" s="135">
        <f t="shared" si="652"/>
        <v>0</v>
      </c>
      <c r="I2388" s="294">
        <v>45370</v>
      </c>
      <c r="J2388" s="294"/>
      <c r="K2388" s="10">
        <v>980</v>
      </c>
      <c r="L2388" s="11"/>
      <c r="M2388" s="11"/>
      <c r="N2388" s="100"/>
      <c r="O2388" s="11">
        <f t="shared" si="669"/>
        <v>980</v>
      </c>
      <c r="P2388" s="11">
        <f t="shared" si="648"/>
        <v>980</v>
      </c>
      <c r="Q2388" s="11">
        <v>2</v>
      </c>
      <c r="R2388" s="11">
        <f t="shared" si="649"/>
        <v>1960</v>
      </c>
      <c r="S2388" s="11"/>
      <c r="T2388" s="136">
        <f t="shared" si="660"/>
        <v>0</v>
      </c>
    </row>
    <row r="2389" spans="1:20" ht="15.75" customHeight="1">
      <c r="A2389" s="149">
        <v>105</v>
      </c>
      <c r="B2389" s="273"/>
      <c r="C2389" s="28" t="s">
        <v>1884</v>
      </c>
      <c r="D2389" s="71">
        <v>150</v>
      </c>
      <c r="E2389" s="131">
        <f t="shared" si="650"/>
        <v>1960</v>
      </c>
      <c r="F2389" s="21">
        <f t="shared" si="661"/>
        <v>2371.6</v>
      </c>
      <c r="G2389" s="21"/>
      <c r="H2389" s="135">
        <f t="shared" si="652"/>
        <v>0</v>
      </c>
      <c r="I2389" s="294">
        <v>45370</v>
      </c>
      <c r="J2389" s="294"/>
      <c r="K2389" s="10">
        <v>980</v>
      </c>
      <c r="L2389" s="11"/>
      <c r="M2389" s="11"/>
      <c r="N2389" s="100"/>
      <c r="O2389" s="11">
        <f t="shared" si="669"/>
        <v>980</v>
      </c>
      <c r="P2389" s="11">
        <f t="shared" si="648"/>
        <v>980</v>
      </c>
      <c r="Q2389" s="11">
        <v>2</v>
      </c>
      <c r="R2389" s="11">
        <f t="shared" si="649"/>
        <v>1960</v>
      </c>
      <c r="S2389" s="11"/>
      <c r="T2389" s="136">
        <f t="shared" si="660"/>
        <v>0</v>
      </c>
    </row>
    <row r="2390" spans="1:20" ht="15.75" customHeight="1">
      <c r="A2390" s="149">
        <v>105</v>
      </c>
      <c r="B2390" s="273"/>
      <c r="C2390" s="28" t="s">
        <v>2156</v>
      </c>
      <c r="D2390" s="71">
        <v>170</v>
      </c>
      <c r="E2390" s="131">
        <f t="shared" si="650"/>
        <v>0</v>
      </c>
      <c r="F2390" s="21">
        <f t="shared" si="661"/>
        <v>0</v>
      </c>
      <c r="G2390" s="21"/>
      <c r="H2390" s="135">
        <f t="shared" si="652"/>
        <v>0</v>
      </c>
      <c r="I2390" s="294"/>
      <c r="J2390" s="294">
        <v>44460</v>
      </c>
      <c r="K2390" s="10">
        <v>120</v>
      </c>
      <c r="L2390" s="11"/>
      <c r="M2390" s="11"/>
      <c r="N2390" s="100"/>
      <c r="O2390" s="11">
        <f t="shared" si="669"/>
        <v>120</v>
      </c>
      <c r="P2390" s="11">
        <f t="shared" si="648"/>
        <v>120</v>
      </c>
      <c r="Q2390" s="11"/>
      <c r="R2390" s="11">
        <f t="shared" si="649"/>
        <v>0</v>
      </c>
      <c r="S2390" s="11"/>
      <c r="T2390" s="136">
        <f t="shared" si="660"/>
        <v>0</v>
      </c>
    </row>
    <row r="2391" spans="1:20" ht="15.75" customHeight="1">
      <c r="A2391" s="149">
        <v>105</v>
      </c>
      <c r="B2391" s="273"/>
      <c r="C2391" s="28" t="s">
        <v>2157</v>
      </c>
      <c r="D2391" s="71">
        <v>170</v>
      </c>
      <c r="E2391" s="131">
        <f t="shared" si="650"/>
        <v>2780</v>
      </c>
      <c r="F2391" s="21">
        <f t="shared" si="661"/>
        <v>3363.7999999999997</v>
      </c>
      <c r="G2391" s="21"/>
      <c r="H2391" s="135">
        <f t="shared" si="652"/>
        <v>0</v>
      </c>
      <c r="I2391" s="294">
        <v>45370</v>
      </c>
      <c r="J2391" s="294"/>
      <c r="K2391" s="10">
        <v>1390</v>
      </c>
      <c r="L2391" s="11"/>
      <c r="M2391" s="11"/>
      <c r="N2391" s="100"/>
      <c r="O2391" s="11">
        <f t="shared" si="669"/>
        <v>1390</v>
      </c>
      <c r="P2391" s="11">
        <f t="shared" si="648"/>
        <v>1390</v>
      </c>
      <c r="Q2391" s="11">
        <v>2</v>
      </c>
      <c r="R2391" s="11">
        <f t="shared" si="649"/>
        <v>2780</v>
      </c>
      <c r="S2391" s="11"/>
      <c r="T2391" s="136">
        <f t="shared" si="660"/>
        <v>0</v>
      </c>
    </row>
    <row r="2392" spans="1:20" ht="15.75" customHeight="1">
      <c r="A2392" s="149">
        <v>105</v>
      </c>
      <c r="B2392" s="273"/>
      <c r="C2392" s="28" t="s">
        <v>2155</v>
      </c>
      <c r="D2392" s="71">
        <v>160</v>
      </c>
      <c r="E2392" s="131">
        <f t="shared" si="650"/>
        <v>1700</v>
      </c>
      <c r="F2392" s="21">
        <f t="shared" si="661"/>
        <v>2057</v>
      </c>
      <c r="G2392" s="21"/>
      <c r="H2392" s="135">
        <f t="shared" si="652"/>
        <v>0</v>
      </c>
      <c r="I2392" s="294">
        <v>45265</v>
      </c>
      <c r="J2392" s="40"/>
      <c r="K2392" s="10">
        <v>1930</v>
      </c>
      <c r="L2392" s="11">
        <v>850</v>
      </c>
      <c r="M2392" s="11"/>
      <c r="N2392" s="100"/>
      <c r="O2392" s="11">
        <f t="shared" si="669"/>
        <v>850</v>
      </c>
      <c r="P2392" s="11">
        <f t="shared" si="648"/>
        <v>850</v>
      </c>
      <c r="Q2392" s="11">
        <v>2</v>
      </c>
      <c r="R2392" s="11">
        <f t="shared" si="649"/>
        <v>1700</v>
      </c>
      <c r="S2392" s="11"/>
      <c r="T2392" s="136">
        <f t="shared" si="660"/>
        <v>0</v>
      </c>
    </row>
    <row r="2393" spans="1:20" ht="15.75" customHeight="1">
      <c r="A2393" s="149">
        <v>105</v>
      </c>
      <c r="B2393" s="273"/>
      <c r="C2393" s="28" t="s">
        <v>2092</v>
      </c>
      <c r="D2393" s="71">
        <v>240</v>
      </c>
      <c r="E2393" s="131">
        <f t="shared" si="650"/>
        <v>6200</v>
      </c>
      <c r="F2393" s="21">
        <f t="shared" si="661"/>
        <v>7502</v>
      </c>
      <c r="G2393" s="21"/>
      <c r="H2393" s="135">
        <f t="shared" si="652"/>
        <v>0</v>
      </c>
      <c r="I2393" s="294">
        <v>45370</v>
      </c>
      <c r="J2393" s="294"/>
      <c r="K2393" s="10">
        <v>3100</v>
      </c>
      <c r="L2393" s="11"/>
      <c r="M2393" s="11"/>
      <c r="N2393" s="100"/>
      <c r="O2393" s="11">
        <f t="shared" si="669"/>
        <v>3100</v>
      </c>
      <c r="P2393" s="11">
        <f t="shared" si="648"/>
        <v>3100</v>
      </c>
      <c r="Q2393" s="11">
        <v>2</v>
      </c>
      <c r="R2393" s="11">
        <f t="shared" si="649"/>
        <v>6200</v>
      </c>
      <c r="S2393" s="11"/>
      <c r="T2393" s="136">
        <f t="shared" si="660"/>
        <v>0</v>
      </c>
    </row>
    <row r="2394" spans="1:20" ht="15.75" customHeight="1">
      <c r="A2394" s="149">
        <v>105</v>
      </c>
      <c r="B2394" s="273"/>
      <c r="C2394" s="28" t="s">
        <v>2882</v>
      </c>
      <c r="D2394" s="71">
        <v>260</v>
      </c>
      <c r="E2394" s="131">
        <f t="shared" si="650"/>
        <v>6200</v>
      </c>
      <c r="F2394" s="21">
        <f t="shared" si="661"/>
        <v>7502</v>
      </c>
      <c r="G2394" s="44"/>
      <c r="H2394" s="135">
        <f t="shared" si="652"/>
        <v>0</v>
      </c>
      <c r="I2394" s="294">
        <v>45370</v>
      </c>
      <c r="J2394" s="294"/>
      <c r="K2394" s="10">
        <v>3100</v>
      </c>
      <c r="L2394" s="11"/>
      <c r="M2394" s="11"/>
      <c r="N2394" s="100"/>
      <c r="O2394" s="11">
        <f t="shared" si="669"/>
        <v>3100</v>
      </c>
      <c r="P2394" s="11">
        <f t="shared" si="648"/>
        <v>3100</v>
      </c>
      <c r="Q2394" s="11">
        <v>2</v>
      </c>
      <c r="R2394" s="11">
        <f t="shared" si="649"/>
        <v>6200</v>
      </c>
      <c r="S2394" s="11"/>
      <c r="T2394" s="136">
        <f t="shared" ref="T2394:T2418" si="670">+N2394*Q2394</f>
        <v>0</v>
      </c>
    </row>
    <row r="2395" spans="1:20" ht="15.75" customHeight="1">
      <c r="A2395" s="149">
        <v>105</v>
      </c>
      <c r="B2395" s="273"/>
      <c r="C2395" s="28" t="s">
        <v>1889</v>
      </c>
      <c r="D2395" s="71"/>
      <c r="E2395" s="131">
        <f t="shared" si="650"/>
        <v>7180</v>
      </c>
      <c r="F2395" s="21">
        <f t="shared" si="661"/>
        <v>8687.7999999999993</v>
      </c>
      <c r="G2395" s="21"/>
      <c r="H2395" s="135">
        <f t="shared" si="652"/>
        <v>0</v>
      </c>
      <c r="I2395" s="294">
        <v>45265</v>
      </c>
      <c r="J2395" s="294"/>
      <c r="K2395" s="10">
        <v>3590</v>
      </c>
      <c r="L2395" s="11"/>
      <c r="M2395" s="11"/>
      <c r="N2395" s="100"/>
      <c r="O2395" s="11">
        <f t="shared" si="669"/>
        <v>3590</v>
      </c>
      <c r="P2395" s="11">
        <f t="shared" si="648"/>
        <v>3590</v>
      </c>
      <c r="Q2395" s="11">
        <v>2</v>
      </c>
      <c r="R2395" s="11">
        <f t="shared" si="649"/>
        <v>7180</v>
      </c>
      <c r="S2395" s="11"/>
      <c r="T2395" s="136">
        <f t="shared" si="670"/>
        <v>0</v>
      </c>
    </row>
    <row r="2396" spans="1:20" ht="15.75" customHeight="1">
      <c r="A2396" s="149">
        <v>105</v>
      </c>
      <c r="B2396" s="273"/>
      <c r="C2396" s="28" t="s">
        <v>1890</v>
      </c>
      <c r="D2396" s="71"/>
      <c r="E2396" s="131">
        <f t="shared" si="650"/>
        <v>8280</v>
      </c>
      <c r="F2396" s="21">
        <f t="shared" si="661"/>
        <v>10018.799999999999</v>
      </c>
      <c r="G2396" s="21"/>
      <c r="H2396" s="135">
        <f t="shared" si="652"/>
        <v>0</v>
      </c>
      <c r="I2396" s="294">
        <v>45370</v>
      </c>
      <c r="J2396" s="294"/>
      <c r="K2396" s="10">
        <v>4600</v>
      </c>
      <c r="L2396" s="11"/>
      <c r="M2396" s="11"/>
      <c r="N2396" s="100"/>
      <c r="O2396" s="11">
        <f t="shared" si="669"/>
        <v>4600</v>
      </c>
      <c r="P2396" s="11">
        <f t="shared" si="648"/>
        <v>4600</v>
      </c>
      <c r="Q2396" s="11">
        <v>1.8</v>
      </c>
      <c r="R2396" s="11">
        <f t="shared" si="649"/>
        <v>8280</v>
      </c>
      <c r="S2396" s="11"/>
      <c r="T2396" s="136">
        <f t="shared" si="670"/>
        <v>0</v>
      </c>
    </row>
    <row r="2397" spans="1:20" ht="15.75" customHeight="1">
      <c r="A2397" s="149">
        <v>105</v>
      </c>
      <c r="B2397" s="273"/>
      <c r="C2397" s="28" t="s">
        <v>1891</v>
      </c>
      <c r="D2397" s="71">
        <v>320</v>
      </c>
      <c r="E2397" s="131">
        <f t="shared" si="650"/>
        <v>8550</v>
      </c>
      <c r="F2397" s="21">
        <f t="shared" si="661"/>
        <v>10345.5</v>
      </c>
      <c r="G2397" s="21"/>
      <c r="H2397" s="135">
        <f t="shared" si="652"/>
        <v>0</v>
      </c>
      <c r="I2397" s="40">
        <v>45265</v>
      </c>
      <c r="J2397" s="294"/>
      <c r="K2397" s="10">
        <v>4750</v>
      </c>
      <c r="L2397" s="30"/>
      <c r="M2397" s="11"/>
      <c r="N2397" s="100"/>
      <c r="O2397" s="11">
        <f t="shared" si="669"/>
        <v>4750</v>
      </c>
      <c r="P2397" s="11">
        <f t="shared" si="648"/>
        <v>4750</v>
      </c>
      <c r="Q2397" s="11">
        <v>1.8</v>
      </c>
      <c r="R2397" s="11">
        <f t="shared" si="649"/>
        <v>8550</v>
      </c>
      <c r="S2397" s="11"/>
      <c r="T2397" s="136">
        <f t="shared" si="670"/>
        <v>0</v>
      </c>
    </row>
    <row r="2398" spans="1:20" ht="15.75" customHeight="1">
      <c r="A2398" s="149">
        <v>105</v>
      </c>
      <c r="B2398" s="273"/>
      <c r="C2398" s="28" t="s">
        <v>1892</v>
      </c>
      <c r="D2398" s="71">
        <v>620</v>
      </c>
      <c r="E2398" s="131">
        <f t="shared" si="650"/>
        <v>10530</v>
      </c>
      <c r="F2398" s="21">
        <f t="shared" si="661"/>
        <v>12741.3</v>
      </c>
      <c r="G2398" s="21"/>
      <c r="H2398" s="135">
        <f t="shared" si="652"/>
        <v>0</v>
      </c>
      <c r="I2398" s="294">
        <v>45370</v>
      </c>
      <c r="J2398" s="294"/>
      <c r="K2398" s="10">
        <v>5850</v>
      </c>
      <c r="L2398" s="11"/>
      <c r="M2398" s="11"/>
      <c r="N2398" s="100"/>
      <c r="O2398" s="11">
        <f t="shared" si="669"/>
        <v>5850</v>
      </c>
      <c r="P2398" s="11">
        <f t="shared" si="648"/>
        <v>5850</v>
      </c>
      <c r="Q2398" s="11">
        <v>1.8</v>
      </c>
      <c r="R2398" s="11">
        <f t="shared" si="649"/>
        <v>10530</v>
      </c>
      <c r="S2398" s="11"/>
      <c r="T2398" s="136">
        <f t="shared" si="670"/>
        <v>0</v>
      </c>
    </row>
    <row r="2399" spans="1:20" ht="15.75" customHeight="1">
      <c r="A2399" s="149">
        <v>105</v>
      </c>
      <c r="B2399" s="273"/>
      <c r="C2399" s="28" t="s">
        <v>1893</v>
      </c>
      <c r="D2399" s="71">
        <v>420</v>
      </c>
      <c r="E2399" s="131">
        <f t="shared" si="650"/>
        <v>0</v>
      </c>
      <c r="F2399" s="21">
        <f t="shared" ref="F2399:F2420" si="671">+E2399*1.21</f>
        <v>0</v>
      </c>
      <c r="G2399" s="21"/>
      <c r="H2399" s="135">
        <f t="shared" si="652"/>
        <v>0</v>
      </c>
      <c r="I2399" s="294"/>
      <c r="J2399" s="294">
        <v>44728</v>
      </c>
      <c r="K2399" s="10">
        <v>850</v>
      </c>
      <c r="L2399" s="11"/>
      <c r="M2399" s="11"/>
      <c r="N2399" s="100"/>
      <c r="O2399" s="11">
        <f t="shared" si="669"/>
        <v>850</v>
      </c>
      <c r="P2399" s="11">
        <f t="shared" si="648"/>
        <v>850</v>
      </c>
      <c r="Q2399" s="11"/>
      <c r="R2399" s="11">
        <f t="shared" si="649"/>
        <v>0</v>
      </c>
      <c r="S2399" s="11"/>
      <c r="T2399" s="136">
        <f t="shared" si="670"/>
        <v>0</v>
      </c>
    </row>
    <row r="2400" spans="1:20" ht="15.75" customHeight="1">
      <c r="A2400" s="149">
        <v>105</v>
      </c>
      <c r="B2400" s="273"/>
      <c r="C2400" s="28" t="s">
        <v>3466</v>
      </c>
      <c r="D2400" s="71"/>
      <c r="E2400" s="131">
        <f t="shared" si="650"/>
        <v>1660</v>
      </c>
      <c r="F2400" s="21">
        <f t="shared" si="671"/>
        <v>2008.6</v>
      </c>
      <c r="G2400" s="21"/>
      <c r="H2400" s="135">
        <f t="shared" si="652"/>
        <v>0</v>
      </c>
      <c r="I2400" s="294">
        <v>45265</v>
      </c>
      <c r="J2400" s="294"/>
      <c r="K2400" s="10">
        <v>830</v>
      </c>
      <c r="L2400" s="11"/>
      <c r="M2400" s="11"/>
      <c r="N2400" s="100"/>
      <c r="O2400" s="11">
        <f t="shared" si="669"/>
        <v>830</v>
      </c>
      <c r="P2400" s="11">
        <f t="shared" si="648"/>
        <v>830</v>
      </c>
      <c r="Q2400" s="11">
        <v>2</v>
      </c>
      <c r="R2400" s="11">
        <f t="shared" si="649"/>
        <v>1660</v>
      </c>
      <c r="S2400" s="11"/>
      <c r="T2400" s="136">
        <f t="shared" si="670"/>
        <v>0</v>
      </c>
    </row>
    <row r="2401" spans="1:20" ht="15.75" customHeight="1">
      <c r="A2401" s="149">
        <v>105</v>
      </c>
      <c r="B2401" s="273"/>
      <c r="C2401" s="28" t="s">
        <v>2881</v>
      </c>
      <c r="D2401" s="71"/>
      <c r="E2401" s="131">
        <f t="shared" si="650"/>
        <v>2300</v>
      </c>
      <c r="F2401" s="21">
        <f t="shared" si="671"/>
        <v>2783</v>
      </c>
      <c r="G2401" s="21"/>
      <c r="H2401" s="135">
        <f t="shared" si="652"/>
        <v>0</v>
      </c>
      <c r="I2401" s="294">
        <v>45370</v>
      </c>
      <c r="J2401" s="294"/>
      <c r="K2401" s="10">
        <v>1150</v>
      </c>
      <c r="L2401" s="11"/>
      <c r="M2401" s="11"/>
      <c r="N2401" s="100"/>
      <c r="O2401" s="11">
        <f t="shared" si="669"/>
        <v>1150</v>
      </c>
      <c r="P2401" s="11">
        <f t="shared" si="648"/>
        <v>1150</v>
      </c>
      <c r="Q2401" s="11">
        <v>2</v>
      </c>
      <c r="R2401" s="11">
        <f t="shared" si="649"/>
        <v>2300</v>
      </c>
      <c r="S2401" s="11"/>
      <c r="T2401" s="136">
        <f t="shared" si="670"/>
        <v>0</v>
      </c>
    </row>
    <row r="2402" spans="1:20" ht="15.75" customHeight="1">
      <c r="A2402" s="149">
        <v>105</v>
      </c>
      <c r="B2402" s="273"/>
      <c r="C2402" s="28" t="s">
        <v>2161</v>
      </c>
      <c r="D2402" s="71"/>
      <c r="E2402" s="131">
        <f t="shared" si="650"/>
        <v>2200</v>
      </c>
      <c r="F2402" s="21">
        <f t="shared" si="671"/>
        <v>2662</v>
      </c>
      <c r="G2402" s="21"/>
      <c r="H2402" s="135">
        <f t="shared" si="652"/>
        <v>0</v>
      </c>
      <c r="I2402" s="294">
        <v>45265</v>
      </c>
      <c r="J2402" s="294"/>
      <c r="K2402" s="10">
        <v>1100</v>
      </c>
      <c r="L2402" s="11"/>
      <c r="M2402" s="11"/>
      <c r="N2402" s="100"/>
      <c r="O2402" s="11">
        <f t="shared" si="669"/>
        <v>1100</v>
      </c>
      <c r="P2402" s="11">
        <f t="shared" ref="P2402:P2462" si="672">+O2402</f>
        <v>1100</v>
      </c>
      <c r="Q2402" s="11">
        <v>2</v>
      </c>
      <c r="R2402" s="11">
        <f t="shared" ref="R2402:R2464" si="673">+P2402*Q2402</f>
        <v>2200</v>
      </c>
      <c r="S2402" s="11"/>
      <c r="T2402" s="136">
        <f t="shared" si="670"/>
        <v>0</v>
      </c>
    </row>
    <row r="2403" spans="1:20" ht="15.75" customHeight="1">
      <c r="A2403" s="149">
        <v>105</v>
      </c>
      <c r="B2403" s="273"/>
      <c r="C2403" s="28" t="s">
        <v>2880</v>
      </c>
      <c r="D2403" s="71">
        <v>150</v>
      </c>
      <c r="E2403" s="131">
        <f t="shared" ref="E2403:E2467" si="674">ROUNDUP(R2403,-1)</f>
        <v>1940</v>
      </c>
      <c r="F2403" s="21">
        <f t="shared" si="671"/>
        <v>2347.4</v>
      </c>
      <c r="G2403" s="21"/>
      <c r="H2403" s="135">
        <f t="shared" ref="H2403:H2467" si="675">ROUNDUP(T2403,-1)</f>
        <v>0</v>
      </c>
      <c r="I2403" s="294">
        <v>45265</v>
      </c>
      <c r="J2403" s="294"/>
      <c r="K2403" s="10">
        <v>970</v>
      </c>
      <c r="L2403" s="11"/>
      <c r="M2403" s="11"/>
      <c r="N2403" s="100"/>
      <c r="O2403" s="11">
        <f t="shared" si="669"/>
        <v>970</v>
      </c>
      <c r="P2403" s="11">
        <f t="shared" si="672"/>
        <v>970</v>
      </c>
      <c r="Q2403" s="11">
        <v>2</v>
      </c>
      <c r="R2403" s="11">
        <f t="shared" si="673"/>
        <v>1940</v>
      </c>
      <c r="S2403" s="11"/>
      <c r="T2403" s="136">
        <f t="shared" si="670"/>
        <v>0</v>
      </c>
    </row>
    <row r="2404" spans="1:20" ht="15.75" customHeight="1">
      <c r="A2404" s="149">
        <v>105</v>
      </c>
      <c r="B2404" s="273"/>
      <c r="C2404" s="28" t="s">
        <v>3467</v>
      </c>
      <c r="D2404" s="71">
        <v>250</v>
      </c>
      <c r="E2404" s="131">
        <f t="shared" si="674"/>
        <v>1120</v>
      </c>
      <c r="F2404" s="21">
        <f t="shared" si="671"/>
        <v>1355.2</v>
      </c>
      <c r="G2404" s="21"/>
      <c r="H2404" s="135">
        <f t="shared" si="675"/>
        <v>0</v>
      </c>
      <c r="I2404" s="294">
        <v>44440</v>
      </c>
      <c r="J2404" s="294">
        <v>44646</v>
      </c>
      <c r="K2404" s="10">
        <f>280*2</f>
        <v>560</v>
      </c>
      <c r="L2404" s="11"/>
      <c r="M2404" s="11"/>
      <c r="N2404" s="100"/>
      <c r="O2404" s="11">
        <f t="shared" si="669"/>
        <v>560</v>
      </c>
      <c r="P2404" s="11">
        <f t="shared" si="672"/>
        <v>560</v>
      </c>
      <c r="Q2404" s="11">
        <v>2</v>
      </c>
      <c r="R2404" s="11">
        <f t="shared" si="673"/>
        <v>1120</v>
      </c>
      <c r="S2404" s="11"/>
      <c r="T2404" s="136">
        <f t="shared" si="670"/>
        <v>0</v>
      </c>
    </row>
    <row r="2405" spans="1:20" ht="15.75" customHeight="1">
      <c r="A2405" s="149">
        <v>105</v>
      </c>
      <c r="B2405" s="273"/>
      <c r="C2405" s="28" t="s">
        <v>3468</v>
      </c>
      <c r="D2405" s="71"/>
      <c r="E2405" s="131">
        <f t="shared" si="674"/>
        <v>3700</v>
      </c>
      <c r="F2405" s="21">
        <f t="shared" si="671"/>
        <v>4477</v>
      </c>
      <c r="G2405" s="21"/>
      <c r="H2405" s="135">
        <f t="shared" si="675"/>
        <v>0</v>
      </c>
      <c r="I2405" s="294">
        <v>45265</v>
      </c>
      <c r="J2405" s="294"/>
      <c r="K2405" s="10">
        <v>1850</v>
      </c>
      <c r="L2405" s="11"/>
      <c r="M2405" s="11"/>
      <c r="N2405" s="100"/>
      <c r="O2405" s="11">
        <f t="shared" si="669"/>
        <v>1850</v>
      </c>
      <c r="P2405" s="11">
        <f t="shared" si="672"/>
        <v>1850</v>
      </c>
      <c r="Q2405" s="11">
        <v>2</v>
      </c>
      <c r="R2405" s="11">
        <f t="shared" si="673"/>
        <v>3700</v>
      </c>
      <c r="S2405" s="11"/>
      <c r="T2405" s="136">
        <f t="shared" si="670"/>
        <v>0</v>
      </c>
    </row>
    <row r="2406" spans="1:20" ht="15.75" customHeight="1">
      <c r="A2406" s="149">
        <v>105</v>
      </c>
      <c r="B2406" s="273"/>
      <c r="C2406" s="28" t="s">
        <v>1894</v>
      </c>
      <c r="D2406" s="71">
        <v>150</v>
      </c>
      <c r="E2406" s="131">
        <f t="shared" si="674"/>
        <v>1060</v>
      </c>
      <c r="F2406" s="21">
        <f t="shared" si="671"/>
        <v>1282.5999999999999</v>
      </c>
      <c r="G2406" s="21"/>
      <c r="H2406" s="135">
        <f t="shared" si="675"/>
        <v>0</v>
      </c>
      <c r="I2406" s="294"/>
      <c r="J2406" s="294">
        <v>44833</v>
      </c>
      <c r="K2406" s="10">
        <v>530</v>
      </c>
      <c r="L2406" s="11"/>
      <c r="M2406" s="11"/>
      <c r="N2406" s="100"/>
      <c r="O2406" s="11">
        <f t="shared" si="669"/>
        <v>530</v>
      </c>
      <c r="P2406" s="11">
        <f t="shared" si="672"/>
        <v>530</v>
      </c>
      <c r="Q2406" s="11">
        <v>2</v>
      </c>
      <c r="R2406" s="11">
        <f t="shared" si="673"/>
        <v>1060</v>
      </c>
      <c r="S2406" s="11"/>
      <c r="T2406" s="136">
        <f t="shared" si="670"/>
        <v>0</v>
      </c>
    </row>
    <row r="2407" spans="1:20" ht="15.75" customHeight="1">
      <c r="A2407" s="149">
        <v>105</v>
      </c>
      <c r="B2407" s="273"/>
      <c r="C2407" s="28" t="s">
        <v>1895</v>
      </c>
      <c r="D2407" s="71">
        <v>350</v>
      </c>
      <c r="E2407" s="131">
        <f t="shared" si="674"/>
        <v>0</v>
      </c>
      <c r="F2407" s="21">
        <f t="shared" si="671"/>
        <v>0</v>
      </c>
      <c r="G2407" s="21"/>
      <c r="H2407" s="135">
        <f t="shared" si="675"/>
        <v>0</v>
      </c>
      <c r="I2407" s="294">
        <v>45370</v>
      </c>
      <c r="J2407" s="294"/>
      <c r="K2407" s="10">
        <v>8750</v>
      </c>
      <c r="L2407" s="11"/>
      <c r="M2407" s="11"/>
      <c r="N2407" s="100"/>
      <c r="O2407" s="11">
        <f t="shared" si="669"/>
        <v>8750</v>
      </c>
      <c r="P2407" s="11">
        <f t="shared" si="672"/>
        <v>8750</v>
      </c>
      <c r="Q2407" s="11"/>
      <c r="R2407" s="11">
        <f t="shared" si="673"/>
        <v>0</v>
      </c>
      <c r="S2407" s="11"/>
      <c r="T2407" s="136">
        <f t="shared" si="670"/>
        <v>0</v>
      </c>
    </row>
    <row r="2408" spans="1:20" ht="15.75" customHeight="1">
      <c r="A2408" s="149">
        <v>105</v>
      </c>
      <c r="B2408" s="273"/>
      <c r="C2408" s="28" t="s">
        <v>2153</v>
      </c>
      <c r="D2408" s="71">
        <v>1380</v>
      </c>
      <c r="E2408" s="131">
        <f t="shared" si="674"/>
        <v>0</v>
      </c>
      <c r="F2408" s="21">
        <f t="shared" si="671"/>
        <v>0</v>
      </c>
      <c r="G2408" s="21"/>
      <c r="H2408" s="135">
        <f t="shared" si="675"/>
        <v>0</v>
      </c>
      <c r="I2408" s="294"/>
      <c r="J2408" s="294">
        <v>43788</v>
      </c>
      <c r="K2408" s="10">
        <f>690*2</f>
        <v>1380</v>
      </c>
      <c r="L2408" s="11"/>
      <c r="M2408" s="11"/>
      <c r="N2408" s="100"/>
      <c r="O2408" s="11">
        <f t="shared" si="669"/>
        <v>1380</v>
      </c>
      <c r="P2408" s="11">
        <f t="shared" si="672"/>
        <v>1380</v>
      </c>
      <c r="Q2408" s="11"/>
      <c r="R2408" s="11">
        <f t="shared" si="673"/>
        <v>0</v>
      </c>
      <c r="S2408" s="11"/>
      <c r="T2408" s="136">
        <f t="shared" si="670"/>
        <v>0</v>
      </c>
    </row>
    <row r="2409" spans="1:20" ht="15.75" customHeight="1">
      <c r="A2409" s="149">
        <v>105</v>
      </c>
      <c r="B2409" s="273"/>
      <c r="C2409" s="28" t="s">
        <v>3654</v>
      </c>
      <c r="D2409" s="71">
        <v>1380</v>
      </c>
      <c r="E2409" s="131">
        <f t="shared" si="674"/>
        <v>4200</v>
      </c>
      <c r="F2409" s="21">
        <f t="shared" si="671"/>
        <v>5082</v>
      </c>
      <c r="G2409" s="21"/>
      <c r="H2409" s="135">
        <f t="shared" si="675"/>
        <v>0</v>
      </c>
      <c r="I2409" s="294"/>
      <c r="J2409" s="294">
        <v>44609</v>
      </c>
      <c r="K2409" s="10">
        <v>2100</v>
      </c>
      <c r="L2409" s="11"/>
      <c r="M2409" s="11"/>
      <c r="N2409" s="100"/>
      <c r="O2409" s="11">
        <f t="shared" si="669"/>
        <v>2100</v>
      </c>
      <c r="P2409" s="11">
        <f t="shared" si="672"/>
        <v>2100</v>
      </c>
      <c r="Q2409" s="11">
        <v>2</v>
      </c>
      <c r="R2409" s="11">
        <f t="shared" si="673"/>
        <v>4200</v>
      </c>
      <c r="S2409" s="11"/>
      <c r="T2409" s="136">
        <f t="shared" si="670"/>
        <v>0</v>
      </c>
    </row>
    <row r="2410" spans="1:20" ht="15.75" customHeight="1">
      <c r="A2410" s="149">
        <v>105</v>
      </c>
      <c r="B2410" s="273"/>
      <c r="C2410" s="28" t="s">
        <v>3544</v>
      </c>
      <c r="D2410" s="71">
        <v>1380</v>
      </c>
      <c r="E2410" s="131">
        <f t="shared" si="674"/>
        <v>1000</v>
      </c>
      <c r="F2410" s="21">
        <f t="shared" si="671"/>
        <v>1210</v>
      </c>
      <c r="G2410" s="21"/>
      <c r="H2410" s="135">
        <f t="shared" si="675"/>
        <v>0</v>
      </c>
      <c r="I2410" s="294"/>
      <c r="J2410" s="294">
        <v>44531</v>
      </c>
      <c r="K2410" s="10">
        <v>500</v>
      </c>
      <c r="L2410" s="11"/>
      <c r="M2410" s="11"/>
      <c r="N2410" s="100"/>
      <c r="O2410" s="11">
        <f t="shared" si="669"/>
        <v>500</v>
      </c>
      <c r="P2410" s="11">
        <f t="shared" si="672"/>
        <v>500</v>
      </c>
      <c r="Q2410" s="11">
        <v>2</v>
      </c>
      <c r="R2410" s="11">
        <f t="shared" si="673"/>
        <v>1000</v>
      </c>
      <c r="S2410" s="11"/>
      <c r="T2410" s="136">
        <f t="shared" si="670"/>
        <v>0</v>
      </c>
    </row>
    <row r="2411" spans="1:20" ht="15.75" customHeight="1">
      <c r="A2411" s="149">
        <v>105</v>
      </c>
      <c r="B2411" s="273"/>
      <c r="C2411" s="28" t="s">
        <v>3940</v>
      </c>
      <c r="D2411" s="71"/>
      <c r="E2411" s="131">
        <f t="shared" si="674"/>
        <v>3570</v>
      </c>
      <c r="F2411" s="21">
        <f t="shared" si="671"/>
        <v>4319.7</v>
      </c>
      <c r="G2411" s="21"/>
      <c r="H2411" s="135">
        <f t="shared" si="675"/>
        <v>0</v>
      </c>
      <c r="I2411" s="294"/>
      <c r="J2411" s="294">
        <v>44832</v>
      </c>
      <c r="K2411" s="10">
        <f>990*1.5*1.5</f>
        <v>2227.5</v>
      </c>
      <c r="L2411" s="11"/>
      <c r="M2411" s="10"/>
      <c r="N2411" s="100"/>
      <c r="O2411" s="11">
        <f t="shared" si="669"/>
        <v>2227.5</v>
      </c>
      <c r="P2411" s="11">
        <f t="shared" si="672"/>
        <v>2227.5</v>
      </c>
      <c r="Q2411" s="11">
        <v>1.6</v>
      </c>
      <c r="R2411" s="11">
        <f t="shared" si="673"/>
        <v>3564</v>
      </c>
      <c r="S2411" s="11"/>
      <c r="T2411" s="136">
        <f t="shared" si="670"/>
        <v>0</v>
      </c>
    </row>
    <row r="2412" spans="1:20" ht="15.75" customHeight="1">
      <c r="A2412" s="149">
        <v>105</v>
      </c>
      <c r="B2412" s="273"/>
      <c r="C2412" s="28" t="s">
        <v>1896</v>
      </c>
      <c r="D2412" s="71">
        <v>560</v>
      </c>
      <c r="E2412" s="131">
        <f t="shared" si="674"/>
        <v>0</v>
      </c>
      <c r="F2412" s="21">
        <f t="shared" si="671"/>
        <v>0</v>
      </c>
      <c r="G2412" s="21"/>
      <c r="H2412" s="135">
        <f t="shared" si="675"/>
        <v>0</v>
      </c>
      <c r="I2412" s="294"/>
      <c r="J2412" s="294">
        <v>43627</v>
      </c>
      <c r="K2412" s="10">
        <f>310*1.8</f>
        <v>558</v>
      </c>
      <c r="L2412" s="11"/>
      <c r="M2412" s="11"/>
      <c r="N2412" s="100"/>
      <c r="O2412" s="11">
        <f t="shared" si="669"/>
        <v>558</v>
      </c>
      <c r="P2412" s="11">
        <f t="shared" si="672"/>
        <v>558</v>
      </c>
      <c r="Q2412" s="11"/>
      <c r="R2412" s="11">
        <f t="shared" si="673"/>
        <v>0</v>
      </c>
      <c r="S2412" s="11"/>
      <c r="T2412" s="136">
        <f t="shared" si="670"/>
        <v>0</v>
      </c>
    </row>
    <row r="2413" spans="1:20" ht="15.75" customHeight="1">
      <c r="A2413" s="149">
        <v>105</v>
      </c>
      <c r="B2413" s="273"/>
      <c r="C2413" s="28" t="s">
        <v>2158</v>
      </c>
      <c r="D2413" s="71">
        <v>900</v>
      </c>
      <c r="E2413" s="131">
        <f t="shared" si="674"/>
        <v>0</v>
      </c>
      <c r="F2413" s="21">
        <f t="shared" si="671"/>
        <v>0</v>
      </c>
      <c r="G2413" s="21"/>
      <c r="H2413" s="135">
        <f t="shared" si="675"/>
        <v>0</v>
      </c>
      <c r="I2413" s="294"/>
      <c r="J2413" s="294">
        <v>43788</v>
      </c>
      <c r="K2413" s="10">
        <f>450*2</f>
        <v>900</v>
      </c>
      <c r="L2413" s="11"/>
      <c r="M2413" s="11"/>
      <c r="N2413" s="100"/>
      <c r="O2413" s="11">
        <f t="shared" si="669"/>
        <v>900</v>
      </c>
      <c r="P2413" s="11">
        <f t="shared" si="672"/>
        <v>900</v>
      </c>
      <c r="Q2413" s="11"/>
      <c r="R2413" s="11">
        <f t="shared" si="673"/>
        <v>0</v>
      </c>
      <c r="S2413" s="11"/>
      <c r="T2413" s="136">
        <f t="shared" si="670"/>
        <v>0</v>
      </c>
    </row>
    <row r="2414" spans="1:20" ht="15.75" customHeight="1">
      <c r="A2414" s="149">
        <v>105</v>
      </c>
      <c r="B2414" s="273"/>
      <c r="C2414" s="28" t="s">
        <v>3610</v>
      </c>
      <c r="D2414" s="71">
        <v>900</v>
      </c>
      <c r="E2414" s="131">
        <f t="shared" si="674"/>
        <v>4200</v>
      </c>
      <c r="F2414" s="21">
        <f t="shared" si="671"/>
        <v>5082</v>
      </c>
      <c r="G2414" s="21"/>
      <c r="H2414" s="135">
        <f t="shared" si="675"/>
        <v>0</v>
      </c>
      <c r="I2414" s="294"/>
      <c r="J2414" s="294">
        <v>44728</v>
      </c>
      <c r="K2414" s="10">
        <v>2100</v>
      </c>
      <c r="L2414" s="11"/>
      <c r="M2414" s="11"/>
      <c r="N2414" s="100"/>
      <c r="O2414" s="11">
        <f t="shared" si="669"/>
        <v>2100</v>
      </c>
      <c r="P2414" s="11">
        <f t="shared" si="672"/>
        <v>2100</v>
      </c>
      <c r="Q2414" s="11">
        <v>2</v>
      </c>
      <c r="R2414" s="11">
        <f t="shared" si="673"/>
        <v>4200</v>
      </c>
      <c r="S2414" s="11"/>
      <c r="T2414" s="136">
        <f t="shared" si="670"/>
        <v>0</v>
      </c>
    </row>
    <row r="2415" spans="1:20" ht="15.75" customHeight="1">
      <c r="A2415" s="149">
        <v>105</v>
      </c>
      <c r="B2415" s="273"/>
      <c r="C2415" s="28" t="s">
        <v>3542</v>
      </c>
      <c r="D2415" s="71">
        <v>150</v>
      </c>
      <c r="E2415" s="131">
        <f t="shared" si="674"/>
        <v>800</v>
      </c>
      <c r="F2415" s="21">
        <f t="shared" si="671"/>
        <v>968</v>
      </c>
      <c r="G2415" s="21"/>
      <c r="H2415" s="135">
        <f t="shared" si="675"/>
        <v>0</v>
      </c>
      <c r="I2415" s="294"/>
      <c r="J2415" s="294">
        <v>44531</v>
      </c>
      <c r="K2415" s="10">
        <v>400</v>
      </c>
      <c r="L2415" s="11"/>
      <c r="M2415" s="11"/>
      <c r="N2415" s="100"/>
      <c r="O2415" s="11">
        <f t="shared" si="669"/>
        <v>400</v>
      </c>
      <c r="P2415" s="11">
        <f t="shared" si="672"/>
        <v>400</v>
      </c>
      <c r="Q2415" s="11">
        <v>2</v>
      </c>
      <c r="R2415" s="11">
        <f t="shared" si="673"/>
        <v>800</v>
      </c>
      <c r="S2415" s="11"/>
      <c r="T2415" s="136">
        <f t="shared" si="670"/>
        <v>0</v>
      </c>
    </row>
    <row r="2416" spans="1:20" ht="15.75" customHeight="1">
      <c r="A2416" s="149">
        <v>50</v>
      </c>
      <c r="B2416" s="273">
        <f>ROUNDUP(E2416*1.105,-1)</f>
        <v>37860</v>
      </c>
      <c r="C2416" s="28" t="s">
        <v>44259</v>
      </c>
      <c r="D2416" s="71"/>
      <c r="E2416" s="131">
        <f t="shared" si="674"/>
        <v>34260</v>
      </c>
      <c r="F2416" s="21">
        <f t="shared" si="671"/>
        <v>41454.6</v>
      </c>
      <c r="G2416" s="21"/>
      <c r="H2416" s="135">
        <f t="shared" si="675"/>
        <v>32250</v>
      </c>
      <c r="I2416" s="294">
        <v>45385</v>
      </c>
      <c r="J2416" s="294"/>
      <c r="K2416" s="43">
        <f>PROVEEDORES!$D$44*0.58*49.44</f>
        <v>25377.551999999996</v>
      </c>
      <c r="L2416" s="11"/>
      <c r="M2416" s="11"/>
      <c r="N2416" s="171">
        <f>PROVEEDORES!$D$44*0.5985*45.1</f>
        <v>23888.229750000002</v>
      </c>
      <c r="O2416" s="11">
        <f t="shared" si="669"/>
        <v>25377.551999999996</v>
      </c>
      <c r="P2416" s="11">
        <f t="shared" si="672"/>
        <v>25377.551999999996</v>
      </c>
      <c r="Q2416" s="11">
        <v>1.35</v>
      </c>
      <c r="R2416" s="11">
        <f t="shared" si="673"/>
        <v>34259.695199999995</v>
      </c>
      <c r="S2416" s="11"/>
      <c r="T2416" s="136">
        <f t="shared" si="670"/>
        <v>32249.110162500005</v>
      </c>
    </row>
    <row r="2417" spans="1:20" ht="15.75" customHeight="1">
      <c r="A2417" s="149">
        <v>50</v>
      </c>
      <c r="B2417" s="273">
        <f>ROUNDUP(E2417*1.105,-1)</f>
        <v>44850</v>
      </c>
      <c r="C2417" s="28" t="s">
        <v>44260</v>
      </c>
      <c r="D2417" s="162">
        <v>1400</v>
      </c>
      <c r="E2417" s="139">
        <f t="shared" si="674"/>
        <v>40580</v>
      </c>
      <c r="F2417" s="21">
        <f t="shared" si="671"/>
        <v>49101.799999999996</v>
      </c>
      <c r="G2417" s="21"/>
      <c r="H2417" s="135">
        <f t="shared" si="675"/>
        <v>36970</v>
      </c>
      <c r="I2417" s="294">
        <v>45385</v>
      </c>
      <c r="J2417" s="294"/>
      <c r="K2417" s="43">
        <f>PROVEEDORES!$D$44*0.58*58.56</f>
        <v>30058.847999999998</v>
      </c>
      <c r="L2417" s="11"/>
      <c r="M2417" s="10"/>
      <c r="N2417" s="171">
        <f>PROVEEDORES!$D$44*0.5985*51.7</f>
        <v>27384.068250000004</v>
      </c>
      <c r="O2417" s="11">
        <f t="shared" si="669"/>
        <v>30058.847999999998</v>
      </c>
      <c r="P2417" s="11">
        <f t="shared" si="672"/>
        <v>30058.847999999998</v>
      </c>
      <c r="Q2417" s="11">
        <v>1.35</v>
      </c>
      <c r="R2417" s="11">
        <f t="shared" si="673"/>
        <v>40579.444799999997</v>
      </c>
      <c r="S2417" s="11"/>
      <c r="T2417" s="136">
        <f t="shared" si="670"/>
        <v>36968.492137500005</v>
      </c>
    </row>
    <row r="2418" spans="1:20" ht="15.75" customHeight="1">
      <c r="A2418" s="149"/>
      <c r="B2418" s="273"/>
      <c r="C2418" s="28" t="s">
        <v>1897</v>
      </c>
      <c r="D2418" s="71">
        <v>200</v>
      </c>
      <c r="E2418" s="131">
        <f t="shared" si="674"/>
        <v>0</v>
      </c>
      <c r="F2418" s="21">
        <f t="shared" si="671"/>
        <v>0</v>
      </c>
      <c r="G2418" s="21"/>
      <c r="H2418" s="135">
        <f t="shared" si="675"/>
        <v>0</v>
      </c>
      <c r="I2418" s="40"/>
      <c r="J2418" s="294">
        <v>42999</v>
      </c>
      <c r="K2418" s="11">
        <f>101*0.59*0.9*1.6*2</f>
        <v>171.61920000000001</v>
      </c>
      <c r="L2418" s="53"/>
      <c r="M2418" s="10"/>
      <c r="N2418" s="100"/>
      <c r="O2418" s="11">
        <f t="shared" si="669"/>
        <v>171.61920000000001</v>
      </c>
      <c r="P2418" s="11">
        <f t="shared" si="672"/>
        <v>171.61920000000001</v>
      </c>
      <c r="Q2418" s="11"/>
      <c r="R2418" s="11">
        <f t="shared" si="673"/>
        <v>0</v>
      </c>
      <c r="S2418" s="11"/>
      <c r="T2418" s="136">
        <f t="shared" si="670"/>
        <v>0</v>
      </c>
    </row>
    <row r="2419" spans="1:20" ht="15.75" customHeight="1">
      <c r="A2419" s="149">
        <v>38</v>
      </c>
      <c r="B2419" s="273"/>
      <c r="C2419" s="28" t="s">
        <v>3418</v>
      </c>
      <c r="D2419" s="71">
        <v>1270</v>
      </c>
      <c r="E2419" s="131">
        <f t="shared" si="674"/>
        <v>24560</v>
      </c>
      <c r="F2419" s="21">
        <f t="shared" si="671"/>
        <v>29717.599999999999</v>
      </c>
      <c r="G2419" s="21"/>
      <c r="H2419" s="135">
        <f t="shared" si="675"/>
        <v>23090</v>
      </c>
      <c r="I2419" s="294">
        <v>45138</v>
      </c>
      <c r="J2419" s="294">
        <v>45274</v>
      </c>
      <c r="K2419" s="10">
        <f>+PROVEEDORES!$D$32*16.13</f>
        <v>16936.5</v>
      </c>
      <c r="L2419" s="11"/>
      <c r="M2419" s="11"/>
      <c r="N2419" s="38">
        <f t="shared" ref="N2419:N2430" si="676">+K2419*0.94</f>
        <v>15920.31</v>
      </c>
      <c r="O2419" s="11">
        <f t="shared" si="669"/>
        <v>16936.5</v>
      </c>
      <c r="P2419" s="11">
        <f t="shared" si="672"/>
        <v>16936.5</v>
      </c>
      <c r="Q2419" s="11">
        <v>1.45</v>
      </c>
      <c r="R2419" s="11">
        <f t="shared" si="673"/>
        <v>24557.924999999999</v>
      </c>
      <c r="S2419" s="11"/>
      <c r="T2419" s="136">
        <f t="shared" ref="T2419:T2459" si="677">+N2419*Q2419</f>
        <v>23084.449499999999</v>
      </c>
    </row>
    <row r="2420" spans="1:20" ht="15.75" customHeight="1">
      <c r="A2420" s="149">
        <v>38</v>
      </c>
      <c r="B2420" s="273"/>
      <c r="C2420" s="28" t="s">
        <v>3420</v>
      </c>
      <c r="D2420" s="71">
        <v>1470</v>
      </c>
      <c r="E2420" s="131">
        <f t="shared" si="674"/>
        <v>48600</v>
      </c>
      <c r="F2420" s="21">
        <f t="shared" si="671"/>
        <v>58806</v>
      </c>
      <c r="G2420" s="21"/>
      <c r="H2420" s="135">
        <f t="shared" si="675"/>
        <v>45690</v>
      </c>
      <c r="I2420" s="294">
        <v>45138</v>
      </c>
      <c r="J2420" s="294">
        <v>45274</v>
      </c>
      <c r="K2420" s="10">
        <f>+PROVEEDORES!$D$32*31.92</f>
        <v>33516</v>
      </c>
      <c r="L2420" s="11"/>
      <c r="M2420" s="11"/>
      <c r="N2420" s="38">
        <f t="shared" si="676"/>
        <v>31505.039999999997</v>
      </c>
      <c r="O2420" s="11">
        <f t="shared" si="669"/>
        <v>33516</v>
      </c>
      <c r="P2420" s="11">
        <f t="shared" si="672"/>
        <v>33516</v>
      </c>
      <c r="Q2420" s="11">
        <v>1.45</v>
      </c>
      <c r="R2420" s="11">
        <f t="shared" si="673"/>
        <v>48598.2</v>
      </c>
      <c r="S2420" s="11"/>
      <c r="T2420" s="136">
        <f t="shared" si="677"/>
        <v>45682.307999999997</v>
      </c>
    </row>
    <row r="2421" spans="1:20" ht="15.75" customHeight="1">
      <c r="A2421" s="149">
        <v>38</v>
      </c>
      <c r="B2421" s="273"/>
      <c r="C2421" s="28" t="s">
        <v>3540</v>
      </c>
      <c r="D2421" s="71">
        <v>2080</v>
      </c>
      <c r="E2421" s="131">
        <f t="shared" si="674"/>
        <v>40870</v>
      </c>
      <c r="F2421" s="21">
        <f t="shared" ref="F2421:F2447" si="678">+E2421*1.21</f>
        <v>49452.7</v>
      </c>
      <c r="G2421" s="21"/>
      <c r="H2421" s="135">
        <f t="shared" si="675"/>
        <v>38420</v>
      </c>
      <c r="I2421" s="294">
        <v>45138</v>
      </c>
      <c r="J2421" s="294">
        <v>45274</v>
      </c>
      <c r="K2421" s="10">
        <f>+PROVEEDORES!$D$32*26.84</f>
        <v>28182</v>
      </c>
      <c r="L2421" s="11"/>
      <c r="M2421" s="30"/>
      <c r="N2421" s="38">
        <f t="shared" si="676"/>
        <v>26491.079999999998</v>
      </c>
      <c r="O2421" s="11">
        <f t="shared" si="669"/>
        <v>28182</v>
      </c>
      <c r="P2421" s="11">
        <f t="shared" si="672"/>
        <v>28182</v>
      </c>
      <c r="Q2421" s="11">
        <v>1.45</v>
      </c>
      <c r="R2421" s="11">
        <f t="shared" si="673"/>
        <v>40863.9</v>
      </c>
      <c r="S2421" s="11"/>
      <c r="T2421" s="136">
        <f t="shared" si="677"/>
        <v>38412.065999999999</v>
      </c>
    </row>
    <row r="2422" spans="1:20" ht="15.75" customHeight="1">
      <c r="A2422" s="149">
        <v>38</v>
      </c>
      <c r="B2422" s="273"/>
      <c r="C2422" s="248" t="s">
        <v>3419</v>
      </c>
      <c r="D2422" s="71">
        <v>1470</v>
      </c>
      <c r="E2422" s="131">
        <f t="shared" si="674"/>
        <v>28640</v>
      </c>
      <c r="F2422" s="21">
        <f t="shared" si="678"/>
        <v>34654.400000000001</v>
      </c>
      <c r="G2422" s="21">
        <f>10200*2+3500+700+600</f>
        <v>25200</v>
      </c>
      <c r="H2422" s="135">
        <f t="shared" si="675"/>
        <v>26920</v>
      </c>
      <c r="I2422" s="294">
        <v>45138</v>
      </c>
      <c r="J2422" s="294">
        <v>45274</v>
      </c>
      <c r="K2422" s="10">
        <f>+PROVEEDORES!$D$32*18.81</f>
        <v>19750.5</v>
      </c>
      <c r="L2422" s="11"/>
      <c r="M2422" s="11"/>
      <c r="N2422" s="38">
        <f t="shared" si="676"/>
        <v>18565.469999999998</v>
      </c>
      <c r="O2422" s="11">
        <f t="shared" si="669"/>
        <v>19750.5</v>
      </c>
      <c r="P2422" s="11">
        <f t="shared" si="672"/>
        <v>19750.5</v>
      </c>
      <c r="Q2422" s="11">
        <v>1.45</v>
      </c>
      <c r="R2422" s="11">
        <f t="shared" si="673"/>
        <v>28638.224999999999</v>
      </c>
      <c r="S2422" s="11"/>
      <c r="T2422" s="136">
        <f t="shared" si="677"/>
        <v>26919.931499999995</v>
      </c>
    </row>
    <row r="2423" spans="1:20" ht="15.75" customHeight="1">
      <c r="A2423" s="149">
        <v>38</v>
      </c>
      <c r="B2423" s="273"/>
      <c r="C2423" s="28" t="s">
        <v>3422</v>
      </c>
      <c r="D2423" s="71">
        <v>2080</v>
      </c>
      <c r="E2423" s="131">
        <f t="shared" ref="E2423:E2430" si="679">ROUNDUP(R2423,-1)</f>
        <v>45040</v>
      </c>
      <c r="F2423" s="21">
        <f t="shared" ref="F2423:F2430" si="680">+E2423*1.21</f>
        <v>54498.400000000001</v>
      </c>
      <c r="G2423" s="21"/>
      <c r="H2423" s="135">
        <f t="shared" ref="H2423:H2430" si="681">ROUNDUP(T2423,-1)</f>
        <v>42340</v>
      </c>
      <c r="I2423" s="294">
        <v>45138</v>
      </c>
      <c r="J2423" s="294">
        <v>45274</v>
      </c>
      <c r="K2423" s="10">
        <f>+PROVEEDORES!$D$32*29.58</f>
        <v>31059</v>
      </c>
      <c r="L2423" s="11"/>
      <c r="M2423" s="30"/>
      <c r="N2423" s="38">
        <f t="shared" si="676"/>
        <v>29195.46</v>
      </c>
      <c r="O2423" s="11">
        <f t="shared" ref="O2423:O2430" si="682">MIN(K2423:M2423)</f>
        <v>31059</v>
      </c>
      <c r="P2423" s="11">
        <f t="shared" si="672"/>
        <v>31059</v>
      </c>
      <c r="Q2423" s="11">
        <v>1.45</v>
      </c>
      <c r="R2423" s="11">
        <f t="shared" si="673"/>
        <v>45035.549999999996</v>
      </c>
      <c r="S2423" s="11"/>
      <c r="T2423" s="136">
        <f t="shared" ref="T2423:T2430" si="683">+N2423*Q2423</f>
        <v>42333.416999999994</v>
      </c>
    </row>
    <row r="2424" spans="1:20" ht="15.75" customHeight="1">
      <c r="A2424" s="149">
        <v>38</v>
      </c>
      <c r="B2424" s="273"/>
      <c r="C2424" s="28" t="s">
        <v>3421</v>
      </c>
      <c r="D2424" s="71">
        <v>1690</v>
      </c>
      <c r="E2424" s="131">
        <f t="shared" si="679"/>
        <v>32740</v>
      </c>
      <c r="F2424" s="21">
        <f t="shared" si="680"/>
        <v>39615.4</v>
      </c>
      <c r="G2424" s="21"/>
      <c r="H2424" s="135">
        <f t="shared" si="681"/>
        <v>30770</v>
      </c>
      <c r="I2424" s="294">
        <v>45138</v>
      </c>
      <c r="J2424" s="294">
        <v>45274</v>
      </c>
      <c r="K2424" s="10">
        <f>+PROVEEDORES!$D$32*21.5</f>
        <v>22575</v>
      </c>
      <c r="L2424" s="11"/>
      <c r="M2424" s="30"/>
      <c r="N2424" s="38">
        <f t="shared" si="676"/>
        <v>21220.5</v>
      </c>
      <c r="O2424" s="11">
        <f t="shared" si="682"/>
        <v>22575</v>
      </c>
      <c r="P2424" s="11">
        <f t="shared" si="672"/>
        <v>22575</v>
      </c>
      <c r="Q2424" s="11">
        <v>1.45</v>
      </c>
      <c r="R2424" s="11">
        <f t="shared" si="673"/>
        <v>32733.75</v>
      </c>
      <c r="S2424" s="11"/>
      <c r="T2424" s="136">
        <f t="shared" si="683"/>
        <v>30769.724999999999</v>
      </c>
    </row>
    <row r="2425" spans="1:20" ht="15.75" customHeight="1">
      <c r="A2425" s="149">
        <v>38</v>
      </c>
      <c r="B2425" s="273"/>
      <c r="C2425" s="28" t="s">
        <v>3539</v>
      </c>
      <c r="D2425" s="71">
        <v>1650</v>
      </c>
      <c r="E2425" s="131">
        <f t="shared" si="679"/>
        <v>60010</v>
      </c>
      <c r="F2425" s="21">
        <f t="shared" si="680"/>
        <v>72612.099999999991</v>
      </c>
      <c r="G2425" s="21"/>
      <c r="H2425" s="135">
        <f t="shared" si="681"/>
        <v>56410</v>
      </c>
      <c r="I2425" s="294">
        <v>45138</v>
      </c>
      <c r="J2425" s="294">
        <v>45274</v>
      </c>
      <c r="K2425" s="10">
        <f>+PROVEEDORES!$D$32*39.41</f>
        <v>41380.5</v>
      </c>
      <c r="L2425" s="11"/>
      <c r="M2425" s="11"/>
      <c r="N2425" s="38">
        <f t="shared" si="676"/>
        <v>38897.67</v>
      </c>
      <c r="O2425" s="11">
        <f t="shared" si="682"/>
        <v>41380.5</v>
      </c>
      <c r="P2425" s="11">
        <f t="shared" si="672"/>
        <v>41380.5</v>
      </c>
      <c r="Q2425" s="11">
        <v>1.45</v>
      </c>
      <c r="R2425" s="11">
        <f t="shared" si="673"/>
        <v>60001.724999999999</v>
      </c>
      <c r="S2425" s="11"/>
      <c r="T2425" s="136">
        <f t="shared" si="683"/>
        <v>56401.621499999994</v>
      </c>
    </row>
    <row r="2426" spans="1:20" ht="15.75" customHeight="1">
      <c r="A2426" s="149">
        <v>38</v>
      </c>
      <c r="B2426" s="273"/>
      <c r="C2426" s="28" t="s">
        <v>44316</v>
      </c>
      <c r="D2426" s="71">
        <v>1650</v>
      </c>
      <c r="E2426" s="131">
        <f t="shared" si="679"/>
        <v>57950</v>
      </c>
      <c r="F2426" s="21">
        <f t="shared" si="680"/>
        <v>70119.5</v>
      </c>
      <c r="G2426" s="21"/>
      <c r="H2426" s="135">
        <f t="shared" si="681"/>
        <v>54470</v>
      </c>
      <c r="I2426" s="294">
        <v>45138</v>
      </c>
      <c r="J2426" s="294">
        <v>45274</v>
      </c>
      <c r="K2426" s="10">
        <f>+PROVEEDORES!D32*38.06</f>
        <v>39963</v>
      </c>
      <c r="L2426" s="11"/>
      <c r="M2426" s="11"/>
      <c r="N2426" s="38">
        <f t="shared" si="676"/>
        <v>37565.22</v>
      </c>
      <c r="O2426" s="11">
        <f t="shared" si="682"/>
        <v>39963</v>
      </c>
      <c r="P2426" s="11">
        <f t="shared" si="672"/>
        <v>39963</v>
      </c>
      <c r="Q2426" s="11">
        <v>1.45</v>
      </c>
      <c r="R2426" s="11">
        <f t="shared" si="673"/>
        <v>57946.35</v>
      </c>
      <c r="S2426" s="11"/>
      <c r="T2426" s="136">
        <f t="shared" si="683"/>
        <v>54469.569000000003</v>
      </c>
    </row>
    <row r="2427" spans="1:20" ht="15.75" customHeight="1">
      <c r="A2427" s="149">
        <v>38</v>
      </c>
      <c r="B2427" s="273"/>
      <c r="C2427" s="28" t="s">
        <v>4233</v>
      </c>
      <c r="D2427" s="71">
        <v>1650</v>
      </c>
      <c r="E2427" s="131">
        <f>ROUNDUP(R2427,-1)</f>
        <v>87930</v>
      </c>
      <c r="F2427" s="21">
        <f>+E2427*1.21</f>
        <v>106395.3</v>
      </c>
      <c r="G2427" s="21"/>
      <c r="H2427" s="135">
        <f>ROUNDUP(T2427,-1)</f>
        <v>82650</v>
      </c>
      <c r="I2427" s="294">
        <v>45138</v>
      </c>
      <c r="J2427" s="294">
        <v>45274</v>
      </c>
      <c r="K2427" s="10">
        <f>+PROVEEDORES!$D$32*57.75</f>
        <v>60637.5</v>
      </c>
      <c r="L2427" s="11"/>
      <c r="M2427" s="11"/>
      <c r="N2427" s="38">
        <f t="shared" si="676"/>
        <v>56999.25</v>
      </c>
      <c r="O2427" s="11">
        <f>MIN(K2427:M2427)</f>
        <v>60637.5</v>
      </c>
      <c r="P2427" s="11">
        <f t="shared" si="672"/>
        <v>60637.5</v>
      </c>
      <c r="Q2427" s="11">
        <v>1.45</v>
      </c>
      <c r="R2427" s="11">
        <f t="shared" si="673"/>
        <v>87924.375</v>
      </c>
      <c r="S2427" s="11"/>
      <c r="T2427" s="136">
        <f>+N2427*Q2427</f>
        <v>82648.912499999991</v>
      </c>
    </row>
    <row r="2428" spans="1:20" ht="15.75" customHeight="1">
      <c r="A2428" s="149">
        <v>38</v>
      </c>
      <c r="B2428" s="273"/>
      <c r="C2428" s="28" t="s">
        <v>3618</v>
      </c>
      <c r="D2428" s="71">
        <v>1650</v>
      </c>
      <c r="E2428" s="131">
        <f t="shared" si="679"/>
        <v>25310</v>
      </c>
      <c r="F2428" s="21">
        <f t="shared" si="680"/>
        <v>30625.1</v>
      </c>
      <c r="G2428" s="21"/>
      <c r="H2428" s="135">
        <f t="shared" si="681"/>
        <v>23790</v>
      </c>
      <c r="I2428" s="294">
        <v>45138</v>
      </c>
      <c r="J2428" s="294">
        <v>45274</v>
      </c>
      <c r="K2428" s="10">
        <f>+PROVEEDORES!D32*16.62</f>
        <v>17451</v>
      </c>
      <c r="L2428" s="11"/>
      <c r="M2428" s="11"/>
      <c r="N2428" s="38">
        <f t="shared" si="676"/>
        <v>16403.939999999999</v>
      </c>
      <c r="O2428" s="11">
        <f t="shared" si="682"/>
        <v>17451</v>
      </c>
      <c r="P2428" s="11">
        <f t="shared" si="672"/>
        <v>17451</v>
      </c>
      <c r="Q2428" s="11">
        <v>1.45</v>
      </c>
      <c r="R2428" s="11">
        <f t="shared" si="673"/>
        <v>25303.95</v>
      </c>
      <c r="S2428" s="11"/>
      <c r="T2428" s="136">
        <f t="shared" si="683"/>
        <v>23785.712999999996</v>
      </c>
    </row>
    <row r="2429" spans="1:20" ht="15.75" customHeight="1">
      <c r="A2429" s="149">
        <v>38</v>
      </c>
      <c r="B2429" s="273"/>
      <c r="C2429" s="28" t="s">
        <v>3818</v>
      </c>
      <c r="D2429" s="71"/>
      <c r="E2429" s="131">
        <f t="shared" si="679"/>
        <v>92610</v>
      </c>
      <c r="F2429" s="21">
        <f t="shared" si="680"/>
        <v>112058.09999999999</v>
      </c>
      <c r="G2429" s="21">
        <f>136*30</f>
        <v>4080</v>
      </c>
      <c r="H2429" s="135">
        <f t="shared" si="681"/>
        <v>87060</v>
      </c>
      <c r="I2429" s="294">
        <v>45138</v>
      </c>
      <c r="J2429" s="294">
        <v>45274</v>
      </c>
      <c r="K2429" s="10">
        <f>+PROVEEDORES!$D$32*63</f>
        <v>66150</v>
      </c>
      <c r="L2429" s="196"/>
      <c r="M2429" s="11"/>
      <c r="N2429" s="38">
        <f t="shared" si="676"/>
        <v>62181</v>
      </c>
      <c r="O2429" s="11">
        <f t="shared" si="682"/>
        <v>66150</v>
      </c>
      <c r="P2429" s="11">
        <f t="shared" si="672"/>
        <v>66150</v>
      </c>
      <c r="Q2429" s="11">
        <v>1.4</v>
      </c>
      <c r="R2429" s="11">
        <f t="shared" si="673"/>
        <v>92610</v>
      </c>
      <c r="S2429" s="11"/>
      <c r="T2429" s="136">
        <f t="shared" si="683"/>
        <v>87053.4</v>
      </c>
    </row>
    <row r="2430" spans="1:20" ht="15.75" customHeight="1">
      <c r="A2430" s="149">
        <v>38</v>
      </c>
      <c r="B2430" s="273"/>
      <c r="C2430" s="28" t="s">
        <v>3541</v>
      </c>
      <c r="D2430" s="71">
        <v>1650</v>
      </c>
      <c r="E2430" s="131">
        <f t="shared" si="679"/>
        <v>60570</v>
      </c>
      <c r="F2430" s="21">
        <f t="shared" si="680"/>
        <v>73289.7</v>
      </c>
      <c r="G2430" s="21"/>
      <c r="H2430" s="135">
        <f t="shared" si="681"/>
        <v>56940</v>
      </c>
      <c r="I2430" s="294">
        <v>45138</v>
      </c>
      <c r="J2430" s="294">
        <v>45274</v>
      </c>
      <c r="K2430" s="10">
        <f>+PROVEEDORES!$D$32*39.78</f>
        <v>41769</v>
      </c>
      <c r="L2430" s="11"/>
      <c r="M2430" s="11"/>
      <c r="N2430" s="38">
        <f t="shared" si="676"/>
        <v>39262.86</v>
      </c>
      <c r="O2430" s="11">
        <f t="shared" si="682"/>
        <v>41769</v>
      </c>
      <c r="P2430" s="11">
        <f t="shared" si="672"/>
        <v>41769</v>
      </c>
      <c r="Q2430" s="11">
        <v>1.45</v>
      </c>
      <c r="R2430" s="11">
        <f t="shared" si="673"/>
        <v>60565.049999999996</v>
      </c>
      <c r="S2430" s="11"/>
      <c r="T2430" s="136">
        <f t="shared" si="683"/>
        <v>56931.146999999997</v>
      </c>
    </row>
    <row r="2431" spans="1:20" ht="15.75" customHeight="1">
      <c r="A2431" s="149">
        <v>12</v>
      </c>
      <c r="B2431" s="273"/>
      <c r="C2431" s="28" t="s">
        <v>1900</v>
      </c>
      <c r="D2431" s="71">
        <v>380</v>
      </c>
      <c r="E2431" s="131">
        <f t="shared" si="674"/>
        <v>8110</v>
      </c>
      <c r="F2431" s="21">
        <f t="shared" si="678"/>
        <v>9813.1</v>
      </c>
      <c r="G2431" s="21"/>
      <c r="H2431" s="135">
        <f t="shared" si="675"/>
        <v>0</v>
      </c>
      <c r="I2431" s="294">
        <v>45274</v>
      </c>
      <c r="J2431" s="294">
        <v>45338</v>
      </c>
      <c r="K2431" s="11">
        <v>5066</v>
      </c>
      <c r="L2431" s="11"/>
      <c r="M2431" s="11"/>
      <c r="N2431" s="38"/>
      <c r="O2431" s="11">
        <f t="shared" si="669"/>
        <v>5066</v>
      </c>
      <c r="P2431" s="11">
        <f t="shared" si="672"/>
        <v>5066</v>
      </c>
      <c r="Q2431" s="11">
        <v>1.6</v>
      </c>
      <c r="R2431" s="11">
        <f t="shared" si="673"/>
        <v>8105.6</v>
      </c>
      <c r="S2431" s="11"/>
      <c r="T2431" s="136">
        <f t="shared" si="677"/>
        <v>0</v>
      </c>
    </row>
    <row r="2432" spans="1:20" ht="15.75" customHeight="1">
      <c r="A2432" s="149">
        <v>12</v>
      </c>
      <c r="B2432" s="273"/>
      <c r="C2432" s="28" t="s">
        <v>1898</v>
      </c>
      <c r="D2432" s="71">
        <v>380</v>
      </c>
      <c r="E2432" s="131">
        <f t="shared" si="674"/>
        <v>8110</v>
      </c>
      <c r="F2432" s="21">
        <f t="shared" si="678"/>
        <v>9813.1</v>
      </c>
      <c r="G2432" s="21"/>
      <c r="H2432" s="135">
        <f t="shared" si="675"/>
        <v>0</v>
      </c>
      <c r="I2432" s="294">
        <v>45274</v>
      </c>
      <c r="J2432" s="294">
        <v>45338</v>
      </c>
      <c r="K2432" s="11">
        <v>5066</v>
      </c>
      <c r="L2432" s="11"/>
      <c r="M2432" s="11"/>
      <c r="N2432" s="38"/>
      <c r="O2432" s="11">
        <f t="shared" si="669"/>
        <v>5066</v>
      </c>
      <c r="P2432" s="11">
        <f t="shared" si="672"/>
        <v>5066</v>
      </c>
      <c r="Q2432" s="11">
        <v>1.6</v>
      </c>
      <c r="R2432" s="11">
        <f t="shared" si="673"/>
        <v>8105.6</v>
      </c>
      <c r="S2432" s="11"/>
      <c r="T2432" s="136">
        <f t="shared" si="677"/>
        <v>0</v>
      </c>
    </row>
    <row r="2433" spans="1:20" ht="15.75" customHeight="1">
      <c r="A2433" s="149">
        <v>12</v>
      </c>
      <c r="B2433" s="273"/>
      <c r="C2433" s="28" t="s">
        <v>1899</v>
      </c>
      <c r="D2433" s="71">
        <v>380</v>
      </c>
      <c r="E2433" s="131">
        <f t="shared" si="674"/>
        <v>8110</v>
      </c>
      <c r="F2433" s="21">
        <f t="shared" si="678"/>
        <v>9813.1</v>
      </c>
      <c r="G2433" s="21"/>
      <c r="H2433" s="135">
        <f t="shared" si="675"/>
        <v>0</v>
      </c>
      <c r="I2433" s="294">
        <v>45274</v>
      </c>
      <c r="J2433" s="294">
        <v>45338</v>
      </c>
      <c r="K2433" s="11">
        <v>5066</v>
      </c>
      <c r="L2433" s="11"/>
      <c r="M2433" s="11"/>
      <c r="N2433" s="38"/>
      <c r="O2433" s="11">
        <f t="shared" si="669"/>
        <v>5066</v>
      </c>
      <c r="P2433" s="11">
        <f t="shared" si="672"/>
        <v>5066</v>
      </c>
      <c r="Q2433" s="11">
        <v>1.6</v>
      </c>
      <c r="R2433" s="11">
        <f t="shared" si="673"/>
        <v>8105.6</v>
      </c>
      <c r="S2433" s="11"/>
      <c r="T2433" s="136">
        <f t="shared" si="677"/>
        <v>0</v>
      </c>
    </row>
    <row r="2434" spans="1:20" ht="15.75" customHeight="1">
      <c r="A2434" s="149">
        <v>12</v>
      </c>
      <c r="B2434" s="273"/>
      <c r="C2434" s="28" t="s">
        <v>4447</v>
      </c>
      <c r="D2434" s="71">
        <v>380</v>
      </c>
      <c r="E2434" s="131">
        <f t="shared" si="674"/>
        <v>9460</v>
      </c>
      <c r="F2434" s="21">
        <f t="shared" si="678"/>
        <v>11446.6</v>
      </c>
      <c r="G2434" s="21"/>
      <c r="H2434" s="135">
        <f t="shared" si="675"/>
        <v>0</v>
      </c>
      <c r="I2434" s="294">
        <v>45274</v>
      </c>
      <c r="J2434" s="294">
        <v>45338</v>
      </c>
      <c r="K2434" s="11">
        <v>5910</v>
      </c>
      <c r="L2434" s="11"/>
      <c r="M2434" s="11"/>
      <c r="N2434" s="100"/>
      <c r="O2434" s="11">
        <f t="shared" si="669"/>
        <v>5910</v>
      </c>
      <c r="P2434" s="11">
        <f t="shared" si="672"/>
        <v>5910</v>
      </c>
      <c r="Q2434" s="11">
        <v>1.6</v>
      </c>
      <c r="R2434" s="11">
        <f t="shared" si="673"/>
        <v>9456</v>
      </c>
      <c r="S2434" s="11"/>
      <c r="T2434" s="136">
        <f t="shared" si="677"/>
        <v>0</v>
      </c>
    </row>
    <row r="2435" spans="1:20" ht="15.75" customHeight="1">
      <c r="A2435" s="149" t="s">
        <v>3385</v>
      </c>
      <c r="B2435" s="273"/>
      <c r="C2435" s="28" t="s">
        <v>2558</v>
      </c>
      <c r="D2435" s="71">
        <v>600</v>
      </c>
      <c r="E2435" s="131">
        <f t="shared" si="674"/>
        <v>15450</v>
      </c>
      <c r="F2435" s="21">
        <f t="shared" si="678"/>
        <v>18694.5</v>
      </c>
      <c r="G2435" s="21"/>
      <c r="H2435" s="135">
        <f t="shared" si="675"/>
        <v>0</v>
      </c>
      <c r="I2435" s="294">
        <v>45286</v>
      </c>
      <c r="J2435" s="294">
        <v>45330</v>
      </c>
      <c r="K2435" s="11">
        <f>0.65*1473*3*4</f>
        <v>11489.400000000001</v>
      </c>
      <c r="L2435" s="11">
        <v>9655</v>
      </c>
      <c r="M2435" s="11"/>
      <c r="N2435" s="100"/>
      <c r="O2435" s="11">
        <f t="shared" si="669"/>
        <v>9655</v>
      </c>
      <c r="P2435" s="11">
        <f t="shared" si="672"/>
        <v>9655</v>
      </c>
      <c r="Q2435" s="11">
        <v>1.6</v>
      </c>
      <c r="R2435" s="11">
        <f t="shared" si="673"/>
        <v>15448</v>
      </c>
      <c r="S2435" s="11"/>
      <c r="T2435" s="136">
        <f t="shared" si="677"/>
        <v>0</v>
      </c>
    </row>
    <row r="2436" spans="1:20" ht="15.75" customHeight="1">
      <c r="A2436" s="149">
        <v>12</v>
      </c>
      <c r="B2436" s="273"/>
      <c r="C2436" s="28" t="s">
        <v>4003</v>
      </c>
      <c r="D2436" s="71">
        <v>600</v>
      </c>
      <c r="E2436" s="131">
        <f t="shared" si="674"/>
        <v>32060</v>
      </c>
      <c r="F2436" s="21">
        <f t="shared" si="678"/>
        <v>38792.6</v>
      </c>
      <c r="G2436" s="21"/>
      <c r="H2436" s="135">
        <f t="shared" si="675"/>
        <v>0</v>
      </c>
      <c r="I2436" s="294">
        <v>45274</v>
      </c>
      <c r="J2436" s="294">
        <v>45338</v>
      </c>
      <c r="K2436" s="11">
        <v>20037</v>
      </c>
      <c r="L2436" s="11"/>
      <c r="M2436" s="11"/>
      <c r="N2436" s="100"/>
      <c r="O2436" s="11">
        <f t="shared" si="669"/>
        <v>20037</v>
      </c>
      <c r="P2436" s="11">
        <f t="shared" si="672"/>
        <v>20037</v>
      </c>
      <c r="Q2436" s="11">
        <v>1.6</v>
      </c>
      <c r="R2436" s="11">
        <f t="shared" si="673"/>
        <v>32059.200000000001</v>
      </c>
      <c r="S2436" s="11"/>
      <c r="T2436" s="136">
        <f t="shared" si="677"/>
        <v>0</v>
      </c>
    </row>
    <row r="2437" spans="1:20" ht="15.75" customHeight="1">
      <c r="A2437" s="149">
        <v>12</v>
      </c>
      <c r="B2437" s="273"/>
      <c r="C2437" s="28" t="s">
        <v>4558</v>
      </c>
      <c r="D2437" s="71">
        <v>600</v>
      </c>
      <c r="E2437" s="131">
        <f>ROUNDUP(R2437,-1)</f>
        <v>33640</v>
      </c>
      <c r="F2437" s="21">
        <f>+E2437*1.21</f>
        <v>40704.400000000001</v>
      </c>
      <c r="G2437" s="21"/>
      <c r="H2437" s="135">
        <f>ROUNDUP(T2437,-1)</f>
        <v>0</v>
      </c>
      <c r="I2437" s="294">
        <v>45162</v>
      </c>
      <c r="J2437" s="294">
        <v>45338</v>
      </c>
      <c r="K2437" s="11">
        <v>21025</v>
      </c>
      <c r="L2437" s="11"/>
      <c r="M2437" s="11"/>
      <c r="N2437" s="100"/>
      <c r="O2437" s="11">
        <f>MIN(K2437:M2437)</f>
        <v>21025</v>
      </c>
      <c r="P2437" s="11">
        <f>+O2437</f>
        <v>21025</v>
      </c>
      <c r="Q2437" s="11">
        <v>1.6</v>
      </c>
      <c r="R2437" s="11">
        <f>+P2437*Q2437</f>
        <v>33640</v>
      </c>
      <c r="S2437" s="11"/>
      <c r="T2437" s="136">
        <f>+N2437*Q2437</f>
        <v>0</v>
      </c>
    </row>
    <row r="2438" spans="1:20" ht="15.75" customHeight="1">
      <c r="A2438" s="149">
        <v>38</v>
      </c>
      <c r="B2438" s="273"/>
      <c r="C2438" s="28" t="s">
        <v>2817</v>
      </c>
      <c r="D2438" s="71"/>
      <c r="E2438" s="131">
        <f t="shared" si="674"/>
        <v>42060</v>
      </c>
      <c r="F2438" s="21">
        <f t="shared" si="678"/>
        <v>50892.6</v>
      </c>
      <c r="G2438" s="21"/>
      <c r="H2438" s="135">
        <f t="shared" si="675"/>
        <v>39530</v>
      </c>
      <c r="I2438" s="294">
        <v>45138</v>
      </c>
      <c r="J2438" s="294">
        <v>45274</v>
      </c>
      <c r="K2438" s="10">
        <f>+PROVEEDORES!$D$32*27.62</f>
        <v>29001</v>
      </c>
      <c r="L2438" s="11"/>
      <c r="M2438" s="11"/>
      <c r="N2438" s="38">
        <f>+K2438*0.94</f>
        <v>27260.94</v>
      </c>
      <c r="O2438" s="11">
        <f t="shared" si="669"/>
        <v>29001</v>
      </c>
      <c r="P2438" s="11">
        <f t="shared" si="672"/>
        <v>29001</v>
      </c>
      <c r="Q2438" s="11">
        <v>1.45</v>
      </c>
      <c r="R2438" s="11">
        <f t="shared" si="673"/>
        <v>42051.45</v>
      </c>
      <c r="S2438" s="11"/>
      <c r="T2438" s="136">
        <f t="shared" si="677"/>
        <v>39528.362999999998</v>
      </c>
    </row>
    <row r="2439" spans="1:20" ht="15.75" customHeight="1">
      <c r="A2439" s="149">
        <v>38</v>
      </c>
      <c r="B2439" s="273"/>
      <c r="C2439" s="28" t="s">
        <v>2464</v>
      </c>
      <c r="D2439" s="71"/>
      <c r="E2439" s="131">
        <f t="shared" si="674"/>
        <v>21910</v>
      </c>
      <c r="F2439" s="21">
        <f t="shared" si="678"/>
        <v>26511.1</v>
      </c>
      <c r="G2439" s="21"/>
      <c r="H2439" s="135">
        <f t="shared" si="675"/>
        <v>20600</v>
      </c>
      <c r="I2439" s="294">
        <v>45138</v>
      </c>
      <c r="J2439" s="294">
        <v>45274</v>
      </c>
      <c r="K2439" s="11">
        <f>+PROVEEDORES!D32*14.39</f>
        <v>15109.5</v>
      </c>
      <c r="L2439" s="11"/>
      <c r="M2439" s="11"/>
      <c r="N2439" s="38">
        <f>+K2439*0.94</f>
        <v>14202.929999999998</v>
      </c>
      <c r="O2439" s="11">
        <f t="shared" si="669"/>
        <v>15109.5</v>
      </c>
      <c r="P2439" s="11">
        <f t="shared" si="672"/>
        <v>15109.5</v>
      </c>
      <c r="Q2439" s="11">
        <v>1.45</v>
      </c>
      <c r="R2439" s="11">
        <f t="shared" si="673"/>
        <v>21908.774999999998</v>
      </c>
      <c r="S2439" s="11"/>
      <c r="T2439" s="136">
        <f t="shared" si="677"/>
        <v>20594.248499999998</v>
      </c>
    </row>
    <row r="2440" spans="1:20" ht="15.75" customHeight="1">
      <c r="A2440" s="149">
        <v>38</v>
      </c>
      <c r="B2440" s="273"/>
      <c r="C2440" s="28" t="s">
        <v>1901</v>
      </c>
      <c r="D2440" s="71">
        <v>1900</v>
      </c>
      <c r="E2440" s="131">
        <f t="shared" si="674"/>
        <v>37690</v>
      </c>
      <c r="F2440" s="21">
        <f t="shared" si="678"/>
        <v>45604.9</v>
      </c>
      <c r="G2440" s="21"/>
      <c r="H2440" s="135">
        <f t="shared" si="675"/>
        <v>35430</v>
      </c>
      <c r="I2440" s="294">
        <v>45138</v>
      </c>
      <c r="J2440" s="294">
        <v>45274</v>
      </c>
      <c r="K2440" s="10">
        <f>+PROVEEDORES!$D$32*24.75</f>
        <v>25987.5</v>
      </c>
      <c r="L2440" s="11"/>
      <c r="M2440" s="11"/>
      <c r="N2440" s="38">
        <f>+K2440*0.94</f>
        <v>24428.25</v>
      </c>
      <c r="O2440" s="11">
        <f t="shared" si="669"/>
        <v>25987.5</v>
      </c>
      <c r="P2440" s="11">
        <f t="shared" si="672"/>
        <v>25987.5</v>
      </c>
      <c r="Q2440" s="11">
        <v>1.45</v>
      </c>
      <c r="R2440" s="11">
        <f t="shared" si="673"/>
        <v>37681.875</v>
      </c>
      <c r="S2440" s="11"/>
      <c r="T2440" s="136">
        <f t="shared" si="677"/>
        <v>35420.962500000001</v>
      </c>
    </row>
    <row r="2441" spans="1:20" ht="15.75" customHeight="1">
      <c r="A2441" s="149">
        <v>101</v>
      </c>
      <c r="B2441" s="273"/>
      <c r="C2441" s="28" t="s">
        <v>4582</v>
      </c>
      <c r="D2441" s="71">
        <v>1350</v>
      </c>
      <c r="E2441" s="131">
        <f t="shared" si="674"/>
        <v>30590</v>
      </c>
      <c r="F2441" s="21">
        <f t="shared" si="678"/>
        <v>37013.9</v>
      </c>
      <c r="G2441" s="21"/>
      <c r="H2441" s="135">
        <f t="shared" si="675"/>
        <v>0</v>
      </c>
      <c r="I2441" s="294">
        <v>45286</v>
      </c>
      <c r="J2441" s="294">
        <v>45370</v>
      </c>
      <c r="K2441" s="10">
        <f>0.7*0.9*32364</f>
        <v>20389.32</v>
      </c>
      <c r="L2441" s="11"/>
      <c r="M2441" s="11"/>
      <c r="N2441" s="100"/>
      <c r="O2441" s="11">
        <f t="shared" si="669"/>
        <v>20389.32</v>
      </c>
      <c r="P2441" s="11">
        <f t="shared" si="672"/>
        <v>20389.32</v>
      </c>
      <c r="Q2441" s="11">
        <v>1.5</v>
      </c>
      <c r="R2441" s="11">
        <f t="shared" si="673"/>
        <v>30583.98</v>
      </c>
      <c r="S2441" s="11"/>
      <c r="T2441" s="136">
        <f t="shared" si="677"/>
        <v>0</v>
      </c>
    </row>
    <row r="2442" spans="1:20" ht="15.75" customHeight="1">
      <c r="A2442" s="149">
        <v>101</v>
      </c>
      <c r="B2442" s="273"/>
      <c r="C2442" s="28" t="s">
        <v>3795</v>
      </c>
      <c r="D2442" s="71">
        <v>1670</v>
      </c>
      <c r="E2442" s="131">
        <f t="shared" si="674"/>
        <v>37460</v>
      </c>
      <c r="F2442" s="21">
        <f t="shared" si="678"/>
        <v>45326.6</v>
      </c>
      <c r="G2442" s="21"/>
      <c r="H2442" s="135">
        <f t="shared" si="675"/>
        <v>0</v>
      </c>
      <c r="I2442" s="294">
        <v>45286</v>
      </c>
      <c r="J2442" s="294">
        <v>45370</v>
      </c>
      <c r="K2442" s="10">
        <f>0.7*0.9*39630</f>
        <v>24966.9</v>
      </c>
      <c r="L2442" s="11"/>
      <c r="M2442" s="11"/>
      <c r="N2442" s="100"/>
      <c r="O2442" s="11">
        <f t="shared" si="669"/>
        <v>24966.9</v>
      </c>
      <c r="P2442" s="11">
        <f t="shared" si="672"/>
        <v>24966.9</v>
      </c>
      <c r="Q2442" s="11">
        <v>1.5</v>
      </c>
      <c r="R2442" s="11">
        <f t="shared" si="673"/>
        <v>37450.350000000006</v>
      </c>
      <c r="S2442" s="11"/>
      <c r="T2442" s="136">
        <f t="shared" si="677"/>
        <v>0</v>
      </c>
    </row>
    <row r="2443" spans="1:20" ht="15.75" customHeight="1">
      <c r="A2443" s="149">
        <v>101</v>
      </c>
      <c r="B2443" s="273"/>
      <c r="C2443" s="28" t="s">
        <v>44218</v>
      </c>
      <c r="D2443" s="71"/>
      <c r="E2443" s="131">
        <f t="shared" si="674"/>
        <v>3580</v>
      </c>
      <c r="F2443" s="21">
        <f t="shared" si="678"/>
        <v>4331.8</v>
      </c>
      <c r="G2443" s="21"/>
      <c r="H2443" s="135">
        <f t="shared" si="675"/>
        <v>0</v>
      </c>
      <c r="I2443" s="294">
        <v>45225</v>
      </c>
      <c r="J2443" s="294">
        <v>45385</v>
      </c>
      <c r="K2443" s="10">
        <f>0.7*0.9*3544</f>
        <v>2232.7199999999998</v>
      </c>
      <c r="L2443" s="11"/>
      <c r="M2443" s="11"/>
      <c r="N2443" s="100"/>
      <c r="O2443" s="11">
        <f t="shared" si="669"/>
        <v>2232.7199999999998</v>
      </c>
      <c r="P2443" s="11">
        <f t="shared" si="672"/>
        <v>2232.7199999999998</v>
      </c>
      <c r="Q2443" s="11">
        <v>1.6</v>
      </c>
      <c r="R2443" s="11">
        <f t="shared" si="673"/>
        <v>3572.3519999999999</v>
      </c>
      <c r="S2443" s="11"/>
      <c r="T2443" s="136">
        <f t="shared" si="677"/>
        <v>0</v>
      </c>
    </row>
    <row r="2444" spans="1:20" ht="15.75" customHeight="1">
      <c r="A2444" s="149">
        <v>101</v>
      </c>
      <c r="B2444" s="273"/>
      <c r="C2444" s="28" t="s">
        <v>62698</v>
      </c>
      <c r="D2444" s="71"/>
      <c r="E2444" s="131">
        <f t="shared" ref="E2444" si="684">ROUNDUP(R2444,-1)</f>
        <v>4000</v>
      </c>
      <c r="F2444" s="21">
        <f t="shared" ref="F2444" si="685">+E2444*1.21</f>
        <v>4840</v>
      </c>
      <c r="G2444" s="21"/>
      <c r="H2444" s="135">
        <f t="shared" ref="H2444" si="686">ROUNDUP(T2444,-1)</f>
        <v>0</v>
      </c>
      <c r="I2444" s="294"/>
      <c r="J2444" s="294">
        <v>45385</v>
      </c>
      <c r="K2444" s="10">
        <f>0.7*0.9*3961</f>
        <v>2495.4299999999998</v>
      </c>
      <c r="L2444" s="11"/>
      <c r="M2444" s="11"/>
      <c r="N2444" s="100"/>
      <c r="O2444" s="11">
        <f t="shared" ref="O2444" si="687">MIN(K2444:M2444)</f>
        <v>2495.4299999999998</v>
      </c>
      <c r="P2444" s="11">
        <f t="shared" ref="P2444" si="688">+O2444</f>
        <v>2495.4299999999998</v>
      </c>
      <c r="Q2444" s="11">
        <v>1.6</v>
      </c>
      <c r="R2444" s="11">
        <f t="shared" ref="R2444" si="689">+P2444*Q2444</f>
        <v>3992.6880000000001</v>
      </c>
      <c r="S2444" s="11"/>
      <c r="T2444" s="136">
        <f t="shared" ref="T2444" si="690">+N2444*Q2444</f>
        <v>0</v>
      </c>
    </row>
    <row r="2445" spans="1:20" ht="15.75" customHeight="1">
      <c r="A2445" s="149">
        <v>101</v>
      </c>
      <c r="B2445" s="273"/>
      <c r="C2445" s="28" t="s">
        <v>44217</v>
      </c>
      <c r="D2445" s="71">
        <v>160</v>
      </c>
      <c r="E2445" s="131">
        <f t="shared" si="674"/>
        <v>0</v>
      </c>
      <c r="F2445" s="21">
        <f t="shared" si="678"/>
        <v>0</v>
      </c>
      <c r="G2445" s="21"/>
      <c r="H2445" s="135">
        <f t="shared" si="675"/>
        <v>0</v>
      </c>
      <c r="I2445" s="294">
        <v>45297</v>
      </c>
      <c r="J2445" s="40">
        <v>45324</v>
      </c>
      <c r="K2445" s="10">
        <f>0.7*0.9*1727</f>
        <v>1088.01</v>
      </c>
      <c r="L2445" s="10"/>
      <c r="M2445" s="11"/>
      <c r="N2445" s="100"/>
      <c r="O2445" s="11">
        <f t="shared" si="669"/>
        <v>1088.01</v>
      </c>
      <c r="P2445" s="11">
        <f t="shared" si="672"/>
        <v>1088.01</v>
      </c>
      <c r="Q2445" s="11"/>
      <c r="R2445" s="11">
        <f t="shared" si="673"/>
        <v>0</v>
      </c>
      <c r="S2445" s="11"/>
      <c r="T2445" s="136">
        <f t="shared" si="677"/>
        <v>0</v>
      </c>
    </row>
    <row r="2446" spans="1:20" ht="15.75" customHeight="1">
      <c r="A2446" s="149" t="s">
        <v>2403</v>
      </c>
      <c r="B2446" s="273"/>
      <c r="C2446" s="28" t="s">
        <v>44191</v>
      </c>
      <c r="D2446" s="71">
        <v>600</v>
      </c>
      <c r="E2446" s="131">
        <f t="shared" si="674"/>
        <v>12690</v>
      </c>
      <c r="F2446" s="21">
        <f t="shared" si="678"/>
        <v>15354.9</v>
      </c>
      <c r="G2446" s="21"/>
      <c r="H2446" s="135">
        <f t="shared" si="675"/>
        <v>0</v>
      </c>
      <c r="I2446" s="294">
        <v>45273</v>
      </c>
      <c r="J2446" s="294"/>
      <c r="K2446" s="10"/>
      <c r="L2446" s="10">
        <f>0.6*14098</f>
        <v>8458.7999999999993</v>
      </c>
      <c r="M2446" s="11"/>
      <c r="N2446" s="100"/>
      <c r="O2446" s="11">
        <f t="shared" si="669"/>
        <v>8458.7999999999993</v>
      </c>
      <c r="P2446" s="11">
        <f t="shared" si="672"/>
        <v>8458.7999999999993</v>
      </c>
      <c r="Q2446" s="11">
        <v>1.5</v>
      </c>
      <c r="R2446" s="11">
        <f t="shared" si="673"/>
        <v>12688.199999999999</v>
      </c>
      <c r="S2446" s="11"/>
      <c r="T2446" s="136">
        <f t="shared" si="677"/>
        <v>0</v>
      </c>
    </row>
    <row r="2447" spans="1:20" ht="15.75" customHeight="1">
      <c r="A2447" s="149">
        <v>44</v>
      </c>
      <c r="B2447" s="273"/>
      <c r="C2447" s="28" t="s">
        <v>1902</v>
      </c>
      <c r="D2447" s="71">
        <v>2870</v>
      </c>
      <c r="E2447" s="140">
        <f t="shared" si="674"/>
        <v>64480</v>
      </c>
      <c r="F2447" s="21">
        <f t="shared" si="678"/>
        <v>78020.800000000003</v>
      </c>
      <c r="G2447" s="21"/>
      <c r="H2447" s="135">
        <f t="shared" si="675"/>
        <v>0</v>
      </c>
      <c r="I2447" s="294">
        <v>45254</v>
      </c>
      <c r="J2447" s="294"/>
      <c r="K2447" s="10">
        <f>+PROVEEDORES!$D$38*52.04</f>
        <v>46055.4</v>
      </c>
      <c r="L2447" s="11"/>
      <c r="M2447" s="11"/>
      <c r="N2447" s="100"/>
      <c r="O2447" s="11">
        <f t="shared" ref="O2447:O2512" si="691">MIN(K2447:M2447)</f>
        <v>46055.4</v>
      </c>
      <c r="P2447" s="11">
        <f t="shared" si="672"/>
        <v>46055.4</v>
      </c>
      <c r="Q2447" s="11">
        <v>1.4</v>
      </c>
      <c r="R2447" s="11">
        <f t="shared" si="673"/>
        <v>64477.56</v>
      </c>
      <c r="S2447" s="11"/>
      <c r="T2447" s="136">
        <f t="shared" si="677"/>
        <v>0</v>
      </c>
    </row>
    <row r="2448" spans="1:20" ht="15.75" customHeight="1">
      <c r="A2448" s="149">
        <v>44</v>
      </c>
      <c r="B2448" s="273"/>
      <c r="C2448" s="28" t="s">
        <v>1903</v>
      </c>
      <c r="D2448" s="71">
        <v>7490</v>
      </c>
      <c r="E2448" s="140">
        <f>ROUNDUP(R2448,-1)</f>
        <v>138600</v>
      </c>
      <c r="F2448" s="21">
        <f>+E2448*1.21</f>
        <v>167706</v>
      </c>
      <c r="G2448" s="21"/>
      <c r="H2448" s="135">
        <f>ROUNDUP(T2448,-1)</f>
        <v>0</v>
      </c>
      <c r="I2448" s="294">
        <v>45254</v>
      </c>
      <c r="J2448" s="294"/>
      <c r="K2448" s="10">
        <f>+PROVEEDORES!$D$38*173.91</f>
        <v>153910.35</v>
      </c>
      <c r="L2448" s="11">
        <f>110000*0.9</f>
        <v>99000</v>
      </c>
      <c r="M2448" s="11"/>
      <c r="N2448" s="100"/>
      <c r="O2448" s="11">
        <f>MIN(K2448:M2448)</f>
        <v>99000</v>
      </c>
      <c r="P2448" s="11">
        <f t="shared" si="672"/>
        <v>99000</v>
      </c>
      <c r="Q2448" s="11">
        <v>1.4</v>
      </c>
      <c r="R2448" s="11">
        <f t="shared" si="673"/>
        <v>138600</v>
      </c>
      <c r="S2448" s="11"/>
      <c r="T2448" s="136">
        <f>+N2448*Q2448</f>
        <v>0</v>
      </c>
    </row>
    <row r="2449" spans="1:20" ht="15.75" customHeight="1">
      <c r="A2449" s="149">
        <v>38</v>
      </c>
      <c r="B2449" s="273">
        <f>ROUNDUP(E2449*1.06,-1)</f>
        <v>719950</v>
      </c>
      <c r="C2449" s="28" t="s">
        <v>2792</v>
      </c>
      <c r="D2449" s="71">
        <v>42120</v>
      </c>
      <c r="E2449" s="131">
        <f t="shared" si="674"/>
        <v>679190</v>
      </c>
      <c r="F2449" s="21" t="s">
        <v>1248</v>
      </c>
      <c r="G2449" s="21">
        <f>+E2449*1.105</f>
        <v>750504.95</v>
      </c>
      <c r="H2449" s="135">
        <f t="shared" si="675"/>
        <v>588630</v>
      </c>
      <c r="I2449" s="294">
        <v>45138</v>
      </c>
      <c r="J2449" s="294">
        <v>45274</v>
      </c>
      <c r="K2449" s="10">
        <f>+PROVEEDORES!$D$32*479.14</f>
        <v>503097</v>
      </c>
      <c r="L2449" s="11"/>
      <c r="M2449" s="11"/>
      <c r="N2449" s="100">
        <v>436021</v>
      </c>
      <c r="O2449" s="11">
        <f t="shared" si="691"/>
        <v>503097</v>
      </c>
      <c r="P2449" s="11">
        <f t="shared" si="672"/>
        <v>503097</v>
      </c>
      <c r="Q2449" s="11">
        <v>1.35</v>
      </c>
      <c r="R2449" s="11">
        <f t="shared" si="673"/>
        <v>679180.95000000007</v>
      </c>
      <c r="S2449" s="11"/>
      <c r="T2449" s="136">
        <f t="shared" si="677"/>
        <v>588628.35000000009</v>
      </c>
    </row>
    <row r="2450" spans="1:20" ht="15.75" customHeight="1">
      <c r="A2450" s="149">
        <v>52</v>
      </c>
      <c r="B2450" s="273">
        <f>ROUNDUP(E2450*1.06,-1)</f>
        <v>614180</v>
      </c>
      <c r="C2450" s="28" t="s">
        <v>37244</v>
      </c>
      <c r="D2450" s="71">
        <v>32990</v>
      </c>
      <c r="E2450" s="131">
        <f t="shared" si="674"/>
        <v>579410</v>
      </c>
      <c r="F2450" s="21" t="s">
        <v>1248</v>
      </c>
      <c r="G2450" s="21">
        <f>+E2450*1.105</f>
        <v>640248.05000000005</v>
      </c>
      <c r="H2450" s="135">
        <f t="shared" si="675"/>
        <v>0</v>
      </c>
      <c r="I2450" s="294">
        <v>45112</v>
      </c>
      <c r="J2450" s="294">
        <v>45195</v>
      </c>
      <c r="K2450" s="11">
        <f>+PROVEEDORES!D46*0.75*545</f>
        <v>429187.5</v>
      </c>
      <c r="L2450" s="11"/>
      <c r="M2450" s="11"/>
      <c r="N2450" s="100"/>
      <c r="O2450" s="11">
        <f t="shared" si="691"/>
        <v>429187.5</v>
      </c>
      <c r="P2450" s="11">
        <f t="shared" si="672"/>
        <v>429187.5</v>
      </c>
      <c r="Q2450" s="11">
        <v>1.35</v>
      </c>
      <c r="R2450" s="11">
        <f t="shared" si="673"/>
        <v>579403.125</v>
      </c>
      <c r="S2450" s="11"/>
      <c r="T2450" s="136">
        <f t="shared" si="677"/>
        <v>0</v>
      </c>
    </row>
    <row r="2451" spans="1:20" ht="15.75" customHeight="1">
      <c r="A2451" s="149">
        <v>38</v>
      </c>
      <c r="B2451" s="273">
        <f>ROUNDUP(E2451*1.06,-1)</f>
        <v>1547270</v>
      </c>
      <c r="C2451" s="28" t="s">
        <v>2793</v>
      </c>
      <c r="D2451" s="71">
        <v>56520</v>
      </c>
      <c r="E2451" s="131">
        <f t="shared" si="674"/>
        <v>1459680</v>
      </c>
      <c r="F2451" s="21" t="s">
        <v>1248</v>
      </c>
      <c r="G2451" s="21">
        <f>+E2451*1.105</f>
        <v>1612946.4</v>
      </c>
      <c r="H2451" s="135">
        <f t="shared" si="675"/>
        <v>1372100</v>
      </c>
      <c r="I2451" s="294">
        <v>45138</v>
      </c>
      <c r="J2451" s="294">
        <v>45274</v>
      </c>
      <c r="K2451" s="10">
        <f>+PROVEEDORES!$D$32*1029.75</f>
        <v>1081237.5</v>
      </c>
      <c r="L2451" s="11"/>
      <c r="M2451" s="11"/>
      <c r="N2451" s="100">
        <f>+K2451*0.94</f>
        <v>1016363.25</v>
      </c>
      <c r="O2451" s="11">
        <f t="shared" si="691"/>
        <v>1081237.5</v>
      </c>
      <c r="P2451" s="11">
        <f t="shared" si="672"/>
        <v>1081237.5</v>
      </c>
      <c r="Q2451" s="11">
        <v>1.35</v>
      </c>
      <c r="R2451" s="11">
        <f t="shared" si="673"/>
        <v>1459670.625</v>
      </c>
      <c r="S2451" s="11"/>
      <c r="T2451" s="136">
        <f t="shared" si="677"/>
        <v>1372090.3875000002</v>
      </c>
    </row>
    <row r="2452" spans="1:20" ht="15.75" customHeight="1">
      <c r="A2452" s="149">
        <v>52</v>
      </c>
      <c r="B2452" s="273">
        <f>ROUNDUP(E2452*1.06,-1)</f>
        <v>1262150</v>
      </c>
      <c r="C2452" s="28" t="s">
        <v>37245</v>
      </c>
      <c r="D2452" s="71">
        <v>67110</v>
      </c>
      <c r="E2452" s="131">
        <f t="shared" si="674"/>
        <v>1190700</v>
      </c>
      <c r="F2452" s="21" t="s">
        <v>1248</v>
      </c>
      <c r="G2452" s="21">
        <f>+E2452*1.105</f>
        <v>1315723.5</v>
      </c>
      <c r="H2452" s="135">
        <f t="shared" si="675"/>
        <v>0</v>
      </c>
      <c r="I2452" s="294">
        <v>45112</v>
      </c>
      <c r="J2452" s="294">
        <v>45195</v>
      </c>
      <c r="K2452" s="11">
        <f>+PROVEEDORES!D46*0.75*1120</f>
        <v>882000</v>
      </c>
      <c r="L2452" s="11"/>
      <c r="M2452" s="11"/>
      <c r="N2452" s="100"/>
      <c r="O2452" s="11">
        <f t="shared" si="691"/>
        <v>882000</v>
      </c>
      <c r="P2452" s="11">
        <f t="shared" si="672"/>
        <v>882000</v>
      </c>
      <c r="Q2452" s="11">
        <v>1.35</v>
      </c>
      <c r="R2452" s="11">
        <f t="shared" si="673"/>
        <v>1190700</v>
      </c>
      <c r="S2452" s="11"/>
      <c r="T2452" s="136">
        <f t="shared" si="677"/>
        <v>0</v>
      </c>
    </row>
    <row r="2453" spans="1:20" ht="15.75" customHeight="1">
      <c r="A2453" s="149">
        <v>18</v>
      </c>
      <c r="B2453" s="273"/>
      <c r="C2453" s="28" t="s">
        <v>2075</v>
      </c>
      <c r="D2453" s="71">
        <v>2530</v>
      </c>
      <c r="E2453" s="131">
        <f t="shared" si="674"/>
        <v>61900</v>
      </c>
      <c r="F2453" s="21">
        <f>+E2453*1.21</f>
        <v>74899</v>
      </c>
      <c r="G2453" s="21"/>
      <c r="H2453" s="135">
        <f t="shared" si="675"/>
        <v>0</v>
      </c>
      <c r="I2453" s="23">
        <v>45323</v>
      </c>
      <c r="J2453" s="294"/>
      <c r="K2453" s="11">
        <f>0.8*0.98*0.94*0.95*55258</f>
        <v>38686.788895999998</v>
      </c>
      <c r="L2453" s="11"/>
      <c r="M2453" s="11"/>
      <c r="N2453" s="100"/>
      <c r="O2453" s="11">
        <f t="shared" si="691"/>
        <v>38686.788895999998</v>
      </c>
      <c r="P2453" s="11">
        <f>+O2453*'AUMENTOS %'!$B$5</f>
        <v>38686.788895999998</v>
      </c>
      <c r="Q2453" s="11">
        <v>1.6</v>
      </c>
      <c r="R2453" s="11">
        <f t="shared" si="673"/>
        <v>61898.862233599997</v>
      </c>
      <c r="S2453" s="11"/>
      <c r="T2453" s="136">
        <f t="shared" si="677"/>
        <v>0</v>
      </c>
    </row>
    <row r="2454" spans="1:20" ht="15.75" customHeight="1">
      <c r="A2454" s="149">
        <v>18</v>
      </c>
      <c r="B2454" s="273"/>
      <c r="C2454" s="28" t="s">
        <v>4242</v>
      </c>
      <c r="D2454" s="71">
        <v>2530</v>
      </c>
      <c r="E2454" s="131">
        <f>ROUNDUP(R2454,-1)</f>
        <v>55200</v>
      </c>
      <c r="F2454" s="21">
        <f>+E2454*1.21</f>
        <v>66792</v>
      </c>
      <c r="G2454" s="21"/>
      <c r="H2454" s="135">
        <f>ROUNDUP(T2454,-1)</f>
        <v>0</v>
      </c>
      <c r="I2454" s="23">
        <v>45323</v>
      </c>
      <c r="J2454" s="294"/>
      <c r="K2454" s="11">
        <f>0.8*0.98*0.94*0.95*49277</f>
        <v>34499.419023999995</v>
      </c>
      <c r="L2454" s="11"/>
      <c r="M2454" s="11"/>
      <c r="N2454" s="100"/>
      <c r="O2454" s="11">
        <f>MIN(K2454:M2454)</f>
        <v>34499.419023999995</v>
      </c>
      <c r="P2454" s="11">
        <f>+O2454*'AUMENTOS %'!$B$5</f>
        <v>34499.419023999995</v>
      </c>
      <c r="Q2454" s="11">
        <v>1.6</v>
      </c>
      <c r="R2454" s="11">
        <f t="shared" si="673"/>
        <v>55199.070438399998</v>
      </c>
      <c r="S2454" s="11"/>
      <c r="T2454" s="136">
        <f>+N2454*Q2454</f>
        <v>0</v>
      </c>
    </row>
    <row r="2455" spans="1:20" ht="15.75" customHeight="1">
      <c r="A2455" s="149">
        <v>18</v>
      </c>
      <c r="B2455" s="273"/>
      <c r="C2455" s="28" t="s">
        <v>3783</v>
      </c>
      <c r="D2455" s="71">
        <v>2530</v>
      </c>
      <c r="E2455" s="131">
        <f t="shared" si="674"/>
        <v>96250</v>
      </c>
      <c r="F2455" s="21">
        <f>+E2455*1.21</f>
        <v>116462.5</v>
      </c>
      <c r="G2455" s="21"/>
      <c r="H2455" s="135">
        <f t="shared" si="675"/>
        <v>0</v>
      </c>
      <c r="I2455" s="23">
        <v>45323</v>
      </c>
      <c r="J2455" s="294"/>
      <c r="K2455" s="11">
        <f>0.8*0.98*0.94*0.95*85922</f>
        <v>60155.023263999996</v>
      </c>
      <c r="L2455" s="11"/>
      <c r="M2455" s="11"/>
      <c r="N2455" s="100"/>
      <c r="O2455" s="11">
        <f t="shared" si="691"/>
        <v>60155.023263999996</v>
      </c>
      <c r="P2455" s="11">
        <f>+O2455*'AUMENTOS %'!$B$5</f>
        <v>60155.023263999996</v>
      </c>
      <c r="Q2455" s="11">
        <v>1.6</v>
      </c>
      <c r="R2455" s="11">
        <f t="shared" si="673"/>
        <v>96248.037222400002</v>
      </c>
      <c r="S2455" s="11"/>
      <c r="T2455" s="136">
        <f t="shared" si="677"/>
        <v>0</v>
      </c>
    </row>
    <row r="2456" spans="1:20" ht="15.75" customHeight="1">
      <c r="A2456" s="149"/>
      <c r="B2456" s="273"/>
      <c r="C2456" s="28" t="s">
        <v>1904</v>
      </c>
      <c r="D2456" s="71">
        <v>4240</v>
      </c>
      <c r="E2456" s="131">
        <f t="shared" si="674"/>
        <v>0</v>
      </c>
      <c r="F2456" s="21">
        <f t="shared" ref="F2456:F2487" si="692">+E2456*1.21</f>
        <v>0</v>
      </c>
      <c r="G2456" s="21"/>
      <c r="H2456" s="135">
        <f t="shared" si="675"/>
        <v>0</v>
      </c>
      <c r="I2456" s="294"/>
      <c r="J2456" s="294">
        <v>43677</v>
      </c>
      <c r="K2456" s="11">
        <f>2645*1.6</f>
        <v>4232</v>
      </c>
      <c r="L2456" s="11"/>
      <c r="M2456" s="11"/>
      <c r="N2456" s="100"/>
      <c r="O2456" s="11">
        <f t="shared" si="691"/>
        <v>4232</v>
      </c>
      <c r="P2456" s="11">
        <f>+O2456*'AUMENTOS %'!$D$12</f>
        <v>4232</v>
      </c>
      <c r="Q2456" s="11"/>
      <c r="R2456" s="11">
        <f t="shared" si="673"/>
        <v>0</v>
      </c>
      <c r="S2456" s="11"/>
      <c r="T2456" s="136">
        <f t="shared" si="677"/>
        <v>0</v>
      </c>
    </row>
    <row r="2457" spans="1:20" ht="15.75" customHeight="1">
      <c r="A2457" s="149"/>
      <c r="B2457" s="273"/>
      <c r="C2457" s="28" t="s">
        <v>1905</v>
      </c>
      <c r="D2457" s="71">
        <v>2360</v>
      </c>
      <c r="E2457" s="131">
        <f t="shared" si="674"/>
        <v>0</v>
      </c>
      <c r="F2457" s="21">
        <f t="shared" si="692"/>
        <v>0</v>
      </c>
      <c r="G2457" s="21"/>
      <c r="H2457" s="135">
        <f t="shared" si="675"/>
        <v>0</v>
      </c>
      <c r="I2457" s="294"/>
      <c r="J2457" s="294">
        <v>43623</v>
      </c>
      <c r="K2457" s="11">
        <f>1570*1.5</f>
        <v>2355</v>
      </c>
      <c r="L2457" s="11"/>
      <c r="M2457" s="11"/>
      <c r="N2457" s="100"/>
      <c r="O2457" s="11">
        <f t="shared" si="691"/>
        <v>2355</v>
      </c>
      <c r="P2457" s="11">
        <f>+O2457*'AUMENTOS %'!$D$12</f>
        <v>2355</v>
      </c>
      <c r="Q2457" s="11"/>
      <c r="R2457" s="11">
        <f t="shared" si="673"/>
        <v>0</v>
      </c>
      <c r="S2457" s="11"/>
      <c r="T2457" s="136">
        <f t="shared" si="677"/>
        <v>0</v>
      </c>
    </row>
    <row r="2458" spans="1:20" ht="15.75" customHeight="1">
      <c r="A2458" s="149"/>
      <c r="B2458" s="273"/>
      <c r="C2458" s="28" t="s">
        <v>44230</v>
      </c>
      <c r="D2458" s="71">
        <v>2520</v>
      </c>
      <c r="E2458" s="131">
        <f t="shared" si="674"/>
        <v>52800</v>
      </c>
      <c r="F2458" s="21">
        <f t="shared" si="692"/>
        <v>63888</v>
      </c>
      <c r="G2458" s="21"/>
      <c r="H2458" s="135">
        <f t="shared" si="675"/>
        <v>0</v>
      </c>
      <c r="I2458" s="294">
        <v>45245</v>
      </c>
      <c r="J2458" s="294"/>
      <c r="K2458" s="11">
        <v>33000</v>
      </c>
      <c r="L2458" s="11"/>
      <c r="M2458" s="11"/>
      <c r="N2458" s="100"/>
      <c r="O2458" s="11">
        <f>MIN(K2458:M2458)*'AUMENTOS %'!$B$9</f>
        <v>33000</v>
      </c>
      <c r="P2458" s="11">
        <f t="shared" si="672"/>
        <v>33000</v>
      </c>
      <c r="Q2458" s="11">
        <v>1.6</v>
      </c>
      <c r="R2458" s="11">
        <f t="shared" si="673"/>
        <v>52800</v>
      </c>
      <c r="S2458" s="11"/>
      <c r="T2458" s="136">
        <f t="shared" si="677"/>
        <v>0</v>
      </c>
    </row>
    <row r="2459" spans="1:20" ht="15.75" customHeight="1">
      <c r="A2459" s="149"/>
      <c r="B2459" s="273"/>
      <c r="C2459" s="28" t="s">
        <v>2196</v>
      </c>
      <c r="D2459" s="71">
        <v>1130</v>
      </c>
      <c r="E2459" s="131">
        <f t="shared" si="674"/>
        <v>0</v>
      </c>
      <c r="F2459" s="21">
        <f t="shared" si="692"/>
        <v>0</v>
      </c>
      <c r="G2459" s="21"/>
      <c r="H2459" s="135">
        <f t="shared" si="675"/>
        <v>0</v>
      </c>
      <c r="I2459" s="294"/>
      <c r="J2459" s="294">
        <v>43865</v>
      </c>
      <c r="K2459" s="11">
        <f>785*1.6*0.9*1.3</f>
        <v>1469.5200000000002</v>
      </c>
      <c r="L2459" s="11"/>
      <c r="M2459" s="11"/>
      <c r="N2459" s="100"/>
      <c r="O2459" s="11">
        <f>MIN(K2459:M2459)*'AUMENTOS %'!$B$9</f>
        <v>1469.5200000000002</v>
      </c>
      <c r="P2459" s="11">
        <f t="shared" si="672"/>
        <v>1469.5200000000002</v>
      </c>
      <c r="Q2459" s="11"/>
      <c r="R2459" s="11">
        <f t="shared" si="673"/>
        <v>0</v>
      </c>
      <c r="S2459" s="11"/>
      <c r="T2459" s="136">
        <f t="shared" si="677"/>
        <v>0</v>
      </c>
    </row>
    <row r="2460" spans="1:20" ht="15.75" customHeight="1">
      <c r="A2460" s="149">
        <v>79</v>
      </c>
      <c r="B2460" s="273"/>
      <c r="C2460" s="28" t="s">
        <v>2623</v>
      </c>
      <c r="D2460" s="71"/>
      <c r="E2460" s="131">
        <f t="shared" si="674"/>
        <v>0</v>
      </c>
      <c r="F2460" s="21">
        <f t="shared" si="692"/>
        <v>0</v>
      </c>
      <c r="G2460" s="21"/>
      <c r="H2460" s="135">
        <f t="shared" si="675"/>
        <v>0</v>
      </c>
      <c r="I2460" s="294">
        <v>44638</v>
      </c>
      <c r="J2460" s="294"/>
      <c r="K2460" s="11">
        <f>+(8544+13614)*0.9</f>
        <v>19942.2</v>
      </c>
      <c r="L2460" s="11"/>
      <c r="M2460" s="11"/>
      <c r="N2460" s="100"/>
      <c r="O2460" s="11">
        <f t="shared" si="691"/>
        <v>19942.2</v>
      </c>
      <c r="P2460" s="11">
        <f t="shared" si="672"/>
        <v>19942.2</v>
      </c>
      <c r="Q2460" s="11"/>
      <c r="R2460" s="11">
        <f t="shared" si="673"/>
        <v>0</v>
      </c>
      <c r="S2460" s="11"/>
      <c r="T2460" s="136"/>
    </row>
    <row r="2461" spans="1:20" ht="15.75" customHeight="1">
      <c r="A2461" s="149" t="s">
        <v>44306</v>
      </c>
      <c r="B2461" s="273"/>
      <c r="C2461" s="28" t="s">
        <v>2236</v>
      </c>
      <c r="D2461" s="71">
        <v>15000</v>
      </c>
      <c r="E2461" s="131">
        <f t="shared" si="674"/>
        <v>297250</v>
      </c>
      <c r="F2461" s="21">
        <f t="shared" si="692"/>
        <v>359672.5</v>
      </c>
      <c r="G2461" s="21"/>
      <c r="H2461" s="135">
        <f t="shared" si="675"/>
        <v>0</v>
      </c>
      <c r="I2461" s="294">
        <v>45274</v>
      </c>
      <c r="J2461" s="294"/>
      <c r="K2461" s="11">
        <v>205000</v>
      </c>
      <c r="L2461" s="11"/>
      <c r="M2461" s="11"/>
      <c r="N2461" s="100"/>
      <c r="O2461" s="11">
        <f t="shared" si="691"/>
        <v>205000</v>
      </c>
      <c r="P2461" s="11">
        <f t="shared" si="672"/>
        <v>205000</v>
      </c>
      <c r="Q2461" s="11">
        <v>1.45</v>
      </c>
      <c r="R2461" s="11">
        <f t="shared" si="673"/>
        <v>297250</v>
      </c>
      <c r="S2461" s="11"/>
      <c r="T2461" s="136">
        <f t="shared" ref="T2461:T2524" si="693">+N2461*Q2461</f>
        <v>0</v>
      </c>
    </row>
    <row r="2462" spans="1:20" ht="15.75" customHeight="1">
      <c r="A2462" s="149"/>
      <c r="B2462" s="273"/>
      <c r="C2462" s="28" t="s">
        <v>2235</v>
      </c>
      <c r="D2462" s="71">
        <v>15000</v>
      </c>
      <c r="E2462" s="131">
        <f t="shared" si="674"/>
        <v>297250</v>
      </c>
      <c r="F2462" s="21">
        <f t="shared" si="692"/>
        <v>359672.5</v>
      </c>
      <c r="G2462" s="21"/>
      <c r="H2462" s="135">
        <f t="shared" si="675"/>
        <v>0</v>
      </c>
      <c r="I2462" s="294">
        <v>45274</v>
      </c>
      <c r="J2462" s="294"/>
      <c r="K2462" s="11">
        <v>205000</v>
      </c>
      <c r="L2462" s="11"/>
      <c r="M2462" s="11"/>
      <c r="N2462" s="100"/>
      <c r="O2462" s="11">
        <f t="shared" si="691"/>
        <v>205000</v>
      </c>
      <c r="P2462" s="11">
        <f t="shared" si="672"/>
        <v>205000</v>
      </c>
      <c r="Q2462" s="11">
        <v>1.45</v>
      </c>
      <c r="R2462" s="11">
        <f t="shared" si="673"/>
        <v>297250</v>
      </c>
      <c r="S2462" s="11"/>
      <c r="T2462" s="136">
        <f t="shared" si="693"/>
        <v>0</v>
      </c>
    </row>
    <row r="2463" spans="1:20" ht="15.75" customHeight="1">
      <c r="A2463" s="149">
        <v>18</v>
      </c>
      <c r="B2463" s="273"/>
      <c r="C2463" s="28" t="s">
        <v>1911</v>
      </c>
      <c r="D2463" s="71">
        <v>11150</v>
      </c>
      <c r="E2463" s="131">
        <f t="shared" si="674"/>
        <v>197110</v>
      </c>
      <c r="F2463" s="21">
        <f t="shared" si="692"/>
        <v>238503.1</v>
      </c>
      <c r="G2463" s="21"/>
      <c r="H2463" s="135">
        <f t="shared" si="675"/>
        <v>0</v>
      </c>
      <c r="I2463" s="23">
        <v>45323</v>
      </c>
      <c r="J2463" s="294"/>
      <c r="K2463" s="11">
        <f>0.8*0.94*0.98*0.95*175956</f>
        <v>123188.90707199999</v>
      </c>
      <c r="L2463" s="32"/>
      <c r="M2463" s="11"/>
      <c r="N2463" s="100"/>
      <c r="O2463" s="11">
        <f t="shared" si="691"/>
        <v>123188.90707199999</v>
      </c>
      <c r="P2463" s="11">
        <f>+O2463*'AUMENTOS %'!$B$5</f>
        <v>123188.90707199999</v>
      </c>
      <c r="Q2463" s="11">
        <v>1.6</v>
      </c>
      <c r="R2463" s="11">
        <f t="shared" si="673"/>
        <v>197102.2513152</v>
      </c>
      <c r="S2463" s="11"/>
      <c r="T2463" s="136">
        <f t="shared" si="693"/>
        <v>0</v>
      </c>
    </row>
    <row r="2464" spans="1:20" ht="15.75" customHeight="1">
      <c r="A2464" s="149">
        <v>18</v>
      </c>
      <c r="B2464" s="273"/>
      <c r="C2464" s="28" t="s">
        <v>2246</v>
      </c>
      <c r="D2464" s="71">
        <v>12000</v>
      </c>
      <c r="E2464" s="131">
        <f t="shared" si="674"/>
        <v>247340</v>
      </c>
      <c r="F2464" s="21">
        <f t="shared" si="692"/>
        <v>299281.39999999997</v>
      </c>
      <c r="G2464" s="21"/>
      <c r="H2464" s="135">
        <f t="shared" si="675"/>
        <v>0</v>
      </c>
      <c r="I2464" s="23">
        <v>45323</v>
      </c>
      <c r="J2464" s="294"/>
      <c r="K2464" s="11">
        <f>0.8*0.94*0.98*0.95*220801</f>
        <v>154585.42971199998</v>
      </c>
      <c r="L2464" s="11"/>
      <c r="M2464" s="11"/>
      <c r="N2464" s="100"/>
      <c r="O2464" s="11">
        <f t="shared" si="691"/>
        <v>154585.42971199998</v>
      </c>
      <c r="P2464" s="11">
        <f>+O2464*'AUMENTOS %'!$B$5</f>
        <v>154585.42971199998</v>
      </c>
      <c r="Q2464" s="11">
        <v>1.6</v>
      </c>
      <c r="R2464" s="11">
        <f t="shared" si="673"/>
        <v>247336.68753919998</v>
      </c>
      <c r="S2464" s="11"/>
      <c r="T2464" s="136">
        <f t="shared" si="693"/>
        <v>0</v>
      </c>
    </row>
    <row r="2465" spans="1:20" ht="15.75" customHeight="1">
      <c r="A2465" s="149">
        <v>18</v>
      </c>
      <c r="B2465" s="273"/>
      <c r="C2465" s="28" t="s">
        <v>2077</v>
      </c>
      <c r="D2465" s="71">
        <v>14410</v>
      </c>
      <c r="E2465" s="131">
        <f t="shared" si="674"/>
        <v>298120</v>
      </c>
      <c r="F2465" s="21">
        <f t="shared" si="692"/>
        <v>360725.2</v>
      </c>
      <c r="G2465" s="21"/>
      <c r="H2465" s="135">
        <f t="shared" si="675"/>
        <v>0</v>
      </c>
      <c r="I2465" s="23">
        <v>45323</v>
      </c>
      <c r="J2465" s="294"/>
      <c r="K2465" s="11">
        <f>0.8*0.98*0.94*0.95*266130</f>
        <v>186320.80656</v>
      </c>
      <c r="L2465" s="11"/>
      <c r="M2465" s="11"/>
      <c r="N2465" s="100"/>
      <c r="O2465" s="11">
        <f t="shared" si="691"/>
        <v>186320.80656</v>
      </c>
      <c r="P2465" s="11">
        <f>+O2465*'AUMENTOS %'!$B$5</f>
        <v>186320.80656</v>
      </c>
      <c r="Q2465" s="11">
        <v>1.6</v>
      </c>
      <c r="R2465" s="11">
        <f t="shared" ref="R2465:R2528" si="694">+P2465*Q2465</f>
        <v>298113.29049600003</v>
      </c>
      <c r="S2465" s="11"/>
      <c r="T2465" s="136">
        <f t="shared" si="693"/>
        <v>0</v>
      </c>
    </row>
    <row r="2466" spans="1:20" ht="15.75" customHeight="1">
      <c r="A2466" s="149">
        <v>18</v>
      </c>
      <c r="B2466" s="273"/>
      <c r="C2466" s="28" t="s">
        <v>2093</v>
      </c>
      <c r="D2466" s="71">
        <v>7690</v>
      </c>
      <c r="E2466" s="131">
        <f t="shared" si="674"/>
        <v>205330</v>
      </c>
      <c r="F2466" s="21">
        <f t="shared" si="692"/>
        <v>248449.3</v>
      </c>
      <c r="G2466" s="21"/>
      <c r="H2466" s="135">
        <f t="shared" si="675"/>
        <v>0</v>
      </c>
      <c r="I2466" s="23">
        <v>45323</v>
      </c>
      <c r="J2466" s="294"/>
      <c r="K2466" s="11">
        <f>0.8*0.98*0.94*0.95*183299</f>
        <v>128329.82948799999</v>
      </c>
      <c r="L2466" s="32"/>
      <c r="M2466" s="11"/>
      <c r="N2466" s="100"/>
      <c r="O2466" s="11">
        <f t="shared" si="691"/>
        <v>128329.82948799999</v>
      </c>
      <c r="P2466" s="11">
        <f>+O2466*'AUMENTOS %'!$B$5</f>
        <v>128329.82948799999</v>
      </c>
      <c r="Q2466" s="11">
        <v>1.6</v>
      </c>
      <c r="R2466" s="11">
        <f t="shared" si="694"/>
        <v>205327.72718079999</v>
      </c>
      <c r="S2466" s="11"/>
      <c r="T2466" s="136">
        <f t="shared" si="693"/>
        <v>0</v>
      </c>
    </row>
    <row r="2467" spans="1:20" ht="15.75" customHeight="1">
      <c r="A2467" s="149">
        <v>18</v>
      </c>
      <c r="B2467" s="273"/>
      <c r="C2467" s="28" t="s">
        <v>3442</v>
      </c>
      <c r="D2467" s="71">
        <v>8160</v>
      </c>
      <c r="E2467" s="131">
        <f t="shared" si="674"/>
        <v>136730</v>
      </c>
      <c r="F2467" s="21">
        <f t="shared" si="692"/>
        <v>165443.29999999999</v>
      </c>
      <c r="G2467" s="21"/>
      <c r="H2467" s="135">
        <f t="shared" si="675"/>
        <v>0</v>
      </c>
      <c r="I2467" s="23">
        <v>45323</v>
      </c>
      <c r="J2467" s="294"/>
      <c r="K2467" s="11">
        <f>0.8*0.98*0.94*0.95*122056</f>
        <v>85452.870272</v>
      </c>
      <c r="L2467" s="11"/>
      <c r="M2467" s="11"/>
      <c r="N2467" s="100"/>
      <c r="O2467" s="11">
        <f t="shared" si="691"/>
        <v>85452.870272</v>
      </c>
      <c r="P2467" s="11">
        <f>+O2467*'AUMENTOS %'!$B$5</f>
        <v>85452.870272</v>
      </c>
      <c r="Q2467" s="11">
        <v>1.6</v>
      </c>
      <c r="R2467" s="11">
        <f t="shared" si="694"/>
        <v>136724.5924352</v>
      </c>
      <c r="S2467" s="11"/>
      <c r="T2467" s="136">
        <f t="shared" si="693"/>
        <v>0</v>
      </c>
    </row>
    <row r="2468" spans="1:20" ht="15.75" customHeight="1">
      <c r="A2468" s="149">
        <v>18</v>
      </c>
      <c r="B2468" s="273"/>
      <c r="C2468" s="28" t="s">
        <v>2612</v>
      </c>
      <c r="D2468" s="71">
        <v>6470</v>
      </c>
      <c r="E2468" s="131">
        <f t="shared" ref="E2468:E2531" si="695">ROUNDUP(R2468,-1)</f>
        <v>144040</v>
      </c>
      <c r="F2468" s="21">
        <f t="shared" si="692"/>
        <v>174288.4</v>
      </c>
      <c r="G2468" s="21"/>
      <c r="H2468" s="135">
        <f t="shared" ref="H2468:H2531" si="696">ROUNDUP(T2468,-1)</f>
        <v>0</v>
      </c>
      <c r="I2468" s="23">
        <v>45323</v>
      </c>
      <c r="J2468" s="294"/>
      <c r="K2468" s="11">
        <f>0.8*0.98*0.94*0.95*128581</f>
        <v>90021.10107199999</v>
      </c>
      <c r="L2468" s="11"/>
      <c r="M2468" s="11"/>
      <c r="N2468" s="100"/>
      <c r="O2468" s="11">
        <f t="shared" si="691"/>
        <v>90021.10107199999</v>
      </c>
      <c r="P2468" s="11">
        <f>+O2468*'AUMENTOS %'!$B$5</f>
        <v>90021.10107199999</v>
      </c>
      <c r="Q2468" s="11">
        <v>1.6</v>
      </c>
      <c r="R2468" s="11">
        <f t="shared" si="694"/>
        <v>144033.7617152</v>
      </c>
      <c r="S2468" s="11"/>
      <c r="T2468" s="136">
        <f t="shared" si="693"/>
        <v>0</v>
      </c>
    </row>
    <row r="2469" spans="1:20" ht="15.75" customHeight="1">
      <c r="A2469" s="149">
        <v>18</v>
      </c>
      <c r="B2469" s="273"/>
      <c r="C2469" s="28" t="s">
        <v>3927</v>
      </c>
      <c r="D2469" s="71">
        <v>6470</v>
      </c>
      <c r="E2469" s="131">
        <f t="shared" si="695"/>
        <v>111600</v>
      </c>
      <c r="F2469" s="21">
        <f t="shared" si="692"/>
        <v>135036</v>
      </c>
      <c r="G2469" s="21"/>
      <c r="H2469" s="135">
        <f t="shared" si="696"/>
        <v>0</v>
      </c>
      <c r="I2469" s="23">
        <v>45323</v>
      </c>
      <c r="J2469" s="294"/>
      <c r="K2469" s="11">
        <f>0.8*0.98*0.94*0.95*99626</f>
        <v>69749.358112000002</v>
      </c>
      <c r="L2469" s="11"/>
      <c r="M2469" s="11"/>
      <c r="N2469" s="100"/>
      <c r="O2469" s="11">
        <f t="shared" si="691"/>
        <v>69749.358112000002</v>
      </c>
      <c r="P2469" s="11">
        <f>+O2469*'AUMENTOS %'!$B$5</f>
        <v>69749.358112000002</v>
      </c>
      <c r="Q2469" s="11">
        <v>1.6</v>
      </c>
      <c r="R2469" s="11">
        <f t="shared" si="694"/>
        <v>111598.97297920001</v>
      </c>
      <c r="S2469" s="11"/>
      <c r="T2469" s="136">
        <f t="shared" si="693"/>
        <v>0</v>
      </c>
    </row>
    <row r="2470" spans="1:20" ht="15.75" customHeight="1">
      <c r="A2470" s="149">
        <v>18</v>
      </c>
      <c r="B2470" s="273"/>
      <c r="C2470" s="28" t="s">
        <v>1910</v>
      </c>
      <c r="D2470" s="71">
        <v>6270</v>
      </c>
      <c r="E2470" s="131">
        <f t="shared" si="695"/>
        <v>118270</v>
      </c>
      <c r="F2470" s="21">
        <f t="shared" si="692"/>
        <v>143106.69999999998</v>
      </c>
      <c r="G2470" s="21"/>
      <c r="H2470" s="135">
        <f t="shared" si="696"/>
        <v>0</v>
      </c>
      <c r="I2470" s="23">
        <v>45323</v>
      </c>
      <c r="J2470" s="294"/>
      <c r="K2470" s="11">
        <f>0.8*0.98*0.94*0.95*105577</f>
        <v>73915.724623999995</v>
      </c>
      <c r="L2470" s="11"/>
      <c r="M2470" s="11"/>
      <c r="N2470" s="100"/>
      <c r="O2470" s="11">
        <f t="shared" si="691"/>
        <v>73915.724623999995</v>
      </c>
      <c r="P2470" s="11">
        <f>+O2470*'AUMENTOS %'!$B$5</f>
        <v>73915.724623999995</v>
      </c>
      <c r="Q2470" s="11">
        <v>1.6</v>
      </c>
      <c r="R2470" s="11">
        <f t="shared" si="694"/>
        <v>118265.15939839999</v>
      </c>
      <c r="S2470" s="11"/>
      <c r="T2470" s="136">
        <f t="shared" si="693"/>
        <v>0</v>
      </c>
    </row>
    <row r="2471" spans="1:20" ht="15.75" customHeight="1">
      <c r="A2471" s="149">
        <v>18</v>
      </c>
      <c r="B2471" s="273"/>
      <c r="C2471" s="28" t="s">
        <v>1909</v>
      </c>
      <c r="D2471" s="71">
        <v>8160</v>
      </c>
      <c r="E2471" s="131">
        <f t="shared" si="695"/>
        <v>129110</v>
      </c>
      <c r="F2471" s="21">
        <f t="shared" si="692"/>
        <v>156223.1</v>
      </c>
      <c r="G2471" s="21"/>
      <c r="H2471" s="135">
        <f t="shared" si="696"/>
        <v>0</v>
      </c>
      <c r="I2471" s="23">
        <v>45323</v>
      </c>
      <c r="J2471" s="294"/>
      <c r="K2471" s="11">
        <f>0.8*0.98*0.94*0.95*115257</f>
        <v>80692.808783999993</v>
      </c>
      <c r="L2471" s="11"/>
      <c r="M2471" s="11"/>
      <c r="N2471" s="100"/>
      <c r="O2471" s="11">
        <f t="shared" si="691"/>
        <v>80692.808783999993</v>
      </c>
      <c r="P2471" s="11">
        <f>+O2471*'AUMENTOS %'!$B$5</f>
        <v>80692.808783999993</v>
      </c>
      <c r="Q2471" s="11">
        <v>1.6</v>
      </c>
      <c r="R2471" s="11">
        <f t="shared" si="694"/>
        <v>129108.4940544</v>
      </c>
      <c r="S2471" s="11"/>
      <c r="T2471" s="136">
        <f t="shared" si="693"/>
        <v>0</v>
      </c>
    </row>
    <row r="2472" spans="1:20" ht="15.75" customHeight="1">
      <c r="A2472" s="149"/>
      <c r="B2472" s="273"/>
      <c r="C2472" s="28" t="s">
        <v>1912</v>
      </c>
      <c r="D2472" s="71">
        <v>9390</v>
      </c>
      <c r="E2472" s="131">
        <f t="shared" si="695"/>
        <v>0</v>
      </c>
      <c r="F2472" s="21">
        <f t="shared" si="692"/>
        <v>0</v>
      </c>
      <c r="G2472" s="21"/>
      <c r="H2472" s="135">
        <f t="shared" si="696"/>
        <v>0</v>
      </c>
      <c r="I2472" s="294"/>
      <c r="J2472" s="294">
        <v>43798</v>
      </c>
      <c r="K2472" s="32">
        <f>5868*1.6</f>
        <v>9388.8000000000011</v>
      </c>
      <c r="L2472" s="11"/>
      <c r="M2472" s="11"/>
      <c r="N2472" s="100"/>
      <c r="O2472" s="11">
        <f t="shared" si="691"/>
        <v>9388.8000000000011</v>
      </c>
      <c r="P2472" s="11">
        <f>+O2472*'AUMENTOS %'!$D$12</f>
        <v>9388.8000000000011</v>
      </c>
      <c r="Q2472" s="11"/>
      <c r="R2472" s="11">
        <f t="shared" si="694"/>
        <v>0</v>
      </c>
      <c r="S2472" s="11"/>
      <c r="T2472" s="136">
        <f t="shared" si="693"/>
        <v>0</v>
      </c>
    </row>
    <row r="2473" spans="1:20" ht="15.75" customHeight="1">
      <c r="A2473" s="149"/>
      <c r="B2473" s="273"/>
      <c r="C2473" s="28" t="s">
        <v>4431</v>
      </c>
      <c r="D2473" s="71">
        <v>6100</v>
      </c>
      <c r="E2473" s="131">
        <f t="shared" si="695"/>
        <v>62340</v>
      </c>
      <c r="F2473" s="21">
        <f t="shared" si="692"/>
        <v>75431.399999999994</v>
      </c>
      <c r="G2473" s="21"/>
      <c r="H2473" s="135">
        <f t="shared" si="696"/>
        <v>0</v>
      </c>
      <c r="I2473" s="294">
        <v>45114</v>
      </c>
      <c r="J2473" s="294"/>
      <c r="K2473" s="11">
        <f>41560</f>
        <v>41560</v>
      </c>
      <c r="L2473" s="32"/>
      <c r="M2473" s="11"/>
      <c r="N2473" s="100"/>
      <c r="O2473" s="11">
        <f t="shared" si="691"/>
        <v>41560</v>
      </c>
      <c r="P2473" s="11">
        <f>+O2473*'AUMENTOS %'!$D$12</f>
        <v>41560</v>
      </c>
      <c r="Q2473" s="11">
        <v>1.5</v>
      </c>
      <c r="R2473" s="11">
        <f t="shared" si="694"/>
        <v>62340</v>
      </c>
      <c r="S2473" s="11"/>
      <c r="T2473" s="136">
        <f t="shared" si="693"/>
        <v>0</v>
      </c>
    </row>
    <row r="2474" spans="1:20" ht="15.75" customHeight="1">
      <c r="A2474" s="149"/>
      <c r="B2474" s="273"/>
      <c r="C2474" s="28" t="s">
        <v>4430</v>
      </c>
      <c r="D2474" s="71">
        <v>10850</v>
      </c>
      <c r="E2474" s="131">
        <f t="shared" si="695"/>
        <v>55570</v>
      </c>
      <c r="F2474" s="21">
        <f t="shared" si="692"/>
        <v>67239.7</v>
      </c>
      <c r="G2474" s="21"/>
      <c r="H2474" s="135">
        <f t="shared" si="696"/>
        <v>0</v>
      </c>
      <c r="I2474" s="294">
        <v>45114</v>
      </c>
      <c r="J2474" s="294"/>
      <c r="K2474" s="11">
        <v>37041</v>
      </c>
      <c r="L2474" s="32"/>
      <c r="M2474" s="11"/>
      <c r="N2474" s="100"/>
      <c r="O2474" s="11">
        <f t="shared" si="691"/>
        <v>37041</v>
      </c>
      <c r="P2474" s="11">
        <f>+O2474*'AUMENTOS %'!$D$12</f>
        <v>37041</v>
      </c>
      <c r="Q2474" s="11">
        <v>1.5</v>
      </c>
      <c r="R2474" s="11">
        <f t="shared" si="694"/>
        <v>55561.5</v>
      </c>
      <c r="S2474" s="11"/>
      <c r="T2474" s="136">
        <f t="shared" si="693"/>
        <v>0</v>
      </c>
    </row>
    <row r="2475" spans="1:20" ht="15.75" customHeight="1">
      <c r="A2475" s="149"/>
      <c r="B2475" s="273"/>
      <c r="C2475" s="28" t="s">
        <v>2212</v>
      </c>
      <c r="D2475" s="71">
        <v>4960</v>
      </c>
      <c r="E2475" s="131">
        <f t="shared" si="695"/>
        <v>0</v>
      </c>
      <c r="F2475" s="21">
        <f t="shared" si="692"/>
        <v>0</v>
      </c>
      <c r="G2475" s="21"/>
      <c r="H2475" s="135">
        <f t="shared" si="696"/>
        <v>0</v>
      </c>
      <c r="I2475" s="294">
        <v>43881</v>
      </c>
      <c r="J2475" s="294"/>
      <c r="K2475" s="11">
        <f>3306*1.5</f>
        <v>4959</v>
      </c>
      <c r="L2475" s="32"/>
      <c r="M2475" s="11"/>
      <c r="N2475" s="100"/>
      <c r="O2475" s="11">
        <f t="shared" si="691"/>
        <v>4959</v>
      </c>
      <c r="P2475" s="11">
        <f t="shared" ref="P2475:P2528" si="697">+O2475</f>
        <v>4959</v>
      </c>
      <c r="Q2475" s="11"/>
      <c r="R2475" s="11">
        <f t="shared" si="694"/>
        <v>0</v>
      </c>
      <c r="S2475" s="11"/>
      <c r="T2475" s="136">
        <f t="shared" si="693"/>
        <v>0</v>
      </c>
    </row>
    <row r="2476" spans="1:20" ht="15.75" customHeight="1">
      <c r="A2476" s="149"/>
      <c r="B2476" s="273"/>
      <c r="C2476" s="28" t="s">
        <v>1913</v>
      </c>
      <c r="D2476" s="71">
        <v>5020</v>
      </c>
      <c r="E2476" s="131">
        <f t="shared" si="695"/>
        <v>0</v>
      </c>
      <c r="F2476" s="21">
        <f t="shared" si="692"/>
        <v>0</v>
      </c>
      <c r="G2476" s="21"/>
      <c r="H2476" s="135">
        <f t="shared" si="696"/>
        <v>0</v>
      </c>
      <c r="I2476" s="294">
        <v>43572</v>
      </c>
      <c r="J2476" s="294"/>
      <c r="K2476" s="11">
        <f>3140*1.6</f>
        <v>5024</v>
      </c>
      <c r="L2476" s="32"/>
      <c r="M2476" s="11"/>
      <c r="N2476" s="100"/>
      <c r="O2476" s="11">
        <f>MIN(K2476:M2476)*'AUMENTOS %'!$B$9</f>
        <v>5024</v>
      </c>
      <c r="P2476" s="11">
        <f t="shared" si="697"/>
        <v>5024</v>
      </c>
      <c r="Q2476" s="11"/>
      <c r="R2476" s="11">
        <f t="shared" si="694"/>
        <v>0</v>
      </c>
      <c r="S2476" s="11"/>
      <c r="T2476" s="136">
        <f t="shared" si="693"/>
        <v>0</v>
      </c>
    </row>
    <row r="2477" spans="1:20" ht="15.75" customHeight="1">
      <c r="A2477" s="149"/>
      <c r="B2477" s="273"/>
      <c r="C2477" s="28" t="s">
        <v>3780</v>
      </c>
      <c r="D2477" s="71">
        <v>6940</v>
      </c>
      <c r="E2477" s="131">
        <f t="shared" si="695"/>
        <v>205100</v>
      </c>
      <c r="F2477" s="21">
        <f t="shared" si="692"/>
        <v>248171</v>
      </c>
      <c r="G2477" s="21"/>
      <c r="H2477" s="135">
        <f t="shared" si="696"/>
        <v>0</v>
      </c>
      <c r="I2477" s="294">
        <v>45377</v>
      </c>
      <c r="J2477" s="294"/>
      <c r="K2477" s="11">
        <v>128182</v>
      </c>
      <c r="L2477" s="32"/>
      <c r="M2477" s="11"/>
      <c r="N2477" s="100"/>
      <c r="O2477" s="11">
        <f>MIN(K2477:M2477)*'AUMENTOS %'!$B$9</f>
        <v>128182</v>
      </c>
      <c r="P2477" s="11">
        <f t="shared" si="697"/>
        <v>128182</v>
      </c>
      <c r="Q2477" s="11">
        <v>1.6</v>
      </c>
      <c r="R2477" s="11">
        <f t="shared" si="694"/>
        <v>205091.20000000001</v>
      </c>
      <c r="S2477" s="11"/>
      <c r="T2477" s="136">
        <f t="shared" si="693"/>
        <v>0</v>
      </c>
    </row>
    <row r="2478" spans="1:20" ht="15.75" customHeight="1">
      <c r="A2478" s="149"/>
      <c r="B2478" s="273"/>
      <c r="C2478" s="28" t="s">
        <v>44229</v>
      </c>
      <c r="D2478" s="71">
        <v>7190</v>
      </c>
      <c r="E2478" s="131">
        <f t="shared" si="695"/>
        <v>115870</v>
      </c>
      <c r="F2478" s="21">
        <f t="shared" si="692"/>
        <v>140202.69999999998</v>
      </c>
      <c r="G2478" s="21"/>
      <c r="H2478" s="135">
        <f t="shared" si="696"/>
        <v>0</v>
      </c>
      <c r="I2478" s="294"/>
      <c r="J2478" s="294">
        <v>45243</v>
      </c>
      <c r="K2478" s="11">
        <v>72413</v>
      </c>
      <c r="L2478" s="32"/>
      <c r="M2478" s="11"/>
      <c r="N2478" s="100"/>
      <c r="O2478" s="11">
        <f>MIN(K2478:M2478)*'AUMENTOS %'!$B$9</f>
        <v>72413</v>
      </c>
      <c r="P2478" s="11">
        <f t="shared" si="697"/>
        <v>72413</v>
      </c>
      <c r="Q2478" s="11">
        <v>1.6</v>
      </c>
      <c r="R2478" s="11">
        <f t="shared" si="694"/>
        <v>115860.8</v>
      </c>
      <c r="S2478" s="11"/>
      <c r="T2478" s="136">
        <f t="shared" si="693"/>
        <v>0</v>
      </c>
    </row>
    <row r="2479" spans="1:20" ht="15.75" customHeight="1">
      <c r="A2479" s="149">
        <v>18</v>
      </c>
      <c r="B2479" s="273"/>
      <c r="C2479" s="28" t="s">
        <v>1906</v>
      </c>
      <c r="D2479" s="71">
        <v>3100</v>
      </c>
      <c r="E2479" s="131">
        <f t="shared" si="695"/>
        <v>51370</v>
      </c>
      <c r="F2479" s="21">
        <f t="shared" si="692"/>
        <v>62157.7</v>
      </c>
      <c r="G2479" s="21"/>
      <c r="H2479" s="135">
        <f t="shared" si="696"/>
        <v>0</v>
      </c>
      <c r="I2479" s="23">
        <v>45323</v>
      </c>
      <c r="J2479" s="294"/>
      <c r="K2479" s="11">
        <f>0.8*0.98*0.94*0.95*45851</f>
        <v>32100.835311999999</v>
      </c>
      <c r="L2479" s="11"/>
      <c r="M2479" s="11"/>
      <c r="N2479" s="100"/>
      <c r="O2479" s="11">
        <f t="shared" si="691"/>
        <v>32100.835311999999</v>
      </c>
      <c r="P2479" s="11">
        <f>+O2479*'AUMENTOS %'!$B$5</f>
        <v>32100.835311999999</v>
      </c>
      <c r="Q2479" s="11">
        <v>1.6</v>
      </c>
      <c r="R2479" s="11">
        <f t="shared" si="694"/>
        <v>51361.336499199999</v>
      </c>
      <c r="S2479" s="11"/>
      <c r="T2479" s="136">
        <f t="shared" si="693"/>
        <v>0</v>
      </c>
    </row>
    <row r="2480" spans="1:20" ht="15.75" customHeight="1">
      <c r="A2480" s="149">
        <v>18</v>
      </c>
      <c r="B2480" s="273"/>
      <c r="C2480" s="28" t="s">
        <v>1907</v>
      </c>
      <c r="D2480" s="71"/>
      <c r="E2480" s="131">
        <f t="shared" si="695"/>
        <v>0</v>
      </c>
      <c r="F2480" s="21">
        <f t="shared" si="692"/>
        <v>0</v>
      </c>
      <c r="G2480" s="21"/>
      <c r="H2480" s="135">
        <f t="shared" si="696"/>
        <v>0</v>
      </c>
      <c r="I2480" s="23">
        <v>45275</v>
      </c>
      <c r="J2480" s="294"/>
      <c r="K2480" s="11">
        <f>0.8*0.98*0.94*0.95*3444*1.3</f>
        <v>3134.5414464</v>
      </c>
      <c r="L2480" s="11"/>
      <c r="M2480" s="11"/>
      <c r="N2480" s="100"/>
      <c r="O2480" s="11">
        <f t="shared" si="691"/>
        <v>3134.5414464</v>
      </c>
      <c r="P2480" s="11">
        <f>+O2480*'AUMENTOS %'!$B$5</f>
        <v>3134.5414464</v>
      </c>
      <c r="Q2480" s="11"/>
      <c r="R2480" s="11">
        <f t="shared" si="694"/>
        <v>0</v>
      </c>
      <c r="S2480" s="11"/>
      <c r="T2480" s="136">
        <f t="shared" si="693"/>
        <v>0</v>
      </c>
    </row>
    <row r="2481" spans="1:20" ht="15.75" customHeight="1">
      <c r="A2481" s="149">
        <v>18</v>
      </c>
      <c r="B2481" s="273"/>
      <c r="C2481" s="28" t="s">
        <v>2245</v>
      </c>
      <c r="D2481" s="71">
        <v>2010</v>
      </c>
      <c r="E2481" s="131">
        <f t="shared" si="695"/>
        <v>52390</v>
      </c>
      <c r="F2481" s="21">
        <f t="shared" si="692"/>
        <v>63391.9</v>
      </c>
      <c r="G2481" s="21"/>
      <c r="H2481" s="135">
        <f t="shared" si="696"/>
        <v>0</v>
      </c>
      <c r="I2481" s="294">
        <v>45323</v>
      </c>
      <c r="J2481" s="294"/>
      <c r="K2481" s="11">
        <f>0.8*0.98*0.94*0.95*46767</f>
        <v>32742.137903999999</v>
      </c>
      <c r="L2481" s="11"/>
      <c r="M2481" s="11"/>
      <c r="N2481" s="100"/>
      <c r="O2481" s="11">
        <f t="shared" si="691"/>
        <v>32742.137903999999</v>
      </c>
      <c r="P2481" s="11">
        <f>+O2481*'AUMENTOS %'!$B$5</f>
        <v>32742.137903999999</v>
      </c>
      <c r="Q2481" s="11">
        <v>1.6</v>
      </c>
      <c r="R2481" s="11">
        <f t="shared" si="694"/>
        <v>52387.420646400002</v>
      </c>
      <c r="S2481" s="11"/>
      <c r="T2481" s="136">
        <f t="shared" si="693"/>
        <v>0</v>
      </c>
    </row>
    <row r="2482" spans="1:20" ht="15.75" customHeight="1">
      <c r="A2482" s="149">
        <v>18</v>
      </c>
      <c r="B2482" s="273"/>
      <c r="C2482" s="28" t="s">
        <v>1908</v>
      </c>
      <c r="D2482" s="71">
        <v>1410</v>
      </c>
      <c r="E2482" s="131">
        <f t="shared" si="695"/>
        <v>35490</v>
      </c>
      <c r="F2482" s="21">
        <f t="shared" si="692"/>
        <v>42942.9</v>
      </c>
      <c r="G2482" s="21"/>
      <c r="H2482" s="135">
        <f t="shared" si="696"/>
        <v>0</v>
      </c>
      <c r="I2482" s="294">
        <v>45323</v>
      </c>
      <c r="J2482" s="294"/>
      <c r="K2482" s="11">
        <f>0.8*0.98*0.94*0.95*31676</f>
        <v>22176.747712</v>
      </c>
      <c r="L2482" s="11"/>
      <c r="M2482" s="11"/>
      <c r="N2482" s="100"/>
      <c r="O2482" s="11">
        <f t="shared" si="691"/>
        <v>22176.747712</v>
      </c>
      <c r="P2482" s="11">
        <f>+O2482*'AUMENTOS %'!$B$5</f>
        <v>22176.747712</v>
      </c>
      <c r="Q2482" s="11">
        <v>1.6</v>
      </c>
      <c r="R2482" s="11">
        <f t="shared" si="694"/>
        <v>35482.796339200002</v>
      </c>
      <c r="S2482" s="11"/>
      <c r="T2482" s="136">
        <f t="shared" si="693"/>
        <v>0</v>
      </c>
    </row>
    <row r="2483" spans="1:20" ht="15.75" customHeight="1">
      <c r="A2483" s="149">
        <v>41</v>
      </c>
      <c r="B2483" s="273"/>
      <c r="C2483" s="28" t="s">
        <v>2184</v>
      </c>
      <c r="D2483" s="71">
        <v>12000</v>
      </c>
      <c r="E2483" s="131">
        <f t="shared" si="695"/>
        <v>52990</v>
      </c>
      <c r="F2483" s="21">
        <f t="shared" si="692"/>
        <v>64117.9</v>
      </c>
      <c r="G2483" s="21"/>
      <c r="H2483" s="135">
        <f t="shared" si="696"/>
        <v>0</v>
      </c>
      <c r="I2483" s="294"/>
      <c r="J2483" s="294">
        <v>44860</v>
      </c>
      <c r="K2483" s="11">
        <f>39248*0.9</f>
        <v>35323.200000000004</v>
      </c>
      <c r="L2483" s="11"/>
      <c r="M2483" s="11"/>
      <c r="N2483" s="100"/>
      <c r="O2483" s="11">
        <f t="shared" si="691"/>
        <v>35323.200000000004</v>
      </c>
      <c r="P2483" s="11">
        <f t="shared" si="697"/>
        <v>35323.200000000004</v>
      </c>
      <c r="Q2483" s="11">
        <v>1.5</v>
      </c>
      <c r="R2483" s="11">
        <f t="shared" si="694"/>
        <v>52984.800000000003</v>
      </c>
      <c r="S2483" s="11"/>
      <c r="T2483" s="136">
        <f t="shared" si="693"/>
        <v>0</v>
      </c>
    </row>
    <row r="2484" spans="1:20" ht="15.75" customHeight="1">
      <c r="A2484" s="149">
        <v>18</v>
      </c>
      <c r="B2484" s="273"/>
      <c r="C2484" s="28" t="s">
        <v>3763</v>
      </c>
      <c r="D2484" s="71"/>
      <c r="E2484" s="131">
        <f t="shared" si="695"/>
        <v>87540</v>
      </c>
      <c r="F2484" s="21">
        <f t="shared" si="692"/>
        <v>105923.4</v>
      </c>
      <c r="G2484" s="21"/>
      <c r="H2484" s="135">
        <f t="shared" si="696"/>
        <v>0</v>
      </c>
      <c r="I2484" s="23">
        <v>45323</v>
      </c>
      <c r="J2484" s="294"/>
      <c r="K2484" s="11">
        <f>0.8*0.94*0.98*0.95*78148</f>
        <v>54712.352575999997</v>
      </c>
      <c r="L2484" s="32"/>
      <c r="M2484" s="11"/>
      <c r="N2484" s="100"/>
      <c r="O2484" s="11">
        <f t="shared" si="691"/>
        <v>54712.352575999997</v>
      </c>
      <c r="P2484" s="11">
        <f>+O2484*'AUMENTOS %'!$B$5</f>
        <v>54712.352575999997</v>
      </c>
      <c r="Q2484" s="11">
        <v>1.6</v>
      </c>
      <c r="R2484" s="11">
        <f t="shared" si="694"/>
        <v>87539.764121600005</v>
      </c>
      <c r="S2484" s="11"/>
      <c r="T2484" s="136">
        <f t="shared" si="693"/>
        <v>0</v>
      </c>
    </row>
    <row r="2485" spans="1:20" ht="15.75" customHeight="1">
      <c r="A2485" s="149">
        <v>18</v>
      </c>
      <c r="B2485" s="273"/>
      <c r="C2485" s="28" t="s">
        <v>2074</v>
      </c>
      <c r="D2485" s="71">
        <v>3460</v>
      </c>
      <c r="E2485" s="131">
        <f t="shared" si="695"/>
        <v>59390</v>
      </c>
      <c r="F2485" s="21">
        <f t="shared" si="692"/>
        <v>71861.899999999994</v>
      </c>
      <c r="G2485" s="21"/>
      <c r="H2485" s="135">
        <f t="shared" si="696"/>
        <v>0</v>
      </c>
      <c r="I2485" s="23">
        <v>45323</v>
      </c>
      <c r="J2485" s="294"/>
      <c r="K2485" s="11">
        <f>0.8*0.94*0.98*0.95*53016</f>
        <v>37117.137791999994</v>
      </c>
      <c r="L2485" s="32"/>
      <c r="M2485" s="11"/>
      <c r="N2485" s="100"/>
      <c r="O2485" s="11">
        <f t="shared" si="691"/>
        <v>37117.137791999994</v>
      </c>
      <c r="P2485" s="11">
        <f>+O2485*'AUMENTOS %'!$B$5</f>
        <v>37117.137791999994</v>
      </c>
      <c r="Q2485" s="11">
        <v>1.6</v>
      </c>
      <c r="R2485" s="11">
        <f t="shared" si="694"/>
        <v>59387.420467199991</v>
      </c>
      <c r="S2485" s="11"/>
      <c r="T2485" s="136">
        <f t="shared" si="693"/>
        <v>0</v>
      </c>
    </row>
    <row r="2486" spans="1:20" ht="15.75" customHeight="1">
      <c r="A2486" s="149">
        <v>18</v>
      </c>
      <c r="B2486" s="273"/>
      <c r="C2486" s="28" t="s">
        <v>3478</v>
      </c>
      <c r="D2486" s="71"/>
      <c r="E2486" s="131">
        <f t="shared" si="695"/>
        <v>48790</v>
      </c>
      <c r="F2486" s="21">
        <f t="shared" si="692"/>
        <v>59035.9</v>
      </c>
      <c r="G2486" s="21"/>
      <c r="H2486" s="135">
        <f t="shared" si="696"/>
        <v>0</v>
      </c>
      <c r="I2486" s="23">
        <v>45323</v>
      </c>
      <c r="J2486" s="294"/>
      <c r="K2486" s="11">
        <f>0.8*0.94*0.98*0.95*43553</f>
        <v>30491.977935999999</v>
      </c>
      <c r="L2486" s="32"/>
      <c r="M2486" s="11"/>
      <c r="N2486" s="100"/>
      <c r="O2486" s="11">
        <f t="shared" si="691"/>
        <v>30491.977935999999</v>
      </c>
      <c r="P2486" s="11">
        <f>+O2486*'AUMENTOS %'!$B$5</f>
        <v>30491.977935999999</v>
      </c>
      <c r="Q2486" s="11">
        <v>1.6</v>
      </c>
      <c r="R2486" s="11">
        <f t="shared" si="694"/>
        <v>48787.164697600005</v>
      </c>
      <c r="S2486" s="11"/>
      <c r="T2486" s="136">
        <f t="shared" si="693"/>
        <v>0</v>
      </c>
    </row>
    <row r="2487" spans="1:20" ht="15.75" customHeight="1">
      <c r="A2487" s="149"/>
      <c r="B2487" s="273"/>
      <c r="C2487" s="28" t="s">
        <v>3778</v>
      </c>
      <c r="D2487" s="71"/>
      <c r="E2487" s="131">
        <f t="shared" si="695"/>
        <v>4630</v>
      </c>
      <c r="F2487" s="21">
        <f t="shared" si="692"/>
        <v>5602.3</v>
      </c>
      <c r="G2487" s="21"/>
      <c r="H2487" s="135">
        <f t="shared" si="696"/>
        <v>0</v>
      </c>
      <c r="I2487" s="294"/>
      <c r="J2487" s="294">
        <v>44718</v>
      </c>
      <c r="K2487" s="11">
        <f>3500/1.21</f>
        <v>2892.5619834710747</v>
      </c>
      <c r="L2487" s="32"/>
      <c r="M2487" s="11"/>
      <c r="N2487" s="100"/>
      <c r="O2487" s="11">
        <f>MIN(K2487:M2487)*'AUMENTOS %'!$B$9</f>
        <v>2892.5619834710747</v>
      </c>
      <c r="P2487" s="11">
        <f t="shared" si="697"/>
        <v>2892.5619834710747</v>
      </c>
      <c r="Q2487" s="11">
        <v>1.6</v>
      </c>
      <c r="R2487" s="11">
        <f t="shared" si="694"/>
        <v>4628.09917355372</v>
      </c>
      <c r="S2487" s="11"/>
      <c r="T2487" s="136">
        <f t="shared" si="693"/>
        <v>0</v>
      </c>
    </row>
    <row r="2488" spans="1:20" ht="15.75" customHeight="1">
      <c r="A2488" s="149">
        <v>18</v>
      </c>
      <c r="B2488" s="273"/>
      <c r="C2488" s="28" t="s">
        <v>2945</v>
      </c>
      <c r="D2488" s="71"/>
      <c r="E2488" s="131">
        <f t="shared" si="695"/>
        <v>32280</v>
      </c>
      <c r="F2488" s="21">
        <f t="shared" ref="F2488:F2519" si="698">+E2488*1.21</f>
        <v>39058.799999999996</v>
      </c>
      <c r="G2488" s="21"/>
      <c r="H2488" s="135">
        <f t="shared" si="696"/>
        <v>0</v>
      </c>
      <c r="I2488" s="294">
        <v>45323</v>
      </c>
      <c r="J2488" s="294"/>
      <c r="K2488" s="11">
        <f>0.8*0.94*0.98*0.95*28810</f>
        <v>20170.226719999999</v>
      </c>
      <c r="L2488" s="32"/>
      <c r="M2488" s="11"/>
      <c r="N2488" s="100"/>
      <c r="O2488" s="11">
        <f t="shared" si="691"/>
        <v>20170.226719999999</v>
      </c>
      <c r="P2488" s="11">
        <f>+O2488*'AUMENTOS %'!$B$5</f>
        <v>20170.226719999999</v>
      </c>
      <c r="Q2488" s="11">
        <v>1.6</v>
      </c>
      <c r="R2488" s="11">
        <f t="shared" si="694"/>
        <v>32272.362752000001</v>
      </c>
      <c r="S2488" s="11"/>
      <c r="T2488" s="136">
        <f t="shared" si="693"/>
        <v>0</v>
      </c>
    </row>
    <row r="2489" spans="1:20" ht="15.75" customHeight="1">
      <c r="A2489" s="149">
        <v>18</v>
      </c>
      <c r="B2489" s="273"/>
      <c r="C2489" s="28" t="s">
        <v>1914</v>
      </c>
      <c r="D2489" s="71">
        <v>7800</v>
      </c>
      <c r="E2489" s="131">
        <f t="shared" si="695"/>
        <v>126950</v>
      </c>
      <c r="F2489" s="21">
        <f t="shared" si="698"/>
        <v>153609.5</v>
      </c>
      <c r="G2489" s="21"/>
      <c r="H2489" s="135">
        <f t="shared" si="696"/>
        <v>0</v>
      </c>
      <c r="I2489" s="23">
        <v>45323</v>
      </c>
      <c r="J2489" s="294"/>
      <c r="K2489" s="11">
        <f>0.8*0.94*0.98*0.95*113325</f>
        <v>79340.1924</v>
      </c>
      <c r="L2489" s="32"/>
      <c r="M2489" s="11"/>
      <c r="N2489" s="100"/>
      <c r="O2489" s="11">
        <f t="shared" si="691"/>
        <v>79340.1924</v>
      </c>
      <c r="P2489" s="11">
        <f>+O2489*'AUMENTOS %'!$B$5</f>
        <v>79340.1924</v>
      </c>
      <c r="Q2489" s="11">
        <v>1.6</v>
      </c>
      <c r="R2489" s="11">
        <f t="shared" si="694"/>
        <v>126944.30784000001</v>
      </c>
      <c r="S2489" s="11"/>
      <c r="T2489" s="136">
        <f t="shared" si="693"/>
        <v>0</v>
      </c>
    </row>
    <row r="2490" spans="1:20" ht="15.75" customHeight="1">
      <c r="A2490" s="149">
        <v>34</v>
      </c>
      <c r="B2490" s="273"/>
      <c r="C2490" s="28" t="s">
        <v>1915</v>
      </c>
      <c r="D2490" s="71">
        <v>1200</v>
      </c>
      <c r="E2490" s="131">
        <f t="shared" si="695"/>
        <v>19780</v>
      </c>
      <c r="F2490" s="21">
        <f t="shared" si="698"/>
        <v>23933.8</v>
      </c>
      <c r="G2490" s="21"/>
      <c r="H2490" s="135">
        <f t="shared" si="696"/>
        <v>0</v>
      </c>
      <c r="I2490" s="294">
        <v>45352</v>
      </c>
      <c r="J2490" s="294">
        <v>45385</v>
      </c>
      <c r="K2490" s="10">
        <f>0.8*17048</f>
        <v>13638.400000000001</v>
      </c>
      <c r="L2490" s="10"/>
      <c r="M2490" s="11"/>
      <c r="N2490" s="100"/>
      <c r="O2490" s="11">
        <f t="shared" si="691"/>
        <v>13638.400000000001</v>
      </c>
      <c r="P2490" s="11">
        <f t="shared" si="697"/>
        <v>13638.400000000001</v>
      </c>
      <c r="Q2490" s="11">
        <v>1.45</v>
      </c>
      <c r="R2490" s="11">
        <f t="shared" si="694"/>
        <v>19775.68</v>
      </c>
      <c r="S2490" s="11"/>
      <c r="T2490" s="136">
        <f t="shared" si="693"/>
        <v>0</v>
      </c>
    </row>
    <row r="2491" spans="1:20" ht="15.75" customHeight="1">
      <c r="A2491" s="149">
        <v>34</v>
      </c>
      <c r="B2491" s="273"/>
      <c r="C2491" s="28" t="s">
        <v>3836</v>
      </c>
      <c r="D2491" s="71">
        <v>1400</v>
      </c>
      <c r="E2491" s="131">
        <f t="shared" si="695"/>
        <v>23100</v>
      </c>
      <c r="F2491" s="21">
        <f t="shared" si="698"/>
        <v>27951</v>
      </c>
      <c r="G2491" s="21"/>
      <c r="H2491" s="135">
        <f t="shared" si="696"/>
        <v>0</v>
      </c>
      <c r="I2491" s="294">
        <v>45352</v>
      </c>
      <c r="J2491" s="294">
        <v>45385</v>
      </c>
      <c r="K2491" s="10">
        <f>0.8*19907</f>
        <v>15925.6</v>
      </c>
      <c r="L2491" s="10"/>
      <c r="M2491" s="11"/>
      <c r="N2491" s="100"/>
      <c r="O2491" s="11">
        <f t="shared" si="691"/>
        <v>15925.6</v>
      </c>
      <c r="P2491" s="11">
        <f t="shared" si="697"/>
        <v>15925.6</v>
      </c>
      <c r="Q2491" s="11">
        <v>1.45</v>
      </c>
      <c r="R2491" s="11">
        <f t="shared" si="694"/>
        <v>23092.12</v>
      </c>
      <c r="S2491" s="11"/>
      <c r="T2491" s="136">
        <f t="shared" si="693"/>
        <v>0</v>
      </c>
    </row>
    <row r="2492" spans="1:20" ht="15.75" customHeight="1">
      <c r="A2492" s="149">
        <v>34</v>
      </c>
      <c r="B2492" s="273"/>
      <c r="C2492" s="28" t="s">
        <v>2277</v>
      </c>
      <c r="D2492" s="71">
        <v>2390</v>
      </c>
      <c r="E2492" s="131">
        <f t="shared" si="695"/>
        <v>45550</v>
      </c>
      <c r="F2492" s="21">
        <f t="shared" si="698"/>
        <v>55115.5</v>
      </c>
      <c r="G2492" s="21"/>
      <c r="H2492" s="135">
        <f t="shared" si="696"/>
        <v>0</v>
      </c>
      <c r="I2492" s="294">
        <v>45352</v>
      </c>
      <c r="J2492" s="294">
        <v>45385</v>
      </c>
      <c r="K2492" s="10">
        <f>0.8*39261</f>
        <v>31408.800000000003</v>
      </c>
      <c r="L2492" s="10"/>
      <c r="M2492" s="11"/>
      <c r="N2492" s="100"/>
      <c r="O2492" s="11">
        <f t="shared" si="691"/>
        <v>31408.800000000003</v>
      </c>
      <c r="P2492" s="11">
        <f t="shared" si="697"/>
        <v>31408.800000000003</v>
      </c>
      <c r="Q2492" s="11">
        <v>1.45</v>
      </c>
      <c r="R2492" s="11">
        <f t="shared" si="694"/>
        <v>45542.76</v>
      </c>
      <c r="S2492" s="11"/>
      <c r="T2492" s="136">
        <f t="shared" si="693"/>
        <v>0</v>
      </c>
    </row>
    <row r="2493" spans="1:20" ht="15.75" customHeight="1">
      <c r="A2493" s="149">
        <v>34</v>
      </c>
      <c r="B2493" s="273"/>
      <c r="C2493" s="28" t="s">
        <v>1916</v>
      </c>
      <c r="D2493" s="71">
        <v>1590</v>
      </c>
      <c r="E2493" s="131">
        <f t="shared" si="695"/>
        <v>26250</v>
      </c>
      <c r="F2493" s="21">
        <f t="shared" si="698"/>
        <v>31762.5</v>
      </c>
      <c r="G2493" s="21"/>
      <c r="H2493" s="135">
        <f t="shared" si="696"/>
        <v>0</v>
      </c>
      <c r="I2493" s="294">
        <v>45352</v>
      </c>
      <c r="J2493" s="294">
        <v>45385</v>
      </c>
      <c r="K2493" s="10">
        <f>0.8*22628</f>
        <v>18102.400000000001</v>
      </c>
      <c r="L2493" s="10"/>
      <c r="M2493" s="11"/>
      <c r="N2493" s="100"/>
      <c r="O2493" s="11">
        <f t="shared" si="691"/>
        <v>18102.400000000001</v>
      </c>
      <c r="P2493" s="11">
        <f t="shared" si="697"/>
        <v>18102.400000000001</v>
      </c>
      <c r="Q2493" s="11">
        <v>1.45</v>
      </c>
      <c r="R2493" s="11">
        <f t="shared" si="694"/>
        <v>26248.48</v>
      </c>
      <c r="S2493" s="11"/>
      <c r="T2493" s="136">
        <f t="shared" si="693"/>
        <v>0</v>
      </c>
    </row>
    <row r="2494" spans="1:20" ht="15.75" customHeight="1">
      <c r="A2494" s="149">
        <v>44</v>
      </c>
      <c r="B2494" s="273"/>
      <c r="C2494" s="28" t="s">
        <v>1917</v>
      </c>
      <c r="D2494" s="71">
        <v>440</v>
      </c>
      <c r="E2494" s="140">
        <f t="shared" si="695"/>
        <v>14820</v>
      </c>
      <c r="F2494" s="21">
        <f t="shared" si="698"/>
        <v>17932.2</v>
      </c>
      <c r="G2494" s="21">
        <f>2800*3</f>
        <v>8400</v>
      </c>
      <c r="H2494" s="135">
        <f t="shared" si="696"/>
        <v>0</v>
      </c>
      <c r="I2494" s="294">
        <v>45254</v>
      </c>
      <c r="J2494" s="294"/>
      <c r="K2494" s="10">
        <f>+PROVEEDORES!$D$38*11.16</f>
        <v>9876.6</v>
      </c>
      <c r="L2494" s="11"/>
      <c r="M2494" s="11"/>
      <c r="N2494" s="100"/>
      <c r="O2494" s="11">
        <f t="shared" si="691"/>
        <v>9876.6</v>
      </c>
      <c r="P2494" s="11">
        <f t="shared" si="697"/>
        <v>9876.6</v>
      </c>
      <c r="Q2494" s="11">
        <v>1.5</v>
      </c>
      <c r="R2494" s="11">
        <f t="shared" si="694"/>
        <v>14814.900000000001</v>
      </c>
      <c r="S2494" s="11"/>
      <c r="T2494" s="136">
        <f t="shared" si="693"/>
        <v>0</v>
      </c>
    </row>
    <row r="2495" spans="1:20" ht="15.75" customHeight="1">
      <c r="A2495" s="149">
        <v>50</v>
      </c>
      <c r="B2495" s="273"/>
      <c r="C2495" s="28" t="s">
        <v>1918</v>
      </c>
      <c r="D2495" s="142">
        <v>410</v>
      </c>
      <c r="E2495" s="139">
        <f t="shared" si="695"/>
        <v>9040</v>
      </c>
      <c r="F2495" s="21">
        <f t="shared" si="698"/>
        <v>10938.4</v>
      </c>
      <c r="G2495" s="21"/>
      <c r="H2495" s="135">
        <f t="shared" si="696"/>
        <v>8400</v>
      </c>
      <c r="I2495" s="294">
        <v>45385</v>
      </c>
      <c r="J2495" s="40"/>
      <c r="K2495" s="43">
        <f>PROVEEDORES!$D$44*0.58*11</f>
        <v>5646.2999999999993</v>
      </c>
      <c r="L2495" s="11"/>
      <c r="M2495" s="11"/>
      <c r="N2495" s="171">
        <f>PROVEEDORES!$D$44*0.5985*9.9</f>
        <v>5243.7577500000007</v>
      </c>
      <c r="O2495" s="11">
        <f t="shared" si="691"/>
        <v>5646.2999999999993</v>
      </c>
      <c r="P2495" s="11">
        <f t="shared" si="697"/>
        <v>5646.2999999999993</v>
      </c>
      <c r="Q2495" s="11">
        <v>1.6</v>
      </c>
      <c r="R2495" s="11">
        <f t="shared" si="694"/>
        <v>9034.08</v>
      </c>
      <c r="S2495" s="11"/>
      <c r="T2495" s="136">
        <f t="shared" si="693"/>
        <v>8390.0124000000014</v>
      </c>
    </row>
    <row r="2496" spans="1:20" ht="15.75" customHeight="1">
      <c r="A2496" s="149">
        <v>34</v>
      </c>
      <c r="B2496" s="273"/>
      <c r="C2496" s="28" t="s">
        <v>2752</v>
      </c>
      <c r="D2496" s="142"/>
      <c r="E2496" s="131">
        <f t="shared" si="695"/>
        <v>0</v>
      </c>
      <c r="F2496" s="21">
        <f t="shared" si="698"/>
        <v>0</v>
      </c>
      <c r="G2496" s="21"/>
      <c r="H2496" s="135">
        <f t="shared" si="696"/>
        <v>0</v>
      </c>
      <c r="I2496" s="294">
        <v>45068</v>
      </c>
      <c r="J2496" s="294"/>
      <c r="K2496" s="10">
        <f>0.8*1526</f>
        <v>1220.8</v>
      </c>
      <c r="L2496" s="11"/>
      <c r="M2496" s="11"/>
      <c r="N2496" s="100"/>
      <c r="O2496" s="11">
        <f t="shared" si="691"/>
        <v>1220.8</v>
      </c>
      <c r="P2496" s="11">
        <f t="shared" si="697"/>
        <v>1220.8</v>
      </c>
      <c r="Q2496" s="11"/>
      <c r="R2496" s="11">
        <f t="shared" si="694"/>
        <v>0</v>
      </c>
      <c r="S2496" s="11"/>
      <c r="T2496" s="136">
        <f t="shared" si="693"/>
        <v>0</v>
      </c>
    </row>
    <row r="2497" spans="1:20" ht="15.75" customHeight="1">
      <c r="A2497" s="149">
        <v>44</v>
      </c>
      <c r="B2497" s="273"/>
      <c r="C2497" s="28" t="s">
        <v>1919</v>
      </c>
      <c r="D2497" s="71">
        <v>1620</v>
      </c>
      <c r="E2497" s="140">
        <f t="shared" si="695"/>
        <v>36450</v>
      </c>
      <c r="F2497" s="21">
        <f t="shared" si="698"/>
        <v>44104.5</v>
      </c>
      <c r="G2497" s="21"/>
      <c r="H2497" s="135">
        <f t="shared" si="696"/>
        <v>25060</v>
      </c>
      <c r="I2497" s="294">
        <v>45254</v>
      </c>
      <c r="J2497" s="294">
        <v>45343</v>
      </c>
      <c r="K2497" s="10">
        <f>+PROVEEDORES!$D$38*28.4</f>
        <v>25134</v>
      </c>
      <c r="L2497" s="11"/>
      <c r="M2497" s="11"/>
      <c r="N2497" s="100">
        <f>19200*0.9</f>
        <v>17280</v>
      </c>
      <c r="O2497" s="11">
        <f t="shared" si="691"/>
        <v>25134</v>
      </c>
      <c r="P2497" s="11">
        <f t="shared" si="697"/>
        <v>25134</v>
      </c>
      <c r="Q2497" s="11">
        <v>1.45</v>
      </c>
      <c r="R2497" s="11">
        <f t="shared" si="694"/>
        <v>36444.299999999996</v>
      </c>
      <c r="S2497" s="11"/>
      <c r="T2497" s="136">
        <f t="shared" si="693"/>
        <v>25056</v>
      </c>
    </row>
    <row r="2498" spans="1:20" ht="15.75" customHeight="1">
      <c r="A2498" s="149">
        <v>34</v>
      </c>
      <c r="B2498" s="273"/>
      <c r="C2498" s="28" t="s">
        <v>2278</v>
      </c>
      <c r="D2498" s="168">
        <v>240</v>
      </c>
      <c r="E2498" s="131">
        <f t="shared" si="695"/>
        <v>3840</v>
      </c>
      <c r="F2498" s="21">
        <f t="shared" si="698"/>
        <v>4646.3999999999996</v>
      </c>
      <c r="G2498" s="21"/>
      <c r="H2498" s="135">
        <f t="shared" si="696"/>
        <v>0</v>
      </c>
      <c r="I2498" s="294">
        <v>45352</v>
      </c>
      <c r="J2498" s="294">
        <v>45385</v>
      </c>
      <c r="K2498" s="10">
        <f>0.8*3000</f>
        <v>2400</v>
      </c>
      <c r="L2498" s="11"/>
      <c r="M2498" s="11"/>
      <c r="N2498" s="100"/>
      <c r="O2498" s="11">
        <f t="shared" si="691"/>
        <v>2400</v>
      </c>
      <c r="P2498" s="11">
        <f t="shared" si="697"/>
        <v>2400</v>
      </c>
      <c r="Q2498" s="11">
        <v>1.6</v>
      </c>
      <c r="R2498" s="11">
        <f t="shared" si="694"/>
        <v>3840</v>
      </c>
      <c r="S2498" s="11"/>
      <c r="T2498" s="136">
        <f t="shared" si="693"/>
        <v>0</v>
      </c>
    </row>
    <row r="2499" spans="1:20" ht="15.75" customHeight="1">
      <c r="A2499" s="149">
        <v>50</v>
      </c>
      <c r="B2499" s="273">
        <f>ROUNDUP(E2499*1.105,-1)</f>
        <v>49030</v>
      </c>
      <c r="C2499" s="58" t="s">
        <v>2477</v>
      </c>
      <c r="D2499" s="142">
        <v>1550</v>
      </c>
      <c r="E2499" s="139">
        <f t="shared" si="695"/>
        <v>44370</v>
      </c>
      <c r="F2499" s="21">
        <f t="shared" si="698"/>
        <v>53687.7</v>
      </c>
      <c r="G2499" s="21"/>
      <c r="H2499" s="135">
        <f t="shared" si="696"/>
        <v>38340</v>
      </c>
      <c r="I2499" s="294">
        <v>45385</v>
      </c>
      <c r="J2499" s="294"/>
      <c r="K2499" s="43">
        <f>PROVEEDORES!$D$44*0.58*61.74</f>
        <v>31691.142</v>
      </c>
      <c r="L2499" s="11"/>
      <c r="M2499" s="32"/>
      <c r="N2499" s="171">
        <f>PROVEEDORES!$D$44*0.5985*51.7</f>
        <v>27384.068250000004</v>
      </c>
      <c r="O2499" s="11">
        <f t="shared" si="691"/>
        <v>31691.142</v>
      </c>
      <c r="P2499" s="11">
        <f t="shared" si="697"/>
        <v>31691.142</v>
      </c>
      <c r="Q2499" s="11">
        <v>1.4</v>
      </c>
      <c r="R2499" s="11">
        <f t="shared" si="694"/>
        <v>44367.5988</v>
      </c>
      <c r="S2499" s="11"/>
      <c r="T2499" s="136">
        <f t="shared" si="693"/>
        <v>38337.695550000004</v>
      </c>
    </row>
    <row r="2500" spans="1:20" ht="15.75" customHeight="1">
      <c r="A2500" s="149">
        <v>50</v>
      </c>
      <c r="B2500" s="273">
        <f t="shared" ref="B2500:B2513" si="699">ROUNDUP(E2500*1.105,-1)</f>
        <v>58370</v>
      </c>
      <c r="C2500" s="28" t="s">
        <v>2478</v>
      </c>
      <c r="D2500" s="142">
        <v>1860</v>
      </c>
      <c r="E2500" s="139">
        <f t="shared" si="695"/>
        <v>52820</v>
      </c>
      <c r="F2500" s="21">
        <f t="shared" si="698"/>
        <v>63912.2</v>
      </c>
      <c r="G2500" s="75"/>
      <c r="H2500" s="135">
        <f t="shared" si="696"/>
        <v>41200</v>
      </c>
      <c r="I2500" s="294">
        <v>45385</v>
      </c>
      <c r="J2500" s="294"/>
      <c r="K2500" s="43">
        <f>PROVEEDORES!$D$44*0.58*73.5</f>
        <v>37727.549999999996</v>
      </c>
      <c r="L2500" s="11"/>
      <c r="M2500" s="10"/>
      <c r="N2500" s="171">
        <f>PROVEEDORES!$D$44*0.5985*55.55</f>
        <v>29423.307375</v>
      </c>
      <c r="O2500" s="11">
        <f t="shared" si="691"/>
        <v>37727.549999999996</v>
      </c>
      <c r="P2500" s="11">
        <f t="shared" si="697"/>
        <v>37727.549999999996</v>
      </c>
      <c r="Q2500" s="11">
        <v>1.4</v>
      </c>
      <c r="R2500" s="11">
        <f t="shared" si="694"/>
        <v>52818.569999999992</v>
      </c>
      <c r="S2500" s="11"/>
      <c r="T2500" s="136">
        <f t="shared" si="693"/>
        <v>41192.630324999998</v>
      </c>
    </row>
    <row r="2501" spans="1:20" ht="15.75" customHeight="1">
      <c r="A2501" s="149">
        <v>50</v>
      </c>
      <c r="B2501" s="273">
        <f t="shared" si="699"/>
        <v>58370</v>
      </c>
      <c r="C2501" s="58" t="s">
        <v>2479</v>
      </c>
      <c r="D2501" s="142">
        <v>1810</v>
      </c>
      <c r="E2501" s="139">
        <f t="shared" si="695"/>
        <v>52820</v>
      </c>
      <c r="F2501" s="21">
        <f t="shared" si="698"/>
        <v>63912.2</v>
      </c>
      <c r="G2501" s="21"/>
      <c r="H2501" s="135">
        <f t="shared" si="696"/>
        <v>47320</v>
      </c>
      <c r="I2501" s="294">
        <v>45385</v>
      </c>
      <c r="J2501" s="294"/>
      <c r="K2501" s="43">
        <f>PROVEEDORES!$D$44*0.58*73.5</f>
        <v>37727.549999999996</v>
      </c>
      <c r="L2501" s="11"/>
      <c r="M2501" s="32"/>
      <c r="N2501" s="171">
        <f>PROVEEDORES!$D$44*0.5985*63.8</f>
        <v>33793.105499999998</v>
      </c>
      <c r="O2501" s="11">
        <f t="shared" si="691"/>
        <v>37727.549999999996</v>
      </c>
      <c r="P2501" s="11">
        <f t="shared" si="697"/>
        <v>37727.549999999996</v>
      </c>
      <c r="Q2501" s="11">
        <v>1.4</v>
      </c>
      <c r="R2501" s="11">
        <f t="shared" si="694"/>
        <v>52818.569999999992</v>
      </c>
      <c r="S2501" s="11"/>
      <c r="T2501" s="136">
        <f t="shared" si="693"/>
        <v>47310.347699999991</v>
      </c>
    </row>
    <row r="2502" spans="1:20" ht="15.75" customHeight="1">
      <c r="A2502" s="149">
        <v>50</v>
      </c>
      <c r="B2502" s="273">
        <f t="shared" si="699"/>
        <v>68490</v>
      </c>
      <c r="C2502" s="28" t="s">
        <v>2772</v>
      </c>
      <c r="D2502" s="142">
        <v>2120</v>
      </c>
      <c r="E2502" s="139">
        <f t="shared" si="695"/>
        <v>61980</v>
      </c>
      <c r="F2502" s="21">
        <f t="shared" si="698"/>
        <v>74995.8</v>
      </c>
      <c r="G2502" s="75"/>
      <c r="H2502" s="135">
        <f t="shared" si="696"/>
        <v>50170</v>
      </c>
      <c r="I2502" s="294">
        <v>45385</v>
      </c>
      <c r="J2502" s="294"/>
      <c r="K2502" s="43">
        <f>PROVEEDORES!$D$44*0.58*86.24</f>
        <v>44266.991999999991</v>
      </c>
      <c r="L2502" s="11"/>
      <c r="M2502" s="11"/>
      <c r="N2502" s="171">
        <f>PROVEEDORES!$D$44*0.5985*67.65</f>
        <v>35832.344625000005</v>
      </c>
      <c r="O2502" s="11">
        <f t="shared" si="691"/>
        <v>44266.991999999991</v>
      </c>
      <c r="P2502" s="11">
        <f t="shared" si="697"/>
        <v>44266.991999999991</v>
      </c>
      <c r="Q2502" s="11">
        <v>1.4</v>
      </c>
      <c r="R2502" s="11">
        <f t="shared" si="694"/>
        <v>61973.78879999998</v>
      </c>
      <c r="S2502" s="11"/>
      <c r="T2502" s="136">
        <f t="shared" si="693"/>
        <v>50165.282475000007</v>
      </c>
    </row>
    <row r="2503" spans="1:20" ht="15.75" customHeight="1">
      <c r="A2503" s="149">
        <v>41</v>
      </c>
      <c r="B2503" s="273">
        <f t="shared" si="699"/>
        <v>89550</v>
      </c>
      <c r="C2503" s="28" t="s">
        <v>3436</v>
      </c>
      <c r="D2503" s="71">
        <v>4130</v>
      </c>
      <c r="E2503" s="132">
        <f t="shared" si="695"/>
        <v>81040</v>
      </c>
      <c r="F2503" s="21">
        <f t="shared" si="698"/>
        <v>98058.4</v>
      </c>
      <c r="G2503" s="75"/>
      <c r="H2503" s="135">
        <f t="shared" si="696"/>
        <v>0</v>
      </c>
      <c r="I2503" s="294"/>
      <c r="J2503" s="294">
        <v>44678</v>
      </c>
      <c r="K2503" s="10">
        <f>PROVEEDORES!D35*(41+10)*0.9*1.1</f>
        <v>54024.3</v>
      </c>
      <c r="L2503" s="11"/>
      <c r="M2503" s="11"/>
      <c r="N2503" s="100"/>
      <c r="O2503" s="11">
        <f t="shared" si="691"/>
        <v>54024.3</v>
      </c>
      <c r="P2503" s="11">
        <f t="shared" si="697"/>
        <v>54024.3</v>
      </c>
      <c r="Q2503" s="11">
        <v>1.5</v>
      </c>
      <c r="R2503" s="11">
        <f t="shared" si="694"/>
        <v>81036.450000000012</v>
      </c>
      <c r="S2503" s="11"/>
      <c r="T2503" s="136">
        <f t="shared" si="693"/>
        <v>0</v>
      </c>
    </row>
    <row r="2504" spans="1:20" ht="15.75" customHeight="1">
      <c r="A2504" s="149">
        <v>25</v>
      </c>
      <c r="B2504" s="273">
        <f t="shared" si="699"/>
        <v>0</v>
      </c>
      <c r="C2504" s="28" t="s">
        <v>1920</v>
      </c>
      <c r="D2504" s="142">
        <v>1700</v>
      </c>
      <c r="E2504" s="131">
        <f t="shared" si="695"/>
        <v>0</v>
      </c>
      <c r="F2504" s="21">
        <f t="shared" si="698"/>
        <v>0</v>
      </c>
      <c r="G2504" s="21"/>
      <c r="H2504" s="135">
        <f t="shared" si="696"/>
        <v>0</v>
      </c>
      <c r="I2504" s="294">
        <v>43697</v>
      </c>
      <c r="J2504" s="294"/>
      <c r="K2504" s="10">
        <f>1132*1.5</f>
        <v>1698</v>
      </c>
      <c r="L2504" s="11">
        <f>+L2503*1.38</f>
        <v>0</v>
      </c>
      <c r="M2504" s="11"/>
      <c r="N2504" s="100"/>
      <c r="O2504" s="11">
        <f t="shared" si="691"/>
        <v>0</v>
      </c>
      <c r="P2504" s="11">
        <f t="shared" si="697"/>
        <v>0</v>
      </c>
      <c r="Q2504" s="11"/>
      <c r="R2504" s="11">
        <f t="shared" si="694"/>
        <v>0</v>
      </c>
      <c r="S2504" s="11"/>
      <c r="T2504" s="136">
        <f t="shared" si="693"/>
        <v>0</v>
      </c>
    </row>
    <row r="2505" spans="1:20" ht="15.75" customHeight="1">
      <c r="A2505" s="149">
        <v>41</v>
      </c>
      <c r="B2505" s="273">
        <f t="shared" si="699"/>
        <v>0</v>
      </c>
      <c r="C2505" s="28" t="s">
        <v>1921</v>
      </c>
      <c r="D2505" s="142">
        <v>770</v>
      </c>
      <c r="E2505" s="132">
        <f t="shared" si="695"/>
        <v>0</v>
      </c>
      <c r="F2505" s="21">
        <f t="shared" si="698"/>
        <v>0</v>
      </c>
      <c r="G2505" s="21"/>
      <c r="H2505" s="135">
        <f t="shared" si="696"/>
        <v>0</v>
      </c>
      <c r="I2505" s="294"/>
      <c r="J2505" s="294">
        <v>43178</v>
      </c>
      <c r="K2505" s="10">
        <f>512*1.5*0.9</f>
        <v>691.2</v>
      </c>
      <c r="L2505" s="11"/>
      <c r="M2505" s="11"/>
      <c r="N2505" s="100"/>
      <c r="O2505" s="11">
        <f t="shared" si="691"/>
        <v>691.2</v>
      </c>
      <c r="P2505" s="11">
        <f t="shared" si="697"/>
        <v>691.2</v>
      </c>
      <c r="Q2505" s="11"/>
      <c r="R2505" s="11">
        <f t="shared" si="694"/>
        <v>0</v>
      </c>
      <c r="S2505" s="11"/>
      <c r="T2505" s="136">
        <f t="shared" si="693"/>
        <v>0</v>
      </c>
    </row>
    <row r="2506" spans="1:20" ht="15.75" customHeight="1">
      <c r="A2506" s="149"/>
      <c r="B2506" s="273">
        <f t="shared" si="699"/>
        <v>0</v>
      </c>
      <c r="C2506" s="28" t="s">
        <v>1922</v>
      </c>
      <c r="D2506" s="142">
        <v>800</v>
      </c>
      <c r="E2506" s="131">
        <f t="shared" si="695"/>
        <v>0</v>
      </c>
      <c r="F2506" s="21">
        <f t="shared" si="698"/>
        <v>0</v>
      </c>
      <c r="G2506" s="21"/>
      <c r="H2506" s="135">
        <f t="shared" si="696"/>
        <v>0</v>
      </c>
      <c r="I2506" s="294"/>
      <c r="J2506" s="294">
        <v>43523</v>
      </c>
      <c r="K2506" s="10">
        <f>2112.08/4*1.5</f>
        <v>792.03</v>
      </c>
      <c r="L2506" s="11"/>
      <c r="M2506" s="11"/>
      <c r="N2506" s="100"/>
      <c r="O2506" s="11">
        <f t="shared" si="691"/>
        <v>792.03</v>
      </c>
      <c r="P2506" s="11">
        <f t="shared" si="697"/>
        <v>792.03</v>
      </c>
      <c r="Q2506" s="11"/>
      <c r="R2506" s="11">
        <f t="shared" si="694"/>
        <v>0</v>
      </c>
      <c r="S2506" s="11"/>
      <c r="T2506" s="136">
        <f t="shared" si="693"/>
        <v>0</v>
      </c>
    </row>
    <row r="2507" spans="1:20" ht="15.75" customHeight="1">
      <c r="A2507" s="149"/>
      <c r="B2507" s="273">
        <f t="shared" si="699"/>
        <v>0</v>
      </c>
      <c r="C2507" s="28" t="s">
        <v>1923</v>
      </c>
      <c r="D2507" s="71"/>
      <c r="E2507" s="131">
        <f t="shared" si="695"/>
        <v>0</v>
      </c>
      <c r="F2507" s="21">
        <f t="shared" si="698"/>
        <v>0</v>
      </c>
      <c r="G2507" s="21"/>
      <c r="H2507" s="135">
        <f t="shared" si="696"/>
        <v>0</v>
      </c>
      <c r="I2507" s="294">
        <v>41290</v>
      </c>
      <c r="J2507" s="294"/>
      <c r="K2507" s="10">
        <f>516.46*0.7*0.9*0.82*1.3</f>
        <v>346.84420679999999</v>
      </c>
      <c r="L2507" s="11"/>
      <c r="M2507" s="11"/>
      <c r="N2507" s="100"/>
      <c r="O2507" s="11">
        <f t="shared" si="691"/>
        <v>346.84420679999999</v>
      </c>
      <c r="P2507" s="11">
        <f t="shared" si="697"/>
        <v>346.84420679999999</v>
      </c>
      <c r="Q2507" s="11"/>
      <c r="R2507" s="11">
        <f t="shared" si="694"/>
        <v>0</v>
      </c>
      <c r="S2507" s="11"/>
      <c r="T2507" s="136">
        <f t="shared" si="693"/>
        <v>0</v>
      </c>
    </row>
    <row r="2508" spans="1:20" ht="15.75" customHeight="1">
      <c r="A2508" s="149"/>
      <c r="B2508" s="273">
        <f t="shared" si="699"/>
        <v>0</v>
      </c>
      <c r="C2508" s="28" t="s">
        <v>1924</v>
      </c>
      <c r="D2508" s="71"/>
      <c r="E2508" s="131">
        <f t="shared" si="695"/>
        <v>0</v>
      </c>
      <c r="F2508" s="21">
        <f t="shared" si="698"/>
        <v>0</v>
      </c>
      <c r="G2508" s="21"/>
      <c r="H2508" s="135">
        <f t="shared" si="696"/>
        <v>0</v>
      </c>
      <c r="I2508" s="294">
        <v>42956</v>
      </c>
      <c r="J2508" s="294"/>
      <c r="K2508" s="10">
        <f>542*0.63*1.5</f>
        <v>512.18999999999994</v>
      </c>
      <c r="L2508" s="11"/>
      <c r="M2508" s="11"/>
      <c r="N2508" s="100"/>
      <c r="O2508" s="11">
        <f t="shared" si="691"/>
        <v>512.18999999999994</v>
      </c>
      <c r="P2508" s="11">
        <f t="shared" si="697"/>
        <v>512.18999999999994</v>
      </c>
      <c r="Q2508" s="11"/>
      <c r="R2508" s="11">
        <f t="shared" si="694"/>
        <v>0</v>
      </c>
      <c r="S2508" s="11"/>
      <c r="T2508" s="136">
        <f t="shared" si="693"/>
        <v>0</v>
      </c>
    </row>
    <row r="2509" spans="1:20" ht="15.75" customHeight="1">
      <c r="A2509" s="149"/>
      <c r="B2509" s="273">
        <f t="shared" si="699"/>
        <v>0</v>
      </c>
      <c r="C2509" s="28" t="s">
        <v>1925</v>
      </c>
      <c r="D2509" s="71"/>
      <c r="E2509" s="131">
        <f t="shared" si="695"/>
        <v>0</v>
      </c>
      <c r="F2509" s="21">
        <f t="shared" si="698"/>
        <v>0</v>
      </c>
      <c r="G2509" s="21"/>
      <c r="H2509" s="135">
        <f t="shared" si="696"/>
        <v>0</v>
      </c>
      <c r="I2509" s="294">
        <v>44763</v>
      </c>
      <c r="J2509" s="294"/>
      <c r="K2509" s="10">
        <f>0.8*4771</f>
        <v>3816.8</v>
      </c>
      <c r="L2509" s="11"/>
      <c r="M2509" s="11"/>
      <c r="N2509" s="100"/>
      <c r="O2509" s="11">
        <f t="shared" si="691"/>
        <v>3816.8</v>
      </c>
      <c r="P2509" s="11">
        <f t="shared" si="697"/>
        <v>3816.8</v>
      </c>
      <c r="Q2509" s="11"/>
      <c r="R2509" s="11">
        <f t="shared" si="694"/>
        <v>0</v>
      </c>
      <c r="S2509" s="11"/>
      <c r="T2509" s="136">
        <f t="shared" si="693"/>
        <v>0</v>
      </c>
    </row>
    <row r="2510" spans="1:20" ht="15.75" customHeight="1">
      <c r="A2510" s="149"/>
      <c r="B2510" s="273">
        <f t="shared" si="699"/>
        <v>0</v>
      </c>
      <c r="C2510" s="28" t="s">
        <v>1926</v>
      </c>
      <c r="D2510" s="71"/>
      <c r="E2510" s="131">
        <f t="shared" si="695"/>
        <v>0</v>
      </c>
      <c r="F2510" s="21">
        <f t="shared" si="698"/>
        <v>0</v>
      </c>
      <c r="G2510" s="21"/>
      <c r="H2510" s="135">
        <f t="shared" si="696"/>
        <v>0</v>
      </c>
      <c r="I2510" s="294">
        <v>44763</v>
      </c>
      <c r="J2510" s="294"/>
      <c r="K2510" s="10">
        <f>0.8*3645</f>
        <v>2916</v>
      </c>
      <c r="L2510" s="11"/>
      <c r="M2510" s="11"/>
      <c r="N2510" s="100"/>
      <c r="O2510" s="11">
        <f t="shared" si="691"/>
        <v>2916</v>
      </c>
      <c r="P2510" s="11">
        <f t="shared" si="697"/>
        <v>2916</v>
      </c>
      <c r="Q2510" s="11"/>
      <c r="R2510" s="11">
        <f t="shared" si="694"/>
        <v>0</v>
      </c>
      <c r="S2510" s="11"/>
      <c r="T2510" s="136">
        <f t="shared" si="693"/>
        <v>0</v>
      </c>
    </row>
    <row r="2511" spans="1:20" ht="15.75" customHeight="1">
      <c r="A2511" s="149"/>
      <c r="B2511" s="273">
        <f t="shared" si="699"/>
        <v>0</v>
      </c>
      <c r="C2511" s="28" t="s">
        <v>1927</v>
      </c>
      <c r="D2511" s="71"/>
      <c r="E2511" s="131">
        <f t="shared" si="695"/>
        <v>0</v>
      </c>
      <c r="F2511" s="21">
        <f t="shared" si="698"/>
        <v>0</v>
      </c>
      <c r="G2511" s="21"/>
      <c r="H2511" s="135">
        <f t="shared" si="696"/>
        <v>0</v>
      </c>
      <c r="I2511" s="294">
        <v>44763</v>
      </c>
      <c r="J2511" s="294"/>
      <c r="K2511" s="10">
        <f>0.8*6309</f>
        <v>5047.2000000000007</v>
      </c>
      <c r="L2511" s="11"/>
      <c r="M2511" s="11"/>
      <c r="N2511" s="100"/>
      <c r="O2511" s="11">
        <f t="shared" si="691"/>
        <v>5047.2000000000007</v>
      </c>
      <c r="P2511" s="11">
        <f t="shared" si="697"/>
        <v>5047.2000000000007</v>
      </c>
      <c r="Q2511" s="11"/>
      <c r="R2511" s="11">
        <f t="shared" si="694"/>
        <v>0</v>
      </c>
      <c r="S2511" s="11"/>
      <c r="T2511" s="136">
        <f t="shared" si="693"/>
        <v>0</v>
      </c>
    </row>
    <row r="2512" spans="1:20" ht="15.75" customHeight="1">
      <c r="A2512" s="149"/>
      <c r="B2512" s="273">
        <f t="shared" si="699"/>
        <v>0</v>
      </c>
      <c r="C2512" s="28" t="s">
        <v>1928</v>
      </c>
      <c r="D2512" s="71"/>
      <c r="E2512" s="131">
        <f t="shared" si="695"/>
        <v>0</v>
      </c>
      <c r="F2512" s="21">
        <f t="shared" si="698"/>
        <v>0</v>
      </c>
      <c r="G2512" s="21"/>
      <c r="H2512" s="135">
        <f t="shared" si="696"/>
        <v>0</v>
      </c>
      <c r="I2512" s="294">
        <v>44763</v>
      </c>
      <c r="J2512" s="294"/>
      <c r="K2512" s="10">
        <f>0.8*4766</f>
        <v>3812.8</v>
      </c>
      <c r="L2512" s="11"/>
      <c r="M2512" s="11"/>
      <c r="N2512" s="100"/>
      <c r="O2512" s="11">
        <f t="shared" si="691"/>
        <v>3812.8</v>
      </c>
      <c r="P2512" s="11">
        <f t="shared" si="697"/>
        <v>3812.8</v>
      </c>
      <c r="Q2512" s="11"/>
      <c r="R2512" s="11">
        <f t="shared" si="694"/>
        <v>0</v>
      </c>
      <c r="S2512" s="11"/>
      <c r="T2512" s="136">
        <f t="shared" si="693"/>
        <v>0</v>
      </c>
    </row>
    <row r="2513" spans="1:20" ht="15.75" customHeight="1">
      <c r="A2513" s="149">
        <v>50</v>
      </c>
      <c r="B2513" s="273">
        <f t="shared" si="699"/>
        <v>0</v>
      </c>
      <c r="C2513" s="28" t="s">
        <v>1929</v>
      </c>
      <c r="D2513" s="71"/>
      <c r="E2513" s="139">
        <f t="shared" si="695"/>
        <v>0</v>
      </c>
      <c r="F2513" s="21">
        <f t="shared" si="698"/>
        <v>0</v>
      </c>
      <c r="G2513" s="21"/>
      <c r="H2513" s="135">
        <f t="shared" si="696"/>
        <v>0</v>
      </c>
      <c r="I2513" s="294">
        <v>44865</v>
      </c>
      <c r="J2513" s="294"/>
      <c r="K2513" s="43">
        <f>PROVEEDORES!$D$44*0.58*59.5</f>
        <v>30541.35</v>
      </c>
      <c r="L2513" s="11"/>
      <c r="M2513" s="11"/>
      <c r="N2513" s="171">
        <f>PROVEEDORES!$D$44*0.5985*226.01</f>
        <v>119711.28172499999</v>
      </c>
      <c r="O2513" s="11">
        <f t="shared" ref="O2513:O2583" si="700">MIN(K2513:M2513)</f>
        <v>30541.35</v>
      </c>
      <c r="P2513" s="11">
        <f t="shared" si="697"/>
        <v>30541.35</v>
      </c>
      <c r="Q2513" s="11"/>
      <c r="R2513" s="11">
        <f t="shared" si="694"/>
        <v>0</v>
      </c>
      <c r="S2513" s="11"/>
      <c r="T2513" s="136">
        <f t="shared" si="693"/>
        <v>0</v>
      </c>
    </row>
    <row r="2514" spans="1:20" ht="15.75" customHeight="1">
      <c r="A2514" s="149">
        <v>78</v>
      </c>
      <c r="B2514" s="273"/>
      <c r="C2514" s="28" t="s">
        <v>3493</v>
      </c>
      <c r="D2514" s="71">
        <v>1150</v>
      </c>
      <c r="E2514" s="131">
        <f t="shared" si="695"/>
        <v>24820</v>
      </c>
      <c r="F2514" s="21">
        <f t="shared" si="698"/>
        <v>30032.2</v>
      </c>
      <c r="G2514" s="21"/>
      <c r="H2514" s="135">
        <f t="shared" si="696"/>
        <v>0</v>
      </c>
      <c r="I2514" s="294">
        <v>45383</v>
      </c>
      <c r="J2514" s="294"/>
      <c r="K2514" s="11">
        <f>0.7*0.8*0.9*32821</f>
        <v>16541.784</v>
      </c>
      <c r="L2514" s="11"/>
      <c r="M2514" s="11"/>
      <c r="N2514" s="100"/>
      <c r="O2514" s="11">
        <f t="shared" si="700"/>
        <v>16541.784</v>
      </c>
      <c r="P2514" s="11">
        <f t="shared" si="697"/>
        <v>16541.784</v>
      </c>
      <c r="Q2514" s="11">
        <v>1.5</v>
      </c>
      <c r="R2514" s="11">
        <f t="shared" si="694"/>
        <v>24812.675999999999</v>
      </c>
      <c r="S2514" s="11"/>
      <c r="T2514" s="136">
        <f t="shared" si="693"/>
        <v>0</v>
      </c>
    </row>
    <row r="2515" spans="1:20" ht="15.75" customHeight="1">
      <c r="A2515" s="149">
        <v>78</v>
      </c>
      <c r="B2515" s="273"/>
      <c r="C2515" s="28" t="s">
        <v>2617</v>
      </c>
      <c r="D2515" s="71">
        <v>1150</v>
      </c>
      <c r="E2515" s="131">
        <f t="shared" si="695"/>
        <v>30180</v>
      </c>
      <c r="F2515" s="21">
        <f t="shared" si="698"/>
        <v>36517.799999999996</v>
      </c>
      <c r="G2515" s="21"/>
      <c r="H2515" s="135">
        <f t="shared" si="696"/>
        <v>0</v>
      </c>
      <c r="I2515" s="294">
        <v>45383</v>
      </c>
      <c r="J2515" s="294"/>
      <c r="K2515" s="11">
        <f>0.7*0.8*0.9*39914</f>
        <v>20116.655999999999</v>
      </c>
      <c r="L2515" s="11"/>
      <c r="M2515" s="11"/>
      <c r="N2515" s="100"/>
      <c r="O2515" s="11">
        <f t="shared" si="700"/>
        <v>20116.655999999999</v>
      </c>
      <c r="P2515" s="11">
        <f t="shared" si="697"/>
        <v>20116.655999999999</v>
      </c>
      <c r="Q2515" s="11">
        <v>1.5</v>
      </c>
      <c r="R2515" s="11">
        <f t="shared" si="694"/>
        <v>30174.983999999997</v>
      </c>
      <c r="S2515" s="11"/>
      <c r="T2515" s="136">
        <f t="shared" si="693"/>
        <v>0</v>
      </c>
    </row>
    <row r="2516" spans="1:20" ht="15.75" customHeight="1">
      <c r="A2516" s="149">
        <v>50</v>
      </c>
      <c r="B2516" s="273"/>
      <c r="C2516" s="28" t="s">
        <v>1930</v>
      </c>
      <c r="D2516" s="142">
        <v>1470</v>
      </c>
      <c r="E2516" s="139">
        <f t="shared" si="695"/>
        <v>49300</v>
      </c>
      <c r="F2516" s="21">
        <f t="shared" si="698"/>
        <v>59653</v>
      </c>
      <c r="G2516" s="21"/>
      <c r="H2516" s="135">
        <f t="shared" si="696"/>
        <v>46320</v>
      </c>
      <c r="I2516" s="294">
        <v>45385</v>
      </c>
      <c r="J2516" s="40"/>
      <c r="K2516" s="43">
        <f>PROVEEDORES!$D$44*0.58*64.02</f>
        <v>32861.465999999993</v>
      </c>
      <c r="L2516" s="11"/>
      <c r="M2516" s="10"/>
      <c r="N2516" s="171">
        <f>PROVEEDORES!$D$44*0.5985*58.3</f>
        <v>30879.906749999998</v>
      </c>
      <c r="O2516" s="11">
        <f t="shared" si="700"/>
        <v>32861.465999999993</v>
      </c>
      <c r="P2516" s="11">
        <f t="shared" si="697"/>
        <v>32861.465999999993</v>
      </c>
      <c r="Q2516" s="11">
        <v>1.5</v>
      </c>
      <c r="R2516" s="11">
        <f t="shared" si="694"/>
        <v>49292.198999999993</v>
      </c>
      <c r="S2516" s="11"/>
      <c r="T2516" s="136">
        <f t="shared" si="693"/>
        <v>46319.860124999999</v>
      </c>
    </row>
    <row r="2517" spans="1:20" ht="15.75" customHeight="1">
      <c r="A2517" s="149">
        <v>50</v>
      </c>
      <c r="B2517" s="273"/>
      <c r="C2517" s="28" t="s">
        <v>1931</v>
      </c>
      <c r="D2517" s="142">
        <v>1090</v>
      </c>
      <c r="E2517" s="139">
        <f t="shared" si="695"/>
        <v>41930</v>
      </c>
      <c r="F2517" s="21">
        <f t="shared" si="698"/>
        <v>50735.299999999996</v>
      </c>
      <c r="G2517" s="21"/>
      <c r="H2517" s="135">
        <f t="shared" si="696"/>
        <v>34030</v>
      </c>
      <c r="I2517" s="294">
        <v>45385</v>
      </c>
      <c r="J2517" s="294"/>
      <c r="K2517" s="43">
        <f>PROVEEDORES!$D$44*0.5985*49.47</f>
        <v>26202.898574999999</v>
      </c>
      <c r="L2517" s="11"/>
      <c r="M2517" s="10"/>
      <c r="N2517" s="171">
        <f>PROVEEDORES!$D$44*0.5985*40.15</f>
        <v>21266.350875</v>
      </c>
      <c r="O2517" s="11">
        <f t="shared" si="700"/>
        <v>26202.898574999999</v>
      </c>
      <c r="P2517" s="11">
        <f t="shared" si="697"/>
        <v>26202.898574999999</v>
      </c>
      <c r="Q2517" s="11">
        <v>1.6</v>
      </c>
      <c r="R2517" s="11">
        <f t="shared" si="694"/>
        <v>41924.637719999999</v>
      </c>
      <c r="S2517" s="11"/>
      <c r="T2517" s="136">
        <f t="shared" si="693"/>
        <v>34026.161400000005</v>
      </c>
    </row>
    <row r="2518" spans="1:20" ht="15.75" customHeight="1">
      <c r="A2518" s="149"/>
      <c r="B2518" s="273"/>
      <c r="C2518" s="28" t="s">
        <v>1932</v>
      </c>
      <c r="D2518" s="71">
        <v>1420</v>
      </c>
      <c r="E2518" s="131">
        <f t="shared" si="695"/>
        <v>0</v>
      </c>
      <c r="F2518" s="21">
        <f t="shared" si="698"/>
        <v>0</v>
      </c>
      <c r="G2518" s="21"/>
      <c r="H2518" s="135">
        <f t="shared" si="696"/>
        <v>0</v>
      </c>
      <c r="I2518" s="294">
        <v>43474</v>
      </c>
      <c r="J2518" s="294"/>
      <c r="K2518" s="11">
        <f>1013*1.4</f>
        <v>1418.1999999999998</v>
      </c>
      <c r="L2518" s="10"/>
      <c r="M2518" s="10"/>
      <c r="N2518" s="100"/>
      <c r="O2518" s="11">
        <f t="shared" si="700"/>
        <v>1418.1999999999998</v>
      </c>
      <c r="P2518" s="11">
        <f t="shared" si="697"/>
        <v>1418.1999999999998</v>
      </c>
      <c r="Q2518" s="11"/>
      <c r="R2518" s="11">
        <f t="shared" si="694"/>
        <v>0</v>
      </c>
      <c r="S2518" s="11"/>
      <c r="T2518" s="136">
        <f t="shared" si="693"/>
        <v>0</v>
      </c>
    </row>
    <row r="2519" spans="1:20" ht="15.75" customHeight="1">
      <c r="A2519" s="149"/>
      <c r="B2519" s="273"/>
      <c r="C2519" s="28" t="s">
        <v>1933</v>
      </c>
      <c r="D2519" s="71"/>
      <c r="E2519" s="131">
        <f t="shared" si="695"/>
        <v>0</v>
      </c>
      <c r="F2519" s="21">
        <f t="shared" si="698"/>
        <v>0</v>
      </c>
      <c r="G2519" s="21"/>
      <c r="H2519" s="135">
        <f t="shared" si="696"/>
        <v>0</v>
      </c>
      <c r="I2519" s="294"/>
      <c r="J2519" s="294">
        <v>42641</v>
      </c>
      <c r="K2519" s="10">
        <f>1.4*2362</f>
        <v>3306.7999999999997</v>
      </c>
      <c r="L2519" s="11"/>
      <c r="M2519" s="11"/>
      <c r="N2519" s="100"/>
      <c r="O2519" s="11">
        <f t="shared" si="700"/>
        <v>3306.7999999999997</v>
      </c>
      <c r="P2519" s="11">
        <f t="shared" si="697"/>
        <v>3306.7999999999997</v>
      </c>
      <c r="Q2519" s="11"/>
      <c r="R2519" s="11">
        <f t="shared" si="694"/>
        <v>0</v>
      </c>
      <c r="S2519" s="11"/>
      <c r="T2519" s="136">
        <f t="shared" si="693"/>
        <v>0</v>
      </c>
    </row>
    <row r="2520" spans="1:20" ht="15.75" customHeight="1">
      <c r="A2520" s="149">
        <v>30</v>
      </c>
      <c r="B2520" s="273"/>
      <c r="C2520" s="28" t="s">
        <v>1934</v>
      </c>
      <c r="D2520" s="71">
        <v>5490</v>
      </c>
      <c r="E2520" s="131">
        <f t="shared" si="695"/>
        <v>123560</v>
      </c>
      <c r="F2520" s="21">
        <f t="shared" ref="F2520:F2535" si="701">+E2520*1.21</f>
        <v>149507.6</v>
      </c>
      <c r="G2520" s="21">
        <v>116000</v>
      </c>
      <c r="H2520" s="135">
        <f t="shared" si="696"/>
        <v>0</v>
      </c>
      <c r="I2520" s="294">
        <v>45278</v>
      </c>
      <c r="J2520" s="294">
        <v>45376</v>
      </c>
      <c r="K2520" s="11">
        <f>0.67*PROVEEDORES!$D$24*143.71</f>
        <v>85212.844500000007</v>
      </c>
      <c r="L2520" s="11"/>
      <c r="M2520" s="11"/>
      <c r="N2520" s="100"/>
      <c r="O2520" s="11">
        <f t="shared" si="700"/>
        <v>85212.844500000007</v>
      </c>
      <c r="P2520" s="11">
        <f t="shared" si="697"/>
        <v>85212.844500000007</v>
      </c>
      <c r="Q2520" s="11">
        <v>1.45</v>
      </c>
      <c r="R2520" s="11">
        <f t="shared" si="694"/>
        <v>123558.62452500001</v>
      </c>
      <c r="S2520" s="11"/>
      <c r="T2520" s="136">
        <f t="shared" si="693"/>
        <v>0</v>
      </c>
    </row>
    <row r="2521" spans="1:20" ht="15.75" customHeight="1">
      <c r="A2521" s="149">
        <v>30</v>
      </c>
      <c r="B2521" s="273"/>
      <c r="C2521" s="28" t="s">
        <v>62598</v>
      </c>
      <c r="D2521" s="71"/>
      <c r="E2521" s="131">
        <f t="shared" si="695"/>
        <v>23720</v>
      </c>
      <c r="F2521" s="21">
        <f t="shared" si="701"/>
        <v>28701.200000000001</v>
      </c>
      <c r="G2521" s="21"/>
      <c r="H2521" s="135">
        <f t="shared" si="696"/>
        <v>0</v>
      </c>
      <c r="I2521" s="294">
        <v>45245</v>
      </c>
      <c r="J2521" s="294">
        <v>45329</v>
      </c>
      <c r="K2521" s="11">
        <f>PROVEEDORES!$D$24*18.48</f>
        <v>16354.800000000001</v>
      </c>
      <c r="L2521" s="11"/>
      <c r="M2521" s="11"/>
      <c r="N2521" s="100"/>
      <c r="O2521" s="11">
        <f t="shared" si="700"/>
        <v>16354.800000000001</v>
      </c>
      <c r="P2521" s="11">
        <f t="shared" si="697"/>
        <v>16354.800000000001</v>
      </c>
      <c r="Q2521" s="11">
        <v>1.45</v>
      </c>
      <c r="R2521" s="11">
        <f t="shared" si="694"/>
        <v>23714.46</v>
      </c>
      <c r="S2521" s="11"/>
      <c r="T2521" s="136">
        <f t="shared" si="693"/>
        <v>0</v>
      </c>
    </row>
    <row r="2522" spans="1:20" ht="15.75" customHeight="1">
      <c r="A2522" s="149">
        <v>21</v>
      </c>
      <c r="B2522" s="273"/>
      <c r="C2522" s="28" t="s">
        <v>2500</v>
      </c>
      <c r="D2522" s="71"/>
      <c r="E2522" s="131">
        <f t="shared" si="695"/>
        <v>0</v>
      </c>
      <c r="F2522" s="21">
        <f t="shared" si="701"/>
        <v>0</v>
      </c>
      <c r="G2522" s="21"/>
      <c r="H2522" s="135">
        <f t="shared" si="696"/>
        <v>0</v>
      </c>
      <c r="I2522" s="294"/>
      <c r="J2522" s="294">
        <v>44040</v>
      </c>
      <c r="K2522" s="11">
        <f>0.6*4695.17</f>
        <v>2817.1019999999999</v>
      </c>
      <c r="L2522" s="11"/>
      <c r="M2522" s="11"/>
      <c r="N2522" s="100"/>
      <c r="O2522" s="11">
        <f t="shared" si="700"/>
        <v>2817.1019999999999</v>
      </c>
      <c r="P2522" s="11">
        <f t="shared" si="697"/>
        <v>2817.1019999999999</v>
      </c>
      <c r="Q2522" s="11"/>
      <c r="R2522" s="11">
        <f t="shared" si="694"/>
        <v>0</v>
      </c>
      <c r="S2522" s="11"/>
      <c r="T2522" s="136">
        <f t="shared" si="693"/>
        <v>0</v>
      </c>
    </row>
    <row r="2523" spans="1:20" ht="15.75" customHeight="1">
      <c r="A2523" s="149">
        <v>21</v>
      </c>
      <c r="B2523" s="273"/>
      <c r="C2523" s="28" t="s">
        <v>2501</v>
      </c>
      <c r="D2523" s="71"/>
      <c r="E2523" s="131">
        <f t="shared" si="695"/>
        <v>0</v>
      </c>
      <c r="F2523" s="21">
        <f t="shared" si="701"/>
        <v>0</v>
      </c>
      <c r="G2523" s="21"/>
      <c r="H2523" s="135">
        <f t="shared" si="696"/>
        <v>0</v>
      </c>
      <c r="I2523" s="294"/>
      <c r="J2523" s="294">
        <v>44040</v>
      </c>
      <c r="K2523" s="11">
        <f>0.6*5086.43</f>
        <v>3051.8580000000002</v>
      </c>
      <c r="L2523" s="11"/>
      <c r="M2523" s="11"/>
      <c r="N2523" s="100"/>
      <c r="O2523" s="11">
        <f t="shared" si="700"/>
        <v>3051.8580000000002</v>
      </c>
      <c r="P2523" s="11">
        <f t="shared" si="697"/>
        <v>3051.8580000000002</v>
      </c>
      <c r="Q2523" s="11"/>
      <c r="R2523" s="11">
        <f t="shared" si="694"/>
        <v>0</v>
      </c>
      <c r="S2523" s="11"/>
      <c r="T2523" s="136">
        <f t="shared" si="693"/>
        <v>0</v>
      </c>
    </row>
    <row r="2524" spans="1:20" ht="15.75" customHeight="1">
      <c r="A2524" s="149"/>
      <c r="B2524" s="273"/>
      <c r="C2524" s="28" t="s">
        <v>1935</v>
      </c>
      <c r="D2524" s="71">
        <v>1960</v>
      </c>
      <c r="E2524" s="131">
        <f t="shared" si="695"/>
        <v>0</v>
      </c>
      <c r="F2524" s="21">
        <f t="shared" si="701"/>
        <v>0</v>
      </c>
      <c r="G2524" s="21"/>
      <c r="H2524" s="135">
        <f t="shared" si="696"/>
        <v>0</v>
      </c>
      <c r="I2524" s="294"/>
      <c r="J2524" s="294">
        <v>42768</v>
      </c>
      <c r="K2524" s="11">
        <f>1.45*1635/1.21</f>
        <v>1959.297520661157</v>
      </c>
      <c r="L2524" s="11"/>
      <c r="M2524" s="11"/>
      <c r="N2524" s="100"/>
      <c r="O2524" s="11">
        <f t="shared" si="700"/>
        <v>1959.297520661157</v>
      </c>
      <c r="P2524" s="11">
        <f t="shared" si="697"/>
        <v>1959.297520661157</v>
      </c>
      <c r="Q2524" s="11"/>
      <c r="R2524" s="11">
        <f t="shared" si="694"/>
        <v>0</v>
      </c>
      <c r="S2524" s="11"/>
      <c r="T2524" s="136">
        <f t="shared" si="693"/>
        <v>0</v>
      </c>
    </row>
    <row r="2525" spans="1:20" ht="15.75" customHeight="1">
      <c r="A2525" s="149">
        <v>24</v>
      </c>
      <c r="B2525" s="273"/>
      <c r="C2525" s="28" t="s">
        <v>4368</v>
      </c>
      <c r="D2525" s="71">
        <v>1760</v>
      </c>
      <c r="E2525" s="131">
        <f t="shared" si="695"/>
        <v>31610</v>
      </c>
      <c r="F2525" s="21">
        <f t="shared" si="701"/>
        <v>38248.1</v>
      </c>
      <c r="G2525" s="21"/>
      <c r="H2525" s="135">
        <f t="shared" si="696"/>
        <v>0</v>
      </c>
      <c r="I2525" s="294"/>
      <c r="J2525" s="294">
        <v>45287</v>
      </c>
      <c r="K2525" s="10">
        <f>+PROVEEDORES!D18*0.5*41.12</f>
        <v>21793.599999999999</v>
      </c>
      <c r="L2525" s="11"/>
      <c r="M2525" s="11"/>
      <c r="N2525" s="100"/>
      <c r="O2525" s="11">
        <f t="shared" si="700"/>
        <v>21793.599999999999</v>
      </c>
      <c r="P2525" s="11">
        <f t="shared" si="697"/>
        <v>21793.599999999999</v>
      </c>
      <c r="Q2525" s="11">
        <v>1.45</v>
      </c>
      <c r="R2525" s="11">
        <f t="shared" si="694"/>
        <v>31600.719999999998</v>
      </c>
      <c r="S2525" s="11"/>
      <c r="T2525" s="136">
        <f t="shared" ref="T2525:T2597" si="702">+N2525*Q2525</f>
        <v>0</v>
      </c>
    </row>
    <row r="2526" spans="1:20" ht="15.75" customHeight="1">
      <c r="A2526" s="149">
        <v>24</v>
      </c>
      <c r="B2526" s="273"/>
      <c r="C2526" s="28" t="s">
        <v>4369</v>
      </c>
      <c r="D2526" s="71">
        <v>1940</v>
      </c>
      <c r="E2526" s="131">
        <f t="shared" si="695"/>
        <v>34800</v>
      </c>
      <c r="F2526" s="21">
        <f t="shared" si="701"/>
        <v>42108</v>
      </c>
      <c r="G2526" s="21"/>
      <c r="H2526" s="135">
        <f t="shared" si="696"/>
        <v>0</v>
      </c>
      <c r="I2526" s="294"/>
      <c r="J2526" s="294">
        <v>45175</v>
      </c>
      <c r="K2526" s="10">
        <f>+PROVEEDORES!D18*0.5*45.28</f>
        <v>23998.400000000001</v>
      </c>
      <c r="L2526" s="11"/>
      <c r="M2526" s="11"/>
      <c r="N2526" s="100"/>
      <c r="O2526" s="11">
        <f t="shared" si="700"/>
        <v>23998.400000000001</v>
      </c>
      <c r="P2526" s="11">
        <f t="shared" si="697"/>
        <v>23998.400000000001</v>
      </c>
      <c r="Q2526" s="11">
        <v>1.45</v>
      </c>
      <c r="R2526" s="11">
        <f t="shared" si="694"/>
        <v>34797.68</v>
      </c>
      <c r="S2526" s="11"/>
      <c r="T2526" s="136">
        <f t="shared" si="702"/>
        <v>0</v>
      </c>
    </row>
    <row r="2527" spans="1:20" ht="15.75" customHeight="1">
      <c r="A2527" s="149"/>
      <c r="B2527" s="273"/>
      <c r="C2527" s="28" t="s">
        <v>1939</v>
      </c>
      <c r="D2527" s="71"/>
      <c r="E2527" s="131">
        <f t="shared" si="695"/>
        <v>0</v>
      </c>
      <c r="F2527" s="21">
        <f t="shared" si="701"/>
        <v>0</v>
      </c>
      <c r="G2527" s="21"/>
      <c r="H2527" s="135">
        <f t="shared" si="696"/>
        <v>0</v>
      </c>
      <c r="I2527" s="294">
        <v>42737</v>
      </c>
      <c r="J2527" s="294"/>
      <c r="K2527" s="10">
        <f>350*1.5*1.6*1.3</f>
        <v>1092</v>
      </c>
      <c r="L2527" s="11"/>
      <c r="M2527" s="11"/>
      <c r="N2527" s="100"/>
      <c r="O2527" s="11">
        <f t="shared" si="700"/>
        <v>1092</v>
      </c>
      <c r="P2527" s="11">
        <f t="shared" si="697"/>
        <v>1092</v>
      </c>
      <c r="Q2527" s="11"/>
      <c r="R2527" s="11">
        <f t="shared" si="694"/>
        <v>0</v>
      </c>
      <c r="S2527" s="11"/>
      <c r="T2527" s="136">
        <f t="shared" si="702"/>
        <v>0</v>
      </c>
    </row>
    <row r="2528" spans="1:20" ht="15.75" customHeight="1">
      <c r="A2528" s="149"/>
      <c r="B2528" s="273"/>
      <c r="C2528" s="28" t="s">
        <v>1936</v>
      </c>
      <c r="D2528" s="71"/>
      <c r="E2528" s="131">
        <f t="shared" si="695"/>
        <v>0</v>
      </c>
      <c r="F2528" s="21">
        <f t="shared" si="701"/>
        <v>0</v>
      </c>
      <c r="G2528" s="21"/>
      <c r="H2528" s="135">
        <f t="shared" si="696"/>
        <v>0</v>
      </c>
      <c r="I2528" s="294">
        <v>42737</v>
      </c>
      <c r="J2528" s="294"/>
      <c r="K2528" s="10">
        <f>200*1.5*1.6</f>
        <v>480</v>
      </c>
      <c r="L2528" s="11"/>
      <c r="M2528" s="11"/>
      <c r="N2528" s="100"/>
      <c r="O2528" s="11">
        <f t="shared" si="700"/>
        <v>480</v>
      </c>
      <c r="P2528" s="11">
        <f t="shared" si="697"/>
        <v>480</v>
      </c>
      <c r="Q2528" s="11"/>
      <c r="R2528" s="11">
        <f t="shared" si="694"/>
        <v>0</v>
      </c>
      <c r="S2528" s="11"/>
      <c r="T2528" s="136">
        <f t="shared" si="702"/>
        <v>0</v>
      </c>
    </row>
    <row r="2529" spans="1:20" ht="15.75" customHeight="1">
      <c r="A2529" s="149"/>
      <c r="B2529" s="273"/>
      <c r="C2529" s="28" t="s">
        <v>1937</v>
      </c>
      <c r="D2529" s="71"/>
      <c r="E2529" s="131">
        <f t="shared" si="695"/>
        <v>0</v>
      </c>
      <c r="F2529" s="21">
        <f t="shared" si="701"/>
        <v>0</v>
      </c>
      <c r="G2529" s="21"/>
      <c r="H2529" s="135">
        <f t="shared" si="696"/>
        <v>0</v>
      </c>
      <c r="I2529" s="294">
        <v>42737</v>
      </c>
      <c r="J2529" s="294">
        <v>42801</v>
      </c>
      <c r="K2529" s="10">
        <f>220*1.5*1.6</f>
        <v>528</v>
      </c>
      <c r="L2529" s="11"/>
      <c r="M2529" s="11"/>
      <c r="N2529" s="100"/>
      <c r="O2529" s="11">
        <f t="shared" si="700"/>
        <v>528</v>
      </c>
      <c r="P2529" s="11">
        <f t="shared" ref="P2529:P2587" si="703">+O2529</f>
        <v>528</v>
      </c>
      <c r="Q2529" s="11"/>
      <c r="R2529" s="11">
        <f t="shared" ref="R2529:R2599" si="704">+P2529*Q2529</f>
        <v>0</v>
      </c>
      <c r="S2529" s="11"/>
      <c r="T2529" s="136">
        <f t="shared" si="702"/>
        <v>0</v>
      </c>
    </row>
    <row r="2530" spans="1:20" ht="15.75" customHeight="1">
      <c r="A2530" s="149">
        <v>38</v>
      </c>
      <c r="B2530" s="273"/>
      <c r="C2530" s="28" t="s">
        <v>2806</v>
      </c>
      <c r="D2530" s="71">
        <v>1900</v>
      </c>
      <c r="E2530" s="131">
        <f t="shared" si="695"/>
        <v>39920</v>
      </c>
      <c r="F2530" s="21">
        <f t="shared" si="701"/>
        <v>48303.199999999997</v>
      </c>
      <c r="G2530" s="21"/>
      <c r="H2530" s="135">
        <f t="shared" si="696"/>
        <v>34600</v>
      </c>
      <c r="I2530" s="294">
        <v>45138</v>
      </c>
      <c r="J2530" s="294">
        <v>45274</v>
      </c>
      <c r="K2530" s="10">
        <f>+PROVEEDORES!$D$32*26.22</f>
        <v>27531</v>
      </c>
      <c r="L2530" s="11"/>
      <c r="M2530" s="11"/>
      <c r="N2530" s="100">
        <v>23861</v>
      </c>
      <c r="O2530" s="11">
        <f t="shared" si="700"/>
        <v>27531</v>
      </c>
      <c r="P2530" s="11">
        <f t="shared" si="703"/>
        <v>27531</v>
      </c>
      <c r="Q2530" s="11">
        <v>1.45</v>
      </c>
      <c r="R2530" s="11">
        <f t="shared" si="704"/>
        <v>39919.949999999997</v>
      </c>
      <c r="S2530" s="11"/>
      <c r="T2530" s="136">
        <f t="shared" si="702"/>
        <v>34598.449999999997</v>
      </c>
    </row>
    <row r="2531" spans="1:20" ht="15.75" customHeight="1">
      <c r="A2531" s="149"/>
      <c r="B2531" s="273"/>
      <c r="C2531" s="28" t="s">
        <v>1938</v>
      </c>
      <c r="D2531" s="71"/>
      <c r="E2531" s="131">
        <f t="shared" si="695"/>
        <v>0</v>
      </c>
      <c r="F2531" s="21">
        <f t="shared" si="701"/>
        <v>0</v>
      </c>
      <c r="G2531" s="21"/>
      <c r="H2531" s="135">
        <f t="shared" si="696"/>
        <v>0</v>
      </c>
      <c r="I2531" s="294">
        <v>42737</v>
      </c>
      <c r="J2531" s="294">
        <v>42801</v>
      </c>
      <c r="K2531" s="10">
        <f>240*1.5*1.6</f>
        <v>576</v>
      </c>
      <c r="L2531" s="11"/>
      <c r="M2531" s="11"/>
      <c r="N2531" s="100"/>
      <c r="O2531" s="11">
        <f t="shared" si="700"/>
        <v>576</v>
      </c>
      <c r="P2531" s="11">
        <f t="shared" si="703"/>
        <v>576</v>
      </c>
      <c r="Q2531" s="11"/>
      <c r="R2531" s="11">
        <f t="shared" si="704"/>
        <v>0</v>
      </c>
      <c r="S2531" s="11"/>
      <c r="T2531" s="136">
        <f t="shared" si="702"/>
        <v>0</v>
      </c>
    </row>
    <row r="2532" spans="1:20" ht="15.75" customHeight="1">
      <c r="A2532" s="149"/>
      <c r="B2532" s="273"/>
      <c r="C2532" s="28" t="s">
        <v>1940</v>
      </c>
      <c r="D2532" s="71"/>
      <c r="E2532" s="131">
        <f t="shared" ref="E2532:E2606" si="705">ROUNDUP(R2532,-1)</f>
        <v>0</v>
      </c>
      <c r="F2532" s="21">
        <f t="shared" si="701"/>
        <v>0</v>
      </c>
      <c r="G2532" s="21"/>
      <c r="H2532" s="135">
        <f t="shared" ref="H2532:H2606" si="706">ROUNDUP(T2532,-1)</f>
        <v>0</v>
      </c>
      <c r="I2532" s="294">
        <v>43237</v>
      </c>
      <c r="J2532" s="294">
        <v>43229</v>
      </c>
      <c r="K2532" s="32">
        <f>8*350*1.45</f>
        <v>4060</v>
      </c>
      <c r="L2532" s="32"/>
      <c r="M2532" s="11"/>
      <c r="N2532" s="100"/>
      <c r="O2532" s="11">
        <f t="shared" si="700"/>
        <v>4060</v>
      </c>
      <c r="P2532" s="11">
        <f t="shared" si="703"/>
        <v>4060</v>
      </c>
      <c r="Q2532" s="11"/>
      <c r="R2532" s="11">
        <f t="shared" si="704"/>
        <v>0</v>
      </c>
      <c r="S2532" s="11"/>
      <c r="T2532" s="136">
        <f t="shared" si="702"/>
        <v>0</v>
      </c>
    </row>
    <row r="2533" spans="1:20" ht="15.75" customHeight="1">
      <c r="A2533" s="149">
        <v>12</v>
      </c>
      <c r="B2533" s="273"/>
      <c r="C2533" s="28" t="s">
        <v>4448</v>
      </c>
      <c r="D2533" s="71"/>
      <c r="E2533" s="131">
        <f t="shared" si="705"/>
        <v>0</v>
      </c>
      <c r="F2533" s="21">
        <f t="shared" si="701"/>
        <v>0</v>
      </c>
      <c r="G2533" s="21"/>
      <c r="H2533" s="135">
        <f t="shared" si="706"/>
        <v>0</v>
      </c>
      <c r="I2533" s="294">
        <v>45108</v>
      </c>
      <c r="J2533" s="294"/>
      <c r="K2533" s="11">
        <v>1410</v>
      </c>
      <c r="L2533" s="11"/>
      <c r="M2533" s="11"/>
      <c r="N2533" s="100"/>
      <c r="O2533" s="11">
        <f t="shared" si="700"/>
        <v>1410</v>
      </c>
      <c r="P2533" s="11">
        <f t="shared" si="703"/>
        <v>1410</v>
      </c>
      <c r="Q2533" s="11"/>
      <c r="R2533" s="11">
        <f t="shared" si="704"/>
        <v>0</v>
      </c>
      <c r="S2533" s="11"/>
      <c r="T2533" s="136">
        <f t="shared" si="702"/>
        <v>0</v>
      </c>
    </row>
    <row r="2534" spans="1:20" ht="15.75" customHeight="1">
      <c r="A2534" s="149" t="s">
        <v>2398</v>
      </c>
      <c r="B2534" s="273">
        <f t="shared" ref="B2534:B2540" si="707">ROUNDUP(E2534*1.06,-1)</f>
        <v>601700</v>
      </c>
      <c r="C2534" s="28" t="s">
        <v>37182</v>
      </c>
      <c r="D2534" s="71">
        <v>24060</v>
      </c>
      <c r="E2534" s="131">
        <f t="shared" si="705"/>
        <v>567640</v>
      </c>
      <c r="F2534" s="21" t="s">
        <v>1248</v>
      </c>
      <c r="G2534" s="21">
        <f t="shared" ref="G2534:G2540" si="708">+E2534*1.105</f>
        <v>627242.19999999995</v>
      </c>
      <c r="H2534" s="135">
        <f t="shared" si="706"/>
        <v>0</v>
      </c>
      <c r="I2534" s="23">
        <v>45323</v>
      </c>
      <c r="J2534" s="294"/>
      <c r="K2534" s="10">
        <f>0.8*0.98*0.94*0.95*600581</f>
        <v>420473.96507199999</v>
      </c>
      <c r="L2534" s="10"/>
      <c r="M2534" s="11"/>
      <c r="N2534" s="100"/>
      <c r="O2534" s="11">
        <f t="shared" si="700"/>
        <v>420473.96507199999</v>
      </c>
      <c r="P2534" s="11">
        <f>+O2534*'AUMENTOS %'!$B$5</f>
        <v>420473.96507199999</v>
      </c>
      <c r="Q2534" s="11">
        <v>1.35</v>
      </c>
      <c r="R2534" s="11">
        <f t="shared" si="704"/>
        <v>567639.8528472</v>
      </c>
      <c r="S2534" s="11"/>
      <c r="T2534" s="136">
        <f t="shared" si="702"/>
        <v>0</v>
      </c>
    </row>
    <row r="2535" spans="1:20" ht="15.75" customHeight="1">
      <c r="A2535" s="149">
        <v>38</v>
      </c>
      <c r="B2535" s="273">
        <f t="shared" si="707"/>
        <v>323200</v>
      </c>
      <c r="C2535" s="28" t="s">
        <v>4191</v>
      </c>
      <c r="D2535" s="71"/>
      <c r="E2535" s="131">
        <f t="shared" si="705"/>
        <v>304900</v>
      </c>
      <c r="F2535" s="21">
        <f t="shared" si="701"/>
        <v>368929</v>
      </c>
      <c r="G2535" s="21"/>
      <c r="H2535" s="135">
        <f t="shared" si="706"/>
        <v>0</v>
      </c>
      <c r="I2535" s="294">
        <v>45138</v>
      </c>
      <c r="J2535" s="294">
        <v>45274</v>
      </c>
      <c r="K2535" s="10">
        <f>+PROVEEDORES!$D$32*210.42</f>
        <v>220941</v>
      </c>
      <c r="L2535" s="10"/>
      <c r="M2535" s="11"/>
      <c r="N2535" s="100">
        <f>+K2535*0.94</f>
        <v>207684.53999999998</v>
      </c>
      <c r="O2535" s="11">
        <f t="shared" si="700"/>
        <v>220941</v>
      </c>
      <c r="P2535" s="11">
        <f t="shared" si="703"/>
        <v>220941</v>
      </c>
      <c r="Q2535" s="11">
        <v>1.38</v>
      </c>
      <c r="R2535" s="11">
        <f t="shared" si="704"/>
        <v>304898.57999999996</v>
      </c>
      <c r="S2535" s="11"/>
      <c r="T2535" s="136"/>
    </row>
    <row r="2536" spans="1:20" ht="15.75" customHeight="1">
      <c r="A2536" s="149" t="s">
        <v>2387</v>
      </c>
      <c r="B2536" s="273">
        <f t="shared" si="707"/>
        <v>477830</v>
      </c>
      <c r="C2536" s="291" t="s">
        <v>1941</v>
      </c>
      <c r="D2536" s="71">
        <v>27040</v>
      </c>
      <c r="E2536" s="131">
        <f t="shared" si="705"/>
        <v>450780</v>
      </c>
      <c r="F2536" s="21" t="s">
        <v>1248</v>
      </c>
      <c r="G2536" s="21">
        <f t="shared" si="708"/>
        <v>498111.89999999997</v>
      </c>
      <c r="H2536" s="135">
        <f t="shared" si="706"/>
        <v>0</v>
      </c>
      <c r="I2536" s="294">
        <v>45329</v>
      </c>
      <c r="J2536" s="294">
        <v>45356</v>
      </c>
      <c r="K2536" s="42">
        <f>'AUMENTOS %'!$D$12*0.5*667810</f>
        <v>333905</v>
      </c>
      <c r="L2536" s="106">
        <f>+'AUMENTOS %'!C12*303722.25*2</f>
        <v>607444.5</v>
      </c>
      <c r="M2536" s="11"/>
      <c r="N2536" s="100"/>
      <c r="O2536" s="11">
        <f t="shared" si="700"/>
        <v>333905</v>
      </c>
      <c r="P2536" s="11">
        <f>+O2536*'AUMENTOS %'!$D$12</f>
        <v>333905</v>
      </c>
      <c r="Q2536" s="11">
        <v>1.35</v>
      </c>
      <c r="R2536" s="11">
        <f t="shared" si="704"/>
        <v>450771.75000000006</v>
      </c>
      <c r="S2536" s="11"/>
      <c r="T2536" s="136">
        <f t="shared" si="702"/>
        <v>0</v>
      </c>
    </row>
    <row r="2537" spans="1:20" ht="15.75" customHeight="1">
      <c r="A2537" s="149">
        <v>38</v>
      </c>
      <c r="B2537" s="273">
        <f t="shared" si="707"/>
        <v>111500</v>
      </c>
      <c r="C2537" s="28" t="s">
        <v>3809</v>
      </c>
      <c r="D2537" s="71">
        <v>22710</v>
      </c>
      <c r="E2537" s="131">
        <f t="shared" si="705"/>
        <v>105180</v>
      </c>
      <c r="F2537" s="21" t="s">
        <v>1248</v>
      </c>
      <c r="G2537" s="21">
        <f t="shared" si="708"/>
        <v>116223.9</v>
      </c>
      <c r="H2537" s="135">
        <f t="shared" si="706"/>
        <v>0</v>
      </c>
      <c r="I2537" s="294">
        <v>45138</v>
      </c>
      <c r="J2537" s="294"/>
      <c r="K2537" s="11">
        <f>+'AUMENTOS %'!B10*77908</f>
        <v>77908</v>
      </c>
      <c r="L2537" s="11"/>
      <c r="M2537" s="11"/>
      <c r="N2537" s="100"/>
      <c r="O2537" s="11">
        <f>MIN(K2537:M2537)*'AUMENTOS %'!$B$10</f>
        <v>77908</v>
      </c>
      <c r="P2537" s="11">
        <f t="shared" si="703"/>
        <v>77908</v>
      </c>
      <c r="Q2537" s="11">
        <v>1.35</v>
      </c>
      <c r="R2537" s="11">
        <f t="shared" si="704"/>
        <v>105175.8</v>
      </c>
      <c r="S2537" s="11"/>
      <c r="T2537" s="136">
        <f t="shared" si="702"/>
        <v>0</v>
      </c>
    </row>
    <row r="2538" spans="1:20" ht="15.75" customHeight="1">
      <c r="A2538" s="149" t="s">
        <v>2398</v>
      </c>
      <c r="B2538" s="273">
        <f t="shared" si="707"/>
        <v>0</v>
      </c>
      <c r="C2538" s="28" t="s">
        <v>1942</v>
      </c>
      <c r="D2538" s="71"/>
      <c r="E2538" s="131">
        <f t="shared" si="705"/>
        <v>0</v>
      </c>
      <c r="F2538" s="21" t="s">
        <v>1248</v>
      </c>
      <c r="G2538" s="21">
        <f t="shared" si="708"/>
        <v>0</v>
      </c>
      <c r="H2538" s="135">
        <f t="shared" si="706"/>
        <v>0</v>
      </c>
      <c r="I2538" s="294">
        <v>43648</v>
      </c>
      <c r="J2538" s="294"/>
      <c r="K2538" s="10">
        <f>12290*0.8*0.98*0.94*0.95*1.35</f>
        <v>11615.908248</v>
      </c>
      <c r="L2538" s="11"/>
      <c r="M2538" s="11"/>
      <c r="N2538" s="100"/>
      <c r="O2538" s="11">
        <f t="shared" si="700"/>
        <v>11615.908248</v>
      </c>
      <c r="P2538" s="11">
        <f>+O2538*'AUMENTOS %'!$B$5</f>
        <v>11615.908248</v>
      </c>
      <c r="Q2538" s="11"/>
      <c r="R2538" s="11">
        <f t="shared" si="704"/>
        <v>0</v>
      </c>
      <c r="S2538" s="11"/>
      <c r="T2538" s="136">
        <f t="shared" si="702"/>
        <v>0</v>
      </c>
    </row>
    <row r="2539" spans="1:20" ht="15.75" customHeight="1">
      <c r="A2539" s="149">
        <v>38</v>
      </c>
      <c r="B2539" s="273">
        <f t="shared" si="707"/>
        <v>118600</v>
      </c>
      <c r="C2539" s="28" t="s">
        <v>2803</v>
      </c>
      <c r="D2539" s="71">
        <v>13150</v>
      </c>
      <c r="E2539" s="131">
        <f t="shared" si="705"/>
        <v>111880</v>
      </c>
      <c r="F2539" s="21" t="s">
        <v>1248</v>
      </c>
      <c r="G2539" s="21">
        <f t="shared" si="708"/>
        <v>123627.4</v>
      </c>
      <c r="H2539" s="135">
        <f t="shared" si="706"/>
        <v>0</v>
      </c>
      <c r="I2539" s="294">
        <v>45138</v>
      </c>
      <c r="J2539" s="294"/>
      <c r="K2539" s="10"/>
      <c r="L2539" s="11">
        <f>+'AUMENTOS %'!C13*82870</f>
        <v>82870</v>
      </c>
      <c r="M2539" s="11"/>
      <c r="N2539" s="100"/>
      <c r="O2539" s="11">
        <f t="shared" si="700"/>
        <v>82870</v>
      </c>
      <c r="P2539" s="11">
        <f>+O2539*'AUMENTOS %'!$D$13</f>
        <v>82870</v>
      </c>
      <c r="Q2539" s="11">
        <v>1.35</v>
      </c>
      <c r="R2539" s="11">
        <f t="shared" si="704"/>
        <v>111874.50000000001</v>
      </c>
      <c r="S2539" s="11"/>
      <c r="T2539" s="136">
        <f t="shared" si="702"/>
        <v>0</v>
      </c>
    </row>
    <row r="2540" spans="1:20" ht="15.75" customHeight="1">
      <c r="A2540" s="149">
        <v>24</v>
      </c>
      <c r="B2540" s="273">
        <f t="shared" si="707"/>
        <v>355210</v>
      </c>
      <c r="C2540" s="28" t="s">
        <v>2802</v>
      </c>
      <c r="D2540" s="71"/>
      <c r="E2540" s="131">
        <f t="shared" si="705"/>
        <v>335100</v>
      </c>
      <c r="F2540" s="21" t="s">
        <v>1248</v>
      </c>
      <c r="G2540" s="21">
        <f t="shared" si="708"/>
        <v>370285.5</v>
      </c>
      <c r="H2540" s="135">
        <f t="shared" si="706"/>
        <v>0</v>
      </c>
      <c r="I2540" s="294">
        <v>45329</v>
      </c>
      <c r="J2540" s="294"/>
      <c r="K2540" s="10">
        <f>+'AUMENTOS %'!D13*0.5*496430</f>
        <v>248215</v>
      </c>
      <c r="L2540" s="11"/>
      <c r="M2540" s="11"/>
      <c r="N2540" s="100"/>
      <c r="O2540" s="11">
        <f t="shared" si="700"/>
        <v>248215</v>
      </c>
      <c r="P2540" s="11">
        <f>+O2540*'AUMENTOS %'!$D$13</f>
        <v>248215</v>
      </c>
      <c r="Q2540" s="11">
        <v>1.35</v>
      </c>
      <c r="R2540" s="11">
        <f t="shared" si="704"/>
        <v>335090.25</v>
      </c>
      <c r="S2540" s="11"/>
      <c r="T2540" s="136">
        <f t="shared" si="702"/>
        <v>0</v>
      </c>
    </row>
    <row r="2541" spans="1:20" ht="15.75" customHeight="1">
      <c r="A2541" s="149" t="s">
        <v>4484</v>
      </c>
      <c r="B2541" s="273"/>
      <c r="C2541" s="28" t="s">
        <v>4485</v>
      </c>
      <c r="D2541" s="71"/>
      <c r="E2541" s="131">
        <f t="shared" si="705"/>
        <v>11090</v>
      </c>
      <c r="F2541" s="21">
        <f>+E2541*1.21</f>
        <v>13418.9</v>
      </c>
      <c r="G2541" s="21"/>
      <c r="H2541" s="135">
        <f t="shared" si="706"/>
        <v>0</v>
      </c>
      <c r="I2541" s="294">
        <v>45121</v>
      </c>
      <c r="J2541" s="294"/>
      <c r="K2541" s="10">
        <v>7920</v>
      </c>
      <c r="L2541" s="11"/>
      <c r="M2541" s="11"/>
      <c r="N2541" s="100"/>
      <c r="O2541" s="11"/>
      <c r="P2541" s="11">
        <f>+K2541</f>
        <v>7920</v>
      </c>
      <c r="Q2541" s="11">
        <v>1.4</v>
      </c>
      <c r="R2541" s="11">
        <f t="shared" si="704"/>
        <v>11088</v>
      </c>
      <c r="S2541" s="11"/>
      <c r="T2541" s="136">
        <f t="shared" si="702"/>
        <v>0</v>
      </c>
    </row>
    <row r="2542" spans="1:20" ht="15.75" customHeight="1">
      <c r="A2542" s="149">
        <v>51</v>
      </c>
      <c r="B2542" s="273"/>
      <c r="C2542" s="28" t="s">
        <v>1943</v>
      </c>
      <c r="D2542" s="71">
        <v>5990</v>
      </c>
      <c r="E2542" s="199">
        <f t="shared" si="705"/>
        <v>114320</v>
      </c>
      <c r="F2542" s="21">
        <f t="shared" ref="F2542:F2578" si="709">+E2542*1.21</f>
        <v>138327.19999999998</v>
      </c>
      <c r="G2542" s="21"/>
      <c r="H2542" s="135">
        <f t="shared" si="706"/>
        <v>0</v>
      </c>
      <c r="I2542" s="294">
        <v>45383</v>
      </c>
      <c r="J2542" s="294"/>
      <c r="K2542" s="10">
        <f>0.85*89659</f>
        <v>76210.149999999994</v>
      </c>
      <c r="L2542" s="11"/>
      <c r="M2542" s="11"/>
      <c r="N2542" s="100"/>
      <c r="O2542" s="11">
        <f t="shared" si="700"/>
        <v>76210.149999999994</v>
      </c>
      <c r="P2542" s="11">
        <f t="shared" si="703"/>
        <v>76210.149999999994</v>
      </c>
      <c r="Q2542" s="11">
        <v>1.5</v>
      </c>
      <c r="R2542" s="11">
        <f t="shared" si="704"/>
        <v>114315.22499999999</v>
      </c>
      <c r="S2542" s="11"/>
      <c r="T2542" s="136">
        <f t="shared" si="702"/>
        <v>0</v>
      </c>
    </row>
    <row r="2543" spans="1:20" ht="15.75" customHeight="1">
      <c r="A2543" s="149">
        <v>51</v>
      </c>
      <c r="B2543" s="273"/>
      <c r="C2543" s="28" t="s">
        <v>62681</v>
      </c>
      <c r="D2543" s="71">
        <v>3260</v>
      </c>
      <c r="E2543" s="199">
        <f t="shared" si="705"/>
        <v>66460</v>
      </c>
      <c r="F2543" s="21">
        <f t="shared" si="709"/>
        <v>80416.599999999991</v>
      </c>
      <c r="G2543" s="21"/>
      <c r="H2543" s="135">
        <f t="shared" si="706"/>
        <v>0</v>
      </c>
      <c r="I2543" s="294">
        <v>45383</v>
      </c>
      <c r="J2543" s="294"/>
      <c r="K2543" s="10">
        <f>0.85*52124</f>
        <v>44305.4</v>
      </c>
      <c r="L2543" s="172"/>
      <c r="M2543" s="11"/>
      <c r="N2543" s="100"/>
      <c r="O2543" s="11">
        <f t="shared" si="700"/>
        <v>44305.4</v>
      </c>
      <c r="P2543" s="11">
        <f t="shared" si="703"/>
        <v>44305.4</v>
      </c>
      <c r="Q2543" s="11">
        <v>1.5</v>
      </c>
      <c r="R2543" s="11">
        <f t="shared" si="704"/>
        <v>66458.100000000006</v>
      </c>
      <c r="S2543" s="11"/>
      <c r="T2543" s="136">
        <f t="shared" si="702"/>
        <v>0</v>
      </c>
    </row>
    <row r="2544" spans="1:20" ht="15.75" customHeight="1">
      <c r="A2544" s="149">
        <v>51</v>
      </c>
      <c r="B2544" s="273"/>
      <c r="C2544" s="28" t="s">
        <v>44362</v>
      </c>
      <c r="D2544" s="71">
        <v>2680</v>
      </c>
      <c r="E2544" s="199">
        <f t="shared" si="705"/>
        <v>55450</v>
      </c>
      <c r="F2544" s="21">
        <f t="shared" si="709"/>
        <v>67094.5</v>
      </c>
      <c r="G2544" s="21"/>
      <c r="H2544" s="135">
        <f t="shared" si="706"/>
        <v>0</v>
      </c>
      <c r="I2544" s="294">
        <v>45383</v>
      </c>
      <c r="J2544" s="294"/>
      <c r="K2544" s="10">
        <f>0.85*43490</f>
        <v>36966.5</v>
      </c>
      <c r="L2544" s="172"/>
      <c r="M2544" s="11"/>
      <c r="N2544" s="100"/>
      <c r="O2544" s="11">
        <f t="shared" si="700"/>
        <v>36966.5</v>
      </c>
      <c r="P2544" s="11">
        <f t="shared" si="703"/>
        <v>36966.5</v>
      </c>
      <c r="Q2544" s="11">
        <v>1.5</v>
      </c>
      <c r="R2544" s="11">
        <f t="shared" si="704"/>
        <v>55449.75</v>
      </c>
      <c r="S2544" s="11"/>
      <c r="T2544" s="136">
        <f t="shared" si="702"/>
        <v>0</v>
      </c>
    </row>
    <row r="2545" spans="1:20" ht="15.75" customHeight="1">
      <c r="A2545" s="149">
        <v>51</v>
      </c>
      <c r="B2545" s="273"/>
      <c r="C2545" s="28" t="s">
        <v>62682</v>
      </c>
      <c r="D2545" s="71">
        <v>2510</v>
      </c>
      <c r="E2545" s="199">
        <f t="shared" si="705"/>
        <v>52070</v>
      </c>
      <c r="F2545" s="21">
        <f t="shared" si="709"/>
        <v>63004.7</v>
      </c>
      <c r="G2545" s="21"/>
      <c r="H2545" s="135">
        <f t="shared" si="706"/>
        <v>0</v>
      </c>
      <c r="I2545" s="294">
        <v>45383</v>
      </c>
      <c r="J2545" s="294"/>
      <c r="K2545" s="10">
        <f>0.85*40837</f>
        <v>34711.449999999997</v>
      </c>
      <c r="L2545" s="11"/>
      <c r="M2545" s="11"/>
      <c r="N2545" s="100"/>
      <c r="O2545" s="11">
        <f t="shared" si="700"/>
        <v>34711.449999999997</v>
      </c>
      <c r="P2545" s="11">
        <f t="shared" si="703"/>
        <v>34711.449999999997</v>
      </c>
      <c r="Q2545" s="11">
        <v>1.5</v>
      </c>
      <c r="R2545" s="11">
        <f t="shared" si="704"/>
        <v>52067.174999999996</v>
      </c>
      <c r="S2545" s="11"/>
      <c r="T2545" s="136">
        <f t="shared" si="702"/>
        <v>0</v>
      </c>
    </row>
    <row r="2546" spans="1:20" ht="15.75" customHeight="1">
      <c r="A2546" s="149">
        <v>51</v>
      </c>
      <c r="B2546" s="273"/>
      <c r="C2546" s="28" t="s">
        <v>1944</v>
      </c>
      <c r="D2546" s="71">
        <v>2690</v>
      </c>
      <c r="E2546" s="199">
        <f t="shared" si="705"/>
        <v>57150</v>
      </c>
      <c r="F2546" s="21">
        <f t="shared" si="709"/>
        <v>69151.5</v>
      </c>
      <c r="G2546" s="21"/>
      <c r="H2546" s="135">
        <f t="shared" si="706"/>
        <v>0</v>
      </c>
      <c r="I2546" s="294">
        <v>45383</v>
      </c>
      <c r="J2546" s="294"/>
      <c r="K2546" s="10">
        <f>0.85*44820</f>
        <v>38097</v>
      </c>
      <c r="L2546" s="11"/>
      <c r="M2546" s="11"/>
      <c r="N2546" s="100"/>
      <c r="O2546" s="11">
        <f t="shared" si="700"/>
        <v>38097</v>
      </c>
      <c r="P2546" s="11">
        <f t="shared" si="703"/>
        <v>38097</v>
      </c>
      <c r="Q2546" s="11">
        <v>1.5</v>
      </c>
      <c r="R2546" s="11">
        <f t="shared" si="704"/>
        <v>57145.5</v>
      </c>
      <c r="S2546" s="11"/>
      <c r="T2546" s="136">
        <f t="shared" si="702"/>
        <v>0</v>
      </c>
    </row>
    <row r="2547" spans="1:20" ht="15.75" customHeight="1">
      <c r="A2547" s="149">
        <v>51</v>
      </c>
      <c r="B2547" s="273"/>
      <c r="C2547" s="28" t="s">
        <v>1945</v>
      </c>
      <c r="D2547" s="71">
        <v>2400</v>
      </c>
      <c r="E2547" s="199">
        <f t="shared" si="705"/>
        <v>63870</v>
      </c>
      <c r="F2547" s="21">
        <f t="shared" si="709"/>
        <v>77282.7</v>
      </c>
      <c r="G2547" s="21"/>
      <c r="H2547" s="135">
        <f t="shared" si="706"/>
        <v>0</v>
      </c>
      <c r="I2547" s="294">
        <v>45383</v>
      </c>
      <c r="J2547" s="294"/>
      <c r="K2547" s="10">
        <f>0.85*50089</f>
        <v>42575.65</v>
      </c>
      <c r="L2547" s="11"/>
      <c r="M2547" s="11"/>
      <c r="N2547" s="100"/>
      <c r="O2547" s="11">
        <f t="shared" si="700"/>
        <v>42575.65</v>
      </c>
      <c r="P2547" s="11">
        <f t="shared" si="703"/>
        <v>42575.65</v>
      </c>
      <c r="Q2547" s="11">
        <v>1.5</v>
      </c>
      <c r="R2547" s="11">
        <f t="shared" si="704"/>
        <v>63863.475000000006</v>
      </c>
      <c r="S2547" s="11"/>
      <c r="T2547" s="136">
        <f t="shared" si="702"/>
        <v>0</v>
      </c>
    </row>
    <row r="2548" spans="1:20" ht="15.75" customHeight="1">
      <c r="A2548" s="149">
        <v>51</v>
      </c>
      <c r="B2548" s="273"/>
      <c r="C2548" s="28" t="s">
        <v>1946</v>
      </c>
      <c r="D2548" s="71">
        <v>2450</v>
      </c>
      <c r="E2548" s="199">
        <f t="shared" si="705"/>
        <v>51480</v>
      </c>
      <c r="F2548" s="21">
        <f t="shared" si="709"/>
        <v>62290.799999999996</v>
      </c>
      <c r="G2548" s="21"/>
      <c r="H2548" s="135">
        <f t="shared" si="706"/>
        <v>0</v>
      </c>
      <c r="I2548" s="294">
        <v>45383</v>
      </c>
      <c r="J2548" s="294"/>
      <c r="K2548" s="10">
        <f>0.85*40369</f>
        <v>34313.65</v>
      </c>
      <c r="L2548" s="11"/>
      <c r="M2548" s="11"/>
      <c r="N2548" s="100"/>
      <c r="O2548" s="11">
        <f t="shared" si="700"/>
        <v>34313.65</v>
      </c>
      <c r="P2548" s="11">
        <f t="shared" si="703"/>
        <v>34313.65</v>
      </c>
      <c r="Q2548" s="11">
        <v>1.5</v>
      </c>
      <c r="R2548" s="11">
        <f t="shared" si="704"/>
        <v>51470.475000000006</v>
      </c>
      <c r="S2548" s="11"/>
      <c r="T2548" s="136">
        <f t="shared" si="702"/>
        <v>0</v>
      </c>
    </row>
    <row r="2549" spans="1:20" ht="15.75" customHeight="1">
      <c r="A2549" s="149">
        <v>51</v>
      </c>
      <c r="B2549" s="273"/>
      <c r="C2549" s="28" t="s">
        <v>1947</v>
      </c>
      <c r="D2549" s="71">
        <v>2520</v>
      </c>
      <c r="E2549" s="199">
        <f>ROUNDUP(R2549,-1)</f>
        <v>56260</v>
      </c>
      <c r="F2549" s="21">
        <f>+E2549*1.21</f>
        <v>68074.599999999991</v>
      </c>
      <c r="G2549" s="21"/>
      <c r="H2549" s="135">
        <f>ROUNDUP(T2549,-1)</f>
        <v>0</v>
      </c>
      <c r="I2549" s="294">
        <v>45383</v>
      </c>
      <c r="J2549" s="294"/>
      <c r="K2549" s="10">
        <f>0.85*44125</f>
        <v>37506.25</v>
      </c>
      <c r="L2549" s="11"/>
      <c r="M2549" s="11"/>
      <c r="N2549" s="100"/>
      <c r="O2549" s="11">
        <f>MIN(K2549:M2549)</f>
        <v>37506.25</v>
      </c>
      <c r="P2549" s="11">
        <f t="shared" si="703"/>
        <v>37506.25</v>
      </c>
      <c r="Q2549" s="11">
        <v>1.5</v>
      </c>
      <c r="R2549" s="11">
        <f t="shared" si="704"/>
        <v>56259.375</v>
      </c>
      <c r="S2549" s="11"/>
      <c r="T2549" s="136">
        <f>+N2549*Q2549</f>
        <v>0</v>
      </c>
    </row>
    <row r="2550" spans="1:20" ht="15.75" customHeight="1">
      <c r="A2550" s="149">
        <v>51</v>
      </c>
      <c r="B2550" s="273"/>
      <c r="C2550" s="28" t="s">
        <v>1948</v>
      </c>
      <c r="D2550" s="71">
        <v>4700</v>
      </c>
      <c r="E2550" s="199">
        <f>ROUNDUP(R2550,-1)</f>
        <v>91290</v>
      </c>
      <c r="F2550" s="21">
        <f>+E2550*1.21</f>
        <v>110460.9</v>
      </c>
      <c r="G2550" s="21"/>
      <c r="H2550" s="135">
        <f>ROUNDUP(T2550,-1)</f>
        <v>0</v>
      </c>
      <c r="I2550" s="294">
        <v>45383</v>
      </c>
      <c r="J2550" s="294"/>
      <c r="K2550" s="10">
        <f>0.85*71596</f>
        <v>60856.6</v>
      </c>
      <c r="L2550" s="11"/>
      <c r="M2550" s="11"/>
      <c r="N2550" s="100"/>
      <c r="O2550" s="11">
        <f>MIN(K2550:M2550)</f>
        <v>60856.6</v>
      </c>
      <c r="P2550" s="11">
        <f t="shared" si="703"/>
        <v>60856.6</v>
      </c>
      <c r="Q2550" s="11">
        <v>1.5</v>
      </c>
      <c r="R2550" s="11">
        <f t="shared" si="704"/>
        <v>91284.9</v>
      </c>
      <c r="S2550" s="11"/>
      <c r="T2550" s="136">
        <f>+N2550*Q2550</f>
        <v>0</v>
      </c>
    </row>
    <row r="2551" spans="1:20" ht="15.75" customHeight="1">
      <c r="A2551" s="149">
        <v>51</v>
      </c>
      <c r="B2551" s="273"/>
      <c r="C2551" s="28" t="s">
        <v>1949</v>
      </c>
      <c r="D2551" s="71">
        <v>2840</v>
      </c>
      <c r="E2551" s="199">
        <f t="shared" si="705"/>
        <v>75730</v>
      </c>
      <c r="F2551" s="21">
        <f t="shared" si="709"/>
        <v>91633.3</v>
      </c>
      <c r="G2551" s="21"/>
      <c r="H2551" s="135">
        <f t="shared" si="706"/>
        <v>0</v>
      </c>
      <c r="I2551" s="294">
        <v>45383</v>
      </c>
      <c r="J2551" s="294"/>
      <c r="K2551" s="10">
        <f>0.85*59395</f>
        <v>50485.75</v>
      </c>
      <c r="L2551" s="11"/>
      <c r="M2551" s="11"/>
      <c r="N2551" s="100"/>
      <c r="O2551" s="11">
        <f t="shared" si="700"/>
        <v>50485.75</v>
      </c>
      <c r="P2551" s="11">
        <f t="shared" si="703"/>
        <v>50485.75</v>
      </c>
      <c r="Q2551" s="11">
        <v>1.5</v>
      </c>
      <c r="R2551" s="11">
        <f t="shared" si="704"/>
        <v>75728.625</v>
      </c>
      <c r="S2551" s="11"/>
      <c r="T2551" s="136">
        <f t="shared" si="702"/>
        <v>0</v>
      </c>
    </row>
    <row r="2552" spans="1:20" ht="15.75" customHeight="1">
      <c r="A2552" s="149">
        <v>98</v>
      </c>
      <c r="B2552" s="273"/>
      <c r="C2552" s="28" t="s">
        <v>62601</v>
      </c>
      <c r="D2552" s="71">
        <v>130</v>
      </c>
      <c r="E2552" s="139">
        <f>ROUNDUP(R2552,-1)</f>
        <v>2900</v>
      </c>
      <c r="F2552" s="21">
        <f>+E2552*1.21</f>
        <v>3509</v>
      </c>
      <c r="G2552" s="21"/>
      <c r="H2552" s="135">
        <f>ROUNDUP(T2552,-1)</f>
        <v>0</v>
      </c>
      <c r="I2552" s="294">
        <v>45286</v>
      </c>
      <c r="J2552" s="294">
        <v>45330</v>
      </c>
      <c r="K2552" s="10"/>
      <c r="L2552" s="249">
        <f>7236/5</f>
        <v>1447.2</v>
      </c>
      <c r="M2552" s="148"/>
      <c r="N2552" s="100"/>
      <c r="O2552" s="11">
        <f>MIN(K2552:M2552)</f>
        <v>1447.2</v>
      </c>
      <c r="P2552" s="11">
        <f>+O2552</f>
        <v>1447.2</v>
      </c>
      <c r="Q2552" s="11">
        <v>2</v>
      </c>
      <c r="R2552" s="11">
        <f>+P2552*Q2552</f>
        <v>2894.4</v>
      </c>
      <c r="S2552" s="11"/>
      <c r="T2552" s="136">
        <f>+N2552*Q2552</f>
        <v>0</v>
      </c>
    </row>
    <row r="2553" spans="1:20" ht="15.75" customHeight="1">
      <c r="A2553" s="149">
        <v>98</v>
      </c>
      <c r="B2553" s="273"/>
      <c r="C2553" s="28" t="s">
        <v>1950</v>
      </c>
      <c r="D2553" s="71">
        <v>130</v>
      </c>
      <c r="E2553" s="139">
        <f t="shared" si="705"/>
        <v>2790</v>
      </c>
      <c r="F2553" s="21">
        <f t="shared" si="709"/>
        <v>3375.9</v>
      </c>
      <c r="G2553" s="21"/>
      <c r="H2553" s="135">
        <f t="shared" si="706"/>
        <v>0</v>
      </c>
      <c r="I2553" s="294">
        <v>45286</v>
      </c>
      <c r="J2553" s="40">
        <v>45330</v>
      </c>
      <c r="K2553" s="10"/>
      <c r="L2553" s="249">
        <f>6965/5</f>
        <v>1393</v>
      </c>
      <c r="M2553" s="148"/>
      <c r="N2553" s="100"/>
      <c r="O2553" s="11">
        <f t="shared" si="700"/>
        <v>1393</v>
      </c>
      <c r="P2553" s="11">
        <f t="shared" si="703"/>
        <v>1393</v>
      </c>
      <c r="Q2553" s="11">
        <v>2</v>
      </c>
      <c r="R2553" s="11">
        <f t="shared" si="704"/>
        <v>2786</v>
      </c>
      <c r="S2553" s="11"/>
      <c r="T2553" s="136">
        <f t="shared" si="702"/>
        <v>0</v>
      </c>
    </row>
    <row r="2554" spans="1:20" ht="15.75" customHeight="1">
      <c r="A2554" s="149">
        <v>98</v>
      </c>
      <c r="B2554" s="273"/>
      <c r="C2554" s="28" t="s">
        <v>1951</v>
      </c>
      <c r="D2554" s="71">
        <v>130</v>
      </c>
      <c r="E2554" s="139">
        <f t="shared" si="705"/>
        <v>2790</v>
      </c>
      <c r="F2554" s="21">
        <f t="shared" si="709"/>
        <v>3375.9</v>
      </c>
      <c r="G2554" s="21">
        <f>8000 /1.21</f>
        <v>6611.5702479338843</v>
      </c>
      <c r="H2554" s="135">
        <f t="shared" si="706"/>
        <v>0</v>
      </c>
      <c r="I2554" s="294">
        <v>45286</v>
      </c>
      <c r="J2554" s="294">
        <v>45330</v>
      </c>
      <c r="K2554" s="10"/>
      <c r="L2554" s="249">
        <f>6965/5</f>
        <v>1393</v>
      </c>
      <c r="M2554" s="196"/>
      <c r="N2554" s="100"/>
      <c r="O2554" s="11">
        <f t="shared" si="700"/>
        <v>1393</v>
      </c>
      <c r="P2554" s="11">
        <f t="shared" si="703"/>
        <v>1393</v>
      </c>
      <c r="Q2554" s="11">
        <v>2</v>
      </c>
      <c r="R2554" s="11">
        <f t="shared" si="704"/>
        <v>2786</v>
      </c>
      <c r="S2554" s="11"/>
      <c r="T2554" s="136">
        <f t="shared" si="702"/>
        <v>0</v>
      </c>
    </row>
    <row r="2555" spans="1:20" ht="15.75" customHeight="1">
      <c r="A2555" s="149">
        <v>98</v>
      </c>
      <c r="B2555" s="273"/>
      <c r="C2555" s="28" t="s">
        <v>1952</v>
      </c>
      <c r="D2555" s="71">
        <v>0</v>
      </c>
      <c r="E2555" s="139">
        <f t="shared" si="705"/>
        <v>2900</v>
      </c>
      <c r="F2555" s="21">
        <f t="shared" si="709"/>
        <v>3509</v>
      </c>
      <c r="G2555" s="21"/>
      <c r="H2555" s="135">
        <f t="shared" si="706"/>
        <v>0</v>
      </c>
      <c r="I2555" s="294">
        <v>45286</v>
      </c>
      <c r="J2555" s="294">
        <v>45330</v>
      </c>
      <c r="K2555" s="10"/>
      <c r="L2555" s="249">
        <f>7236/5</f>
        <v>1447.2</v>
      </c>
      <c r="M2555" s="148"/>
      <c r="N2555" s="100"/>
      <c r="O2555" s="11">
        <f t="shared" si="700"/>
        <v>1447.2</v>
      </c>
      <c r="P2555" s="11">
        <f t="shared" si="703"/>
        <v>1447.2</v>
      </c>
      <c r="Q2555" s="11">
        <v>2</v>
      </c>
      <c r="R2555" s="11">
        <f t="shared" si="704"/>
        <v>2894.4</v>
      </c>
      <c r="S2555" s="11"/>
      <c r="T2555" s="136">
        <f t="shared" si="702"/>
        <v>0</v>
      </c>
    </row>
    <row r="2556" spans="1:20" ht="15.75" customHeight="1">
      <c r="A2556" s="149">
        <v>98</v>
      </c>
      <c r="B2556" s="273"/>
      <c r="C2556" s="28" t="s">
        <v>37254</v>
      </c>
      <c r="D2556" s="71">
        <v>0</v>
      </c>
      <c r="E2556" s="139">
        <f t="shared" si="705"/>
        <v>2900</v>
      </c>
      <c r="F2556" s="21">
        <f t="shared" si="709"/>
        <v>3509</v>
      </c>
      <c r="G2556" s="21"/>
      <c r="H2556" s="135">
        <f t="shared" si="706"/>
        <v>0</v>
      </c>
      <c r="I2556" s="294">
        <v>45286</v>
      </c>
      <c r="J2556" s="294">
        <v>45330</v>
      </c>
      <c r="K2556" s="10"/>
      <c r="L2556" s="249">
        <f>7236/5</f>
        <v>1447.2</v>
      </c>
      <c r="M2556" s="148"/>
      <c r="N2556" s="100"/>
      <c r="O2556" s="11">
        <f>MIN(K2556:M2556)</f>
        <v>1447.2</v>
      </c>
      <c r="P2556" s="11">
        <f t="shared" si="703"/>
        <v>1447.2</v>
      </c>
      <c r="Q2556" s="11">
        <v>2</v>
      </c>
      <c r="R2556" s="11">
        <f t="shared" si="704"/>
        <v>2894.4</v>
      </c>
      <c r="S2556" s="11"/>
      <c r="T2556" s="136">
        <f t="shared" si="702"/>
        <v>0</v>
      </c>
    </row>
    <row r="2557" spans="1:20" ht="15.75" customHeight="1">
      <c r="A2557" s="149">
        <v>98</v>
      </c>
      <c r="B2557" s="273"/>
      <c r="C2557" s="28" t="s">
        <v>4487</v>
      </c>
      <c r="D2557" s="71">
        <v>0</v>
      </c>
      <c r="E2557" s="139">
        <f>ROUNDUP(R2557,-1)</f>
        <v>2980</v>
      </c>
      <c r="F2557" s="21">
        <f>+E2557*1.21</f>
        <v>3605.7999999999997</v>
      </c>
      <c r="G2557" s="21">
        <f>58130+5*2800</f>
        <v>72130</v>
      </c>
      <c r="H2557" s="135">
        <f>ROUNDUP(T2557,-1)</f>
        <v>0</v>
      </c>
      <c r="I2557" s="294">
        <v>45286</v>
      </c>
      <c r="J2557" s="294">
        <v>45330</v>
      </c>
      <c r="K2557" s="10"/>
      <c r="L2557" s="249">
        <f>7432/5</f>
        <v>1486.4</v>
      </c>
      <c r="M2557" s="148"/>
      <c r="N2557" s="100"/>
      <c r="O2557" s="11">
        <f>MIN(K2557:M2557)</f>
        <v>1486.4</v>
      </c>
      <c r="P2557" s="11">
        <f>+O2557</f>
        <v>1486.4</v>
      </c>
      <c r="Q2557" s="11">
        <v>2</v>
      </c>
      <c r="R2557" s="11">
        <f>+P2557*Q2557</f>
        <v>2972.8</v>
      </c>
      <c r="S2557" s="11"/>
      <c r="T2557" s="136">
        <f>+N2557*Q2557</f>
        <v>0</v>
      </c>
    </row>
    <row r="2558" spans="1:20" ht="15.75" customHeight="1">
      <c r="A2558" s="149">
        <v>51</v>
      </c>
      <c r="B2558" s="273"/>
      <c r="C2558" s="28" t="s">
        <v>62683</v>
      </c>
      <c r="D2558" s="71">
        <v>3100</v>
      </c>
      <c r="E2558" s="199">
        <f t="shared" si="705"/>
        <v>67370</v>
      </c>
      <c r="F2558" s="21">
        <f t="shared" si="709"/>
        <v>81517.7</v>
      </c>
      <c r="G2558" s="21"/>
      <c r="H2558" s="135">
        <f t="shared" si="706"/>
        <v>0</v>
      </c>
      <c r="I2558" s="294">
        <v>45383</v>
      </c>
      <c r="J2558" s="40"/>
      <c r="K2558" s="10">
        <f>0.85*52839</f>
        <v>44913.15</v>
      </c>
      <c r="L2558" s="249"/>
      <c r="M2558" s="11"/>
      <c r="N2558" s="100"/>
      <c r="O2558" s="11">
        <f t="shared" si="700"/>
        <v>44913.15</v>
      </c>
      <c r="P2558" s="11">
        <f t="shared" si="703"/>
        <v>44913.15</v>
      </c>
      <c r="Q2558" s="11">
        <v>1.5</v>
      </c>
      <c r="R2558" s="11">
        <f t="shared" si="704"/>
        <v>67369.725000000006</v>
      </c>
      <c r="S2558" s="11"/>
      <c r="T2558" s="136">
        <f t="shared" si="702"/>
        <v>0</v>
      </c>
    </row>
    <row r="2559" spans="1:20" ht="15.75" customHeight="1">
      <c r="A2559" s="149">
        <v>51</v>
      </c>
      <c r="B2559" s="273"/>
      <c r="C2559" s="28" t="s">
        <v>1953</v>
      </c>
      <c r="D2559" s="71">
        <v>3330</v>
      </c>
      <c r="E2559" s="199">
        <f t="shared" si="705"/>
        <v>63610</v>
      </c>
      <c r="F2559" s="21">
        <f t="shared" si="709"/>
        <v>76968.099999999991</v>
      </c>
      <c r="G2559" s="21"/>
      <c r="H2559" s="135">
        <f t="shared" si="706"/>
        <v>0</v>
      </c>
      <c r="I2559" s="294">
        <v>45383</v>
      </c>
      <c r="J2559" s="294"/>
      <c r="K2559" s="10">
        <f>0.85*49888</f>
        <v>42404.799999999996</v>
      </c>
      <c r="L2559" s="11"/>
      <c r="M2559" s="11"/>
      <c r="N2559" s="100"/>
      <c r="O2559" s="11">
        <f t="shared" si="700"/>
        <v>42404.799999999996</v>
      </c>
      <c r="P2559" s="11">
        <f t="shared" si="703"/>
        <v>42404.799999999996</v>
      </c>
      <c r="Q2559" s="11">
        <v>1.5</v>
      </c>
      <c r="R2559" s="11">
        <f t="shared" si="704"/>
        <v>63607.199999999997</v>
      </c>
      <c r="S2559" s="11"/>
      <c r="T2559" s="136">
        <f t="shared" si="702"/>
        <v>0</v>
      </c>
    </row>
    <row r="2560" spans="1:20" ht="15.75" customHeight="1">
      <c r="A2560" s="149">
        <v>51</v>
      </c>
      <c r="B2560" s="273"/>
      <c r="C2560" s="28" t="s">
        <v>1954</v>
      </c>
      <c r="D2560" s="71">
        <v>3640</v>
      </c>
      <c r="E2560" s="199">
        <f t="shared" si="705"/>
        <v>76460</v>
      </c>
      <c r="F2560" s="21">
        <f t="shared" si="709"/>
        <v>92516.599999999991</v>
      </c>
      <c r="G2560" s="21"/>
      <c r="H2560" s="135">
        <f t="shared" si="706"/>
        <v>0</v>
      </c>
      <c r="I2560" s="294">
        <v>45383</v>
      </c>
      <c r="J2560" s="294"/>
      <c r="K2560" s="10">
        <f>0.85*59964</f>
        <v>50969.4</v>
      </c>
      <c r="L2560" s="11"/>
      <c r="M2560" s="11"/>
      <c r="N2560" s="100"/>
      <c r="O2560" s="11">
        <f t="shared" si="700"/>
        <v>50969.4</v>
      </c>
      <c r="P2560" s="11">
        <f t="shared" si="703"/>
        <v>50969.4</v>
      </c>
      <c r="Q2560" s="11">
        <v>1.5</v>
      </c>
      <c r="R2560" s="11">
        <f t="shared" si="704"/>
        <v>76454.100000000006</v>
      </c>
      <c r="S2560" s="11"/>
      <c r="T2560" s="136">
        <f t="shared" si="702"/>
        <v>0</v>
      </c>
    </row>
    <row r="2561" spans="1:20" ht="15.75" customHeight="1">
      <c r="A2561" s="149">
        <v>51</v>
      </c>
      <c r="B2561" s="273"/>
      <c r="C2561" s="28" t="s">
        <v>1955</v>
      </c>
      <c r="D2561" s="71">
        <v>2460</v>
      </c>
      <c r="E2561" s="199">
        <f t="shared" si="705"/>
        <v>52290</v>
      </c>
      <c r="F2561" s="21">
        <f t="shared" si="709"/>
        <v>63270.9</v>
      </c>
      <c r="G2561" s="21"/>
      <c r="H2561" s="135">
        <f t="shared" si="706"/>
        <v>0</v>
      </c>
      <c r="I2561" s="294">
        <v>45383</v>
      </c>
      <c r="J2561" s="294"/>
      <c r="K2561" s="10">
        <f>0.85*41010</f>
        <v>34858.5</v>
      </c>
      <c r="L2561" s="11"/>
      <c r="M2561" s="11"/>
      <c r="N2561" s="100"/>
      <c r="O2561" s="11">
        <f t="shared" si="700"/>
        <v>34858.5</v>
      </c>
      <c r="P2561" s="11">
        <f t="shared" si="703"/>
        <v>34858.5</v>
      </c>
      <c r="Q2561" s="11">
        <v>1.5</v>
      </c>
      <c r="R2561" s="11">
        <f t="shared" si="704"/>
        <v>52287.75</v>
      </c>
      <c r="S2561" s="11"/>
      <c r="T2561" s="136">
        <f t="shared" si="702"/>
        <v>0</v>
      </c>
    </row>
    <row r="2562" spans="1:20" ht="15.75" customHeight="1">
      <c r="A2562" s="149">
        <v>38</v>
      </c>
      <c r="B2562" s="273"/>
      <c r="C2562" s="28" t="s">
        <v>2890</v>
      </c>
      <c r="D2562" s="71"/>
      <c r="E2562" s="131">
        <f t="shared" si="705"/>
        <v>11000</v>
      </c>
      <c r="F2562" s="21">
        <f t="shared" si="709"/>
        <v>13310</v>
      </c>
      <c r="G2562" s="21"/>
      <c r="H2562" s="135">
        <f t="shared" si="706"/>
        <v>9540</v>
      </c>
      <c r="I2562" s="294">
        <v>45138</v>
      </c>
      <c r="J2562" s="294">
        <v>45274</v>
      </c>
      <c r="K2562" s="10">
        <f>+PROVEEDORES!$D$32*6.98</f>
        <v>7329</v>
      </c>
      <c r="L2562" s="11"/>
      <c r="M2562" s="11"/>
      <c r="N2562" s="100">
        <v>6354</v>
      </c>
      <c r="O2562" s="11">
        <f t="shared" si="700"/>
        <v>7329</v>
      </c>
      <c r="P2562" s="11">
        <f t="shared" si="703"/>
        <v>7329</v>
      </c>
      <c r="Q2562" s="11">
        <v>1.5</v>
      </c>
      <c r="R2562" s="11">
        <f t="shared" si="704"/>
        <v>10993.5</v>
      </c>
      <c r="S2562" s="11"/>
      <c r="T2562" s="136">
        <f t="shared" si="702"/>
        <v>9531</v>
      </c>
    </row>
    <row r="2563" spans="1:20" ht="15.75" customHeight="1">
      <c r="A2563" s="149" t="s">
        <v>44322</v>
      </c>
      <c r="B2563" s="273"/>
      <c r="C2563" s="28" t="s">
        <v>3987</v>
      </c>
      <c r="D2563" s="71">
        <v>460</v>
      </c>
      <c r="E2563" s="131">
        <f t="shared" si="705"/>
        <v>31120</v>
      </c>
      <c r="F2563" s="21">
        <f t="shared" si="709"/>
        <v>37655.199999999997</v>
      </c>
      <c r="G2563" s="21"/>
      <c r="H2563" s="135">
        <f t="shared" si="706"/>
        <v>0</v>
      </c>
      <c r="I2563" s="294">
        <v>45059</v>
      </c>
      <c r="J2563" s="294">
        <v>45332</v>
      </c>
      <c r="K2563" s="10">
        <f>0.8*0.94*27586</f>
        <v>20744.671999999999</v>
      </c>
      <c r="L2563" s="42"/>
      <c r="M2563" s="42"/>
      <c r="N2563" s="37"/>
      <c r="O2563" s="11">
        <f t="shared" si="700"/>
        <v>20744.671999999999</v>
      </c>
      <c r="P2563" s="11">
        <f t="shared" si="703"/>
        <v>20744.671999999999</v>
      </c>
      <c r="Q2563" s="11">
        <v>1.5</v>
      </c>
      <c r="R2563" s="11">
        <f t="shared" si="704"/>
        <v>31117.007999999998</v>
      </c>
      <c r="S2563" s="11"/>
      <c r="T2563" s="136">
        <f t="shared" si="702"/>
        <v>0</v>
      </c>
    </row>
    <row r="2564" spans="1:20" ht="15.75" customHeight="1">
      <c r="A2564" s="149" t="s">
        <v>44322</v>
      </c>
      <c r="B2564" s="273"/>
      <c r="C2564" s="28" t="s">
        <v>2537</v>
      </c>
      <c r="D2564" s="71"/>
      <c r="E2564" s="131">
        <f t="shared" si="705"/>
        <v>0</v>
      </c>
      <c r="F2564" s="21">
        <f t="shared" si="709"/>
        <v>0</v>
      </c>
      <c r="G2564" s="21"/>
      <c r="H2564" s="135">
        <f t="shared" si="706"/>
        <v>0</v>
      </c>
      <c r="I2564" s="294">
        <v>44806</v>
      </c>
      <c r="J2564" s="294"/>
      <c r="K2564" s="10">
        <f>0.8*2430</f>
        <v>1944</v>
      </c>
      <c r="L2564" s="42"/>
      <c r="M2564" s="42"/>
      <c r="N2564" s="37"/>
      <c r="O2564" s="11">
        <f t="shared" si="700"/>
        <v>1944</v>
      </c>
      <c r="P2564" s="11">
        <f t="shared" si="703"/>
        <v>1944</v>
      </c>
      <c r="Q2564" s="11"/>
      <c r="R2564" s="11">
        <f t="shared" si="704"/>
        <v>0</v>
      </c>
      <c r="S2564" s="11"/>
      <c r="T2564" s="136">
        <f t="shared" si="702"/>
        <v>0</v>
      </c>
    </row>
    <row r="2565" spans="1:20" ht="15.75" customHeight="1">
      <c r="A2565" s="149" t="s">
        <v>44322</v>
      </c>
      <c r="B2565" s="273"/>
      <c r="C2565" s="28" t="s">
        <v>1956</v>
      </c>
      <c r="D2565" s="71">
        <v>410</v>
      </c>
      <c r="E2565" s="131">
        <f t="shared" si="705"/>
        <v>22200</v>
      </c>
      <c r="F2565" s="21">
        <f t="shared" si="709"/>
        <v>26862</v>
      </c>
      <c r="G2565" s="21"/>
      <c r="H2565" s="135">
        <f t="shared" si="706"/>
        <v>0</v>
      </c>
      <c r="I2565" s="294">
        <v>45059</v>
      </c>
      <c r="J2565" s="294">
        <v>45332</v>
      </c>
      <c r="K2565" s="10">
        <f>0.8*0.94*19676</f>
        <v>14796.352000000001</v>
      </c>
      <c r="L2565" s="42"/>
      <c r="M2565" s="42"/>
      <c r="N2565" s="37"/>
      <c r="O2565" s="11">
        <f t="shared" si="700"/>
        <v>14796.352000000001</v>
      </c>
      <c r="P2565" s="11">
        <f t="shared" si="703"/>
        <v>14796.352000000001</v>
      </c>
      <c r="Q2565" s="11">
        <v>1.5</v>
      </c>
      <c r="R2565" s="11">
        <f t="shared" si="704"/>
        <v>22194.528000000002</v>
      </c>
      <c r="S2565" s="11"/>
      <c r="T2565" s="136">
        <f t="shared" si="702"/>
        <v>0</v>
      </c>
    </row>
    <row r="2566" spans="1:20" ht="15.75" customHeight="1">
      <c r="A2566" s="149" t="s">
        <v>44322</v>
      </c>
      <c r="B2566" s="273"/>
      <c r="C2566" s="28" t="s">
        <v>1957</v>
      </c>
      <c r="D2566" s="71">
        <v>440</v>
      </c>
      <c r="E2566" s="131">
        <f t="shared" si="705"/>
        <v>30330</v>
      </c>
      <c r="F2566" s="21">
        <f t="shared" si="709"/>
        <v>36699.299999999996</v>
      </c>
      <c r="G2566" s="21"/>
      <c r="H2566" s="135">
        <f t="shared" si="706"/>
        <v>0</v>
      </c>
      <c r="I2566" s="294">
        <v>45059</v>
      </c>
      <c r="J2566" s="294">
        <v>45332</v>
      </c>
      <c r="K2566" s="42">
        <f>0.8*0.94*26883</f>
        <v>20216.016</v>
      </c>
      <c r="L2566" s="42"/>
      <c r="M2566" s="42"/>
      <c r="N2566" s="37"/>
      <c r="O2566" s="11">
        <f t="shared" si="700"/>
        <v>20216.016</v>
      </c>
      <c r="P2566" s="11">
        <f t="shared" si="703"/>
        <v>20216.016</v>
      </c>
      <c r="Q2566" s="11">
        <v>1.5</v>
      </c>
      <c r="R2566" s="11">
        <f t="shared" si="704"/>
        <v>30324.023999999998</v>
      </c>
      <c r="S2566" s="11"/>
      <c r="T2566" s="136">
        <f t="shared" si="702"/>
        <v>0</v>
      </c>
    </row>
    <row r="2567" spans="1:20" ht="15.75" customHeight="1">
      <c r="A2567" s="149" t="s">
        <v>44322</v>
      </c>
      <c r="B2567" s="273"/>
      <c r="C2567" s="28" t="s">
        <v>1958</v>
      </c>
      <c r="D2567" s="71">
        <v>750</v>
      </c>
      <c r="E2567" s="131">
        <f t="shared" si="705"/>
        <v>33690</v>
      </c>
      <c r="F2567" s="21">
        <f t="shared" si="709"/>
        <v>40764.9</v>
      </c>
      <c r="G2567" s="21"/>
      <c r="H2567" s="135">
        <f t="shared" si="706"/>
        <v>0</v>
      </c>
      <c r="I2567" s="294">
        <v>45168</v>
      </c>
      <c r="J2567" s="40">
        <v>45332</v>
      </c>
      <c r="K2567" s="10">
        <f>0.8*0.94*29860</f>
        <v>22454.720000000001</v>
      </c>
      <c r="L2567" s="10"/>
      <c r="M2567" s="10"/>
      <c r="N2567" s="37"/>
      <c r="O2567" s="11">
        <f t="shared" si="700"/>
        <v>22454.720000000001</v>
      </c>
      <c r="P2567" s="11">
        <f t="shared" si="703"/>
        <v>22454.720000000001</v>
      </c>
      <c r="Q2567" s="11">
        <v>1.5</v>
      </c>
      <c r="R2567" s="11">
        <f t="shared" si="704"/>
        <v>33682.080000000002</v>
      </c>
      <c r="S2567" s="11"/>
      <c r="T2567" s="136">
        <f t="shared" si="702"/>
        <v>0</v>
      </c>
    </row>
    <row r="2568" spans="1:20" ht="15.75" customHeight="1">
      <c r="A2568" s="149" t="s">
        <v>44322</v>
      </c>
      <c r="B2568" s="273"/>
      <c r="C2568" s="28" t="s">
        <v>3743</v>
      </c>
      <c r="D2568" s="71">
        <v>460</v>
      </c>
      <c r="E2568" s="131">
        <f t="shared" si="705"/>
        <v>27950</v>
      </c>
      <c r="F2568" s="21">
        <f t="shared" si="709"/>
        <v>33819.5</v>
      </c>
      <c r="G2568" s="21"/>
      <c r="H2568" s="135">
        <f t="shared" si="706"/>
        <v>0</v>
      </c>
      <c r="I2568" s="294">
        <v>45075</v>
      </c>
      <c r="J2568" s="294">
        <v>45332</v>
      </c>
      <c r="K2568" s="10">
        <f>0.8*0.94*24774</f>
        <v>18630.047999999999</v>
      </c>
      <c r="L2568" s="42"/>
      <c r="M2568" s="42"/>
      <c r="N2568" s="37"/>
      <c r="O2568" s="11">
        <f t="shared" si="700"/>
        <v>18630.047999999999</v>
      </c>
      <c r="P2568" s="11">
        <f t="shared" si="703"/>
        <v>18630.047999999999</v>
      </c>
      <c r="Q2568" s="11">
        <v>1.5</v>
      </c>
      <c r="R2568" s="11">
        <f t="shared" si="704"/>
        <v>27945.072</v>
      </c>
      <c r="S2568" s="11"/>
      <c r="T2568" s="136">
        <f t="shared" si="702"/>
        <v>0</v>
      </c>
    </row>
    <row r="2569" spans="1:20" ht="15.75" customHeight="1">
      <c r="A2569" s="149" t="s">
        <v>44322</v>
      </c>
      <c r="B2569" s="273"/>
      <c r="C2569" s="28" t="s">
        <v>1959</v>
      </c>
      <c r="D2569" s="71">
        <v>460</v>
      </c>
      <c r="E2569" s="131">
        <f t="shared" si="705"/>
        <v>32510</v>
      </c>
      <c r="F2569" s="21">
        <f t="shared" si="709"/>
        <v>39337.1</v>
      </c>
      <c r="G2569" s="21"/>
      <c r="H2569" s="135">
        <f t="shared" si="706"/>
        <v>0</v>
      </c>
      <c r="I2569" s="294">
        <v>45168</v>
      </c>
      <c r="J2569" s="294">
        <v>45332</v>
      </c>
      <c r="K2569" s="10">
        <f>0.8*0.94*28816</f>
        <v>21669.632000000001</v>
      </c>
      <c r="L2569" s="42"/>
      <c r="M2569" s="42"/>
      <c r="N2569" s="37"/>
      <c r="O2569" s="11">
        <f t="shared" si="700"/>
        <v>21669.632000000001</v>
      </c>
      <c r="P2569" s="11">
        <f t="shared" si="703"/>
        <v>21669.632000000001</v>
      </c>
      <c r="Q2569" s="11">
        <v>1.5</v>
      </c>
      <c r="R2569" s="11">
        <f t="shared" si="704"/>
        <v>32504.448000000004</v>
      </c>
      <c r="S2569" s="11"/>
      <c r="T2569" s="136">
        <f t="shared" si="702"/>
        <v>0</v>
      </c>
    </row>
    <row r="2570" spans="1:20" ht="15.75" customHeight="1">
      <c r="A2570" s="149">
        <v>109</v>
      </c>
      <c r="B2570" s="273"/>
      <c r="C2570" s="28" t="s">
        <v>44234</v>
      </c>
      <c r="D2570" s="71">
        <v>780</v>
      </c>
      <c r="E2570" s="131">
        <f t="shared" si="705"/>
        <v>12630</v>
      </c>
      <c r="F2570" s="21">
        <f t="shared" si="709"/>
        <v>15282.3</v>
      </c>
      <c r="G2570" s="21"/>
      <c r="H2570" s="135">
        <f t="shared" si="706"/>
        <v>0</v>
      </c>
      <c r="I2570" s="294">
        <v>45313</v>
      </c>
      <c r="J2570" s="294"/>
      <c r="K2570" s="10">
        <f>1.038*7599</f>
        <v>7887.7620000000006</v>
      </c>
      <c r="L2570" s="196"/>
      <c r="M2570" s="11"/>
      <c r="N2570" s="100"/>
      <c r="O2570" s="11">
        <f t="shared" si="700"/>
        <v>7887.7620000000006</v>
      </c>
      <c r="P2570" s="11">
        <f t="shared" si="703"/>
        <v>7887.7620000000006</v>
      </c>
      <c r="Q2570" s="11">
        <v>1.6</v>
      </c>
      <c r="R2570" s="11">
        <f t="shared" si="704"/>
        <v>12620.419200000002</v>
      </c>
      <c r="S2570" s="11"/>
      <c r="T2570" s="136">
        <f t="shared" si="702"/>
        <v>0</v>
      </c>
    </row>
    <row r="2571" spans="1:20" ht="15.75" customHeight="1">
      <c r="A2571" s="149">
        <v>109</v>
      </c>
      <c r="B2571" s="273"/>
      <c r="C2571" s="28" t="s">
        <v>44235</v>
      </c>
      <c r="D2571" s="71">
        <v>780</v>
      </c>
      <c r="E2571" s="131">
        <f>ROUNDUP(R2571,-1)</f>
        <v>13300</v>
      </c>
      <c r="F2571" s="21">
        <f>+E2571*1.21</f>
        <v>16093</v>
      </c>
      <c r="G2571" s="21"/>
      <c r="H2571" s="135">
        <f>ROUNDUP(T2571,-1)</f>
        <v>0</v>
      </c>
      <c r="I2571" s="294">
        <v>45313</v>
      </c>
      <c r="J2571" s="294"/>
      <c r="K2571" s="10">
        <f>1.038*8005</f>
        <v>8309.19</v>
      </c>
      <c r="L2571" s="196"/>
      <c r="M2571" s="11"/>
      <c r="N2571" s="100"/>
      <c r="O2571" s="11">
        <f>MIN(K2571:M2571)</f>
        <v>8309.19</v>
      </c>
      <c r="P2571" s="11">
        <f>+O2571</f>
        <v>8309.19</v>
      </c>
      <c r="Q2571" s="11">
        <v>1.6</v>
      </c>
      <c r="R2571" s="11">
        <f>+P2571*Q2571</f>
        <v>13294.704000000002</v>
      </c>
      <c r="S2571" s="11"/>
      <c r="T2571" s="136">
        <f>+N2571*Q2571</f>
        <v>0</v>
      </c>
    </row>
    <row r="2572" spans="1:20" ht="15.75" customHeight="1">
      <c r="A2572" s="149">
        <v>36</v>
      </c>
      <c r="B2572" s="273"/>
      <c r="C2572" s="28" t="s">
        <v>2815</v>
      </c>
      <c r="D2572" s="71"/>
      <c r="E2572" s="131">
        <f t="shared" si="705"/>
        <v>16800</v>
      </c>
      <c r="F2572" s="21">
        <f t="shared" si="709"/>
        <v>20328</v>
      </c>
      <c r="G2572" s="21"/>
      <c r="H2572" s="135">
        <f t="shared" si="706"/>
        <v>0</v>
      </c>
      <c r="I2572" s="294">
        <v>45059</v>
      </c>
      <c r="J2572" s="294">
        <v>45274</v>
      </c>
      <c r="K2572" s="10">
        <f>0.8*0.94*14888</f>
        <v>11195.776</v>
      </c>
      <c r="L2572" s="11"/>
      <c r="M2572" s="11"/>
      <c r="N2572" s="100"/>
      <c r="O2572" s="11">
        <f t="shared" si="700"/>
        <v>11195.776</v>
      </c>
      <c r="P2572" s="11">
        <f t="shared" si="703"/>
        <v>11195.776</v>
      </c>
      <c r="Q2572" s="11">
        <v>1.5</v>
      </c>
      <c r="R2572" s="11">
        <f t="shared" si="704"/>
        <v>16793.664000000001</v>
      </c>
      <c r="S2572" s="11"/>
      <c r="T2572" s="136">
        <f t="shared" si="702"/>
        <v>0</v>
      </c>
    </row>
    <row r="2573" spans="1:20" ht="15.75" customHeight="1">
      <c r="A2573" s="149">
        <v>21</v>
      </c>
      <c r="B2573" s="273"/>
      <c r="C2573" s="28" t="s">
        <v>4201</v>
      </c>
      <c r="D2573" s="71">
        <v>400</v>
      </c>
      <c r="E2573" s="131">
        <f>ROUNDUP(R2573,-1)</f>
        <v>9320</v>
      </c>
      <c r="F2573" s="21">
        <f>+E2573*1.21</f>
        <v>11277.199999999999</v>
      </c>
      <c r="G2573" s="21"/>
      <c r="H2573" s="135">
        <f>ROUNDUP(T2573,-1)</f>
        <v>0</v>
      </c>
      <c r="I2573" s="294">
        <v>45273</v>
      </c>
      <c r="J2573" s="294"/>
      <c r="K2573" s="10">
        <f>0.6*10350</f>
        <v>6210</v>
      </c>
      <c r="L2573" s="11"/>
      <c r="M2573" s="11"/>
      <c r="N2573" s="100"/>
      <c r="O2573" s="11">
        <f>MIN(K2573:M2573)</f>
        <v>6210</v>
      </c>
      <c r="P2573" s="11">
        <f>+O2573</f>
        <v>6210</v>
      </c>
      <c r="Q2573" s="11">
        <v>1.5</v>
      </c>
      <c r="R2573" s="11">
        <f>+P2573*Q2573</f>
        <v>9315</v>
      </c>
      <c r="S2573" s="11"/>
      <c r="T2573" s="136">
        <f>+N2573*Q2573</f>
        <v>0</v>
      </c>
    </row>
    <row r="2574" spans="1:20" ht="15.75" customHeight="1">
      <c r="A2574" s="149">
        <v>19</v>
      </c>
      <c r="B2574" s="273"/>
      <c r="C2574" s="28" t="s">
        <v>3822</v>
      </c>
      <c r="D2574" s="71">
        <v>320</v>
      </c>
      <c r="E2574" s="131">
        <f t="shared" si="705"/>
        <v>1560</v>
      </c>
      <c r="F2574" s="21">
        <f t="shared" si="709"/>
        <v>1887.6</v>
      </c>
      <c r="G2574" s="21"/>
      <c r="H2574" s="135">
        <f t="shared" si="706"/>
        <v>0</v>
      </c>
      <c r="I2574" s="294"/>
      <c r="J2574" s="294">
        <v>44762</v>
      </c>
      <c r="K2574" s="10">
        <f>0.65*1170*1.2</f>
        <v>912.6</v>
      </c>
      <c r="L2574" s="11"/>
      <c r="M2574" s="11"/>
      <c r="N2574" s="100"/>
      <c r="O2574" s="11">
        <f t="shared" si="700"/>
        <v>912.6</v>
      </c>
      <c r="P2574" s="11">
        <f t="shared" si="703"/>
        <v>912.6</v>
      </c>
      <c r="Q2574" s="11">
        <v>1.7</v>
      </c>
      <c r="R2574" s="11">
        <f t="shared" si="704"/>
        <v>1551.42</v>
      </c>
      <c r="S2574" s="11"/>
      <c r="T2574" s="136">
        <f t="shared" si="702"/>
        <v>0</v>
      </c>
    </row>
    <row r="2575" spans="1:20" ht="15.75" customHeight="1">
      <c r="A2575" s="149">
        <v>21</v>
      </c>
      <c r="B2575" s="273"/>
      <c r="C2575" s="28" t="s">
        <v>4194</v>
      </c>
      <c r="D2575" s="71">
        <v>400</v>
      </c>
      <c r="E2575" s="131">
        <f t="shared" si="705"/>
        <v>7980</v>
      </c>
      <c r="F2575" s="21">
        <f t="shared" si="709"/>
        <v>9655.7999999999993</v>
      </c>
      <c r="G2575" s="21"/>
      <c r="H2575" s="135">
        <f t="shared" si="706"/>
        <v>0</v>
      </c>
      <c r="I2575" s="294">
        <v>45273</v>
      </c>
      <c r="J2575" s="294">
        <v>45355</v>
      </c>
      <c r="K2575" s="10">
        <f>0.6*8862</f>
        <v>5317.2</v>
      </c>
      <c r="L2575" s="11"/>
      <c r="M2575" s="11"/>
      <c r="N2575" s="100"/>
      <c r="O2575" s="11">
        <f t="shared" si="700"/>
        <v>5317.2</v>
      </c>
      <c r="P2575" s="11">
        <f t="shared" si="703"/>
        <v>5317.2</v>
      </c>
      <c r="Q2575" s="11">
        <v>1.5</v>
      </c>
      <c r="R2575" s="11">
        <f t="shared" si="704"/>
        <v>7975.7999999999993</v>
      </c>
      <c r="S2575" s="11"/>
      <c r="T2575" s="136">
        <f t="shared" si="702"/>
        <v>0</v>
      </c>
    </row>
    <row r="2576" spans="1:20" ht="15.75" customHeight="1">
      <c r="A2576" s="149">
        <v>21</v>
      </c>
      <c r="B2576" s="273"/>
      <c r="C2576" s="28" t="s">
        <v>4195</v>
      </c>
      <c r="D2576" s="71">
        <v>400</v>
      </c>
      <c r="E2576" s="131">
        <f t="shared" si="705"/>
        <v>9280</v>
      </c>
      <c r="F2576" s="21">
        <f t="shared" si="709"/>
        <v>11228.8</v>
      </c>
      <c r="G2576" s="21"/>
      <c r="H2576" s="135">
        <f t="shared" si="706"/>
        <v>0</v>
      </c>
      <c r="I2576" s="294">
        <v>45273</v>
      </c>
      <c r="J2576" s="294">
        <v>45355</v>
      </c>
      <c r="K2576" s="10">
        <f>0.6*10304</f>
        <v>6182.4</v>
      </c>
      <c r="L2576" s="11"/>
      <c r="M2576" s="11"/>
      <c r="N2576" s="100"/>
      <c r="O2576" s="11">
        <f t="shared" si="700"/>
        <v>6182.4</v>
      </c>
      <c r="P2576" s="11">
        <f t="shared" si="703"/>
        <v>6182.4</v>
      </c>
      <c r="Q2576" s="11">
        <v>1.5</v>
      </c>
      <c r="R2576" s="11">
        <f t="shared" si="704"/>
        <v>9273.5999999999985</v>
      </c>
      <c r="S2576" s="11"/>
      <c r="T2576" s="136">
        <f t="shared" si="702"/>
        <v>0</v>
      </c>
    </row>
    <row r="2577" spans="1:20" ht="15.75" customHeight="1">
      <c r="A2577" s="149">
        <v>21</v>
      </c>
      <c r="B2577" s="273"/>
      <c r="C2577" s="28" t="s">
        <v>4196</v>
      </c>
      <c r="D2577" s="71">
        <v>430</v>
      </c>
      <c r="E2577" s="131">
        <f t="shared" si="705"/>
        <v>9830</v>
      </c>
      <c r="F2577" s="21">
        <f t="shared" si="709"/>
        <v>11894.3</v>
      </c>
      <c r="G2577" s="21"/>
      <c r="H2577" s="135">
        <f t="shared" si="706"/>
        <v>0</v>
      </c>
      <c r="I2577" s="294">
        <v>45273</v>
      </c>
      <c r="J2577" s="294">
        <v>45355</v>
      </c>
      <c r="K2577" s="10">
        <f>0.6*10912</f>
        <v>6547.2</v>
      </c>
      <c r="L2577" s="11"/>
      <c r="M2577" s="11"/>
      <c r="N2577" s="100"/>
      <c r="O2577" s="11">
        <f t="shared" si="700"/>
        <v>6547.2</v>
      </c>
      <c r="P2577" s="11">
        <f t="shared" si="703"/>
        <v>6547.2</v>
      </c>
      <c r="Q2577" s="11">
        <v>1.5</v>
      </c>
      <c r="R2577" s="11">
        <f t="shared" si="704"/>
        <v>9820.7999999999993</v>
      </c>
      <c r="S2577" s="11"/>
      <c r="T2577" s="136">
        <f t="shared" si="702"/>
        <v>0</v>
      </c>
    </row>
    <row r="2578" spans="1:20" ht="15.75" customHeight="1">
      <c r="A2578" s="149">
        <v>21</v>
      </c>
      <c r="B2578" s="273"/>
      <c r="C2578" s="28" t="s">
        <v>37225</v>
      </c>
      <c r="D2578" s="71">
        <v>590</v>
      </c>
      <c r="E2578" s="131">
        <f t="shared" si="705"/>
        <v>13580</v>
      </c>
      <c r="F2578" s="21">
        <f t="shared" si="709"/>
        <v>16431.8</v>
      </c>
      <c r="G2578" s="21"/>
      <c r="H2578" s="135">
        <f t="shared" si="706"/>
        <v>0</v>
      </c>
      <c r="I2578" s="294">
        <v>45273</v>
      </c>
      <c r="J2578" s="294">
        <v>45355</v>
      </c>
      <c r="K2578" s="10">
        <f>0.6*15081</f>
        <v>9048.6</v>
      </c>
      <c r="L2578" s="11"/>
      <c r="M2578" s="11"/>
      <c r="N2578" s="100"/>
      <c r="O2578" s="11">
        <f t="shared" si="700"/>
        <v>9048.6</v>
      </c>
      <c r="P2578" s="11">
        <f t="shared" si="703"/>
        <v>9048.6</v>
      </c>
      <c r="Q2578" s="11">
        <v>1.5</v>
      </c>
      <c r="R2578" s="11">
        <f t="shared" si="704"/>
        <v>13572.900000000001</v>
      </c>
      <c r="S2578" s="11"/>
      <c r="T2578" s="136">
        <f t="shared" si="702"/>
        <v>0</v>
      </c>
    </row>
    <row r="2579" spans="1:20" ht="15.75" customHeight="1">
      <c r="A2579" s="149">
        <v>21</v>
      </c>
      <c r="B2579" s="273"/>
      <c r="C2579" s="28" t="s">
        <v>4197</v>
      </c>
      <c r="D2579" s="71">
        <v>460</v>
      </c>
      <c r="E2579" s="131">
        <f t="shared" si="705"/>
        <v>10570</v>
      </c>
      <c r="F2579" s="21">
        <f t="shared" ref="F2579:F2598" si="710">+E2579*1.21</f>
        <v>12789.699999999999</v>
      </c>
      <c r="G2579" s="21"/>
      <c r="H2579" s="135">
        <f t="shared" si="706"/>
        <v>0</v>
      </c>
      <c r="I2579" s="294">
        <v>45273</v>
      </c>
      <c r="J2579" s="294">
        <v>45355</v>
      </c>
      <c r="K2579" s="10">
        <f>0.6*11738</f>
        <v>7042.8</v>
      </c>
      <c r="L2579" s="11"/>
      <c r="M2579" s="11"/>
      <c r="N2579" s="100"/>
      <c r="O2579" s="11">
        <f t="shared" si="700"/>
        <v>7042.8</v>
      </c>
      <c r="P2579" s="11">
        <f t="shared" si="703"/>
        <v>7042.8</v>
      </c>
      <c r="Q2579" s="11">
        <v>1.5</v>
      </c>
      <c r="R2579" s="11">
        <f t="shared" si="704"/>
        <v>10564.2</v>
      </c>
      <c r="S2579" s="11"/>
      <c r="T2579" s="136">
        <f t="shared" si="702"/>
        <v>0</v>
      </c>
    </row>
    <row r="2580" spans="1:20" ht="15.75" customHeight="1">
      <c r="A2580" s="149">
        <v>21</v>
      </c>
      <c r="B2580" s="273"/>
      <c r="C2580" s="28" t="s">
        <v>4198</v>
      </c>
      <c r="D2580" s="71">
        <v>240</v>
      </c>
      <c r="E2580" s="131">
        <f t="shared" si="705"/>
        <v>8130</v>
      </c>
      <c r="F2580" s="21">
        <f t="shared" si="710"/>
        <v>9837.2999999999993</v>
      </c>
      <c r="G2580" s="21">
        <f>162810*1.3</f>
        <v>211653</v>
      </c>
      <c r="H2580" s="135">
        <f t="shared" si="706"/>
        <v>0</v>
      </c>
      <c r="I2580" s="294">
        <v>45273</v>
      </c>
      <c r="J2580" s="294">
        <v>45355</v>
      </c>
      <c r="K2580" s="10">
        <f>0.6*9026</f>
        <v>5415.5999999999995</v>
      </c>
      <c r="L2580" s="11"/>
      <c r="M2580" s="11"/>
      <c r="N2580" s="100"/>
      <c r="O2580" s="11">
        <f t="shared" si="700"/>
        <v>5415.5999999999995</v>
      </c>
      <c r="P2580" s="11">
        <f t="shared" si="703"/>
        <v>5415.5999999999995</v>
      </c>
      <c r="Q2580" s="11">
        <v>1.5</v>
      </c>
      <c r="R2580" s="11">
        <f t="shared" si="704"/>
        <v>8123.4</v>
      </c>
      <c r="S2580" s="11"/>
      <c r="T2580" s="136">
        <f t="shared" si="702"/>
        <v>0</v>
      </c>
    </row>
    <row r="2581" spans="1:20" ht="15.75" customHeight="1">
      <c r="A2581" s="149" t="s">
        <v>2387</v>
      </c>
      <c r="B2581" s="273"/>
      <c r="C2581" s="36" t="s">
        <v>1960</v>
      </c>
      <c r="D2581" s="71">
        <v>0</v>
      </c>
      <c r="E2581" s="131">
        <f t="shared" si="705"/>
        <v>0</v>
      </c>
      <c r="F2581" s="21">
        <f t="shared" si="710"/>
        <v>0</v>
      </c>
      <c r="G2581" s="21"/>
      <c r="H2581" s="135">
        <f t="shared" si="706"/>
        <v>0</v>
      </c>
      <c r="I2581" s="294">
        <v>44840</v>
      </c>
      <c r="J2581" s="294"/>
      <c r="K2581" s="10">
        <f>+PROVEEDORES!D18*0.5*20.12</f>
        <v>10663.6</v>
      </c>
      <c r="L2581" s="11">
        <v>1951</v>
      </c>
      <c r="M2581" s="11"/>
      <c r="N2581" s="100"/>
      <c r="O2581" s="11">
        <f t="shared" si="700"/>
        <v>1951</v>
      </c>
      <c r="P2581" s="11">
        <f t="shared" si="703"/>
        <v>1951</v>
      </c>
      <c r="Q2581" s="11"/>
      <c r="R2581" s="11">
        <f t="shared" si="704"/>
        <v>0</v>
      </c>
      <c r="S2581" s="11"/>
      <c r="T2581" s="136">
        <f t="shared" si="702"/>
        <v>0</v>
      </c>
    </row>
    <row r="2582" spans="1:20" ht="15.75" customHeight="1">
      <c r="A2582" s="149" t="s">
        <v>2387</v>
      </c>
      <c r="B2582" s="273"/>
      <c r="C2582" s="28" t="s">
        <v>1961</v>
      </c>
      <c r="D2582" s="71">
        <v>1890</v>
      </c>
      <c r="E2582" s="131">
        <f t="shared" si="705"/>
        <v>0</v>
      </c>
      <c r="F2582" s="21">
        <f t="shared" si="710"/>
        <v>0</v>
      </c>
      <c r="G2582" s="21"/>
      <c r="H2582" s="135">
        <f t="shared" si="706"/>
        <v>0</v>
      </c>
      <c r="I2582" s="294">
        <v>44840</v>
      </c>
      <c r="J2582" s="294"/>
      <c r="K2582" s="11">
        <f>+PROVEEDORES!$D$18*0.5*41.93</f>
        <v>22222.9</v>
      </c>
      <c r="L2582" s="11">
        <v>4087</v>
      </c>
      <c r="M2582" s="11"/>
      <c r="N2582" s="100"/>
      <c r="O2582" s="11">
        <f t="shared" si="700"/>
        <v>4087</v>
      </c>
      <c r="P2582" s="11">
        <f t="shared" si="703"/>
        <v>4087</v>
      </c>
      <c r="Q2582" s="11"/>
      <c r="R2582" s="11">
        <f t="shared" si="704"/>
        <v>0</v>
      </c>
      <c r="S2582" s="11"/>
      <c r="T2582" s="136">
        <f t="shared" si="702"/>
        <v>0</v>
      </c>
    </row>
    <row r="2583" spans="1:20" ht="15.75" customHeight="1">
      <c r="A2583" s="149" t="s">
        <v>2387</v>
      </c>
      <c r="B2583" s="273"/>
      <c r="C2583" s="28" t="s">
        <v>1962</v>
      </c>
      <c r="D2583" s="71"/>
      <c r="E2583" s="131">
        <f t="shared" si="705"/>
        <v>0</v>
      </c>
      <c r="F2583" s="21">
        <f t="shared" si="710"/>
        <v>0</v>
      </c>
      <c r="G2583" s="21"/>
      <c r="H2583" s="135">
        <f t="shared" si="706"/>
        <v>0</v>
      </c>
      <c r="I2583" s="294">
        <v>44840</v>
      </c>
      <c r="J2583" s="294"/>
      <c r="K2583" s="10">
        <f>762*1.45*1.1*3*2</f>
        <v>7292.3399999999992</v>
      </c>
      <c r="L2583" s="11">
        <v>4305</v>
      </c>
      <c r="M2583" s="11"/>
      <c r="N2583" s="100"/>
      <c r="O2583" s="11">
        <f t="shared" si="700"/>
        <v>4305</v>
      </c>
      <c r="P2583" s="11">
        <f t="shared" si="703"/>
        <v>4305</v>
      </c>
      <c r="Q2583" s="11"/>
      <c r="R2583" s="11">
        <f t="shared" si="704"/>
        <v>0</v>
      </c>
      <c r="S2583" s="11"/>
      <c r="T2583" s="136">
        <f t="shared" si="702"/>
        <v>0</v>
      </c>
    </row>
    <row r="2584" spans="1:20" ht="15.75" customHeight="1">
      <c r="A2584" s="149" t="s">
        <v>2387</v>
      </c>
      <c r="B2584" s="273"/>
      <c r="C2584" s="28" t="s">
        <v>1963</v>
      </c>
      <c r="D2584" s="71">
        <v>0</v>
      </c>
      <c r="E2584" s="131">
        <f t="shared" si="705"/>
        <v>0</v>
      </c>
      <c r="F2584" s="21">
        <f t="shared" si="710"/>
        <v>0</v>
      </c>
      <c r="G2584" s="21"/>
      <c r="H2584" s="135">
        <f t="shared" si="706"/>
        <v>0</v>
      </c>
      <c r="I2584" s="294">
        <v>44840</v>
      </c>
      <c r="J2584" s="294"/>
      <c r="K2584" s="11">
        <f>+PROVEEDORES!$D$18*0.5*22.14</f>
        <v>11734.2</v>
      </c>
      <c r="L2584" s="11">
        <v>2137</v>
      </c>
      <c r="M2584" s="11"/>
      <c r="N2584" s="100"/>
      <c r="O2584" s="11">
        <f t="shared" ref="O2584:O2660" si="711">MIN(K2584:M2584)</f>
        <v>2137</v>
      </c>
      <c r="P2584" s="11">
        <f t="shared" si="703"/>
        <v>2137</v>
      </c>
      <c r="Q2584" s="11"/>
      <c r="R2584" s="11">
        <f t="shared" si="704"/>
        <v>0</v>
      </c>
      <c r="S2584" s="11"/>
      <c r="T2584" s="136">
        <f t="shared" si="702"/>
        <v>0</v>
      </c>
    </row>
    <row r="2585" spans="1:20" ht="15.75" customHeight="1">
      <c r="A2585" s="149" t="s">
        <v>2387</v>
      </c>
      <c r="B2585" s="273"/>
      <c r="C2585" s="28" t="s">
        <v>1964</v>
      </c>
      <c r="D2585" s="71">
        <v>1950</v>
      </c>
      <c r="E2585" s="131">
        <f t="shared" si="705"/>
        <v>0</v>
      </c>
      <c r="F2585" s="21">
        <f t="shared" si="710"/>
        <v>0</v>
      </c>
      <c r="G2585" s="21"/>
      <c r="H2585" s="135">
        <f t="shared" si="706"/>
        <v>0</v>
      </c>
      <c r="I2585" s="294">
        <v>44840</v>
      </c>
      <c r="J2585" s="294"/>
      <c r="K2585" s="10">
        <f>+PROVEEDORES!D18*0.5*43.43*2</f>
        <v>46035.8</v>
      </c>
      <c r="L2585" s="11">
        <v>4273</v>
      </c>
      <c r="M2585" s="11"/>
      <c r="N2585" s="100"/>
      <c r="O2585" s="11">
        <f t="shared" si="711"/>
        <v>4273</v>
      </c>
      <c r="P2585" s="11">
        <f t="shared" si="703"/>
        <v>4273</v>
      </c>
      <c r="Q2585" s="11"/>
      <c r="R2585" s="11">
        <f t="shared" si="704"/>
        <v>0</v>
      </c>
      <c r="S2585" s="11"/>
      <c r="T2585" s="136">
        <f t="shared" si="702"/>
        <v>0</v>
      </c>
    </row>
    <row r="2586" spans="1:20" ht="15.75" customHeight="1">
      <c r="A2586" s="149" t="s">
        <v>2387</v>
      </c>
      <c r="B2586" s="273"/>
      <c r="C2586" s="28" t="s">
        <v>1965</v>
      </c>
      <c r="D2586" s="71">
        <v>0</v>
      </c>
      <c r="E2586" s="131">
        <f t="shared" si="705"/>
        <v>0</v>
      </c>
      <c r="F2586" s="21">
        <f t="shared" si="710"/>
        <v>0</v>
      </c>
      <c r="G2586" s="21"/>
      <c r="H2586" s="135">
        <f t="shared" si="706"/>
        <v>0</v>
      </c>
      <c r="I2586" s="294">
        <v>44207</v>
      </c>
      <c r="J2586" s="294"/>
      <c r="K2586" s="10"/>
      <c r="L2586" s="11"/>
      <c r="M2586" s="11"/>
      <c r="N2586" s="100"/>
      <c r="O2586" s="11">
        <f t="shared" si="711"/>
        <v>0</v>
      </c>
      <c r="P2586" s="11">
        <f t="shared" si="703"/>
        <v>0</v>
      </c>
      <c r="Q2586" s="11"/>
      <c r="R2586" s="11">
        <f t="shared" si="704"/>
        <v>0</v>
      </c>
      <c r="S2586" s="11"/>
      <c r="T2586" s="136">
        <f t="shared" si="702"/>
        <v>0</v>
      </c>
    </row>
    <row r="2587" spans="1:20" ht="15.75" customHeight="1">
      <c r="A2587" s="149" t="s">
        <v>2387</v>
      </c>
      <c r="B2587" s="273"/>
      <c r="C2587" s="28" t="s">
        <v>1966</v>
      </c>
      <c r="D2587" s="71">
        <v>2150</v>
      </c>
      <c r="E2587" s="131">
        <f t="shared" si="705"/>
        <v>0</v>
      </c>
      <c r="F2587" s="21">
        <f t="shared" si="710"/>
        <v>0</v>
      </c>
      <c r="G2587" s="21"/>
      <c r="H2587" s="135">
        <f t="shared" si="706"/>
        <v>0</v>
      </c>
      <c r="I2587" s="294">
        <v>44840</v>
      </c>
      <c r="J2587" s="294"/>
      <c r="K2587" s="10">
        <f>+PROVEEDORES!D18*0.5*47.63*2</f>
        <v>50487.8</v>
      </c>
      <c r="L2587" s="11">
        <v>4738</v>
      </c>
      <c r="M2587" s="11"/>
      <c r="N2587" s="100"/>
      <c r="O2587" s="11">
        <f t="shared" si="711"/>
        <v>4738</v>
      </c>
      <c r="P2587" s="11">
        <f t="shared" si="703"/>
        <v>4738</v>
      </c>
      <c r="Q2587" s="11"/>
      <c r="R2587" s="11">
        <f t="shared" si="704"/>
        <v>0</v>
      </c>
      <c r="S2587" s="11"/>
      <c r="T2587" s="136">
        <f t="shared" si="702"/>
        <v>0</v>
      </c>
    </row>
    <row r="2588" spans="1:20" ht="15.75" customHeight="1">
      <c r="A2588" s="149">
        <v>18</v>
      </c>
      <c r="B2588" s="273"/>
      <c r="C2588" s="28" t="s">
        <v>2948</v>
      </c>
      <c r="D2588" s="71">
        <v>3020</v>
      </c>
      <c r="E2588" s="131">
        <f t="shared" si="705"/>
        <v>98800</v>
      </c>
      <c r="F2588" s="21">
        <f t="shared" si="710"/>
        <v>119548</v>
      </c>
      <c r="G2588" s="21"/>
      <c r="H2588" s="135">
        <f t="shared" si="706"/>
        <v>0</v>
      </c>
      <c r="I2588" s="294">
        <v>45323</v>
      </c>
      <c r="J2588" s="294"/>
      <c r="K2588" s="11">
        <f>0.8*0.94*0.98*83782</f>
        <v>61743.982719999993</v>
      </c>
      <c r="L2588" s="11"/>
      <c r="M2588" s="11"/>
      <c r="N2588" s="100"/>
      <c r="O2588" s="11">
        <f t="shared" si="711"/>
        <v>61743.982719999993</v>
      </c>
      <c r="P2588" s="11">
        <f>+O2588*'AUMENTOS %'!$B$5</f>
        <v>61743.982719999993</v>
      </c>
      <c r="Q2588" s="11">
        <v>1.6</v>
      </c>
      <c r="R2588" s="11">
        <f t="shared" si="704"/>
        <v>98790.372351999991</v>
      </c>
      <c r="S2588" s="11"/>
      <c r="T2588" s="136">
        <f t="shared" si="702"/>
        <v>0</v>
      </c>
    </row>
    <row r="2589" spans="1:20" ht="15.75" customHeight="1">
      <c r="A2589" s="149">
        <v>18</v>
      </c>
      <c r="B2589" s="273"/>
      <c r="C2589" s="28" t="s">
        <v>2946</v>
      </c>
      <c r="D2589" s="71">
        <v>3290</v>
      </c>
      <c r="E2589" s="131">
        <f t="shared" si="705"/>
        <v>91390</v>
      </c>
      <c r="F2589" s="21">
        <f t="shared" si="710"/>
        <v>110581.9</v>
      </c>
      <c r="G2589" s="21"/>
      <c r="H2589" s="135">
        <f t="shared" si="706"/>
        <v>0</v>
      </c>
      <c r="I2589" s="294">
        <v>45323</v>
      </c>
      <c r="J2589" s="294"/>
      <c r="K2589" s="11">
        <f>0.8*0.98*0.94*77499</f>
        <v>57113.663039999999</v>
      </c>
      <c r="L2589" s="11"/>
      <c r="M2589" s="11"/>
      <c r="N2589" s="100"/>
      <c r="O2589" s="11">
        <f t="shared" si="711"/>
        <v>57113.663039999999</v>
      </c>
      <c r="P2589" s="11">
        <f>+O2589*'AUMENTOS %'!$B$5</f>
        <v>57113.663039999999</v>
      </c>
      <c r="Q2589" s="11">
        <v>1.6</v>
      </c>
      <c r="R2589" s="11">
        <f t="shared" si="704"/>
        <v>91381.860864000002</v>
      </c>
      <c r="S2589" s="11"/>
      <c r="T2589" s="136">
        <f t="shared" si="702"/>
        <v>0</v>
      </c>
    </row>
    <row r="2590" spans="1:20" ht="15.75" customHeight="1">
      <c r="A2590" s="149">
        <v>18</v>
      </c>
      <c r="B2590" s="273"/>
      <c r="C2590" s="28" t="s">
        <v>2947</v>
      </c>
      <c r="D2590" s="71">
        <v>3940</v>
      </c>
      <c r="E2590" s="131">
        <f t="shared" si="705"/>
        <v>104060</v>
      </c>
      <c r="F2590" s="21">
        <f t="shared" si="710"/>
        <v>125912.59999999999</v>
      </c>
      <c r="G2590" s="21"/>
      <c r="H2590" s="135">
        <f t="shared" si="706"/>
        <v>0</v>
      </c>
      <c r="I2590" s="294">
        <v>45323</v>
      </c>
      <c r="J2590" s="294"/>
      <c r="K2590" s="11">
        <f>0.8*0.98*0.94*88249</f>
        <v>65035.983039999992</v>
      </c>
      <c r="L2590" s="11"/>
      <c r="M2590" s="11"/>
      <c r="N2590" s="100"/>
      <c r="O2590" s="11">
        <f t="shared" si="711"/>
        <v>65035.983039999992</v>
      </c>
      <c r="P2590" s="11">
        <f>+O2590*'AUMENTOS %'!$B$5</f>
        <v>65035.983039999992</v>
      </c>
      <c r="Q2590" s="11">
        <v>1.6</v>
      </c>
      <c r="R2590" s="11">
        <f t="shared" si="704"/>
        <v>104057.57286399999</v>
      </c>
      <c r="S2590" s="11"/>
      <c r="T2590" s="136">
        <f t="shared" si="702"/>
        <v>0</v>
      </c>
    </row>
    <row r="2591" spans="1:20" ht="15.75" customHeight="1">
      <c r="A2591" s="149" t="s">
        <v>2398</v>
      </c>
      <c r="B2591" s="273">
        <f>ROUNDUP(E2591*1.105,-1)</f>
        <v>256030</v>
      </c>
      <c r="C2591" s="36" t="s">
        <v>37183</v>
      </c>
      <c r="D2591" s="71">
        <v>10800</v>
      </c>
      <c r="E2591" s="131">
        <f t="shared" si="705"/>
        <v>231700</v>
      </c>
      <c r="F2591" s="21">
        <f t="shared" si="710"/>
        <v>280357</v>
      </c>
      <c r="G2591" s="21"/>
      <c r="H2591" s="135">
        <f t="shared" si="706"/>
        <v>0</v>
      </c>
      <c r="I2591" s="23">
        <v>45323</v>
      </c>
      <c r="J2591" s="294"/>
      <c r="K2591" s="11">
        <f>0.8*0.98*0.94*0.95*245144</f>
        <v>171628.25612799998</v>
      </c>
      <c r="L2591" s="11"/>
      <c r="M2591" s="11"/>
      <c r="N2591" s="100"/>
      <c r="O2591" s="11">
        <f t="shared" si="711"/>
        <v>171628.25612799998</v>
      </c>
      <c r="P2591" s="11">
        <f>+O2591*'AUMENTOS %'!$B$5</f>
        <v>171628.25612799998</v>
      </c>
      <c r="Q2591" s="11">
        <v>1.35</v>
      </c>
      <c r="R2591" s="11">
        <f t="shared" si="704"/>
        <v>231698.1457728</v>
      </c>
      <c r="S2591" s="11"/>
      <c r="T2591" s="136">
        <f t="shared" si="702"/>
        <v>0</v>
      </c>
    </row>
    <row r="2592" spans="1:20" ht="15.75" customHeight="1">
      <c r="A2592" s="149" t="s">
        <v>2398</v>
      </c>
      <c r="B2592" s="273">
        <f t="shared" ref="B2592:B2630" si="712">ROUNDUP(E2592*1.105,-1)</f>
        <v>340120</v>
      </c>
      <c r="C2592" s="28" t="s">
        <v>37184</v>
      </c>
      <c r="D2592" s="71">
        <v>12760</v>
      </c>
      <c r="E2592" s="131">
        <f t="shared" si="705"/>
        <v>307800</v>
      </c>
      <c r="F2592" s="21">
        <f t="shared" si="710"/>
        <v>372438</v>
      </c>
      <c r="G2592" s="21"/>
      <c r="H2592" s="135">
        <f t="shared" si="706"/>
        <v>0</v>
      </c>
      <c r="I2592" s="23">
        <v>45323</v>
      </c>
      <c r="J2592" s="294"/>
      <c r="K2592" s="10">
        <f>0.8*0.98*0.94*0.95*318580</f>
        <v>223041.68096</v>
      </c>
      <c r="L2592" s="10"/>
      <c r="M2592" s="11"/>
      <c r="N2592" s="100"/>
      <c r="O2592" s="11">
        <f t="shared" si="711"/>
        <v>223041.68096</v>
      </c>
      <c r="P2592" s="11">
        <f>+O2592*'AUMENTOS %'!$B$5</f>
        <v>223041.68096</v>
      </c>
      <c r="Q2592" s="11">
        <v>1.38</v>
      </c>
      <c r="R2592" s="11">
        <f t="shared" si="704"/>
        <v>307797.51972479996</v>
      </c>
      <c r="S2592" s="11"/>
      <c r="T2592" s="136">
        <f t="shared" si="702"/>
        <v>0</v>
      </c>
    </row>
    <row r="2593" spans="1:20" ht="15.75" customHeight="1">
      <c r="A2593" s="149">
        <v>38</v>
      </c>
      <c r="B2593" s="273">
        <f t="shared" ref="B2593" si="713">ROUNDUP(E2593*1.105,-1)</f>
        <v>145950</v>
      </c>
      <c r="C2593" s="28" t="s">
        <v>62631</v>
      </c>
      <c r="D2593" s="71"/>
      <c r="E2593" s="131">
        <f t="shared" si="705"/>
        <v>132080</v>
      </c>
      <c r="F2593" s="21">
        <f t="shared" si="710"/>
        <v>159816.79999999999</v>
      </c>
      <c r="G2593" s="21">
        <f>+H2593*1.21</f>
        <v>150100.5</v>
      </c>
      <c r="H2593" s="135">
        <f t="shared" si="706"/>
        <v>124050</v>
      </c>
      <c r="I2593" s="294">
        <v>45138</v>
      </c>
      <c r="J2593" s="294">
        <v>45348</v>
      </c>
      <c r="K2593" s="10">
        <f>+PROVEEDORES!D18*89</f>
        <v>94340</v>
      </c>
      <c r="L2593" s="38"/>
      <c r="M2593" s="11"/>
      <c r="N2593" s="100">
        <v>88604</v>
      </c>
      <c r="O2593" s="11">
        <f t="shared" ref="O2593" si="714">MIN(K2593:M2593)</f>
        <v>94340</v>
      </c>
      <c r="P2593" s="11">
        <f t="shared" ref="P2593" si="715">+O2593</f>
        <v>94340</v>
      </c>
      <c r="Q2593" s="11">
        <v>1.4</v>
      </c>
      <c r="R2593" s="11">
        <f t="shared" si="704"/>
        <v>132076</v>
      </c>
      <c r="S2593" s="11"/>
      <c r="T2593" s="136">
        <f t="shared" si="702"/>
        <v>124045.59999999999</v>
      </c>
    </row>
    <row r="2594" spans="1:20" ht="15.75" customHeight="1">
      <c r="A2594" s="149" t="s">
        <v>2387</v>
      </c>
      <c r="B2594" s="273">
        <f t="shared" si="712"/>
        <v>211310</v>
      </c>
      <c r="C2594" s="28" t="s">
        <v>1967</v>
      </c>
      <c r="D2594" s="71">
        <v>22760</v>
      </c>
      <c r="E2594" s="131">
        <f t="shared" si="705"/>
        <v>191230</v>
      </c>
      <c r="F2594" s="21">
        <f t="shared" si="710"/>
        <v>231388.3</v>
      </c>
      <c r="G2594" s="21"/>
      <c r="H2594" s="135">
        <f t="shared" si="706"/>
        <v>0</v>
      </c>
      <c r="I2594" s="294">
        <v>45173</v>
      </c>
      <c r="J2594" s="294"/>
      <c r="K2594" s="10"/>
      <c r="L2594" s="11">
        <f>+'AUMENTOS %'!C12*141646</f>
        <v>141646</v>
      </c>
      <c r="M2594" s="11"/>
      <c r="N2594" s="100"/>
      <c r="O2594" s="11">
        <f t="shared" si="711"/>
        <v>141646</v>
      </c>
      <c r="P2594" s="11">
        <f>+O2594*'AUMENTOS %'!$D$12</f>
        <v>141646</v>
      </c>
      <c r="Q2594" s="11">
        <v>1.35</v>
      </c>
      <c r="R2594" s="11">
        <f t="shared" si="704"/>
        <v>191222.1</v>
      </c>
      <c r="S2594" s="11"/>
      <c r="T2594" s="136">
        <f t="shared" si="702"/>
        <v>0</v>
      </c>
    </row>
    <row r="2595" spans="1:20" ht="15.75" customHeight="1">
      <c r="A2595" s="149">
        <v>108</v>
      </c>
      <c r="B2595" s="273"/>
      <c r="C2595" s="28" t="s">
        <v>4555</v>
      </c>
      <c r="D2595" s="131"/>
      <c r="E2595" s="131">
        <f t="shared" si="705"/>
        <v>60030</v>
      </c>
      <c r="F2595" s="21">
        <f t="shared" si="710"/>
        <v>72636.3</v>
      </c>
      <c r="G2595" s="135"/>
      <c r="H2595" s="135">
        <f t="shared" si="706"/>
        <v>0</v>
      </c>
      <c r="I2595" s="294">
        <v>45252</v>
      </c>
      <c r="J2595" s="294">
        <v>45370</v>
      </c>
      <c r="K2595" s="10">
        <f>0.765*54113</f>
        <v>41396.445</v>
      </c>
      <c r="L2595" s="11"/>
      <c r="M2595" s="100"/>
      <c r="N2595" s="100"/>
      <c r="O2595" s="11">
        <f>MIN(K2595:M2595)</f>
        <v>41396.445</v>
      </c>
      <c r="P2595" s="11">
        <f>+O2595</f>
        <v>41396.445</v>
      </c>
      <c r="Q2595" s="11">
        <v>1.45</v>
      </c>
      <c r="R2595" s="11">
        <f t="shared" si="704"/>
        <v>60024.845249999998</v>
      </c>
      <c r="S2595" s="11"/>
      <c r="T2595" s="136">
        <f t="shared" si="702"/>
        <v>0</v>
      </c>
    </row>
    <row r="2596" spans="1:20" ht="15.75" customHeight="1">
      <c r="A2596" s="149" t="s">
        <v>2398</v>
      </c>
      <c r="B2596" s="273">
        <f t="shared" si="712"/>
        <v>92640</v>
      </c>
      <c r="C2596" s="28" t="s">
        <v>37185</v>
      </c>
      <c r="D2596" s="71">
        <v>3760</v>
      </c>
      <c r="E2596" s="131">
        <f t="shared" si="705"/>
        <v>83830</v>
      </c>
      <c r="F2596" s="21">
        <f t="shared" si="710"/>
        <v>101434.3</v>
      </c>
      <c r="G2596" s="21"/>
      <c r="H2596" s="135">
        <f t="shared" si="706"/>
        <v>0</v>
      </c>
      <c r="I2596" s="294">
        <v>45323</v>
      </c>
      <c r="J2596" s="294"/>
      <c r="K2596" s="10">
        <f>0.8*0.98*0.94*0.95*86765</f>
        <v>60745.217679999994</v>
      </c>
      <c r="L2596" s="11"/>
      <c r="M2596" s="11"/>
      <c r="N2596" s="100"/>
      <c r="O2596" s="11">
        <f t="shared" si="711"/>
        <v>60745.217679999994</v>
      </c>
      <c r="P2596" s="11">
        <f>+O2596*'AUMENTOS %'!$B$5</f>
        <v>60745.217679999994</v>
      </c>
      <c r="Q2596" s="11">
        <v>1.38</v>
      </c>
      <c r="R2596" s="11">
        <f t="shared" si="704"/>
        <v>83828.400398399986</v>
      </c>
      <c r="S2596" s="11"/>
      <c r="T2596" s="136">
        <f t="shared" si="702"/>
        <v>0</v>
      </c>
    </row>
    <row r="2597" spans="1:20" ht="15.75" customHeight="1">
      <c r="A2597" s="149" t="s">
        <v>2398</v>
      </c>
      <c r="B2597" s="273">
        <f t="shared" si="712"/>
        <v>115900</v>
      </c>
      <c r="C2597" s="36" t="s">
        <v>37186</v>
      </c>
      <c r="D2597" s="71">
        <v>4870</v>
      </c>
      <c r="E2597" s="131">
        <f t="shared" si="705"/>
        <v>104880</v>
      </c>
      <c r="F2597" s="21">
        <f t="shared" si="710"/>
        <v>126904.8</v>
      </c>
      <c r="G2597" s="21"/>
      <c r="H2597" s="135">
        <f t="shared" si="706"/>
        <v>0</v>
      </c>
      <c r="I2597" s="294">
        <v>45323</v>
      </c>
      <c r="J2597" s="294"/>
      <c r="K2597" s="10">
        <f>0.8*0.98*0.94*0.95*108552</f>
        <v>75998.557823999989</v>
      </c>
      <c r="L2597" s="11"/>
      <c r="M2597" s="11"/>
      <c r="N2597" s="100"/>
      <c r="O2597" s="11">
        <f t="shared" si="711"/>
        <v>75998.557823999989</v>
      </c>
      <c r="P2597" s="11">
        <f>+O2597*'AUMENTOS %'!$B$5</f>
        <v>75998.557823999989</v>
      </c>
      <c r="Q2597" s="11">
        <v>1.38</v>
      </c>
      <c r="R2597" s="11">
        <f t="shared" si="704"/>
        <v>104878.00979711997</v>
      </c>
      <c r="S2597" s="11"/>
      <c r="T2597" s="136">
        <f t="shared" si="702"/>
        <v>0</v>
      </c>
    </row>
    <row r="2598" spans="1:20" ht="15.75" customHeight="1">
      <c r="A2598" s="149" t="s">
        <v>2398</v>
      </c>
      <c r="B2598" s="273">
        <f t="shared" si="712"/>
        <v>0</v>
      </c>
      <c r="C2598" s="36" t="s">
        <v>1968</v>
      </c>
      <c r="D2598" s="71">
        <v>7300</v>
      </c>
      <c r="E2598" s="131">
        <f t="shared" si="705"/>
        <v>0</v>
      </c>
      <c r="F2598" s="21">
        <f t="shared" si="710"/>
        <v>0</v>
      </c>
      <c r="G2598" s="21"/>
      <c r="H2598" s="135">
        <f t="shared" si="706"/>
        <v>0</v>
      </c>
      <c r="I2598" s="294">
        <v>44630</v>
      </c>
      <c r="J2598" s="294"/>
      <c r="K2598" s="10">
        <f>7725*0.8*0.98*0.94*0.95*1.1*1.15*1.15*1.12*1.1*1.15*1.15</f>
        <v>12819.195300654201</v>
      </c>
      <c r="L2598" s="11"/>
      <c r="M2598" s="11"/>
      <c r="N2598" s="100"/>
      <c r="O2598" s="11">
        <f t="shared" si="711"/>
        <v>12819.195300654201</v>
      </c>
      <c r="P2598" s="11">
        <f>+O2598*'AUMENTOS %'!$B$5</f>
        <v>12819.195300654201</v>
      </c>
      <c r="Q2598" s="11"/>
      <c r="R2598" s="11">
        <f t="shared" si="704"/>
        <v>0</v>
      </c>
      <c r="S2598" s="11"/>
      <c r="T2598" s="136">
        <f t="shared" ref="T2598:T2673" si="716">+N2598*Q2598</f>
        <v>0</v>
      </c>
    </row>
    <row r="2599" spans="1:20" ht="15.75" customHeight="1">
      <c r="A2599" s="149" t="s">
        <v>2398</v>
      </c>
      <c r="B2599" s="273">
        <f>ROUNDUP(E2599*1.06,-1)</f>
        <v>1732670</v>
      </c>
      <c r="C2599" s="36" t="s">
        <v>37187</v>
      </c>
      <c r="D2599" s="71">
        <v>70280</v>
      </c>
      <c r="E2599" s="131">
        <f t="shared" si="705"/>
        <v>1634590</v>
      </c>
      <c r="F2599" s="21" t="s">
        <v>1248</v>
      </c>
      <c r="G2599" s="21">
        <f>+E2599*1.105</f>
        <v>1806221.95</v>
      </c>
      <c r="H2599" s="135">
        <f t="shared" si="706"/>
        <v>0</v>
      </c>
      <c r="I2599" s="23">
        <v>45323</v>
      </c>
      <c r="J2599" s="294"/>
      <c r="K2599" s="10">
        <f>0.8*0.98*0.94*0.95*1691844</f>
        <v>1184480.2865279999</v>
      </c>
      <c r="L2599" s="11"/>
      <c r="M2599" s="11"/>
      <c r="N2599" s="100"/>
      <c r="O2599" s="11">
        <f t="shared" si="711"/>
        <v>1184480.2865279999</v>
      </c>
      <c r="P2599" s="11">
        <f>+O2599*'AUMENTOS %'!$B$5</f>
        <v>1184480.2865279999</v>
      </c>
      <c r="Q2599" s="11">
        <v>1.38</v>
      </c>
      <c r="R2599" s="11">
        <f t="shared" si="704"/>
        <v>1634582.7954086398</v>
      </c>
      <c r="S2599" s="11"/>
      <c r="T2599" s="136">
        <f t="shared" si="716"/>
        <v>0</v>
      </c>
    </row>
    <row r="2600" spans="1:20" ht="15.75" customHeight="1">
      <c r="A2600" s="149" t="s">
        <v>2398</v>
      </c>
      <c r="B2600" s="273">
        <f t="shared" si="712"/>
        <v>0</v>
      </c>
      <c r="C2600" s="36" t="s">
        <v>1969</v>
      </c>
      <c r="D2600" s="71">
        <v>0</v>
      </c>
      <c r="E2600" s="131">
        <f t="shared" si="705"/>
        <v>0</v>
      </c>
      <c r="F2600" s="21">
        <f t="shared" ref="F2600:F2629" si="717">+E2600*1.21</f>
        <v>0</v>
      </c>
      <c r="G2600" s="21"/>
      <c r="H2600" s="135">
        <f t="shared" si="706"/>
        <v>0</v>
      </c>
      <c r="I2600" s="23">
        <v>45275</v>
      </c>
      <c r="J2600" s="294"/>
      <c r="K2600" s="10">
        <f>2740*0.737*1.35*1.15</f>
        <v>3135.08745</v>
      </c>
      <c r="L2600" s="42"/>
      <c r="M2600" s="11"/>
      <c r="N2600" s="100"/>
      <c r="O2600" s="11">
        <f t="shared" si="711"/>
        <v>3135.08745</v>
      </c>
      <c r="P2600" s="11">
        <f>+O2600*'AUMENTOS %'!$B$5</f>
        <v>3135.08745</v>
      </c>
      <c r="Q2600" s="11"/>
      <c r="R2600" s="11">
        <f t="shared" ref="R2600:R2670" si="718">+P2600*Q2600</f>
        <v>0</v>
      </c>
      <c r="S2600" s="11"/>
      <c r="T2600" s="136">
        <f t="shared" si="716"/>
        <v>0</v>
      </c>
    </row>
    <row r="2601" spans="1:20" ht="15.75" customHeight="1">
      <c r="A2601" s="149" t="s">
        <v>2398</v>
      </c>
      <c r="B2601" s="273">
        <f t="shared" si="712"/>
        <v>228810</v>
      </c>
      <c r="C2601" s="36" t="s">
        <v>37189</v>
      </c>
      <c r="D2601" s="71">
        <v>10420</v>
      </c>
      <c r="E2601" s="131">
        <f t="shared" si="705"/>
        <v>207060</v>
      </c>
      <c r="F2601" s="21">
        <f t="shared" si="717"/>
        <v>250542.6</v>
      </c>
      <c r="G2601" s="21"/>
      <c r="H2601" s="135">
        <f t="shared" si="706"/>
        <v>0</v>
      </c>
      <c r="I2601" s="23">
        <v>45323</v>
      </c>
      <c r="J2601" s="294"/>
      <c r="K2601" s="10">
        <f>0.8*0.98*0.94*0.95*219067</f>
        <v>153371.43550399999</v>
      </c>
      <c r="L2601" s="10"/>
      <c r="M2601" s="11"/>
      <c r="N2601" s="11"/>
      <c r="O2601" s="11">
        <f t="shared" si="711"/>
        <v>153371.43550399999</v>
      </c>
      <c r="P2601" s="11">
        <f>+O2601*'AUMENTOS %'!$B$5</f>
        <v>153371.43550399999</v>
      </c>
      <c r="Q2601" s="11">
        <v>1.35</v>
      </c>
      <c r="R2601" s="11">
        <f t="shared" si="718"/>
        <v>207051.43793040002</v>
      </c>
      <c r="S2601" s="11"/>
      <c r="T2601" s="136">
        <f t="shared" si="716"/>
        <v>0</v>
      </c>
    </row>
    <row r="2602" spans="1:20" ht="15.75" customHeight="1">
      <c r="A2602" s="149" t="s">
        <v>2398</v>
      </c>
      <c r="B2602" s="273">
        <v>70870</v>
      </c>
      <c r="C2602" s="36" t="s">
        <v>37190</v>
      </c>
      <c r="D2602" s="131">
        <v>64130</v>
      </c>
      <c r="E2602" s="131">
        <f>ROUNDUP(R2602,-1)</f>
        <v>227760</v>
      </c>
      <c r="F2602" s="21">
        <f>+E2602*1.21</f>
        <v>275589.59999999998</v>
      </c>
      <c r="G2602" s="21"/>
      <c r="H2602" s="135">
        <f>ROUNDUP(T2602,-1)</f>
        <v>0</v>
      </c>
      <c r="I2602" s="23">
        <v>45323</v>
      </c>
      <c r="J2602" s="294"/>
      <c r="K2602" s="10">
        <f>0.8*0.98*0.94*0.95*240974</f>
        <v>168708.78908799999</v>
      </c>
      <c r="L2602" s="10"/>
      <c r="M2602" s="11"/>
      <c r="N2602" s="11"/>
      <c r="O2602" s="11">
        <f t="shared" si="711"/>
        <v>168708.78908799999</v>
      </c>
      <c r="P2602" s="11">
        <f>+O2602*'AUMENTOS %'!$B$5</f>
        <v>168708.78908799999</v>
      </c>
      <c r="Q2602" s="11">
        <v>1.35</v>
      </c>
      <c r="R2602" s="11">
        <f>+P2602*Q2602</f>
        <v>227756.8652688</v>
      </c>
      <c r="S2602" s="11"/>
      <c r="T2602" s="136">
        <f>+N2602*Q2602</f>
        <v>0</v>
      </c>
    </row>
    <row r="2603" spans="1:20" ht="15.75" customHeight="1">
      <c r="A2603" s="149">
        <v>18</v>
      </c>
      <c r="B2603" s="273">
        <f t="shared" si="712"/>
        <v>1205960</v>
      </c>
      <c r="C2603" s="36" t="s">
        <v>37192</v>
      </c>
      <c r="D2603" s="71">
        <v>22390</v>
      </c>
      <c r="E2603" s="131">
        <f t="shared" si="705"/>
        <v>1091360</v>
      </c>
      <c r="F2603" s="21">
        <f t="shared" si="717"/>
        <v>1320545.5999999999</v>
      </c>
      <c r="G2603" s="21"/>
      <c r="H2603" s="135">
        <f t="shared" si="706"/>
        <v>0</v>
      </c>
      <c r="I2603" s="23">
        <v>45323</v>
      </c>
      <c r="J2603" s="294"/>
      <c r="K2603" s="10">
        <f>0.8*0.98*0.94*0.95*1154688</f>
        <v>808410.92505600001</v>
      </c>
      <c r="L2603" s="38"/>
      <c r="M2603" s="11"/>
      <c r="N2603" s="100"/>
      <c r="O2603" s="11">
        <f t="shared" si="711"/>
        <v>808410.92505600001</v>
      </c>
      <c r="P2603" s="11">
        <f>+O2603*'AUMENTOS %'!$B$5</f>
        <v>808410.92505600001</v>
      </c>
      <c r="Q2603" s="11">
        <v>1.35</v>
      </c>
      <c r="R2603" s="11">
        <f t="shared" si="718"/>
        <v>1091354.7488256001</v>
      </c>
      <c r="S2603" s="11"/>
      <c r="T2603" s="136">
        <f t="shared" si="716"/>
        <v>0</v>
      </c>
    </row>
    <row r="2604" spans="1:20" ht="15.75" customHeight="1">
      <c r="A2604" s="149">
        <v>18</v>
      </c>
      <c r="B2604" s="273">
        <f t="shared" ref="B2604" si="719">ROUNDUP(E2604*1.105,-1)</f>
        <v>476220</v>
      </c>
      <c r="C2604" s="36" t="s">
        <v>62696</v>
      </c>
      <c r="D2604" s="71">
        <v>22390</v>
      </c>
      <c r="E2604" s="131">
        <f t="shared" ref="E2604" si="720">ROUNDUP(R2604,-1)</f>
        <v>430960</v>
      </c>
      <c r="F2604" s="21">
        <f t="shared" ref="F2604" si="721">+E2604*1.21</f>
        <v>521461.6</v>
      </c>
      <c r="G2604" s="21"/>
      <c r="H2604" s="135">
        <f t="shared" ref="H2604" si="722">ROUNDUP(T2604,-1)</f>
        <v>0</v>
      </c>
      <c r="I2604" s="23">
        <v>45385</v>
      </c>
      <c r="J2604" s="294"/>
      <c r="K2604" s="10">
        <f>0.8*0.98*0.94*0.95*455960</f>
        <v>319223.06751999998</v>
      </c>
      <c r="L2604" s="38"/>
      <c r="M2604" s="11"/>
      <c r="N2604" s="100"/>
      <c r="O2604" s="11">
        <f t="shared" ref="O2604" si="723">MIN(K2604:M2604)</f>
        <v>319223.06751999998</v>
      </c>
      <c r="P2604" s="11">
        <f>+O2604*'AUMENTOS %'!$B$5</f>
        <v>319223.06751999998</v>
      </c>
      <c r="Q2604" s="11">
        <v>1.35</v>
      </c>
      <c r="R2604" s="11">
        <f t="shared" ref="R2604" si="724">+P2604*Q2604</f>
        <v>430951.141152</v>
      </c>
      <c r="S2604" s="11"/>
      <c r="T2604" s="136">
        <f t="shared" ref="T2604" si="725">+N2604*Q2604</f>
        <v>0</v>
      </c>
    </row>
    <row r="2605" spans="1:20" ht="15.75" customHeight="1">
      <c r="A2605" s="149" t="s">
        <v>2398</v>
      </c>
      <c r="B2605" s="273">
        <f t="shared" si="712"/>
        <v>417320</v>
      </c>
      <c r="C2605" s="36" t="s">
        <v>37191</v>
      </c>
      <c r="D2605" s="71">
        <v>16010</v>
      </c>
      <c r="E2605" s="131">
        <f t="shared" si="705"/>
        <v>377660</v>
      </c>
      <c r="F2605" s="21">
        <f t="shared" si="717"/>
        <v>456968.6</v>
      </c>
      <c r="G2605" s="21"/>
      <c r="H2605" s="135">
        <f t="shared" si="706"/>
        <v>0</v>
      </c>
      <c r="I2605" s="23">
        <v>45323</v>
      </c>
      <c r="J2605" s="294"/>
      <c r="K2605" s="10">
        <f>0.8*0.98*0.94*0.95*399571</f>
        <v>279744.45195199997</v>
      </c>
      <c r="L2605" s="42"/>
      <c r="M2605" s="11"/>
      <c r="N2605" s="100"/>
      <c r="O2605" s="11">
        <f t="shared" si="711"/>
        <v>279744.45195199997</v>
      </c>
      <c r="P2605" s="11">
        <f>+O2605*'AUMENTOS %'!$B$5</f>
        <v>279744.45195199997</v>
      </c>
      <c r="Q2605" s="11">
        <v>1.35</v>
      </c>
      <c r="R2605" s="11">
        <f t="shared" si="718"/>
        <v>377655.01013519999</v>
      </c>
      <c r="S2605" s="11"/>
      <c r="T2605" s="136">
        <f t="shared" si="716"/>
        <v>0</v>
      </c>
    </row>
    <row r="2606" spans="1:20" ht="15.75" customHeight="1">
      <c r="A2606" s="149" t="s">
        <v>2398</v>
      </c>
      <c r="B2606" s="273">
        <f t="shared" si="712"/>
        <v>557200</v>
      </c>
      <c r="C2606" s="28" t="s">
        <v>37193</v>
      </c>
      <c r="D2606" s="71">
        <v>22390</v>
      </c>
      <c r="E2606" s="131">
        <f t="shared" si="705"/>
        <v>504250</v>
      </c>
      <c r="F2606" s="21">
        <f t="shared" si="717"/>
        <v>610142.5</v>
      </c>
      <c r="G2606" s="21"/>
      <c r="H2606" s="135">
        <f t="shared" si="706"/>
        <v>0</v>
      </c>
      <c r="I2606" s="23">
        <v>45323</v>
      </c>
      <c r="J2606" s="294"/>
      <c r="K2606" s="10">
        <f>0.8*0.98*0.94*0.95*533507</f>
        <v>373514.65278399998</v>
      </c>
      <c r="L2606" s="38"/>
      <c r="M2606" s="11"/>
      <c r="N2606" s="100"/>
      <c r="O2606" s="11">
        <f t="shared" si="711"/>
        <v>373514.65278399998</v>
      </c>
      <c r="P2606" s="11">
        <f>+O2606*'AUMENTOS %'!$B$5</f>
        <v>373514.65278399998</v>
      </c>
      <c r="Q2606" s="11">
        <v>1.35</v>
      </c>
      <c r="R2606" s="11">
        <f t="shared" si="718"/>
        <v>504244.78125840001</v>
      </c>
      <c r="S2606" s="11"/>
      <c r="T2606" s="136">
        <f t="shared" si="716"/>
        <v>0</v>
      </c>
    </row>
    <row r="2607" spans="1:20" ht="15.75" customHeight="1">
      <c r="A2607" s="149">
        <v>38</v>
      </c>
      <c r="B2607" s="273">
        <f>ROUNDUP(E2607*1.105,-1)</f>
        <v>298240</v>
      </c>
      <c r="C2607" s="28" t="s">
        <v>44308</v>
      </c>
      <c r="D2607" s="71"/>
      <c r="E2607" s="131">
        <f>ROUNDUP(R2607,-1)</f>
        <v>269900</v>
      </c>
      <c r="F2607" s="21">
        <f>+E2607*1.21</f>
        <v>326579</v>
      </c>
      <c r="G2607" s="21">
        <f>+H2607*1.21</f>
        <v>306977</v>
      </c>
      <c r="H2607" s="135">
        <f>ROUNDUP(T2607,-1)</f>
        <v>253700</v>
      </c>
      <c r="I2607" s="294">
        <v>45138</v>
      </c>
      <c r="J2607" s="294">
        <v>45274</v>
      </c>
      <c r="K2607" s="10">
        <f>+PROVEEDORES!D32*186.26</f>
        <v>195573</v>
      </c>
      <c r="L2607" s="38"/>
      <c r="M2607" s="11"/>
      <c r="N2607" s="100">
        <f>+K2607*0.94</f>
        <v>183838.62</v>
      </c>
      <c r="O2607" s="11">
        <f>MIN(K2607:M2607)</f>
        <v>195573</v>
      </c>
      <c r="P2607" s="11">
        <f t="shared" ref="P2607:P2670" si="726">+O2607</f>
        <v>195573</v>
      </c>
      <c r="Q2607" s="11">
        <v>1.38</v>
      </c>
      <c r="R2607" s="11">
        <f t="shared" si="718"/>
        <v>269890.74</v>
      </c>
      <c r="S2607" s="11"/>
      <c r="T2607" s="136">
        <f>+N2607*Q2607</f>
        <v>253697.29559999998</v>
      </c>
    </row>
    <row r="2608" spans="1:20" ht="15.75" customHeight="1">
      <c r="A2608" s="149">
        <v>38</v>
      </c>
      <c r="B2608" s="273">
        <f t="shared" si="712"/>
        <v>175170</v>
      </c>
      <c r="C2608" s="28" t="s">
        <v>44309</v>
      </c>
      <c r="D2608" s="71"/>
      <c r="E2608" s="131">
        <f t="shared" ref="E2608:E2686" si="727">ROUNDUP(R2608,-1)</f>
        <v>158520</v>
      </c>
      <c r="F2608" s="21">
        <f t="shared" si="717"/>
        <v>191809.19999999998</v>
      </c>
      <c r="G2608" s="21">
        <f>+H2608*1.21</f>
        <v>180290</v>
      </c>
      <c r="H2608" s="135">
        <f t="shared" ref="H2608:H2686" si="728">ROUNDUP(T2608,-1)</f>
        <v>149000</v>
      </c>
      <c r="I2608" s="294">
        <v>45138</v>
      </c>
      <c r="J2608" s="294">
        <v>45348</v>
      </c>
      <c r="K2608" s="10">
        <f>+PROVEEDORES!D32*107.83</f>
        <v>113221.5</v>
      </c>
      <c r="L2608" s="38"/>
      <c r="M2608" s="11"/>
      <c r="N2608" s="100">
        <f>+K2608*0.94</f>
        <v>106428.20999999999</v>
      </c>
      <c r="O2608" s="11">
        <f t="shared" si="711"/>
        <v>113221.5</v>
      </c>
      <c r="P2608" s="11">
        <f t="shared" si="726"/>
        <v>113221.5</v>
      </c>
      <c r="Q2608" s="11">
        <v>1.4</v>
      </c>
      <c r="R2608" s="11">
        <f t="shared" si="718"/>
        <v>158510.09999999998</v>
      </c>
      <c r="S2608" s="11"/>
      <c r="T2608" s="136">
        <f t="shared" si="716"/>
        <v>148999.49399999998</v>
      </c>
    </row>
    <row r="2609" spans="1:20" ht="15.75" customHeight="1">
      <c r="A2609" s="149" t="s">
        <v>2387</v>
      </c>
      <c r="B2609" s="273">
        <f t="shared" si="712"/>
        <v>247520</v>
      </c>
      <c r="C2609" s="291" t="s">
        <v>4363</v>
      </c>
      <c r="D2609" s="71">
        <v>13350</v>
      </c>
      <c r="E2609" s="131">
        <f t="shared" si="727"/>
        <v>224000</v>
      </c>
      <c r="F2609" s="21">
        <f t="shared" si="717"/>
        <v>271040</v>
      </c>
      <c r="G2609" s="21"/>
      <c r="H2609" s="135">
        <f t="shared" si="728"/>
        <v>0</v>
      </c>
      <c r="I2609" s="294">
        <v>45329</v>
      </c>
      <c r="J2609" s="294">
        <v>45350</v>
      </c>
      <c r="K2609" s="42">
        <f>'AUMENTOS %'!$D$12*0.5*319990</f>
        <v>159995</v>
      </c>
      <c r="L2609" s="38"/>
      <c r="M2609" s="11"/>
      <c r="N2609" s="100"/>
      <c r="O2609" s="11">
        <f t="shared" si="711"/>
        <v>159995</v>
      </c>
      <c r="P2609" s="11">
        <f>+O2609*'AUMENTOS %'!$D$12</f>
        <v>159995</v>
      </c>
      <c r="Q2609" s="11">
        <v>1.4</v>
      </c>
      <c r="R2609" s="11">
        <f t="shared" si="718"/>
        <v>223993</v>
      </c>
      <c r="S2609" s="11"/>
      <c r="T2609" s="136">
        <f t="shared" si="716"/>
        <v>0</v>
      </c>
    </row>
    <row r="2610" spans="1:20" ht="15.75" customHeight="1">
      <c r="A2610" s="149" t="s">
        <v>2387</v>
      </c>
      <c r="B2610" s="273">
        <f t="shared" si="712"/>
        <v>0</v>
      </c>
      <c r="C2610" s="28" t="s">
        <v>4364</v>
      </c>
      <c r="D2610" s="71">
        <v>21520</v>
      </c>
      <c r="E2610" s="131">
        <f t="shared" si="727"/>
        <v>0</v>
      </c>
      <c r="F2610" s="21">
        <f t="shared" si="717"/>
        <v>0</v>
      </c>
      <c r="G2610" s="21"/>
      <c r="H2610" s="135">
        <f t="shared" si="728"/>
        <v>0</v>
      </c>
      <c r="I2610" s="294">
        <v>45173</v>
      </c>
      <c r="J2610" s="294"/>
      <c r="K2610" s="32"/>
      <c r="L2610" s="106">
        <f>+'AUMENTOS %'!$C$11*115405</f>
        <v>115405</v>
      </c>
      <c r="M2610" s="10"/>
      <c r="N2610" s="100"/>
      <c r="O2610" s="11">
        <f t="shared" si="711"/>
        <v>115405</v>
      </c>
      <c r="P2610" s="11">
        <f>+O2610*'AUMENTOS %'!$D$12</f>
        <v>115405</v>
      </c>
      <c r="Q2610" s="11"/>
      <c r="R2610" s="11">
        <f t="shared" si="718"/>
        <v>0</v>
      </c>
      <c r="S2610" s="11"/>
      <c r="T2610" s="136">
        <f t="shared" si="716"/>
        <v>0</v>
      </c>
    </row>
    <row r="2611" spans="1:20" ht="15.75" customHeight="1">
      <c r="A2611" s="149">
        <v>38</v>
      </c>
      <c r="B2611" s="273">
        <f t="shared" si="712"/>
        <v>0</v>
      </c>
      <c r="C2611" s="28" t="s">
        <v>2467</v>
      </c>
      <c r="D2611" s="71">
        <v>16100</v>
      </c>
      <c r="E2611" s="131">
        <f t="shared" si="727"/>
        <v>0</v>
      </c>
      <c r="F2611" s="21">
        <f t="shared" si="717"/>
        <v>0</v>
      </c>
      <c r="G2611" s="21"/>
      <c r="H2611" s="135">
        <f t="shared" si="728"/>
        <v>0</v>
      </c>
      <c r="I2611" s="294">
        <v>44911</v>
      </c>
      <c r="J2611" s="40">
        <v>45059</v>
      </c>
      <c r="K2611" s="10">
        <v>34517</v>
      </c>
      <c r="L2611" s="42"/>
      <c r="M2611" s="11"/>
      <c r="N2611" s="100"/>
      <c r="O2611" s="11">
        <f>MIN(K2611:M2611)*'AUMENTOS %'!$B$10</f>
        <v>34517</v>
      </c>
      <c r="P2611" s="11">
        <f t="shared" si="726"/>
        <v>34517</v>
      </c>
      <c r="Q2611" s="11"/>
      <c r="R2611" s="11">
        <f t="shared" si="718"/>
        <v>0</v>
      </c>
      <c r="S2611" s="11"/>
      <c r="T2611" s="136">
        <f t="shared" si="716"/>
        <v>0</v>
      </c>
    </row>
    <row r="2612" spans="1:20" ht="15.75" customHeight="1">
      <c r="A2612" s="149">
        <v>38</v>
      </c>
      <c r="B2612" s="273">
        <f t="shared" si="712"/>
        <v>0</v>
      </c>
      <c r="C2612" s="36" t="s">
        <v>1970</v>
      </c>
      <c r="D2612" s="71">
        <v>18150</v>
      </c>
      <c r="E2612" s="131">
        <f t="shared" si="727"/>
        <v>0</v>
      </c>
      <c r="F2612" s="21">
        <f t="shared" si="717"/>
        <v>0</v>
      </c>
      <c r="G2612" s="21"/>
      <c r="H2612" s="135">
        <f t="shared" si="728"/>
        <v>0</v>
      </c>
      <c r="I2612" s="294">
        <v>44911</v>
      </c>
      <c r="J2612" s="40">
        <v>45059</v>
      </c>
      <c r="K2612" s="10">
        <f>+'AUMENTOS %'!$B$10*48706</f>
        <v>48706</v>
      </c>
      <c r="L2612" s="42"/>
      <c r="M2612" s="11"/>
      <c r="N2612" s="100"/>
      <c r="O2612" s="11">
        <f>MIN(K2612:M2612)*'AUMENTOS %'!$B$10</f>
        <v>48706</v>
      </c>
      <c r="P2612" s="11">
        <f t="shared" si="726"/>
        <v>48706</v>
      </c>
      <c r="Q2612" s="11"/>
      <c r="R2612" s="11">
        <f t="shared" si="718"/>
        <v>0</v>
      </c>
      <c r="S2612" s="11"/>
      <c r="T2612" s="136">
        <f t="shared" si="716"/>
        <v>0</v>
      </c>
    </row>
    <row r="2613" spans="1:20" ht="15.75" customHeight="1">
      <c r="A2613" s="149">
        <v>38</v>
      </c>
      <c r="B2613" s="273">
        <f t="shared" si="712"/>
        <v>0</v>
      </c>
      <c r="C2613" s="28" t="s">
        <v>1971</v>
      </c>
      <c r="D2613" s="71">
        <v>18370</v>
      </c>
      <c r="E2613" s="131">
        <f t="shared" si="727"/>
        <v>0</v>
      </c>
      <c r="F2613" s="21">
        <f t="shared" si="717"/>
        <v>0</v>
      </c>
      <c r="G2613" s="21"/>
      <c r="H2613" s="135">
        <f t="shared" si="728"/>
        <v>0</v>
      </c>
      <c r="I2613" s="294">
        <v>44911</v>
      </c>
      <c r="J2613" s="40">
        <v>45059</v>
      </c>
      <c r="K2613" s="10">
        <v>39390</v>
      </c>
      <c r="L2613" s="11"/>
      <c r="M2613" s="11"/>
      <c r="N2613" s="100"/>
      <c r="O2613" s="11">
        <f>MIN(K2613:M2613)*'AUMENTOS %'!$B$10</f>
        <v>39390</v>
      </c>
      <c r="P2613" s="11">
        <f t="shared" si="726"/>
        <v>39390</v>
      </c>
      <c r="Q2613" s="11"/>
      <c r="R2613" s="11">
        <f t="shared" si="718"/>
        <v>0</v>
      </c>
      <c r="S2613" s="11"/>
      <c r="T2613" s="136">
        <f t="shared" si="716"/>
        <v>0</v>
      </c>
    </row>
    <row r="2614" spans="1:20" ht="15.75" customHeight="1">
      <c r="A2614" s="149">
        <v>38</v>
      </c>
      <c r="B2614" s="273">
        <f t="shared" si="712"/>
        <v>50210</v>
      </c>
      <c r="C2614" s="28" t="s">
        <v>2466</v>
      </c>
      <c r="D2614" s="71"/>
      <c r="E2614" s="131">
        <f t="shared" si="727"/>
        <v>45430</v>
      </c>
      <c r="F2614" s="21">
        <f t="shared" si="717"/>
        <v>54970.299999999996</v>
      </c>
      <c r="G2614" s="21"/>
      <c r="H2614" s="135">
        <f t="shared" si="728"/>
        <v>0</v>
      </c>
      <c r="I2614" s="294">
        <v>45138</v>
      </c>
      <c r="J2614" s="294"/>
      <c r="K2614" s="10">
        <f>+'AUMENTOS %'!$B$10*33648</f>
        <v>33648</v>
      </c>
      <c r="L2614" s="11"/>
      <c r="M2614" s="11"/>
      <c r="N2614" s="100"/>
      <c r="O2614" s="11">
        <f>MIN(K2614:M2614)*'AUMENTOS %'!$B$10</f>
        <v>33648</v>
      </c>
      <c r="P2614" s="11">
        <f t="shared" si="726"/>
        <v>33648</v>
      </c>
      <c r="Q2614" s="11">
        <v>1.35</v>
      </c>
      <c r="R2614" s="11">
        <f t="shared" si="718"/>
        <v>45424.800000000003</v>
      </c>
      <c r="S2614" s="11"/>
      <c r="T2614" s="136">
        <f t="shared" si="716"/>
        <v>0</v>
      </c>
    </row>
    <row r="2615" spans="1:20" ht="15.75" customHeight="1">
      <c r="A2615" s="149">
        <v>38</v>
      </c>
      <c r="B2615" s="273">
        <f t="shared" si="712"/>
        <v>444710</v>
      </c>
      <c r="C2615" s="28" t="s">
        <v>3660</v>
      </c>
      <c r="D2615" s="71"/>
      <c r="E2615" s="131">
        <f t="shared" si="727"/>
        <v>402450</v>
      </c>
      <c r="F2615" s="21">
        <f t="shared" si="717"/>
        <v>486964.5</v>
      </c>
      <c r="G2615" s="21"/>
      <c r="H2615" s="135">
        <f t="shared" si="728"/>
        <v>0</v>
      </c>
      <c r="I2615" s="294">
        <v>45138</v>
      </c>
      <c r="J2615" s="294"/>
      <c r="K2615" s="10">
        <v>287460</v>
      </c>
      <c r="L2615" s="11"/>
      <c r="M2615" s="11"/>
      <c r="N2615" s="100"/>
      <c r="O2615" s="11">
        <f>MIN(K2615:M2615)*'AUMENTOS %'!$B$10</f>
        <v>287460</v>
      </c>
      <c r="P2615" s="11">
        <f t="shared" si="726"/>
        <v>287460</v>
      </c>
      <c r="Q2615" s="11">
        <v>1.4</v>
      </c>
      <c r="R2615" s="11">
        <f t="shared" si="718"/>
        <v>402444</v>
      </c>
      <c r="S2615" s="11"/>
      <c r="T2615" s="136">
        <f t="shared" si="716"/>
        <v>0</v>
      </c>
    </row>
    <row r="2616" spans="1:20" ht="15.75" customHeight="1">
      <c r="A2616" s="149">
        <v>38</v>
      </c>
      <c r="B2616" s="273">
        <f t="shared" si="712"/>
        <v>52690</v>
      </c>
      <c r="C2616" s="28" t="s">
        <v>1972</v>
      </c>
      <c r="D2616" s="71">
        <v>13020</v>
      </c>
      <c r="E2616" s="131">
        <f t="shared" si="727"/>
        <v>47680</v>
      </c>
      <c r="F2616" s="21">
        <f t="shared" si="717"/>
        <v>57692.799999999996</v>
      </c>
      <c r="G2616" s="21"/>
      <c r="H2616" s="135">
        <f t="shared" si="728"/>
        <v>0</v>
      </c>
      <c r="I2616" s="294">
        <v>45138</v>
      </c>
      <c r="J2616" s="294"/>
      <c r="K2616" s="10">
        <f>+'AUMENTOS %'!$B$10*35317</f>
        <v>35317</v>
      </c>
      <c r="L2616" s="11"/>
      <c r="M2616" s="50"/>
      <c r="N2616" s="100"/>
      <c r="O2616" s="11">
        <f>MIN(K2616:M2616)*'AUMENTOS %'!$B$10</f>
        <v>35317</v>
      </c>
      <c r="P2616" s="11">
        <f t="shared" si="726"/>
        <v>35317</v>
      </c>
      <c r="Q2616" s="11">
        <v>1.35</v>
      </c>
      <c r="R2616" s="11">
        <f t="shared" si="718"/>
        <v>47677.950000000004</v>
      </c>
      <c r="S2616" s="11"/>
      <c r="T2616" s="136">
        <f t="shared" si="716"/>
        <v>0</v>
      </c>
    </row>
    <row r="2617" spans="1:20" ht="15.75" customHeight="1">
      <c r="A2617" s="149">
        <v>38</v>
      </c>
      <c r="B2617" s="273">
        <f t="shared" si="712"/>
        <v>0</v>
      </c>
      <c r="C2617" s="36" t="s">
        <v>2468</v>
      </c>
      <c r="D2617" s="71">
        <v>23690</v>
      </c>
      <c r="E2617" s="131">
        <f t="shared" si="727"/>
        <v>0</v>
      </c>
      <c r="F2617" s="21">
        <f t="shared" si="717"/>
        <v>0</v>
      </c>
      <c r="G2617" s="21"/>
      <c r="H2617" s="135">
        <f t="shared" si="728"/>
        <v>0</v>
      </c>
      <c r="I2617" s="294">
        <v>44911</v>
      </c>
      <c r="J2617" s="294">
        <v>45118</v>
      </c>
      <c r="K2617" s="10">
        <f>+'AUMENTOS %'!$B$10*58425</f>
        <v>58425</v>
      </c>
      <c r="L2617" s="11"/>
      <c r="M2617" s="11"/>
      <c r="N2617" s="100"/>
      <c r="O2617" s="11">
        <f>MIN(K2617:M2617)*'AUMENTOS %'!$B$10</f>
        <v>58425</v>
      </c>
      <c r="P2617" s="11">
        <f t="shared" si="726"/>
        <v>58425</v>
      </c>
      <c r="Q2617" s="11"/>
      <c r="R2617" s="11">
        <f t="shared" si="718"/>
        <v>0</v>
      </c>
      <c r="S2617" s="11"/>
      <c r="T2617" s="136">
        <f t="shared" si="716"/>
        <v>0</v>
      </c>
    </row>
    <row r="2618" spans="1:20" ht="15.75" customHeight="1">
      <c r="A2618" s="149">
        <v>38</v>
      </c>
      <c r="B2618" s="273">
        <f t="shared" si="712"/>
        <v>0</v>
      </c>
      <c r="C2618" s="36" t="s">
        <v>3803</v>
      </c>
      <c r="D2618" s="131">
        <v>25220</v>
      </c>
      <c r="E2618" s="131">
        <f t="shared" si="727"/>
        <v>0</v>
      </c>
      <c r="F2618" s="21">
        <f t="shared" si="717"/>
        <v>0</v>
      </c>
      <c r="G2618" s="135"/>
      <c r="H2618" s="135">
        <f t="shared" si="728"/>
        <v>0</v>
      </c>
      <c r="I2618" s="294">
        <v>44911</v>
      </c>
      <c r="J2618" s="294">
        <v>45118</v>
      </c>
      <c r="K2618" s="10">
        <f>+'AUMENTOS %'!$B$10*59876</f>
        <v>59876</v>
      </c>
      <c r="L2618" s="11"/>
      <c r="M2618" s="100"/>
      <c r="N2618" s="100"/>
      <c r="O2618" s="11">
        <f>MIN(K2618:M2618)*'AUMENTOS %'!$B$10</f>
        <v>59876</v>
      </c>
      <c r="P2618" s="11">
        <f t="shared" si="726"/>
        <v>59876</v>
      </c>
      <c r="Q2618" s="11"/>
      <c r="R2618" s="11">
        <f t="shared" si="718"/>
        <v>0</v>
      </c>
      <c r="S2618" s="11"/>
      <c r="T2618" s="136">
        <f t="shared" si="716"/>
        <v>0</v>
      </c>
    </row>
    <row r="2619" spans="1:20" ht="15.75" customHeight="1">
      <c r="A2619" s="149">
        <v>38</v>
      </c>
      <c r="B2619" s="273">
        <f>ROUNDUP(E2619*1.105,-1)</f>
        <v>155300</v>
      </c>
      <c r="C2619" s="28" t="s">
        <v>2469</v>
      </c>
      <c r="D2619" s="71">
        <v>38380</v>
      </c>
      <c r="E2619" s="131">
        <f>ROUNDUP(R2619,-1)</f>
        <v>140540</v>
      </c>
      <c r="F2619" s="21">
        <f>+E2619*1.21</f>
        <v>170053.4</v>
      </c>
      <c r="G2619" s="21"/>
      <c r="H2619" s="135">
        <f>ROUNDUP(T2619,-1)</f>
        <v>0</v>
      </c>
      <c r="I2619" s="294">
        <v>45138</v>
      </c>
      <c r="J2619" s="294"/>
      <c r="K2619" s="10">
        <f>+'AUMENTOS %'!B10*104102</f>
        <v>104102</v>
      </c>
      <c r="L2619" s="11"/>
      <c r="M2619" s="11"/>
      <c r="N2619" s="100"/>
      <c r="O2619" s="11">
        <f>MIN(K2619:M2619)*'AUMENTOS %'!$B$10</f>
        <v>104102</v>
      </c>
      <c r="P2619" s="11">
        <f t="shared" si="726"/>
        <v>104102</v>
      </c>
      <c r="Q2619" s="11">
        <v>1.35</v>
      </c>
      <c r="R2619" s="11">
        <f t="shared" si="718"/>
        <v>140537.70000000001</v>
      </c>
      <c r="S2619" s="11"/>
      <c r="T2619" s="136">
        <f>+N2619*Q2619</f>
        <v>0</v>
      </c>
    </row>
    <row r="2620" spans="1:20" ht="15.75" customHeight="1">
      <c r="A2620" s="149">
        <v>108</v>
      </c>
      <c r="B2620" s="273"/>
      <c r="C2620" s="28" t="s">
        <v>4135</v>
      </c>
      <c r="D2620" s="131"/>
      <c r="E2620" s="131">
        <f t="shared" si="727"/>
        <v>97400</v>
      </c>
      <c r="F2620" s="21">
        <f t="shared" si="717"/>
        <v>117854</v>
      </c>
      <c r="G2620" s="135"/>
      <c r="H2620" s="135">
        <f t="shared" si="728"/>
        <v>0</v>
      </c>
      <c r="I2620" s="294">
        <v>45252</v>
      </c>
      <c r="J2620" s="294">
        <v>45370</v>
      </c>
      <c r="K2620" s="10">
        <f>0.765*87806</f>
        <v>67171.59</v>
      </c>
      <c r="L2620" s="11"/>
      <c r="M2620" s="100"/>
      <c r="N2620" s="100"/>
      <c r="O2620" s="11">
        <f t="shared" si="711"/>
        <v>67171.59</v>
      </c>
      <c r="P2620" s="11">
        <f t="shared" si="726"/>
        <v>67171.59</v>
      </c>
      <c r="Q2620" s="11">
        <v>1.45</v>
      </c>
      <c r="R2620" s="11">
        <f t="shared" si="718"/>
        <v>97398.805499999988</v>
      </c>
      <c r="S2620" s="11"/>
      <c r="T2620" s="136">
        <f t="shared" si="716"/>
        <v>0</v>
      </c>
    </row>
    <row r="2621" spans="1:20" ht="15.75" customHeight="1">
      <c r="A2621" s="149">
        <v>108</v>
      </c>
      <c r="B2621" s="273"/>
      <c r="C2621" s="28" t="s">
        <v>4173</v>
      </c>
      <c r="D2621" s="131"/>
      <c r="E2621" s="131">
        <f>ROUNDUP(R2621,-1)</f>
        <v>105330</v>
      </c>
      <c r="F2621" s="21">
        <f>+E2621*1.21</f>
        <v>127449.3</v>
      </c>
      <c r="G2621" s="135"/>
      <c r="H2621" s="135">
        <f>ROUNDUP(T2621,-1)</f>
        <v>0</v>
      </c>
      <c r="I2621" s="294">
        <v>45252</v>
      </c>
      <c r="J2621" s="294">
        <v>45370</v>
      </c>
      <c r="K2621" s="10">
        <f>0.765*94953</f>
        <v>72639.044999999998</v>
      </c>
      <c r="L2621" s="11"/>
      <c r="M2621" s="100"/>
      <c r="N2621" s="100"/>
      <c r="O2621" s="11">
        <f>MIN(K2621:M2621)</f>
        <v>72639.044999999998</v>
      </c>
      <c r="P2621" s="11">
        <f t="shared" si="726"/>
        <v>72639.044999999998</v>
      </c>
      <c r="Q2621" s="11">
        <v>1.45</v>
      </c>
      <c r="R2621" s="11">
        <f t="shared" si="718"/>
        <v>105326.61524999999</v>
      </c>
      <c r="S2621" s="11"/>
      <c r="T2621" s="136">
        <f>+N2621*Q2621</f>
        <v>0</v>
      </c>
    </row>
    <row r="2622" spans="1:20" ht="15.75" customHeight="1">
      <c r="A2622" s="149" t="s">
        <v>2398</v>
      </c>
      <c r="B2622" s="273">
        <f t="shared" si="712"/>
        <v>138350</v>
      </c>
      <c r="C2622" s="36" t="s">
        <v>37194</v>
      </c>
      <c r="D2622" s="71">
        <v>6210</v>
      </c>
      <c r="E2622" s="131">
        <f t="shared" si="727"/>
        <v>125200</v>
      </c>
      <c r="F2622" s="21">
        <f t="shared" si="717"/>
        <v>151492</v>
      </c>
      <c r="G2622" s="21"/>
      <c r="H2622" s="135">
        <f t="shared" si="728"/>
        <v>0</v>
      </c>
      <c r="I2622" s="294">
        <v>45323</v>
      </c>
      <c r="J2622" s="294"/>
      <c r="K2622" s="10">
        <f>0.8*0.98*0.94*0.95*129585</f>
        <v>90724.013519999993</v>
      </c>
      <c r="L2622" s="11"/>
      <c r="M2622" s="11"/>
      <c r="N2622" s="100"/>
      <c r="O2622" s="11">
        <f t="shared" si="711"/>
        <v>90724.013519999993</v>
      </c>
      <c r="P2622" s="11">
        <f>+O2622*'AUMENTOS %'!$B$5</f>
        <v>90724.013519999993</v>
      </c>
      <c r="Q2622" s="11">
        <v>1.38</v>
      </c>
      <c r="R2622" s="11">
        <f t="shared" si="718"/>
        <v>125199.13865759998</v>
      </c>
      <c r="S2622" s="11"/>
      <c r="T2622" s="136">
        <f t="shared" si="716"/>
        <v>0</v>
      </c>
    </row>
    <row r="2623" spans="1:20" ht="15.75" customHeight="1">
      <c r="A2623" s="149" t="s">
        <v>2398</v>
      </c>
      <c r="B2623" s="273">
        <f t="shared" si="712"/>
        <v>161520</v>
      </c>
      <c r="C2623" s="36" t="s">
        <v>37195</v>
      </c>
      <c r="D2623" s="71">
        <v>7250</v>
      </c>
      <c r="E2623" s="131">
        <f t="shared" si="727"/>
        <v>146170</v>
      </c>
      <c r="F2623" s="21">
        <f t="shared" si="717"/>
        <v>176865.69999999998</v>
      </c>
      <c r="G2623" s="21"/>
      <c r="H2623" s="135">
        <f t="shared" si="728"/>
        <v>0</v>
      </c>
      <c r="I2623" s="294">
        <v>45323</v>
      </c>
      <c r="J2623" s="294"/>
      <c r="K2623" s="10">
        <f>0.8*0.98*0.94*0.95*151287</f>
        <v>105917.84414399999</v>
      </c>
      <c r="L2623" s="10"/>
      <c r="M2623" s="11"/>
      <c r="N2623" s="100"/>
      <c r="O2623" s="11">
        <f t="shared" si="711"/>
        <v>105917.84414399999</v>
      </c>
      <c r="P2623" s="11">
        <f>+O2623*'AUMENTOS %'!$B$5</f>
        <v>105917.84414399999</v>
      </c>
      <c r="Q2623" s="11">
        <v>1.38</v>
      </c>
      <c r="R2623" s="11">
        <f t="shared" si="718"/>
        <v>146166.62491871999</v>
      </c>
      <c r="S2623" s="11"/>
      <c r="T2623" s="136">
        <f t="shared" si="716"/>
        <v>0</v>
      </c>
    </row>
    <row r="2624" spans="1:20" ht="15.75" customHeight="1">
      <c r="A2624" s="149" t="s">
        <v>2398</v>
      </c>
      <c r="B2624" s="273">
        <f t="shared" si="712"/>
        <v>178540</v>
      </c>
      <c r="C2624" s="36" t="s">
        <v>37196</v>
      </c>
      <c r="D2624" s="71">
        <v>7970</v>
      </c>
      <c r="E2624" s="131">
        <f t="shared" si="727"/>
        <v>161570</v>
      </c>
      <c r="F2624" s="21">
        <f t="shared" si="717"/>
        <v>195499.69999999998</v>
      </c>
      <c r="G2624" s="21"/>
      <c r="H2624" s="135">
        <f t="shared" si="728"/>
        <v>0</v>
      </c>
      <c r="I2624" s="294">
        <v>45323</v>
      </c>
      <c r="J2624" s="294"/>
      <c r="K2624" s="10">
        <f>0.8*0.98*0.94*0.95*167229</f>
        <v>117079.029648</v>
      </c>
      <c r="L2624" s="11"/>
      <c r="M2624" s="11"/>
      <c r="N2624" s="100"/>
      <c r="O2624" s="11">
        <f t="shared" si="711"/>
        <v>117079.029648</v>
      </c>
      <c r="P2624" s="11">
        <f>+O2624*'AUMENTOS %'!$B$5</f>
        <v>117079.029648</v>
      </c>
      <c r="Q2624" s="11">
        <v>1.38</v>
      </c>
      <c r="R2624" s="11">
        <f t="shared" si="718"/>
        <v>161569.06091423999</v>
      </c>
      <c r="S2624" s="11"/>
      <c r="T2624" s="136">
        <f t="shared" si="716"/>
        <v>0</v>
      </c>
    </row>
    <row r="2625" spans="1:20" ht="15.75" customHeight="1">
      <c r="A2625" s="149" t="s">
        <v>2387</v>
      </c>
      <c r="B2625" s="273">
        <f t="shared" si="712"/>
        <v>191420</v>
      </c>
      <c r="C2625" s="291" t="s">
        <v>4107</v>
      </c>
      <c r="D2625" s="71"/>
      <c r="E2625" s="131">
        <f t="shared" si="727"/>
        <v>173230</v>
      </c>
      <c r="F2625" s="21">
        <f t="shared" si="717"/>
        <v>209608.3</v>
      </c>
      <c r="G2625" s="21"/>
      <c r="H2625" s="135">
        <f t="shared" si="728"/>
        <v>0</v>
      </c>
      <c r="I2625" s="294">
        <v>45329</v>
      </c>
      <c r="J2625" s="294"/>
      <c r="K2625" s="10">
        <f>'AUMENTOS %'!D13*0.5*256630</f>
        <v>128315</v>
      </c>
      <c r="L2625" s="11">
        <f>+'AUMENTOS %'!$C$13*53400*3</f>
        <v>160200</v>
      </c>
      <c r="M2625" s="11"/>
      <c r="N2625" s="100"/>
      <c r="O2625" s="11">
        <f t="shared" si="711"/>
        <v>128315</v>
      </c>
      <c r="P2625" s="11">
        <f>+O2625*'AUMENTOS %'!$D$13</f>
        <v>128315</v>
      </c>
      <c r="Q2625" s="11">
        <v>1.35</v>
      </c>
      <c r="R2625" s="11">
        <f t="shared" si="718"/>
        <v>173225.25</v>
      </c>
      <c r="S2625" s="11"/>
      <c r="T2625" s="136">
        <f t="shared" si="716"/>
        <v>0</v>
      </c>
    </row>
    <row r="2626" spans="1:20" ht="15.75" customHeight="1">
      <c r="A2626" s="149" t="s">
        <v>2387</v>
      </c>
      <c r="B2626" s="273">
        <f t="shared" si="712"/>
        <v>126590</v>
      </c>
      <c r="C2626" s="28" t="s">
        <v>2465</v>
      </c>
      <c r="D2626" s="71"/>
      <c r="E2626" s="131">
        <f t="shared" si="727"/>
        <v>114560</v>
      </c>
      <c r="F2626" s="21">
        <f t="shared" si="717"/>
        <v>138617.60000000001</v>
      </c>
      <c r="G2626" s="21"/>
      <c r="H2626" s="135">
        <f t="shared" si="728"/>
        <v>0</v>
      </c>
      <c r="I2626" s="294">
        <v>45173</v>
      </c>
      <c r="J2626" s="294"/>
      <c r="K2626" s="10"/>
      <c r="L2626" s="11">
        <f>+'AUMENTOS %'!$C$13*84855</f>
        <v>84855</v>
      </c>
      <c r="M2626" s="11"/>
      <c r="N2626" s="100"/>
      <c r="O2626" s="11">
        <f t="shared" si="711"/>
        <v>84855</v>
      </c>
      <c r="P2626" s="11">
        <f>+O2626*'AUMENTOS %'!$D$13</f>
        <v>84855</v>
      </c>
      <c r="Q2626" s="11">
        <v>1.35</v>
      </c>
      <c r="R2626" s="11">
        <f t="shared" si="718"/>
        <v>114554.25000000001</v>
      </c>
      <c r="S2626" s="11"/>
      <c r="T2626" s="136">
        <f t="shared" si="716"/>
        <v>0</v>
      </c>
    </row>
    <row r="2627" spans="1:20" ht="15.75" customHeight="1">
      <c r="A2627" s="149" t="s">
        <v>2387</v>
      </c>
      <c r="B2627" s="273">
        <f t="shared" si="712"/>
        <v>0</v>
      </c>
      <c r="C2627" s="28" t="s">
        <v>1973</v>
      </c>
      <c r="D2627" s="71">
        <v>9890</v>
      </c>
      <c r="E2627" s="131">
        <f t="shared" si="727"/>
        <v>0</v>
      </c>
      <c r="F2627" s="21">
        <f t="shared" si="717"/>
        <v>0</v>
      </c>
      <c r="G2627" s="21"/>
      <c r="H2627" s="135">
        <f t="shared" si="728"/>
        <v>0</v>
      </c>
      <c r="I2627" s="294">
        <v>44747</v>
      </c>
      <c r="J2627" s="294">
        <v>45059</v>
      </c>
      <c r="K2627" s="10"/>
      <c r="L2627" s="11">
        <v>43332</v>
      </c>
      <c r="M2627" s="10"/>
      <c r="N2627" s="100"/>
      <c r="O2627" s="11">
        <f t="shared" si="711"/>
        <v>43332</v>
      </c>
      <c r="P2627" s="11">
        <f t="shared" si="726"/>
        <v>43332</v>
      </c>
      <c r="Q2627" s="11"/>
      <c r="R2627" s="11">
        <f t="shared" si="718"/>
        <v>0</v>
      </c>
      <c r="S2627" s="11"/>
      <c r="T2627" s="136">
        <f t="shared" si="716"/>
        <v>0</v>
      </c>
    </row>
    <row r="2628" spans="1:20" ht="15.75" customHeight="1">
      <c r="A2628" s="149">
        <v>38</v>
      </c>
      <c r="B2628" s="273">
        <f>ROUNDUP(E2628*1.105,-1)</f>
        <v>423460</v>
      </c>
      <c r="C2628" s="28" t="s">
        <v>4477</v>
      </c>
      <c r="D2628" s="71">
        <v>9890</v>
      </c>
      <c r="E2628" s="131">
        <f>ROUNDUP(R2628,-1)</f>
        <v>383220</v>
      </c>
      <c r="F2628" s="21">
        <f>+E2628*1.21</f>
        <v>463696.2</v>
      </c>
      <c r="G2628" s="21">
        <f>246350*1.21</f>
        <v>298083.5</v>
      </c>
      <c r="H2628" s="135">
        <f>ROUNDUP(T2628,-1)</f>
        <v>360230</v>
      </c>
      <c r="I2628" s="294">
        <v>45138</v>
      </c>
      <c r="J2628" s="294">
        <v>45274</v>
      </c>
      <c r="K2628" s="10">
        <f>+PROVEEDORES!D32*260.69</f>
        <v>273724.5</v>
      </c>
      <c r="L2628" s="11"/>
      <c r="M2628" s="10"/>
      <c r="N2628" s="100">
        <f>+K2628*0.94</f>
        <v>257301.03</v>
      </c>
      <c r="O2628" s="11">
        <f>MIN(K2628:M2628)</f>
        <v>273724.5</v>
      </c>
      <c r="P2628" s="11">
        <f>+O2628</f>
        <v>273724.5</v>
      </c>
      <c r="Q2628" s="11">
        <v>1.4</v>
      </c>
      <c r="R2628" s="11">
        <f>+P2628*Q2628</f>
        <v>383214.3</v>
      </c>
      <c r="S2628" s="11"/>
      <c r="T2628" s="136">
        <f>+N2628*Q2628</f>
        <v>360221.44199999998</v>
      </c>
    </row>
    <row r="2629" spans="1:20" ht="15.75" customHeight="1">
      <c r="A2629" s="149" t="s">
        <v>2398</v>
      </c>
      <c r="B2629" s="273">
        <f>ROUNDUP(E2629*1.06,-1)</f>
        <v>829070</v>
      </c>
      <c r="C2629" s="28" t="s">
        <v>37197</v>
      </c>
      <c r="D2629" s="71">
        <v>22390</v>
      </c>
      <c r="E2629" s="131">
        <f t="shared" si="727"/>
        <v>782140</v>
      </c>
      <c r="F2629" s="21">
        <f t="shared" si="717"/>
        <v>946389.4</v>
      </c>
      <c r="G2629" s="21"/>
      <c r="H2629" s="135">
        <f t="shared" si="728"/>
        <v>0</v>
      </c>
      <c r="I2629" s="23">
        <v>45323</v>
      </c>
      <c r="J2629" s="294"/>
      <c r="K2629" s="10">
        <f>0.8*0.98*0.94*0.95*809534</f>
        <v>566764.46780799993</v>
      </c>
      <c r="L2629" s="38"/>
      <c r="M2629" s="11"/>
      <c r="N2629" s="100"/>
      <c r="O2629" s="11">
        <f t="shared" si="711"/>
        <v>566764.46780799993</v>
      </c>
      <c r="P2629" s="11">
        <f>+O2629*'AUMENTOS %'!$B$5</f>
        <v>566764.46780799993</v>
      </c>
      <c r="Q2629" s="11">
        <v>1.38</v>
      </c>
      <c r="R2629" s="11">
        <f t="shared" si="718"/>
        <v>782134.96557503985</v>
      </c>
      <c r="S2629" s="11"/>
      <c r="T2629" s="136">
        <f t="shared" si="716"/>
        <v>0</v>
      </c>
    </row>
    <row r="2630" spans="1:20" ht="15.75" customHeight="1">
      <c r="A2630" s="149" t="s">
        <v>2387</v>
      </c>
      <c r="B2630" s="273">
        <f t="shared" si="712"/>
        <v>0</v>
      </c>
      <c r="C2630" s="28" t="s">
        <v>1974</v>
      </c>
      <c r="D2630" s="71">
        <v>20090</v>
      </c>
      <c r="E2630" s="131">
        <f t="shared" si="727"/>
        <v>0</v>
      </c>
      <c r="F2630" s="21" t="s">
        <v>1248</v>
      </c>
      <c r="G2630" s="21">
        <f>+E2630*1.105</f>
        <v>0</v>
      </c>
      <c r="H2630" s="135">
        <f t="shared" si="728"/>
        <v>0</v>
      </c>
      <c r="I2630" s="294">
        <v>44747</v>
      </c>
      <c r="J2630" s="294"/>
      <c r="K2630" s="11">
        <f>0.5*76518*3</f>
        <v>114777</v>
      </c>
      <c r="L2630" s="11">
        <v>97866</v>
      </c>
      <c r="M2630" s="11"/>
      <c r="N2630" s="100"/>
      <c r="O2630" s="11">
        <f t="shared" si="711"/>
        <v>97866</v>
      </c>
      <c r="P2630" s="11">
        <f t="shared" si="726"/>
        <v>97866</v>
      </c>
      <c r="Q2630" s="11"/>
      <c r="R2630" s="11">
        <f t="shared" si="718"/>
        <v>0</v>
      </c>
      <c r="S2630" s="11"/>
      <c r="T2630" s="136">
        <f t="shared" si="716"/>
        <v>0</v>
      </c>
    </row>
    <row r="2631" spans="1:20" ht="15.75" customHeight="1">
      <c r="A2631" s="149" t="s">
        <v>44321</v>
      </c>
      <c r="B2631" s="273"/>
      <c r="C2631" s="28" t="s">
        <v>62622</v>
      </c>
      <c r="D2631" s="71">
        <v>460</v>
      </c>
      <c r="E2631" s="131">
        <f t="shared" si="727"/>
        <v>5440</v>
      </c>
      <c r="F2631" s="21">
        <f t="shared" ref="F2631:F2643" si="729">+E2631*1.21</f>
        <v>6582.4</v>
      </c>
      <c r="G2631" s="21"/>
      <c r="H2631" s="135">
        <f t="shared" si="728"/>
        <v>0</v>
      </c>
      <c r="I2631" s="294">
        <v>45162</v>
      </c>
      <c r="J2631" s="294">
        <v>45338</v>
      </c>
      <c r="K2631" s="11">
        <v>3850</v>
      </c>
      <c r="L2631" s="10">
        <f>4517*0.8*0.94</f>
        <v>3396.7840000000001</v>
      </c>
      <c r="M2631" s="10"/>
      <c r="N2631" s="100"/>
      <c r="O2631" s="11">
        <f t="shared" si="711"/>
        <v>3396.7840000000001</v>
      </c>
      <c r="P2631" s="11">
        <f t="shared" si="726"/>
        <v>3396.7840000000001</v>
      </c>
      <c r="Q2631" s="11">
        <v>1.6</v>
      </c>
      <c r="R2631" s="11">
        <f t="shared" si="718"/>
        <v>5434.8544000000002</v>
      </c>
      <c r="S2631" s="11"/>
      <c r="T2631" s="136">
        <f t="shared" si="716"/>
        <v>0</v>
      </c>
    </row>
    <row r="2632" spans="1:20" ht="15.75" customHeight="1">
      <c r="A2632" s="149">
        <v>47</v>
      </c>
      <c r="B2632" s="273"/>
      <c r="C2632" s="36" t="s">
        <v>2938</v>
      </c>
      <c r="D2632" s="71">
        <v>140</v>
      </c>
      <c r="E2632" s="131">
        <f t="shared" si="727"/>
        <v>2170</v>
      </c>
      <c r="F2632" s="21">
        <f t="shared" si="729"/>
        <v>2625.7</v>
      </c>
      <c r="G2632" s="21"/>
      <c r="H2632" s="135">
        <f t="shared" si="728"/>
        <v>0</v>
      </c>
      <c r="I2632" s="294">
        <v>45383</v>
      </c>
      <c r="J2632" s="294"/>
      <c r="K2632" s="10">
        <f>0.65*2082</f>
        <v>1353.3</v>
      </c>
      <c r="L2632" s="11"/>
      <c r="M2632" s="11"/>
      <c r="N2632" s="100"/>
      <c r="O2632" s="11">
        <f t="shared" si="711"/>
        <v>1353.3</v>
      </c>
      <c r="P2632" s="11">
        <f t="shared" si="726"/>
        <v>1353.3</v>
      </c>
      <c r="Q2632" s="11">
        <v>1.6</v>
      </c>
      <c r="R2632" s="11">
        <f t="shared" si="718"/>
        <v>2165.2800000000002</v>
      </c>
      <c r="S2632" s="11"/>
      <c r="T2632" s="136">
        <f t="shared" si="716"/>
        <v>0</v>
      </c>
    </row>
    <row r="2633" spans="1:20" ht="15.75" customHeight="1">
      <c r="A2633" s="149">
        <v>47</v>
      </c>
      <c r="B2633" s="273"/>
      <c r="C2633" s="36" t="s">
        <v>2809</v>
      </c>
      <c r="D2633" s="71"/>
      <c r="E2633" s="131">
        <f t="shared" si="727"/>
        <v>2570</v>
      </c>
      <c r="F2633" s="21">
        <f t="shared" si="729"/>
        <v>3109.7</v>
      </c>
      <c r="G2633" s="72"/>
      <c r="H2633" s="135">
        <f t="shared" si="728"/>
        <v>0</v>
      </c>
      <c r="I2633" s="294">
        <v>45383</v>
      </c>
      <c r="J2633" s="294"/>
      <c r="K2633" s="10">
        <f>0.65*2467</f>
        <v>1603.55</v>
      </c>
      <c r="L2633" s="11"/>
      <c r="M2633" s="11"/>
      <c r="N2633" s="100"/>
      <c r="O2633" s="11">
        <f t="shared" si="711"/>
        <v>1603.55</v>
      </c>
      <c r="P2633" s="11">
        <f t="shared" si="726"/>
        <v>1603.55</v>
      </c>
      <c r="Q2633" s="11">
        <v>1.6</v>
      </c>
      <c r="R2633" s="11">
        <f t="shared" si="718"/>
        <v>2565.6800000000003</v>
      </c>
      <c r="S2633" s="11"/>
      <c r="T2633" s="136">
        <f t="shared" si="716"/>
        <v>0</v>
      </c>
    </row>
    <row r="2634" spans="1:20" ht="15.75" customHeight="1">
      <c r="A2634" s="149">
        <v>47</v>
      </c>
      <c r="B2634" s="273"/>
      <c r="C2634" s="36" t="s">
        <v>4416</v>
      </c>
      <c r="D2634" s="71"/>
      <c r="E2634" s="131">
        <f t="shared" ref="E2634:E2639" si="730">ROUNDUP(R2634,-1)</f>
        <v>2530</v>
      </c>
      <c r="F2634" s="21">
        <f t="shared" ref="F2634:F2639" si="731">+E2634*1.21</f>
        <v>3061.2999999999997</v>
      </c>
      <c r="G2634" s="72"/>
      <c r="H2634" s="135">
        <f t="shared" ref="H2634:H2639" si="732">ROUNDUP(T2634,-1)</f>
        <v>0</v>
      </c>
      <c r="I2634" s="294">
        <v>45383</v>
      </c>
      <c r="J2634" s="294"/>
      <c r="K2634" s="10">
        <f>0.65*2424</f>
        <v>1575.6000000000001</v>
      </c>
      <c r="L2634" s="11"/>
      <c r="M2634" s="11"/>
      <c r="N2634" s="100"/>
      <c r="O2634" s="11">
        <f t="shared" ref="O2634:O2639" si="733">MIN(K2634:M2634)</f>
        <v>1575.6000000000001</v>
      </c>
      <c r="P2634" s="11">
        <f>+O2634</f>
        <v>1575.6000000000001</v>
      </c>
      <c r="Q2634" s="11">
        <v>1.6</v>
      </c>
      <c r="R2634" s="11">
        <f>+P2634*Q2634</f>
        <v>2520.9600000000005</v>
      </c>
      <c r="S2634" s="11"/>
      <c r="T2634" s="136">
        <f t="shared" ref="T2634:T2639" si="734">+N2634*Q2634</f>
        <v>0</v>
      </c>
    </row>
    <row r="2635" spans="1:20" ht="15.75" customHeight="1">
      <c r="A2635" s="149">
        <v>47</v>
      </c>
      <c r="B2635" s="273"/>
      <c r="C2635" s="36" t="s">
        <v>2937</v>
      </c>
      <c r="D2635" s="71">
        <v>240</v>
      </c>
      <c r="E2635" s="131">
        <f t="shared" si="730"/>
        <v>3360</v>
      </c>
      <c r="F2635" s="21">
        <f t="shared" si="731"/>
        <v>4065.6</v>
      </c>
      <c r="G2635" s="72"/>
      <c r="H2635" s="135">
        <f t="shared" si="732"/>
        <v>0</v>
      </c>
      <c r="I2635" s="294">
        <v>45383</v>
      </c>
      <c r="J2635" s="294"/>
      <c r="K2635" s="10">
        <f>0.65*3223</f>
        <v>2094.9500000000003</v>
      </c>
      <c r="L2635" s="10"/>
      <c r="M2635" s="11"/>
      <c r="N2635" s="100"/>
      <c r="O2635" s="11">
        <f t="shared" si="733"/>
        <v>2094.9500000000003</v>
      </c>
      <c r="P2635" s="11">
        <f t="shared" si="726"/>
        <v>2094.9500000000003</v>
      </c>
      <c r="Q2635" s="11">
        <v>1.6</v>
      </c>
      <c r="R2635" s="11">
        <f t="shared" si="718"/>
        <v>3351.9200000000005</v>
      </c>
      <c r="S2635" s="11"/>
      <c r="T2635" s="136">
        <f t="shared" si="734"/>
        <v>0</v>
      </c>
    </row>
    <row r="2636" spans="1:20" ht="15.75" customHeight="1">
      <c r="A2636" s="149">
        <v>47</v>
      </c>
      <c r="B2636" s="273"/>
      <c r="C2636" s="36" t="s">
        <v>2095</v>
      </c>
      <c r="D2636" s="71">
        <v>10</v>
      </c>
      <c r="E2636" s="131">
        <f t="shared" si="730"/>
        <v>150</v>
      </c>
      <c r="F2636" s="21">
        <f t="shared" si="731"/>
        <v>181.5</v>
      </c>
      <c r="G2636" s="72"/>
      <c r="H2636" s="135">
        <f t="shared" si="732"/>
        <v>0</v>
      </c>
      <c r="I2636" s="294">
        <v>45383</v>
      </c>
      <c r="J2636" s="294"/>
      <c r="K2636" s="10">
        <f>0.65*129</f>
        <v>83.850000000000009</v>
      </c>
      <c r="L2636" s="10"/>
      <c r="M2636" s="11"/>
      <c r="N2636" s="100"/>
      <c r="O2636" s="11">
        <f t="shared" si="733"/>
        <v>83.850000000000009</v>
      </c>
      <c r="P2636" s="11">
        <f t="shared" si="726"/>
        <v>83.850000000000009</v>
      </c>
      <c r="Q2636" s="11">
        <v>1.7</v>
      </c>
      <c r="R2636" s="11">
        <f t="shared" si="718"/>
        <v>142.54500000000002</v>
      </c>
      <c r="S2636" s="11"/>
      <c r="T2636" s="136">
        <f t="shared" si="734"/>
        <v>0</v>
      </c>
    </row>
    <row r="2637" spans="1:20" ht="15.75" customHeight="1">
      <c r="A2637" s="149">
        <v>47</v>
      </c>
      <c r="B2637" s="273"/>
      <c r="C2637" s="36" t="s">
        <v>2096</v>
      </c>
      <c r="D2637" s="71">
        <v>15</v>
      </c>
      <c r="E2637" s="131">
        <f t="shared" si="730"/>
        <v>190</v>
      </c>
      <c r="F2637" s="21">
        <f t="shared" si="731"/>
        <v>229.9</v>
      </c>
      <c r="G2637" s="72"/>
      <c r="H2637" s="135">
        <f t="shared" si="732"/>
        <v>0</v>
      </c>
      <c r="I2637" s="294">
        <v>45383</v>
      </c>
      <c r="J2637" s="294"/>
      <c r="K2637" s="10">
        <f>0.65*167</f>
        <v>108.55</v>
      </c>
      <c r="L2637" s="10"/>
      <c r="M2637" s="11"/>
      <c r="N2637" s="100"/>
      <c r="O2637" s="11">
        <f t="shared" si="733"/>
        <v>108.55</v>
      </c>
      <c r="P2637" s="11">
        <f t="shared" si="726"/>
        <v>108.55</v>
      </c>
      <c r="Q2637" s="11">
        <v>1.7</v>
      </c>
      <c r="R2637" s="11">
        <f t="shared" si="718"/>
        <v>184.535</v>
      </c>
      <c r="S2637" s="11"/>
      <c r="T2637" s="136">
        <f t="shared" si="734"/>
        <v>0</v>
      </c>
    </row>
    <row r="2638" spans="1:20" ht="15.75" customHeight="1">
      <c r="A2638" s="149">
        <v>47</v>
      </c>
      <c r="B2638" s="273"/>
      <c r="C2638" s="36" t="s">
        <v>1975</v>
      </c>
      <c r="D2638" s="71">
        <v>15</v>
      </c>
      <c r="E2638" s="131">
        <f t="shared" si="730"/>
        <v>240</v>
      </c>
      <c r="F2638" s="21">
        <f t="shared" si="731"/>
        <v>290.39999999999998</v>
      </c>
      <c r="G2638" s="72"/>
      <c r="H2638" s="135">
        <f t="shared" si="732"/>
        <v>0</v>
      </c>
      <c r="I2638" s="294">
        <v>45383</v>
      </c>
      <c r="J2638" s="294"/>
      <c r="K2638" s="10">
        <f>0.65*215</f>
        <v>139.75</v>
      </c>
      <c r="L2638" s="47"/>
      <c r="M2638" s="11"/>
      <c r="N2638" s="100"/>
      <c r="O2638" s="11">
        <f t="shared" si="733"/>
        <v>139.75</v>
      </c>
      <c r="P2638" s="11">
        <f t="shared" si="726"/>
        <v>139.75</v>
      </c>
      <c r="Q2638" s="11">
        <v>1.7</v>
      </c>
      <c r="R2638" s="11">
        <f t="shared" si="718"/>
        <v>237.57499999999999</v>
      </c>
      <c r="S2638" s="11"/>
      <c r="T2638" s="136">
        <f t="shared" si="734"/>
        <v>0</v>
      </c>
    </row>
    <row r="2639" spans="1:20" ht="15.75" customHeight="1">
      <c r="A2639" s="149">
        <v>47</v>
      </c>
      <c r="B2639" s="273"/>
      <c r="C2639" s="36" t="s">
        <v>1976</v>
      </c>
      <c r="D2639" s="71">
        <v>30</v>
      </c>
      <c r="E2639" s="131">
        <f t="shared" si="730"/>
        <v>510</v>
      </c>
      <c r="F2639" s="21">
        <f t="shared" si="731"/>
        <v>617.1</v>
      </c>
      <c r="G2639" s="72">
        <f>950*50</f>
        <v>47500</v>
      </c>
      <c r="H2639" s="135">
        <f t="shared" si="732"/>
        <v>0</v>
      </c>
      <c r="I2639" s="294">
        <v>45383</v>
      </c>
      <c r="J2639" s="294"/>
      <c r="K2639" s="10">
        <f>0.65*461</f>
        <v>299.65000000000003</v>
      </c>
      <c r="L2639" s="11"/>
      <c r="M2639" s="11"/>
      <c r="N2639" s="100"/>
      <c r="O2639" s="11">
        <f t="shared" si="733"/>
        <v>299.65000000000003</v>
      </c>
      <c r="P2639" s="11">
        <f t="shared" si="726"/>
        <v>299.65000000000003</v>
      </c>
      <c r="Q2639" s="11">
        <v>1.7</v>
      </c>
      <c r="R2639" s="11">
        <f t="shared" si="718"/>
        <v>509.40500000000003</v>
      </c>
      <c r="S2639" s="11"/>
      <c r="T2639" s="136">
        <f t="shared" si="734"/>
        <v>0</v>
      </c>
    </row>
    <row r="2640" spans="1:20" ht="15.75" customHeight="1">
      <c r="A2640" s="149">
        <v>47</v>
      </c>
      <c r="B2640" s="273"/>
      <c r="C2640" s="28" t="s">
        <v>1977</v>
      </c>
      <c r="D2640" s="71">
        <v>45</v>
      </c>
      <c r="E2640" s="131">
        <f t="shared" si="727"/>
        <v>720</v>
      </c>
      <c r="F2640" s="21">
        <f t="shared" si="729"/>
        <v>871.19999999999993</v>
      </c>
      <c r="G2640" s="72"/>
      <c r="H2640" s="135">
        <f t="shared" si="728"/>
        <v>0</v>
      </c>
      <c r="I2640" s="294">
        <v>45383</v>
      </c>
      <c r="J2640" s="294"/>
      <c r="K2640" s="10">
        <f>0.65*647</f>
        <v>420.55</v>
      </c>
      <c r="L2640" s="47"/>
      <c r="M2640" s="11"/>
      <c r="N2640" s="100"/>
      <c r="O2640" s="11">
        <f t="shared" si="711"/>
        <v>420.55</v>
      </c>
      <c r="P2640" s="11">
        <f t="shared" si="726"/>
        <v>420.55</v>
      </c>
      <c r="Q2640" s="11">
        <v>1.7</v>
      </c>
      <c r="R2640" s="11">
        <f t="shared" si="718"/>
        <v>714.93499999999995</v>
      </c>
      <c r="S2640" s="11"/>
      <c r="T2640" s="136">
        <f t="shared" si="716"/>
        <v>0</v>
      </c>
    </row>
    <row r="2641" spans="1:20" ht="15.75" customHeight="1">
      <c r="A2641" s="149">
        <v>47</v>
      </c>
      <c r="B2641" s="273"/>
      <c r="C2641" s="28" t="s">
        <v>1978</v>
      </c>
      <c r="D2641" s="71">
        <v>60</v>
      </c>
      <c r="E2641" s="131">
        <f t="shared" si="727"/>
        <v>950</v>
      </c>
      <c r="F2641" s="21">
        <f t="shared" si="729"/>
        <v>1149.5</v>
      </c>
      <c r="G2641" s="308"/>
      <c r="H2641" s="135">
        <f t="shared" si="728"/>
        <v>0</v>
      </c>
      <c r="I2641" s="294">
        <v>45383</v>
      </c>
      <c r="J2641" s="294"/>
      <c r="K2641" s="10">
        <f>0.65*853</f>
        <v>554.45000000000005</v>
      </c>
      <c r="L2641" s="47"/>
      <c r="M2641" s="11"/>
      <c r="N2641" s="100"/>
      <c r="O2641" s="11">
        <f t="shared" si="711"/>
        <v>554.45000000000005</v>
      </c>
      <c r="P2641" s="11">
        <f t="shared" si="726"/>
        <v>554.45000000000005</v>
      </c>
      <c r="Q2641" s="11">
        <v>1.7</v>
      </c>
      <c r="R2641" s="11">
        <f t="shared" si="718"/>
        <v>942.56500000000005</v>
      </c>
      <c r="S2641" s="11"/>
      <c r="T2641" s="136">
        <f t="shared" si="716"/>
        <v>0</v>
      </c>
    </row>
    <row r="2642" spans="1:20" ht="15.75" customHeight="1">
      <c r="A2642" s="149">
        <v>47</v>
      </c>
      <c r="B2642" s="273"/>
      <c r="C2642" s="28" t="s">
        <v>1979</v>
      </c>
      <c r="D2642" s="71">
        <v>80</v>
      </c>
      <c r="E2642" s="131">
        <f t="shared" si="727"/>
        <v>1280</v>
      </c>
      <c r="F2642" s="21">
        <f t="shared" si="729"/>
        <v>1548.8</v>
      </c>
      <c r="G2642" s="72"/>
      <c r="H2642" s="135">
        <f t="shared" si="728"/>
        <v>0</v>
      </c>
      <c r="I2642" s="294">
        <v>45383</v>
      </c>
      <c r="J2642" s="294"/>
      <c r="K2642" s="10">
        <f>0.65*1152</f>
        <v>748.80000000000007</v>
      </c>
      <c r="L2642" s="11"/>
      <c r="M2642" s="11"/>
      <c r="N2642" s="100"/>
      <c r="O2642" s="11">
        <f t="shared" si="711"/>
        <v>748.80000000000007</v>
      </c>
      <c r="P2642" s="11">
        <f t="shared" si="726"/>
        <v>748.80000000000007</v>
      </c>
      <c r="Q2642" s="11">
        <v>1.7</v>
      </c>
      <c r="R2642" s="11">
        <f t="shared" si="718"/>
        <v>1272.96</v>
      </c>
      <c r="S2642" s="11"/>
      <c r="T2642" s="136">
        <f t="shared" si="716"/>
        <v>0</v>
      </c>
    </row>
    <row r="2643" spans="1:20" ht="15.75" customHeight="1">
      <c r="A2643" s="149">
        <v>47</v>
      </c>
      <c r="B2643" s="273"/>
      <c r="C2643" s="28" t="s">
        <v>1980</v>
      </c>
      <c r="D2643" s="71">
        <v>90</v>
      </c>
      <c r="E2643" s="131">
        <f t="shared" si="727"/>
        <v>1420</v>
      </c>
      <c r="F2643" s="21">
        <f t="shared" si="729"/>
        <v>1718.2</v>
      </c>
      <c r="G2643" s="21"/>
      <c r="H2643" s="135">
        <f t="shared" si="728"/>
        <v>0</v>
      </c>
      <c r="I2643" s="294">
        <v>45383</v>
      </c>
      <c r="J2643" s="294"/>
      <c r="K2643" s="10">
        <f>0.65*1281</f>
        <v>832.65</v>
      </c>
      <c r="L2643" s="11"/>
      <c r="M2643" s="11"/>
      <c r="N2643" s="100"/>
      <c r="O2643" s="11">
        <f t="shared" si="711"/>
        <v>832.65</v>
      </c>
      <c r="P2643" s="11">
        <f t="shared" si="726"/>
        <v>832.65</v>
      </c>
      <c r="Q2643" s="11">
        <v>1.7</v>
      </c>
      <c r="R2643" s="11">
        <f t="shared" si="718"/>
        <v>1415.5049999999999</v>
      </c>
      <c r="S2643" s="11"/>
      <c r="T2643" s="136">
        <f t="shared" si="716"/>
        <v>0</v>
      </c>
    </row>
    <row r="2644" spans="1:20" ht="15.75" customHeight="1">
      <c r="A2644" s="149">
        <v>53</v>
      </c>
      <c r="B2644" s="273">
        <f>ROUNDUP(E2644*1.06,-1)</f>
        <v>169350</v>
      </c>
      <c r="C2644" s="28" t="s">
        <v>4055</v>
      </c>
      <c r="D2644" s="71"/>
      <c r="E2644" s="131">
        <f t="shared" si="727"/>
        <v>159760</v>
      </c>
      <c r="F2644" s="21" t="s">
        <v>1248</v>
      </c>
      <c r="G2644" s="21">
        <f>+E2644*1.105</f>
        <v>176534.8</v>
      </c>
      <c r="H2644" s="135">
        <f t="shared" si="728"/>
        <v>0</v>
      </c>
      <c r="I2644" s="294">
        <v>44887</v>
      </c>
      <c r="J2644" s="294"/>
      <c r="K2644" s="10">
        <f>122*PROVEEDORES!D47</f>
        <v>118340</v>
      </c>
      <c r="L2644" s="47"/>
      <c r="M2644" s="11"/>
      <c r="N2644" s="100"/>
      <c r="O2644" s="11">
        <f t="shared" si="711"/>
        <v>118340</v>
      </c>
      <c r="P2644" s="11">
        <f t="shared" si="726"/>
        <v>118340</v>
      </c>
      <c r="Q2644" s="11">
        <v>1.35</v>
      </c>
      <c r="R2644" s="11">
        <f t="shared" si="718"/>
        <v>159759</v>
      </c>
      <c r="S2644" s="11"/>
      <c r="T2644" s="136">
        <f t="shared" si="716"/>
        <v>0</v>
      </c>
    </row>
    <row r="2645" spans="1:20" ht="15.75" customHeight="1">
      <c r="A2645" s="149">
        <v>38</v>
      </c>
      <c r="B2645" s="273"/>
      <c r="C2645" s="28" t="s">
        <v>2794</v>
      </c>
      <c r="D2645" s="71">
        <v>9290</v>
      </c>
      <c r="E2645" s="131">
        <f t="shared" si="727"/>
        <v>0</v>
      </c>
      <c r="F2645" s="21" t="s">
        <v>1248</v>
      </c>
      <c r="G2645" s="21">
        <f t="shared" ref="G2645:G2654" si="735">+E2645*1.105</f>
        <v>0</v>
      </c>
      <c r="H2645" s="135">
        <f t="shared" si="728"/>
        <v>0</v>
      </c>
      <c r="I2645" s="294">
        <v>44576</v>
      </c>
      <c r="J2645" s="294"/>
      <c r="K2645" s="10">
        <f>18761*1.06*1.03*1.2*1.25*1.2</f>
        <v>36869.867639999997</v>
      </c>
      <c r="L2645" s="10"/>
      <c r="M2645" s="11"/>
      <c r="N2645" s="100"/>
      <c r="O2645" s="11">
        <f t="shared" si="711"/>
        <v>36869.867639999997</v>
      </c>
      <c r="P2645" s="11">
        <f t="shared" si="726"/>
        <v>36869.867639999997</v>
      </c>
      <c r="Q2645" s="11"/>
      <c r="R2645" s="11">
        <f t="shared" si="718"/>
        <v>0</v>
      </c>
      <c r="S2645" s="11"/>
      <c r="T2645" s="136">
        <f t="shared" si="716"/>
        <v>0</v>
      </c>
    </row>
    <row r="2646" spans="1:20" ht="15.75" customHeight="1">
      <c r="A2646" s="149">
        <v>38</v>
      </c>
      <c r="B2646" s="273"/>
      <c r="C2646" s="28" t="s">
        <v>2795</v>
      </c>
      <c r="D2646" s="166">
        <v>12470</v>
      </c>
      <c r="E2646" s="131">
        <f t="shared" si="727"/>
        <v>0</v>
      </c>
      <c r="F2646" s="21" t="s">
        <v>1248</v>
      </c>
      <c r="G2646" s="21">
        <f t="shared" si="735"/>
        <v>0</v>
      </c>
      <c r="H2646" s="135">
        <f t="shared" si="728"/>
        <v>0</v>
      </c>
      <c r="I2646" s="294">
        <v>44576</v>
      </c>
      <c r="J2646" s="294">
        <v>45274</v>
      </c>
      <c r="K2646" s="10">
        <f>+PROVEEDORES!D32*605.76</f>
        <v>636048</v>
      </c>
      <c r="L2646" s="10"/>
      <c r="M2646" s="11"/>
      <c r="N2646" s="100">
        <v>551242</v>
      </c>
      <c r="O2646" s="11">
        <f t="shared" si="711"/>
        <v>636048</v>
      </c>
      <c r="P2646" s="11">
        <f t="shared" si="726"/>
        <v>636048</v>
      </c>
      <c r="Q2646" s="11"/>
      <c r="R2646" s="11">
        <f t="shared" si="718"/>
        <v>0</v>
      </c>
      <c r="S2646" s="11"/>
      <c r="T2646" s="136">
        <f t="shared" si="716"/>
        <v>0</v>
      </c>
    </row>
    <row r="2647" spans="1:20" ht="15.75" customHeight="1">
      <c r="A2647" s="149">
        <v>38</v>
      </c>
      <c r="B2647" s="273"/>
      <c r="C2647" s="28" t="s">
        <v>2796</v>
      </c>
      <c r="D2647" s="71">
        <v>17420</v>
      </c>
      <c r="E2647" s="131">
        <f t="shared" si="727"/>
        <v>0</v>
      </c>
      <c r="F2647" s="21" t="s">
        <v>1248</v>
      </c>
      <c r="G2647" s="21">
        <f t="shared" si="735"/>
        <v>0</v>
      </c>
      <c r="H2647" s="135">
        <f t="shared" si="728"/>
        <v>0</v>
      </c>
      <c r="I2647" s="294">
        <v>44319</v>
      </c>
      <c r="J2647" s="294">
        <v>44379</v>
      </c>
      <c r="K2647" s="10">
        <f>35603*1.06</f>
        <v>37739.18</v>
      </c>
      <c r="L2647" s="10"/>
      <c r="M2647" s="11"/>
      <c r="N2647" s="100"/>
      <c r="O2647" s="11">
        <f t="shared" si="711"/>
        <v>37739.18</v>
      </c>
      <c r="P2647" s="11">
        <f t="shared" si="726"/>
        <v>37739.18</v>
      </c>
      <c r="Q2647" s="11"/>
      <c r="R2647" s="11">
        <f t="shared" si="718"/>
        <v>0</v>
      </c>
      <c r="S2647" s="11"/>
      <c r="T2647" s="136">
        <f t="shared" si="716"/>
        <v>0</v>
      </c>
    </row>
    <row r="2648" spans="1:20" ht="15.75" customHeight="1">
      <c r="A2648" s="149">
        <v>24</v>
      </c>
      <c r="B2648" s="273">
        <f>ROUNDUP(E2648*1.06,-1)</f>
        <v>380750</v>
      </c>
      <c r="C2648" s="28" t="s">
        <v>2476</v>
      </c>
      <c r="D2648" s="71">
        <v>4280</v>
      </c>
      <c r="E2648" s="131">
        <f t="shared" si="727"/>
        <v>359190</v>
      </c>
      <c r="F2648" s="21" t="s">
        <v>1248</v>
      </c>
      <c r="G2648" s="21">
        <f t="shared" si="735"/>
        <v>396904.95</v>
      </c>
      <c r="H2648" s="135">
        <f t="shared" si="728"/>
        <v>0</v>
      </c>
      <c r="I2648" s="294"/>
      <c r="J2648" s="294">
        <v>45175</v>
      </c>
      <c r="K2648" s="10">
        <f>+PROVEEDORES!$D$18*0.5*502</f>
        <v>266060</v>
      </c>
      <c r="L2648" s="10"/>
      <c r="M2648" s="11"/>
      <c r="N2648" s="100"/>
      <c r="O2648" s="11">
        <f t="shared" si="711"/>
        <v>266060</v>
      </c>
      <c r="P2648" s="11">
        <f t="shared" si="726"/>
        <v>266060</v>
      </c>
      <c r="Q2648" s="11">
        <v>1.35</v>
      </c>
      <c r="R2648" s="11">
        <f t="shared" si="718"/>
        <v>359181</v>
      </c>
      <c r="S2648" s="11"/>
      <c r="T2648" s="136">
        <f t="shared" si="716"/>
        <v>0</v>
      </c>
    </row>
    <row r="2649" spans="1:20" ht="15.75" customHeight="1">
      <c r="A2649" s="149">
        <v>24</v>
      </c>
      <c r="B2649" s="273">
        <f>ROUNDUP(E2649*1.06,-1)</f>
        <v>411080</v>
      </c>
      <c r="C2649" s="28" t="s">
        <v>2770</v>
      </c>
      <c r="D2649" s="71">
        <v>5920</v>
      </c>
      <c r="E2649" s="131">
        <f t="shared" si="727"/>
        <v>387810</v>
      </c>
      <c r="F2649" s="21" t="s">
        <v>1248</v>
      </c>
      <c r="G2649" s="21">
        <f t="shared" si="735"/>
        <v>428530.05</v>
      </c>
      <c r="H2649" s="135">
        <f t="shared" si="728"/>
        <v>0</v>
      </c>
      <c r="I2649" s="294"/>
      <c r="J2649" s="294">
        <v>45175</v>
      </c>
      <c r="K2649" s="10">
        <f>+PROVEEDORES!$D$18*0.5*542</f>
        <v>287260</v>
      </c>
      <c r="L2649" s="11"/>
      <c r="M2649" s="11"/>
      <c r="N2649" s="100"/>
      <c r="O2649" s="11">
        <f t="shared" si="711"/>
        <v>287260</v>
      </c>
      <c r="P2649" s="11">
        <f t="shared" si="726"/>
        <v>287260</v>
      </c>
      <c r="Q2649" s="11">
        <v>1.35</v>
      </c>
      <c r="R2649" s="11">
        <f t="shared" si="718"/>
        <v>387801</v>
      </c>
      <c r="S2649" s="11"/>
      <c r="T2649" s="136">
        <f t="shared" si="716"/>
        <v>0</v>
      </c>
    </row>
    <row r="2650" spans="1:20" ht="15.75" customHeight="1">
      <c r="A2650" s="149">
        <v>76</v>
      </c>
      <c r="B2650" s="273"/>
      <c r="C2650" s="28" t="s">
        <v>2821</v>
      </c>
      <c r="D2650" s="71">
        <v>5430</v>
      </c>
      <c r="E2650" s="131">
        <f t="shared" si="727"/>
        <v>309020</v>
      </c>
      <c r="F2650" s="21" t="s">
        <v>1248</v>
      </c>
      <c r="G2650" s="21">
        <f t="shared" si="735"/>
        <v>341467.1</v>
      </c>
      <c r="H2650" s="135">
        <f t="shared" si="728"/>
        <v>0</v>
      </c>
      <c r="I2650" s="294">
        <v>45257</v>
      </c>
      <c r="J2650" s="294"/>
      <c r="K2650" s="10">
        <f>0.9*152599*1.5</f>
        <v>206008.65000000002</v>
      </c>
      <c r="L2650" s="11"/>
      <c r="M2650" s="11"/>
      <c r="N2650" s="100"/>
      <c r="O2650" s="11">
        <f t="shared" si="711"/>
        <v>206008.65000000002</v>
      </c>
      <c r="P2650" s="11">
        <f t="shared" si="726"/>
        <v>206008.65000000002</v>
      </c>
      <c r="Q2650" s="11">
        <v>1.5</v>
      </c>
      <c r="R2650" s="11">
        <f t="shared" si="718"/>
        <v>309012.97500000003</v>
      </c>
      <c r="S2650" s="11"/>
      <c r="T2650" s="136">
        <f t="shared" si="716"/>
        <v>0</v>
      </c>
    </row>
    <row r="2651" spans="1:20" ht="15.75" customHeight="1">
      <c r="A2651" s="149">
        <v>76</v>
      </c>
      <c r="B2651" s="273"/>
      <c r="C2651" s="28" t="s">
        <v>2822</v>
      </c>
      <c r="D2651" s="71"/>
      <c r="E2651" s="131">
        <f t="shared" si="727"/>
        <v>0</v>
      </c>
      <c r="F2651" s="21" t="s">
        <v>1248</v>
      </c>
      <c r="G2651" s="21">
        <f t="shared" si="735"/>
        <v>0</v>
      </c>
      <c r="H2651" s="135">
        <f t="shared" si="728"/>
        <v>0</v>
      </c>
      <c r="I2651" s="294">
        <v>45257</v>
      </c>
      <c r="J2651" s="294"/>
      <c r="K2651" s="10">
        <f>0.9*184390</f>
        <v>165951</v>
      </c>
      <c r="L2651" s="11"/>
      <c r="M2651" s="11"/>
      <c r="N2651" s="100"/>
      <c r="O2651" s="11">
        <f t="shared" si="711"/>
        <v>165951</v>
      </c>
      <c r="P2651" s="11">
        <f t="shared" si="726"/>
        <v>165951</v>
      </c>
      <c r="Q2651" s="11"/>
      <c r="R2651" s="11">
        <f t="shared" si="718"/>
        <v>0</v>
      </c>
      <c r="S2651" s="11"/>
      <c r="T2651" s="136">
        <f t="shared" si="716"/>
        <v>0</v>
      </c>
    </row>
    <row r="2652" spans="1:20" ht="15.75" customHeight="1">
      <c r="A2652" s="149">
        <v>52</v>
      </c>
      <c r="B2652" s="273">
        <f t="shared" ref="B2652" si="736">ROUNDUP(E2652*1.06,-1)</f>
        <v>176080</v>
      </c>
      <c r="C2652" s="28" t="s">
        <v>62619</v>
      </c>
      <c r="D2652" s="41">
        <v>34550</v>
      </c>
      <c r="E2652" s="131">
        <f t="shared" si="727"/>
        <v>166110</v>
      </c>
      <c r="F2652" s="21" t="s">
        <v>1248</v>
      </c>
      <c r="G2652" s="21">
        <f t="shared" si="735"/>
        <v>183551.55</v>
      </c>
      <c r="H2652" s="135">
        <f t="shared" si="728"/>
        <v>0</v>
      </c>
      <c r="I2652" s="294"/>
      <c r="J2652" s="294">
        <v>45338</v>
      </c>
      <c r="K2652" s="11">
        <f>+PROVEEDORES!$D$46*113</f>
        <v>118650</v>
      </c>
      <c r="L2652" s="11"/>
      <c r="M2652" s="10"/>
      <c r="N2652" s="100"/>
      <c r="O2652" s="11">
        <f t="shared" si="711"/>
        <v>118650</v>
      </c>
      <c r="P2652" s="11">
        <f t="shared" si="726"/>
        <v>118650</v>
      </c>
      <c r="Q2652" s="11">
        <v>1.4</v>
      </c>
      <c r="R2652" s="11">
        <f t="shared" si="718"/>
        <v>166110</v>
      </c>
      <c r="S2652" s="11"/>
      <c r="T2652" s="136">
        <f t="shared" si="716"/>
        <v>0</v>
      </c>
    </row>
    <row r="2653" spans="1:20" ht="15.75" customHeight="1">
      <c r="A2653" s="149">
        <v>52</v>
      </c>
      <c r="B2653" s="273">
        <f>ROUNDUP(E2653*1.06,-1)</f>
        <v>210360</v>
      </c>
      <c r="C2653" s="28" t="s">
        <v>62620</v>
      </c>
      <c r="D2653" s="41"/>
      <c r="E2653" s="131">
        <f>ROUNDUP(R2653,-1)</f>
        <v>198450</v>
      </c>
      <c r="F2653" s="21" t="s">
        <v>1248</v>
      </c>
      <c r="G2653" s="21">
        <f>+E2653*1.105</f>
        <v>219287.25</v>
      </c>
      <c r="H2653" s="135">
        <f>ROUNDUP(T2653,-1)</f>
        <v>0</v>
      </c>
      <c r="I2653" s="294"/>
      <c r="J2653" s="294">
        <v>45377</v>
      </c>
      <c r="K2653" s="11">
        <f>+PROVEEDORES!$D$46*135</f>
        <v>141750</v>
      </c>
      <c r="L2653" s="11"/>
      <c r="M2653" s="11"/>
      <c r="N2653" s="100"/>
      <c r="O2653" s="11">
        <f>MIN(K2653:M2653)</f>
        <v>141750</v>
      </c>
      <c r="P2653" s="11">
        <f t="shared" si="726"/>
        <v>141750</v>
      </c>
      <c r="Q2653" s="11">
        <v>1.4</v>
      </c>
      <c r="R2653" s="11">
        <f t="shared" si="718"/>
        <v>198450</v>
      </c>
      <c r="S2653" s="11"/>
      <c r="T2653" s="136">
        <f>+N2653*Q2653</f>
        <v>0</v>
      </c>
    </row>
    <row r="2654" spans="1:20" ht="15.75" customHeight="1">
      <c r="A2654" s="149"/>
      <c r="B2654" s="273"/>
      <c r="C2654" s="28" t="s">
        <v>4141</v>
      </c>
      <c r="D2654" s="71"/>
      <c r="E2654" s="131">
        <f t="shared" si="727"/>
        <v>326600</v>
      </c>
      <c r="F2654" s="21" t="s">
        <v>1248</v>
      </c>
      <c r="G2654" s="21">
        <f t="shared" si="735"/>
        <v>360893</v>
      </c>
      <c r="H2654" s="135">
        <f t="shared" si="728"/>
        <v>246300</v>
      </c>
      <c r="I2654" s="294">
        <v>45274</v>
      </c>
      <c r="J2654" s="294">
        <v>45357</v>
      </c>
      <c r="K2654" s="10">
        <f>0.72*323999</f>
        <v>233279.28</v>
      </c>
      <c r="L2654" s="11"/>
      <c r="M2654" s="11"/>
      <c r="N2654" s="10">
        <f>0.72*244344</f>
        <v>175927.67999999999</v>
      </c>
      <c r="O2654" s="11">
        <f t="shared" si="711"/>
        <v>233279.28</v>
      </c>
      <c r="P2654" s="11">
        <f>+O2654*'AUMENTOS %'!$D$13</f>
        <v>233279.28</v>
      </c>
      <c r="Q2654" s="11">
        <v>1.4</v>
      </c>
      <c r="R2654" s="11">
        <f t="shared" si="718"/>
        <v>326590.99199999997</v>
      </c>
      <c r="S2654" s="11"/>
      <c r="T2654" s="136">
        <f t="shared" si="716"/>
        <v>246298.75199999998</v>
      </c>
    </row>
    <row r="2655" spans="1:20" ht="15.75" customHeight="1">
      <c r="A2655" s="149">
        <v>21</v>
      </c>
      <c r="B2655" s="273"/>
      <c r="C2655" s="28" t="s">
        <v>44192</v>
      </c>
      <c r="D2655" s="71">
        <v>17480</v>
      </c>
      <c r="E2655" s="131">
        <f t="shared" si="727"/>
        <v>595370</v>
      </c>
      <c r="F2655" s="21">
        <f>+E2655*1.21</f>
        <v>720397.7</v>
      </c>
      <c r="G2655" s="21"/>
      <c r="H2655" s="135">
        <f t="shared" si="728"/>
        <v>0</v>
      </c>
      <c r="I2655" s="294">
        <v>45217</v>
      </c>
      <c r="J2655" s="294">
        <v>45273</v>
      </c>
      <c r="K2655" s="10">
        <f>0.6*708765</f>
        <v>425259</v>
      </c>
      <c r="L2655" s="11"/>
      <c r="M2655" s="11"/>
      <c r="N2655" s="100"/>
      <c r="O2655" s="11">
        <f t="shared" si="711"/>
        <v>425259</v>
      </c>
      <c r="P2655" s="11">
        <f t="shared" si="726"/>
        <v>425259</v>
      </c>
      <c r="Q2655" s="11">
        <v>1.4</v>
      </c>
      <c r="R2655" s="11">
        <f t="shared" si="718"/>
        <v>595362.6</v>
      </c>
      <c r="S2655" s="11"/>
      <c r="T2655" s="136">
        <f t="shared" si="716"/>
        <v>0</v>
      </c>
    </row>
    <row r="2656" spans="1:20" ht="15.75" customHeight="1">
      <c r="A2656" s="149">
        <v>21</v>
      </c>
      <c r="B2656" s="273"/>
      <c r="C2656" s="28" t="s">
        <v>44193</v>
      </c>
      <c r="D2656" s="71">
        <v>8530</v>
      </c>
      <c r="E2656" s="131">
        <f t="shared" si="727"/>
        <v>245420</v>
      </c>
      <c r="F2656" s="21">
        <f>+E2656*1.21</f>
        <v>296958.2</v>
      </c>
      <c r="G2656" s="21"/>
      <c r="H2656" s="135">
        <f t="shared" si="728"/>
        <v>0</v>
      </c>
      <c r="I2656" s="294">
        <v>45217</v>
      </c>
      <c r="J2656" s="294">
        <v>45273</v>
      </c>
      <c r="K2656" s="10">
        <f>0.6*292165</f>
        <v>175299</v>
      </c>
      <c r="L2656" s="11"/>
      <c r="M2656" s="11"/>
      <c r="N2656" s="100"/>
      <c r="O2656" s="11">
        <f t="shared" si="711"/>
        <v>175299</v>
      </c>
      <c r="P2656" s="11">
        <f t="shared" si="726"/>
        <v>175299</v>
      </c>
      <c r="Q2656" s="11">
        <v>1.4</v>
      </c>
      <c r="R2656" s="11">
        <f t="shared" si="718"/>
        <v>245418.59999999998</v>
      </c>
      <c r="S2656" s="11"/>
      <c r="T2656" s="136">
        <f t="shared" si="716"/>
        <v>0</v>
      </c>
    </row>
    <row r="2657" spans="1:20" ht="15.75" customHeight="1">
      <c r="A2657" s="149"/>
      <c r="B2657" s="273"/>
      <c r="C2657" s="28" t="s">
        <v>1981</v>
      </c>
      <c r="D2657" s="71">
        <v>11480</v>
      </c>
      <c r="E2657" s="131">
        <f t="shared" si="727"/>
        <v>0</v>
      </c>
      <c r="F2657" s="21" t="s">
        <v>1248</v>
      </c>
      <c r="G2657" s="21" t="s">
        <v>44232</v>
      </c>
      <c r="H2657" s="135">
        <f t="shared" si="728"/>
        <v>0</v>
      </c>
      <c r="I2657" s="294"/>
      <c r="J2657" s="294">
        <v>43014</v>
      </c>
      <c r="K2657" s="10">
        <f>9584*0.9*0.95*1.4</f>
        <v>11472.047999999999</v>
      </c>
      <c r="L2657" s="10"/>
      <c r="M2657" s="11"/>
      <c r="N2657" s="100"/>
      <c r="O2657" s="11">
        <f t="shared" si="711"/>
        <v>11472.047999999999</v>
      </c>
      <c r="P2657" s="11">
        <f t="shared" si="726"/>
        <v>11472.047999999999</v>
      </c>
      <c r="Q2657" s="11"/>
      <c r="R2657" s="11">
        <f t="shared" si="718"/>
        <v>0</v>
      </c>
      <c r="S2657" s="11"/>
      <c r="T2657" s="136">
        <f t="shared" si="716"/>
        <v>0</v>
      </c>
    </row>
    <row r="2658" spans="1:20" ht="15.75" customHeight="1">
      <c r="A2658" s="149">
        <v>12</v>
      </c>
      <c r="B2658" s="273"/>
      <c r="C2658" s="28" t="s">
        <v>3490</v>
      </c>
      <c r="D2658" s="71"/>
      <c r="E2658" s="131">
        <f t="shared" si="727"/>
        <v>20270</v>
      </c>
      <c r="F2658" s="21">
        <f t="shared" ref="F2658:F2690" si="737">+E2658*1.21</f>
        <v>24526.7</v>
      </c>
      <c r="G2658" s="21"/>
      <c r="H2658" s="135">
        <f t="shared" si="728"/>
        <v>0</v>
      </c>
      <c r="I2658" s="294">
        <v>45274</v>
      </c>
      <c r="J2658" s="294">
        <v>45338</v>
      </c>
      <c r="K2658" s="10">
        <v>13507</v>
      </c>
      <c r="L2658" s="196"/>
      <c r="M2658" s="11"/>
      <c r="N2658" s="100"/>
      <c r="O2658" s="11">
        <f t="shared" si="711"/>
        <v>13507</v>
      </c>
      <c r="P2658" s="11">
        <f t="shared" si="726"/>
        <v>13507</v>
      </c>
      <c r="Q2658" s="11">
        <v>1.5</v>
      </c>
      <c r="R2658" s="11">
        <f t="shared" si="718"/>
        <v>20260.5</v>
      </c>
      <c r="S2658" s="11"/>
      <c r="T2658" s="136">
        <f t="shared" si="716"/>
        <v>0</v>
      </c>
    </row>
    <row r="2659" spans="1:20" ht="15.75" customHeight="1">
      <c r="A2659" s="149">
        <v>12</v>
      </c>
      <c r="B2659" s="273"/>
      <c r="C2659" s="28" t="s">
        <v>44226</v>
      </c>
      <c r="D2659" s="71"/>
      <c r="E2659" s="131">
        <f>ROUNDUP(R2659,-1)</f>
        <v>16260</v>
      </c>
      <c r="F2659" s="21">
        <f>+E2659*1.21</f>
        <v>19674.599999999999</v>
      </c>
      <c r="G2659" s="21">
        <f>541436*0.6*1.4</f>
        <v>454806.23999999993</v>
      </c>
      <c r="H2659" s="135">
        <f>ROUNDUP(T2659,-1)</f>
        <v>0</v>
      </c>
      <c r="I2659" s="294">
        <v>45274</v>
      </c>
      <c r="J2659" s="294">
        <v>45338</v>
      </c>
      <c r="K2659" s="10">
        <v>10839</v>
      </c>
      <c r="L2659" s="196"/>
      <c r="M2659" s="11"/>
      <c r="N2659" s="100"/>
      <c r="O2659" s="11">
        <f>MIN(K2659:M2659)</f>
        <v>10839</v>
      </c>
      <c r="P2659" s="11">
        <f>+O2659</f>
        <v>10839</v>
      </c>
      <c r="Q2659" s="11">
        <v>1.5</v>
      </c>
      <c r="R2659" s="11">
        <f>+P2659*Q2659</f>
        <v>16258.5</v>
      </c>
      <c r="S2659" s="11"/>
      <c r="T2659" s="136">
        <f>+N2659*Q2659</f>
        <v>0</v>
      </c>
    </row>
    <row r="2660" spans="1:20" ht="15.75" customHeight="1">
      <c r="A2660" s="149">
        <v>38</v>
      </c>
      <c r="B2660" s="273"/>
      <c r="C2660" s="28" t="s">
        <v>2470</v>
      </c>
      <c r="D2660" s="71">
        <v>1100</v>
      </c>
      <c r="E2660" s="131">
        <f t="shared" si="727"/>
        <v>22530</v>
      </c>
      <c r="F2660" s="21">
        <f t="shared" si="737"/>
        <v>27261.3</v>
      </c>
      <c r="G2660" s="21"/>
      <c r="H2660" s="135">
        <f t="shared" si="728"/>
        <v>19520</v>
      </c>
      <c r="I2660" s="294">
        <v>45138</v>
      </c>
      <c r="J2660" s="294">
        <v>45274</v>
      </c>
      <c r="K2660" s="10">
        <f>+PROVEEDORES!$D$32*14.3</f>
        <v>15015</v>
      </c>
      <c r="L2660" s="11"/>
      <c r="M2660" s="11"/>
      <c r="N2660" s="100">
        <v>13012</v>
      </c>
      <c r="O2660" s="11">
        <f t="shared" si="711"/>
        <v>15015</v>
      </c>
      <c r="P2660" s="11">
        <f t="shared" si="726"/>
        <v>15015</v>
      </c>
      <c r="Q2660" s="11">
        <v>1.5</v>
      </c>
      <c r="R2660" s="11">
        <f t="shared" si="718"/>
        <v>22522.5</v>
      </c>
      <c r="S2660" s="11"/>
      <c r="T2660" s="136">
        <f t="shared" si="716"/>
        <v>19518</v>
      </c>
    </row>
    <row r="2661" spans="1:20" ht="15.75" customHeight="1">
      <c r="A2661" s="149">
        <v>12</v>
      </c>
      <c r="B2661" s="273"/>
      <c r="C2661" s="28" t="s">
        <v>3720</v>
      </c>
      <c r="D2661" s="71">
        <v>290</v>
      </c>
      <c r="E2661" s="131">
        <f t="shared" si="727"/>
        <v>15200</v>
      </c>
      <c r="F2661" s="21">
        <f t="shared" si="737"/>
        <v>18392</v>
      </c>
      <c r="G2661" s="21"/>
      <c r="H2661" s="135">
        <f t="shared" si="728"/>
        <v>12240</v>
      </c>
      <c r="I2661" s="294">
        <v>45274</v>
      </c>
      <c r="J2661" s="294">
        <v>45338</v>
      </c>
      <c r="K2661" s="10">
        <v>10131</v>
      </c>
      <c r="L2661" s="196"/>
      <c r="M2661" s="11"/>
      <c r="N2661" s="100">
        <f>7092*1.15</f>
        <v>8155.7999999999993</v>
      </c>
      <c r="O2661" s="11">
        <f t="shared" ref="O2661:O2732" si="738">MIN(K2661:M2661)</f>
        <v>10131</v>
      </c>
      <c r="P2661" s="11">
        <f t="shared" si="726"/>
        <v>10131</v>
      </c>
      <c r="Q2661" s="11">
        <v>1.5</v>
      </c>
      <c r="R2661" s="11">
        <f t="shared" si="718"/>
        <v>15196.5</v>
      </c>
      <c r="S2661" s="11"/>
      <c r="T2661" s="136">
        <f t="shared" si="716"/>
        <v>12233.699999999999</v>
      </c>
    </row>
    <row r="2662" spans="1:20" ht="15.75" customHeight="1">
      <c r="A2662" s="149">
        <v>12</v>
      </c>
      <c r="B2662" s="273"/>
      <c r="C2662" s="28" t="s">
        <v>3491</v>
      </c>
      <c r="D2662" s="71"/>
      <c r="E2662" s="131">
        <f t="shared" si="727"/>
        <v>24070</v>
      </c>
      <c r="F2662" s="21">
        <f t="shared" si="737"/>
        <v>29124.7</v>
      </c>
      <c r="G2662" s="21"/>
      <c r="H2662" s="135">
        <f t="shared" si="728"/>
        <v>0</v>
      </c>
      <c r="I2662" s="294">
        <v>45274</v>
      </c>
      <c r="J2662" s="294">
        <v>45338</v>
      </c>
      <c r="K2662" s="10">
        <v>16041</v>
      </c>
      <c r="L2662" s="11"/>
      <c r="M2662" s="11"/>
      <c r="N2662" s="100"/>
      <c r="O2662" s="11">
        <f t="shared" si="738"/>
        <v>16041</v>
      </c>
      <c r="P2662" s="11">
        <f t="shared" si="726"/>
        <v>16041</v>
      </c>
      <c r="Q2662" s="11">
        <v>1.5</v>
      </c>
      <c r="R2662" s="11">
        <f t="shared" si="718"/>
        <v>24061.5</v>
      </c>
      <c r="S2662" s="11"/>
      <c r="T2662" s="136">
        <f t="shared" si="716"/>
        <v>0</v>
      </c>
    </row>
    <row r="2663" spans="1:20" ht="15.75" customHeight="1">
      <c r="A2663" s="149">
        <v>38</v>
      </c>
      <c r="B2663" s="273"/>
      <c r="C2663" s="28" t="s">
        <v>2471</v>
      </c>
      <c r="D2663" s="71">
        <v>1460</v>
      </c>
      <c r="E2663" s="131">
        <f t="shared" si="727"/>
        <v>20730</v>
      </c>
      <c r="F2663" s="21">
        <f t="shared" si="737"/>
        <v>25083.3</v>
      </c>
      <c r="G2663" s="21"/>
      <c r="H2663" s="135">
        <f t="shared" si="728"/>
        <v>18790</v>
      </c>
      <c r="I2663" s="294">
        <v>45138</v>
      </c>
      <c r="J2663" s="294">
        <v>45274</v>
      </c>
      <c r="K2663" s="10">
        <f>+PROVEEDORES!$D$32*13.61</f>
        <v>14290.5</v>
      </c>
      <c r="L2663" s="11"/>
      <c r="M2663" s="11"/>
      <c r="N2663" s="100">
        <v>12955</v>
      </c>
      <c r="O2663" s="11">
        <f t="shared" si="738"/>
        <v>14290.5</v>
      </c>
      <c r="P2663" s="11">
        <f t="shared" si="726"/>
        <v>14290.5</v>
      </c>
      <c r="Q2663" s="11">
        <v>1.45</v>
      </c>
      <c r="R2663" s="11">
        <f t="shared" si="718"/>
        <v>20721.224999999999</v>
      </c>
      <c r="S2663" s="11"/>
      <c r="T2663" s="136">
        <f t="shared" si="716"/>
        <v>18784.75</v>
      </c>
    </row>
    <row r="2664" spans="1:20" ht="15.75" customHeight="1">
      <c r="A2664" s="149">
        <v>38</v>
      </c>
      <c r="B2664" s="273">
        <f>ROUNDUP(E2664*1.105,-1)</f>
        <v>374900</v>
      </c>
      <c r="C2664" s="28" t="s">
        <v>4140</v>
      </c>
      <c r="D2664" s="71">
        <v>2100</v>
      </c>
      <c r="E2664" s="131">
        <f t="shared" ref="E2664" si="739">ROUNDUP(R2664,-1)</f>
        <v>339270</v>
      </c>
      <c r="F2664" s="21">
        <f t="shared" ref="F2664" si="740">+E2664*1.21</f>
        <v>410516.7</v>
      </c>
      <c r="G2664" s="21"/>
      <c r="H2664" s="135">
        <f t="shared" ref="H2664" si="741">ROUNDUP(T2664,-1)</f>
        <v>0</v>
      </c>
      <c r="I2664" s="294">
        <v>45138</v>
      </c>
      <c r="J2664" s="294"/>
      <c r="K2664" s="10">
        <f>+PROVEEDORES!D32*239.34</f>
        <v>251307</v>
      </c>
      <c r="L2664" s="11"/>
      <c r="M2664" s="11"/>
      <c r="N2664" s="100"/>
      <c r="O2664" s="11">
        <f t="shared" ref="O2664" si="742">MIN(K2664:M2664)</f>
        <v>251307</v>
      </c>
      <c r="P2664" s="11">
        <f t="shared" ref="P2664" si="743">+O2664</f>
        <v>251307</v>
      </c>
      <c r="Q2664" s="11">
        <v>1.35</v>
      </c>
      <c r="R2664" s="11">
        <f t="shared" ref="R2664" si="744">+P2664*Q2664</f>
        <v>339264.45</v>
      </c>
      <c r="S2664" s="11"/>
      <c r="T2664" s="136">
        <f t="shared" ref="T2664" si="745">+N2664*Q2664</f>
        <v>0</v>
      </c>
    </row>
    <row r="2665" spans="1:20" ht="15.75" customHeight="1">
      <c r="A2665" s="149">
        <v>38</v>
      </c>
      <c r="B2665" s="273">
        <f>ROUNDUP(E2665*1.105,-1)</f>
        <v>88730</v>
      </c>
      <c r="C2665" s="28" t="s">
        <v>62633</v>
      </c>
      <c r="D2665" s="71">
        <v>2100</v>
      </c>
      <c r="E2665" s="131">
        <f t="shared" si="727"/>
        <v>80290</v>
      </c>
      <c r="F2665" s="21">
        <f t="shared" si="737"/>
        <v>97150.9</v>
      </c>
      <c r="G2665" s="21"/>
      <c r="H2665" s="135">
        <f t="shared" si="728"/>
        <v>0</v>
      </c>
      <c r="I2665" s="294">
        <v>45138</v>
      </c>
      <c r="J2665" s="294">
        <v>45348</v>
      </c>
      <c r="K2665" s="10">
        <f>+PROVEEDORES!D32*56.64</f>
        <v>59472</v>
      </c>
      <c r="L2665" s="11"/>
      <c r="M2665" s="11"/>
      <c r="N2665" s="100"/>
      <c r="O2665" s="11">
        <f t="shared" si="738"/>
        <v>59472</v>
      </c>
      <c r="P2665" s="11">
        <f t="shared" si="726"/>
        <v>59472</v>
      </c>
      <c r="Q2665" s="11">
        <v>1.35</v>
      </c>
      <c r="R2665" s="11">
        <f t="shared" si="718"/>
        <v>80287.200000000012</v>
      </c>
      <c r="S2665" s="11"/>
      <c r="T2665" s="136">
        <f t="shared" si="716"/>
        <v>0</v>
      </c>
    </row>
    <row r="2666" spans="1:20" ht="15.75" customHeight="1">
      <c r="A2666" s="149">
        <v>98</v>
      </c>
      <c r="B2666" s="273"/>
      <c r="C2666" s="28" t="s">
        <v>2072</v>
      </c>
      <c r="D2666" s="71">
        <v>880</v>
      </c>
      <c r="E2666" s="131">
        <f t="shared" si="727"/>
        <v>16450</v>
      </c>
      <c r="F2666" s="21">
        <f t="shared" si="737"/>
        <v>19904.5</v>
      </c>
      <c r="G2666" s="21"/>
      <c r="H2666" s="135">
        <f t="shared" si="728"/>
        <v>0</v>
      </c>
      <c r="I2666" s="294">
        <v>45329</v>
      </c>
      <c r="J2666" s="294"/>
      <c r="K2666" s="10">
        <v>11340</v>
      </c>
      <c r="L2666" s="11"/>
      <c r="M2666" s="11"/>
      <c r="N2666" s="100"/>
      <c r="O2666" s="11">
        <f t="shared" si="738"/>
        <v>11340</v>
      </c>
      <c r="P2666" s="11">
        <f t="shared" si="726"/>
        <v>11340</v>
      </c>
      <c r="Q2666" s="11">
        <v>1.45</v>
      </c>
      <c r="R2666" s="11">
        <f t="shared" si="718"/>
        <v>16443</v>
      </c>
      <c r="S2666" s="11"/>
      <c r="T2666" s="136">
        <f t="shared" si="716"/>
        <v>0</v>
      </c>
    </row>
    <row r="2667" spans="1:20" ht="15.75" customHeight="1">
      <c r="A2667" s="149">
        <v>98</v>
      </c>
      <c r="B2667" s="273"/>
      <c r="C2667" s="28" t="s">
        <v>2101</v>
      </c>
      <c r="D2667" s="71">
        <v>1400</v>
      </c>
      <c r="E2667" s="131">
        <f t="shared" si="727"/>
        <v>25930</v>
      </c>
      <c r="F2667" s="21">
        <f t="shared" si="737"/>
        <v>31375.3</v>
      </c>
      <c r="G2667" s="21"/>
      <c r="H2667" s="135">
        <f t="shared" si="728"/>
        <v>0</v>
      </c>
      <c r="I2667" s="294">
        <v>45329</v>
      </c>
      <c r="J2667" s="294"/>
      <c r="K2667" s="10">
        <v>17880</v>
      </c>
      <c r="L2667" s="11"/>
      <c r="M2667" s="11"/>
      <c r="N2667" s="100"/>
      <c r="O2667" s="11">
        <f t="shared" si="738"/>
        <v>17880</v>
      </c>
      <c r="P2667" s="11">
        <f t="shared" si="726"/>
        <v>17880</v>
      </c>
      <c r="Q2667" s="11">
        <v>1.45</v>
      </c>
      <c r="R2667" s="11">
        <f t="shared" si="718"/>
        <v>25926</v>
      </c>
      <c r="S2667" s="11"/>
      <c r="T2667" s="136">
        <f t="shared" si="716"/>
        <v>0</v>
      </c>
    </row>
    <row r="2668" spans="1:20" ht="15.75" customHeight="1">
      <c r="A2668" s="149">
        <v>19</v>
      </c>
      <c r="B2668" s="273"/>
      <c r="C2668" s="28" t="s">
        <v>2577</v>
      </c>
      <c r="D2668" s="71">
        <v>1471</v>
      </c>
      <c r="E2668" s="131">
        <f t="shared" si="727"/>
        <v>0</v>
      </c>
      <c r="F2668" s="21">
        <f t="shared" si="737"/>
        <v>0</v>
      </c>
      <c r="G2668" s="21"/>
      <c r="H2668" s="135">
        <f t="shared" si="728"/>
        <v>0</v>
      </c>
      <c r="I2668" s="294">
        <v>44533</v>
      </c>
      <c r="J2668" s="294"/>
      <c r="K2668" s="10">
        <f>0.65*1540</f>
        <v>1001</v>
      </c>
      <c r="L2668" s="11"/>
      <c r="M2668" s="11"/>
      <c r="N2668" s="100"/>
      <c r="O2668" s="11">
        <f t="shared" si="738"/>
        <v>1001</v>
      </c>
      <c r="P2668" s="11">
        <f t="shared" si="726"/>
        <v>1001</v>
      </c>
      <c r="Q2668" s="11"/>
      <c r="R2668" s="11">
        <f t="shared" si="718"/>
        <v>0</v>
      </c>
      <c r="S2668" s="11"/>
      <c r="T2668" s="136">
        <f t="shared" si="716"/>
        <v>0</v>
      </c>
    </row>
    <row r="2669" spans="1:20" ht="15.75" customHeight="1">
      <c r="A2669" s="149">
        <v>98</v>
      </c>
      <c r="B2669" s="273"/>
      <c r="C2669" s="28" t="s">
        <v>2073</v>
      </c>
      <c r="D2669" s="71">
        <v>970</v>
      </c>
      <c r="E2669" s="131">
        <f t="shared" si="727"/>
        <v>18010</v>
      </c>
      <c r="F2669" s="21">
        <f t="shared" si="737"/>
        <v>21792.1</v>
      </c>
      <c r="G2669" s="21"/>
      <c r="H2669" s="135">
        <f t="shared" si="728"/>
        <v>0</v>
      </c>
      <c r="I2669" s="294">
        <v>45329</v>
      </c>
      <c r="J2669" s="294"/>
      <c r="K2669" s="10">
        <v>12420</v>
      </c>
      <c r="L2669" s="11"/>
      <c r="M2669" s="11"/>
      <c r="N2669" s="100"/>
      <c r="O2669" s="11">
        <f t="shared" si="738"/>
        <v>12420</v>
      </c>
      <c r="P2669" s="11">
        <f t="shared" si="726"/>
        <v>12420</v>
      </c>
      <c r="Q2669" s="11">
        <v>1.45</v>
      </c>
      <c r="R2669" s="11">
        <f t="shared" si="718"/>
        <v>18009</v>
      </c>
      <c r="S2669" s="11"/>
      <c r="T2669" s="136">
        <f t="shared" si="716"/>
        <v>0</v>
      </c>
    </row>
    <row r="2670" spans="1:20" ht="15.75" customHeight="1">
      <c r="A2670" s="149">
        <v>98</v>
      </c>
      <c r="B2670" s="273"/>
      <c r="C2670" s="28" t="s">
        <v>3526</v>
      </c>
      <c r="D2670" s="71">
        <v>1470</v>
      </c>
      <c r="E2670" s="131">
        <f t="shared" si="727"/>
        <v>30120</v>
      </c>
      <c r="F2670" s="21">
        <f t="shared" si="737"/>
        <v>36445.199999999997</v>
      </c>
      <c r="G2670" s="21"/>
      <c r="H2670" s="135">
        <f t="shared" si="728"/>
        <v>0</v>
      </c>
      <c r="I2670" s="294">
        <v>45329</v>
      </c>
      <c r="J2670" s="294"/>
      <c r="K2670" s="10">
        <v>18825</v>
      </c>
      <c r="L2670" s="11" t="s">
        <v>1982</v>
      </c>
      <c r="M2670" s="11"/>
      <c r="N2670" s="100"/>
      <c r="O2670" s="11">
        <f t="shared" si="738"/>
        <v>18825</v>
      </c>
      <c r="P2670" s="11">
        <f t="shared" si="726"/>
        <v>18825</v>
      </c>
      <c r="Q2670" s="11">
        <v>1.6</v>
      </c>
      <c r="R2670" s="11">
        <f t="shared" si="718"/>
        <v>30120</v>
      </c>
      <c r="S2670" s="11"/>
      <c r="T2670" s="136">
        <f t="shared" si="716"/>
        <v>0</v>
      </c>
    </row>
    <row r="2671" spans="1:20" ht="15.75" customHeight="1">
      <c r="A2671" s="149">
        <v>21</v>
      </c>
      <c r="B2671" s="273"/>
      <c r="C2671" s="28" t="s">
        <v>2578</v>
      </c>
      <c r="D2671" s="71">
        <v>1472</v>
      </c>
      <c r="E2671" s="131">
        <f t="shared" si="727"/>
        <v>0</v>
      </c>
      <c r="F2671" s="21">
        <f t="shared" si="737"/>
        <v>0</v>
      </c>
      <c r="G2671" s="21"/>
      <c r="H2671" s="135">
        <f t="shared" si="728"/>
        <v>0</v>
      </c>
      <c r="I2671" s="294">
        <v>44050</v>
      </c>
      <c r="J2671" s="294"/>
      <c r="K2671" s="10">
        <f>0.6*7858</f>
        <v>4714.8</v>
      </c>
      <c r="L2671" s="11"/>
      <c r="M2671" s="11"/>
      <c r="N2671" s="100"/>
      <c r="O2671" s="11">
        <f t="shared" si="738"/>
        <v>4714.8</v>
      </c>
      <c r="P2671" s="11">
        <f t="shared" ref="P2671:P2735" si="746">+O2671</f>
        <v>4714.8</v>
      </c>
      <c r="Q2671" s="11"/>
      <c r="R2671" s="11">
        <f t="shared" ref="R2671:R2735" si="747">+P2671*Q2671</f>
        <v>0</v>
      </c>
      <c r="S2671" s="11"/>
      <c r="T2671" s="136">
        <f t="shared" si="716"/>
        <v>0</v>
      </c>
    </row>
    <row r="2672" spans="1:20" ht="15.75" customHeight="1">
      <c r="A2672" s="149" t="s">
        <v>2398</v>
      </c>
      <c r="B2672" s="273">
        <f t="shared" ref="B2672:B2713" si="748">ROUNDUP(E2672*1.105,-1)</f>
        <v>161890</v>
      </c>
      <c r="C2672" s="28" t="s">
        <v>37198</v>
      </c>
      <c r="D2672" s="71">
        <v>7420</v>
      </c>
      <c r="E2672" s="131">
        <f t="shared" si="727"/>
        <v>146500</v>
      </c>
      <c r="F2672" s="21">
        <f t="shared" si="737"/>
        <v>177265</v>
      </c>
      <c r="G2672" s="21"/>
      <c r="H2672" s="135">
        <f t="shared" si="728"/>
        <v>0</v>
      </c>
      <c r="I2672" s="23">
        <v>45323</v>
      </c>
      <c r="J2672" s="294">
        <v>45364</v>
      </c>
      <c r="K2672" s="11">
        <f>0.8*0.98*0.94*137091</f>
        <v>101030.58335999999</v>
      </c>
      <c r="L2672" s="11">
        <f>74577*2</f>
        <v>149154</v>
      </c>
      <c r="M2672" s="11"/>
      <c r="N2672" s="100"/>
      <c r="O2672" s="11">
        <f t="shared" si="738"/>
        <v>101030.58335999999</v>
      </c>
      <c r="P2672" s="11">
        <f>+O2672*'AUMENTOS %'!$B$5</f>
        <v>101030.58335999999</v>
      </c>
      <c r="Q2672" s="11">
        <v>1.45</v>
      </c>
      <c r="R2672" s="11">
        <f t="shared" si="747"/>
        <v>146494.34587199998</v>
      </c>
      <c r="S2672" s="11"/>
      <c r="T2672" s="136">
        <f t="shared" si="716"/>
        <v>0</v>
      </c>
    </row>
    <row r="2673" spans="1:20" ht="15.75" customHeight="1">
      <c r="A2673" s="149" t="s">
        <v>2398</v>
      </c>
      <c r="B2673" s="273">
        <f t="shared" si="748"/>
        <v>77820</v>
      </c>
      <c r="C2673" s="36" t="s">
        <v>37199</v>
      </c>
      <c r="D2673" s="71">
        <v>3520</v>
      </c>
      <c r="E2673" s="131">
        <f t="shared" si="727"/>
        <v>70420</v>
      </c>
      <c r="F2673" s="21">
        <f t="shared" si="737"/>
        <v>85208.2</v>
      </c>
      <c r="G2673" s="21"/>
      <c r="H2673" s="135">
        <f t="shared" si="728"/>
        <v>0</v>
      </c>
      <c r="I2673" s="23">
        <v>45323</v>
      </c>
      <c r="J2673" s="294">
        <v>45364</v>
      </c>
      <c r="K2673" s="11">
        <f>0.8*0.94*0.98*65897</f>
        <v>48563.453119999998</v>
      </c>
      <c r="L2673" s="11">
        <f>35848*2</f>
        <v>71696</v>
      </c>
      <c r="M2673" s="11"/>
      <c r="N2673" s="100"/>
      <c r="O2673" s="11">
        <f t="shared" si="738"/>
        <v>48563.453119999998</v>
      </c>
      <c r="P2673" s="11">
        <f>+O2673*'AUMENTOS %'!$B$5</f>
        <v>48563.453119999998</v>
      </c>
      <c r="Q2673" s="11">
        <v>1.45</v>
      </c>
      <c r="R2673" s="11">
        <f t="shared" si="747"/>
        <v>70417.007023999991</v>
      </c>
      <c r="S2673" s="11"/>
      <c r="T2673" s="136">
        <f t="shared" si="716"/>
        <v>0</v>
      </c>
    </row>
    <row r="2674" spans="1:20" ht="15.75" customHeight="1">
      <c r="A2674" s="149" t="s">
        <v>2398</v>
      </c>
      <c r="B2674" s="273">
        <f t="shared" si="748"/>
        <v>50230</v>
      </c>
      <c r="C2674" s="28" t="s">
        <v>2171</v>
      </c>
      <c r="D2674" s="71">
        <v>2120</v>
      </c>
      <c r="E2674" s="131">
        <f t="shared" si="727"/>
        <v>45450</v>
      </c>
      <c r="F2674" s="21">
        <f t="shared" si="737"/>
        <v>54994.5</v>
      </c>
      <c r="G2674" s="21"/>
      <c r="H2674" s="135">
        <f t="shared" si="728"/>
        <v>0</v>
      </c>
      <c r="I2674" s="23">
        <v>45323</v>
      </c>
      <c r="J2674" s="294"/>
      <c r="K2674" s="11">
        <f>0.8*0.94*0.98*42529</f>
        <v>31342.171839999999</v>
      </c>
      <c r="L2674" s="11"/>
      <c r="M2674" s="11"/>
      <c r="N2674" s="100"/>
      <c r="O2674" s="11">
        <f t="shared" si="738"/>
        <v>31342.171839999999</v>
      </c>
      <c r="P2674" s="11">
        <f>+O2674*'AUMENTOS %'!$B$5</f>
        <v>31342.171839999999</v>
      </c>
      <c r="Q2674" s="11">
        <v>1.45</v>
      </c>
      <c r="R2674" s="11">
        <f t="shared" si="747"/>
        <v>45446.149167999996</v>
      </c>
      <c r="S2674" s="11"/>
      <c r="T2674" s="136">
        <f t="shared" ref="T2674:T2744" si="749">+N2674*Q2674</f>
        <v>0</v>
      </c>
    </row>
    <row r="2675" spans="1:20" ht="15.75" customHeight="1">
      <c r="A2675" s="149">
        <v>12</v>
      </c>
      <c r="B2675" s="273"/>
      <c r="C2675" s="28" t="s">
        <v>44361</v>
      </c>
      <c r="D2675" s="71">
        <v>2121</v>
      </c>
      <c r="E2675" s="131">
        <f>ROUNDUP(R2675,-1)</f>
        <v>55500</v>
      </c>
      <c r="F2675" s="21">
        <f>+E2675*1.21</f>
        <v>67155</v>
      </c>
      <c r="G2675" s="21"/>
      <c r="H2675" s="135"/>
      <c r="I2675" s="294">
        <v>45315</v>
      </c>
      <c r="J2675" s="294"/>
      <c r="K2675" s="11">
        <v>36999</v>
      </c>
      <c r="L2675" s="11"/>
      <c r="M2675" s="11"/>
      <c r="N2675" s="100"/>
      <c r="O2675" s="11">
        <f>MIN(K2675:M2675)</f>
        <v>36999</v>
      </c>
      <c r="P2675" s="11">
        <f t="shared" ref="P2675" si="750">+O2675</f>
        <v>36999</v>
      </c>
      <c r="Q2675" s="11">
        <v>1.5</v>
      </c>
      <c r="R2675" s="11">
        <f t="shared" ref="R2675" si="751">+P2675*Q2675</f>
        <v>55498.5</v>
      </c>
      <c r="S2675" s="11"/>
      <c r="T2675" s="136">
        <f>+N2675*Q2675</f>
        <v>0</v>
      </c>
    </row>
    <row r="2676" spans="1:20" ht="15.75" customHeight="1">
      <c r="A2676" s="149">
        <v>41</v>
      </c>
      <c r="B2676" s="273"/>
      <c r="C2676" s="28" t="s">
        <v>4293</v>
      </c>
      <c r="D2676" s="71">
        <v>2121</v>
      </c>
      <c r="E2676" s="131">
        <f>ROUNDUP(R2676,-1)</f>
        <v>123420</v>
      </c>
      <c r="F2676" s="21">
        <f>+E2676*1.21</f>
        <v>149338.19999999998</v>
      </c>
      <c r="G2676" s="21"/>
      <c r="H2676" s="135">
        <f>ROUNDUP(T2676,-1)</f>
        <v>119960</v>
      </c>
      <c r="I2676" s="294">
        <v>45311</v>
      </c>
      <c r="J2676" s="294"/>
      <c r="K2676" s="11">
        <f>+PROVEEDORES!$D$35*0.9*0.9*89</f>
        <v>77136.3</v>
      </c>
      <c r="L2676" s="11"/>
      <c r="M2676" s="11"/>
      <c r="N2676" s="100">
        <f>0.9*0.95*0.95*92300</f>
        <v>74970.674999999988</v>
      </c>
      <c r="O2676" s="11">
        <f>MIN(K2676:M2676)</f>
        <v>77136.3</v>
      </c>
      <c r="P2676" s="11">
        <f t="shared" si="746"/>
        <v>77136.3</v>
      </c>
      <c r="Q2676" s="11">
        <v>1.6</v>
      </c>
      <c r="R2676" s="11">
        <f t="shared" si="747"/>
        <v>123418.08000000002</v>
      </c>
      <c r="S2676" s="11"/>
      <c r="T2676" s="136">
        <f>+N2676*Q2676</f>
        <v>119953.07999999999</v>
      </c>
    </row>
    <row r="2677" spans="1:20" ht="15.75" customHeight="1">
      <c r="A2677" s="149">
        <v>41</v>
      </c>
      <c r="B2677" s="273"/>
      <c r="C2677" s="28" t="s">
        <v>4294</v>
      </c>
      <c r="D2677" s="71">
        <v>2121</v>
      </c>
      <c r="E2677" s="131">
        <f>ROUNDUP(R2677,-1)</f>
        <v>143080</v>
      </c>
      <c r="F2677" s="21">
        <f>+E2677*1.21</f>
        <v>173126.8</v>
      </c>
      <c r="G2677" s="21"/>
      <c r="H2677" s="135">
        <f>ROUNDUP(T2677,-1)</f>
        <v>143610</v>
      </c>
      <c r="I2677" s="294">
        <v>45311</v>
      </c>
      <c r="J2677" s="294"/>
      <c r="K2677" s="11">
        <f>+PROVEEDORES!$D$35*0.9*0.9*106*2</f>
        <v>183740.40000000002</v>
      </c>
      <c r="L2677" s="11">
        <f>110400*0.9*0.9</f>
        <v>89424</v>
      </c>
      <c r="M2677" s="11"/>
      <c r="N2677" s="100">
        <f>0.9*0.95*0.95*110500</f>
        <v>89753.624999999985</v>
      </c>
      <c r="O2677" s="11">
        <f>MIN(K2677:M2677)</f>
        <v>89424</v>
      </c>
      <c r="P2677" s="11">
        <f t="shared" si="746"/>
        <v>89424</v>
      </c>
      <c r="Q2677" s="11">
        <v>1.6</v>
      </c>
      <c r="R2677" s="11">
        <f t="shared" si="747"/>
        <v>143078.39999999999</v>
      </c>
      <c r="S2677" s="11"/>
      <c r="T2677" s="136">
        <f>+N2677*Q2677</f>
        <v>143605.79999999999</v>
      </c>
    </row>
    <row r="2678" spans="1:20" ht="15.75" customHeight="1">
      <c r="A2678" s="149" t="s">
        <v>2548</v>
      </c>
      <c r="B2678" s="273"/>
      <c r="C2678" s="28" t="s">
        <v>2853</v>
      </c>
      <c r="D2678" s="71">
        <v>4960</v>
      </c>
      <c r="E2678" s="131">
        <f t="shared" si="727"/>
        <v>134750</v>
      </c>
      <c r="F2678" s="21">
        <f t="shared" si="737"/>
        <v>163047.5</v>
      </c>
      <c r="G2678" s="21"/>
      <c r="H2678" s="135">
        <f t="shared" si="728"/>
        <v>0</v>
      </c>
      <c r="I2678" s="294">
        <v>45329</v>
      </c>
      <c r="J2678" s="294"/>
      <c r="K2678" s="11">
        <f>+PROVEEDORES!D20*0.75*140</f>
        <v>92925</v>
      </c>
      <c r="L2678" s="11"/>
      <c r="M2678" s="10"/>
      <c r="N2678" s="100"/>
      <c r="O2678" s="11">
        <f t="shared" si="738"/>
        <v>92925</v>
      </c>
      <c r="P2678" s="11">
        <f t="shared" si="746"/>
        <v>92925</v>
      </c>
      <c r="Q2678" s="11">
        <v>1.45</v>
      </c>
      <c r="R2678" s="11">
        <f t="shared" si="747"/>
        <v>134741.25</v>
      </c>
      <c r="S2678" s="11"/>
      <c r="T2678" s="136">
        <f t="shared" si="749"/>
        <v>0</v>
      </c>
    </row>
    <row r="2679" spans="1:20" ht="15.75" customHeight="1">
      <c r="A2679" s="149">
        <v>38</v>
      </c>
      <c r="B2679" s="273"/>
      <c r="C2679" s="28" t="s">
        <v>3423</v>
      </c>
      <c r="D2679" s="71">
        <v>670</v>
      </c>
      <c r="E2679" s="131">
        <f t="shared" si="727"/>
        <v>0</v>
      </c>
      <c r="F2679" s="21">
        <f t="shared" si="737"/>
        <v>0</v>
      </c>
      <c r="G2679" s="21"/>
      <c r="H2679" s="135">
        <f t="shared" si="728"/>
        <v>0</v>
      </c>
      <c r="I2679" s="294">
        <v>44747</v>
      </c>
      <c r="J2679" s="294"/>
      <c r="K2679" s="11">
        <f>+PROVEEDORES!D32*9.58</f>
        <v>10059</v>
      </c>
      <c r="L2679" s="11"/>
      <c r="M2679" s="11"/>
      <c r="N2679" s="100"/>
      <c r="O2679" s="11">
        <f t="shared" si="738"/>
        <v>10059</v>
      </c>
      <c r="P2679" s="11">
        <f t="shared" si="746"/>
        <v>10059</v>
      </c>
      <c r="Q2679" s="11"/>
      <c r="R2679" s="11">
        <f t="shared" si="747"/>
        <v>0</v>
      </c>
      <c r="S2679" s="11"/>
      <c r="T2679" s="136">
        <f t="shared" si="749"/>
        <v>0</v>
      </c>
    </row>
    <row r="2680" spans="1:20" ht="15.75" customHeight="1">
      <c r="A2680" s="149">
        <v>29</v>
      </c>
      <c r="B2680" s="273"/>
      <c r="C2680" s="28" t="s">
        <v>4246</v>
      </c>
      <c r="D2680" s="71">
        <v>670</v>
      </c>
      <c r="E2680" s="131">
        <f>ROUNDUP(R2680,-1)</f>
        <v>0</v>
      </c>
      <c r="F2680" s="21">
        <f>+E2680*1.21</f>
        <v>0</v>
      </c>
      <c r="G2680" s="21"/>
      <c r="H2680" s="135">
        <f>ROUNDUP(T2680,-1)</f>
        <v>0</v>
      </c>
      <c r="I2680" s="294"/>
      <c r="J2680" s="294">
        <v>45278</v>
      </c>
      <c r="K2680" s="11">
        <v>790</v>
      </c>
      <c r="L2680" s="11"/>
      <c r="M2680" s="11"/>
      <c r="N2680" s="100"/>
      <c r="O2680" s="11">
        <f>MIN(K2680:M2680)</f>
        <v>790</v>
      </c>
      <c r="P2680" s="11">
        <f t="shared" si="746"/>
        <v>790</v>
      </c>
      <c r="Q2680" s="11"/>
      <c r="R2680" s="11">
        <f t="shared" si="747"/>
        <v>0</v>
      </c>
      <c r="S2680" s="11"/>
      <c r="T2680" s="136">
        <f>+N2680*Q2680</f>
        <v>0</v>
      </c>
    </row>
    <row r="2681" spans="1:20" ht="15.75" customHeight="1">
      <c r="A2681" s="149"/>
      <c r="B2681" s="273"/>
      <c r="C2681" s="36" t="s">
        <v>3614</v>
      </c>
      <c r="D2681" s="71"/>
      <c r="E2681" s="131">
        <f t="shared" si="727"/>
        <v>6610</v>
      </c>
      <c r="F2681" s="21">
        <f t="shared" si="737"/>
        <v>7998.0999999999995</v>
      </c>
      <c r="G2681" s="21"/>
      <c r="H2681" s="135">
        <f t="shared" si="728"/>
        <v>0</v>
      </c>
      <c r="I2681" s="294"/>
      <c r="J2681" s="294">
        <v>44755</v>
      </c>
      <c r="K2681" s="11">
        <v>4129</v>
      </c>
      <c r="L2681" s="11"/>
      <c r="M2681" s="11"/>
      <c r="N2681" s="100"/>
      <c r="O2681" s="11">
        <f>MIN(K2681:M2681)*'AUMENTOS %'!B9</f>
        <v>4129</v>
      </c>
      <c r="P2681" s="11">
        <f t="shared" si="746"/>
        <v>4129</v>
      </c>
      <c r="Q2681" s="11">
        <v>1.6</v>
      </c>
      <c r="R2681" s="11">
        <f t="shared" si="747"/>
        <v>6606.4000000000005</v>
      </c>
      <c r="S2681" s="11"/>
      <c r="T2681" s="136">
        <f t="shared" si="749"/>
        <v>0</v>
      </c>
    </row>
    <row r="2682" spans="1:20" ht="15.75" customHeight="1">
      <c r="A2682" s="149" t="s">
        <v>2398</v>
      </c>
      <c r="B2682" s="273"/>
      <c r="C2682" s="28" t="s">
        <v>37260</v>
      </c>
      <c r="D2682" s="71">
        <v>670</v>
      </c>
      <c r="E2682" s="131">
        <f t="shared" si="727"/>
        <v>483040</v>
      </c>
      <c r="F2682" s="21">
        <f t="shared" si="737"/>
        <v>584478.4</v>
      </c>
      <c r="G2682" s="21">
        <f>150560*1.35</f>
        <v>203256</v>
      </c>
      <c r="H2682" s="135">
        <f t="shared" si="728"/>
        <v>0</v>
      </c>
      <c r="I2682" s="294"/>
      <c r="J2682" s="294">
        <v>45331</v>
      </c>
      <c r="K2682" s="11">
        <f>0.8*0.97*414980</f>
        <v>322024.48</v>
      </c>
      <c r="L2682" s="11"/>
      <c r="M2682" s="11"/>
      <c r="N2682" s="100"/>
      <c r="O2682" s="11">
        <f>MIN(K2682:M2682)</f>
        <v>322024.48</v>
      </c>
      <c r="P2682" s="11">
        <f>+O2682</f>
        <v>322024.48</v>
      </c>
      <c r="Q2682" s="11">
        <v>1.5</v>
      </c>
      <c r="R2682" s="11">
        <f>+P2682*Q2682</f>
        <v>483036.72</v>
      </c>
      <c r="S2682" s="11"/>
      <c r="T2682" s="136">
        <f t="shared" si="749"/>
        <v>0</v>
      </c>
    </row>
    <row r="2683" spans="1:20" ht="15.75" customHeight="1">
      <c r="A2683" s="149" t="s">
        <v>2398</v>
      </c>
      <c r="B2683" s="273"/>
      <c r="C2683" s="28" t="s">
        <v>37261</v>
      </c>
      <c r="D2683" s="71"/>
      <c r="E2683" s="131">
        <f>ROUNDUP(R2683,-1)</f>
        <v>325780</v>
      </c>
      <c r="F2683" s="21">
        <f>+E2683*1.21</f>
        <v>394193.8</v>
      </c>
      <c r="G2683" s="21"/>
      <c r="H2683" s="135">
        <f>ROUNDUP(T2683,-1)</f>
        <v>0</v>
      </c>
      <c r="I2683" s="294"/>
      <c r="J2683" s="294">
        <v>45331</v>
      </c>
      <c r="K2683" s="11">
        <f>0.8*0.97*279879</f>
        <v>217186.10399999999</v>
      </c>
      <c r="L2683" s="11"/>
      <c r="M2683" s="11"/>
      <c r="N2683" s="100"/>
      <c r="O2683" s="11">
        <f>MIN(K2683:M2683)</f>
        <v>217186.10399999999</v>
      </c>
      <c r="P2683" s="11">
        <f>+O2683</f>
        <v>217186.10399999999</v>
      </c>
      <c r="Q2683" s="11">
        <v>1.5</v>
      </c>
      <c r="R2683" s="11">
        <f>+P2683*Q2683</f>
        <v>325779.15599999996</v>
      </c>
      <c r="S2683" s="11"/>
      <c r="T2683" s="136">
        <f>+N2683*Q2683</f>
        <v>0</v>
      </c>
    </row>
    <row r="2684" spans="1:20" ht="15.75" customHeight="1">
      <c r="A2684" s="149"/>
      <c r="B2684" s="273"/>
      <c r="C2684" s="28" t="s">
        <v>4573</v>
      </c>
      <c r="D2684" s="169">
        <v>3830</v>
      </c>
      <c r="E2684" s="139">
        <f>ROUNDUP(R2684,-1)</f>
        <v>210250</v>
      </c>
      <c r="F2684" s="21">
        <f>+E2684*1.21</f>
        <v>254402.5</v>
      </c>
      <c r="G2684" s="21"/>
      <c r="H2684" s="135">
        <f>ROUNDUP(T2684,-1)</f>
        <v>0</v>
      </c>
      <c r="I2684" s="294">
        <v>45166</v>
      </c>
      <c r="J2684" s="40"/>
      <c r="K2684" s="43">
        <v>145000</v>
      </c>
      <c r="L2684" s="11"/>
      <c r="M2684" s="11"/>
      <c r="N2684" s="100"/>
      <c r="O2684" s="11">
        <f>MIN(K2684:M2684)</f>
        <v>145000</v>
      </c>
      <c r="P2684" s="11">
        <f>+O2684</f>
        <v>145000</v>
      </c>
      <c r="Q2684" s="11">
        <v>1.45</v>
      </c>
      <c r="R2684" s="11">
        <f>+P2684*Q2684</f>
        <v>210250</v>
      </c>
      <c r="S2684" s="11"/>
      <c r="T2684" s="136">
        <f>+N2684*Q2684</f>
        <v>0</v>
      </c>
    </row>
    <row r="2685" spans="1:20" ht="15.75" customHeight="1">
      <c r="A2685" s="149">
        <v>50</v>
      </c>
      <c r="B2685" s="273"/>
      <c r="C2685" s="28" t="s">
        <v>44261</v>
      </c>
      <c r="D2685" s="169">
        <v>3830</v>
      </c>
      <c r="E2685" s="139">
        <f t="shared" si="727"/>
        <v>101120</v>
      </c>
      <c r="F2685" s="21">
        <f t="shared" si="737"/>
        <v>122355.2</v>
      </c>
      <c r="G2685" s="21"/>
      <c r="H2685" s="135">
        <f t="shared" si="728"/>
        <v>95290</v>
      </c>
      <c r="I2685" s="294">
        <v>45385</v>
      </c>
      <c r="J2685" s="40"/>
      <c r="K2685" s="43">
        <f>PROVEEDORES!$D$44*0.58*145.92</f>
        <v>74900.73599999999</v>
      </c>
      <c r="L2685" s="11"/>
      <c r="M2685" s="11"/>
      <c r="N2685" s="171">
        <f>PROVEEDORES!$D$44*0.58*137.5</f>
        <v>70578.75</v>
      </c>
      <c r="O2685" s="11">
        <f t="shared" si="738"/>
        <v>74900.73599999999</v>
      </c>
      <c r="P2685" s="11">
        <f t="shared" si="746"/>
        <v>74900.73599999999</v>
      </c>
      <c r="Q2685" s="11">
        <v>1.35</v>
      </c>
      <c r="R2685" s="11">
        <f t="shared" si="747"/>
        <v>101115.99359999999</v>
      </c>
      <c r="S2685" s="11"/>
      <c r="T2685" s="136">
        <f t="shared" si="749"/>
        <v>95281.3125</v>
      </c>
    </row>
    <row r="2686" spans="1:20" ht="15.75" customHeight="1">
      <c r="A2686" s="149">
        <v>56</v>
      </c>
      <c r="B2686" s="273">
        <f t="shared" si="748"/>
        <v>97380</v>
      </c>
      <c r="C2686" s="28" t="s">
        <v>1983</v>
      </c>
      <c r="D2686" s="170"/>
      <c r="E2686" s="131">
        <f t="shared" si="727"/>
        <v>88120</v>
      </c>
      <c r="F2686" s="21">
        <f t="shared" si="737"/>
        <v>106625.2</v>
      </c>
      <c r="G2686" s="21"/>
      <c r="H2686" s="135">
        <f t="shared" si="728"/>
        <v>0</v>
      </c>
      <c r="I2686" s="294"/>
      <c r="J2686" s="40">
        <v>44432</v>
      </c>
      <c r="K2686" s="11">
        <f>+PROVEEDORES!D50*73.75</f>
        <v>65268.75</v>
      </c>
      <c r="L2686" s="11"/>
      <c r="M2686" s="11"/>
      <c r="N2686" s="100"/>
      <c r="O2686" s="11">
        <f t="shared" si="738"/>
        <v>65268.75</v>
      </c>
      <c r="P2686" s="11">
        <f t="shared" si="746"/>
        <v>65268.75</v>
      </c>
      <c r="Q2686" s="11">
        <v>1.35</v>
      </c>
      <c r="R2686" s="11">
        <f t="shared" si="747"/>
        <v>88112.8125</v>
      </c>
      <c r="S2686" s="11"/>
      <c r="T2686" s="136">
        <f t="shared" si="749"/>
        <v>0</v>
      </c>
    </row>
    <row r="2687" spans="1:20" ht="15.75" customHeight="1">
      <c r="A2687" s="149">
        <v>56</v>
      </c>
      <c r="B2687" s="273">
        <f t="shared" si="748"/>
        <v>82530</v>
      </c>
      <c r="C2687" s="28" t="s">
        <v>1984</v>
      </c>
      <c r="D2687" s="170">
        <v>2720</v>
      </c>
      <c r="E2687" s="131">
        <f t="shared" ref="E2687:E2751" si="752">ROUNDUP(R2687,-1)</f>
        <v>74680</v>
      </c>
      <c r="F2687" s="21">
        <f t="shared" si="737"/>
        <v>90362.8</v>
      </c>
      <c r="G2687" s="21"/>
      <c r="H2687" s="135">
        <f t="shared" ref="H2687:H2725" si="753">ROUNDUP(T2687,-1)</f>
        <v>0</v>
      </c>
      <c r="I2687" s="294"/>
      <c r="J2687" s="40">
        <v>44432</v>
      </c>
      <c r="K2687" s="11">
        <f>+PROVEEDORES!D50*62.5</f>
        <v>55312.5</v>
      </c>
      <c r="L2687" s="11"/>
      <c r="M2687" s="11"/>
      <c r="N2687" s="100"/>
      <c r="O2687" s="11">
        <f t="shared" si="738"/>
        <v>55312.5</v>
      </c>
      <c r="P2687" s="11">
        <f t="shared" si="746"/>
        <v>55312.5</v>
      </c>
      <c r="Q2687" s="11">
        <v>1.35</v>
      </c>
      <c r="R2687" s="11">
        <f t="shared" si="747"/>
        <v>74671.875</v>
      </c>
      <c r="S2687" s="11"/>
      <c r="T2687" s="136">
        <f t="shared" si="749"/>
        <v>0</v>
      </c>
    </row>
    <row r="2688" spans="1:20" ht="15.75" customHeight="1">
      <c r="A2688" s="149">
        <v>50</v>
      </c>
      <c r="B2688" s="273">
        <f t="shared" si="748"/>
        <v>137220</v>
      </c>
      <c r="C2688" s="28" t="s">
        <v>44262</v>
      </c>
      <c r="D2688" s="169">
        <v>4600</v>
      </c>
      <c r="E2688" s="139">
        <f t="shared" si="752"/>
        <v>124180</v>
      </c>
      <c r="F2688" s="21">
        <f t="shared" si="737"/>
        <v>150257.79999999999</v>
      </c>
      <c r="G2688" s="21"/>
      <c r="H2688" s="135">
        <f t="shared" si="753"/>
        <v>120160</v>
      </c>
      <c r="I2688" s="294">
        <v>45385</v>
      </c>
      <c r="J2688" s="294"/>
      <c r="K2688" s="43">
        <f>PROVEEDORES!$D$44*0.58*172.8</f>
        <v>88698.240000000005</v>
      </c>
      <c r="L2688" s="11"/>
      <c r="M2688" s="11"/>
      <c r="N2688" s="171">
        <f>PROVEEDORES!$D$44*0.58*167.2</f>
        <v>85823.75999999998</v>
      </c>
      <c r="O2688" s="11">
        <f t="shared" si="738"/>
        <v>88698.240000000005</v>
      </c>
      <c r="P2688" s="11">
        <f t="shared" si="746"/>
        <v>88698.240000000005</v>
      </c>
      <c r="Q2688" s="11">
        <v>1.4</v>
      </c>
      <c r="R2688" s="11">
        <f t="shared" si="747"/>
        <v>124177.53599999999</v>
      </c>
      <c r="S2688" s="11"/>
      <c r="T2688" s="136">
        <f t="shared" si="749"/>
        <v>120153.26399999997</v>
      </c>
    </row>
    <row r="2689" spans="1:20" ht="15.75" customHeight="1">
      <c r="A2689" s="149"/>
      <c r="B2689" s="273"/>
      <c r="C2689" s="28" t="s">
        <v>2115</v>
      </c>
      <c r="D2689" s="168">
        <v>3810</v>
      </c>
      <c r="E2689" s="131">
        <f t="shared" si="752"/>
        <v>0</v>
      </c>
      <c r="F2689" s="21">
        <f t="shared" si="737"/>
        <v>0</v>
      </c>
      <c r="G2689" s="21"/>
      <c r="H2689" s="135">
        <f t="shared" si="753"/>
        <v>0</v>
      </c>
      <c r="I2689" s="294">
        <v>43770</v>
      </c>
      <c r="J2689" s="40"/>
      <c r="K2689" s="11">
        <f>7055*0.5*0.8*1.35</f>
        <v>3809.7000000000003</v>
      </c>
      <c r="L2689" s="11"/>
      <c r="M2689" s="11"/>
      <c r="N2689" s="100"/>
      <c r="O2689" s="11">
        <f t="shared" si="738"/>
        <v>3809.7000000000003</v>
      </c>
      <c r="P2689" s="11">
        <f t="shared" si="746"/>
        <v>3809.7000000000003</v>
      </c>
      <c r="Q2689" s="11"/>
      <c r="R2689" s="11">
        <f t="shared" si="747"/>
        <v>0</v>
      </c>
      <c r="S2689" s="11"/>
      <c r="T2689" s="136">
        <f t="shared" si="749"/>
        <v>0</v>
      </c>
    </row>
    <row r="2690" spans="1:20" ht="15.75" customHeight="1">
      <c r="A2690" s="149"/>
      <c r="B2690" s="273"/>
      <c r="C2690" s="28" t="s">
        <v>2210</v>
      </c>
      <c r="D2690" s="168">
        <v>3140</v>
      </c>
      <c r="E2690" s="131">
        <f t="shared" si="752"/>
        <v>0</v>
      </c>
      <c r="F2690" s="21">
        <f t="shared" si="737"/>
        <v>0</v>
      </c>
      <c r="G2690" s="21"/>
      <c r="H2690" s="135">
        <f t="shared" si="753"/>
        <v>0</v>
      </c>
      <c r="I2690" s="294">
        <v>43878</v>
      </c>
      <c r="J2690" s="40"/>
      <c r="K2690" s="11">
        <f>5817*0.4*1.35</f>
        <v>3141.1800000000003</v>
      </c>
      <c r="L2690" s="11"/>
      <c r="M2690" s="11"/>
      <c r="N2690" s="100"/>
      <c r="O2690" s="11">
        <f t="shared" si="738"/>
        <v>3141.1800000000003</v>
      </c>
      <c r="P2690" s="11">
        <f t="shared" si="746"/>
        <v>3141.1800000000003</v>
      </c>
      <c r="Q2690" s="11"/>
      <c r="R2690" s="11">
        <f t="shared" si="747"/>
        <v>0</v>
      </c>
      <c r="S2690" s="11"/>
      <c r="T2690" s="136">
        <f t="shared" si="749"/>
        <v>0</v>
      </c>
    </row>
    <row r="2691" spans="1:20" ht="15.75" customHeight="1">
      <c r="A2691" s="149">
        <v>38</v>
      </c>
      <c r="B2691" s="273">
        <f>ROUNDUP(E2691*1.06,-1)</f>
        <v>188060</v>
      </c>
      <c r="C2691" s="28" t="s">
        <v>3808</v>
      </c>
      <c r="D2691" s="168">
        <v>10110</v>
      </c>
      <c r="E2691" s="131">
        <f t="shared" si="752"/>
        <v>177410</v>
      </c>
      <c r="F2691" s="21" t="s">
        <v>1248</v>
      </c>
      <c r="G2691" s="21">
        <f>+E2691*1.105</f>
        <v>196038.05</v>
      </c>
      <c r="H2691" s="135">
        <f t="shared" si="753"/>
        <v>166760</v>
      </c>
      <c r="I2691" s="294">
        <v>45138</v>
      </c>
      <c r="J2691" s="40">
        <v>45323</v>
      </c>
      <c r="K2691" s="11">
        <f>+PROVEEDORES!$D$32*125.15</f>
        <v>131407.5</v>
      </c>
      <c r="L2691" s="11"/>
      <c r="M2691" s="11"/>
      <c r="N2691" s="100">
        <f>+K2691*0.94</f>
        <v>123523.04999999999</v>
      </c>
      <c r="O2691" s="11">
        <f t="shared" si="738"/>
        <v>131407.5</v>
      </c>
      <c r="P2691" s="11">
        <f t="shared" si="746"/>
        <v>131407.5</v>
      </c>
      <c r="Q2691" s="11">
        <v>1.35</v>
      </c>
      <c r="R2691" s="11">
        <f t="shared" si="747"/>
        <v>177400.125</v>
      </c>
      <c r="S2691" s="11"/>
      <c r="T2691" s="136">
        <f t="shared" si="749"/>
        <v>166756.11749999999</v>
      </c>
    </row>
    <row r="2692" spans="1:20" ht="15.75" customHeight="1">
      <c r="A2692" s="149" t="s">
        <v>2398</v>
      </c>
      <c r="B2692" s="273">
        <f t="shared" si="748"/>
        <v>529750</v>
      </c>
      <c r="C2692" s="28" t="s">
        <v>37202</v>
      </c>
      <c r="D2692" s="71">
        <v>20710</v>
      </c>
      <c r="E2692" s="131">
        <f t="shared" si="752"/>
        <v>479410</v>
      </c>
      <c r="F2692" s="21">
        <f t="shared" ref="F2692:F2725" si="754">+E2692*1.21</f>
        <v>580086.1</v>
      </c>
      <c r="G2692" s="21"/>
      <c r="H2692" s="135">
        <f t="shared" si="753"/>
        <v>0</v>
      </c>
      <c r="I2692" s="23">
        <v>45323</v>
      </c>
      <c r="J2692" s="294"/>
      <c r="K2692" s="10">
        <f>0.8*0.98*0.94*0.95*496199</f>
        <v>347394.87428799999</v>
      </c>
      <c r="L2692" s="32"/>
      <c r="M2692" s="11"/>
      <c r="N2692" s="100"/>
      <c r="O2692" s="11">
        <f t="shared" si="738"/>
        <v>347394.87428799999</v>
      </c>
      <c r="P2692" s="11">
        <f>+O2692*'AUMENTOS %'!$B$5</f>
        <v>347394.87428799999</v>
      </c>
      <c r="Q2692" s="11">
        <v>1.38</v>
      </c>
      <c r="R2692" s="11">
        <f t="shared" si="747"/>
        <v>479404.92651743995</v>
      </c>
      <c r="S2692" s="11"/>
      <c r="T2692" s="136">
        <f t="shared" si="749"/>
        <v>0</v>
      </c>
    </row>
    <row r="2693" spans="1:20" ht="15.75" customHeight="1">
      <c r="A2693" s="149" t="s">
        <v>2398</v>
      </c>
      <c r="B2693" s="273">
        <f t="shared" si="748"/>
        <v>190950</v>
      </c>
      <c r="C2693" s="28" t="s">
        <v>37200</v>
      </c>
      <c r="D2693" s="71">
        <v>7300</v>
      </c>
      <c r="E2693" s="131">
        <f t="shared" si="752"/>
        <v>172800</v>
      </c>
      <c r="F2693" s="21">
        <f t="shared" si="754"/>
        <v>209088</v>
      </c>
      <c r="G2693" s="21"/>
      <c r="H2693" s="135">
        <f t="shared" si="753"/>
        <v>0</v>
      </c>
      <c r="I2693" s="23">
        <v>45323</v>
      </c>
      <c r="J2693" s="294"/>
      <c r="K2693" s="10">
        <f>0.8*0.98*0.94*0.95*178850</f>
        <v>125215.0312</v>
      </c>
      <c r="L2693" s="11"/>
      <c r="M2693" s="11"/>
      <c r="N2693" s="100"/>
      <c r="O2693" s="11">
        <f t="shared" si="738"/>
        <v>125215.0312</v>
      </c>
      <c r="P2693" s="11">
        <f>+O2693*'AUMENTOS %'!$B$5</f>
        <v>125215.0312</v>
      </c>
      <c r="Q2693" s="11">
        <v>1.38</v>
      </c>
      <c r="R2693" s="11">
        <f t="shared" si="747"/>
        <v>172796.74305599998</v>
      </c>
      <c r="S2693" s="11"/>
      <c r="T2693" s="136">
        <f t="shared" si="749"/>
        <v>0</v>
      </c>
    </row>
    <row r="2694" spans="1:20" ht="15.75" customHeight="1">
      <c r="A2694" s="149" t="s">
        <v>2398</v>
      </c>
      <c r="B2694" s="273">
        <f t="shared" si="748"/>
        <v>169550</v>
      </c>
      <c r="C2694" s="28" t="s">
        <v>44300</v>
      </c>
      <c r="D2694" s="71">
        <v>6480</v>
      </c>
      <c r="E2694" s="131">
        <f t="shared" si="752"/>
        <v>153430</v>
      </c>
      <c r="F2694" s="21">
        <f t="shared" si="754"/>
        <v>185650.3</v>
      </c>
      <c r="G2694" s="21"/>
      <c r="H2694" s="135">
        <f t="shared" si="753"/>
        <v>0</v>
      </c>
      <c r="I2694" s="23">
        <v>45323</v>
      </c>
      <c r="J2694" s="294"/>
      <c r="K2694" s="10">
        <f>0.8*0.98*0.94*0.95*158799</f>
        <v>111177.085488</v>
      </c>
      <c r="L2694" s="10"/>
      <c r="M2694" s="148"/>
      <c r="N2694" s="100"/>
      <c r="O2694" s="11">
        <f t="shared" si="738"/>
        <v>111177.085488</v>
      </c>
      <c r="P2694" s="11">
        <f>+O2694*'AUMENTOS %'!$B$5</f>
        <v>111177.085488</v>
      </c>
      <c r="Q2694" s="11">
        <v>1.38</v>
      </c>
      <c r="R2694" s="11">
        <f t="shared" si="747"/>
        <v>153424.37797343999</v>
      </c>
      <c r="S2694" s="11"/>
      <c r="T2694" s="136">
        <f t="shared" si="749"/>
        <v>0</v>
      </c>
    </row>
    <row r="2695" spans="1:20" ht="15.75" customHeight="1">
      <c r="A2695" s="149" t="s">
        <v>2398</v>
      </c>
      <c r="B2695" s="273">
        <f t="shared" si="748"/>
        <v>231790</v>
      </c>
      <c r="C2695" s="28" t="s">
        <v>44301</v>
      </c>
      <c r="D2695" s="71">
        <v>8860</v>
      </c>
      <c r="E2695" s="131">
        <f t="shared" si="752"/>
        <v>209760</v>
      </c>
      <c r="F2695" s="21">
        <f t="shared" si="754"/>
        <v>253809.6</v>
      </c>
      <c r="G2695" s="21"/>
      <c r="H2695" s="135">
        <f t="shared" si="753"/>
        <v>0</v>
      </c>
      <c r="I2695" s="23">
        <v>45323</v>
      </c>
      <c r="J2695" s="294"/>
      <c r="K2695" s="10">
        <f>0.8*0.98*0.94*0.95*217104</f>
        <v>151997.11564799998</v>
      </c>
      <c r="L2695" s="11"/>
      <c r="M2695" s="11"/>
      <c r="N2695" s="100"/>
      <c r="O2695" s="11">
        <f t="shared" si="738"/>
        <v>151997.11564799998</v>
      </c>
      <c r="P2695" s="11">
        <f>+O2695*'AUMENTOS %'!$B$5</f>
        <v>151997.11564799998</v>
      </c>
      <c r="Q2695" s="11">
        <v>1.38</v>
      </c>
      <c r="R2695" s="11">
        <f t="shared" si="747"/>
        <v>209756.01959423994</v>
      </c>
      <c r="S2695" s="11"/>
      <c r="T2695" s="136">
        <f t="shared" si="749"/>
        <v>0</v>
      </c>
    </row>
    <row r="2696" spans="1:20" ht="15.75" customHeight="1">
      <c r="A2696" s="149" t="s">
        <v>2398</v>
      </c>
      <c r="B2696" s="273">
        <f>ROUNDUP(E2696*1.105,-1)</f>
        <v>273600</v>
      </c>
      <c r="C2696" s="28" t="s">
        <v>37201</v>
      </c>
      <c r="D2696" s="71">
        <v>8860</v>
      </c>
      <c r="E2696" s="131">
        <f>ROUNDUP(R2696,-1)</f>
        <v>247600</v>
      </c>
      <c r="F2696" s="21">
        <f>+E2696*1.21</f>
        <v>299596</v>
      </c>
      <c r="G2696" s="21"/>
      <c r="H2696" s="135">
        <f>ROUNDUP(T2696,-1)</f>
        <v>0</v>
      </c>
      <c r="I2696" s="23">
        <v>45323</v>
      </c>
      <c r="J2696" s="294"/>
      <c r="K2696" s="10">
        <f>0.8*0.98*0.94*0.95*256266</f>
        <v>179414.90179199999</v>
      </c>
      <c r="L2696" s="11"/>
      <c r="M2696" s="11"/>
      <c r="N2696" s="100"/>
      <c r="O2696" s="11">
        <f>MIN(K2696:M2696)</f>
        <v>179414.90179199999</v>
      </c>
      <c r="P2696" s="11">
        <f>+O2696*'AUMENTOS %'!$B$5</f>
        <v>179414.90179199999</v>
      </c>
      <c r="Q2696" s="11">
        <v>1.38</v>
      </c>
      <c r="R2696" s="11">
        <f t="shared" si="747"/>
        <v>247592.56447295996</v>
      </c>
      <c r="S2696" s="11"/>
      <c r="T2696" s="136">
        <f>+N2696*Q2696</f>
        <v>0</v>
      </c>
    </row>
    <row r="2697" spans="1:20" ht="15.75" customHeight="1">
      <c r="A2697" s="149" t="s">
        <v>2398</v>
      </c>
      <c r="B2697" s="273">
        <f t="shared" si="748"/>
        <v>0</v>
      </c>
      <c r="C2697" s="28" t="s">
        <v>1985</v>
      </c>
      <c r="D2697" s="71">
        <v>16080</v>
      </c>
      <c r="E2697" s="131">
        <f t="shared" si="752"/>
        <v>0</v>
      </c>
      <c r="F2697" s="21">
        <f t="shared" si="754"/>
        <v>0</v>
      </c>
      <c r="G2697" s="21"/>
      <c r="H2697" s="135">
        <f t="shared" si="753"/>
        <v>0</v>
      </c>
      <c r="I2697" s="23">
        <v>45275</v>
      </c>
      <c r="J2697" s="294"/>
      <c r="K2697" s="10">
        <f>0.8*0.98*0.94*0.95*24746*1.12*1.1*1.15*1.15*1.3</f>
        <v>36696.299443836033</v>
      </c>
      <c r="L2697" s="11"/>
      <c r="M2697" s="11"/>
      <c r="N2697" s="100"/>
      <c r="O2697" s="11">
        <f t="shared" si="738"/>
        <v>36696.299443836033</v>
      </c>
      <c r="P2697" s="11">
        <f>+O2697*'AUMENTOS %'!$B$5</f>
        <v>36696.299443836033</v>
      </c>
      <c r="Q2697" s="11"/>
      <c r="R2697" s="11">
        <f t="shared" si="747"/>
        <v>0</v>
      </c>
      <c r="S2697" s="11"/>
      <c r="T2697" s="136">
        <f t="shared" si="749"/>
        <v>0</v>
      </c>
    </row>
    <row r="2698" spans="1:20" ht="15.75" customHeight="1">
      <c r="A2698" s="149" t="s">
        <v>2398</v>
      </c>
      <c r="B2698" s="273">
        <f t="shared" si="748"/>
        <v>132810</v>
      </c>
      <c r="C2698" s="28" t="s">
        <v>44302</v>
      </c>
      <c r="D2698" s="71">
        <v>5570</v>
      </c>
      <c r="E2698" s="131">
        <f t="shared" si="752"/>
        <v>120190</v>
      </c>
      <c r="F2698" s="21">
        <f t="shared" si="754"/>
        <v>145429.9</v>
      </c>
      <c r="G2698" s="21"/>
      <c r="H2698" s="135">
        <f t="shared" si="753"/>
        <v>0</v>
      </c>
      <c r="I2698" s="23">
        <v>45323</v>
      </c>
      <c r="J2698" s="294">
        <v>45364</v>
      </c>
      <c r="K2698" s="10">
        <f>0.8*0.98*0.94*0.95*127155</f>
        <v>89022.74136</v>
      </c>
      <c r="L2698" s="11"/>
      <c r="M2698" s="11"/>
      <c r="N2698" s="100"/>
      <c r="O2698" s="11">
        <f t="shared" si="738"/>
        <v>89022.74136</v>
      </c>
      <c r="P2698" s="11">
        <f>+O2698*'AUMENTOS %'!$B$5</f>
        <v>89022.74136</v>
      </c>
      <c r="Q2698" s="11">
        <v>1.35</v>
      </c>
      <c r="R2698" s="11">
        <f t="shared" si="747"/>
        <v>120180.700836</v>
      </c>
      <c r="S2698" s="11"/>
      <c r="T2698" s="136">
        <f t="shared" si="749"/>
        <v>0</v>
      </c>
    </row>
    <row r="2699" spans="1:20" ht="15.75" customHeight="1">
      <c r="A2699" s="149">
        <v>38</v>
      </c>
      <c r="B2699" s="273">
        <f t="shared" si="748"/>
        <v>99530</v>
      </c>
      <c r="C2699" s="28" t="s">
        <v>3786</v>
      </c>
      <c r="D2699" s="71"/>
      <c r="E2699" s="131">
        <f t="shared" si="752"/>
        <v>90070</v>
      </c>
      <c r="F2699" s="21">
        <f t="shared" si="754"/>
        <v>108984.7</v>
      </c>
      <c r="G2699" s="21"/>
      <c r="H2699" s="135">
        <f t="shared" si="753"/>
        <v>78060</v>
      </c>
      <c r="I2699" s="294">
        <v>45138</v>
      </c>
      <c r="J2699" s="294">
        <v>45274</v>
      </c>
      <c r="K2699" s="10">
        <f>+PROVEEDORES!D32*63.54</f>
        <v>66717</v>
      </c>
      <c r="L2699" s="11"/>
      <c r="M2699" s="11"/>
      <c r="N2699" s="100">
        <v>57818</v>
      </c>
      <c r="O2699" s="11">
        <f t="shared" si="738"/>
        <v>66717</v>
      </c>
      <c r="P2699" s="11">
        <f t="shared" si="746"/>
        <v>66717</v>
      </c>
      <c r="Q2699" s="11">
        <v>1.35</v>
      </c>
      <c r="R2699" s="11">
        <f t="shared" si="747"/>
        <v>90067.950000000012</v>
      </c>
      <c r="S2699" s="11"/>
      <c r="T2699" s="136">
        <f t="shared" si="749"/>
        <v>78054.3</v>
      </c>
    </row>
    <row r="2700" spans="1:20" ht="15.75" customHeight="1">
      <c r="A2700" s="149">
        <v>38</v>
      </c>
      <c r="B2700" s="273">
        <f t="shared" si="748"/>
        <v>165780</v>
      </c>
      <c r="C2700" s="28" t="s">
        <v>4190</v>
      </c>
      <c r="D2700" s="71"/>
      <c r="E2700" s="131">
        <f t="shared" si="752"/>
        <v>150020</v>
      </c>
      <c r="F2700" s="21">
        <f t="shared" si="754"/>
        <v>181524.19999999998</v>
      </c>
      <c r="G2700" s="21"/>
      <c r="H2700" s="135">
        <f t="shared" si="753"/>
        <v>130020</v>
      </c>
      <c r="I2700" s="294">
        <v>45138</v>
      </c>
      <c r="J2700" s="294">
        <v>45274</v>
      </c>
      <c r="K2700" s="10">
        <f>+PROVEEDORES!$D$32*105.83</f>
        <v>111121.5</v>
      </c>
      <c r="L2700" s="11"/>
      <c r="M2700" s="11"/>
      <c r="N2700" s="100">
        <v>96309</v>
      </c>
      <c r="O2700" s="11">
        <f t="shared" si="738"/>
        <v>111121.5</v>
      </c>
      <c r="P2700" s="11">
        <f t="shared" si="746"/>
        <v>111121.5</v>
      </c>
      <c r="Q2700" s="11">
        <v>1.35</v>
      </c>
      <c r="R2700" s="11">
        <f t="shared" si="747"/>
        <v>150014.02500000002</v>
      </c>
      <c r="S2700" s="11"/>
      <c r="T2700" s="136">
        <f t="shared" si="749"/>
        <v>130017.15000000001</v>
      </c>
    </row>
    <row r="2701" spans="1:20" ht="15.75" customHeight="1">
      <c r="A2701" s="149" t="s">
        <v>2387</v>
      </c>
      <c r="B2701" s="273">
        <f t="shared" si="748"/>
        <v>192500</v>
      </c>
      <c r="C2701" s="291" t="s">
        <v>1986</v>
      </c>
      <c r="D2701" s="71">
        <v>11230</v>
      </c>
      <c r="E2701" s="131">
        <f t="shared" si="752"/>
        <v>174200</v>
      </c>
      <c r="F2701" s="21">
        <f t="shared" si="754"/>
        <v>210782</v>
      </c>
      <c r="G2701" s="21"/>
      <c r="H2701" s="135">
        <f t="shared" si="753"/>
        <v>0</v>
      </c>
      <c r="I2701" s="294">
        <v>45329</v>
      </c>
      <c r="J2701" s="294"/>
      <c r="K2701" s="42">
        <f>'AUMENTOS %'!$D$12*0.5*258060</f>
        <v>129030</v>
      </c>
      <c r="L2701" s="101">
        <f>+'AUMENTOS %'!$C$12*69747*2</f>
        <v>139494</v>
      </c>
      <c r="M2701" s="11"/>
      <c r="N2701" s="100"/>
      <c r="O2701" s="11">
        <f t="shared" si="738"/>
        <v>129030</v>
      </c>
      <c r="P2701" s="11">
        <f>+O2701*'AUMENTOS %'!$D$12</f>
        <v>129030</v>
      </c>
      <c r="Q2701" s="11">
        <v>1.35</v>
      </c>
      <c r="R2701" s="11">
        <f t="shared" si="747"/>
        <v>174190.5</v>
      </c>
      <c r="S2701" s="11"/>
      <c r="T2701" s="136">
        <f t="shared" si="749"/>
        <v>0</v>
      </c>
    </row>
    <row r="2702" spans="1:20" ht="15.75" customHeight="1">
      <c r="A2702" s="149" t="s">
        <v>2387</v>
      </c>
      <c r="B2702" s="273">
        <f t="shared" si="748"/>
        <v>135390</v>
      </c>
      <c r="C2702" s="291" t="s">
        <v>1987</v>
      </c>
      <c r="D2702" s="71">
        <v>9540</v>
      </c>
      <c r="E2702" s="131">
        <f t="shared" si="752"/>
        <v>122520</v>
      </c>
      <c r="F2702" s="21">
        <f t="shared" si="754"/>
        <v>148249.19999999998</v>
      </c>
      <c r="G2702" s="21">
        <f>7060+55</f>
        <v>7115</v>
      </c>
      <c r="H2702" s="135">
        <f t="shared" si="753"/>
        <v>0</v>
      </c>
      <c r="I2702" s="294">
        <v>45329</v>
      </c>
      <c r="J2702" s="294"/>
      <c r="K2702" s="10">
        <f>+'AUMENTOS %'!$D$12*0.5*181500</f>
        <v>90750</v>
      </c>
      <c r="L2702" s="101">
        <f>+'AUMENTOS %'!$C$12*24332*4</f>
        <v>97328</v>
      </c>
      <c r="M2702" s="11"/>
      <c r="N2702" s="100"/>
      <c r="O2702" s="11">
        <f t="shared" si="738"/>
        <v>90750</v>
      </c>
      <c r="P2702" s="11">
        <f>+O2702*'AUMENTOS %'!$D$12</f>
        <v>90750</v>
      </c>
      <c r="Q2702" s="11">
        <v>1.35</v>
      </c>
      <c r="R2702" s="11">
        <f t="shared" si="747"/>
        <v>122512.50000000001</v>
      </c>
      <c r="S2702" s="11"/>
      <c r="T2702" s="136">
        <f t="shared" si="749"/>
        <v>0</v>
      </c>
    </row>
    <row r="2703" spans="1:20" ht="15.75" customHeight="1">
      <c r="A2703" s="149" t="s">
        <v>2387</v>
      </c>
      <c r="B2703" s="273">
        <f t="shared" si="748"/>
        <v>431160</v>
      </c>
      <c r="C2703" s="291" t="s">
        <v>3424</v>
      </c>
      <c r="D2703" s="71">
        <v>21110</v>
      </c>
      <c r="E2703" s="131">
        <f t="shared" si="752"/>
        <v>390190</v>
      </c>
      <c r="F2703" s="21">
        <f t="shared" si="754"/>
        <v>472129.89999999997</v>
      </c>
      <c r="G2703" s="21">
        <f>7440+55</f>
        <v>7495</v>
      </c>
      <c r="H2703" s="135">
        <f t="shared" si="753"/>
        <v>0</v>
      </c>
      <c r="I2703" s="294">
        <v>45329</v>
      </c>
      <c r="J2703" s="294"/>
      <c r="K2703" s="10">
        <f>+'AUMENTOS %'!$D$12*0.5*578050</f>
        <v>289025</v>
      </c>
      <c r="L2703" s="101">
        <f>+'AUMENTOS %'!$C$12*199595*2</f>
        <v>399190</v>
      </c>
      <c r="M2703" s="11"/>
      <c r="N2703" s="100"/>
      <c r="O2703" s="11">
        <f t="shared" si="738"/>
        <v>289025</v>
      </c>
      <c r="P2703" s="11">
        <f>+O2703*'AUMENTOS %'!$D$12</f>
        <v>289025</v>
      </c>
      <c r="Q2703" s="11">
        <v>1.35</v>
      </c>
      <c r="R2703" s="11">
        <f t="shared" si="747"/>
        <v>390183.75</v>
      </c>
      <c r="S2703" s="11"/>
      <c r="T2703" s="136">
        <f t="shared" si="749"/>
        <v>0</v>
      </c>
    </row>
    <row r="2704" spans="1:20" ht="15.75" customHeight="1">
      <c r="A2704" s="149" t="s">
        <v>2387</v>
      </c>
      <c r="B2704" s="273">
        <f t="shared" si="748"/>
        <v>91830</v>
      </c>
      <c r="C2704" s="28" t="s">
        <v>1988</v>
      </c>
      <c r="D2704" s="71">
        <v>0</v>
      </c>
      <c r="E2704" s="131">
        <f t="shared" si="752"/>
        <v>83100</v>
      </c>
      <c r="F2704" s="21">
        <f t="shared" si="754"/>
        <v>100551</v>
      </c>
      <c r="G2704" s="21"/>
      <c r="H2704" s="135">
        <f t="shared" si="753"/>
        <v>0</v>
      </c>
      <c r="I2704" s="294">
        <v>45173</v>
      </c>
      <c r="J2704" s="294"/>
      <c r="K2704" s="10"/>
      <c r="L2704" s="101">
        <f>+'AUMENTOS %'!$C$12*61550</f>
        <v>61550</v>
      </c>
      <c r="M2704" s="11"/>
      <c r="N2704" s="100"/>
      <c r="O2704" s="11">
        <f t="shared" si="738"/>
        <v>61550</v>
      </c>
      <c r="P2704" s="11">
        <f>+O2704*'AUMENTOS %'!$D$12</f>
        <v>61550</v>
      </c>
      <c r="Q2704" s="11">
        <v>1.35</v>
      </c>
      <c r="R2704" s="11">
        <f t="shared" si="747"/>
        <v>83092.5</v>
      </c>
      <c r="S2704" s="11"/>
      <c r="T2704" s="136">
        <f t="shared" si="749"/>
        <v>0</v>
      </c>
    </row>
    <row r="2705" spans="1:20" ht="15.75" customHeight="1">
      <c r="A2705" s="149">
        <v>38</v>
      </c>
      <c r="B2705" s="273">
        <f t="shared" si="748"/>
        <v>42810</v>
      </c>
      <c r="C2705" s="28" t="s">
        <v>2474</v>
      </c>
      <c r="D2705" s="71">
        <v>8370</v>
      </c>
      <c r="E2705" s="131">
        <f t="shared" si="752"/>
        <v>38740</v>
      </c>
      <c r="F2705" s="21">
        <f t="shared" si="754"/>
        <v>46875.4</v>
      </c>
      <c r="G2705" s="21">
        <f>+G2702*1.25</f>
        <v>8893.75</v>
      </c>
      <c r="H2705" s="135">
        <f t="shared" si="753"/>
        <v>0</v>
      </c>
      <c r="I2705" s="294">
        <v>45138</v>
      </c>
      <c r="J2705" s="294"/>
      <c r="K2705" s="10">
        <f>+'AUMENTOS %'!$B$10*28689</f>
        <v>28689</v>
      </c>
      <c r="L2705" s="11"/>
      <c r="M2705" s="11"/>
      <c r="N2705" s="100"/>
      <c r="O2705" s="11">
        <f>MIN(K2705:M2705)*'AUMENTOS %'!$B$10</f>
        <v>28689</v>
      </c>
      <c r="P2705" s="11">
        <f t="shared" si="746"/>
        <v>28689</v>
      </c>
      <c r="Q2705" s="11">
        <v>1.35</v>
      </c>
      <c r="R2705" s="11">
        <f t="shared" si="747"/>
        <v>38730.15</v>
      </c>
      <c r="S2705" s="11"/>
      <c r="T2705" s="136">
        <f t="shared" si="749"/>
        <v>0</v>
      </c>
    </row>
    <row r="2706" spans="1:20" ht="15.75" customHeight="1">
      <c r="A2706" s="149">
        <v>38</v>
      </c>
      <c r="B2706" s="273">
        <f t="shared" si="748"/>
        <v>38910</v>
      </c>
      <c r="C2706" s="28" t="s">
        <v>2473</v>
      </c>
      <c r="D2706" s="71">
        <v>7300</v>
      </c>
      <c r="E2706" s="131">
        <f t="shared" si="752"/>
        <v>35210</v>
      </c>
      <c r="F2706" s="21">
        <f t="shared" si="754"/>
        <v>42604.1</v>
      </c>
      <c r="G2706" s="21">
        <f>+G2703*1.2</f>
        <v>8994</v>
      </c>
      <c r="H2706" s="135">
        <f t="shared" si="753"/>
        <v>0</v>
      </c>
      <c r="I2706" s="294">
        <v>45138</v>
      </c>
      <c r="J2706" s="294"/>
      <c r="K2706" s="10">
        <f>+'AUMENTOS %'!$B$10*26077</f>
        <v>26077</v>
      </c>
      <c r="L2706" s="11"/>
      <c r="M2706" s="11"/>
      <c r="N2706" s="100"/>
      <c r="O2706" s="11">
        <f>MIN(K2706:M2706)*'AUMENTOS %'!$B$10</f>
        <v>26077</v>
      </c>
      <c r="P2706" s="11">
        <f t="shared" si="746"/>
        <v>26077</v>
      </c>
      <c r="Q2706" s="11">
        <v>1.35</v>
      </c>
      <c r="R2706" s="11">
        <f t="shared" si="747"/>
        <v>35203.950000000004</v>
      </c>
      <c r="S2706" s="11"/>
      <c r="T2706" s="136">
        <f t="shared" si="749"/>
        <v>0</v>
      </c>
    </row>
    <row r="2707" spans="1:20" ht="15.75" customHeight="1">
      <c r="A2707" s="149">
        <v>38</v>
      </c>
      <c r="B2707" s="273">
        <f t="shared" si="748"/>
        <v>79700</v>
      </c>
      <c r="C2707" s="28" t="s">
        <v>2472</v>
      </c>
      <c r="D2707" s="71">
        <v>14010</v>
      </c>
      <c r="E2707" s="131">
        <f t="shared" si="752"/>
        <v>72120</v>
      </c>
      <c r="F2707" s="21">
        <f t="shared" si="754"/>
        <v>87265.2</v>
      </c>
      <c r="G2707" s="21"/>
      <c r="H2707" s="135">
        <f t="shared" si="753"/>
        <v>0</v>
      </c>
      <c r="I2707" s="294">
        <v>45138</v>
      </c>
      <c r="J2707" s="294"/>
      <c r="K2707" s="10">
        <f>+'AUMENTOS %'!$B$10*53421</f>
        <v>53421</v>
      </c>
      <c r="L2707" s="10"/>
      <c r="M2707" s="11"/>
      <c r="N2707" s="100"/>
      <c r="O2707" s="11">
        <f>MIN(K2707:M2707)*'AUMENTOS %'!$B$10</f>
        <v>53421</v>
      </c>
      <c r="P2707" s="11">
        <f t="shared" si="746"/>
        <v>53421</v>
      </c>
      <c r="Q2707" s="11">
        <v>1.35</v>
      </c>
      <c r="R2707" s="11">
        <f t="shared" si="747"/>
        <v>72118.350000000006</v>
      </c>
      <c r="S2707" s="11"/>
      <c r="T2707" s="136">
        <f t="shared" si="749"/>
        <v>0</v>
      </c>
    </row>
    <row r="2708" spans="1:20" ht="15.75" customHeight="1">
      <c r="A2708" s="149">
        <v>38</v>
      </c>
      <c r="B2708" s="273">
        <f t="shared" si="748"/>
        <v>98180</v>
      </c>
      <c r="C2708" s="28" t="s">
        <v>1989</v>
      </c>
      <c r="D2708" s="71">
        <v>21080</v>
      </c>
      <c r="E2708" s="131">
        <f t="shared" si="752"/>
        <v>88850</v>
      </c>
      <c r="F2708" s="21">
        <f t="shared" si="754"/>
        <v>107508.5</v>
      </c>
      <c r="G2708" s="21"/>
      <c r="H2708" s="135">
        <f t="shared" si="753"/>
        <v>0</v>
      </c>
      <c r="I2708" s="294">
        <v>45138</v>
      </c>
      <c r="J2708" s="294"/>
      <c r="K2708" s="10">
        <f>+'AUMENTOS %'!$B$10*65811</f>
        <v>65811</v>
      </c>
      <c r="L2708" s="11"/>
      <c r="M2708" s="11"/>
      <c r="N2708" s="100"/>
      <c r="O2708" s="11">
        <f>MIN(K2708:M2708)*'AUMENTOS %'!$B$10</f>
        <v>65811</v>
      </c>
      <c r="P2708" s="11">
        <f t="shared" si="746"/>
        <v>65811</v>
      </c>
      <c r="Q2708" s="11">
        <v>1.35</v>
      </c>
      <c r="R2708" s="11">
        <f t="shared" si="747"/>
        <v>88844.85</v>
      </c>
      <c r="S2708" s="11"/>
      <c r="T2708" s="136">
        <f t="shared" si="749"/>
        <v>0</v>
      </c>
    </row>
    <row r="2709" spans="1:20" ht="15.75" customHeight="1">
      <c r="A2709" s="149" t="s">
        <v>2398</v>
      </c>
      <c r="B2709" s="273">
        <f t="shared" si="748"/>
        <v>127310</v>
      </c>
      <c r="C2709" s="36" t="s">
        <v>37203</v>
      </c>
      <c r="D2709" s="71">
        <v>5170</v>
      </c>
      <c r="E2709" s="131">
        <f t="shared" si="752"/>
        <v>115210</v>
      </c>
      <c r="F2709" s="21">
        <f t="shared" si="754"/>
        <v>139404.1</v>
      </c>
      <c r="G2709" s="44"/>
      <c r="H2709" s="135">
        <f t="shared" si="753"/>
        <v>0</v>
      </c>
      <c r="I2709" s="294">
        <v>45323</v>
      </c>
      <c r="J2709" s="294"/>
      <c r="K2709" s="10">
        <f>0.8*0.98*0.94*0.95*119236</f>
        <v>83478.55443199999</v>
      </c>
      <c r="L2709" s="11"/>
      <c r="M2709" s="11"/>
      <c r="N2709" s="100"/>
      <c r="O2709" s="11">
        <f t="shared" si="738"/>
        <v>83478.55443199999</v>
      </c>
      <c r="P2709" s="11">
        <f>+O2709*'AUMENTOS %'!$B$5</f>
        <v>83478.55443199999</v>
      </c>
      <c r="Q2709" s="11">
        <v>1.38</v>
      </c>
      <c r="R2709" s="11">
        <f t="shared" si="747"/>
        <v>115200.40511615998</v>
      </c>
      <c r="S2709" s="11"/>
      <c r="T2709" s="136">
        <f t="shared" si="749"/>
        <v>0</v>
      </c>
    </row>
    <row r="2710" spans="1:20" ht="15.75" customHeight="1">
      <c r="A2710" s="149" t="s">
        <v>2398</v>
      </c>
      <c r="B2710" s="273">
        <f t="shared" si="748"/>
        <v>104120</v>
      </c>
      <c r="C2710" s="36" t="s">
        <v>37204</v>
      </c>
      <c r="D2710" s="71">
        <v>5170</v>
      </c>
      <c r="E2710" s="131">
        <f t="shared" si="752"/>
        <v>94220</v>
      </c>
      <c r="F2710" s="21">
        <f t="shared" si="754"/>
        <v>114006.2</v>
      </c>
      <c r="G2710" s="44"/>
      <c r="H2710" s="135">
        <f t="shared" si="753"/>
        <v>0</v>
      </c>
      <c r="I2710" s="294">
        <v>45323</v>
      </c>
      <c r="J2710" s="294"/>
      <c r="K2710" s="10">
        <f>0.8*0.98*0.94*0.95*97517</f>
        <v>68272.821903999997</v>
      </c>
      <c r="L2710" s="11"/>
      <c r="M2710" s="11"/>
      <c r="N2710" s="100"/>
      <c r="O2710" s="11">
        <f t="shared" si="738"/>
        <v>68272.821903999997</v>
      </c>
      <c r="P2710" s="11">
        <f>+O2710*'AUMENTOS %'!$B$5</f>
        <v>68272.821903999997</v>
      </c>
      <c r="Q2710" s="11">
        <v>1.38</v>
      </c>
      <c r="R2710" s="11">
        <f t="shared" si="747"/>
        <v>94216.494227519986</v>
      </c>
      <c r="S2710" s="11"/>
      <c r="T2710" s="136">
        <f t="shared" si="749"/>
        <v>0</v>
      </c>
    </row>
    <row r="2711" spans="1:20" ht="15.75" customHeight="1">
      <c r="A2711" s="149" t="s">
        <v>2398</v>
      </c>
      <c r="B2711" s="273">
        <f t="shared" si="748"/>
        <v>0</v>
      </c>
      <c r="C2711" s="36" t="s">
        <v>3733</v>
      </c>
      <c r="D2711" s="71">
        <v>5170</v>
      </c>
      <c r="E2711" s="131">
        <f t="shared" si="752"/>
        <v>0</v>
      </c>
      <c r="F2711" s="21">
        <f t="shared" si="754"/>
        <v>0</v>
      </c>
      <c r="G2711" s="44"/>
      <c r="H2711" s="135">
        <f t="shared" si="753"/>
        <v>0</v>
      </c>
      <c r="I2711" s="294">
        <v>44630</v>
      </c>
      <c r="J2711" s="294"/>
      <c r="K2711" s="10">
        <f>0.8*0.94*0.95*9540*1.15</f>
        <v>7837.6823999999988</v>
      </c>
      <c r="L2711" s="11"/>
      <c r="M2711" s="11"/>
      <c r="N2711" s="100"/>
      <c r="O2711" s="11">
        <f t="shared" si="738"/>
        <v>7837.6823999999988</v>
      </c>
      <c r="P2711" s="11">
        <f>+O2711*'AUMENTOS %'!$B$5</f>
        <v>7837.6823999999988</v>
      </c>
      <c r="Q2711" s="11"/>
      <c r="R2711" s="11">
        <f t="shared" si="747"/>
        <v>0</v>
      </c>
      <c r="S2711" s="11"/>
      <c r="T2711" s="136">
        <f t="shared" si="749"/>
        <v>0</v>
      </c>
    </row>
    <row r="2712" spans="1:20" ht="15.75" customHeight="1">
      <c r="A2712" s="149" t="s">
        <v>2387</v>
      </c>
      <c r="B2712" s="273">
        <f t="shared" si="748"/>
        <v>165250</v>
      </c>
      <c r="C2712" s="28" t="s">
        <v>2804</v>
      </c>
      <c r="D2712" s="71">
        <v>7530</v>
      </c>
      <c r="E2712" s="131">
        <f t="shared" si="752"/>
        <v>149540</v>
      </c>
      <c r="F2712" s="21">
        <f t="shared" si="754"/>
        <v>180943.4</v>
      </c>
      <c r="G2712" s="21"/>
      <c r="H2712" s="135">
        <f t="shared" si="753"/>
        <v>0</v>
      </c>
      <c r="I2712" s="294">
        <v>45329</v>
      </c>
      <c r="J2712" s="294"/>
      <c r="K2712" s="10">
        <f>+'AUMENTOS %'!$D$13*0.5*221540</f>
        <v>110770</v>
      </c>
      <c r="L2712" s="10">
        <f>+'AUMENTOS %'!$C$13*88530*2</f>
        <v>177060</v>
      </c>
      <c r="M2712" s="11"/>
      <c r="N2712" s="100"/>
      <c r="O2712" s="11">
        <f t="shared" si="738"/>
        <v>110770</v>
      </c>
      <c r="P2712" s="11">
        <f>+O2712*'AUMENTOS %'!$D$13</f>
        <v>110770</v>
      </c>
      <c r="Q2712" s="11">
        <v>1.35</v>
      </c>
      <c r="R2712" s="11">
        <f t="shared" si="747"/>
        <v>149539.5</v>
      </c>
      <c r="S2712" s="11"/>
      <c r="T2712" s="136">
        <f t="shared" si="749"/>
        <v>0</v>
      </c>
    </row>
    <row r="2713" spans="1:20" ht="15.75" customHeight="1">
      <c r="A2713" s="149" t="s">
        <v>2387</v>
      </c>
      <c r="B2713" s="273">
        <f t="shared" si="748"/>
        <v>163610</v>
      </c>
      <c r="C2713" s="28" t="s">
        <v>2805</v>
      </c>
      <c r="D2713" s="71">
        <v>7000</v>
      </c>
      <c r="E2713" s="131">
        <f t="shared" si="752"/>
        <v>148060</v>
      </c>
      <c r="F2713" s="21">
        <f t="shared" si="754"/>
        <v>179152.6</v>
      </c>
      <c r="G2713" s="21"/>
      <c r="H2713" s="135">
        <f t="shared" si="753"/>
        <v>0</v>
      </c>
      <c r="I2713" s="294">
        <v>45329</v>
      </c>
      <c r="J2713" s="294"/>
      <c r="K2713" s="10">
        <f>+'AUMENTOS %'!$D$13*0.5*219340</f>
        <v>109670</v>
      </c>
      <c r="L2713" s="10">
        <f>+'AUMENTOS %'!$C$13*40921*3</f>
        <v>122763</v>
      </c>
      <c r="M2713" s="11"/>
      <c r="N2713" s="100"/>
      <c r="O2713" s="11">
        <f t="shared" si="738"/>
        <v>109670</v>
      </c>
      <c r="P2713" s="11">
        <f>+O2713*'AUMENTOS %'!$D$13</f>
        <v>109670</v>
      </c>
      <c r="Q2713" s="11">
        <v>1.35</v>
      </c>
      <c r="R2713" s="11">
        <f t="shared" si="747"/>
        <v>148054.5</v>
      </c>
      <c r="S2713" s="11"/>
      <c r="T2713" s="136">
        <f t="shared" si="749"/>
        <v>0</v>
      </c>
    </row>
    <row r="2714" spans="1:20" ht="15.75" customHeight="1">
      <c r="A2714" s="149">
        <v>65</v>
      </c>
      <c r="B2714" s="273"/>
      <c r="C2714" s="28" t="s">
        <v>1990</v>
      </c>
      <c r="D2714" s="71">
        <v>750</v>
      </c>
      <c r="E2714" s="131">
        <f t="shared" si="752"/>
        <v>36920</v>
      </c>
      <c r="F2714" s="21">
        <f t="shared" si="754"/>
        <v>44673.2</v>
      </c>
      <c r="G2714" s="21"/>
      <c r="H2714" s="135">
        <f t="shared" si="753"/>
        <v>0</v>
      </c>
      <c r="I2714" s="294">
        <v>45286</v>
      </c>
      <c r="J2714" s="294"/>
      <c r="K2714" s="10">
        <v>26000</v>
      </c>
      <c r="L2714" s="11"/>
      <c r="M2714" s="11"/>
      <c r="N2714" s="100"/>
      <c r="O2714" s="11">
        <f t="shared" si="738"/>
        <v>26000</v>
      </c>
      <c r="P2714" s="11">
        <f t="shared" si="746"/>
        <v>26000</v>
      </c>
      <c r="Q2714" s="11">
        <v>1.42</v>
      </c>
      <c r="R2714" s="11">
        <f t="shared" si="747"/>
        <v>36920</v>
      </c>
      <c r="S2714" s="11"/>
      <c r="T2714" s="136">
        <f t="shared" si="749"/>
        <v>0</v>
      </c>
    </row>
    <row r="2715" spans="1:20" ht="15.75" customHeight="1">
      <c r="A2715" s="149">
        <v>30</v>
      </c>
      <c r="B2715" s="273"/>
      <c r="C2715" s="28" t="s">
        <v>1991</v>
      </c>
      <c r="D2715" s="71">
        <v>1880</v>
      </c>
      <c r="E2715" s="131">
        <f t="shared" si="752"/>
        <v>0</v>
      </c>
      <c r="F2715" s="21">
        <f t="shared" si="754"/>
        <v>0</v>
      </c>
      <c r="G2715" s="21"/>
      <c r="H2715" s="135">
        <f t="shared" si="753"/>
        <v>0</v>
      </c>
      <c r="I2715" s="294">
        <v>43843</v>
      </c>
      <c r="J2715" s="294"/>
      <c r="K2715" s="10">
        <f>1089*1.5*1.15</f>
        <v>1878.5249999999999</v>
      </c>
      <c r="L2715" s="11"/>
      <c r="M2715" s="11"/>
      <c r="N2715" s="100"/>
      <c r="O2715" s="11">
        <f t="shared" si="738"/>
        <v>1878.5249999999999</v>
      </c>
      <c r="P2715" s="11">
        <f t="shared" si="746"/>
        <v>1878.5249999999999</v>
      </c>
      <c r="Q2715" s="11"/>
      <c r="R2715" s="11">
        <f t="shared" si="747"/>
        <v>0</v>
      </c>
      <c r="S2715" s="11"/>
      <c r="T2715" s="136">
        <f t="shared" si="749"/>
        <v>0</v>
      </c>
    </row>
    <row r="2716" spans="1:20" ht="15.75" customHeight="1">
      <c r="A2716" s="149">
        <v>65</v>
      </c>
      <c r="B2716" s="273"/>
      <c r="C2716" s="28" t="s">
        <v>1992</v>
      </c>
      <c r="D2716" s="71">
        <v>750</v>
      </c>
      <c r="E2716" s="131">
        <f t="shared" si="752"/>
        <v>36400</v>
      </c>
      <c r="F2716" s="21">
        <f t="shared" si="754"/>
        <v>44044</v>
      </c>
      <c r="G2716" s="21"/>
      <c r="H2716" s="135">
        <f t="shared" si="753"/>
        <v>0</v>
      </c>
      <c r="I2716" s="294">
        <v>45286</v>
      </c>
      <c r="J2716" s="294"/>
      <c r="K2716" s="10">
        <v>26000</v>
      </c>
      <c r="L2716" s="11"/>
      <c r="M2716" s="11"/>
      <c r="N2716" s="100"/>
      <c r="O2716" s="11">
        <f t="shared" si="738"/>
        <v>26000</v>
      </c>
      <c r="P2716" s="11">
        <f t="shared" si="746"/>
        <v>26000</v>
      </c>
      <c r="Q2716" s="11">
        <v>1.4</v>
      </c>
      <c r="R2716" s="11">
        <f t="shared" si="747"/>
        <v>36400</v>
      </c>
      <c r="S2716" s="11"/>
      <c r="T2716" s="136">
        <f t="shared" si="749"/>
        <v>0</v>
      </c>
    </row>
    <row r="2717" spans="1:20" ht="16">
      <c r="A2717" s="149">
        <v>17</v>
      </c>
      <c r="B2717" s="273"/>
      <c r="C2717" s="28" t="s">
        <v>2613</v>
      </c>
      <c r="D2717" s="71"/>
      <c r="E2717" s="131">
        <f t="shared" si="752"/>
        <v>136200</v>
      </c>
      <c r="F2717" s="21">
        <f t="shared" si="754"/>
        <v>164802</v>
      </c>
      <c r="G2717" s="21"/>
      <c r="H2717" s="135">
        <f t="shared" si="753"/>
        <v>0</v>
      </c>
      <c r="I2717" s="294">
        <v>45296</v>
      </c>
      <c r="J2717" s="294">
        <v>45336</v>
      </c>
      <c r="K2717" s="10">
        <f>103000/1.21</f>
        <v>85123.966942148763</v>
      </c>
      <c r="L2717" s="11"/>
      <c r="M2717" s="11"/>
      <c r="N2717" s="100"/>
      <c r="O2717" s="11">
        <f t="shared" si="738"/>
        <v>85123.966942148763</v>
      </c>
      <c r="P2717" s="11">
        <f t="shared" si="746"/>
        <v>85123.966942148763</v>
      </c>
      <c r="Q2717" s="11">
        <v>1.6</v>
      </c>
      <c r="R2717" s="11">
        <f t="shared" si="747"/>
        <v>136198.34710743802</v>
      </c>
      <c r="S2717" s="11"/>
      <c r="T2717" s="136">
        <f t="shared" si="749"/>
        <v>0</v>
      </c>
    </row>
    <row r="2718" spans="1:20" ht="15.75" customHeight="1">
      <c r="A2718" s="149">
        <v>25</v>
      </c>
      <c r="B2718" s="273"/>
      <c r="C2718" s="28" t="s">
        <v>1993</v>
      </c>
      <c r="D2718" s="71">
        <v>4000</v>
      </c>
      <c r="E2718" s="131">
        <f t="shared" si="752"/>
        <v>0</v>
      </c>
      <c r="F2718" s="21">
        <f t="shared" si="754"/>
        <v>0</v>
      </c>
      <c r="G2718" s="21"/>
      <c r="H2718" s="135">
        <f t="shared" si="753"/>
        <v>0</v>
      </c>
      <c r="I2718" s="294"/>
      <c r="J2718" s="294">
        <v>44678</v>
      </c>
      <c r="K2718" s="10">
        <f>2200+12500</f>
        <v>14700</v>
      </c>
      <c r="L2718" s="11"/>
      <c r="M2718" s="11"/>
      <c r="N2718" s="100"/>
      <c r="O2718" s="11">
        <f t="shared" si="738"/>
        <v>14700</v>
      </c>
      <c r="P2718" s="11">
        <f t="shared" si="746"/>
        <v>14700</v>
      </c>
      <c r="Q2718" s="11"/>
      <c r="R2718" s="11">
        <f t="shared" si="747"/>
        <v>0</v>
      </c>
      <c r="S2718" s="11"/>
      <c r="T2718" s="136">
        <f t="shared" si="749"/>
        <v>0</v>
      </c>
    </row>
    <row r="2719" spans="1:20" ht="15.75" customHeight="1">
      <c r="A2719" s="149">
        <v>25</v>
      </c>
      <c r="B2719" s="273"/>
      <c r="C2719" s="28" t="s">
        <v>1994</v>
      </c>
      <c r="D2719" s="71">
        <v>14670</v>
      </c>
      <c r="E2719" s="131">
        <f t="shared" si="752"/>
        <v>0</v>
      </c>
      <c r="F2719" s="21">
        <f t="shared" si="754"/>
        <v>0</v>
      </c>
      <c r="G2719" s="21"/>
      <c r="H2719" s="135">
        <f t="shared" si="753"/>
        <v>0</v>
      </c>
      <c r="I2719" s="294"/>
      <c r="J2719" s="294">
        <v>43549</v>
      </c>
      <c r="K2719" s="10">
        <f>(896*3*0.8+9100*0.8+350)*1.5</f>
        <v>14670.599999999999</v>
      </c>
      <c r="L2719" s="11"/>
      <c r="M2719" s="11"/>
      <c r="N2719" s="100"/>
      <c r="O2719" s="11">
        <f t="shared" si="738"/>
        <v>14670.599999999999</v>
      </c>
      <c r="P2719" s="11">
        <f t="shared" si="746"/>
        <v>14670.599999999999</v>
      </c>
      <c r="Q2719" s="11"/>
      <c r="R2719" s="11">
        <f t="shared" si="747"/>
        <v>0</v>
      </c>
      <c r="S2719" s="11"/>
      <c r="T2719" s="136">
        <f t="shared" si="749"/>
        <v>0</v>
      </c>
    </row>
    <row r="2720" spans="1:20" ht="15.75" customHeight="1">
      <c r="A2720" s="149"/>
      <c r="B2720" s="273"/>
      <c r="C2720" s="28" t="s">
        <v>1995</v>
      </c>
      <c r="D2720" s="71">
        <v>940</v>
      </c>
      <c r="E2720" s="131">
        <f t="shared" si="752"/>
        <v>0</v>
      </c>
      <c r="F2720" s="21">
        <f t="shared" si="754"/>
        <v>0</v>
      </c>
      <c r="G2720" s="21"/>
      <c r="H2720" s="135">
        <f t="shared" si="753"/>
        <v>0</v>
      </c>
      <c r="I2720" s="294">
        <v>43124</v>
      </c>
      <c r="J2720" s="294"/>
      <c r="K2720" s="10">
        <f>690*1.35</f>
        <v>931.50000000000011</v>
      </c>
      <c r="L2720" s="11"/>
      <c r="M2720" s="11"/>
      <c r="N2720" s="100"/>
      <c r="O2720" s="11">
        <f t="shared" si="738"/>
        <v>931.50000000000011</v>
      </c>
      <c r="P2720" s="11">
        <f t="shared" si="746"/>
        <v>931.50000000000011</v>
      </c>
      <c r="Q2720" s="11"/>
      <c r="R2720" s="11">
        <f t="shared" si="747"/>
        <v>0</v>
      </c>
      <c r="S2720" s="11"/>
      <c r="T2720" s="136">
        <f t="shared" si="749"/>
        <v>0</v>
      </c>
    </row>
    <row r="2721" spans="1:20" ht="15.75" customHeight="1">
      <c r="A2721" s="149"/>
      <c r="B2721" s="273"/>
      <c r="C2721" s="28" t="s">
        <v>1996</v>
      </c>
      <c r="D2721" s="71">
        <v>2880</v>
      </c>
      <c r="E2721" s="131">
        <f t="shared" si="752"/>
        <v>0</v>
      </c>
      <c r="F2721" s="21">
        <f t="shared" si="754"/>
        <v>0</v>
      </c>
      <c r="G2721" s="21"/>
      <c r="H2721" s="135">
        <f t="shared" si="753"/>
        <v>0</v>
      </c>
      <c r="I2721" s="294">
        <v>43577</v>
      </c>
      <c r="J2721" s="294"/>
      <c r="K2721" s="10">
        <f>2132*0.9*1.5</f>
        <v>2878.2</v>
      </c>
      <c r="L2721" s="11"/>
      <c r="M2721" s="11"/>
      <c r="N2721" s="100"/>
      <c r="O2721" s="11">
        <f t="shared" si="738"/>
        <v>2878.2</v>
      </c>
      <c r="P2721" s="11">
        <f t="shared" si="746"/>
        <v>2878.2</v>
      </c>
      <c r="Q2721" s="11"/>
      <c r="R2721" s="11">
        <f t="shared" si="747"/>
        <v>0</v>
      </c>
      <c r="S2721" s="11"/>
      <c r="T2721" s="136">
        <f t="shared" si="749"/>
        <v>0</v>
      </c>
    </row>
    <row r="2722" spans="1:20" ht="15.75" customHeight="1">
      <c r="A2722" s="149">
        <v>41</v>
      </c>
      <c r="B2722" s="273"/>
      <c r="C2722" s="28" t="s">
        <v>4214</v>
      </c>
      <c r="D2722" s="71"/>
      <c r="E2722" s="131">
        <f>ROUNDUP(R2722,-1)</f>
        <v>19980</v>
      </c>
      <c r="F2722" s="21">
        <f>+E2722*1.21</f>
        <v>24175.8</v>
      </c>
      <c r="G2722" s="21"/>
      <c r="H2722" s="135">
        <f>ROUNDUP(T2722,-1)</f>
        <v>0</v>
      </c>
      <c r="I2722" s="294"/>
      <c r="J2722" s="40">
        <v>45028</v>
      </c>
      <c r="K2722" s="11">
        <f>+PROVEEDORES!D35*11.67</f>
        <v>12486.9</v>
      </c>
      <c r="L2722" s="11"/>
      <c r="M2722" s="11"/>
      <c r="N2722" s="100"/>
      <c r="O2722" s="11">
        <f>MIN(K2722:M2722)</f>
        <v>12486.9</v>
      </c>
      <c r="P2722" s="11">
        <f t="shared" si="746"/>
        <v>12486.9</v>
      </c>
      <c r="Q2722" s="11">
        <v>1.6</v>
      </c>
      <c r="R2722" s="11">
        <f t="shared" si="747"/>
        <v>19979.04</v>
      </c>
      <c r="S2722" s="11"/>
      <c r="T2722" s="136">
        <f>+N2722*Q2722</f>
        <v>0</v>
      </c>
    </row>
    <row r="2723" spans="1:20" ht="15.75" customHeight="1">
      <c r="A2723" s="149">
        <v>41</v>
      </c>
      <c r="B2723" s="273"/>
      <c r="C2723" s="28" t="s">
        <v>3443</v>
      </c>
      <c r="D2723" s="71"/>
      <c r="E2723" s="131">
        <f t="shared" si="752"/>
        <v>8980</v>
      </c>
      <c r="F2723" s="21">
        <f t="shared" si="754"/>
        <v>10865.8</v>
      </c>
      <c r="G2723" s="21"/>
      <c r="H2723" s="135">
        <f t="shared" si="753"/>
        <v>0</v>
      </c>
      <c r="I2723" s="294"/>
      <c r="J2723" s="40">
        <v>44417</v>
      </c>
      <c r="K2723" s="11">
        <f>+(3885+1050+1050)</f>
        <v>5985</v>
      </c>
      <c r="L2723" s="11"/>
      <c r="M2723" s="148"/>
      <c r="N2723" s="100"/>
      <c r="O2723" s="11">
        <f t="shared" si="738"/>
        <v>5985</v>
      </c>
      <c r="P2723" s="11">
        <f t="shared" si="746"/>
        <v>5985</v>
      </c>
      <c r="Q2723" s="11">
        <v>1.5</v>
      </c>
      <c r="R2723" s="11">
        <f t="shared" si="747"/>
        <v>8977.5</v>
      </c>
      <c r="S2723" s="11"/>
      <c r="T2723" s="136">
        <f t="shared" si="749"/>
        <v>0</v>
      </c>
    </row>
    <row r="2724" spans="1:20" ht="15.75" customHeight="1">
      <c r="A2724" s="149" t="s">
        <v>2403</v>
      </c>
      <c r="B2724" s="273"/>
      <c r="C2724" s="28" t="s">
        <v>4096</v>
      </c>
      <c r="D2724" s="71">
        <v>160</v>
      </c>
      <c r="E2724" s="131">
        <f t="shared" si="752"/>
        <v>2380</v>
      </c>
      <c r="F2724" s="21">
        <f t="shared" si="754"/>
        <v>2879.7999999999997</v>
      </c>
      <c r="G2724" s="21"/>
      <c r="H2724" s="135">
        <f t="shared" si="753"/>
        <v>0</v>
      </c>
      <c r="I2724" s="294">
        <v>45274</v>
      </c>
      <c r="J2724" s="294">
        <v>45359</v>
      </c>
      <c r="K2724" s="10">
        <f>PROVEEDORES!$D$15*0.6*2.8</f>
        <v>1486.8</v>
      </c>
      <c r="L2724" s="10"/>
      <c r="M2724" s="11"/>
      <c r="N2724" s="100"/>
      <c r="O2724" s="11">
        <f t="shared" si="738"/>
        <v>1486.8</v>
      </c>
      <c r="P2724" s="11">
        <f t="shared" si="746"/>
        <v>1486.8</v>
      </c>
      <c r="Q2724" s="11">
        <v>1.6</v>
      </c>
      <c r="R2724" s="11">
        <f t="shared" si="747"/>
        <v>2378.88</v>
      </c>
      <c r="S2724" s="11"/>
      <c r="T2724" s="136">
        <f t="shared" si="749"/>
        <v>0</v>
      </c>
    </row>
    <row r="2725" spans="1:20" ht="15.75" customHeight="1">
      <c r="A2725" s="149">
        <v>21</v>
      </c>
      <c r="B2725" s="273"/>
      <c r="C2725" s="28" t="s">
        <v>4097</v>
      </c>
      <c r="D2725" s="71">
        <v>230</v>
      </c>
      <c r="E2725" s="131">
        <f t="shared" si="752"/>
        <v>3760</v>
      </c>
      <c r="F2725" s="21">
        <f t="shared" si="754"/>
        <v>4549.5999999999995</v>
      </c>
      <c r="G2725" s="241"/>
      <c r="H2725" s="135">
        <f t="shared" si="753"/>
        <v>0</v>
      </c>
      <c r="I2725" s="294">
        <v>45274</v>
      </c>
      <c r="J2725" s="294">
        <v>45333</v>
      </c>
      <c r="K2725" s="10">
        <f>PROVEEDORES!$D$15*0.6*4.42</f>
        <v>2347.02</v>
      </c>
      <c r="L2725" s="11"/>
      <c r="M2725" s="11"/>
      <c r="N2725" s="100"/>
      <c r="O2725" s="11">
        <f t="shared" si="738"/>
        <v>2347.02</v>
      </c>
      <c r="P2725" s="11">
        <f t="shared" si="746"/>
        <v>2347.02</v>
      </c>
      <c r="Q2725" s="11">
        <v>1.6</v>
      </c>
      <c r="R2725" s="11">
        <f t="shared" si="747"/>
        <v>3755.232</v>
      </c>
      <c r="S2725" s="11"/>
      <c r="T2725" s="136">
        <f t="shared" si="749"/>
        <v>0</v>
      </c>
    </row>
    <row r="2726" spans="1:20" ht="15.75" customHeight="1">
      <c r="A2726" s="149">
        <v>41</v>
      </c>
      <c r="B2726" s="273"/>
      <c r="C2726" s="28" t="s">
        <v>4064</v>
      </c>
      <c r="D2726" s="71"/>
      <c r="E2726" s="131">
        <f>ROUNDUP(R2726,-1)</f>
        <v>17120</v>
      </c>
      <c r="F2726" s="21">
        <f>+E2726*1.21</f>
        <v>20715.2</v>
      </c>
      <c r="G2726" s="21"/>
      <c r="H2726" s="135"/>
      <c r="I2726" s="294"/>
      <c r="J2726" s="294">
        <v>44893</v>
      </c>
      <c r="K2726" s="10">
        <f>+PROVEEDORES!D35*10</f>
        <v>10700</v>
      </c>
      <c r="L2726" s="11"/>
      <c r="M2726" s="11"/>
      <c r="N2726" s="100"/>
      <c r="O2726" s="11">
        <f>MIN(K2726:M2726)</f>
        <v>10700</v>
      </c>
      <c r="P2726" s="11">
        <f t="shared" si="746"/>
        <v>10700</v>
      </c>
      <c r="Q2726" s="11">
        <v>1.6</v>
      </c>
      <c r="R2726" s="11">
        <f t="shared" si="747"/>
        <v>17120</v>
      </c>
      <c r="S2726" s="11"/>
      <c r="T2726" s="136">
        <f>+N2726*Q2726</f>
        <v>0</v>
      </c>
    </row>
    <row r="2727" spans="1:20" ht="15.75" customHeight="1">
      <c r="A2727" s="149">
        <v>51</v>
      </c>
      <c r="B2727" s="273"/>
      <c r="C2727" s="28" t="s">
        <v>1997</v>
      </c>
      <c r="D2727" s="71">
        <v>1690</v>
      </c>
      <c r="E2727" s="199">
        <f t="shared" si="752"/>
        <v>44700</v>
      </c>
      <c r="F2727" s="21">
        <f t="shared" ref="F2727:F2756" si="755">+E2727*1.21</f>
        <v>54087</v>
      </c>
      <c r="G2727" s="21"/>
      <c r="H2727" s="135">
        <f t="shared" ref="H2727:H2756" si="756">ROUNDUP(T2727,-1)</f>
        <v>0</v>
      </c>
      <c r="I2727" s="294">
        <v>45383</v>
      </c>
      <c r="J2727" s="40"/>
      <c r="K2727" s="11">
        <f>0.85*32864</f>
        <v>27934.399999999998</v>
      </c>
      <c r="L2727" s="11"/>
      <c r="M2727" s="11"/>
      <c r="N2727" s="100"/>
      <c r="O2727" s="11">
        <f t="shared" si="738"/>
        <v>27934.399999999998</v>
      </c>
      <c r="P2727" s="11">
        <f t="shared" si="746"/>
        <v>27934.399999999998</v>
      </c>
      <c r="Q2727" s="11">
        <v>1.6</v>
      </c>
      <c r="R2727" s="11">
        <f t="shared" si="747"/>
        <v>44695.040000000001</v>
      </c>
      <c r="S2727" s="11"/>
      <c r="T2727" s="136">
        <f t="shared" si="749"/>
        <v>0</v>
      </c>
    </row>
    <row r="2728" spans="1:20" ht="15.75" customHeight="1">
      <c r="A2728" s="149" t="s">
        <v>3997</v>
      </c>
      <c r="B2728" s="273"/>
      <c r="C2728" s="28" t="s">
        <v>1998</v>
      </c>
      <c r="D2728" s="71">
        <v>40</v>
      </c>
      <c r="E2728" s="131">
        <f t="shared" si="752"/>
        <v>680</v>
      </c>
      <c r="F2728" s="21">
        <f t="shared" si="755"/>
        <v>822.8</v>
      </c>
      <c r="G2728" s="21"/>
      <c r="H2728" s="135">
        <f t="shared" si="756"/>
        <v>0</v>
      </c>
      <c r="I2728" s="294">
        <v>45286</v>
      </c>
      <c r="J2728" s="40">
        <v>45329</v>
      </c>
      <c r="K2728" s="11">
        <f>+PROVEEDORES!D8*0.48</f>
        <v>424.8</v>
      </c>
      <c r="L2728" s="11"/>
      <c r="M2728" s="11">
        <f>+PROVEEDORES!D23*0.39*2</f>
        <v>690.30000000000007</v>
      </c>
      <c r="N2728" s="100"/>
      <c r="O2728" s="11">
        <f t="shared" si="738"/>
        <v>424.8</v>
      </c>
      <c r="P2728" s="11">
        <f t="shared" si="746"/>
        <v>424.8</v>
      </c>
      <c r="Q2728" s="11">
        <v>1.6</v>
      </c>
      <c r="R2728" s="11">
        <f t="shared" si="747"/>
        <v>679.68000000000006</v>
      </c>
      <c r="S2728" s="11"/>
      <c r="T2728" s="136">
        <f t="shared" si="749"/>
        <v>0</v>
      </c>
    </row>
    <row r="2729" spans="1:20" ht="15.75" customHeight="1">
      <c r="A2729" s="149"/>
      <c r="B2729" s="273"/>
      <c r="C2729" s="28" t="s">
        <v>3845</v>
      </c>
      <c r="D2729" s="71">
        <v>40</v>
      </c>
      <c r="E2729" s="131">
        <f t="shared" si="752"/>
        <v>1990</v>
      </c>
      <c r="F2729" s="21">
        <f t="shared" si="755"/>
        <v>2407.9</v>
      </c>
      <c r="G2729" s="21"/>
      <c r="H2729" s="135">
        <f t="shared" si="756"/>
        <v>0</v>
      </c>
      <c r="I2729" s="294"/>
      <c r="J2729" s="40">
        <v>44775</v>
      </c>
      <c r="K2729" s="11">
        <v>1165</v>
      </c>
      <c r="L2729" s="11"/>
      <c r="M2729" s="11"/>
      <c r="N2729" s="100"/>
      <c r="O2729" s="11">
        <f t="shared" si="738"/>
        <v>1165</v>
      </c>
      <c r="P2729" s="11">
        <f t="shared" si="746"/>
        <v>1165</v>
      </c>
      <c r="Q2729" s="11">
        <v>1.7</v>
      </c>
      <c r="R2729" s="11">
        <f t="shared" si="747"/>
        <v>1980.5</v>
      </c>
      <c r="S2729" s="11"/>
      <c r="T2729" s="136">
        <f t="shared" si="749"/>
        <v>0</v>
      </c>
    </row>
    <row r="2730" spans="1:20" ht="15.75" customHeight="1">
      <c r="A2730" s="149">
        <v>31</v>
      </c>
      <c r="B2730" s="273"/>
      <c r="C2730" s="28" t="s">
        <v>2227</v>
      </c>
      <c r="D2730" s="71">
        <v>610</v>
      </c>
      <c r="E2730" s="131">
        <f t="shared" si="752"/>
        <v>0</v>
      </c>
      <c r="F2730" s="21">
        <f t="shared" si="755"/>
        <v>0</v>
      </c>
      <c r="G2730" s="21"/>
      <c r="H2730" s="135">
        <f t="shared" si="756"/>
        <v>0</v>
      </c>
      <c r="I2730" s="294"/>
      <c r="J2730" s="40">
        <v>43900</v>
      </c>
      <c r="K2730" s="11">
        <f>380*1.6</f>
        <v>608</v>
      </c>
      <c r="L2730" s="11"/>
      <c r="M2730" s="11"/>
      <c r="N2730" s="100"/>
      <c r="O2730" s="11">
        <f t="shared" si="738"/>
        <v>608</v>
      </c>
      <c r="P2730" s="11">
        <f t="shared" si="746"/>
        <v>608</v>
      </c>
      <c r="Q2730" s="11"/>
      <c r="R2730" s="11">
        <f t="shared" si="747"/>
        <v>0</v>
      </c>
      <c r="S2730" s="11"/>
      <c r="T2730" s="136">
        <f t="shared" si="749"/>
        <v>0</v>
      </c>
    </row>
    <row r="2731" spans="1:20" ht="15.75" customHeight="1">
      <c r="A2731" s="149" t="s">
        <v>2557</v>
      </c>
      <c r="B2731" s="273"/>
      <c r="C2731" s="28" t="s">
        <v>44194</v>
      </c>
      <c r="D2731" s="71">
        <v>3300</v>
      </c>
      <c r="E2731" s="131">
        <f t="shared" si="752"/>
        <v>75860</v>
      </c>
      <c r="F2731" s="21">
        <f t="shared" si="755"/>
        <v>91790.599999999991</v>
      </c>
      <c r="G2731" s="21"/>
      <c r="H2731" s="135">
        <f t="shared" si="756"/>
        <v>0</v>
      </c>
      <c r="I2731" s="294">
        <v>45273</v>
      </c>
      <c r="J2731" s="40">
        <v>45359</v>
      </c>
      <c r="K2731" s="32"/>
      <c r="L2731" s="32">
        <f>0.6*87192</f>
        <v>52315.199999999997</v>
      </c>
      <c r="M2731" s="11"/>
      <c r="N2731" s="100"/>
      <c r="O2731" s="11">
        <f t="shared" si="738"/>
        <v>52315.199999999997</v>
      </c>
      <c r="P2731" s="11">
        <f t="shared" si="746"/>
        <v>52315.199999999997</v>
      </c>
      <c r="Q2731" s="11">
        <v>1.45</v>
      </c>
      <c r="R2731" s="11">
        <f t="shared" si="747"/>
        <v>75857.039999999994</v>
      </c>
      <c r="S2731" s="11"/>
      <c r="T2731" s="136">
        <f t="shared" si="749"/>
        <v>0</v>
      </c>
    </row>
    <row r="2732" spans="1:20" ht="15.75" customHeight="1">
      <c r="A2732" s="149" t="s">
        <v>2557</v>
      </c>
      <c r="B2732" s="273"/>
      <c r="C2732" s="28" t="s">
        <v>44196</v>
      </c>
      <c r="D2732" s="71">
        <v>4670</v>
      </c>
      <c r="E2732" s="131">
        <f t="shared" si="752"/>
        <v>0</v>
      </c>
      <c r="F2732" s="21">
        <f t="shared" si="755"/>
        <v>0</v>
      </c>
      <c r="G2732" s="21"/>
      <c r="H2732" s="135">
        <f t="shared" si="756"/>
        <v>0</v>
      </c>
      <c r="I2732" s="294">
        <v>45141</v>
      </c>
      <c r="J2732" s="294"/>
      <c r="K2732" s="32"/>
      <c r="L2732" s="32">
        <f>0.6*49795</f>
        <v>29877</v>
      </c>
      <c r="M2732" s="32"/>
      <c r="N2732" s="100"/>
      <c r="O2732" s="11">
        <f t="shared" si="738"/>
        <v>29877</v>
      </c>
      <c r="P2732" s="11">
        <f t="shared" si="746"/>
        <v>29877</v>
      </c>
      <c r="Q2732" s="11"/>
      <c r="R2732" s="11">
        <f t="shared" si="747"/>
        <v>0</v>
      </c>
      <c r="S2732" s="11"/>
      <c r="T2732" s="136">
        <f t="shared" si="749"/>
        <v>0</v>
      </c>
    </row>
    <row r="2733" spans="1:20" ht="15.75" customHeight="1">
      <c r="A2733" s="149" t="s">
        <v>2557</v>
      </c>
      <c r="B2733" s="273"/>
      <c r="C2733" s="28" t="s">
        <v>44304</v>
      </c>
      <c r="D2733" s="71">
        <v>3610</v>
      </c>
      <c r="E2733" s="131">
        <f t="shared" si="752"/>
        <v>83340</v>
      </c>
      <c r="F2733" s="21">
        <f t="shared" si="755"/>
        <v>100841.4</v>
      </c>
      <c r="G2733" s="21"/>
      <c r="H2733" s="135">
        <f t="shared" si="756"/>
        <v>0</v>
      </c>
      <c r="I2733" s="294">
        <v>45273</v>
      </c>
      <c r="J2733" s="294">
        <v>45335</v>
      </c>
      <c r="K2733" s="32"/>
      <c r="L2733" s="32">
        <f>0.6*95785</f>
        <v>57471</v>
      </c>
      <c r="M2733" s="10"/>
      <c r="N2733" s="100"/>
      <c r="O2733" s="11">
        <f t="shared" ref="O2733:O2805" si="757">MIN(K2733:M2733)</f>
        <v>57471</v>
      </c>
      <c r="P2733" s="11">
        <f t="shared" si="746"/>
        <v>57471</v>
      </c>
      <c r="Q2733" s="11">
        <v>1.45</v>
      </c>
      <c r="R2733" s="11">
        <f t="shared" si="747"/>
        <v>83332.95</v>
      </c>
      <c r="S2733" s="11"/>
      <c r="T2733" s="136">
        <f t="shared" si="749"/>
        <v>0</v>
      </c>
    </row>
    <row r="2734" spans="1:20" ht="15.75" customHeight="1">
      <c r="A2734" s="149" t="s">
        <v>2557</v>
      </c>
      <c r="B2734" s="273"/>
      <c r="C2734" s="28" t="s">
        <v>44195</v>
      </c>
      <c r="D2734" s="71">
        <v>6600</v>
      </c>
      <c r="E2734" s="131">
        <f t="shared" si="752"/>
        <v>151720</v>
      </c>
      <c r="F2734" s="21">
        <f t="shared" si="755"/>
        <v>183581.19999999998</v>
      </c>
      <c r="G2734" s="21"/>
      <c r="H2734" s="135">
        <f t="shared" si="756"/>
        <v>0</v>
      </c>
      <c r="I2734" s="294">
        <v>45273</v>
      </c>
      <c r="J2734" s="294">
        <v>45359</v>
      </c>
      <c r="K2734" s="32"/>
      <c r="L2734" s="32">
        <f>0.6*174380</f>
        <v>104628</v>
      </c>
      <c r="M2734" s="10"/>
      <c r="N2734" s="100"/>
      <c r="O2734" s="11">
        <f t="shared" si="757"/>
        <v>104628</v>
      </c>
      <c r="P2734" s="11">
        <f t="shared" si="746"/>
        <v>104628</v>
      </c>
      <c r="Q2734" s="11">
        <v>1.45</v>
      </c>
      <c r="R2734" s="11">
        <f t="shared" si="747"/>
        <v>151710.6</v>
      </c>
      <c r="S2734" s="11"/>
      <c r="T2734" s="136">
        <f t="shared" si="749"/>
        <v>0</v>
      </c>
    </row>
    <row r="2735" spans="1:20" ht="15.75" customHeight="1">
      <c r="A2735" s="149" t="s">
        <v>2557</v>
      </c>
      <c r="B2735" s="273"/>
      <c r="C2735" s="28" t="s">
        <v>44197</v>
      </c>
      <c r="D2735" s="71">
        <v>9340</v>
      </c>
      <c r="E2735" s="131">
        <f t="shared" si="752"/>
        <v>166670</v>
      </c>
      <c r="F2735" s="21">
        <f t="shared" si="755"/>
        <v>201670.69999999998</v>
      </c>
      <c r="G2735" s="21"/>
      <c r="H2735" s="135">
        <f t="shared" si="756"/>
        <v>0</v>
      </c>
      <c r="I2735" s="294">
        <v>45273</v>
      </c>
      <c r="J2735" s="294">
        <v>45335</v>
      </c>
      <c r="K2735" s="32">
        <f>0.65*31556*7</f>
        <v>143579.80000000002</v>
      </c>
      <c r="L2735" s="32">
        <f>0.6*191568</f>
        <v>114940.8</v>
      </c>
      <c r="M2735" s="11"/>
      <c r="N2735" s="100"/>
      <c r="O2735" s="11">
        <f t="shared" si="757"/>
        <v>114940.8</v>
      </c>
      <c r="P2735" s="11">
        <f t="shared" si="746"/>
        <v>114940.8</v>
      </c>
      <c r="Q2735" s="11">
        <v>1.45</v>
      </c>
      <c r="R2735" s="11">
        <f t="shared" si="747"/>
        <v>166664.16</v>
      </c>
      <c r="S2735" s="11"/>
      <c r="T2735" s="136">
        <f t="shared" si="749"/>
        <v>0</v>
      </c>
    </row>
    <row r="2736" spans="1:20" ht="15.75" customHeight="1">
      <c r="A2736" s="149" t="s">
        <v>2431</v>
      </c>
      <c r="B2736" s="273"/>
      <c r="C2736" s="28" t="s">
        <v>1999</v>
      </c>
      <c r="D2736" s="71">
        <v>920</v>
      </c>
      <c r="E2736" s="131">
        <f t="shared" si="752"/>
        <v>18130</v>
      </c>
      <c r="F2736" s="21">
        <f t="shared" si="755"/>
        <v>21937.3</v>
      </c>
      <c r="G2736" s="21"/>
      <c r="H2736" s="135">
        <f t="shared" si="756"/>
        <v>0</v>
      </c>
      <c r="I2736" s="294">
        <v>45308</v>
      </c>
      <c r="J2736" s="294"/>
      <c r="K2736" s="11">
        <f>0.65*14080*1.2</f>
        <v>10982.4</v>
      </c>
      <c r="L2736" s="11"/>
      <c r="M2736" s="11"/>
      <c r="N2736" s="100"/>
      <c r="O2736" s="11">
        <f t="shared" si="757"/>
        <v>10982.4</v>
      </c>
      <c r="P2736" s="11">
        <f t="shared" ref="P2736:P2805" si="758">+O2736</f>
        <v>10982.4</v>
      </c>
      <c r="Q2736" s="11">
        <v>1.65</v>
      </c>
      <c r="R2736" s="11">
        <f t="shared" ref="R2736:R2805" si="759">+P2736*Q2736</f>
        <v>18120.96</v>
      </c>
      <c r="S2736" s="11"/>
      <c r="T2736" s="136">
        <f t="shared" si="749"/>
        <v>0</v>
      </c>
    </row>
    <row r="2737" spans="1:20" ht="15.75" customHeight="1">
      <c r="A2737" s="149" t="s">
        <v>2431</v>
      </c>
      <c r="B2737" s="273"/>
      <c r="C2737" s="28" t="s">
        <v>2000</v>
      </c>
      <c r="D2737" s="71">
        <v>810</v>
      </c>
      <c r="E2737" s="131">
        <f t="shared" si="752"/>
        <v>21750</v>
      </c>
      <c r="F2737" s="21">
        <f t="shared" si="755"/>
        <v>26317.5</v>
      </c>
      <c r="G2737" s="21"/>
      <c r="H2737" s="135">
        <f t="shared" si="756"/>
        <v>0</v>
      </c>
      <c r="I2737" s="294">
        <v>45377</v>
      </c>
      <c r="J2737" s="40"/>
      <c r="K2737" s="11">
        <v>13180</v>
      </c>
      <c r="L2737" s="11">
        <f>4229*0.75*6</f>
        <v>19030.5</v>
      </c>
      <c r="M2737" s="11"/>
      <c r="N2737" s="100"/>
      <c r="O2737" s="11">
        <f t="shared" si="757"/>
        <v>13180</v>
      </c>
      <c r="P2737" s="11">
        <f t="shared" si="758"/>
        <v>13180</v>
      </c>
      <c r="Q2737" s="11">
        <v>1.65</v>
      </c>
      <c r="R2737" s="11">
        <f t="shared" si="759"/>
        <v>21747</v>
      </c>
      <c r="S2737" s="11"/>
      <c r="T2737" s="136">
        <f t="shared" si="749"/>
        <v>0</v>
      </c>
    </row>
    <row r="2738" spans="1:20" ht="15.75" customHeight="1">
      <c r="A2738" s="149" t="s">
        <v>2431</v>
      </c>
      <c r="B2738" s="273"/>
      <c r="C2738" s="28" t="s">
        <v>2001</v>
      </c>
      <c r="D2738" s="71">
        <v>1130</v>
      </c>
      <c r="E2738" s="131">
        <f t="shared" si="752"/>
        <v>21750</v>
      </c>
      <c r="F2738" s="21">
        <f t="shared" si="755"/>
        <v>26317.5</v>
      </c>
      <c r="G2738" s="21"/>
      <c r="H2738" s="135">
        <f t="shared" si="756"/>
        <v>0</v>
      </c>
      <c r="I2738" s="294">
        <v>45308</v>
      </c>
      <c r="J2738" s="294"/>
      <c r="K2738" s="10">
        <v>13180</v>
      </c>
      <c r="L2738" s="11"/>
      <c r="M2738" s="11"/>
      <c r="N2738" s="100"/>
      <c r="O2738" s="11">
        <f t="shared" si="757"/>
        <v>13180</v>
      </c>
      <c r="P2738" s="11">
        <f t="shared" si="758"/>
        <v>13180</v>
      </c>
      <c r="Q2738" s="11">
        <v>1.65</v>
      </c>
      <c r="R2738" s="11">
        <f t="shared" si="759"/>
        <v>21747</v>
      </c>
      <c r="S2738" s="11"/>
      <c r="T2738" s="136">
        <f t="shared" si="749"/>
        <v>0</v>
      </c>
    </row>
    <row r="2739" spans="1:20" ht="15.75" customHeight="1">
      <c r="A2739" s="149" t="s">
        <v>2431</v>
      </c>
      <c r="B2739" s="273"/>
      <c r="C2739" s="28" t="s">
        <v>2002</v>
      </c>
      <c r="D2739" s="71">
        <v>1090</v>
      </c>
      <c r="E2739" s="131">
        <f t="shared" si="752"/>
        <v>23930</v>
      </c>
      <c r="F2739" s="21">
        <f t="shared" si="755"/>
        <v>28955.3</v>
      </c>
      <c r="G2739" s="21"/>
      <c r="H2739" s="135">
        <f t="shared" si="756"/>
        <v>0</v>
      </c>
      <c r="I2739" s="294">
        <v>45377</v>
      </c>
      <c r="J2739" s="294"/>
      <c r="K2739" s="10">
        <f>13180*1.1</f>
        <v>14498.000000000002</v>
      </c>
      <c r="L2739" s="11"/>
      <c r="M2739" s="11"/>
      <c r="N2739" s="100"/>
      <c r="O2739" s="11">
        <f t="shared" si="757"/>
        <v>14498.000000000002</v>
      </c>
      <c r="P2739" s="11">
        <f t="shared" si="758"/>
        <v>14498.000000000002</v>
      </c>
      <c r="Q2739" s="11">
        <v>1.65</v>
      </c>
      <c r="R2739" s="11">
        <f t="shared" si="759"/>
        <v>23921.7</v>
      </c>
      <c r="S2739" s="11"/>
      <c r="T2739" s="136">
        <f t="shared" si="749"/>
        <v>0</v>
      </c>
    </row>
    <row r="2740" spans="1:20" ht="15.75" customHeight="1">
      <c r="A2740" s="149" t="s">
        <v>2402</v>
      </c>
      <c r="B2740" s="273"/>
      <c r="C2740" s="28" t="s">
        <v>4483</v>
      </c>
      <c r="D2740" s="71">
        <v>930</v>
      </c>
      <c r="E2740" s="131">
        <f t="shared" si="752"/>
        <v>16200</v>
      </c>
      <c r="F2740" s="21">
        <f t="shared" si="755"/>
        <v>19602</v>
      </c>
      <c r="G2740" s="21"/>
      <c r="H2740" s="135">
        <f t="shared" si="756"/>
        <v>0</v>
      </c>
      <c r="I2740" s="294">
        <v>45217</v>
      </c>
      <c r="J2740" s="294">
        <v>45329</v>
      </c>
      <c r="K2740" s="10">
        <f>0.6*17990</f>
        <v>10794</v>
      </c>
      <c r="L2740" s="148"/>
      <c r="M2740" s="11"/>
      <c r="N2740" s="100"/>
      <c r="O2740" s="11">
        <f t="shared" si="757"/>
        <v>10794</v>
      </c>
      <c r="P2740" s="11">
        <f t="shared" si="758"/>
        <v>10794</v>
      </c>
      <c r="Q2740" s="11">
        <v>1.5</v>
      </c>
      <c r="R2740" s="11">
        <f t="shared" si="759"/>
        <v>16191</v>
      </c>
      <c r="S2740" s="11"/>
      <c r="T2740" s="136">
        <f t="shared" si="749"/>
        <v>0</v>
      </c>
    </row>
    <row r="2741" spans="1:20" ht="15.75" customHeight="1">
      <c r="A2741" s="149" t="s">
        <v>2402</v>
      </c>
      <c r="B2741" s="273"/>
      <c r="C2741" s="28" t="s">
        <v>4415</v>
      </c>
      <c r="D2741" s="71">
        <v>1150</v>
      </c>
      <c r="E2741" s="131">
        <f t="shared" si="752"/>
        <v>20210</v>
      </c>
      <c r="F2741" s="21">
        <f t="shared" si="755"/>
        <v>24454.1</v>
      </c>
      <c r="G2741" s="21"/>
      <c r="H2741" s="135">
        <f t="shared" si="756"/>
        <v>0</v>
      </c>
      <c r="I2741" s="294">
        <v>45217</v>
      </c>
      <c r="J2741" s="294">
        <v>45329</v>
      </c>
      <c r="K2741" s="10">
        <f>0.6*22445</f>
        <v>13467</v>
      </c>
      <c r="L2741" s="11"/>
      <c r="M2741" s="11"/>
      <c r="N2741" s="100"/>
      <c r="O2741" s="11">
        <f t="shared" si="757"/>
        <v>13467</v>
      </c>
      <c r="P2741" s="11">
        <f t="shared" si="758"/>
        <v>13467</v>
      </c>
      <c r="Q2741" s="11">
        <v>1.5</v>
      </c>
      <c r="R2741" s="11">
        <f t="shared" si="759"/>
        <v>20200.5</v>
      </c>
      <c r="S2741" s="11"/>
      <c r="T2741" s="136">
        <f t="shared" si="749"/>
        <v>0</v>
      </c>
    </row>
    <row r="2742" spans="1:20" ht="15.75" customHeight="1">
      <c r="A2742" s="149" t="s">
        <v>2402</v>
      </c>
      <c r="B2742" s="273"/>
      <c r="C2742" s="28" t="s">
        <v>3643</v>
      </c>
      <c r="D2742" s="71">
        <v>1150</v>
      </c>
      <c r="E2742" s="131">
        <f t="shared" si="752"/>
        <v>20210</v>
      </c>
      <c r="F2742" s="21">
        <f t="shared" si="755"/>
        <v>24454.1</v>
      </c>
      <c r="G2742" s="21"/>
      <c r="H2742" s="135">
        <f t="shared" si="756"/>
        <v>0</v>
      </c>
      <c r="I2742" s="294">
        <v>45217</v>
      </c>
      <c r="J2742" s="294">
        <v>45329</v>
      </c>
      <c r="K2742" s="10">
        <f>0.6*22445</f>
        <v>13467</v>
      </c>
      <c r="L2742" s="10"/>
      <c r="M2742" s="11"/>
      <c r="N2742" s="100"/>
      <c r="O2742" s="11">
        <f t="shared" si="757"/>
        <v>13467</v>
      </c>
      <c r="P2742" s="11">
        <f t="shared" si="758"/>
        <v>13467</v>
      </c>
      <c r="Q2742" s="143">
        <v>1.5</v>
      </c>
      <c r="R2742" s="11">
        <f t="shared" si="759"/>
        <v>20200.5</v>
      </c>
      <c r="S2742" s="11"/>
      <c r="T2742" s="136">
        <f t="shared" si="749"/>
        <v>0</v>
      </c>
    </row>
    <row r="2743" spans="1:20" ht="15.75" customHeight="1">
      <c r="A2743" s="149">
        <v>106</v>
      </c>
      <c r="B2743" s="273"/>
      <c r="C2743" s="28" t="s">
        <v>3965</v>
      </c>
      <c r="D2743" s="71"/>
      <c r="E2743" s="131">
        <f t="shared" si="752"/>
        <v>13490</v>
      </c>
      <c r="F2743" s="21">
        <f t="shared" si="755"/>
        <v>16322.9</v>
      </c>
      <c r="G2743" s="21"/>
      <c r="H2743" s="135">
        <f t="shared" si="756"/>
        <v>0</v>
      </c>
      <c r="I2743" s="294">
        <v>45274</v>
      </c>
      <c r="J2743" s="294">
        <v>45334</v>
      </c>
      <c r="K2743" s="10">
        <f>0.82*10962</f>
        <v>8988.84</v>
      </c>
      <c r="L2743" s="10"/>
      <c r="M2743" s="11"/>
      <c r="N2743" s="100"/>
      <c r="O2743" s="11">
        <f t="shared" si="757"/>
        <v>8988.84</v>
      </c>
      <c r="P2743" s="11">
        <f t="shared" si="758"/>
        <v>8988.84</v>
      </c>
      <c r="Q2743" s="11">
        <v>1.5</v>
      </c>
      <c r="R2743" s="11">
        <f t="shared" si="759"/>
        <v>13483.26</v>
      </c>
      <c r="S2743" s="11"/>
      <c r="T2743" s="136">
        <f t="shared" si="749"/>
        <v>0</v>
      </c>
    </row>
    <row r="2744" spans="1:20" ht="15.75" customHeight="1">
      <c r="A2744" s="149">
        <v>19</v>
      </c>
      <c r="B2744" s="273"/>
      <c r="C2744" s="28" t="s">
        <v>2749</v>
      </c>
      <c r="D2744" s="71"/>
      <c r="E2744" s="131">
        <f t="shared" si="752"/>
        <v>3200</v>
      </c>
      <c r="F2744" s="21">
        <f t="shared" si="755"/>
        <v>3872</v>
      </c>
      <c r="G2744" s="21"/>
      <c r="H2744" s="135">
        <f t="shared" si="756"/>
        <v>0</v>
      </c>
      <c r="I2744" s="294">
        <v>44991</v>
      </c>
      <c r="J2744" s="294"/>
      <c r="K2744" s="10"/>
      <c r="L2744" s="11">
        <f>0.65*3060*1.07</f>
        <v>2128.23</v>
      </c>
      <c r="M2744" s="11"/>
      <c r="N2744" s="100"/>
      <c r="O2744" s="11">
        <f t="shared" si="757"/>
        <v>2128.23</v>
      </c>
      <c r="P2744" s="11">
        <f t="shared" si="758"/>
        <v>2128.23</v>
      </c>
      <c r="Q2744" s="11">
        <v>1.5</v>
      </c>
      <c r="R2744" s="11">
        <f t="shared" si="759"/>
        <v>3192.3450000000003</v>
      </c>
      <c r="S2744" s="11"/>
      <c r="T2744" s="136">
        <f t="shared" si="749"/>
        <v>0</v>
      </c>
    </row>
    <row r="2745" spans="1:20" ht="15.75" customHeight="1">
      <c r="A2745" s="149">
        <v>23</v>
      </c>
      <c r="B2745" s="273"/>
      <c r="C2745" s="28" t="s">
        <v>2003</v>
      </c>
      <c r="D2745" s="71"/>
      <c r="E2745" s="131">
        <f t="shared" si="752"/>
        <v>0</v>
      </c>
      <c r="F2745" s="21">
        <f t="shared" si="755"/>
        <v>0</v>
      </c>
      <c r="G2745" s="21"/>
      <c r="H2745" s="135">
        <f t="shared" si="756"/>
        <v>0</v>
      </c>
      <c r="I2745" s="294"/>
      <c r="J2745" s="294"/>
      <c r="K2745" s="134">
        <f>90*1.5*3*1.06</f>
        <v>429.3</v>
      </c>
      <c r="L2745" s="11"/>
      <c r="M2745" s="11"/>
      <c r="N2745" s="100"/>
      <c r="O2745" s="11">
        <f t="shared" si="757"/>
        <v>429.3</v>
      </c>
      <c r="P2745" s="11">
        <f t="shared" si="758"/>
        <v>429.3</v>
      </c>
      <c r="Q2745" s="11"/>
      <c r="R2745" s="11">
        <f t="shared" si="759"/>
        <v>0</v>
      </c>
      <c r="S2745" s="11"/>
      <c r="T2745" s="136">
        <f t="shared" ref="T2745:T2816" si="760">+N2745*Q2745</f>
        <v>0</v>
      </c>
    </row>
    <row r="2746" spans="1:20" ht="15.75" customHeight="1">
      <c r="A2746" s="149">
        <v>21</v>
      </c>
      <c r="B2746" s="273"/>
      <c r="C2746" s="28" t="s">
        <v>3473</v>
      </c>
      <c r="D2746" s="71">
        <v>660</v>
      </c>
      <c r="E2746" s="131">
        <f t="shared" si="752"/>
        <v>11630</v>
      </c>
      <c r="F2746" s="21">
        <f t="shared" si="755"/>
        <v>14072.3</v>
      </c>
      <c r="G2746" s="21"/>
      <c r="H2746" s="135">
        <f t="shared" si="756"/>
        <v>0</v>
      </c>
      <c r="I2746" s="294">
        <v>45273</v>
      </c>
      <c r="J2746" s="294">
        <v>45376</v>
      </c>
      <c r="K2746" s="10">
        <f>0.6*13840</f>
        <v>8304</v>
      </c>
      <c r="L2746" s="11"/>
      <c r="M2746" s="11"/>
      <c r="N2746" s="100"/>
      <c r="O2746" s="11">
        <f t="shared" si="757"/>
        <v>8304</v>
      </c>
      <c r="P2746" s="11">
        <f t="shared" si="758"/>
        <v>8304</v>
      </c>
      <c r="Q2746" s="11">
        <v>1.4</v>
      </c>
      <c r="R2746" s="11">
        <f t="shared" si="759"/>
        <v>11625.599999999999</v>
      </c>
      <c r="S2746" s="11"/>
      <c r="T2746" s="136">
        <f t="shared" si="760"/>
        <v>0</v>
      </c>
    </row>
    <row r="2747" spans="1:20" ht="15.75" customHeight="1">
      <c r="A2747" s="149">
        <v>33</v>
      </c>
      <c r="B2747" s="273"/>
      <c r="C2747" s="28" t="s">
        <v>2004</v>
      </c>
      <c r="D2747" s="71">
        <v>780</v>
      </c>
      <c r="E2747" s="131">
        <f t="shared" si="752"/>
        <v>0</v>
      </c>
      <c r="F2747" s="21">
        <f t="shared" si="755"/>
        <v>0</v>
      </c>
      <c r="G2747" s="21"/>
      <c r="H2747" s="135">
        <f t="shared" si="756"/>
        <v>0</v>
      </c>
      <c r="I2747" s="294"/>
      <c r="J2747" s="294">
        <v>43810</v>
      </c>
      <c r="K2747" s="10">
        <f>1122*0.65*0.75*0.95*1.5</f>
        <v>779.43937500000004</v>
      </c>
      <c r="L2747" s="11"/>
      <c r="M2747" s="11"/>
      <c r="N2747" s="100"/>
      <c r="O2747" s="11">
        <f t="shared" si="757"/>
        <v>779.43937500000004</v>
      </c>
      <c r="P2747" s="11">
        <f t="shared" si="758"/>
        <v>779.43937500000004</v>
      </c>
      <c r="Q2747" s="11"/>
      <c r="R2747" s="11">
        <f t="shared" si="759"/>
        <v>0</v>
      </c>
      <c r="S2747" s="11"/>
      <c r="T2747" s="136">
        <f t="shared" si="760"/>
        <v>0</v>
      </c>
    </row>
    <row r="2748" spans="1:20" ht="15.75" customHeight="1">
      <c r="A2748" s="149">
        <v>38</v>
      </c>
      <c r="B2748" s="273"/>
      <c r="C2748" s="28" t="s">
        <v>3806</v>
      </c>
      <c r="D2748" s="71"/>
      <c r="E2748" s="131">
        <f t="shared" si="752"/>
        <v>11000</v>
      </c>
      <c r="F2748" s="21">
        <f t="shared" si="755"/>
        <v>13310</v>
      </c>
      <c r="G2748" s="21"/>
      <c r="H2748" s="135">
        <f t="shared" si="756"/>
        <v>9540</v>
      </c>
      <c r="I2748" s="294">
        <v>45138</v>
      </c>
      <c r="J2748" s="294">
        <v>45274</v>
      </c>
      <c r="K2748" s="11">
        <f>+PROVEEDORES!D32*6.98</f>
        <v>7329</v>
      </c>
      <c r="L2748" s="148"/>
      <c r="M2748" s="11"/>
      <c r="N2748" s="100">
        <v>6354</v>
      </c>
      <c r="O2748" s="11">
        <f t="shared" si="757"/>
        <v>7329</v>
      </c>
      <c r="P2748" s="11">
        <f t="shared" si="758"/>
        <v>7329</v>
      </c>
      <c r="Q2748" s="11">
        <v>1.5</v>
      </c>
      <c r="R2748" s="11">
        <f t="shared" si="759"/>
        <v>10993.5</v>
      </c>
      <c r="S2748" s="11"/>
      <c r="T2748" s="136">
        <f t="shared" si="760"/>
        <v>9531</v>
      </c>
    </row>
    <row r="2749" spans="1:20" ht="15.75" customHeight="1">
      <c r="A2749" s="149">
        <v>109</v>
      </c>
      <c r="B2749" s="273"/>
      <c r="C2749" s="28" t="s">
        <v>37255</v>
      </c>
      <c r="D2749" s="71">
        <v>780</v>
      </c>
      <c r="E2749" s="131">
        <f t="shared" si="752"/>
        <v>14660</v>
      </c>
      <c r="F2749" s="21">
        <f t="shared" si="755"/>
        <v>17738.599999999999</v>
      </c>
      <c r="G2749" s="21">
        <f>8500*1.42</f>
        <v>12070</v>
      </c>
      <c r="H2749" s="135">
        <f t="shared" si="756"/>
        <v>0</v>
      </c>
      <c r="I2749" s="294">
        <v>45313</v>
      </c>
      <c r="J2749" s="294"/>
      <c r="K2749" s="10">
        <f>1.038*8825</f>
        <v>9160.35</v>
      </c>
      <c r="L2749" s="196"/>
      <c r="M2749" s="11"/>
      <c r="N2749" s="100"/>
      <c r="O2749" s="11">
        <f t="shared" si="757"/>
        <v>9160.35</v>
      </c>
      <c r="P2749" s="11">
        <f t="shared" si="758"/>
        <v>9160.35</v>
      </c>
      <c r="Q2749" s="11">
        <v>1.6</v>
      </c>
      <c r="R2749" s="11">
        <f t="shared" si="759"/>
        <v>14656.560000000001</v>
      </c>
      <c r="S2749" s="11"/>
      <c r="T2749" s="136">
        <f t="shared" si="760"/>
        <v>0</v>
      </c>
    </row>
    <row r="2750" spans="1:20" ht="15.75" customHeight="1">
      <c r="A2750" s="149"/>
      <c r="B2750" s="273"/>
      <c r="C2750" s="28" t="s">
        <v>2005</v>
      </c>
      <c r="D2750" s="71">
        <v>150</v>
      </c>
      <c r="E2750" s="131">
        <f t="shared" si="752"/>
        <v>0</v>
      </c>
      <c r="F2750" s="21">
        <f t="shared" si="755"/>
        <v>0</v>
      </c>
      <c r="G2750" s="21"/>
      <c r="H2750" s="135">
        <f t="shared" si="756"/>
        <v>0</v>
      </c>
      <c r="I2750" s="294"/>
      <c r="J2750" s="294">
        <v>43109</v>
      </c>
      <c r="K2750" s="10">
        <f>204*0.5*1.4</f>
        <v>142.79999999999998</v>
      </c>
      <c r="L2750" s="11"/>
      <c r="M2750" s="11"/>
      <c r="N2750" s="100"/>
      <c r="O2750" s="11">
        <f t="shared" si="757"/>
        <v>142.79999999999998</v>
      </c>
      <c r="P2750" s="11">
        <f t="shared" si="758"/>
        <v>142.79999999999998</v>
      </c>
      <c r="Q2750" s="11"/>
      <c r="R2750" s="11">
        <f t="shared" si="759"/>
        <v>0</v>
      </c>
      <c r="S2750" s="11"/>
      <c r="T2750" s="136">
        <f t="shared" si="760"/>
        <v>0</v>
      </c>
    </row>
    <row r="2751" spans="1:20" ht="15.75" customHeight="1">
      <c r="A2751" s="149" t="s">
        <v>2412</v>
      </c>
      <c r="B2751" s="273"/>
      <c r="C2751" s="28" t="s">
        <v>2006</v>
      </c>
      <c r="D2751" s="71">
        <v>120</v>
      </c>
      <c r="E2751" s="131">
        <f t="shared" si="752"/>
        <v>0</v>
      </c>
      <c r="F2751" s="21">
        <f t="shared" si="755"/>
        <v>0</v>
      </c>
      <c r="G2751" s="21"/>
      <c r="H2751" s="135">
        <f t="shared" si="756"/>
        <v>0</v>
      </c>
      <c r="I2751" s="294">
        <v>43244</v>
      </c>
      <c r="J2751" s="294">
        <v>44040</v>
      </c>
      <c r="K2751" s="10">
        <f>0.6*179.31</f>
        <v>107.586</v>
      </c>
      <c r="L2751" s="11"/>
      <c r="M2751" s="11"/>
      <c r="N2751" s="100"/>
      <c r="O2751" s="11">
        <f t="shared" si="757"/>
        <v>107.586</v>
      </c>
      <c r="P2751" s="11">
        <f t="shared" si="758"/>
        <v>107.586</v>
      </c>
      <c r="Q2751" s="11"/>
      <c r="R2751" s="11">
        <f t="shared" si="759"/>
        <v>0</v>
      </c>
      <c r="S2751" s="11"/>
      <c r="T2751" s="136">
        <f t="shared" si="760"/>
        <v>0</v>
      </c>
    </row>
    <row r="2752" spans="1:20" ht="15.75" customHeight="1">
      <c r="A2752" s="149" t="s">
        <v>2412</v>
      </c>
      <c r="B2752" s="273"/>
      <c r="C2752" s="28" t="s">
        <v>2006</v>
      </c>
      <c r="D2752" s="71">
        <v>200</v>
      </c>
      <c r="E2752" s="131">
        <f t="shared" ref="E2752:E2820" si="761">ROUNDUP(R2752,-1)</f>
        <v>0</v>
      </c>
      <c r="F2752" s="21">
        <f t="shared" si="755"/>
        <v>0</v>
      </c>
      <c r="G2752" s="21"/>
      <c r="H2752" s="135">
        <f t="shared" si="756"/>
        <v>0</v>
      </c>
      <c r="I2752" s="294">
        <v>43244</v>
      </c>
      <c r="J2752" s="294">
        <v>44040</v>
      </c>
      <c r="K2752" s="10">
        <f>0.6*258.2</f>
        <v>154.91999999999999</v>
      </c>
      <c r="L2752" s="11"/>
      <c r="M2752" s="11"/>
      <c r="N2752" s="100"/>
      <c r="O2752" s="11">
        <f t="shared" si="757"/>
        <v>154.91999999999999</v>
      </c>
      <c r="P2752" s="11">
        <f t="shared" si="758"/>
        <v>154.91999999999999</v>
      </c>
      <c r="Q2752" s="11"/>
      <c r="R2752" s="11">
        <f t="shared" si="759"/>
        <v>0</v>
      </c>
      <c r="S2752" s="11"/>
      <c r="T2752" s="136">
        <f t="shared" si="760"/>
        <v>0</v>
      </c>
    </row>
    <row r="2753" spans="1:20" ht="15.75" customHeight="1">
      <c r="A2753" s="149">
        <v>15</v>
      </c>
      <c r="B2753" s="273"/>
      <c r="C2753" s="28" t="s">
        <v>2007</v>
      </c>
      <c r="D2753" s="71">
        <v>6630</v>
      </c>
      <c r="E2753" s="131">
        <f t="shared" si="761"/>
        <v>79300</v>
      </c>
      <c r="F2753" s="21">
        <f t="shared" si="755"/>
        <v>95953</v>
      </c>
      <c r="G2753" s="21"/>
      <c r="H2753" s="135">
        <f t="shared" si="756"/>
        <v>0</v>
      </c>
      <c r="I2753" s="40"/>
      <c r="J2753" s="294">
        <v>44322</v>
      </c>
      <c r="K2753" s="10">
        <f>+PROVEEDORES!$D$15*0.8*80</f>
        <v>56640</v>
      </c>
      <c r="L2753" s="11"/>
      <c r="M2753" s="11"/>
      <c r="N2753" s="100"/>
      <c r="O2753" s="11">
        <f t="shared" si="757"/>
        <v>56640</v>
      </c>
      <c r="P2753" s="11">
        <f t="shared" si="758"/>
        <v>56640</v>
      </c>
      <c r="Q2753" s="11">
        <v>1.4</v>
      </c>
      <c r="R2753" s="11">
        <f t="shared" si="759"/>
        <v>79296</v>
      </c>
      <c r="S2753" s="11"/>
      <c r="T2753" s="136">
        <f t="shared" si="760"/>
        <v>0</v>
      </c>
    </row>
    <row r="2754" spans="1:20" ht="15.75" customHeight="1">
      <c r="A2754" s="149">
        <v>15</v>
      </c>
      <c r="B2754" s="273"/>
      <c r="C2754" s="28" t="s">
        <v>2008</v>
      </c>
      <c r="D2754" s="71">
        <v>1360</v>
      </c>
      <c r="E2754" s="131">
        <f t="shared" si="761"/>
        <v>44610</v>
      </c>
      <c r="F2754" s="21">
        <f t="shared" si="755"/>
        <v>53978.1</v>
      </c>
      <c r="G2754" s="21"/>
      <c r="H2754" s="135">
        <f t="shared" si="756"/>
        <v>0</v>
      </c>
      <c r="I2754" s="294"/>
      <c r="J2754" s="294">
        <v>44322</v>
      </c>
      <c r="K2754" s="10">
        <f>+PROVEEDORES!$D$15*0.8*45</f>
        <v>31860</v>
      </c>
      <c r="L2754" s="11"/>
      <c r="M2754" s="11"/>
      <c r="N2754" s="100"/>
      <c r="O2754" s="11">
        <f t="shared" si="757"/>
        <v>31860</v>
      </c>
      <c r="P2754" s="11">
        <f t="shared" si="758"/>
        <v>31860</v>
      </c>
      <c r="Q2754" s="11">
        <v>1.4</v>
      </c>
      <c r="R2754" s="11">
        <f t="shared" si="759"/>
        <v>44604</v>
      </c>
      <c r="S2754" s="11"/>
      <c r="T2754" s="136">
        <f t="shared" si="760"/>
        <v>0</v>
      </c>
    </row>
    <row r="2755" spans="1:20" ht="15.75" customHeight="1">
      <c r="A2755" s="149">
        <v>41</v>
      </c>
      <c r="B2755" s="273"/>
      <c r="C2755" s="28" t="s">
        <v>4286</v>
      </c>
      <c r="D2755" s="71">
        <v>2180</v>
      </c>
      <c r="E2755" s="132">
        <f t="shared" si="761"/>
        <v>34220</v>
      </c>
      <c r="F2755" s="21">
        <f t="shared" si="755"/>
        <v>41406.199999999997</v>
      </c>
      <c r="G2755" s="21"/>
      <c r="H2755" s="135">
        <f t="shared" si="756"/>
        <v>34640</v>
      </c>
      <c r="I2755" s="294">
        <v>45311</v>
      </c>
      <c r="J2755" s="294"/>
      <c r="K2755" s="11">
        <f>+PROVEEDORES!$D$35*0.9*0.9*26.9*2</f>
        <v>46628.46</v>
      </c>
      <c r="L2755" s="11">
        <f>26400*0.9*0.9</f>
        <v>21384</v>
      </c>
      <c r="M2755" s="11"/>
      <c r="N2755" s="100">
        <f>0.9*0.95*0.95*26650</f>
        <v>21646.462499999998</v>
      </c>
      <c r="O2755" s="11">
        <f t="shared" si="757"/>
        <v>21384</v>
      </c>
      <c r="P2755" s="11">
        <f t="shared" si="758"/>
        <v>21384</v>
      </c>
      <c r="Q2755" s="11">
        <v>1.6</v>
      </c>
      <c r="R2755" s="11">
        <f t="shared" si="759"/>
        <v>34214.400000000001</v>
      </c>
      <c r="S2755" s="11"/>
      <c r="T2755" s="136">
        <f t="shared" si="760"/>
        <v>34634.339999999997</v>
      </c>
    </row>
    <row r="2756" spans="1:20" ht="15.75" customHeight="1">
      <c r="A2756" s="149"/>
      <c r="B2756" s="273"/>
      <c r="C2756" s="28" t="s">
        <v>2009</v>
      </c>
      <c r="D2756" s="71">
        <v>22</v>
      </c>
      <c r="E2756" s="131">
        <f t="shared" si="761"/>
        <v>0</v>
      </c>
      <c r="F2756" s="21">
        <f t="shared" si="755"/>
        <v>0</v>
      </c>
      <c r="G2756" s="21"/>
      <c r="H2756" s="135">
        <f t="shared" si="756"/>
        <v>0</v>
      </c>
      <c r="I2756" s="294"/>
      <c r="J2756" s="294">
        <v>43014</v>
      </c>
      <c r="K2756" s="10">
        <f>13.25*1.6</f>
        <v>21.200000000000003</v>
      </c>
      <c r="L2756" s="11"/>
      <c r="M2756" s="11"/>
      <c r="N2756" s="100"/>
      <c r="O2756" s="11">
        <f t="shared" si="757"/>
        <v>21.200000000000003</v>
      </c>
      <c r="P2756" s="11">
        <f t="shared" si="758"/>
        <v>21.200000000000003</v>
      </c>
      <c r="Q2756" s="11"/>
      <c r="R2756" s="11">
        <f t="shared" si="759"/>
        <v>0</v>
      </c>
      <c r="S2756" s="11"/>
      <c r="T2756" s="136">
        <f t="shared" si="760"/>
        <v>0</v>
      </c>
    </row>
    <row r="2757" spans="1:20" ht="15.75" customHeight="1">
      <c r="A2757" s="149">
        <v>38</v>
      </c>
      <c r="B2757" s="273"/>
      <c r="C2757" s="28" t="s">
        <v>2010</v>
      </c>
      <c r="D2757" s="71">
        <v>2480</v>
      </c>
      <c r="E2757" s="131">
        <f t="shared" si="761"/>
        <v>0</v>
      </c>
      <c r="F2757" s="21">
        <f t="shared" ref="F2757:F2765" si="762">+E2757*1.21</f>
        <v>0</v>
      </c>
      <c r="G2757" s="21"/>
      <c r="H2757" s="135">
        <f t="shared" ref="H2757:H2794" si="763">ROUNDUP(T2757,-1)</f>
        <v>0</v>
      </c>
      <c r="I2757" s="294"/>
      <c r="J2757" s="294">
        <v>45118</v>
      </c>
      <c r="K2757" s="10">
        <v>14718</v>
      </c>
      <c r="L2757" s="11"/>
      <c r="M2757" s="11"/>
      <c r="N2757" s="100"/>
      <c r="O2757" s="11">
        <f t="shared" si="757"/>
        <v>14718</v>
      </c>
      <c r="P2757" s="11">
        <f t="shared" si="758"/>
        <v>14718</v>
      </c>
      <c r="Q2757" s="11"/>
      <c r="R2757" s="11">
        <f t="shared" si="759"/>
        <v>0</v>
      </c>
      <c r="S2757" s="11"/>
      <c r="T2757" s="136">
        <f t="shared" si="760"/>
        <v>0</v>
      </c>
    </row>
    <row r="2758" spans="1:20" ht="15.75" customHeight="1">
      <c r="A2758" s="149">
        <v>24</v>
      </c>
      <c r="B2758" s="273"/>
      <c r="C2758" s="28" t="s">
        <v>2013</v>
      </c>
      <c r="D2758" s="71">
        <v>2340</v>
      </c>
      <c r="E2758" s="131">
        <f t="shared" si="761"/>
        <v>0</v>
      </c>
      <c r="F2758" s="21">
        <f t="shared" si="762"/>
        <v>0</v>
      </c>
      <c r="G2758" s="21"/>
      <c r="H2758" s="135">
        <f t="shared" si="763"/>
        <v>0</v>
      </c>
      <c r="I2758" s="294"/>
      <c r="J2758" s="294">
        <v>43213</v>
      </c>
      <c r="K2758" s="10">
        <f>3340*0.5*1.4</f>
        <v>2338</v>
      </c>
      <c r="L2758" s="11"/>
      <c r="M2758" s="11"/>
      <c r="N2758" s="100"/>
      <c r="O2758" s="11">
        <f t="shared" si="757"/>
        <v>2338</v>
      </c>
      <c r="P2758" s="11">
        <f t="shared" si="758"/>
        <v>2338</v>
      </c>
      <c r="Q2758" s="11"/>
      <c r="R2758" s="11">
        <f t="shared" si="759"/>
        <v>0</v>
      </c>
      <c r="S2758" s="11"/>
      <c r="T2758" s="136">
        <f t="shared" si="760"/>
        <v>0</v>
      </c>
    </row>
    <row r="2759" spans="1:20" ht="15.75" customHeight="1">
      <c r="A2759" s="149"/>
      <c r="B2759" s="273"/>
      <c r="C2759" s="28" t="s">
        <v>2011</v>
      </c>
      <c r="D2759" s="71">
        <v>3790</v>
      </c>
      <c r="E2759" s="131">
        <f t="shared" si="761"/>
        <v>0</v>
      </c>
      <c r="F2759" s="21">
        <f t="shared" si="762"/>
        <v>0</v>
      </c>
      <c r="G2759" s="21"/>
      <c r="H2759" s="135">
        <f t="shared" si="763"/>
        <v>0</v>
      </c>
      <c r="I2759" s="294"/>
      <c r="J2759" s="294">
        <v>43554</v>
      </c>
      <c r="K2759" s="10">
        <f>3107*0.8*0.94*1.45</f>
        <v>3387.8728000000006</v>
      </c>
      <c r="L2759" s="11"/>
      <c r="M2759" s="11"/>
      <c r="N2759" s="100"/>
      <c r="O2759" s="11">
        <f t="shared" si="757"/>
        <v>3387.8728000000006</v>
      </c>
      <c r="P2759" s="11">
        <f t="shared" si="758"/>
        <v>3387.8728000000006</v>
      </c>
      <c r="Q2759" s="11"/>
      <c r="R2759" s="11">
        <f t="shared" si="759"/>
        <v>0</v>
      </c>
      <c r="S2759" s="11"/>
      <c r="T2759" s="136">
        <f t="shared" si="760"/>
        <v>0</v>
      </c>
    </row>
    <row r="2760" spans="1:20" ht="15.75" customHeight="1">
      <c r="A2760" s="149"/>
      <c r="B2760" s="273"/>
      <c r="C2760" s="28" t="s">
        <v>2012</v>
      </c>
      <c r="D2760" s="71">
        <v>3790</v>
      </c>
      <c r="E2760" s="131">
        <f t="shared" si="761"/>
        <v>0</v>
      </c>
      <c r="F2760" s="21">
        <f t="shared" si="762"/>
        <v>0</v>
      </c>
      <c r="G2760" s="21"/>
      <c r="H2760" s="135">
        <f t="shared" si="763"/>
        <v>0</v>
      </c>
      <c r="I2760" s="294"/>
      <c r="J2760" s="294">
        <v>43637</v>
      </c>
      <c r="K2760" s="10">
        <f>5223*0.5*1.45</f>
        <v>3786.6749999999997</v>
      </c>
      <c r="L2760" s="11"/>
      <c r="M2760" s="11"/>
      <c r="N2760" s="100"/>
      <c r="O2760" s="11">
        <f t="shared" si="757"/>
        <v>3786.6749999999997</v>
      </c>
      <c r="P2760" s="11">
        <f t="shared" si="758"/>
        <v>3786.6749999999997</v>
      </c>
      <c r="Q2760" s="11"/>
      <c r="R2760" s="11">
        <f t="shared" si="759"/>
        <v>0</v>
      </c>
      <c r="S2760" s="11"/>
      <c r="T2760" s="136">
        <f t="shared" si="760"/>
        <v>0</v>
      </c>
    </row>
    <row r="2761" spans="1:20" ht="15.75" customHeight="1">
      <c r="A2761" s="149">
        <v>21</v>
      </c>
      <c r="B2761" s="273"/>
      <c r="C2761" s="28" t="s">
        <v>3828</v>
      </c>
      <c r="D2761" s="71">
        <v>3790</v>
      </c>
      <c r="E2761" s="131">
        <f>ROUNDUP(R2761,-1)</f>
        <v>44120</v>
      </c>
      <c r="F2761" s="21">
        <f>+E2761*1.21</f>
        <v>53385.2</v>
      </c>
      <c r="G2761" s="21"/>
      <c r="H2761" s="135">
        <f>ROUNDUP(T2761,-1)</f>
        <v>0</v>
      </c>
      <c r="I2761" s="294">
        <v>45217</v>
      </c>
      <c r="J2761" s="294">
        <v>45271</v>
      </c>
      <c r="K2761" s="10">
        <f>0.6*49017</f>
        <v>29410.2</v>
      </c>
      <c r="L2761" s="11"/>
      <c r="M2761" s="11"/>
      <c r="N2761" s="100"/>
      <c r="O2761" s="11">
        <f>MIN(K2761:M2761)</f>
        <v>29410.2</v>
      </c>
      <c r="P2761" s="11">
        <f>+O2761</f>
        <v>29410.2</v>
      </c>
      <c r="Q2761" s="11">
        <v>1.5</v>
      </c>
      <c r="R2761" s="11">
        <f>+P2761*Q2761</f>
        <v>44115.3</v>
      </c>
      <c r="S2761" s="11"/>
      <c r="T2761" s="136">
        <f>+N2761*Q2761</f>
        <v>0</v>
      </c>
    </row>
    <row r="2762" spans="1:20" ht="15.75" customHeight="1">
      <c r="A2762" s="149">
        <v>45</v>
      </c>
      <c r="B2762" s="273"/>
      <c r="C2762" s="28" t="s">
        <v>4499</v>
      </c>
      <c r="D2762" s="41"/>
      <c r="E2762" s="131">
        <f t="shared" si="761"/>
        <v>65770</v>
      </c>
      <c r="F2762" s="21">
        <f t="shared" si="762"/>
        <v>79581.7</v>
      </c>
      <c r="G2762" s="21"/>
      <c r="H2762" s="135">
        <f t="shared" si="763"/>
        <v>0</v>
      </c>
      <c r="I2762" s="294">
        <v>45254</v>
      </c>
      <c r="J2762" s="294">
        <v>45329</v>
      </c>
      <c r="K2762" s="11">
        <f>0.59*0.95*78219</f>
        <v>43841.749499999998</v>
      </c>
      <c r="L2762" s="11"/>
      <c r="M2762" s="11"/>
      <c r="N2762" s="100"/>
      <c r="O2762" s="11">
        <f t="shared" si="757"/>
        <v>43841.749499999998</v>
      </c>
      <c r="P2762" s="11">
        <f t="shared" si="758"/>
        <v>43841.749499999998</v>
      </c>
      <c r="Q2762" s="11">
        <v>1.5</v>
      </c>
      <c r="R2762" s="11">
        <f t="shared" si="759"/>
        <v>65762.624249999993</v>
      </c>
      <c r="S2762" s="11"/>
      <c r="T2762" s="136">
        <f t="shared" si="760"/>
        <v>0</v>
      </c>
    </row>
    <row r="2763" spans="1:20" ht="15.75" customHeight="1">
      <c r="A2763" s="149">
        <v>109</v>
      </c>
      <c r="B2763" s="273"/>
      <c r="C2763" s="28" t="s">
        <v>44236</v>
      </c>
      <c r="D2763" s="71">
        <v>780</v>
      </c>
      <c r="E2763" s="131">
        <f t="shared" si="761"/>
        <v>78850</v>
      </c>
      <c r="F2763" s="21" t="s">
        <v>1248</v>
      </c>
      <c r="G2763" s="21">
        <f>+E2763*1.105</f>
        <v>87129.25</v>
      </c>
      <c r="H2763" s="135">
        <f t="shared" si="763"/>
        <v>0</v>
      </c>
      <c r="I2763" s="294">
        <v>45313</v>
      </c>
      <c r="J2763" s="294"/>
      <c r="K2763" s="10">
        <f>1.038*47473</f>
        <v>49276.974000000002</v>
      </c>
      <c r="L2763" s="196"/>
      <c r="M2763" s="11"/>
      <c r="N2763" s="100"/>
      <c r="O2763" s="11">
        <f t="shared" si="757"/>
        <v>49276.974000000002</v>
      </c>
      <c r="P2763" s="11">
        <f t="shared" si="758"/>
        <v>49276.974000000002</v>
      </c>
      <c r="Q2763" s="11">
        <v>1.6</v>
      </c>
      <c r="R2763" s="11">
        <f t="shared" si="759"/>
        <v>78843.158400000015</v>
      </c>
      <c r="S2763" s="11"/>
      <c r="T2763" s="136">
        <f t="shared" si="760"/>
        <v>0</v>
      </c>
    </row>
    <row r="2764" spans="1:20" ht="15.75" customHeight="1">
      <c r="A2764" s="149">
        <v>21</v>
      </c>
      <c r="B2764" s="273"/>
      <c r="C2764" s="28" t="s">
        <v>3829</v>
      </c>
      <c r="D2764" s="71">
        <v>4100</v>
      </c>
      <c r="E2764" s="131">
        <f t="shared" si="761"/>
        <v>0</v>
      </c>
      <c r="F2764" s="21">
        <f t="shared" si="762"/>
        <v>0</v>
      </c>
      <c r="G2764" s="21"/>
      <c r="H2764" s="135">
        <f t="shared" si="763"/>
        <v>0</v>
      </c>
      <c r="I2764" s="294">
        <v>44824</v>
      </c>
      <c r="J2764" s="294"/>
      <c r="K2764" s="10">
        <f>0.6*10843</f>
        <v>6505.8</v>
      </c>
      <c r="L2764" s="11"/>
      <c r="M2764" s="11"/>
      <c r="N2764" s="100"/>
      <c r="O2764" s="11">
        <f t="shared" si="757"/>
        <v>6505.8</v>
      </c>
      <c r="P2764" s="11">
        <f t="shared" si="758"/>
        <v>6505.8</v>
      </c>
      <c r="Q2764" s="11"/>
      <c r="R2764" s="11">
        <f t="shared" si="759"/>
        <v>0</v>
      </c>
      <c r="S2764" s="11"/>
      <c r="T2764" s="136">
        <f t="shared" si="760"/>
        <v>0</v>
      </c>
    </row>
    <row r="2765" spans="1:20" ht="15.75" customHeight="1">
      <c r="A2765" s="149">
        <v>21</v>
      </c>
      <c r="B2765" s="273"/>
      <c r="C2765" s="28" t="s">
        <v>3830</v>
      </c>
      <c r="D2765" s="71">
        <v>4100</v>
      </c>
      <c r="E2765" s="131">
        <f t="shared" si="761"/>
        <v>0</v>
      </c>
      <c r="F2765" s="21">
        <f t="shared" si="762"/>
        <v>0</v>
      </c>
      <c r="G2765" s="21"/>
      <c r="H2765" s="135">
        <f t="shared" si="763"/>
        <v>0</v>
      </c>
      <c r="I2765" s="294">
        <v>44824</v>
      </c>
      <c r="J2765" s="294"/>
      <c r="K2765" s="10">
        <f>0.6*10843</f>
        <v>6505.8</v>
      </c>
      <c r="L2765" s="11"/>
      <c r="M2765" s="11"/>
      <c r="N2765" s="100"/>
      <c r="O2765" s="11">
        <f t="shared" si="757"/>
        <v>6505.8</v>
      </c>
      <c r="P2765" s="11">
        <f t="shared" si="758"/>
        <v>6505.8</v>
      </c>
      <c r="Q2765" s="11"/>
      <c r="R2765" s="11">
        <f t="shared" si="759"/>
        <v>0</v>
      </c>
      <c r="S2765" s="11"/>
      <c r="T2765" s="136">
        <f t="shared" si="760"/>
        <v>0</v>
      </c>
    </row>
    <row r="2766" spans="1:20" ht="15.75" customHeight="1">
      <c r="A2766" s="149">
        <v>38</v>
      </c>
      <c r="B2766" s="273">
        <f>ROUNDUP(E2766*1.06,-1)</f>
        <v>70180</v>
      </c>
      <c r="C2766" s="28" t="s">
        <v>3519</v>
      </c>
      <c r="D2766" s="71">
        <v>8650</v>
      </c>
      <c r="E2766" s="131">
        <f t="shared" si="761"/>
        <v>66200</v>
      </c>
      <c r="F2766" s="21" t="s">
        <v>1248</v>
      </c>
      <c r="G2766" s="21">
        <f>+E2766*1.105</f>
        <v>73151</v>
      </c>
      <c r="H2766" s="135">
        <f t="shared" si="763"/>
        <v>57380</v>
      </c>
      <c r="I2766" s="294">
        <v>45138</v>
      </c>
      <c r="J2766" s="40">
        <v>45274</v>
      </c>
      <c r="K2766" s="143">
        <f>+PROVEEDORES!$D$32*46.7</f>
        <v>49035</v>
      </c>
      <c r="L2766" s="10"/>
      <c r="M2766" s="10"/>
      <c r="N2766" s="100">
        <v>42501</v>
      </c>
      <c r="O2766" s="11">
        <f t="shared" si="757"/>
        <v>49035</v>
      </c>
      <c r="P2766" s="11">
        <f t="shared" si="758"/>
        <v>49035</v>
      </c>
      <c r="Q2766" s="11">
        <v>1.35</v>
      </c>
      <c r="R2766" s="11">
        <f t="shared" si="759"/>
        <v>66197.25</v>
      </c>
      <c r="S2766" s="11"/>
      <c r="T2766" s="136">
        <f t="shared" si="760"/>
        <v>57376.350000000006</v>
      </c>
    </row>
    <row r="2767" spans="1:20" ht="15.75" customHeight="1">
      <c r="A2767" s="149">
        <v>108</v>
      </c>
      <c r="B2767" s="273"/>
      <c r="C2767" s="28" t="s">
        <v>37275</v>
      </c>
      <c r="D2767" s="41"/>
      <c r="E2767" s="131">
        <f t="shared" si="761"/>
        <v>62290</v>
      </c>
      <c r="F2767" s="21" t="s">
        <v>1248</v>
      </c>
      <c r="G2767" s="21">
        <f>+E2767*1.105</f>
        <v>68830.45</v>
      </c>
      <c r="H2767" s="135">
        <f t="shared" si="763"/>
        <v>0</v>
      </c>
      <c r="I2767" s="294">
        <v>45252</v>
      </c>
      <c r="J2767" s="294">
        <v>45370</v>
      </c>
      <c r="K2767" s="11">
        <f>0.765*56155</f>
        <v>42958.575000000004</v>
      </c>
      <c r="L2767" s="32"/>
      <c r="M2767" s="11"/>
      <c r="N2767" s="100"/>
      <c r="O2767" s="11">
        <f t="shared" si="757"/>
        <v>42958.575000000004</v>
      </c>
      <c r="P2767" s="11">
        <f t="shared" si="758"/>
        <v>42958.575000000004</v>
      </c>
      <c r="Q2767" s="11">
        <v>1.45</v>
      </c>
      <c r="R2767" s="11">
        <f t="shared" si="759"/>
        <v>62289.933750000004</v>
      </c>
      <c r="S2767" s="11"/>
      <c r="T2767" s="136">
        <f t="shared" si="760"/>
        <v>0</v>
      </c>
    </row>
    <row r="2768" spans="1:20" ht="15.75" customHeight="1">
      <c r="A2768" s="149" t="s">
        <v>2387</v>
      </c>
      <c r="B2768" s="273">
        <f>ROUNDUP(E2768*1.06,-1)</f>
        <v>159470</v>
      </c>
      <c r="C2768" s="28" t="s">
        <v>2014</v>
      </c>
      <c r="D2768" s="71">
        <v>8650</v>
      </c>
      <c r="E2768" s="131">
        <f t="shared" si="761"/>
        <v>150440</v>
      </c>
      <c r="F2768" s="21" t="s">
        <v>1248</v>
      </c>
      <c r="G2768" s="21">
        <f>+E2768*1.105</f>
        <v>166236.20000000001</v>
      </c>
      <c r="H2768" s="135">
        <f t="shared" si="763"/>
        <v>0</v>
      </c>
      <c r="I2768" s="294">
        <v>45329</v>
      </c>
      <c r="J2768" s="40"/>
      <c r="K2768" s="143">
        <f>+'AUMENTOS %'!D13*0.5*222860</f>
        <v>111430</v>
      </c>
      <c r="L2768" s="143">
        <f>+'AUMENTOS %'!C13*53626*3</f>
        <v>160878</v>
      </c>
      <c r="M2768" s="10"/>
      <c r="N2768" s="100"/>
      <c r="O2768" s="11">
        <f t="shared" si="757"/>
        <v>111430</v>
      </c>
      <c r="P2768" s="11">
        <f>+O2768*'AUMENTOS %'!D13</f>
        <v>111430</v>
      </c>
      <c r="Q2768" s="11">
        <v>1.35</v>
      </c>
      <c r="R2768" s="11">
        <f t="shared" si="759"/>
        <v>150430.5</v>
      </c>
      <c r="S2768" s="11"/>
      <c r="T2768" s="136">
        <f t="shared" si="760"/>
        <v>0</v>
      </c>
    </row>
    <row r="2769" spans="1:20" ht="15.75" customHeight="1">
      <c r="A2769" s="149"/>
      <c r="B2769" s="273"/>
      <c r="C2769" s="28" t="s">
        <v>2834</v>
      </c>
      <c r="D2769" s="71">
        <v>8400</v>
      </c>
      <c r="E2769" s="131">
        <f t="shared" si="761"/>
        <v>9750</v>
      </c>
      <c r="F2769" s="21">
        <f t="shared" ref="F2769:F2805" si="764">+E2769*1.21</f>
        <v>11797.5</v>
      </c>
      <c r="G2769" s="21"/>
      <c r="H2769" s="135">
        <f t="shared" si="763"/>
        <v>8420</v>
      </c>
      <c r="I2769" s="294">
        <v>44397</v>
      </c>
      <c r="J2769" s="40">
        <v>44606</v>
      </c>
      <c r="K2769" s="143">
        <f>1539+2*K2082</f>
        <v>6093</v>
      </c>
      <c r="L2769" s="10"/>
      <c r="M2769" s="10"/>
      <c r="N2769" s="100">
        <f>707+2*K2082</f>
        <v>5261</v>
      </c>
      <c r="O2769" s="11">
        <f t="shared" si="757"/>
        <v>6093</v>
      </c>
      <c r="P2769" s="11">
        <f t="shared" si="758"/>
        <v>6093</v>
      </c>
      <c r="Q2769" s="11">
        <v>1.6</v>
      </c>
      <c r="R2769" s="11">
        <f t="shared" si="759"/>
        <v>9748.8000000000011</v>
      </c>
      <c r="S2769" s="11"/>
      <c r="T2769" s="136">
        <f t="shared" si="760"/>
        <v>8417.6</v>
      </c>
    </row>
    <row r="2770" spans="1:20" ht="15.75" customHeight="1">
      <c r="A2770" s="149"/>
      <c r="B2770" s="273"/>
      <c r="C2770" s="28" t="s">
        <v>2266</v>
      </c>
      <c r="D2770" s="71">
        <v>8700</v>
      </c>
      <c r="E2770" s="131">
        <f t="shared" si="761"/>
        <v>0</v>
      </c>
      <c r="F2770" s="21">
        <f t="shared" si="764"/>
        <v>0</v>
      </c>
      <c r="G2770" s="21"/>
      <c r="H2770" s="135">
        <f t="shared" si="763"/>
        <v>0</v>
      </c>
      <c r="I2770" s="294">
        <v>43972</v>
      </c>
      <c r="J2770" s="40"/>
      <c r="K2770" s="143">
        <f>6200</f>
        <v>6200</v>
      </c>
      <c r="L2770" s="10"/>
      <c r="M2770" s="10"/>
      <c r="N2770" s="100"/>
      <c r="O2770" s="11">
        <f t="shared" si="757"/>
        <v>6200</v>
      </c>
      <c r="P2770" s="11">
        <f t="shared" si="758"/>
        <v>6200</v>
      </c>
      <c r="Q2770" s="11"/>
      <c r="R2770" s="11">
        <f t="shared" si="759"/>
        <v>0</v>
      </c>
      <c r="S2770" s="11"/>
      <c r="T2770" s="136">
        <f t="shared" si="760"/>
        <v>0</v>
      </c>
    </row>
    <row r="2771" spans="1:20" ht="15.75" customHeight="1">
      <c r="A2771" s="149"/>
      <c r="B2771" s="273"/>
      <c r="C2771" s="28" t="s">
        <v>2015</v>
      </c>
      <c r="D2771" s="71">
        <v>5390</v>
      </c>
      <c r="E2771" s="131">
        <f t="shared" si="761"/>
        <v>0</v>
      </c>
      <c r="F2771" s="21">
        <f t="shared" si="764"/>
        <v>0</v>
      </c>
      <c r="G2771" s="21"/>
      <c r="H2771" s="135">
        <f t="shared" si="763"/>
        <v>0</v>
      </c>
      <c r="I2771" s="294"/>
      <c r="J2771" s="294">
        <v>42859</v>
      </c>
      <c r="K2771" s="10">
        <f>6650.76*0.6*1.35</f>
        <v>5387.1156000000001</v>
      </c>
      <c r="L2771" s="11"/>
      <c r="M2771" s="11"/>
      <c r="N2771" s="100"/>
      <c r="O2771" s="11">
        <f t="shared" si="757"/>
        <v>5387.1156000000001</v>
      </c>
      <c r="P2771" s="11">
        <f t="shared" si="758"/>
        <v>5387.1156000000001</v>
      </c>
      <c r="Q2771" s="11"/>
      <c r="R2771" s="11">
        <f t="shared" si="759"/>
        <v>0</v>
      </c>
      <c r="S2771" s="11"/>
      <c r="T2771" s="136">
        <f t="shared" si="760"/>
        <v>0</v>
      </c>
    </row>
    <row r="2772" spans="1:20" ht="15.75" customHeight="1">
      <c r="A2772" s="149"/>
      <c r="B2772" s="273"/>
      <c r="C2772" s="28" t="s">
        <v>2016</v>
      </c>
      <c r="D2772" s="71">
        <v>1260</v>
      </c>
      <c r="E2772" s="131">
        <f t="shared" si="761"/>
        <v>0</v>
      </c>
      <c r="F2772" s="21">
        <f t="shared" si="764"/>
        <v>0</v>
      </c>
      <c r="G2772" s="21"/>
      <c r="H2772" s="135">
        <f t="shared" si="763"/>
        <v>0</v>
      </c>
      <c r="I2772" s="294"/>
      <c r="J2772" s="294">
        <v>41733</v>
      </c>
      <c r="K2772" s="10">
        <f>385*1.35*1.4</f>
        <v>727.65</v>
      </c>
      <c r="L2772" s="11"/>
      <c r="M2772" s="11"/>
      <c r="N2772" s="100"/>
      <c r="O2772" s="11">
        <f t="shared" si="757"/>
        <v>727.65</v>
      </c>
      <c r="P2772" s="11">
        <f t="shared" si="758"/>
        <v>727.65</v>
      </c>
      <c r="Q2772" s="11"/>
      <c r="R2772" s="11">
        <f t="shared" si="759"/>
        <v>0</v>
      </c>
      <c r="S2772" s="11"/>
      <c r="T2772" s="136">
        <f t="shared" si="760"/>
        <v>0</v>
      </c>
    </row>
    <row r="2773" spans="1:20" ht="15.75" customHeight="1">
      <c r="A2773" s="149">
        <v>21</v>
      </c>
      <c r="B2773" s="273"/>
      <c r="C2773" s="28" t="s">
        <v>3884</v>
      </c>
      <c r="D2773" s="71">
        <v>520</v>
      </c>
      <c r="E2773" s="131">
        <f t="shared" si="761"/>
        <v>11050</v>
      </c>
      <c r="F2773" s="21">
        <f t="shared" si="764"/>
        <v>13370.5</v>
      </c>
      <c r="G2773" s="21"/>
      <c r="H2773" s="135">
        <f t="shared" si="763"/>
        <v>0</v>
      </c>
      <c r="I2773" s="294">
        <v>45217</v>
      </c>
      <c r="J2773" s="294">
        <v>45274</v>
      </c>
      <c r="K2773" s="10">
        <f>0.6*12694</f>
        <v>7616.4</v>
      </c>
      <c r="L2773" s="11"/>
      <c r="M2773" s="11"/>
      <c r="N2773" s="100"/>
      <c r="O2773" s="11">
        <f t="shared" si="757"/>
        <v>7616.4</v>
      </c>
      <c r="P2773" s="11">
        <f t="shared" si="758"/>
        <v>7616.4</v>
      </c>
      <c r="Q2773" s="11">
        <v>1.45</v>
      </c>
      <c r="R2773" s="11">
        <f t="shared" si="759"/>
        <v>11043.779999999999</v>
      </c>
      <c r="S2773" s="11"/>
      <c r="T2773" s="136">
        <f t="shared" si="760"/>
        <v>0</v>
      </c>
    </row>
    <row r="2774" spans="1:20" ht="15.75" customHeight="1">
      <c r="A2774" s="149">
        <v>12</v>
      </c>
      <c r="B2774" s="273"/>
      <c r="C2774" s="28" t="s">
        <v>44249</v>
      </c>
      <c r="D2774" s="71">
        <v>270</v>
      </c>
      <c r="E2774" s="131">
        <f t="shared" si="761"/>
        <v>20430</v>
      </c>
      <c r="F2774" s="21">
        <f t="shared" si="764"/>
        <v>24720.3</v>
      </c>
      <c r="G2774" s="21"/>
      <c r="H2774" s="135">
        <f t="shared" si="763"/>
        <v>0</v>
      </c>
      <c r="I2774" s="294">
        <v>45274</v>
      </c>
      <c r="J2774" s="294">
        <v>45338</v>
      </c>
      <c r="K2774" s="10">
        <v>13617</v>
      </c>
      <c r="L2774" s="11"/>
      <c r="M2774" s="11"/>
      <c r="N2774" s="100"/>
      <c r="O2774" s="11">
        <f t="shared" si="757"/>
        <v>13617</v>
      </c>
      <c r="P2774" s="11">
        <f t="shared" si="758"/>
        <v>13617</v>
      </c>
      <c r="Q2774" s="11">
        <v>1.5</v>
      </c>
      <c r="R2774" s="11">
        <f t="shared" si="759"/>
        <v>20425.5</v>
      </c>
      <c r="S2774" s="11"/>
      <c r="T2774" s="136">
        <f t="shared" si="760"/>
        <v>0</v>
      </c>
    </row>
    <row r="2775" spans="1:20" ht="15.75" customHeight="1">
      <c r="A2775" s="149">
        <v>38</v>
      </c>
      <c r="B2775" s="273"/>
      <c r="C2775" s="28" t="s">
        <v>4407</v>
      </c>
      <c r="D2775" s="71">
        <v>660</v>
      </c>
      <c r="E2775" s="131">
        <f>ROUNDUP(R2775,-1)</f>
        <v>13710</v>
      </c>
      <c r="F2775" s="21">
        <f>+E2775*1.21</f>
        <v>16589.099999999999</v>
      </c>
      <c r="G2775" s="21"/>
      <c r="H2775" s="135">
        <f>ROUNDUP(T2775,-1)</f>
        <v>11880</v>
      </c>
      <c r="I2775" s="294">
        <v>45138</v>
      </c>
      <c r="J2775" s="294">
        <v>45274</v>
      </c>
      <c r="K2775" s="143">
        <f>+PROVEEDORES!$D$32*9</f>
        <v>9450</v>
      </c>
      <c r="L2775" s="11"/>
      <c r="M2775" s="11"/>
      <c r="N2775" s="100">
        <v>8189</v>
      </c>
      <c r="O2775" s="11">
        <f>MIN(K2775:M2775)</f>
        <v>9450</v>
      </c>
      <c r="P2775" s="11">
        <f>+O2775</f>
        <v>9450</v>
      </c>
      <c r="Q2775" s="11">
        <v>1.45</v>
      </c>
      <c r="R2775" s="11">
        <f>+P2775*Q2775</f>
        <v>13702.5</v>
      </c>
      <c r="S2775" s="11"/>
      <c r="T2775" s="136">
        <f>+N2775*Q2775</f>
        <v>11874.05</v>
      </c>
    </row>
    <row r="2776" spans="1:20" ht="15.75" customHeight="1">
      <c r="A2776" s="149">
        <v>12</v>
      </c>
      <c r="B2776" s="273"/>
      <c r="C2776" s="28" t="s">
        <v>4449</v>
      </c>
      <c r="D2776" s="71">
        <v>280</v>
      </c>
      <c r="E2776" s="131">
        <f t="shared" si="761"/>
        <v>11660</v>
      </c>
      <c r="F2776" s="21">
        <f t="shared" si="764"/>
        <v>14108.6</v>
      </c>
      <c r="G2776" s="21"/>
      <c r="H2776" s="135">
        <f t="shared" si="763"/>
        <v>0</v>
      </c>
      <c r="I2776" s="294">
        <v>45274</v>
      </c>
      <c r="J2776" s="294">
        <v>45338</v>
      </c>
      <c r="K2776" s="10">
        <v>7773</v>
      </c>
      <c r="L2776" s="11"/>
      <c r="M2776" s="11"/>
      <c r="N2776" s="100"/>
      <c r="O2776" s="11">
        <f t="shared" si="757"/>
        <v>7773</v>
      </c>
      <c r="P2776" s="11">
        <f t="shared" si="758"/>
        <v>7773</v>
      </c>
      <c r="Q2776" s="11">
        <v>1.5</v>
      </c>
      <c r="R2776" s="11">
        <f t="shared" si="759"/>
        <v>11659.5</v>
      </c>
      <c r="S2776" s="11"/>
      <c r="T2776" s="136">
        <f t="shared" si="760"/>
        <v>0</v>
      </c>
    </row>
    <row r="2777" spans="1:20" ht="15.75" customHeight="1">
      <c r="A2777" s="149">
        <v>38</v>
      </c>
      <c r="B2777" s="273"/>
      <c r="C2777" s="28" t="s">
        <v>2018</v>
      </c>
      <c r="D2777" s="71">
        <v>660</v>
      </c>
      <c r="E2777" s="131">
        <f t="shared" si="761"/>
        <v>14680</v>
      </c>
      <c r="F2777" s="21">
        <f t="shared" si="764"/>
        <v>17762.8</v>
      </c>
      <c r="G2777" s="21"/>
      <c r="H2777" s="135">
        <f t="shared" si="763"/>
        <v>12730</v>
      </c>
      <c r="I2777" s="294">
        <v>45138</v>
      </c>
      <c r="J2777" s="294">
        <v>45274</v>
      </c>
      <c r="K2777" s="143">
        <f>+PROVEEDORES!$D$32*9.32</f>
        <v>9786</v>
      </c>
      <c r="L2777" s="11"/>
      <c r="M2777" s="11"/>
      <c r="N2777" s="100">
        <v>8485</v>
      </c>
      <c r="O2777" s="11">
        <f t="shared" si="757"/>
        <v>9786</v>
      </c>
      <c r="P2777" s="11">
        <f t="shared" si="758"/>
        <v>9786</v>
      </c>
      <c r="Q2777" s="11">
        <v>1.5</v>
      </c>
      <c r="R2777" s="11">
        <f t="shared" si="759"/>
        <v>14679</v>
      </c>
      <c r="S2777" s="11"/>
      <c r="T2777" s="136">
        <f t="shared" si="760"/>
        <v>12727.5</v>
      </c>
    </row>
    <row r="2778" spans="1:20" ht="15.75" customHeight="1">
      <c r="A2778" s="149" t="s">
        <v>2387</v>
      </c>
      <c r="B2778" s="273"/>
      <c r="C2778" s="28" t="s">
        <v>2017</v>
      </c>
      <c r="D2778" s="41">
        <v>1690</v>
      </c>
      <c r="E2778" s="131">
        <f t="shared" si="761"/>
        <v>33440</v>
      </c>
      <c r="F2778" s="21">
        <f t="shared" si="764"/>
        <v>40462.400000000001</v>
      </c>
      <c r="G2778" s="21"/>
      <c r="H2778" s="135">
        <f t="shared" si="763"/>
        <v>0</v>
      </c>
      <c r="I2778" s="294">
        <v>45138</v>
      </c>
      <c r="J2778" s="294">
        <v>45175</v>
      </c>
      <c r="K2778" s="10">
        <f>+'AUMENTOS %'!D14*PROVEEDORES!D18*0.5*35.05*1.2</f>
        <v>22291.8</v>
      </c>
      <c r="L2778" s="11"/>
      <c r="M2778" s="11"/>
      <c r="N2778" s="100"/>
      <c r="O2778" s="11">
        <f t="shared" si="757"/>
        <v>22291.8</v>
      </c>
      <c r="P2778" s="11">
        <f t="shared" si="758"/>
        <v>22291.8</v>
      </c>
      <c r="Q2778" s="11">
        <v>1.5</v>
      </c>
      <c r="R2778" s="11">
        <f t="shared" si="759"/>
        <v>33437.699999999997</v>
      </c>
      <c r="S2778" s="11"/>
      <c r="T2778" s="136">
        <f t="shared" si="760"/>
        <v>0</v>
      </c>
    </row>
    <row r="2779" spans="1:20" ht="15.75" customHeight="1">
      <c r="A2779" s="149">
        <v>23</v>
      </c>
      <c r="B2779" s="273"/>
      <c r="C2779" s="28" t="s">
        <v>3943</v>
      </c>
      <c r="D2779" s="41">
        <v>1390</v>
      </c>
      <c r="E2779" s="131">
        <f t="shared" si="761"/>
        <v>42200</v>
      </c>
      <c r="F2779" s="21">
        <f t="shared" si="764"/>
        <v>51062</v>
      </c>
      <c r="G2779" s="21"/>
      <c r="H2779" s="135">
        <f t="shared" si="763"/>
        <v>0</v>
      </c>
      <c r="I2779" s="294">
        <v>45351</v>
      </c>
      <c r="J2779" s="294"/>
      <c r="K2779" s="134">
        <f>0.75*38800</f>
        <v>29100</v>
      </c>
      <c r="L2779" s="11"/>
      <c r="M2779" s="11"/>
      <c r="N2779" s="100"/>
      <c r="O2779" s="11">
        <f t="shared" si="757"/>
        <v>29100</v>
      </c>
      <c r="P2779" s="11">
        <f t="shared" si="758"/>
        <v>29100</v>
      </c>
      <c r="Q2779" s="11">
        <v>1.45</v>
      </c>
      <c r="R2779" s="11">
        <f t="shared" si="759"/>
        <v>42195</v>
      </c>
      <c r="S2779" s="11"/>
      <c r="T2779" s="136">
        <f t="shared" si="760"/>
        <v>0</v>
      </c>
    </row>
    <row r="2780" spans="1:20" ht="15.75" customHeight="1">
      <c r="A2780" s="149">
        <v>23</v>
      </c>
      <c r="B2780" s="273"/>
      <c r="C2780" s="28" t="s">
        <v>3441</v>
      </c>
      <c r="D2780" s="41">
        <v>3150</v>
      </c>
      <c r="E2780" s="131">
        <f t="shared" si="761"/>
        <v>80020</v>
      </c>
      <c r="F2780" s="21">
        <f t="shared" si="764"/>
        <v>96824.2</v>
      </c>
      <c r="G2780" s="21"/>
      <c r="H2780" s="135">
        <f t="shared" si="763"/>
        <v>0</v>
      </c>
      <c r="I2780" s="294">
        <v>45351</v>
      </c>
      <c r="J2780" s="294"/>
      <c r="K2780" s="134">
        <f>0.75*73580</f>
        <v>55185</v>
      </c>
      <c r="L2780" s="11"/>
      <c r="M2780" s="11"/>
      <c r="N2780" s="100"/>
      <c r="O2780" s="11">
        <f t="shared" si="757"/>
        <v>55185</v>
      </c>
      <c r="P2780" s="11">
        <f t="shared" si="758"/>
        <v>55185</v>
      </c>
      <c r="Q2780" s="11">
        <v>1.45</v>
      </c>
      <c r="R2780" s="11">
        <f t="shared" si="759"/>
        <v>80018.25</v>
      </c>
      <c r="S2780" s="11"/>
      <c r="T2780" s="136">
        <f t="shared" si="760"/>
        <v>0</v>
      </c>
    </row>
    <row r="2781" spans="1:20" ht="15.75" customHeight="1">
      <c r="A2781" s="149"/>
      <c r="B2781" s="273"/>
      <c r="C2781" s="28" t="s">
        <v>2759</v>
      </c>
      <c r="D2781" s="41"/>
      <c r="E2781" s="131">
        <f t="shared" si="761"/>
        <v>1520</v>
      </c>
      <c r="F2781" s="21">
        <f t="shared" si="764"/>
        <v>1839.2</v>
      </c>
      <c r="G2781" s="21"/>
      <c r="H2781" s="135">
        <f t="shared" si="763"/>
        <v>0</v>
      </c>
      <c r="I2781" s="294">
        <v>44155</v>
      </c>
      <c r="J2781" s="294"/>
      <c r="K2781" s="10">
        <f>0.6*1683</f>
        <v>1009.8</v>
      </c>
      <c r="L2781" s="11"/>
      <c r="M2781" s="11"/>
      <c r="N2781" s="100"/>
      <c r="O2781" s="11">
        <f t="shared" si="757"/>
        <v>1009.8</v>
      </c>
      <c r="P2781" s="11">
        <f t="shared" si="758"/>
        <v>1009.8</v>
      </c>
      <c r="Q2781" s="11">
        <v>1.5</v>
      </c>
      <c r="R2781" s="11">
        <f t="shared" si="759"/>
        <v>1514.6999999999998</v>
      </c>
      <c r="S2781" s="11"/>
      <c r="T2781" s="136">
        <f t="shared" si="760"/>
        <v>0</v>
      </c>
    </row>
    <row r="2782" spans="1:20" ht="15.75" customHeight="1">
      <c r="A2782" s="149">
        <v>38</v>
      </c>
      <c r="B2782" s="273"/>
      <c r="C2782" s="28" t="s">
        <v>2475</v>
      </c>
      <c r="D2782" s="41">
        <v>790</v>
      </c>
      <c r="E2782" s="131">
        <f t="shared" si="761"/>
        <v>0</v>
      </c>
      <c r="F2782" s="21">
        <f t="shared" si="764"/>
        <v>0</v>
      </c>
      <c r="G2782" s="21"/>
      <c r="H2782" s="135">
        <f t="shared" si="763"/>
        <v>0</v>
      </c>
      <c r="I2782" s="294">
        <v>44319</v>
      </c>
      <c r="J2782" s="294"/>
      <c r="K2782" s="10">
        <v>1790</v>
      </c>
      <c r="L2782" s="11"/>
      <c r="M2782" s="11"/>
      <c r="N2782" s="100"/>
      <c r="O2782" s="11">
        <f t="shared" si="757"/>
        <v>1790</v>
      </c>
      <c r="P2782" s="11">
        <f t="shared" si="758"/>
        <v>1790</v>
      </c>
      <c r="Q2782" s="11"/>
      <c r="R2782" s="11">
        <f t="shared" si="759"/>
        <v>0</v>
      </c>
      <c r="S2782" s="11"/>
      <c r="T2782" s="136">
        <f t="shared" si="760"/>
        <v>0</v>
      </c>
    </row>
    <row r="2783" spans="1:20" ht="15.75" customHeight="1">
      <c r="A2783" s="149">
        <v>12</v>
      </c>
      <c r="B2783" s="273"/>
      <c r="C2783" s="28" t="s">
        <v>4450</v>
      </c>
      <c r="D2783" s="71"/>
      <c r="E2783" s="131">
        <f>ROUNDUP(R2783,-1)</f>
        <v>8220</v>
      </c>
      <c r="F2783" s="21">
        <f>+E2783*1.21</f>
        <v>9946.1999999999989</v>
      </c>
      <c r="G2783" s="21"/>
      <c r="H2783" s="135">
        <f>ROUNDUP(T2783,-1)</f>
        <v>0</v>
      </c>
      <c r="I2783" s="294">
        <v>45274</v>
      </c>
      <c r="J2783" s="23">
        <v>45338</v>
      </c>
      <c r="K2783" s="11">
        <v>5134</v>
      </c>
      <c r="L2783" s="37"/>
      <c r="M2783" s="11"/>
      <c r="N2783" s="100"/>
      <c r="O2783" s="11">
        <f>MIN(K2783:M2783)</f>
        <v>5134</v>
      </c>
      <c r="P2783" s="11">
        <f t="shared" si="758"/>
        <v>5134</v>
      </c>
      <c r="Q2783" s="11">
        <v>1.6</v>
      </c>
      <c r="R2783" s="11">
        <f t="shared" si="759"/>
        <v>8214.4</v>
      </c>
      <c r="S2783" s="11"/>
      <c r="T2783" s="136">
        <f>+N2783*Q2783</f>
        <v>0</v>
      </c>
    </row>
    <row r="2784" spans="1:20" ht="15.75" customHeight="1">
      <c r="A2784" s="149">
        <v>12</v>
      </c>
      <c r="B2784" s="273"/>
      <c r="C2784" s="28" t="s">
        <v>4178</v>
      </c>
      <c r="D2784" s="41">
        <v>580</v>
      </c>
      <c r="E2784" s="131">
        <f t="shared" si="761"/>
        <v>0</v>
      </c>
      <c r="F2784" s="21">
        <f t="shared" si="764"/>
        <v>0</v>
      </c>
      <c r="G2784" s="21"/>
      <c r="H2784" s="135">
        <f t="shared" si="763"/>
        <v>0</v>
      </c>
      <c r="I2784" s="294">
        <v>44805</v>
      </c>
      <c r="J2784" s="294"/>
      <c r="K2784" s="11">
        <v>3773</v>
      </c>
      <c r="L2784" s="11"/>
      <c r="M2784" s="11"/>
      <c r="N2784" s="100"/>
      <c r="O2784" s="11">
        <f t="shared" si="757"/>
        <v>3773</v>
      </c>
      <c r="P2784" s="11">
        <f t="shared" si="758"/>
        <v>3773</v>
      </c>
      <c r="Q2784" s="11"/>
      <c r="R2784" s="11">
        <f t="shared" si="759"/>
        <v>0</v>
      </c>
      <c r="S2784" s="11"/>
      <c r="T2784" s="136">
        <f t="shared" si="760"/>
        <v>0</v>
      </c>
    </row>
    <row r="2785" spans="1:20" ht="15.75" customHeight="1">
      <c r="A2785" s="149">
        <v>33</v>
      </c>
      <c r="B2785" s="273"/>
      <c r="C2785" s="28" t="s">
        <v>3622</v>
      </c>
      <c r="D2785" s="41"/>
      <c r="E2785" s="131">
        <f t="shared" si="761"/>
        <v>2400</v>
      </c>
      <c r="F2785" s="21">
        <f t="shared" si="764"/>
        <v>2904</v>
      </c>
      <c r="G2785" s="21"/>
      <c r="H2785" s="135">
        <f t="shared" si="763"/>
        <v>0</v>
      </c>
      <c r="I2785" s="294">
        <v>44558</v>
      </c>
      <c r="J2785" s="294">
        <v>44603</v>
      </c>
      <c r="K2785" s="11">
        <f>3406*0.7*0.67</f>
        <v>1597.414</v>
      </c>
      <c r="L2785" s="11"/>
      <c r="M2785" s="11"/>
      <c r="N2785" s="100"/>
      <c r="O2785" s="11">
        <f t="shared" si="757"/>
        <v>1597.414</v>
      </c>
      <c r="P2785" s="11">
        <f t="shared" si="758"/>
        <v>1597.414</v>
      </c>
      <c r="Q2785" s="11">
        <v>1.5</v>
      </c>
      <c r="R2785" s="11">
        <f t="shared" si="759"/>
        <v>2396.1210000000001</v>
      </c>
      <c r="S2785" s="11"/>
      <c r="T2785" s="136">
        <f t="shared" si="760"/>
        <v>0</v>
      </c>
    </row>
    <row r="2786" spans="1:20" ht="15.75" customHeight="1">
      <c r="A2786" s="149">
        <v>23</v>
      </c>
      <c r="B2786" s="273"/>
      <c r="C2786" s="28" t="s">
        <v>3440</v>
      </c>
      <c r="D2786" s="71">
        <v>3940</v>
      </c>
      <c r="E2786" s="131">
        <f t="shared" si="761"/>
        <v>119530</v>
      </c>
      <c r="F2786" s="21">
        <f t="shared" si="764"/>
        <v>144631.29999999999</v>
      </c>
      <c r="G2786" s="21"/>
      <c r="H2786" s="135">
        <f t="shared" si="763"/>
        <v>0</v>
      </c>
      <c r="I2786" s="294">
        <v>45351</v>
      </c>
      <c r="J2786" s="294"/>
      <c r="K2786" s="143">
        <f>0.75*109910</f>
        <v>82432.5</v>
      </c>
      <c r="L2786" s="11"/>
      <c r="M2786" s="11"/>
      <c r="N2786" s="100"/>
      <c r="O2786" s="11">
        <f t="shared" si="757"/>
        <v>82432.5</v>
      </c>
      <c r="P2786" s="11">
        <f t="shared" si="758"/>
        <v>82432.5</v>
      </c>
      <c r="Q2786" s="11">
        <v>1.45</v>
      </c>
      <c r="R2786" s="11">
        <f t="shared" si="759"/>
        <v>119527.125</v>
      </c>
      <c r="S2786" s="11"/>
      <c r="T2786" s="136">
        <f t="shared" si="760"/>
        <v>0</v>
      </c>
    </row>
    <row r="2787" spans="1:20" ht="15.75" customHeight="1">
      <c r="A2787" s="149">
        <v>33</v>
      </c>
      <c r="B2787" s="273"/>
      <c r="C2787" s="28" t="s">
        <v>2019</v>
      </c>
      <c r="D2787" s="71">
        <v>2090</v>
      </c>
      <c r="E2787" s="131">
        <f t="shared" si="761"/>
        <v>3780</v>
      </c>
      <c r="F2787" s="21">
        <f t="shared" si="764"/>
        <v>4573.8</v>
      </c>
      <c r="G2787" s="21"/>
      <c r="H2787" s="135">
        <f t="shared" si="763"/>
        <v>0</v>
      </c>
      <c r="I2787" s="294"/>
      <c r="J2787" s="294">
        <v>44718</v>
      </c>
      <c r="K2787" s="11">
        <v>2519</v>
      </c>
      <c r="L2787" s="37"/>
      <c r="M2787" s="11"/>
      <c r="N2787" s="100"/>
      <c r="O2787" s="11">
        <f t="shared" si="757"/>
        <v>2519</v>
      </c>
      <c r="P2787" s="11">
        <f t="shared" si="758"/>
        <v>2519</v>
      </c>
      <c r="Q2787" s="11">
        <v>1.5</v>
      </c>
      <c r="R2787" s="11">
        <f t="shared" si="759"/>
        <v>3778.5</v>
      </c>
      <c r="S2787" s="11"/>
      <c r="T2787" s="136">
        <f t="shared" si="760"/>
        <v>0</v>
      </c>
    </row>
    <row r="2788" spans="1:20" ht="15.75" customHeight="1">
      <c r="A2788" s="149">
        <v>12</v>
      </c>
      <c r="B2788" s="273"/>
      <c r="C2788" s="28" t="s">
        <v>3766</v>
      </c>
      <c r="D2788" s="71"/>
      <c r="E2788" s="131">
        <f t="shared" si="761"/>
        <v>33530</v>
      </c>
      <c r="F2788" s="21">
        <f t="shared" si="764"/>
        <v>40571.299999999996</v>
      </c>
      <c r="G2788" s="21"/>
      <c r="H2788" s="135">
        <f t="shared" si="763"/>
        <v>0</v>
      </c>
      <c r="I2788" s="294">
        <v>45274</v>
      </c>
      <c r="J2788" s="23">
        <v>45338</v>
      </c>
      <c r="K2788" s="11">
        <v>20956</v>
      </c>
      <c r="L2788" s="37"/>
      <c r="M2788" s="11"/>
      <c r="N2788" s="100"/>
      <c r="O2788" s="11">
        <f t="shared" si="757"/>
        <v>20956</v>
      </c>
      <c r="P2788" s="11">
        <f t="shared" si="758"/>
        <v>20956</v>
      </c>
      <c r="Q2788" s="11">
        <v>1.6</v>
      </c>
      <c r="R2788" s="11">
        <f t="shared" si="759"/>
        <v>33529.599999999999</v>
      </c>
      <c r="S2788" s="11"/>
      <c r="T2788" s="136">
        <f t="shared" si="760"/>
        <v>0</v>
      </c>
    </row>
    <row r="2789" spans="1:20" ht="15.75" customHeight="1">
      <c r="A2789" s="149">
        <v>38</v>
      </c>
      <c r="B2789" s="273"/>
      <c r="C2789" s="28" t="s">
        <v>2143</v>
      </c>
      <c r="D2789" s="71">
        <v>1870</v>
      </c>
      <c r="E2789" s="131">
        <f t="shared" si="761"/>
        <v>38030</v>
      </c>
      <c r="F2789" s="21">
        <f t="shared" si="764"/>
        <v>46016.299999999996</v>
      </c>
      <c r="G2789" s="21"/>
      <c r="H2789" s="135">
        <f t="shared" si="763"/>
        <v>32960</v>
      </c>
      <c r="I2789" s="294">
        <v>45138</v>
      </c>
      <c r="J2789" s="294">
        <v>45274</v>
      </c>
      <c r="K2789" s="10">
        <f>+PROVEEDORES!$D$32*24.14</f>
        <v>25347</v>
      </c>
      <c r="L2789" s="11"/>
      <c r="M2789" s="11"/>
      <c r="N2789" s="100">
        <v>21968</v>
      </c>
      <c r="O2789" s="11">
        <f t="shared" si="757"/>
        <v>25347</v>
      </c>
      <c r="P2789" s="11">
        <f t="shared" si="758"/>
        <v>25347</v>
      </c>
      <c r="Q2789" s="11">
        <v>1.5</v>
      </c>
      <c r="R2789" s="11">
        <f t="shared" si="759"/>
        <v>38020.5</v>
      </c>
      <c r="S2789" s="11"/>
      <c r="T2789" s="136">
        <f t="shared" si="760"/>
        <v>32952</v>
      </c>
    </row>
    <row r="2790" spans="1:20" ht="15.75" customHeight="1">
      <c r="A2790" s="149">
        <v>33</v>
      </c>
      <c r="B2790" s="273"/>
      <c r="C2790" s="28" t="s">
        <v>2910</v>
      </c>
      <c r="D2790" s="71">
        <v>2920</v>
      </c>
      <c r="E2790" s="131">
        <f t="shared" si="761"/>
        <v>5580</v>
      </c>
      <c r="F2790" s="21">
        <f t="shared" si="764"/>
        <v>6751.8</v>
      </c>
      <c r="G2790" s="21"/>
      <c r="H2790" s="135">
        <f t="shared" si="763"/>
        <v>4640</v>
      </c>
      <c r="I2790" s="294">
        <v>44262</v>
      </c>
      <c r="J2790" s="294">
        <v>44603</v>
      </c>
      <c r="K2790" s="11">
        <f>0.7*0.67*7930</f>
        <v>3719.1699999999996</v>
      </c>
      <c r="L2790" s="37"/>
      <c r="M2790" s="11"/>
      <c r="N2790" s="100">
        <f>+K2790*0.83</f>
        <v>3086.9110999999994</v>
      </c>
      <c r="O2790" s="11">
        <f t="shared" si="757"/>
        <v>3719.1699999999996</v>
      </c>
      <c r="P2790" s="11">
        <f t="shared" si="758"/>
        <v>3719.1699999999996</v>
      </c>
      <c r="Q2790" s="11">
        <v>1.5</v>
      </c>
      <c r="R2790" s="11">
        <f t="shared" si="759"/>
        <v>5578.7549999999992</v>
      </c>
      <c r="S2790" s="11"/>
      <c r="T2790" s="136">
        <f t="shared" si="760"/>
        <v>4630.366649999999</v>
      </c>
    </row>
    <row r="2791" spans="1:20" ht="15.75" customHeight="1">
      <c r="A2791" s="149">
        <v>12</v>
      </c>
      <c r="B2791" s="304"/>
      <c r="C2791" s="28" t="s">
        <v>3765</v>
      </c>
      <c r="D2791" s="71"/>
      <c r="E2791" s="131">
        <f t="shared" si="761"/>
        <v>46320</v>
      </c>
      <c r="F2791" s="21">
        <f t="shared" si="764"/>
        <v>56047.199999999997</v>
      </c>
      <c r="G2791" s="21"/>
      <c r="H2791" s="135">
        <f t="shared" si="763"/>
        <v>0</v>
      </c>
      <c r="I2791" s="294">
        <v>45274</v>
      </c>
      <c r="J2791" s="23">
        <v>45338</v>
      </c>
      <c r="K2791" s="11">
        <v>28950</v>
      </c>
      <c r="L2791" s="37"/>
      <c r="M2791" s="11"/>
      <c r="N2791" s="100"/>
      <c r="O2791" s="11">
        <f t="shared" si="757"/>
        <v>28950</v>
      </c>
      <c r="P2791" s="11">
        <f t="shared" si="758"/>
        <v>28950</v>
      </c>
      <c r="Q2791" s="11">
        <v>1.6</v>
      </c>
      <c r="R2791" s="11">
        <f t="shared" si="759"/>
        <v>46320</v>
      </c>
      <c r="S2791" s="11"/>
      <c r="T2791" s="136">
        <f t="shared" si="760"/>
        <v>0</v>
      </c>
    </row>
    <row r="2792" spans="1:20" ht="15.75" customHeight="1">
      <c r="A2792" s="149">
        <v>106</v>
      </c>
      <c r="B2792" s="273"/>
      <c r="C2792" s="28" t="s">
        <v>4109</v>
      </c>
      <c r="D2792" s="71"/>
      <c r="E2792" s="131">
        <f t="shared" si="761"/>
        <v>47970</v>
      </c>
      <c r="F2792" s="21">
        <f t="shared" si="764"/>
        <v>58043.7</v>
      </c>
      <c r="G2792" s="21"/>
      <c r="H2792" s="135">
        <f t="shared" si="763"/>
        <v>0</v>
      </c>
      <c r="I2792" s="294">
        <v>45274</v>
      </c>
      <c r="J2792" s="294">
        <v>45334</v>
      </c>
      <c r="K2792" s="11">
        <f>0.82*38995</f>
        <v>31975.899999999998</v>
      </c>
      <c r="L2792" s="37"/>
      <c r="M2792" s="11"/>
      <c r="N2792" s="100"/>
      <c r="O2792" s="11">
        <f t="shared" si="757"/>
        <v>31975.899999999998</v>
      </c>
      <c r="P2792" s="11">
        <f t="shared" si="758"/>
        <v>31975.899999999998</v>
      </c>
      <c r="Q2792" s="11">
        <v>1.5</v>
      </c>
      <c r="R2792" s="11">
        <f t="shared" si="759"/>
        <v>47963.85</v>
      </c>
      <c r="S2792" s="11"/>
      <c r="T2792" s="136">
        <f t="shared" si="760"/>
        <v>0</v>
      </c>
    </row>
    <row r="2793" spans="1:20" ht="15.75" customHeight="1">
      <c r="A2793" s="149">
        <v>23</v>
      </c>
      <c r="B2793" s="273"/>
      <c r="C2793" s="28" t="s">
        <v>3439</v>
      </c>
      <c r="D2793" s="71">
        <v>5310</v>
      </c>
      <c r="E2793" s="131">
        <f t="shared" si="761"/>
        <v>161110</v>
      </c>
      <c r="F2793" s="21">
        <f t="shared" si="764"/>
        <v>194943.1</v>
      </c>
      <c r="G2793" s="21"/>
      <c r="H2793" s="135">
        <f t="shared" si="763"/>
        <v>0</v>
      </c>
      <c r="I2793" s="294">
        <v>45351</v>
      </c>
      <c r="J2793" s="294"/>
      <c r="K2793" s="143">
        <f>0.75*148140</f>
        <v>111105</v>
      </c>
      <c r="L2793" s="11"/>
      <c r="M2793" s="11"/>
      <c r="N2793" s="100"/>
      <c r="O2793" s="11">
        <f t="shared" si="757"/>
        <v>111105</v>
      </c>
      <c r="P2793" s="11">
        <f t="shared" si="758"/>
        <v>111105</v>
      </c>
      <c r="Q2793" s="11">
        <v>1.45</v>
      </c>
      <c r="R2793" s="11">
        <f t="shared" si="759"/>
        <v>161102.25</v>
      </c>
      <c r="S2793" s="11"/>
      <c r="T2793" s="136">
        <f t="shared" si="760"/>
        <v>0</v>
      </c>
    </row>
    <row r="2794" spans="1:20" ht="15.75" customHeight="1">
      <c r="A2794" s="149">
        <v>38</v>
      </c>
      <c r="B2794" s="273"/>
      <c r="C2794" s="28" t="s">
        <v>2142</v>
      </c>
      <c r="D2794" s="71">
        <v>2590</v>
      </c>
      <c r="E2794" s="131">
        <f t="shared" si="761"/>
        <v>68850</v>
      </c>
      <c r="F2794" s="21">
        <f t="shared" si="764"/>
        <v>83308.5</v>
      </c>
      <c r="G2794" s="21"/>
      <c r="H2794" s="135">
        <f t="shared" si="763"/>
        <v>59660</v>
      </c>
      <c r="I2794" s="294">
        <v>45138</v>
      </c>
      <c r="J2794" s="294">
        <v>45274</v>
      </c>
      <c r="K2794" s="10">
        <f>+PROVEEDORES!$D$32*43.71</f>
        <v>45895.5</v>
      </c>
      <c r="L2794" s="11"/>
      <c r="M2794" s="11"/>
      <c r="N2794" s="100">
        <v>39773</v>
      </c>
      <c r="O2794" s="11">
        <f t="shared" si="757"/>
        <v>45895.5</v>
      </c>
      <c r="P2794" s="11">
        <f t="shared" si="758"/>
        <v>45895.5</v>
      </c>
      <c r="Q2794" s="11">
        <v>1.5</v>
      </c>
      <c r="R2794" s="11">
        <f t="shared" si="759"/>
        <v>68843.25</v>
      </c>
      <c r="S2794" s="11"/>
      <c r="T2794" s="136">
        <f t="shared" si="760"/>
        <v>59659.5</v>
      </c>
    </row>
    <row r="2795" spans="1:20" ht="15.75" customHeight="1">
      <c r="A2795" s="149">
        <v>106</v>
      </c>
      <c r="B2795" s="273"/>
      <c r="C2795" s="28" t="s">
        <v>3970</v>
      </c>
      <c r="D2795" s="71"/>
      <c r="E2795" s="131">
        <f t="shared" si="761"/>
        <v>65750</v>
      </c>
      <c r="F2795" s="21">
        <f t="shared" si="764"/>
        <v>79557.5</v>
      </c>
      <c r="G2795" s="21"/>
      <c r="H2795" s="135">
        <f t="shared" ref="H2795:H2825" si="765">ROUNDUP(T2795,-1)</f>
        <v>0</v>
      </c>
      <c r="I2795" s="294">
        <v>45274</v>
      </c>
      <c r="J2795" s="294">
        <v>45376</v>
      </c>
      <c r="K2795" s="10">
        <f>0.82*53455</f>
        <v>43833.1</v>
      </c>
      <c r="L2795" s="11"/>
      <c r="M2795" s="11"/>
      <c r="N2795" s="10"/>
      <c r="O2795" s="11">
        <f t="shared" si="757"/>
        <v>43833.1</v>
      </c>
      <c r="P2795" s="11">
        <f t="shared" si="758"/>
        <v>43833.1</v>
      </c>
      <c r="Q2795" s="11">
        <v>1.5</v>
      </c>
      <c r="R2795" s="11">
        <f t="shared" si="759"/>
        <v>65749.649999999994</v>
      </c>
      <c r="S2795" s="11"/>
      <c r="T2795" s="136">
        <f t="shared" si="760"/>
        <v>0</v>
      </c>
    </row>
    <row r="2796" spans="1:20" ht="15.75" customHeight="1">
      <c r="A2796" s="149">
        <v>23</v>
      </c>
      <c r="B2796" s="273"/>
      <c r="C2796" s="28" t="s">
        <v>3438</v>
      </c>
      <c r="D2796" s="71">
        <v>4350</v>
      </c>
      <c r="E2796" s="131">
        <f t="shared" si="761"/>
        <v>118210</v>
      </c>
      <c r="F2796" s="21">
        <f t="shared" si="764"/>
        <v>143034.1</v>
      </c>
      <c r="G2796" s="21"/>
      <c r="H2796" s="135">
        <f t="shared" si="765"/>
        <v>0</v>
      </c>
      <c r="I2796" s="294">
        <v>45351</v>
      </c>
      <c r="J2796" s="294"/>
      <c r="K2796" s="143">
        <f>0.75*108690</f>
        <v>81517.5</v>
      </c>
      <c r="L2796" s="11"/>
      <c r="M2796" s="11"/>
      <c r="N2796" s="100"/>
      <c r="O2796" s="11">
        <f t="shared" si="757"/>
        <v>81517.5</v>
      </c>
      <c r="P2796" s="11">
        <f t="shared" si="758"/>
        <v>81517.5</v>
      </c>
      <c r="Q2796" s="11">
        <v>1.45</v>
      </c>
      <c r="R2796" s="11">
        <f t="shared" si="759"/>
        <v>118200.375</v>
      </c>
      <c r="S2796" s="11"/>
      <c r="T2796" s="136">
        <f t="shared" si="760"/>
        <v>0</v>
      </c>
    </row>
    <row r="2797" spans="1:20" ht="15.75" customHeight="1">
      <c r="A2797" s="149"/>
      <c r="B2797" s="273"/>
      <c r="C2797" s="28" t="s">
        <v>2020</v>
      </c>
      <c r="D2797" s="71"/>
      <c r="E2797" s="131">
        <f t="shared" si="761"/>
        <v>0</v>
      </c>
      <c r="F2797" s="21">
        <f t="shared" si="764"/>
        <v>0</v>
      </c>
      <c r="G2797" s="21"/>
      <c r="H2797" s="135">
        <f t="shared" si="765"/>
        <v>0</v>
      </c>
      <c r="I2797" s="294"/>
      <c r="J2797" s="294">
        <v>43273</v>
      </c>
      <c r="K2797" s="11">
        <f>1111*1.45*1.05</f>
        <v>1691.4975000000002</v>
      </c>
      <c r="L2797" s="11">
        <f>1515*0.95*0.59*1.4</f>
        <v>1188.8204999999998</v>
      </c>
      <c r="M2797" s="11"/>
      <c r="N2797" s="100"/>
      <c r="O2797" s="11">
        <f t="shared" si="757"/>
        <v>1188.8204999999998</v>
      </c>
      <c r="P2797" s="11">
        <f t="shared" si="758"/>
        <v>1188.8204999999998</v>
      </c>
      <c r="Q2797" s="11"/>
      <c r="R2797" s="11">
        <f t="shared" si="759"/>
        <v>0</v>
      </c>
      <c r="S2797" s="11"/>
      <c r="T2797" s="136">
        <f t="shared" si="760"/>
        <v>0</v>
      </c>
    </row>
    <row r="2798" spans="1:20" ht="15.75" customHeight="1">
      <c r="A2798" s="149">
        <v>33</v>
      </c>
      <c r="B2798" s="273"/>
      <c r="C2798" s="28" t="s">
        <v>2021</v>
      </c>
      <c r="D2798" s="71">
        <v>4000</v>
      </c>
      <c r="E2798" s="131">
        <f t="shared" si="761"/>
        <v>7010</v>
      </c>
      <c r="F2798" s="21">
        <f t="shared" si="764"/>
        <v>8482.1</v>
      </c>
      <c r="G2798" s="21"/>
      <c r="H2798" s="135">
        <f t="shared" si="765"/>
        <v>0</v>
      </c>
      <c r="I2798" s="294"/>
      <c r="J2798" s="294">
        <v>44609</v>
      </c>
      <c r="K2798" s="11">
        <f>0.7*0.64*9963*2</f>
        <v>8926.848</v>
      </c>
      <c r="L2798" s="37">
        <v>4673</v>
      </c>
      <c r="M2798" s="11"/>
      <c r="N2798" s="100"/>
      <c r="O2798" s="11">
        <f t="shared" si="757"/>
        <v>4673</v>
      </c>
      <c r="P2798" s="11">
        <f t="shared" si="758"/>
        <v>4673</v>
      </c>
      <c r="Q2798" s="11">
        <v>1.5</v>
      </c>
      <c r="R2798" s="11">
        <f t="shared" si="759"/>
        <v>7009.5</v>
      </c>
      <c r="S2798" s="11"/>
      <c r="T2798" s="136">
        <f t="shared" si="760"/>
        <v>0</v>
      </c>
    </row>
    <row r="2799" spans="1:20" ht="15.75" customHeight="1">
      <c r="A2799" s="149"/>
      <c r="B2799" s="273"/>
      <c r="C2799" s="28" t="s">
        <v>4139</v>
      </c>
      <c r="D2799" s="71"/>
      <c r="E2799" s="131">
        <f t="shared" si="761"/>
        <v>19690</v>
      </c>
      <c r="F2799" s="21">
        <f t="shared" si="764"/>
        <v>23824.899999999998</v>
      </c>
      <c r="G2799" s="21"/>
      <c r="H2799" s="135">
        <f t="shared" si="765"/>
        <v>18510</v>
      </c>
      <c r="I2799" s="294">
        <v>45138</v>
      </c>
      <c r="J2799" s="294"/>
      <c r="K2799" s="143">
        <f>+PROVEEDORES!$D$32*12.5</f>
        <v>13125</v>
      </c>
      <c r="L2799" s="37"/>
      <c r="M2799" s="11"/>
      <c r="N2799" s="100">
        <f>+K2799*0.94</f>
        <v>12337.5</v>
      </c>
      <c r="O2799" s="11">
        <f t="shared" si="757"/>
        <v>13125</v>
      </c>
      <c r="P2799" s="11">
        <f t="shared" si="758"/>
        <v>13125</v>
      </c>
      <c r="Q2799" s="11">
        <v>1.5</v>
      </c>
      <c r="R2799" s="11">
        <f t="shared" si="759"/>
        <v>19687.5</v>
      </c>
      <c r="S2799" s="11"/>
      <c r="T2799" s="136">
        <f t="shared" si="760"/>
        <v>18506.25</v>
      </c>
    </row>
    <row r="2800" spans="1:20" ht="15.75" customHeight="1">
      <c r="A2800" s="149" t="s">
        <v>37237</v>
      </c>
      <c r="B2800" s="273"/>
      <c r="C2800" s="28" t="s">
        <v>2022</v>
      </c>
      <c r="D2800" s="71">
        <v>200</v>
      </c>
      <c r="E2800" s="131">
        <f t="shared" si="761"/>
        <v>4920</v>
      </c>
      <c r="F2800" s="21">
        <f t="shared" si="764"/>
        <v>5953.2</v>
      </c>
      <c r="G2800" s="21"/>
      <c r="H2800" s="135">
        <f t="shared" si="765"/>
        <v>0</v>
      </c>
      <c r="I2800" s="294">
        <v>45145</v>
      </c>
      <c r="J2800" s="40">
        <v>45324</v>
      </c>
      <c r="K2800" s="32">
        <f>2250*2</f>
        <v>4500</v>
      </c>
      <c r="L2800" s="50"/>
      <c r="M2800" s="11">
        <f>0.7*0.9*4335</f>
        <v>2731.05</v>
      </c>
      <c r="N2800" s="100"/>
      <c r="O2800" s="11">
        <f t="shared" si="757"/>
        <v>2731.05</v>
      </c>
      <c r="P2800" s="11">
        <f t="shared" si="758"/>
        <v>2731.05</v>
      </c>
      <c r="Q2800" s="11">
        <v>1.8</v>
      </c>
      <c r="R2800" s="11">
        <f t="shared" si="759"/>
        <v>4915.8900000000003</v>
      </c>
      <c r="S2800" s="11"/>
      <c r="T2800" s="136">
        <f t="shared" si="760"/>
        <v>0</v>
      </c>
    </row>
    <row r="2801" spans="1:20" ht="15.75" customHeight="1">
      <c r="A2801" s="149"/>
      <c r="B2801" s="273"/>
      <c r="C2801" s="28" t="s">
        <v>2023</v>
      </c>
      <c r="D2801" s="71">
        <v>1.5</v>
      </c>
      <c r="E2801" s="131">
        <f t="shared" si="761"/>
        <v>0</v>
      </c>
      <c r="F2801" s="21">
        <f t="shared" si="764"/>
        <v>0</v>
      </c>
      <c r="G2801" s="21"/>
      <c r="H2801" s="135">
        <f t="shared" si="765"/>
        <v>0</v>
      </c>
      <c r="I2801" s="294">
        <v>43089</v>
      </c>
      <c r="J2801" s="294"/>
      <c r="K2801" s="10">
        <f>81/144*2</f>
        <v>1.125</v>
      </c>
      <c r="L2801" s="11"/>
      <c r="M2801" s="11"/>
      <c r="N2801" s="100"/>
      <c r="O2801" s="11">
        <f t="shared" si="757"/>
        <v>1.125</v>
      </c>
      <c r="P2801" s="11">
        <f t="shared" si="758"/>
        <v>1.125</v>
      </c>
      <c r="Q2801" s="11"/>
      <c r="R2801" s="11">
        <f t="shared" si="759"/>
        <v>0</v>
      </c>
      <c r="S2801" s="11"/>
      <c r="T2801" s="136">
        <f t="shared" si="760"/>
        <v>0</v>
      </c>
    </row>
    <row r="2802" spans="1:20" ht="15.75" customHeight="1">
      <c r="A2802" s="149">
        <v>12</v>
      </c>
      <c r="B2802" s="273"/>
      <c r="C2802" s="28" t="s">
        <v>4451</v>
      </c>
      <c r="D2802" s="71">
        <v>1.5</v>
      </c>
      <c r="E2802" s="131">
        <f t="shared" si="761"/>
        <v>3720</v>
      </c>
      <c r="F2802" s="21">
        <f t="shared" si="764"/>
        <v>4501.2</v>
      </c>
      <c r="G2802" s="21"/>
      <c r="H2802" s="135">
        <f t="shared" si="765"/>
        <v>0</v>
      </c>
      <c r="I2802" s="294">
        <v>45274</v>
      </c>
      <c r="J2802" s="294"/>
      <c r="K2802" s="10">
        <v>2188</v>
      </c>
      <c r="L2802" s="11"/>
      <c r="M2802" s="11"/>
      <c r="N2802" s="100"/>
      <c r="O2802" s="11">
        <f t="shared" si="757"/>
        <v>2188</v>
      </c>
      <c r="P2802" s="11">
        <f t="shared" si="758"/>
        <v>2188</v>
      </c>
      <c r="Q2802" s="11">
        <v>1.7</v>
      </c>
      <c r="R2802" s="11">
        <f t="shared" si="759"/>
        <v>3719.6</v>
      </c>
      <c r="S2802" s="11"/>
      <c r="T2802" s="136">
        <f t="shared" si="760"/>
        <v>0</v>
      </c>
    </row>
    <row r="2803" spans="1:20" ht="15.75" customHeight="1">
      <c r="A2803" s="149">
        <v>12</v>
      </c>
      <c r="B2803" s="273"/>
      <c r="C2803" s="28" t="s">
        <v>44342</v>
      </c>
      <c r="D2803" s="71">
        <v>1.5</v>
      </c>
      <c r="E2803" s="131">
        <f t="shared" ref="E2803" si="766">ROUNDUP(R2803,-1)</f>
        <v>45000</v>
      </c>
      <c r="F2803" s="21">
        <f t="shared" ref="F2803" si="767">+E2803*1.21</f>
        <v>54450</v>
      </c>
      <c r="G2803" s="21"/>
      <c r="H2803" s="135">
        <f t="shared" ref="H2803" si="768">ROUNDUP(T2803,-1)</f>
        <v>0</v>
      </c>
      <c r="I2803" s="294">
        <v>45299</v>
      </c>
      <c r="J2803" s="294"/>
      <c r="K2803" s="10">
        <v>30000</v>
      </c>
      <c r="L2803" s="11"/>
      <c r="M2803" s="11"/>
      <c r="N2803" s="100"/>
      <c r="O2803" s="11">
        <f t="shared" ref="O2803" si="769">MIN(K2803:M2803)</f>
        <v>30000</v>
      </c>
      <c r="P2803" s="11">
        <f t="shared" ref="P2803" si="770">+O2803</f>
        <v>30000</v>
      </c>
      <c r="Q2803" s="11">
        <v>1.5</v>
      </c>
      <c r="R2803" s="11">
        <f t="shared" ref="R2803" si="771">+P2803*Q2803</f>
        <v>45000</v>
      </c>
      <c r="S2803" s="11"/>
      <c r="T2803" s="136">
        <f t="shared" ref="T2803" si="772">+N2803*Q2803</f>
        <v>0</v>
      </c>
    </row>
    <row r="2804" spans="1:20" ht="15.75" customHeight="1">
      <c r="A2804" s="149">
        <v>106</v>
      </c>
      <c r="B2804" s="273"/>
      <c r="C2804" s="28" t="s">
        <v>4482</v>
      </c>
      <c r="D2804" s="165"/>
      <c r="E2804" s="131">
        <f t="shared" si="761"/>
        <v>6180</v>
      </c>
      <c r="F2804" s="21" t="s">
        <v>1248</v>
      </c>
      <c r="G2804" s="21">
        <f>+E2804*1.105</f>
        <v>6828.9</v>
      </c>
      <c r="H2804" s="135">
        <f t="shared" si="765"/>
        <v>0</v>
      </c>
      <c r="I2804" s="294">
        <v>45274</v>
      </c>
      <c r="J2804" s="294"/>
      <c r="K2804" s="289">
        <f>0.82*4706</f>
        <v>3858.9199999999996</v>
      </c>
      <c r="L2804" s="11"/>
      <c r="M2804" s="11"/>
      <c r="N2804" s="100"/>
      <c r="O2804" s="11">
        <f t="shared" si="757"/>
        <v>3858.9199999999996</v>
      </c>
      <c r="P2804" s="11">
        <f t="shared" si="758"/>
        <v>3858.9199999999996</v>
      </c>
      <c r="Q2804" s="11">
        <v>1.6</v>
      </c>
      <c r="R2804" s="11">
        <f t="shared" si="759"/>
        <v>6174.2719999999999</v>
      </c>
      <c r="S2804" s="11"/>
      <c r="T2804" s="136">
        <f t="shared" si="760"/>
        <v>0</v>
      </c>
    </row>
    <row r="2805" spans="1:20" ht="15.75" customHeight="1">
      <c r="A2805" s="149">
        <v>50</v>
      </c>
      <c r="B2805" s="273">
        <f>ROUNDUP(E2805*1.105,-1)</f>
        <v>43590</v>
      </c>
      <c r="C2805" s="28" t="s">
        <v>44263</v>
      </c>
      <c r="D2805" s="142">
        <v>1120</v>
      </c>
      <c r="E2805" s="139">
        <f t="shared" si="761"/>
        <v>39440</v>
      </c>
      <c r="F2805" s="21">
        <f t="shared" si="764"/>
        <v>47722.400000000001</v>
      </c>
      <c r="G2805" s="21"/>
      <c r="H2805" s="135">
        <f t="shared" si="765"/>
        <v>35900</v>
      </c>
      <c r="I2805" s="294">
        <v>45385</v>
      </c>
      <c r="J2805" s="294"/>
      <c r="K2805" s="43">
        <f>PROVEEDORES!$D$44*0.58*54.88</f>
        <v>28169.903999999999</v>
      </c>
      <c r="L2805" s="11"/>
      <c r="M2805" s="10"/>
      <c r="N2805" s="171">
        <f>PROVEEDORES!$D$44*0.5985*48.4</f>
        <v>25636.149000000001</v>
      </c>
      <c r="O2805" s="11">
        <f t="shared" si="757"/>
        <v>28169.903999999999</v>
      </c>
      <c r="P2805" s="11">
        <f t="shared" si="758"/>
        <v>28169.903999999999</v>
      </c>
      <c r="Q2805" s="11">
        <v>1.4</v>
      </c>
      <c r="R2805" s="11">
        <f t="shared" si="759"/>
        <v>39437.865599999997</v>
      </c>
      <c r="S2805" s="11"/>
      <c r="T2805" s="136">
        <f t="shared" si="760"/>
        <v>35890.6086</v>
      </c>
    </row>
    <row r="2806" spans="1:20" ht="15.75" customHeight="1">
      <c r="A2806" s="149">
        <v>50</v>
      </c>
      <c r="B2806" s="273">
        <f>ROUNDUP(E2806*1.105,-1)</f>
        <v>50590</v>
      </c>
      <c r="C2806" s="28" t="s">
        <v>44264</v>
      </c>
      <c r="D2806" s="142">
        <v>1400</v>
      </c>
      <c r="E2806" s="139">
        <f t="shared" si="761"/>
        <v>45780</v>
      </c>
      <c r="F2806" s="21">
        <f t="shared" ref="F2806:F2831" si="773">+E2806*1.21</f>
        <v>55393.799999999996</v>
      </c>
      <c r="G2806" s="21"/>
      <c r="H2806" s="135">
        <f t="shared" si="765"/>
        <v>42830</v>
      </c>
      <c r="I2806" s="294">
        <v>45385</v>
      </c>
      <c r="J2806" s="294"/>
      <c r="K2806" s="43">
        <f>PROVEEDORES!$D$44*0.58*63.7</f>
        <v>32697.21</v>
      </c>
      <c r="L2806" s="11"/>
      <c r="M2806" s="11"/>
      <c r="N2806" s="171">
        <f>PROVEEDORES!$D$44*0.5985*57.75</f>
        <v>30588.586875000001</v>
      </c>
      <c r="O2806" s="11">
        <f t="shared" ref="O2806:O2864" si="774">MIN(K2806:M2806)</f>
        <v>32697.21</v>
      </c>
      <c r="P2806" s="11">
        <f t="shared" ref="P2806:P2863" si="775">+O2806</f>
        <v>32697.21</v>
      </c>
      <c r="Q2806" s="11">
        <v>1.4</v>
      </c>
      <c r="R2806" s="11">
        <f t="shared" ref="R2806:R2863" si="776">+P2806*Q2806</f>
        <v>45776.093999999997</v>
      </c>
      <c r="S2806" s="11"/>
      <c r="T2806" s="136">
        <f t="shared" si="760"/>
        <v>42824.021625000001</v>
      </c>
    </row>
    <row r="2807" spans="1:20" ht="15.75" customHeight="1">
      <c r="A2807" s="149">
        <v>18</v>
      </c>
      <c r="B2807" s="273"/>
      <c r="C2807" s="28" t="s">
        <v>2024</v>
      </c>
      <c r="D2807" s="71">
        <v>670</v>
      </c>
      <c r="E2807" s="131">
        <f t="shared" si="761"/>
        <v>0</v>
      </c>
      <c r="F2807" s="21">
        <f t="shared" si="773"/>
        <v>0</v>
      </c>
      <c r="G2807" s="21"/>
      <c r="H2807" s="135">
        <f t="shared" si="765"/>
        <v>0</v>
      </c>
      <c r="I2807" s="23">
        <v>45275</v>
      </c>
      <c r="J2807" s="294">
        <v>42571</v>
      </c>
      <c r="K2807" s="11">
        <f>522*0.8*1.6</f>
        <v>668.16000000000008</v>
      </c>
      <c r="L2807" s="11"/>
      <c r="M2807" s="11"/>
      <c r="N2807" s="100"/>
      <c r="O2807" s="11">
        <f t="shared" si="774"/>
        <v>668.16000000000008</v>
      </c>
      <c r="P2807" s="11">
        <f>+O2807*'AUMENTOS %'!$B$5</f>
        <v>668.16000000000008</v>
      </c>
      <c r="Q2807" s="11"/>
      <c r="R2807" s="11">
        <f t="shared" si="776"/>
        <v>0</v>
      </c>
      <c r="S2807" s="11"/>
      <c r="T2807" s="136">
        <f t="shared" si="760"/>
        <v>0</v>
      </c>
    </row>
    <row r="2808" spans="1:20" ht="15.75" customHeight="1">
      <c r="A2808" s="149"/>
      <c r="B2808" s="273"/>
      <c r="C2808" s="28" t="s">
        <v>3449</v>
      </c>
      <c r="D2808" s="71">
        <v>670</v>
      </c>
      <c r="E2808" s="131">
        <f t="shared" si="761"/>
        <v>3200</v>
      </c>
      <c r="F2808" s="21">
        <f t="shared" si="773"/>
        <v>3872</v>
      </c>
      <c r="G2808" s="21"/>
      <c r="H2808" s="135">
        <f t="shared" si="765"/>
        <v>0</v>
      </c>
      <c r="I2808" s="294"/>
      <c r="J2808" s="294">
        <v>45243</v>
      </c>
      <c r="K2808" s="11">
        <v>1994</v>
      </c>
      <c r="L2808" s="11"/>
      <c r="M2808" s="11"/>
      <c r="N2808" s="100"/>
      <c r="O2808" s="11">
        <f>MIN(K2808:M2808)*'AUMENTOS %'!B9</f>
        <v>1994</v>
      </c>
      <c r="P2808" s="11">
        <f t="shared" si="775"/>
        <v>1994</v>
      </c>
      <c r="Q2808" s="11">
        <v>1.6</v>
      </c>
      <c r="R2808" s="11">
        <f t="shared" si="776"/>
        <v>3190.4</v>
      </c>
      <c r="S2808" s="11"/>
      <c r="T2808" s="136">
        <f t="shared" si="760"/>
        <v>0</v>
      </c>
    </row>
    <row r="2809" spans="1:20" ht="15.75" customHeight="1">
      <c r="A2809" s="149">
        <v>44</v>
      </c>
      <c r="B2809" s="273">
        <f>ROUNDUP(H2809*1.105,-1)</f>
        <v>224330</v>
      </c>
      <c r="C2809" s="28" t="s">
        <v>2893</v>
      </c>
      <c r="D2809" s="71">
        <v>3240</v>
      </c>
      <c r="E2809" s="140">
        <f t="shared" si="761"/>
        <v>324460</v>
      </c>
      <c r="F2809" s="21">
        <f t="shared" si="773"/>
        <v>392596.6</v>
      </c>
      <c r="G2809" s="21"/>
      <c r="H2809" s="135">
        <f t="shared" si="765"/>
        <v>203010</v>
      </c>
      <c r="I2809" s="294">
        <v>45287</v>
      </c>
      <c r="J2809" s="294">
        <v>45342</v>
      </c>
      <c r="K2809" s="10">
        <f>+PROVEEDORES!$D$38*261.87</f>
        <v>231754.95</v>
      </c>
      <c r="L2809" s="11"/>
      <c r="M2809" s="11"/>
      <c r="N2809" s="100">
        <f>170590*0.85</f>
        <v>145001.5</v>
      </c>
      <c r="O2809" s="11">
        <f t="shared" si="774"/>
        <v>231754.95</v>
      </c>
      <c r="P2809" s="11">
        <f t="shared" si="775"/>
        <v>231754.95</v>
      </c>
      <c r="Q2809" s="11">
        <v>1.4</v>
      </c>
      <c r="R2809" s="11">
        <f t="shared" si="776"/>
        <v>324456.93</v>
      </c>
      <c r="S2809" s="11"/>
      <c r="T2809" s="136">
        <f t="shared" si="760"/>
        <v>203002.09999999998</v>
      </c>
    </row>
    <row r="2810" spans="1:20" ht="15.75" customHeight="1">
      <c r="A2810" s="149">
        <v>50</v>
      </c>
      <c r="B2810" s="273">
        <f>ROUNDUP(E2810*1.105,-1)</f>
        <v>250300</v>
      </c>
      <c r="C2810" s="28" t="s">
        <v>44265</v>
      </c>
      <c r="D2810" s="142">
        <v>10010</v>
      </c>
      <c r="E2810" s="139">
        <f t="shared" si="761"/>
        <v>226510</v>
      </c>
      <c r="F2810" s="21">
        <f t="shared" si="773"/>
        <v>274077.09999999998</v>
      </c>
      <c r="G2810" s="21"/>
      <c r="H2810" s="135">
        <f t="shared" si="765"/>
        <v>218150</v>
      </c>
      <c r="I2810" s="294">
        <v>45385</v>
      </c>
      <c r="J2810" s="294"/>
      <c r="K2810" s="43">
        <f>PROVEEDORES!$D$44*0.58*315.2</f>
        <v>161792.15999999997</v>
      </c>
      <c r="L2810" s="11"/>
      <c r="M2810" s="10"/>
      <c r="N2810" s="171">
        <f>PROVEEDORES!$D$44*0.5985*294.18</f>
        <v>155819.05605000001</v>
      </c>
      <c r="O2810" s="11">
        <f t="shared" si="774"/>
        <v>161792.15999999997</v>
      </c>
      <c r="P2810" s="11">
        <f t="shared" si="775"/>
        <v>161792.15999999997</v>
      </c>
      <c r="Q2810" s="11">
        <v>1.4</v>
      </c>
      <c r="R2810" s="11">
        <f t="shared" si="776"/>
        <v>226509.02399999995</v>
      </c>
      <c r="S2810" s="11"/>
      <c r="T2810" s="136">
        <f t="shared" si="760"/>
        <v>218146.67847000001</v>
      </c>
    </row>
    <row r="2811" spans="1:20" ht="15.75" customHeight="1">
      <c r="A2811" s="149"/>
      <c r="B2811" s="273"/>
      <c r="C2811" s="28" t="s">
        <v>2182</v>
      </c>
      <c r="D2811" s="71">
        <v>1000</v>
      </c>
      <c r="E2811" s="131">
        <f t="shared" si="761"/>
        <v>39600</v>
      </c>
      <c r="F2811" s="21">
        <f t="shared" si="773"/>
        <v>47916</v>
      </c>
      <c r="G2811" s="21"/>
      <c r="H2811" s="135">
        <f t="shared" si="765"/>
        <v>0</v>
      </c>
      <c r="I2811" s="294">
        <v>45279</v>
      </c>
      <c r="J2811" s="294">
        <v>45371</v>
      </c>
      <c r="K2811" s="11">
        <v>22000</v>
      </c>
      <c r="L2811" s="11"/>
      <c r="M2811" s="10"/>
      <c r="N2811" s="100"/>
      <c r="O2811" s="11">
        <f t="shared" si="774"/>
        <v>22000</v>
      </c>
      <c r="P2811" s="11">
        <f t="shared" si="775"/>
        <v>22000</v>
      </c>
      <c r="Q2811" s="11">
        <v>1.8</v>
      </c>
      <c r="R2811" s="11">
        <f t="shared" si="776"/>
        <v>39600</v>
      </c>
      <c r="S2811" s="11"/>
      <c r="T2811" s="136">
        <f t="shared" si="760"/>
        <v>0</v>
      </c>
    </row>
    <row r="2812" spans="1:20" ht="15.75" customHeight="1">
      <c r="A2812" s="149">
        <v>44</v>
      </c>
      <c r="B2812" s="273">
        <f>ROUNDUP(H2812*1.105,-1)</f>
        <v>184930</v>
      </c>
      <c r="C2812" s="28" t="s">
        <v>2025</v>
      </c>
      <c r="D2812" s="71">
        <v>7400</v>
      </c>
      <c r="E2812" s="140">
        <f t="shared" si="761"/>
        <v>193360</v>
      </c>
      <c r="F2812" s="21">
        <f t="shared" si="773"/>
        <v>233965.6</v>
      </c>
      <c r="G2812" s="21"/>
      <c r="H2812" s="135">
        <f t="shared" si="765"/>
        <v>167350</v>
      </c>
      <c r="I2812" s="294">
        <v>45287</v>
      </c>
      <c r="J2812" s="294">
        <v>45329</v>
      </c>
      <c r="K2812" s="10">
        <f>+PROVEEDORES!$D$38*156.06</f>
        <v>138113.1</v>
      </c>
      <c r="L2812" s="11"/>
      <c r="M2812" s="11"/>
      <c r="N2812" s="100">
        <v>119530</v>
      </c>
      <c r="O2812" s="11">
        <f t="shared" si="774"/>
        <v>138113.1</v>
      </c>
      <c r="P2812" s="11">
        <f t="shared" si="775"/>
        <v>138113.1</v>
      </c>
      <c r="Q2812" s="11">
        <v>1.4</v>
      </c>
      <c r="R2812" s="11">
        <f t="shared" si="776"/>
        <v>193358.34</v>
      </c>
      <c r="S2812" s="11"/>
      <c r="T2812" s="136">
        <f t="shared" si="760"/>
        <v>167342</v>
      </c>
    </row>
    <row r="2813" spans="1:20" ht="15.75" customHeight="1">
      <c r="A2813" s="149">
        <v>44</v>
      </c>
      <c r="B2813" s="273">
        <f>ROUNDUP(H2813*1.105,-1)</f>
        <v>372470</v>
      </c>
      <c r="C2813" s="28" t="s">
        <v>2026</v>
      </c>
      <c r="D2813" s="71">
        <v>12710</v>
      </c>
      <c r="E2813" s="140">
        <f>ROUNDUP(R2813,-1)</f>
        <v>372470</v>
      </c>
      <c r="F2813" s="21">
        <f>+E2813*1.21</f>
        <v>450688.7</v>
      </c>
      <c r="G2813" s="21"/>
      <c r="H2813" s="135">
        <f>ROUNDUP(T2813,-1)</f>
        <v>337070</v>
      </c>
      <c r="I2813" s="294">
        <v>45287</v>
      </c>
      <c r="J2813" s="294">
        <v>45329</v>
      </c>
      <c r="K2813" s="10">
        <f>+PROVEEDORES!$D$38*300.62</f>
        <v>266048.7</v>
      </c>
      <c r="L2813" s="11"/>
      <c r="M2813" s="11"/>
      <c r="N2813" s="100">
        <v>240760</v>
      </c>
      <c r="O2813" s="11">
        <f>MIN(K2813:M2813)</f>
        <v>266048.7</v>
      </c>
      <c r="P2813" s="11">
        <f t="shared" si="775"/>
        <v>266048.7</v>
      </c>
      <c r="Q2813" s="11">
        <v>1.4</v>
      </c>
      <c r="R2813" s="11">
        <f t="shared" si="776"/>
        <v>372468.18</v>
      </c>
      <c r="S2813" s="11"/>
      <c r="T2813" s="136">
        <f>+N2813*Q2813</f>
        <v>337064</v>
      </c>
    </row>
    <row r="2814" spans="1:20" ht="15.75" customHeight="1">
      <c r="A2814" s="149" t="s">
        <v>2398</v>
      </c>
      <c r="B2814" s="273">
        <f>ROUNDUP(E2814*1.105,-1)</f>
        <v>83790</v>
      </c>
      <c r="C2814" s="28" t="s">
        <v>37205</v>
      </c>
      <c r="D2814" s="71">
        <v>3730</v>
      </c>
      <c r="E2814" s="131">
        <f t="shared" si="761"/>
        <v>75820</v>
      </c>
      <c r="F2814" s="21">
        <f t="shared" si="773"/>
        <v>91742.2</v>
      </c>
      <c r="G2814" s="21"/>
      <c r="H2814" s="135">
        <f t="shared" si="765"/>
        <v>0</v>
      </c>
      <c r="I2814" s="23">
        <v>45323</v>
      </c>
      <c r="J2814" s="294"/>
      <c r="K2814" s="10">
        <f>0.8*0.98*0.94*74543</f>
        <v>54935.209279999995</v>
      </c>
      <c r="L2814" s="10"/>
      <c r="M2814" s="11"/>
      <c r="N2814" s="100"/>
      <c r="O2814" s="11">
        <f t="shared" si="774"/>
        <v>54935.209279999995</v>
      </c>
      <c r="P2814" s="11">
        <f>+O2814*'AUMENTOS %'!$B$5</f>
        <v>54935.209279999995</v>
      </c>
      <c r="Q2814" s="11">
        <v>1.38</v>
      </c>
      <c r="R2814" s="11">
        <f t="shared" si="776"/>
        <v>75810.588806399988</v>
      </c>
      <c r="S2814" s="11"/>
      <c r="T2814" s="136">
        <f t="shared" si="760"/>
        <v>0</v>
      </c>
    </row>
    <row r="2815" spans="1:20" ht="15.75" customHeight="1">
      <c r="A2815" s="149" t="s">
        <v>2398</v>
      </c>
      <c r="B2815" s="273">
        <f>ROUNDUP(E2815*1.105,-1)</f>
        <v>202780</v>
      </c>
      <c r="C2815" s="28" t="s">
        <v>37206</v>
      </c>
      <c r="D2815" s="71">
        <v>8050</v>
      </c>
      <c r="E2815" s="131">
        <f t="shared" si="761"/>
        <v>183510</v>
      </c>
      <c r="F2815" s="21">
        <f t="shared" si="773"/>
        <v>222047.1</v>
      </c>
      <c r="G2815" s="21"/>
      <c r="H2815" s="135">
        <f t="shared" si="765"/>
        <v>0</v>
      </c>
      <c r="I2815" s="23">
        <v>45323</v>
      </c>
      <c r="J2815" s="294"/>
      <c r="K2815" s="10">
        <f>0.8*0.98*0.94*155629</f>
        <v>114692.34783999999</v>
      </c>
      <c r="L2815" s="10"/>
      <c r="M2815" s="11"/>
      <c r="N2815" s="100"/>
      <c r="O2815" s="11">
        <f t="shared" si="774"/>
        <v>114692.34783999999</v>
      </c>
      <c r="P2815" s="11">
        <f>+O2815*'AUMENTOS %'!$B$5</f>
        <v>114692.34783999999</v>
      </c>
      <c r="Q2815" s="11">
        <v>1.6</v>
      </c>
      <c r="R2815" s="11">
        <f t="shared" si="776"/>
        <v>183507.756544</v>
      </c>
      <c r="S2815" s="11"/>
      <c r="T2815" s="136">
        <f t="shared" si="760"/>
        <v>0</v>
      </c>
    </row>
    <row r="2816" spans="1:20" ht="15.75" customHeight="1">
      <c r="A2816" s="149">
        <v>44</v>
      </c>
      <c r="B2816" s="273">
        <f>ROUNDUP(H2816*1.105,-1)</f>
        <v>1878050</v>
      </c>
      <c r="C2816" s="28" t="s">
        <v>37208</v>
      </c>
      <c r="D2816" s="71">
        <v>64040</v>
      </c>
      <c r="E2816" s="140">
        <f t="shared" si="761"/>
        <v>1817940</v>
      </c>
      <c r="F2816" s="21">
        <f t="shared" si="773"/>
        <v>2199707.4</v>
      </c>
      <c r="G2816" s="21"/>
      <c r="H2816" s="135">
        <f t="shared" si="765"/>
        <v>1699590</v>
      </c>
      <c r="I2816" s="294">
        <v>45287</v>
      </c>
      <c r="J2816" s="294">
        <v>45329</v>
      </c>
      <c r="K2816" s="10">
        <f>+$K$1523+PROVEEDORES!$D$38*1450.06</f>
        <v>1298525.0999999999</v>
      </c>
      <c r="L2816" s="11"/>
      <c r="M2816" s="11"/>
      <c r="N2816" s="10">
        <f>+$K$1523+1198770</f>
        <v>1213992</v>
      </c>
      <c r="O2816" s="11">
        <f t="shared" si="774"/>
        <v>1298525.0999999999</v>
      </c>
      <c r="P2816" s="11">
        <f t="shared" si="775"/>
        <v>1298525.0999999999</v>
      </c>
      <c r="Q2816" s="11">
        <v>1.4</v>
      </c>
      <c r="R2816" s="11">
        <f t="shared" si="776"/>
        <v>1817935.1399999997</v>
      </c>
      <c r="S2816" s="11"/>
      <c r="T2816" s="136">
        <f t="shared" si="760"/>
        <v>1699588.7999999998</v>
      </c>
    </row>
    <row r="2817" spans="1:20" ht="15.75" customHeight="1">
      <c r="A2817" s="149">
        <v>76</v>
      </c>
      <c r="B2817" s="273"/>
      <c r="C2817" s="28" t="s">
        <v>3619</v>
      </c>
      <c r="D2817" s="71">
        <v>4190</v>
      </c>
      <c r="E2817" s="131">
        <f t="shared" si="761"/>
        <v>0</v>
      </c>
      <c r="F2817" s="21">
        <f t="shared" si="773"/>
        <v>0</v>
      </c>
      <c r="G2817" s="21"/>
      <c r="H2817" s="135">
        <f t="shared" si="765"/>
        <v>0</v>
      </c>
      <c r="I2817" s="40"/>
      <c r="J2817" s="294">
        <v>43591</v>
      </c>
      <c r="K2817" s="10"/>
      <c r="L2817" s="11"/>
      <c r="M2817" s="11"/>
      <c r="N2817" s="100"/>
      <c r="O2817" s="11">
        <f t="shared" si="774"/>
        <v>0</v>
      </c>
      <c r="P2817" s="11">
        <f t="shared" si="775"/>
        <v>0</v>
      </c>
      <c r="Q2817" s="11"/>
      <c r="R2817" s="11">
        <f t="shared" si="776"/>
        <v>0</v>
      </c>
      <c r="S2817" s="11"/>
      <c r="T2817" s="136">
        <f t="shared" ref="T2817:T2877" si="777">+N2817*Q2817</f>
        <v>0</v>
      </c>
    </row>
    <row r="2818" spans="1:20" ht="15.75" customHeight="1">
      <c r="A2818" s="149">
        <v>37</v>
      </c>
      <c r="B2818" s="273">
        <f>ROUNDUP(E2818*1.105,-1)</f>
        <v>125150</v>
      </c>
      <c r="C2818" s="28" t="s">
        <v>2027</v>
      </c>
      <c r="D2818" s="71">
        <v>5300</v>
      </c>
      <c r="E2818" s="131">
        <f t="shared" si="761"/>
        <v>113250</v>
      </c>
      <c r="F2818" s="21">
        <f t="shared" si="773"/>
        <v>137032.5</v>
      </c>
      <c r="G2818" s="21"/>
      <c r="H2818" s="135">
        <f t="shared" si="765"/>
        <v>0</v>
      </c>
      <c r="I2818" s="294">
        <v>45313</v>
      </c>
      <c r="J2818" s="294">
        <v>45362</v>
      </c>
      <c r="K2818" s="10">
        <f>+PROVEEDORES!$D$31*88.25</f>
        <v>78101.25</v>
      </c>
      <c r="L2818" s="11"/>
      <c r="M2818" s="11"/>
      <c r="N2818" s="100"/>
      <c r="O2818" s="11">
        <f t="shared" si="774"/>
        <v>78101.25</v>
      </c>
      <c r="P2818" s="11">
        <f t="shared" si="775"/>
        <v>78101.25</v>
      </c>
      <c r="Q2818" s="11">
        <v>1.45</v>
      </c>
      <c r="R2818" s="11">
        <f t="shared" si="776"/>
        <v>113246.8125</v>
      </c>
      <c r="S2818" s="11"/>
      <c r="T2818" s="136">
        <f t="shared" si="777"/>
        <v>0</v>
      </c>
    </row>
    <row r="2819" spans="1:20" ht="15.75" customHeight="1">
      <c r="A2819" s="149">
        <v>37</v>
      </c>
      <c r="B2819" s="273">
        <f>ROUNDUP(E2819*1.105,-1)</f>
        <v>180810</v>
      </c>
      <c r="C2819" s="28" t="s">
        <v>2028</v>
      </c>
      <c r="D2819" s="71">
        <v>7670</v>
      </c>
      <c r="E2819" s="131">
        <f t="shared" si="761"/>
        <v>163620</v>
      </c>
      <c r="F2819" s="21">
        <f t="shared" si="773"/>
        <v>197980.19999999998</v>
      </c>
      <c r="G2819" s="21"/>
      <c r="H2819" s="135">
        <f t="shared" si="765"/>
        <v>0</v>
      </c>
      <c r="I2819" s="294">
        <v>45313</v>
      </c>
      <c r="J2819" s="294">
        <v>45362</v>
      </c>
      <c r="K2819" s="10">
        <f>+PROVEEDORES!$D$31*127.5</f>
        <v>112837.5</v>
      </c>
      <c r="L2819" s="11"/>
      <c r="M2819" s="11"/>
      <c r="N2819" s="100"/>
      <c r="O2819" s="11">
        <f t="shared" si="774"/>
        <v>112837.5</v>
      </c>
      <c r="P2819" s="11">
        <f t="shared" si="775"/>
        <v>112837.5</v>
      </c>
      <c r="Q2819" s="11">
        <v>1.45</v>
      </c>
      <c r="R2819" s="11">
        <f t="shared" si="776"/>
        <v>163614.375</v>
      </c>
      <c r="S2819" s="11"/>
      <c r="T2819" s="136">
        <f t="shared" si="777"/>
        <v>0</v>
      </c>
    </row>
    <row r="2820" spans="1:20" ht="15.75" customHeight="1">
      <c r="A2820" s="149">
        <v>15</v>
      </c>
      <c r="B2820" s="273"/>
      <c r="C2820" s="28" t="s">
        <v>2099</v>
      </c>
      <c r="D2820" s="71">
        <v>270</v>
      </c>
      <c r="E2820" s="131">
        <f t="shared" si="761"/>
        <v>3460</v>
      </c>
      <c r="F2820" s="21">
        <f t="shared" si="773"/>
        <v>4186.5999999999995</v>
      </c>
      <c r="G2820" s="21"/>
      <c r="H2820" s="135">
        <f t="shared" si="765"/>
        <v>0</v>
      </c>
      <c r="I2820" s="294"/>
      <c r="J2820" s="294">
        <v>45223</v>
      </c>
      <c r="K2820" s="11">
        <f>3250*0.8*0.95</f>
        <v>2470</v>
      </c>
      <c r="L2820" s="11"/>
      <c r="M2820" s="11"/>
      <c r="N2820" s="10"/>
      <c r="O2820" s="11">
        <f t="shared" si="774"/>
        <v>2470</v>
      </c>
      <c r="P2820" s="11">
        <f t="shared" si="775"/>
        <v>2470</v>
      </c>
      <c r="Q2820" s="11">
        <v>1.4</v>
      </c>
      <c r="R2820" s="11">
        <f t="shared" si="776"/>
        <v>3458</v>
      </c>
      <c r="S2820" s="11"/>
      <c r="T2820" s="136">
        <f t="shared" si="777"/>
        <v>0</v>
      </c>
    </row>
    <row r="2821" spans="1:20" ht="15.75" customHeight="1">
      <c r="A2821" s="149">
        <v>15</v>
      </c>
      <c r="B2821" s="273"/>
      <c r="C2821" s="28" t="s">
        <v>2100</v>
      </c>
      <c r="D2821" s="71">
        <v>320</v>
      </c>
      <c r="E2821" s="131">
        <f t="shared" ref="E2821:E2885" si="778">ROUNDUP(R2821,-1)</f>
        <v>5810</v>
      </c>
      <c r="F2821" s="21">
        <f t="shared" si="773"/>
        <v>7030.0999999999995</v>
      </c>
      <c r="G2821" s="77"/>
      <c r="H2821" s="135">
        <f t="shared" si="765"/>
        <v>0</v>
      </c>
      <c r="I2821" s="294">
        <v>44876</v>
      </c>
      <c r="J2821" s="294">
        <v>45295</v>
      </c>
      <c r="K2821" s="10">
        <f>0.8*0.95*5460</f>
        <v>4149.6000000000004</v>
      </c>
      <c r="L2821" s="11"/>
      <c r="M2821" s="11"/>
      <c r="N2821" s="10"/>
      <c r="O2821" s="11">
        <f t="shared" si="774"/>
        <v>4149.6000000000004</v>
      </c>
      <c r="P2821" s="11">
        <f t="shared" si="775"/>
        <v>4149.6000000000004</v>
      </c>
      <c r="Q2821" s="11">
        <v>1.4</v>
      </c>
      <c r="R2821" s="11">
        <f t="shared" si="776"/>
        <v>5809.4400000000005</v>
      </c>
      <c r="S2821" s="11"/>
      <c r="T2821" s="136">
        <f t="shared" si="777"/>
        <v>0</v>
      </c>
    </row>
    <row r="2822" spans="1:20" ht="15.75" customHeight="1">
      <c r="A2822" s="149">
        <v>41</v>
      </c>
      <c r="B2822" s="273"/>
      <c r="C2822" s="28" t="s">
        <v>4288</v>
      </c>
      <c r="D2822" s="71">
        <v>240</v>
      </c>
      <c r="E2822" s="132">
        <f t="shared" si="778"/>
        <v>4620</v>
      </c>
      <c r="F2822" s="21">
        <f t="shared" si="773"/>
        <v>5590.2</v>
      </c>
      <c r="G2822" s="77"/>
      <c r="H2822" s="135">
        <f t="shared" si="765"/>
        <v>4590</v>
      </c>
      <c r="I2822" s="294">
        <v>45311</v>
      </c>
      <c r="J2822" s="294">
        <v>45345</v>
      </c>
      <c r="K2822" s="32">
        <f>+PROVEEDORES!$D$35*0.9*0.9*3.8</f>
        <v>3293.46</v>
      </c>
      <c r="L2822" s="32"/>
      <c r="M2822" s="11"/>
      <c r="N2822" s="37">
        <f>0.9*0.95*0.95*4030</f>
        <v>3273.3674999999998</v>
      </c>
      <c r="O2822" s="11">
        <f t="shared" si="774"/>
        <v>3293.46</v>
      </c>
      <c r="P2822" s="11">
        <f t="shared" si="775"/>
        <v>3293.46</v>
      </c>
      <c r="Q2822" s="11">
        <v>1.4</v>
      </c>
      <c r="R2822" s="11">
        <f t="shared" si="776"/>
        <v>4610.8440000000001</v>
      </c>
      <c r="S2822" s="11"/>
      <c r="T2822" s="136">
        <f t="shared" si="777"/>
        <v>4582.7144999999991</v>
      </c>
    </row>
    <row r="2823" spans="1:20" ht="15.75" customHeight="1">
      <c r="A2823" s="149">
        <v>41</v>
      </c>
      <c r="B2823" s="273"/>
      <c r="C2823" s="28" t="s">
        <v>4289</v>
      </c>
      <c r="D2823" s="71"/>
      <c r="E2823" s="132">
        <f t="shared" si="778"/>
        <v>5310</v>
      </c>
      <c r="F2823" s="78">
        <f t="shared" si="773"/>
        <v>6425.0999999999995</v>
      </c>
      <c r="G2823" s="79"/>
      <c r="H2823" s="135">
        <f t="shared" si="765"/>
        <v>0</v>
      </c>
      <c r="I2823" s="294">
        <v>45106</v>
      </c>
      <c r="J2823" s="294">
        <v>45176</v>
      </c>
      <c r="K2823" s="32">
        <f>+PROVEEDORES!$D$35*0.9*0.9*4.37</f>
        <v>3787.4790000000003</v>
      </c>
      <c r="L2823" s="32"/>
      <c r="M2823" s="11"/>
      <c r="N2823" s="37"/>
      <c r="O2823" s="11">
        <f t="shared" si="774"/>
        <v>3787.4790000000003</v>
      </c>
      <c r="P2823" s="11">
        <f t="shared" si="775"/>
        <v>3787.4790000000003</v>
      </c>
      <c r="Q2823" s="11">
        <v>1.4</v>
      </c>
      <c r="R2823" s="11">
        <f t="shared" si="776"/>
        <v>5302.4705999999996</v>
      </c>
      <c r="S2823" s="11"/>
      <c r="T2823" s="136">
        <f t="shared" si="777"/>
        <v>0</v>
      </c>
    </row>
    <row r="2824" spans="1:20" ht="15.75" customHeight="1">
      <c r="A2824" s="149">
        <v>15</v>
      </c>
      <c r="B2824" s="273"/>
      <c r="C2824" s="28" t="s">
        <v>2029</v>
      </c>
      <c r="D2824" s="71">
        <v>330</v>
      </c>
      <c r="E2824" s="131">
        <f t="shared" si="778"/>
        <v>0</v>
      </c>
      <c r="F2824" s="78">
        <f t="shared" si="773"/>
        <v>0</v>
      </c>
      <c r="G2824" s="79"/>
      <c r="H2824" s="135">
        <f t="shared" si="765"/>
        <v>0</v>
      </c>
      <c r="I2824" s="294">
        <v>44740</v>
      </c>
      <c r="J2824" s="294">
        <v>44806</v>
      </c>
      <c r="K2824" s="10">
        <f>0.8*1100</f>
        <v>880</v>
      </c>
      <c r="L2824" s="30">
        <f>2720*1.15</f>
        <v>3127.9999999999995</v>
      </c>
      <c r="M2824" s="11"/>
      <c r="N2824" s="100"/>
      <c r="O2824" s="11">
        <f t="shared" si="774"/>
        <v>880</v>
      </c>
      <c r="P2824" s="11">
        <f t="shared" si="775"/>
        <v>880</v>
      </c>
      <c r="Q2824" s="11"/>
      <c r="R2824" s="11">
        <f t="shared" si="776"/>
        <v>0</v>
      </c>
      <c r="S2824" s="11"/>
      <c r="T2824" s="136">
        <f t="shared" si="777"/>
        <v>0</v>
      </c>
    </row>
    <row r="2825" spans="1:20" ht="15.75" customHeight="1">
      <c r="A2825" s="149">
        <v>19</v>
      </c>
      <c r="B2825" s="273"/>
      <c r="C2825" s="80" t="s">
        <v>2030</v>
      </c>
      <c r="D2825" s="71">
        <v>5</v>
      </c>
      <c r="E2825" s="139">
        <f t="shared" si="778"/>
        <v>30</v>
      </c>
      <c r="F2825" s="78">
        <f t="shared" si="773"/>
        <v>36.299999999999997</v>
      </c>
      <c r="G2825" s="79"/>
      <c r="H2825" s="135">
        <f t="shared" si="765"/>
        <v>0</v>
      </c>
      <c r="I2825" s="294">
        <v>44854</v>
      </c>
      <c r="J2825" s="294"/>
      <c r="K2825" s="43">
        <f>0.65*20.64</f>
        <v>13.416</v>
      </c>
      <c r="L2825" s="11"/>
      <c r="M2825" s="11"/>
      <c r="N2825" s="100"/>
      <c r="O2825" s="11">
        <f t="shared" si="774"/>
        <v>13.416</v>
      </c>
      <c r="P2825" s="11">
        <f t="shared" si="775"/>
        <v>13.416</v>
      </c>
      <c r="Q2825" s="11">
        <v>2</v>
      </c>
      <c r="R2825" s="11">
        <f t="shared" si="776"/>
        <v>26.832000000000001</v>
      </c>
      <c r="S2825" s="11"/>
      <c r="T2825" s="136">
        <f t="shared" si="777"/>
        <v>0</v>
      </c>
    </row>
    <row r="2826" spans="1:20" ht="15.75" customHeight="1">
      <c r="A2826" s="149">
        <v>12</v>
      </c>
      <c r="B2826" s="273"/>
      <c r="C2826" s="80" t="s">
        <v>4452</v>
      </c>
      <c r="D2826" s="71">
        <v>1.5</v>
      </c>
      <c r="E2826" s="131">
        <f t="shared" si="778"/>
        <v>2070</v>
      </c>
      <c r="F2826" s="78">
        <f t="shared" si="773"/>
        <v>2504.6999999999998</v>
      </c>
      <c r="G2826" s="79"/>
      <c r="H2826" s="135">
        <f t="shared" ref="H2826:H2856" si="779">ROUNDUP(T2826,-1)</f>
        <v>0</v>
      </c>
      <c r="I2826" s="294">
        <v>45274</v>
      </c>
      <c r="J2826" s="294"/>
      <c r="K2826" s="10">
        <v>1216</v>
      </c>
      <c r="L2826" s="11"/>
      <c r="M2826" s="11"/>
      <c r="N2826" s="100"/>
      <c r="O2826" s="11">
        <f t="shared" si="774"/>
        <v>1216</v>
      </c>
      <c r="P2826" s="11">
        <f t="shared" si="775"/>
        <v>1216</v>
      </c>
      <c r="Q2826" s="11">
        <v>1.7</v>
      </c>
      <c r="R2826" s="11">
        <f t="shared" si="776"/>
        <v>2067.1999999999998</v>
      </c>
      <c r="S2826" s="11"/>
      <c r="T2826" s="136">
        <f t="shared" si="777"/>
        <v>0</v>
      </c>
    </row>
    <row r="2827" spans="1:20" ht="15.75" customHeight="1">
      <c r="A2827" s="149"/>
      <c r="B2827" s="273"/>
      <c r="C2827" s="80" t="s">
        <v>2031</v>
      </c>
      <c r="D2827" s="71">
        <v>5</v>
      </c>
      <c r="E2827" s="131">
        <f t="shared" si="778"/>
        <v>0</v>
      </c>
      <c r="F2827" s="78">
        <f t="shared" si="773"/>
        <v>0</v>
      </c>
      <c r="G2827" s="79"/>
      <c r="H2827" s="135">
        <f t="shared" si="779"/>
        <v>0</v>
      </c>
      <c r="I2827" s="294"/>
      <c r="J2827" s="294">
        <v>43516</v>
      </c>
      <c r="K2827" s="10">
        <f>3*0.65*2</f>
        <v>3.9000000000000004</v>
      </c>
      <c r="L2827" s="11"/>
      <c r="M2827" s="11"/>
      <c r="N2827" s="100"/>
      <c r="O2827" s="11">
        <f t="shared" si="774"/>
        <v>3.9000000000000004</v>
      </c>
      <c r="P2827" s="11">
        <f t="shared" si="775"/>
        <v>3.9000000000000004</v>
      </c>
      <c r="Q2827" s="11"/>
      <c r="R2827" s="11">
        <f t="shared" si="776"/>
        <v>0</v>
      </c>
      <c r="S2827" s="11"/>
      <c r="T2827" s="136">
        <f t="shared" si="777"/>
        <v>0</v>
      </c>
    </row>
    <row r="2828" spans="1:20" ht="15.75" customHeight="1">
      <c r="A2828" s="149"/>
      <c r="B2828" s="273"/>
      <c r="C2828" s="80" t="s">
        <v>2032</v>
      </c>
      <c r="D2828" s="71">
        <v>6</v>
      </c>
      <c r="E2828" s="131">
        <f t="shared" si="778"/>
        <v>0</v>
      </c>
      <c r="F2828" s="78">
        <f t="shared" si="773"/>
        <v>0</v>
      </c>
      <c r="G2828" s="79"/>
      <c r="H2828" s="135">
        <f t="shared" si="779"/>
        <v>0</v>
      </c>
      <c r="I2828" s="294"/>
      <c r="J2828" s="294">
        <v>43109</v>
      </c>
      <c r="K2828" s="10">
        <f>6*0.5*1.8</f>
        <v>5.4</v>
      </c>
      <c r="L2828" s="11"/>
      <c r="M2828" s="11"/>
      <c r="N2828" s="100"/>
      <c r="O2828" s="11">
        <f t="shared" si="774"/>
        <v>5.4</v>
      </c>
      <c r="P2828" s="11">
        <f t="shared" si="775"/>
        <v>5.4</v>
      </c>
      <c r="Q2828" s="11"/>
      <c r="R2828" s="11">
        <f t="shared" si="776"/>
        <v>0</v>
      </c>
      <c r="S2828" s="11"/>
      <c r="T2828" s="136">
        <f t="shared" si="777"/>
        <v>0</v>
      </c>
    </row>
    <row r="2829" spans="1:20" ht="15.75" customHeight="1">
      <c r="A2829" s="149">
        <v>15</v>
      </c>
      <c r="B2829" s="273"/>
      <c r="C2829" s="28" t="s">
        <v>2033</v>
      </c>
      <c r="D2829" s="71">
        <v>350</v>
      </c>
      <c r="E2829" s="131">
        <f t="shared" si="778"/>
        <v>33880</v>
      </c>
      <c r="F2829" s="21">
        <f t="shared" si="773"/>
        <v>40994.799999999996</v>
      </c>
      <c r="G2829" s="148"/>
      <c r="H2829" s="135">
        <f t="shared" si="779"/>
        <v>10880</v>
      </c>
      <c r="I2829" s="294">
        <v>44876</v>
      </c>
      <c r="J2829" s="294">
        <v>45295</v>
      </c>
      <c r="K2829" s="10">
        <f>+PROVEEDORES!$D$15*0.8*5.5*2*3</f>
        <v>23364</v>
      </c>
      <c r="L2829" s="11"/>
      <c r="M2829" s="247"/>
      <c r="N2829" s="100">
        <f>9870*0.8*0.95</f>
        <v>7501.2</v>
      </c>
      <c r="O2829" s="11">
        <f t="shared" si="774"/>
        <v>23364</v>
      </c>
      <c r="P2829" s="11">
        <f t="shared" si="775"/>
        <v>23364</v>
      </c>
      <c r="Q2829" s="11">
        <v>1.45</v>
      </c>
      <c r="R2829" s="11">
        <f t="shared" si="776"/>
        <v>33877.799999999996</v>
      </c>
      <c r="S2829" s="11"/>
      <c r="T2829" s="136">
        <f t="shared" si="777"/>
        <v>10876.74</v>
      </c>
    </row>
    <row r="2830" spans="1:20" ht="15.75" customHeight="1">
      <c r="A2830" s="149">
        <v>41</v>
      </c>
      <c r="B2830" s="273"/>
      <c r="C2830" s="28" t="s">
        <v>2034</v>
      </c>
      <c r="D2830" s="71">
        <v>360</v>
      </c>
      <c r="E2830" s="132">
        <f t="shared" si="778"/>
        <v>8050</v>
      </c>
      <c r="F2830" s="21">
        <f t="shared" si="773"/>
        <v>9740.5</v>
      </c>
      <c r="G2830" s="77"/>
      <c r="H2830" s="135">
        <f t="shared" si="779"/>
        <v>6760</v>
      </c>
      <c r="I2830" s="294">
        <v>45311</v>
      </c>
      <c r="J2830" s="294">
        <v>45329</v>
      </c>
      <c r="K2830" s="32">
        <f>+PROVEEDORES!$D$35*0.9*0.9*34.8/6</f>
        <v>5026.8599999999997</v>
      </c>
      <c r="L2830" s="11"/>
      <c r="M2830" s="11"/>
      <c r="N2830" s="100">
        <f>0.9*0.95*0.95*31200/6</f>
        <v>4223.7</v>
      </c>
      <c r="O2830" s="11">
        <f t="shared" si="774"/>
        <v>5026.8599999999997</v>
      </c>
      <c r="P2830" s="11">
        <f t="shared" si="775"/>
        <v>5026.8599999999997</v>
      </c>
      <c r="Q2830" s="11">
        <v>1.6</v>
      </c>
      <c r="R2830" s="11">
        <f t="shared" si="776"/>
        <v>8042.9759999999997</v>
      </c>
      <c r="S2830" s="11"/>
      <c r="T2830" s="136">
        <f t="shared" si="777"/>
        <v>6757.92</v>
      </c>
    </row>
    <row r="2831" spans="1:20" ht="15.75" customHeight="1">
      <c r="A2831" s="149" t="s">
        <v>2398</v>
      </c>
      <c r="B2831" s="273">
        <f>ROUNDUP(E2831*1.105,-1)</f>
        <v>1171980</v>
      </c>
      <c r="C2831" s="28" t="s">
        <v>37188</v>
      </c>
      <c r="D2831" s="71">
        <v>46900</v>
      </c>
      <c r="E2831" s="131">
        <f t="shared" si="778"/>
        <v>1060610</v>
      </c>
      <c r="F2831" s="21">
        <f t="shared" si="773"/>
        <v>1283338.0999999999</v>
      </c>
      <c r="G2831" s="77"/>
      <c r="H2831" s="135">
        <f t="shared" si="779"/>
        <v>0</v>
      </c>
      <c r="I2831" s="23">
        <v>45323</v>
      </c>
      <c r="J2831" s="294">
        <v>45379</v>
      </c>
      <c r="K2831" s="32">
        <f>0.8*0.98*0.94*0.95*1097757</f>
        <v>768552.84878399991</v>
      </c>
      <c r="L2831" s="11"/>
      <c r="M2831" s="11"/>
      <c r="N2831" s="100"/>
      <c r="O2831" s="11">
        <f t="shared" si="774"/>
        <v>768552.84878399991</v>
      </c>
      <c r="P2831" s="11">
        <f>+O2831*'AUMENTOS %'!$B$5</f>
        <v>768552.84878399991</v>
      </c>
      <c r="Q2831" s="11">
        <v>1.38</v>
      </c>
      <c r="R2831" s="11">
        <f t="shared" si="776"/>
        <v>1060602.9313219199</v>
      </c>
      <c r="S2831" s="11"/>
      <c r="T2831" s="136">
        <f t="shared" si="777"/>
        <v>0</v>
      </c>
    </row>
    <row r="2832" spans="1:20" ht="15.75" customHeight="1">
      <c r="A2832" s="149">
        <v>16</v>
      </c>
      <c r="B2832" s="273">
        <f>ROUNDUP(E2832*1.06,-1)</f>
        <v>0</v>
      </c>
      <c r="C2832" s="28" t="s">
        <v>3670</v>
      </c>
      <c r="D2832" s="71">
        <v>34700</v>
      </c>
      <c r="E2832" s="131">
        <f t="shared" si="778"/>
        <v>0</v>
      </c>
      <c r="F2832" s="21" t="s">
        <v>1248</v>
      </c>
      <c r="G2832" s="77">
        <f t="shared" ref="G2832:G2843" si="780">+E2832*1.105</f>
        <v>0</v>
      </c>
      <c r="H2832" s="135">
        <f t="shared" si="779"/>
        <v>0</v>
      </c>
      <c r="I2832" s="294">
        <v>44858</v>
      </c>
      <c r="J2832" s="294"/>
      <c r="K2832" s="10">
        <f>0.9*110600+2000</f>
        <v>101540</v>
      </c>
      <c r="L2832" s="11"/>
      <c r="M2832" s="11"/>
      <c r="N2832" s="100"/>
      <c r="O2832" s="11">
        <f t="shared" si="774"/>
        <v>101540</v>
      </c>
      <c r="P2832" s="11">
        <f t="shared" si="775"/>
        <v>101540</v>
      </c>
      <c r="Q2832" s="11"/>
      <c r="R2832" s="11">
        <f t="shared" si="776"/>
        <v>0</v>
      </c>
      <c r="S2832" s="11"/>
      <c r="T2832" s="136">
        <f t="shared" si="777"/>
        <v>0</v>
      </c>
    </row>
    <row r="2833" spans="1:20" ht="15.75" customHeight="1">
      <c r="A2833" s="149">
        <v>16</v>
      </c>
      <c r="B2833" s="273"/>
      <c r="C2833" s="28" t="s">
        <v>2480</v>
      </c>
      <c r="D2833" s="71">
        <v>33170</v>
      </c>
      <c r="E2833" s="131">
        <f t="shared" si="778"/>
        <v>1249180</v>
      </c>
      <c r="F2833" s="21" t="s">
        <v>1248</v>
      </c>
      <c r="G2833" s="77">
        <f t="shared" si="780"/>
        <v>1380343.9</v>
      </c>
      <c r="H2833" s="135">
        <f t="shared" si="779"/>
        <v>0</v>
      </c>
      <c r="I2833" s="294">
        <v>45352</v>
      </c>
      <c r="J2833" s="294"/>
      <c r="K2833" s="10">
        <f>(0.9*980300+10000)</f>
        <v>892270</v>
      </c>
      <c r="L2833" s="10"/>
      <c r="M2833" s="10"/>
      <c r="N2833" s="100"/>
      <c r="O2833" s="11">
        <f t="shared" si="774"/>
        <v>892270</v>
      </c>
      <c r="P2833" s="11">
        <f t="shared" si="775"/>
        <v>892270</v>
      </c>
      <c r="Q2833" s="11">
        <v>1.4</v>
      </c>
      <c r="R2833" s="11">
        <f t="shared" si="776"/>
        <v>1249178</v>
      </c>
      <c r="S2833" s="11"/>
      <c r="T2833" s="136">
        <f t="shared" si="777"/>
        <v>0</v>
      </c>
    </row>
    <row r="2834" spans="1:20" ht="15.75" customHeight="1">
      <c r="A2834" s="149">
        <v>16</v>
      </c>
      <c r="B2834" s="273"/>
      <c r="C2834" s="28" t="s">
        <v>2481</v>
      </c>
      <c r="D2834" s="71">
        <v>35020</v>
      </c>
      <c r="E2834" s="131">
        <f t="shared" si="778"/>
        <v>1317350</v>
      </c>
      <c r="F2834" s="21" t="s">
        <v>1248</v>
      </c>
      <c r="G2834" s="77">
        <f t="shared" si="780"/>
        <v>1455671.75</v>
      </c>
      <c r="H2834" s="135">
        <f t="shared" si="779"/>
        <v>0</v>
      </c>
      <c r="I2834" s="294">
        <v>45352</v>
      </c>
      <c r="J2834" s="294"/>
      <c r="K2834" s="10">
        <f>(0.9*998350+10000)</f>
        <v>908515</v>
      </c>
      <c r="L2834" s="11"/>
      <c r="M2834" s="11"/>
      <c r="N2834" s="100"/>
      <c r="O2834" s="11">
        <f t="shared" si="774"/>
        <v>908515</v>
      </c>
      <c r="P2834" s="11">
        <f t="shared" si="775"/>
        <v>908515</v>
      </c>
      <c r="Q2834" s="11">
        <v>1.45</v>
      </c>
      <c r="R2834" s="11">
        <f t="shared" si="776"/>
        <v>1317346.75</v>
      </c>
      <c r="S2834" s="11"/>
      <c r="T2834" s="136">
        <f t="shared" si="777"/>
        <v>0</v>
      </c>
    </row>
    <row r="2835" spans="1:20" ht="15.75" customHeight="1">
      <c r="A2835" s="149">
        <v>16</v>
      </c>
      <c r="B2835" s="273"/>
      <c r="C2835" s="28" t="s">
        <v>2482</v>
      </c>
      <c r="D2835" s="71">
        <v>35640</v>
      </c>
      <c r="E2835" s="131">
        <f t="shared" si="778"/>
        <v>1255170</v>
      </c>
      <c r="F2835" s="21" t="s">
        <v>1248</v>
      </c>
      <c r="G2835" s="77">
        <f t="shared" si="780"/>
        <v>1386962.85</v>
      </c>
      <c r="H2835" s="135">
        <f t="shared" si="779"/>
        <v>0</v>
      </c>
      <c r="I2835" s="294">
        <v>45352</v>
      </c>
      <c r="J2835" s="294"/>
      <c r="K2835" s="10">
        <f>(0.9*950700+10000)</f>
        <v>865630</v>
      </c>
      <c r="L2835" s="11"/>
      <c r="M2835" s="11"/>
      <c r="N2835" s="100"/>
      <c r="O2835" s="11">
        <f t="shared" si="774"/>
        <v>865630</v>
      </c>
      <c r="P2835" s="11">
        <f t="shared" si="775"/>
        <v>865630</v>
      </c>
      <c r="Q2835" s="11">
        <v>1.45</v>
      </c>
      <c r="R2835" s="11">
        <f t="shared" si="776"/>
        <v>1255163.5</v>
      </c>
      <c r="S2835" s="11"/>
      <c r="T2835" s="136">
        <f t="shared" si="777"/>
        <v>0</v>
      </c>
    </row>
    <row r="2836" spans="1:20" ht="15.75" customHeight="1">
      <c r="A2836" s="149">
        <v>16</v>
      </c>
      <c r="B2836" s="273"/>
      <c r="C2836" s="28" t="s">
        <v>2484</v>
      </c>
      <c r="D2836" s="71">
        <v>26700</v>
      </c>
      <c r="E2836" s="131">
        <f t="shared" si="778"/>
        <v>1032930</v>
      </c>
      <c r="F2836" s="21" t="s">
        <v>1248</v>
      </c>
      <c r="G2836" s="77">
        <f t="shared" si="780"/>
        <v>1141387.6499999999</v>
      </c>
      <c r="H2836" s="135">
        <f t="shared" si="779"/>
        <v>0</v>
      </c>
      <c r="I2836" s="294">
        <v>45352</v>
      </c>
      <c r="J2836" s="294"/>
      <c r="K2836" s="10">
        <f>(0.9*780400+10000)</f>
        <v>712360</v>
      </c>
      <c r="L2836" s="11"/>
      <c r="M2836" s="11"/>
      <c r="N2836" s="100"/>
      <c r="O2836" s="11">
        <f t="shared" si="774"/>
        <v>712360</v>
      </c>
      <c r="P2836" s="11">
        <f t="shared" si="775"/>
        <v>712360</v>
      </c>
      <c r="Q2836" s="11">
        <v>1.45</v>
      </c>
      <c r="R2836" s="11">
        <f t="shared" si="776"/>
        <v>1032922</v>
      </c>
      <c r="S2836" s="11"/>
      <c r="T2836" s="136">
        <f t="shared" si="777"/>
        <v>0</v>
      </c>
    </row>
    <row r="2837" spans="1:20" ht="15.75" customHeight="1">
      <c r="A2837" s="149">
        <v>16</v>
      </c>
      <c r="B2837" s="273"/>
      <c r="C2837" s="28" t="s">
        <v>2483</v>
      </c>
      <c r="D2837" s="71">
        <v>38980</v>
      </c>
      <c r="E2837" s="131">
        <f t="shared" si="778"/>
        <v>0</v>
      </c>
      <c r="F2837" s="21" t="s">
        <v>1248</v>
      </c>
      <c r="G2837" s="77">
        <f t="shared" si="780"/>
        <v>0</v>
      </c>
      <c r="H2837" s="135">
        <f t="shared" si="779"/>
        <v>0</v>
      </c>
      <c r="I2837" s="294">
        <v>45352</v>
      </c>
      <c r="J2837" s="294"/>
      <c r="K2837" s="10">
        <f>0.9*1092600+10000</f>
        <v>993340</v>
      </c>
      <c r="L2837" s="196"/>
      <c r="M2837" s="11"/>
      <c r="N2837" s="100"/>
      <c r="O2837" s="11">
        <f t="shared" si="774"/>
        <v>993340</v>
      </c>
      <c r="P2837" s="11">
        <f t="shared" si="775"/>
        <v>993340</v>
      </c>
      <c r="Q2837" s="11"/>
      <c r="R2837" s="11">
        <f t="shared" si="776"/>
        <v>0</v>
      </c>
      <c r="S2837" s="11"/>
      <c r="T2837" s="136">
        <f t="shared" si="777"/>
        <v>0</v>
      </c>
    </row>
    <row r="2838" spans="1:20" ht="15.75" customHeight="1">
      <c r="A2838" s="149">
        <v>16</v>
      </c>
      <c r="B2838" s="273"/>
      <c r="C2838" s="28" t="s">
        <v>2622</v>
      </c>
      <c r="D2838" s="71">
        <v>39530</v>
      </c>
      <c r="E2838" s="131">
        <f t="shared" si="778"/>
        <v>0</v>
      </c>
      <c r="F2838" s="21" t="s">
        <v>1248</v>
      </c>
      <c r="G2838" s="77">
        <f t="shared" si="780"/>
        <v>0</v>
      </c>
      <c r="H2838" s="135">
        <f t="shared" si="779"/>
        <v>0</v>
      </c>
      <c r="I2838" s="294">
        <v>45352</v>
      </c>
      <c r="J2838" s="294"/>
      <c r="K2838" s="10">
        <f>0.9*1020300+10000</f>
        <v>928270</v>
      </c>
      <c r="L2838" s="11"/>
      <c r="M2838" s="11"/>
      <c r="N2838" s="100"/>
      <c r="O2838" s="11">
        <f t="shared" si="774"/>
        <v>928270</v>
      </c>
      <c r="P2838" s="11">
        <f t="shared" si="775"/>
        <v>928270</v>
      </c>
      <c r="Q2838" s="11"/>
      <c r="R2838" s="11">
        <f t="shared" si="776"/>
        <v>0</v>
      </c>
      <c r="S2838" s="11"/>
      <c r="T2838" s="136">
        <f t="shared" si="777"/>
        <v>0</v>
      </c>
    </row>
    <row r="2839" spans="1:20" ht="15.75" customHeight="1">
      <c r="A2839" s="149">
        <v>41</v>
      </c>
      <c r="B2839" s="273"/>
      <c r="C2839" s="28" t="s">
        <v>2845</v>
      </c>
      <c r="D2839" s="71"/>
      <c r="E2839" s="131">
        <f t="shared" si="778"/>
        <v>581210</v>
      </c>
      <c r="F2839" s="21" t="s">
        <v>1248</v>
      </c>
      <c r="G2839" s="77">
        <f t="shared" si="780"/>
        <v>642237.05000000005</v>
      </c>
      <c r="H2839" s="135">
        <f t="shared" si="779"/>
        <v>342970</v>
      </c>
      <c r="I2839" s="294">
        <v>45311</v>
      </c>
      <c r="J2839" s="294"/>
      <c r="K2839" s="10">
        <f>PROVEEDORES!$D$35*0.9*0.9*479</f>
        <v>415149.30000000005</v>
      </c>
      <c r="L2839" s="11"/>
      <c r="M2839" s="11"/>
      <c r="N2839" s="100">
        <f>0.9*0.95*0.95*301600</f>
        <v>244974.59999999998</v>
      </c>
      <c r="O2839" s="11">
        <f t="shared" si="774"/>
        <v>415149.30000000005</v>
      </c>
      <c r="P2839" s="11">
        <f t="shared" si="775"/>
        <v>415149.30000000005</v>
      </c>
      <c r="Q2839" s="11">
        <v>1.4</v>
      </c>
      <c r="R2839" s="11">
        <f t="shared" si="776"/>
        <v>581209.02</v>
      </c>
      <c r="S2839" s="11"/>
      <c r="T2839" s="136">
        <f t="shared" si="777"/>
        <v>342964.43999999994</v>
      </c>
    </row>
    <row r="2840" spans="1:20" ht="15.75" customHeight="1">
      <c r="A2840" s="149">
        <v>41</v>
      </c>
      <c r="B2840" s="273"/>
      <c r="C2840" s="28" t="s">
        <v>2928</v>
      </c>
      <c r="D2840" s="71"/>
      <c r="E2840" s="131">
        <f t="shared" si="778"/>
        <v>901550</v>
      </c>
      <c r="F2840" s="21" t="s">
        <v>1248</v>
      </c>
      <c r="G2840" s="77">
        <f t="shared" si="780"/>
        <v>996212.75</v>
      </c>
      <c r="H2840" s="135">
        <f t="shared" si="779"/>
        <v>690370</v>
      </c>
      <c r="I2840" s="294">
        <v>45311</v>
      </c>
      <c r="J2840" s="294"/>
      <c r="K2840" s="10">
        <f>PROVEEDORES!$D$35*0.9*0.9*743</f>
        <v>643958.1</v>
      </c>
      <c r="L2840" s="11"/>
      <c r="M2840" s="11"/>
      <c r="N2840" s="100">
        <f>0.9*0.95*0.95*607100</f>
        <v>493116.97499999998</v>
      </c>
      <c r="O2840" s="11">
        <f t="shared" si="774"/>
        <v>643958.1</v>
      </c>
      <c r="P2840" s="11">
        <f t="shared" si="775"/>
        <v>643958.1</v>
      </c>
      <c r="Q2840" s="11">
        <v>1.4</v>
      </c>
      <c r="R2840" s="11">
        <f t="shared" si="776"/>
        <v>901541.34</v>
      </c>
      <c r="S2840" s="11"/>
      <c r="T2840" s="136">
        <f t="shared" si="777"/>
        <v>690363.7649999999</v>
      </c>
    </row>
    <row r="2841" spans="1:20" ht="15.75" customHeight="1">
      <c r="A2841" s="149">
        <v>41</v>
      </c>
      <c r="B2841" s="273"/>
      <c r="C2841" s="28" t="s">
        <v>4316</v>
      </c>
      <c r="D2841" s="71">
        <v>22900</v>
      </c>
      <c r="E2841" s="131">
        <f t="shared" si="778"/>
        <v>491990</v>
      </c>
      <c r="F2841" s="21" t="s">
        <v>1248</v>
      </c>
      <c r="G2841" s="77">
        <f t="shared" si="780"/>
        <v>543648.94999999995</v>
      </c>
      <c r="H2841" s="135">
        <f t="shared" si="779"/>
        <v>430820</v>
      </c>
      <c r="I2841" s="294">
        <v>45311</v>
      </c>
      <c r="J2841" s="294">
        <v>45343</v>
      </c>
      <c r="K2841" s="10">
        <f>PROVEEDORES!$D$35*0.95*275*1.1</f>
        <v>307491.25</v>
      </c>
      <c r="L2841" s="32"/>
      <c r="M2841" s="32"/>
      <c r="N2841" s="100">
        <f>0.9*0.95*0.95*331500</f>
        <v>269260.875</v>
      </c>
      <c r="O2841" s="11">
        <f t="shared" si="774"/>
        <v>307491.25</v>
      </c>
      <c r="P2841" s="11">
        <f t="shared" si="775"/>
        <v>307491.25</v>
      </c>
      <c r="Q2841" s="11">
        <v>1.6</v>
      </c>
      <c r="R2841" s="11">
        <f t="shared" si="776"/>
        <v>491986</v>
      </c>
      <c r="S2841" s="11"/>
      <c r="T2841" s="136">
        <f t="shared" si="777"/>
        <v>430817.4</v>
      </c>
    </row>
    <row r="2842" spans="1:20" ht="15.75" customHeight="1">
      <c r="A2842" s="149">
        <v>41</v>
      </c>
      <c r="B2842" s="273"/>
      <c r="C2842" s="28" t="s">
        <v>4317</v>
      </c>
      <c r="D2842" s="71">
        <v>22900</v>
      </c>
      <c r="E2842" s="131">
        <f>ROUNDUP(R2842,-1)</f>
        <v>339750</v>
      </c>
      <c r="F2842" s="21" t="s">
        <v>1248</v>
      </c>
      <c r="G2842" s="77">
        <f>+E2842*1.105</f>
        <v>375423.75</v>
      </c>
      <c r="H2842" s="135">
        <f t="shared" si="779"/>
        <v>383520</v>
      </c>
      <c r="I2842" s="294">
        <v>45311</v>
      </c>
      <c r="J2842" s="294"/>
      <c r="K2842" s="10">
        <f>PROVEEDORES!$D$35*0.9*0.9*245</f>
        <v>212341.5</v>
      </c>
      <c r="L2842" s="32"/>
      <c r="M2842" s="32"/>
      <c r="N2842" s="100">
        <f>0.9*0.95*0.95*295100</f>
        <v>239694.97499999998</v>
      </c>
      <c r="O2842" s="11">
        <f>MIN(K2842:M2842)</f>
        <v>212341.5</v>
      </c>
      <c r="P2842" s="11">
        <f t="shared" si="775"/>
        <v>212341.5</v>
      </c>
      <c r="Q2842" s="11">
        <v>1.6</v>
      </c>
      <c r="R2842" s="11">
        <f t="shared" si="776"/>
        <v>339746.4</v>
      </c>
      <c r="S2842" s="11"/>
      <c r="T2842" s="136">
        <f>+N2842*Q2842</f>
        <v>383511.95999999996</v>
      </c>
    </row>
    <row r="2843" spans="1:20" ht="15.75" customHeight="1">
      <c r="A2843" s="149">
        <v>41</v>
      </c>
      <c r="B2843" s="273"/>
      <c r="C2843" s="28" t="s">
        <v>4318</v>
      </c>
      <c r="D2843" s="71">
        <v>32580</v>
      </c>
      <c r="E2843" s="131">
        <f t="shared" si="778"/>
        <v>440830</v>
      </c>
      <c r="F2843" s="21" t="s">
        <v>1248</v>
      </c>
      <c r="G2843" s="77">
        <f t="shared" si="780"/>
        <v>487117.14999999997</v>
      </c>
      <c r="H2843" s="135">
        <f t="shared" si="779"/>
        <v>431670</v>
      </c>
      <c r="I2843" s="294">
        <v>45311</v>
      </c>
      <c r="J2843" s="294"/>
      <c r="K2843" s="63">
        <f>+PROVEEDORES!$D$35*0.9*0.9*363.3</f>
        <v>314872.11000000004</v>
      </c>
      <c r="L2843" s="11"/>
      <c r="M2843" s="11"/>
      <c r="N2843" s="100">
        <f>0.9*0.95*0.95*379600</f>
        <v>308330.09999999998</v>
      </c>
      <c r="O2843" s="11">
        <f t="shared" si="774"/>
        <v>314872.11000000004</v>
      </c>
      <c r="P2843" s="11">
        <f t="shared" si="775"/>
        <v>314872.11000000004</v>
      </c>
      <c r="Q2843" s="11">
        <v>1.4</v>
      </c>
      <c r="R2843" s="11">
        <f t="shared" si="776"/>
        <v>440820.95400000003</v>
      </c>
      <c r="S2843" s="11"/>
      <c r="T2843" s="136">
        <f t="shared" si="777"/>
        <v>431662.13999999996</v>
      </c>
    </row>
    <row r="2844" spans="1:20" ht="15.75" customHeight="1">
      <c r="A2844" s="149"/>
      <c r="B2844" s="273"/>
      <c r="C2844" s="28" t="s">
        <v>2035</v>
      </c>
      <c r="D2844" s="71">
        <v>70</v>
      </c>
      <c r="E2844" s="131">
        <f t="shared" si="778"/>
        <v>0</v>
      </c>
      <c r="F2844" s="21">
        <f t="shared" ref="F2844:F2875" si="781">+E2844*1.21</f>
        <v>0</v>
      </c>
      <c r="G2844" s="77"/>
      <c r="H2844" s="135">
        <f t="shared" si="779"/>
        <v>0</v>
      </c>
      <c r="I2844" s="294"/>
      <c r="J2844" s="294">
        <v>43710</v>
      </c>
      <c r="K2844" s="10">
        <f>+(15+5)*2</f>
        <v>40</v>
      </c>
      <c r="L2844" s="11"/>
      <c r="M2844" s="11"/>
      <c r="N2844" s="100"/>
      <c r="O2844" s="11">
        <f t="shared" si="774"/>
        <v>40</v>
      </c>
      <c r="P2844" s="11">
        <f t="shared" si="775"/>
        <v>40</v>
      </c>
      <c r="Q2844" s="11"/>
      <c r="R2844" s="11">
        <f t="shared" si="776"/>
        <v>0</v>
      </c>
      <c r="S2844" s="11"/>
      <c r="T2844" s="136">
        <f t="shared" si="777"/>
        <v>0</v>
      </c>
    </row>
    <row r="2845" spans="1:20" ht="15.75" customHeight="1">
      <c r="A2845" s="149">
        <v>54</v>
      </c>
      <c r="B2845" s="273"/>
      <c r="C2845" s="28" t="s">
        <v>2036</v>
      </c>
      <c r="D2845" s="71">
        <v>810</v>
      </c>
      <c r="E2845" s="131">
        <f t="shared" si="778"/>
        <v>0</v>
      </c>
      <c r="F2845" s="21">
        <f t="shared" si="781"/>
        <v>0</v>
      </c>
      <c r="G2845" s="77">
        <f>430820*1.105</f>
        <v>476056.1</v>
      </c>
      <c r="H2845" s="135">
        <f t="shared" si="779"/>
        <v>0</v>
      </c>
      <c r="I2845" s="294"/>
      <c r="J2845" s="294">
        <v>43185</v>
      </c>
      <c r="K2845" s="10"/>
      <c r="L2845" s="11">
        <f>840*1.35</f>
        <v>1134</v>
      </c>
      <c r="M2845" s="11"/>
      <c r="N2845" s="100"/>
      <c r="O2845" s="11">
        <f t="shared" si="774"/>
        <v>1134</v>
      </c>
      <c r="P2845" s="11">
        <f t="shared" si="775"/>
        <v>1134</v>
      </c>
      <c r="Q2845" s="11"/>
      <c r="R2845" s="11">
        <f t="shared" si="776"/>
        <v>0</v>
      </c>
      <c r="S2845" s="11"/>
      <c r="T2845" s="136">
        <f t="shared" si="777"/>
        <v>0</v>
      </c>
    </row>
    <row r="2846" spans="1:20" ht="15.75" customHeight="1">
      <c r="A2846" s="149">
        <v>54</v>
      </c>
      <c r="B2846" s="273"/>
      <c r="C2846" s="28" t="s">
        <v>2037</v>
      </c>
      <c r="D2846" s="71">
        <v>940</v>
      </c>
      <c r="E2846" s="131">
        <f t="shared" si="778"/>
        <v>0</v>
      </c>
      <c r="F2846" s="21">
        <f t="shared" si="781"/>
        <v>0</v>
      </c>
      <c r="G2846" s="77"/>
      <c r="H2846" s="135">
        <f t="shared" si="779"/>
        <v>0</v>
      </c>
      <c r="I2846" s="294"/>
      <c r="J2846" s="294">
        <v>43222</v>
      </c>
      <c r="K2846" s="10">
        <f>300*1.35*1.1*2.1</f>
        <v>935.55000000000018</v>
      </c>
      <c r="L2846" s="11">
        <f>10.3*47*2.9*1.35</f>
        <v>1895.2515000000003</v>
      </c>
      <c r="M2846" s="11"/>
      <c r="N2846" s="100"/>
      <c r="O2846" s="11">
        <f t="shared" si="774"/>
        <v>935.55000000000018</v>
      </c>
      <c r="P2846" s="11">
        <f t="shared" si="775"/>
        <v>935.55000000000018</v>
      </c>
      <c r="Q2846" s="11"/>
      <c r="R2846" s="11">
        <f t="shared" si="776"/>
        <v>0</v>
      </c>
      <c r="S2846" s="11"/>
      <c r="T2846" s="136">
        <f t="shared" si="777"/>
        <v>0</v>
      </c>
    </row>
    <row r="2847" spans="1:20" ht="15.75" customHeight="1">
      <c r="A2847" s="149">
        <v>54</v>
      </c>
      <c r="B2847" s="273"/>
      <c r="C2847" s="28" t="s">
        <v>2038</v>
      </c>
      <c r="D2847" s="71">
        <v>2970</v>
      </c>
      <c r="E2847" s="131">
        <f t="shared" si="778"/>
        <v>0</v>
      </c>
      <c r="F2847" s="21">
        <f t="shared" si="781"/>
        <v>0</v>
      </c>
      <c r="G2847" s="77"/>
      <c r="H2847" s="135">
        <f t="shared" si="779"/>
        <v>0</v>
      </c>
      <c r="I2847" s="294"/>
      <c r="J2847" s="294"/>
      <c r="K2847" s="10">
        <f>28.4*70*1.35</f>
        <v>2683.8</v>
      </c>
      <c r="L2847" s="11">
        <f>42.84*86/3.9</f>
        <v>944.67692307692312</v>
      </c>
      <c r="M2847" s="11"/>
      <c r="N2847" s="100"/>
      <c r="O2847" s="11">
        <f t="shared" si="774"/>
        <v>944.67692307692312</v>
      </c>
      <c r="P2847" s="11">
        <f t="shared" si="775"/>
        <v>944.67692307692312</v>
      </c>
      <c r="Q2847" s="11"/>
      <c r="R2847" s="11">
        <f t="shared" si="776"/>
        <v>0</v>
      </c>
      <c r="S2847" s="11"/>
      <c r="T2847" s="136">
        <f t="shared" si="777"/>
        <v>0</v>
      </c>
    </row>
    <row r="2848" spans="1:20" ht="15.75" customHeight="1">
      <c r="A2848" s="149">
        <v>54</v>
      </c>
      <c r="B2848" s="273"/>
      <c r="C2848" s="28" t="s">
        <v>2041</v>
      </c>
      <c r="D2848" s="71">
        <v>3120</v>
      </c>
      <c r="E2848" s="131">
        <f t="shared" si="778"/>
        <v>5200</v>
      </c>
      <c r="F2848" s="21">
        <f t="shared" si="781"/>
        <v>6292</v>
      </c>
      <c r="G2848" s="77"/>
      <c r="H2848" s="135">
        <f t="shared" si="779"/>
        <v>0</v>
      </c>
      <c r="I2848" s="294"/>
      <c r="J2848" s="40">
        <v>44232</v>
      </c>
      <c r="K2848" s="11">
        <f>37.56*0.95*64*1.35*2</f>
        <v>6165.8496000000005</v>
      </c>
      <c r="L2848" s="11">
        <f>37.5*0.9*110</f>
        <v>3712.5</v>
      </c>
      <c r="M2848" s="10"/>
      <c r="N2848" s="100"/>
      <c r="O2848" s="11">
        <f t="shared" si="774"/>
        <v>3712.5</v>
      </c>
      <c r="P2848" s="11">
        <f t="shared" si="775"/>
        <v>3712.5</v>
      </c>
      <c r="Q2848" s="11">
        <v>1.4</v>
      </c>
      <c r="R2848" s="11">
        <f t="shared" si="776"/>
        <v>5197.5</v>
      </c>
      <c r="S2848" s="11"/>
      <c r="T2848" s="136">
        <f t="shared" si="777"/>
        <v>0</v>
      </c>
    </row>
    <row r="2849" spans="1:20" ht="15.75" customHeight="1">
      <c r="A2849" s="149">
        <v>56</v>
      </c>
      <c r="B2849" s="273"/>
      <c r="C2849" s="28" t="s">
        <v>2039</v>
      </c>
      <c r="D2849" s="71">
        <v>2120</v>
      </c>
      <c r="E2849" s="131">
        <f t="shared" si="778"/>
        <v>0</v>
      </c>
      <c r="F2849" s="21">
        <f t="shared" si="781"/>
        <v>0</v>
      </c>
      <c r="G2849" s="77"/>
      <c r="H2849" s="135">
        <f t="shared" si="779"/>
        <v>0</v>
      </c>
      <c r="I2849" s="294">
        <v>43599</v>
      </c>
      <c r="J2849" s="40">
        <v>43629</v>
      </c>
      <c r="K2849" s="10">
        <f>34.2*1.35*46</f>
        <v>2123.8200000000006</v>
      </c>
      <c r="L2849" s="11">
        <f>35.7*40</f>
        <v>1428</v>
      </c>
      <c r="M2849" s="10"/>
      <c r="N2849" s="100"/>
      <c r="O2849" s="11">
        <f t="shared" si="774"/>
        <v>1428</v>
      </c>
      <c r="P2849" s="11">
        <f t="shared" si="775"/>
        <v>1428</v>
      </c>
      <c r="Q2849" s="11"/>
      <c r="R2849" s="11">
        <f t="shared" si="776"/>
        <v>0</v>
      </c>
      <c r="S2849" s="11"/>
      <c r="T2849" s="136">
        <f t="shared" si="777"/>
        <v>0</v>
      </c>
    </row>
    <row r="2850" spans="1:20" ht="15.75" customHeight="1">
      <c r="A2850" s="149">
        <v>56</v>
      </c>
      <c r="B2850" s="273"/>
      <c r="C2850" s="28" t="s">
        <v>2040</v>
      </c>
      <c r="D2850" s="71">
        <v>3270</v>
      </c>
      <c r="E2850" s="131">
        <f t="shared" si="778"/>
        <v>0</v>
      </c>
      <c r="F2850" s="21">
        <f t="shared" si="781"/>
        <v>0</v>
      </c>
      <c r="G2850" s="21"/>
      <c r="H2850" s="135">
        <f t="shared" si="779"/>
        <v>0</v>
      </c>
      <c r="I2850" s="294"/>
      <c r="J2850" s="40">
        <v>43780</v>
      </c>
      <c r="K2850" s="10">
        <f>36.6*66*1.35</f>
        <v>3261.06</v>
      </c>
      <c r="L2850" s="11">
        <f>1910*1.35</f>
        <v>2578.5</v>
      </c>
      <c r="M2850" s="10"/>
      <c r="N2850" s="100"/>
      <c r="O2850" s="11">
        <f t="shared" si="774"/>
        <v>2578.5</v>
      </c>
      <c r="P2850" s="11">
        <f t="shared" si="775"/>
        <v>2578.5</v>
      </c>
      <c r="Q2850" s="11"/>
      <c r="R2850" s="11">
        <f t="shared" si="776"/>
        <v>0</v>
      </c>
      <c r="S2850" s="11"/>
      <c r="T2850" s="136">
        <f t="shared" si="777"/>
        <v>0</v>
      </c>
    </row>
    <row r="2851" spans="1:20" ht="15.75" customHeight="1">
      <c r="A2851" s="149">
        <v>54</v>
      </c>
      <c r="B2851" s="273"/>
      <c r="C2851" s="28" t="s">
        <v>2042</v>
      </c>
      <c r="D2851" s="71">
        <v>3280</v>
      </c>
      <c r="E2851" s="131">
        <f t="shared" si="778"/>
        <v>0</v>
      </c>
      <c r="F2851" s="21">
        <f t="shared" si="781"/>
        <v>0</v>
      </c>
      <c r="G2851" s="21" t="s">
        <v>2267</v>
      </c>
      <c r="H2851" s="135">
        <f t="shared" si="779"/>
        <v>0</v>
      </c>
      <c r="I2851" s="294"/>
      <c r="J2851" s="294">
        <v>43431</v>
      </c>
      <c r="K2851" s="11">
        <f>34.65*70*1.35</f>
        <v>3274.4250000000002</v>
      </c>
      <c r="L2851" s="11">
        <f>10.3*48</f>
        <v>494.40000000000003</v>
      </c>
      <c r="M2851" s="10"/>
      <c r="N2851" s="100"/>
      <c r="O2851" s="11">
        <f t="shared" si="774"/>
        <v>494.40000000000003</v>
      </c>
      <c r="P2851" s="11">
        <f t="shared" si="775"/>
        <v>494.40000000000003</v>
      </c>
      <c r="Q2851" s="11"/>
      <c r="R2851" s="11">
        <f t="shared" si="776"/>
        <v>0</v>
      </c>
      <c r="S2851" s="11"/>
      <c r="T2851" s="136">
        <f t="shared" si="777"/>
        <v>0</v>
      </c>
    </row>
    <row r="2852" spans="1:20" ht="15.75" customHeight="1">
      <c r="A2852" s="149">
        <v>54</v>
      </c>
      <c r="B2852" s="273"/>
      <c r="C2852" s="28" t="s">
        <v>3760</v>
      </c>
      <c r="D2852" s="71">
        <v>1460</v>
      </c>
      <c r="E2852" s="131">
        <f t="shared" si="778"/>
        <v>62640</v>
      </c>
      <c r="F2852" s="21">
        <f t="shared" si="781"/>
        <v>75794.399999999994</v>
      </c>
      <c r="G2852" s="173" t="s">
        <v>44363</v>
      </c>
      <c r="H2852" s="135">
        <f t="shared" si="779"/>
        <v>0</v>
      </c>
      <c r="I2852" s="294"/>
      <c r="J2852" s="294">
        <v>45323</v>
      </c>
      <c r="K2852" s="10">
        <f>12000*3.6</f>
        <v>43200</v>
      </c>
      <c r="L2852" s="11"/>
      <c r="M2852" s="11"/>
      <c r="N2852" s="100"/>
      <c r="O2852" s="11">
        <f t="shared" si="774"/>
        <v>43200</v>
      </c>
      <c r="P2852" s="11">
        <f t="shared" si="775"/>
        <v>43200</v>
      </c>
      <c r="Q2852" s="11">
        <v>1.45</v>
      </c>
      <c r="R2852" s="11">
        <f t="shared" si="776"/>
        <v>62640</v>
      </c>
      <c r="S2852" s="11"/>
      <c r="T2852" s="136">
        <f t="shared" si="777"/>
        <v>0</v>
      </c>
    </row>
    <row r="2853" spans="1:20" ht="15.75" customHeight="1">
      <c r="A2853" s="149">
        <v>56</v>
      </c>
      <c r="B2853" s="273"/>
      <c r="C2853" s="28" t="s">
        <v>2043</v>
      </c>
      <c r="D2853" s="71">
        <v>2460</v>
      </c>
      <c r="E2853" s="131">
        <f t="shared" si="778"/>
        <v>0</v>
      </c>
      <c r="F2853" s="21">
        <f t="shared" si="781"/>
        <v>0</v>
      </c>
      <c r="G2853" s="21" t="s">
        <v>44287</v>
      </c>
      <c r="H2853" s="135">
        <f t="shared" si="779"/>
        <v>0</v>
      </c>
      <c r="I2853" s="294">
        <v>43348</v>
      </c>
      <c r="J2853" s="294"/>
      <c r="K2853" s="11">
        <f>48*38*1.35</f>
        <v>2462.4</v>
      </c>
      <c r="L2853" s="10">
        <f>1457*1.35</f>
        <v>1966.95</v>
      </c>
      <c r="M2853" s="11">
        <f>6750/3.9</f>
        <v>1730.7692307692307</v>
      </c>
      <c r="N2853" s="100"/>
      <c r="O2853" s="11">
        <f t="shared" si="774"/>
        <v>1730.7692307692307</v>
      </c>
      <c r="P2853" s="11">
        <f t="shared" si="775"/>
        <v>1730.7692307692307</v>
      </c>
      <c r="Q2853" s="11"/>
      <c r="R2853" s="11">
        <f t="shared" si="776"/>
        <v>0</v>
      </c>
      <c r="S2853" s="11"/>
      <c r="T2853" s="136">
        <f t="shared" si="777"/>
        <v>0</v>
      </c>
    </row>
    <row r="2854" spans="1:20" ht="15.75" customHeight="1">
      <c r="A2854" s="149">
        <v>54</v>
      </c>
      <c r="B2854" s="273"/>
      <c r="C2854" s="28" t="s">
        <v>2044</v>
      </c>
      <c r="D2854" s="71">
        <v>2450</v>
      </c>
      <c r="E2854" s="131">
        <f t="shared" si="778"/>
        <v>0</v>
      </c>
      <c r="F2854" s="21">
        <f t="shared" si="781"/>
        <v>0</v>
      </c>
      <c r="G2854" s="77">
        <f>6400*1.5</f>
        <v>9600</v>
      </c>
      <c r="H2854" s="135">
        <f t="shared" si="779"/>
        <v>0</v>
      </c>
      <c r="I2854" s="294"/>
      <c r="J2854" s="294">
        <v>43327</v>
      </c>
      <c r="K2854" s="11">
        <f>10.3*36*4.9*1.35</f>
        <v>2452.8420000000006</v>
      </c>
      <c r="L2854" s="10"/>
      <c r="M2854" s="11">
        <f>+M2853*1.35</f>
        <v>2336.5384615384614</v>
      </c>
      <c r="N2854" s="100"/>
      <c r="O2854" s="11">
        <f t="shared" si="774"/>
        <v>2336.5384615384614</v>
      </c>
      <c r="P2854" s="11">
        <f t="shared" si="775"/>
        <v>2336.5384615384614</v>
      </c>
      <c r="Q2854" s="11"/>
      <c r="R2854" s="11">
        <f t="shared" si="776"/>
        <v>0</v>
      </c>
      <c r="S2854" s="11"/>
      <c r="T2854" s="136">
        <f t="shared" si="777"/>
        <v>0</v>
      </c>
    </row>
    <row r="2855" spans="1:20" ht="15.75" customHeight="1">
      <c r="A2855" s="149">
        <v>54</v>
      </c>
      <c r="B2855" s="273">
        <f>+E2855*1.105</f>
        <v>0</v>
      </c>
      <c r="C2855" s="28" t="s">
        <v>2045</v>
      </c>
      <c r="D2855" s="71">
        <v>495</v>
      </c>
      <c r="E2855" s="131">
        <f t="shared" si="778"/>
        <v>0</v>
      </c>
      <c r="F2855" s="21">
        <f t="shared" si="781"/>
        <v>0</v>
      </c>
      <c r="G2855" s="77"/>
      <c r="H2855" s="135">
        <f t="shared" si="779"/>
        <v>0</v>
      </c>
      <c r="I2855" s="294"/>
      <c r="J2855" s="294">
        <v>43180</v>
      </c>
      <c r="K2855" s="11">
        <f>12*91</f>
        <v>1092</v>
      </c>
      <c r="L2855" s="30"/>
      <c r="M2855" s="11"/>
      <c r="N2855" s="100"/>
      <c r="O2855" s="11">
        <f t="shared" si="774"/>
        <v>1092</v>
      </c>
      <c r="P2855" s="11">
        <f t="shared" si="775"/>
        <v>1092</v>
      </c>
      <c r="Q2855" s="11"/>
      <c r="R2855" s="11">
        <f t="shared" si="776"/>
        <v>0</v>
      </c>
      <c r="S2855" s="11"/>
      <c r="T2855" s="136">
        <f t="shared" si="777"/>
        <v>0</v>
      </c>
    </row>
    <row r="2856" spans="1:20" ht="15.75" customHeight="1">
      <c r="A2856" s="149"/>
      <c r="B2856" s="273"/>
      <c r="C2856" s="28" t="s">
        <v>2109</v>
      </c>
      <c r="D2856" s="71">
        <v>5700</v>
      </c>
      <c r="E2856" s="131">
        <f t="shared" si="778"/>
        <v>0</v>
      </c>
      <c r="F2856" s="21">
        <f t="shared" si="781"/>
        <v>0</v>
      </c>
      <c r="G2856" s="21"/>
      <c r="H2856" s="135">
        <f t="shared" si="779"/>
        <v>0</v>
      </c>
      <c r="I2856" s="294">
        <v>43759</v>
      </c>
      <c r="J2856" s="294"/>
      <c r="K2856" s="10">
        <f>3800*1.5*1.3</f>
        <v>7410</v>
      </c>
      <c r="L2856" s="11"/>
      <c r="M2856" s="11"/>
      <c r="N2856" s="100"/>
      <c r="O2856" s="11">
        <f t="shared" si="774"/>
        <v>7410</v>
      </c>
      <c r="P2856" s="11">
        <f t="shared" si="775"/>
        <v>7410</v>
      </c>
      <c r="Q2856" s="11"/>
      <c r="R2856" s="11">
        <f t="shared" si="776"/>
        <v>0</v>
      </c>
      <c r="S2856" s="11"/>
      <c r="T2856" s="136">
        <f t="shared" si="777"/>
        <v>0</v>
      </c>
    </row>
    <row r="2857" spans="1:20" ht="15.75" customHeight="1">
      <c r="A2857" s="149" t="s">
        <v>3714</v>
      </c>
      <c r="B2857" s="273"/>
      <c r="C2857" s="28" t="s">
        <v>2046</v>
      </c>
      <c r="D2857" s="71">
        <v>130</v>
      </c>
      <c r="E2857" s="131">
        <f t="shared" si="778"/>
        <v>2320</v>
      </c>
      <c r="F2857" s="21">
        <f t="shared" si="781"/>
        <v>2807.2</v>
      </c>
      <c r="G2857" s="77"/>
      <c r="H2857" s="135">
        <f t="shared" ref="H2857:H2881" si="782">ROUNDUP(T2857,-1)</f>
        <v>0</v>
      </c>
      <c r="I2857" s="294">
        <v>45273</v>
      </c>
      <c r="J2857" s="294">
        <v>45324</v>
      </c>
      <c r="K2857" s="10"/>
      <c r="L2857" s="10">
        <f>0.6*2410</f>
        <v>1446</v>
      </c>
      <c r="M2857" s="11">
        <f>0.7*0.9*2363</f>
        <v>1488.69</v>
      </c>
      <c r="N2857" s="100"/>
      <c r="O2857" s="11">
        <f t="shared" si="774"/>
        <v>1446</v>
      </c>
      <c r="P2857" s="11">
        <f t="shared" si="775"/>
        <v>1446</v>
      </c>
      <c r="Q2857" s="11">
        <v>1.6</v>
      </c>
      <c r="R2857" s="11">
        <f t="shared" si="776"/>
        <v>2313.6</v>
      </c>
      <c r="S2857" s="11"/>
      <c r="T2857" s="136">
        <f t="shared" si="777"/>
        <v>0</v>
      </c>
    </row>
    <row r="2858" spans="1:20" ht="15.75" customHeight="1">
      <c r="A2858" s="149">
        <v>101</v>
      </c>
      <c r="B2858" s="273"/>
      <c r="C2858" s="28" t="s">
        <v>3794</v>
      </c>
      <c r="D2858" s="71">
        <v>540</v>
      </c>
      <c r="E2858" s="131">
        <f t="shared" si="778"/>
        <v>6460</v>
      </c>
      <c r="F2858" s="21">
        <f t="shared" si="781"/>
        <v>7816.5999999999995</v>
      </c>
      <c r="G2858" s="77"/>
      <c r="H2858" s="135">
        <f t="shared" si="782"/>
        <v>0</v>
      </c>
      <c r="I2858" s="294">
        <v>45059</v>
      </c>
      <c r="J2858" s="294">
        <v>45343</v>
      </c>
      <c r="K2858" s="10">
        <f>0.7*0.9*6028</f>
        <v>3797.64</v>
      </c>
      <c r="L2858" s="11"/>
      <c r="M2858" s="11"/>
      <c r="N2858" s="100"/>
      <c r="O2858" s="11">
        <f t="shared" si="774"/>
        <v>3797.64</v>
      </c>
      <c r="P2858" s="11">
        <f t="shared" si="775"/>
        <v>3797.64</v>
      </c>
      <c r="Q2858" s="11">
        <v>1.7</v>
      </c>
      <c r="R2858" s="11">
        <f t="shared" si="776"/>
        <v>6455.9879999999994</v>
      </c>
      <c r="S2858" s="11"/>
      <c r="T2858" s="136">
        <f t="shared" si="777"/>
        <v>0</v>
      </c>
    </row>
    <row r="2859" spans="1:20" ht="15.75" customHeight="1">
      <c r="A2859" s="149">
        <v>101</v>
      </c>
      <c r="B2859" s="273"/>
      <c r="C2859" s="28" t="s">
        <v>3886</v>
      </c>
      <c r="D2859" s="71">
        <v>600</v>
      </c>
      <c r="E2859" s="131">
        <f t="shared" si="778"/>
        <v>8820</v>
      </c>
      <c r="F2859" s="21">
        <f t="shared" si="781"/>
        <v>10672.199999999999</v>
      </c>
      <c r="G2859" s="77"/>
      <c r="H2859" s="135">
        <f t="shared" si="782"/>
        <v>0</v>
      </c>
      <c r="I2859" s="294">
        <v>45059</v>
      </c>
      <c r="J2859" s="294">
        <v>45351</v>
      </c>
      <c r="K2859" s="10">
        <f>0.7*0.9*8229</f>
        <v>5184.2700000000004</v>
      </c>
      <c r="L2859" s="11"/>
      <c r="M2859" s="11"/>
      <c r="N2859" s="100"/>
      <c r="O2859" s="11">
        <f t="shared" si="774"/>
        <v>5184.2700000000004</v>
      </c>
      <c r="P2859" s="11">
        <f t="shared" si="775"/>
        <v>5184.2700000000004</v>
      </c>
      <c r="Q2859" s="11">
        <v>1.7</v>
      </c>
      <c r="R2859" s="11">
        <f t="shared" si="776"/>
        <v>8813.259</v>
      </c>
      <c r="S2859" s="11"/>
      <c r="T2859" s="136">
        <f t="shared" si="777"/>
        <v>0</v>
      </c>
    </row>
    <row r="2860" spans="1:20" ht="15.75" customHeight="1">
      <c r="A2860" s="149">
        <v>25</v>
      </c>
      <c r="B2860" s="273"/>
      <c r="C2860" s="28" t="s">
        <v>2047</v>
      </c>
      <c r="D2860" s="71">
        <v>720</v>
      </c>
      <c r="E2860" s="131">
        <f t="shared" si="778"/>
        <v>0</v>
      </c>
      <c r="F2860" s="21">
        <f t="shared" si="781"/>
        <v>0</v>
      </c>
      <c r="G2860" s="77"/>
      <c r="H2860" s="135">
        <f t="shared" si="782"/>
        <v>0</v>
      </c>
      <c r="I2860" s="294"/>
      <c r="J2860" s="294">
        <v>43770</v>
      </c>
      <c r="K2860" s="11">
        <f>480*1.5</f>
        <v>720</v>
      </c>
      <c r="L2860" s="11"/>
      <c r="M2860" s="11"/>
      <c r="N2860" s="100"/>
      <c r="O2860" s="11">
        <f t="shared" si="774"/>
        <v>720</v>
      </c>
      <c r="P2860" s="11">
        <f t="shared" si="775"/>
        <v>720</v>
      </c>
      <c r="Q2860" s="11"/>
      <c r="R2860" s="11">
        <f t="shared" si="776"/>
        <v>0</v>
      </c>
      <c r="S2860" s="11"/>
      <c r="T2860" s="136">
        <f t="shared" si="777"/>
        <v>0</v>
      </c>
    </row>
    <row r="2861" spans="1:20" ht="15.75" customHeight="1">
      <c r="A2861" s="149">
        <v>25</v>
      </c>
      <c r="B2861" s="273"/>
      <c r="C2861" s="28" t="s">
        <v>2048</v>
      </c>
      <c r="D2861" s="71">
        <v>920</v>
      </c>
      <c r="E2861" s="131">
        <f t="shared" si="778"/>
        <v>0</v>
      </c>
      <c r="F2861" s="21">
        <f t="shared" si="781"/>
        <v>0</v>
      </c>
      <c r="G2861" s="77"/>
      <c r="H2861" s="135">
        <f t="shared" si="782"/>
        <v>0</v>
      </c>
      <c r="I2861" s="294">
        <v>43530</v>
      </c>
      <c r="J2861" s="294"/>
      <c r="K2861" s="10">
        <f>611*1.5</f>
        <v>916.5</v>
      </c>
      <c r="L2861" s="11">
        <f>5803 /3.9 /1.21</f>
        <v>1229.7096842551389</v>
      </c>
      <c r="M2861" s="11"/>
      <c r="N2861" s="100"/>
      <c r="O2861" s="11">
        <f t="shared" si="774"/>
        <v>916.5</v>
      </c>
      <c r="P2861" s="11">
        <f t="shared" si="775"/>
        <v>916.5</v>
      </c>
      <c r="Q2861" s="11"/>
      <c r="R2861" s="11">
        <f t="shared" si="776"/>
        <v>0</v>
      </c>
      <c r="S2861" s="11"/>
      <c r="T2861" s="136">
        <f t="shared" si="777"/>
        <v>0</v>
      </c>
    </row>
    <row r="2862" spans="1:20" ht="15.75" customHeight="1">
      <c r="A2862" s="149">
        <v>26</v>
      </c>
      <c r="B2862" s="273"/>
      <c r="C2862" s="28" t="s">
        <v>2049</v>
      </c>
      <c r="D2862" s="71"/>
      <c r="E2862" s="131">
        <f t="shared" si="778"/>
        <v>0</v>
      </c>
      <c r="F2862" s="21">
        <f t="shared" si="781"/>
        <v>0</v>
      </c>
      <c r="G2862" s="77"/>
      <c r="H2862" s="135">
        <f t="shared" si="782"/>
        <v>0</v>
      </c>
      <c r="I2862" s="294"/>
      <c r="J2862" s="294">
        <v>43157</v>
      </c>
      <c r="K2862" s="10">
        <f>130*2</f>
        <v>260</v>
      </c>
      <c r="L2862" s="11"/>
      <c r="M2862" s="11"/>
      <c r="N2862" s="100"/>
      <c r="O2862" s="11">
        <f t="shared" si="774"/>
        <v>260</v>
      </c>
      <c r="P2862" s="11">
        <f t="shared" si="775"/>
        <v>260</v>
      </c>
      <c r="Q2862" s="11"/>
      <c r="R2862" s="11">
        <f t="shared" si="776"/>
        <v>0</v>
      </c>
      <c r="S2862" s="11"/>
      <c r="T2862" s="136">
        <f t="shared" si="777"/>
        <v>0</v>
      </c>
    </row>
    <row r="2863" spans="1:20" ht="15.75" customHeight="1">
      <c r="A2863" s="149">
        <v>42</v>
      </c>
      <c r="B2863" s="273"/>
      <c r="C2863" s="28" t="s">
        <v>4408</v>
      </c>
      <c r="D2863" s="71">
        <v>200</v>
      </c>
      <c r="E2863" s="131">
        <f t="shared" si="778"/>
        <v>6110</v>
      </c>
      <c r="F2863" s="21">
        <f t="shared" si="781"/>
        <v>7393.0999999999995</v>
      </c>
      <c r="G2863" s="21"/>
      <c r="H2863" s="135">
        <f t="shared" si="782"/>
        <v>5770</v>
      </c>
      <c r="I2863" s="294"/>
      <c r="J2863" s="294">
        <v>45338</v>
      </c>
      <c r="K2863" s="10">
        <f>+PROVEEDORES!D36*4.6</f>
        <v>4070.9999999999995</v>
      </c>
      <c r="L2863" s="11"/>
      <c r="M2863" s="11"/>
      <c r="N2863" s="100">
        <v>3846</v>
      </c>
      <c r="O2863" s="11">
        <f t="shared" si="774"/>
        <v>4070.9999999999995</v>
      </c>
      <c r="P2863" s="11">
        <f t="shared" si="775"/>
        <v>4070.9999999999995</v>
      </c>
      <c r="Q2863" s="11">
        <v>1.5</v>
      </c>
      <c r="R2863" s="11">
        <f t="shared" si="776"/>
        <v>6106.4999999999991</v>
      </c>
      <c r="S2863" s="11"/>
      <c r="T2863" s="136">
        <f t="shared" si="777"/>
        <v>5769</v>
      </c>
    </row>
    <row r="2864" spans="1:20" ht="15.75" customHeight="1">
      <c r="A2864" s="149">
        <v>36</v>
      </c>
      <c r="B2864" s="273"/>
      <c r="C2864" s="28" t="s">
        <v>4464</v>
      </c>
      <c r="D2864" s="71">
        <v>0</v>
      </c>
      <c r="E2864" s="131">
        <f t="shared" si="778"/>
        <v>26360</v>
      </c>
      <c r="F2864" s="21">
        <f t="shared" si="781"/>
        <v>31895.599999999999</v>
      </c>
      <c r="G2864" s="21"/>
      <c r="H2864" s="135">
        <f t="shared" si="782"/>
        <v>11850</v>
      </c>
      <c r="I2864" s="294">
        <v>45259</v>
      </c>
      <c r="J2864" s="294">
        <v>45331</v>
      </c>
      <c r="K2864" s="10">
        <f>0.8*0.94*23360</f>
        <v>17566.72</v>
      </c>
      <c r="L2864" s="11"/>
      <c r="M2864" s="11"/>
      <c r="N2864" s="10">
        <f>10505*0.8*0.94</f>
        <v>7899.7599999999993</v>
      </c>
      <c r="O2864" s="11">
        <f t="shared" si="774"/>
        <v>17566.72</v>
      </c>
      <c r="P2864" s="11">
        <f t="shared" ref="P2864:P2885" si="783">+O2864</f>
        <v>17566.72</v>
      </c>
      <c r="Q2864" s="11">
        <v>1.5</v>
      </c>
      <c r="R2864" s="11">
        <f t="shared" ref="R2864:R2885" si="784">+P2864*Q2864</f>
        <v>26350.080000000002</v>
      </c>
      <c r="S2864" s="11"/>
      <c r="T2864" s="136">
        <f t="shared" si="777"/>
        <v>11849.64</v>
      </c>
    </row>
    <row r="2865" spans="1:20" ht="15.75" customHeight="1">
      <c r="A2865" s="149">
        <v>36</v>
      </c>
      <c r="B2865" s="273"/>
      <c r="C2865" s="28" t="s">
        <v>4465</v>
      </c>
      <c r="D2865" s="71">
        <v>580</v>
      </c>
      <c r="E2865" s="131">
        <f t="shared" si="778"/>
        <v>30400</v>
      </c>
      <c r="F2865" s="21">
        <f t="shared" si="781"/>
        <v>36784</v>
      </c>
      <c r="G2865" s="21">
        <v>29400</v>
      </c>
      <c r="H2865" s="135">
        <f t="shared" si="782"/>
        <v>0</v>
      </c>
      <c r="I2865" s="294">
        <v>45259</v>
      </c>
      <c r="J2865" s="294">
        <v>45331</v>
      </c>
      <c r="K2865" s="10">
        <f>0.8*0.94*26948</f>
        <v>20264.896000000001</v>
      </c>
      <c r="L2865" s="11"/>
      <c r="M2865" s="11"/>
      <c r="N2865" s="10"/>
      <c r="O2865" s="11">
        <f t="shared" ref="O2865:O2885" si="785">MIN(K2865:M2865)</f>
        <v>20264.896000000001</v>
      </c>
      <c r="P2865" s="11">
        <f t="shared" si="783"/>
        <v>20264.896000000001</v>
      </c>
      <c r="Q2865" s="11">
        <v>1.5</v>
      </c>
      <c r="R2865" s="11">
        <f t="shared" si="784"/>
        <v>30397.344000000001</v>
      </c>
      <c r="S2865" s="11"/>
      <c r="T2865" s="136">
        <f t="shared" si="777"/>
        <v>0</v>
      </c>
    </row>
    <row r="2866" spans="1:20" ht="15.75" customHeight="1">
      <c r="A2866" s="149">
        <v>89</v>
      </c>
      <c r="B2866" s="273"/>
      <c r="C2866" s="28" t="s">
        <v>3715</v>
      </c>
      <c r="D2866" s="71"/>
      <c r="E2866" s="131">
        <f t="shared" si="778"/>
        <v>0</v>
      </c>
      <c r="F2866" s="21">
        <f t="shared" si="781"/>
        <v>0</v>
      </c>
      <c r="G2866" s="21"/>
      <c r="H2866" s="135">
        <f t="shared" si="782"/>
        <v>0</v>
      </c>
      <c r="I2866" s="294">
        <v>45153</v>
      </c>
      <c r="J2866" s="294"/>
      <c r="K2866" s="10">
        <f>12970*1.1</f>
        <v>14267.000000000002</v>
      </c>
      <c r="L2866" s="11"/>
      <c r="M2866" s="11"/>
      <c r="N2866" s="100"/>
      <c r="O2866" s="11">
        <f t="shared" si="785"/>
        <v>14267.000000000002</v>
      </c>
      <c r="P2866" s="11">
        <f t="shared" si="783"/>
        <v>14267.000000000002</v>
      </c>
      <c r="Q2866" s="11"/>
      <c r="R2866" s="11">
        <f t="shared" si="784"/>
        <v>0</v>
      </c>
      <c r="S2866" s="11"/>
      <c r="T2866" s="136">
        <f t="shared" si="777"/>
        <v>0</v>
      </c>
    </row>
    <row r="2867" spans="1:20" ht="15.75" customHeight="1">
      <c r="A2867" s="149"/>
      <c r="B2867" s="273">
        <f>+E2867*1.105</f>
        <v>0</v>
      </c>
      <c r="C2867" s="28" t="s">
        <v>2050</v>
      </c>
      <c r="D2867" s="71">
        <v>3850</v>
      </c>
      <c r="E2867" s="131">
        <f t="shared" si="778"/>
        <v>0</v>
      </c>
      <c r="F2867" s="21">
        <f t="shared" si="781"/>
        <v>0</v>
      </c>
      <c r="G2867" s="21"/>
      <c r="H2867" s="135">
        <f t="shared" si="782"/>
        <v>0</v>
      </c>
      <c r="I2867" s="294"/>
      <c r="J2867" s="294">
        <v>43734</v>
      </c>
      <c r="K2867" s="11">
        <f>1264*1.45*2</f>
        <v>3665.6</v>
      </c>
      <c r="L2867" s="10"/>
      <c r="M2867" s="10"/>
      <c r="N2867" s="100"/>
      <c r="O2867" s="11">
        <f t="shared" si="785"/>
        <v>3665.6</v>
      </c>
      <c r="P2867" s="11">
        <f t="shared" si="783"/>
        <v>3665.6</v>
      </c>
      <c r="Q2867" s="11"/>
      <c r="R2867" s="11">
        <f t="shared" si="784"/>
        <v>0</v>
      </c>
      <c r="S2867" s="11"/>
      <c r="T2867" s="136">
        <f t="shared" si="777"/>
        <v>0</v>
      </c>
    </row>
    <row r="2868" spans="1:20" ht="15.75" customHeight="1">
      <c r="A2868" s="149"/>
      <c r="B2868" s="273"/>
      <c r="C2868" s="28" t="s">
        <v>2051</v>
      </c>
      <c r="D2868" s="71">
        <v>2670</v>
      </c>
      <c r="E2868" s="131">
        <f t="shared" si="778"/>
        <v>0</v>
      </c>
      <c r="F2868" s="21">
        <f t="shared" si="781"/>
        <v>0</v>
      </c>
      <c r="G2868" s="21"/>
      <c r="H2868" s="135">
        <f t="shared" si="782"/>
        <v>0</v>
      </c>
      <c r="I2868" s="294"/>
      <c r="J2868" s="294">
        <v>43318</v>
      </c>
      <c r="K2868" s="10">
        <f>1840*1.45</f>
        <v>2668</v>
      </c>
      <c r="L2868" s="11"/>
      <c r="M2868" s="11"/>
      <c r="N2868" s="100"/>
      <c r="O2868" s="11">
        <f t="shared" si="785"/>
        <v>2668</v>
      </c>
      <c r="P2868" s="11">
        <f t="shared" si="783"/>
        <v>2668</v>
      </c>
      <c r="Q2868" s="11"/>
      <c r="R2868" s="11">
        <f t="shared" si="784"/>
        <v>0</v>
      </c>
      <c r="S2868" s="11"/>
      <c r="T2868" s="136">
        <f t="shared" si="777"/>
        <v>0</v>
      </c>
    </row>
    <row r="2869" spans="1:20" ht="15.75" customHeight="1">
      <c r="A2869" s="149">
        <v>89</v>
      </c>
      <c r="B2869" s="273"/>
      <c r="C2869" s="28" t="s">
        <v>62674</v>
      </c>
      <c r="D2869" s="71">
        <v>2210</v>
      </c>
      <c r="E2869" s="131">
        <f t="shared" si="778"/>
        <v>53380</v>
      </c>
      <c r="F2869" s="21">
        <f t="shared" si="781"/>
        <v>64589.799999999996</v>
      </c>
      <c r="G2869" s="21"/>
      <c r="H2869" s="135">
        <f t="shared" si="782"/>
        <v>0</v>
      </c>
      <c r="I2869" s="294">
        <v>45323</v>
      </c>
      <c r="J2869" s="294">
        <v>45355</v>
      </c>
      <c r="K2869" s="10">
        <v>35583</v>
      </c>
      <c r="L2869" s="11"/>
      <c r="M2869" s="11"/>
      <c r="N2869" s="100"/>
      <c r="O2869" s="11">
        <f t="shared" si="785"/>
        <v>35583</v>
      </c>
      <c r="P2869" s="11">
        <f t="shared" si="783"/>
        <v>35583</v>
      </c>
      <c r="Q2869" s="11">
        <v>1.5</v>
      </c>
      <c r="R2869" s="11">
        <f t="shared" si="784"/>
        <v>53374.5</v>
      </c>
      <c r="S2869" s="11"/>
      <c r="T2869" s="136">
        <f t="shared" si="777"/>
        <v>0</v>
      </c>
    </row>
    <row r="2870" spans="1:20" ht="15.75" customHeight="1">
      <c r="A2870" s="149">
        <v>89</v>
      </c>
      <c r="B2870" s="273"/>
      <c r="C2870" s="28" t="s">
        <v>3807</v>
      </c>
      <c r="D2870" s="71">
        <v>2270</v>
      </c>
      <c r="E2870" s="131">
        <f t="shared" si="778"/>
        <v>48520</v>
      </c>
      <c r="F2870" s="21">
        <f t="shared" si="781"/>
        <v>58709.2</v>
      </c>
      <c r="G2870" s="21"/>
      <c r="H2870" s="135">
        <f t="shared" si="782"/>
        <v>0</v>
      </c>
      <c r="I2870" s="294">
        <v>45323</v>
      </c>
      <c r="J2870" s="294">
        <v>45355</v>
      </c>
      <c r="K2870" s="10">
        <v>33457</v>
      </c>
      <c r="L2870" s="11"/>
      <c r="M2870" s="11"/>
      <c r="N2870" s="100"/>
      <c r="O2870" s="11">
        <f t="shared" si="785"/>
        <v>33457</v>
      </c>
      <c r="P2870" s="11">
        <f t="shared" si="783"/>
        <v>33457</v>
      </c>
      <c r="Q2870" s="11">
        <v>1.45</v>
      </c>
      <c r="R2870" s="11">
        <f t="shared" si="784"/>
        <v>48512.65</v>
      </c>
      <c r="S2870" s="11"/>
      <c r="T2870" s="136">
        <f t="shared" si="777"/>
        <v>0</v>
      </c>
    </row>
    <row r="2871" spans="1:20" ht="15.75" customHeight="1">
      <c r="A2871" s="149" t="s">
        <v>2421</v>
      </c>
      <c r="B2871" s="273"/>
      <c r="C2871" s="28" t="s">
        <v>2052</v>
      </c>
      <c r="D2871" s="71">
        <v>3260</v>
      </c>
      <c r="E2871" s="131">
        <f t="shared" si="778"/>
        <v>0</v>
      </c>
      <c r="F2871" s="21">
        <f t="shared" si="781"/>
        <v>0</v>
      </c>
      <c r="G2871" s="21"/>
      <c r="H2871" s="135">
        <f t="shared" si="782"/>
        <v>0</v>
      </c>
      <c r="I2871" s="294"/>
      <c r="J2871" s="294"/>
      <c r="K2871" s="10">
        <f>2244*1.45</f>
        <v>3253.7999999999997</v>
      </c>
      <c r="L2871" s="11"/>
      <c r="M2871" s="11"/>
      <c r="N2871" s="100"/>
      <c r="O2871" s="11">
        <f t="shared" si="785"/>
        <v>3253.7999999999997</v>
      </c>
      <c r="P2871" s="11">
        <f t="shared" si="783"/>
        <v>3253.7999999999997</v>
      </c>
      <c r="Q2871" s="11"/>
      <c r="R2871" s="11">
        <f t="shared" si="784"/>
        <v>0</v>
      </c>
      <c r="S2871" s="11"/>
      <c r="T2871" s="136">
        <f t="shared" si="777"/>
        <v>0</v>
      </c>
    </row>
    <row r="2872" spans="1:20" ht="15.75" customHeight="1">
      <c r="A2872" s="149">
        <v>89</v>
      </c>
      <c r="B2872" s="273"/>
      <c r="C2872" s="28" t="s">
        <v>4063</v>
      </c>
      <c r="D2872" s="71">
        <v>2270</v>
      </c>
      <c r="E2872" s="131">
        <f>ROUNDUP(R2872,-1)</f>
        <v>36750</v>
      </c>
      <c r="F2872" s="21">
        <f>+E2872*1.21</f>
        <v>44467.5</v>
      </c>
      <c r="G2872" s="21"/>
      <c r="H2872" s="135">
        <f>ROUNDUP(T2872,-1)</f>
        <v>0</v>
      </c>
      <c r="I2872" s="294">
        <v>45323</v>
      </c>
      <c r="J2872" s="294">
        <v>45385</v>
      </c>
      <c r="K2872" s="10">
        <v>25338</v>
      </c>
      <c r="L2872" s="11"/>
      <c r="M2872" s="11"/>
      <c r="N2872" s="100"/>
      <c r="O2872" s="11">
        <f>MIN(K2872:M2872)</f>
        <v>25338</v>
      </c>
      <c r="P2872" s="11">
        <f t="shared" si="783"/>
        <v>25338</v>
      </c>
      <c r="Q2872" s="11">
        <v>1.45</v>
      </c>
      <c r="R2872" s="11">
        <f t="shared" si="784"/>
        <v>36740.1</v>
      </c>
      <c r="S2872" s="11"/>
      <c r="T2872" s="136">
        <f>+N2872*Q2872</f>
        <v>0</v>
      </c>
    </row>
    <row r="2873" spans="1:20" ht="15.75" customHeight="1">
      <c r="A2873" s="149" t="s">
        <v>2421</v>
      </c>
      <c r="B2873" s="273"/>
      <c r="C2873" s="28" t="s">
        <v>2053</v>
      </c>
      <c r="D2873" s="71">
        <v>3590</v>
      </c>
      <c r="E2873" s="131">
        <f t="shared" si="778"/>
        <v>0</v>
      </c>
      <c r="F2873" s="21">
        <f t="shared" si="781"/>
        <v>0</v>
      </c>
      <c r="G2873" s="21"/>
      <c r="H2873" s="135">
        <f t="shared" si="782"/>
        <v>0</v>
      </c>
      <c r="I2873" s="294"/>
      <c r="J2873" s="294">
        <v>44728</v>
      </c>
      <c r="K2873" s="10">
        <v>7390</v>
      </c>
      <c r="L2873" s="11"/>
      <c r="M2873" s="11"/>
      <c r="N2873" s="100"/>
      <c r="O2873" s="11">
        <f t="shared" si="785"/>
        <v>7390</v>
      </c>
      <c r="P2873" s="11">
        <f t="shared" si="783"/>
        <v>7390</v>
      </c>
      <c r="Q2873" s="11"/>
      <c r="R2873" s="11">
        <f t="shared" si="784"/>
        <v>0</v>
      </c>
      <c r="S2873" s="11"/>
      <c r="T2873" s="136">
        <f t="shared" si="777"/>
        <v>0</v>
      </c>
    </row>
    <row r="2874" spans="1:20" ht="15.75" customHeight="1">
      <c r="A2874" s="149" t="s">
        <v>2421</v>
      </c>
      <c r="B2874" s="273"/>
      <c r="C2874" s="28" t="s">
        <v>2054</v>
      </c>
      <c r="D2874" s="71">
        <v>2940</v>
      </c>
      <c r="E2874" s="131">
        <f t="shared" si="778"/>
        <v>0</v>
      </c>
      <c r="F2874" s="21">
        <f t="shared" si="781"/>
        <v>0</v>
      </c>
      <c r="G2874" s="21"/>
      <c r="H2874" s="135">
        <f t="shared" si="782"/>
        <v>0</v>
      </c>
      <c r="I2874" s="294"/>
      <c r="J2874" s="294">
        <v>43871</v>
      </c>
      <c r="K2874" s="10">
        <f>2025*1.45</f>
        <v>2936.25</v>
      </c>
      <c r="L2874" s="11"/>
      <c r="M2874" s="11"/>
      <c r="N2874" s="100"/>
      <c r="O2874" s="11">
        <f t="shared" si="785"/>
        <v>2936.25</v>
      </c>
      <c r="P2874" s="11">
        <f t="shared" si="783"/>
        <v>2936.25</v>
      </c>
      <c r="Q2874" s="11"/>
      <c r="R2874" s="11">
        <f t="shared" si="784"/>
        <v>0</v>
      </c>
      <c r="S2874" s="11"/>
      <c r="T2874" s="136">
        <f t="shared" si="777"/>
        <v>0</v>
      </c>
    </row>
    <row r="2875" spans="1:20" ht="15.75" customHeight="1">
      <c r="A2875" s="149" t="s">
        <v>3738</v>
      </c>
      <c r="B2875" s="273"/>
      <c r="C2875" s="28" t="s">
        <v>44198</v>
      </c>
      <c r="D2875" s="71">
        <v>250</v>
      </c>
      <c r="E2875" s="131">
        <f t="shared" si="778"/>
        <v>4440</v>
      </c>
      <c r="F2875" s="21">
        <f t="shared" si="781"/>
        <v>5372.4</v>
      </c>
      <c r="G2875" s="21"/>
      <c r="H2875" s="135">
        <f t="shared" si="782"/>
        <v>4710</v>
      </c>
      <c r="I2875" s="294">
        <v>45287</v>
      </c>
      <c r="J2875" s="294">
        <v>45379</v>
      </c>
      <c r="K2875" s="10">
        <f>0.6*4932</f>
        <v>2959.2</v>
      </c>
      <c r="L2875" s="11"/>
      <c r="M2875" s="11"/>
      <c r="N2875" s="100">
        <f>3483*0.9</f>
        <v>3134.7000000000003</v>
      </c>
      <c r="O2875" s="11">
        <f t="shared" si="785"/>
        <v>2959.2</v>
      </c>
      <c r="P2875" s="11">
        <f t="shared" si="783"/>
        <v>2959.2</v>
      </c>
      <c r="Q2875" s="11">
        <v>1.5</v>
      </c>
      <c r="R2875" s="11">
        <f t="shared" si="784"/>
        <v>4438.7999999999993</v>
      </c>
      <c r="S2875" s="11"/>
      <c r="T2875" s="136">
        <f t="shared" si="777"/>
        <v>4702.05</v>
      </c>
    </row>
    <row r="2876" spans="1:20" ht="15.75" customHeight="1">
      <c r="A2876" s="149">
        <v>34</v>
      </c>
      <c r="B2876" s="273">
        <f>ROUNDUP(E2876*1.06,-1)</f>
        <v>415460</v>
      </c>
      <c r="C2876" s="28" t="s">
        <v>2272</v>
      </c>
      <c r="D2876" s="71">
        <v>24430</v>
      </c>
      <c r="E2876" s="131">
        <f t="shared" si="778"/>
        <v>391940</v>
      </c>
      <c r="F2876" s="21" t="s">
        <v>1248</v>
      </c>
      <c r="G2876" s="21">
        <f t="shared" ref="G2876:G2885" si="786">+E2876*1.105</f>
        <v>433093.7</v>
      </c>
      <c r="H2876" s="135">
        <f t="shared" si="782"/>
        <v>0</v>
      </c>
      <c r="I2876" s="294">
        <v>45352</v>
      </c>
      <c r="J2876" s="294">
        <v>45385</v>
      </c>
      <c r="K2876" s="32">
        <f>0.8*362900</f>
        <v>290320</v>
      </c>
      <c r="L2876" s="11" t="s">
        <v>2055</v>
      </c>
      <c r="M2876" s="11"/>
      <c r="N2876" s="100"/>
      <c r="O2876" s="11">
        <f t="shared" si="785"/>
        <v>290320</v>
      </c>
      <c r="P2876" s="11">
        <f t="shared" si="783"/>
        <v>290320</v>
      </c>
      <c r="Q2876" s="32">
        <v>1.35</v>
      </c>
      <c r="R2876" s="11">
        <f t="shared" si="784"/>
        <v>391932</v>
      </c>
      <c r="S2876" s="11"/>
      <c r="T2876" s="136">
        <f t="shared" si="777"/>
        <v>0</v>
      </c>
    </row>
    <row r="2877" spans="1:20" ht="15.75" customHeight="1">
      <c r="A2877" s="149">
        <v>34</v>
      </c>
      <c r="B2877" s="273">
        <f>ROUNDUP(E2877*1.06,-1)</f>
        <v>427020</v>
      </c>
      <c r="C2877" s="28" t="s">
        <v>3932</v>
      </c>
      <c r="D2877" s="71">
        <v>24430</v>
      </c>
      <c r="E2877" s="131">
        <f t="shared" si="778"/>
        <v>402840</v>
      </c>
      <c r="F2877" s="21" t="s">
        <v>1248</v>
      </c>
      <c r="G2877" s="21">
        <f t="shared" si="786"/>
        <v>445138.2</v>
      </c>
      <c r="H2877" s="135">
        <f t="shared" si="782"/>
        <v>0</v>
      </c>
      <c r="I2877" s="294">
        <v>45352</v>
      </c>
      <c r="J2877" s="294">
        <v>45385</v>
      </c>
      <c r="K2877" s="32">
        <f>0.8*373000</f>
        <v>298400</v>
      </c>
      <c r="L2877" s="11" t="s">
        <v>2055</v>
      </c>
      <c r="M2877" s="11"/>
      <c r="N2877" s="100"/>
      <c r="O2877" s="11">
        <f t="shared" si="785"/>
        <v>298400</v>
      </c>
      <c r="P2877" s="11">
        <f t="shared" si="783"/>
        <v>298400</v>
      </c>
      <c r="Q2877" s="32">
        <v>1.35</v>
      </c>
      <c r="R2877" s="11">
        <f t="shared" si="784"/>
        <v>402840</v>
      </c>
      <c r="S2877" s="11"/>
      <c r="T2877" s="136">
        <f t="shared" si="777"/>
        <v>0</v>
      </c>
    </row>
    <row r="2878" spans="1:20" ht="15.75" customHeight="1">
      <c r="A2878" s="149">
        <v>78</v>
      </c>
      <c r="B2878" s="273"/>
      <c r="C2878" s="28" t="s">
        <v>2078</v>
      </c>
      <c r="D2878" s="71">
        <v>24560</v>
      </c>
      <c r="E2878" s="131">
        <f t="shared" si="778"/>
        <v>0</v>
      </c>
      <c r="F2878" s="21" t="s">
        <v>1248</v>
      </c>
      <c r="G2878" s="21">
        <f t="shared" si="786"/>
        <v>0</v>
      </c>
      <c r="H2878" s="135">
        <f t="shared" si="782"/>
        <v>0</v>
      </c>
      <c r="I2878" s="294"/>
      <c r="J2878" s="294">
        <v>45083</v>
      </c>
      <c r="K2878" s="32">
        <f>154683*0.7*0.9*0.9</f>
        <v>87705.260999999999</v>
      </c>
      <c r="L2878" s="11"/>
      <c r="M2878" s="11"/>
      <c r="N2878" s="100"/>
      <c r="O2878" s="11">
        <f t="shared" si="785"/>
        <v>87705.260999999999</v>
      </c>
      <c r="P2878" s="11">
        <f t="shared" si="783"/>
        <v>87705.260999999999</v>
      </c>
      <c r="Q2878" s="32"/>
      <c r="R2878" s="11">
        <f t="shared" si="784"/>
        <v>0</v>
      </c>
      <c r="S2878" s="11"/>
      <c r="T2878" s="136">
        <f t="shared" ref="T2878:T2885" si="787">+N2878*Q2878</f>
        <v>0</v>
      </c>
    </row>
    <row r="2879" spans="1:20" ht="15.75" customHeight="1">
      <c r="A2879" s="149">
        <v>41</v>
      </c>
      <c r="B2879" s="273"/>
      <c r="C2879" s="28" t="s">
        <v>4301</v>
      </c>
      <c r="D2879" s="71"/>
      <c r="E2879" s="132">
        <f t="shared" si="778"/>
        <v>687990</v>
      </c>
      <c r="F2879" s="21" t="s">
        <v>1248</v>
      </c>
      <c r="G2879" s="21">
        <f t="shared" si="786"/>
        <v>760228.95</v>
      </c>
      <c r="H2879" s="135">
        <f t="shared" si="782"/>
        <v>589840</v>
      </c>
      <c r="I2879" s="294">
        <v>45311</v>
      </c>
      <c r="J2879" s="294"/>
      <c r="K2879" s="11">
        <f>+PROVEEDORES!$D$35*0.9*0.9*567</f>
        <v>491418.9</v>
      </c>
      <c r="L2879" s="10"/>
      <c r="M2879" s="10"/>
      <c r="N2879" s="100">
        <f>0.9*0.95*0.95*518700</f>
        <v>421314.07499999995</v>
      </c>
      <c r="O2879" s="11">
        <f t="shared" si="785"/>
        <v>491418.9</v>
      </c>
      <c r="P2879" s="11">
        <f t="shared" si="783"/>
        <v>491418.9</v>
      </c>
      <c r="Q2879" s="11">
        <v>1.4</v>
      </c>
      <c r="R2879" s="11">
        <f t="shared" si="784"/>
        <v>687986.46</v>
      </c>
      <c r="S2879" s="11"/>
      <c r="T2879" s="136">
        <f t="shared" si="787"/>
        <v>589839.70499999984</v>
      </c>
    </row>
    <row r="2880" spans="1:20" ht="15.75" customHeight="1">
      <c r="A2880" s="149">
        <v>34</v>
      </c>
      <c r="B2880" s="273"/>
      <c r="C2880" s="28" t="s">
        <v>4379</v>
      </c>
      <c r="D2880" s="71">
        <v>25750</v>
      </c>
      <c r="E2880" s="131">
        <f t="shared" si="778"/>
        <v>457280</v>
      </c>
      <c r="F2880" s="21" t="s">
        <v>1248</v>
      </c>
      <c r="G2880" s="21">
        <f t="shared" si="786"/>
        <v>505294.39999999997</v>
      </c>
      <c r="H2880" s="135">
        <f t="shared" si="782"/>
        <v>0</v>
      </c>
      <c r="I2880" s="294">
        <v>45352</v>
      </c>
      <c r="J2880" s="294">
        <v>45385</v>
      </c>
      <c r="K2880" s="32">
        <f>0.8*423400</f>
        <v>338720</v>
      </c>
      <c r="L2880" s="11"/>
      <c r="M2880" s="11"/>
      <c r="N2880" s="100"/>
      <c r="O2880" s="11">
        <f t="shared" si="785"/>
        <v>338720</v>
      </c>
      <c r="P2880" s="11">
        <f t="shared" si="783"/>
        <v>338720</v>
      </c>
      <c r="Q2880" s="32">
        <v>1.35</v>
      </c>
      <c r="R2880" s="11">
        <f t="shared" si="784"/>
        <v>457272.00000000006</v>
      </c>
      <c r="S2880" s="11"/>
      <c r="T2880" s="136">
        <f t="shared" si="787"/>
        <v>0</v>
      </c>
    </row>
    <row r="2881" spans="1:20" ht="15.75" customHeight="1">
      <c r="A2881" s="149">
        <v>34</v>
      </c>
      <c r="B2881" s="273"/>
      <c r="C2881" s="28" t="s">
        <v>4380</v>
      </c>
      <c r="D2881" s="71">
        <v>25750</v>
      </c>
      <c r="E2881" s="131">
        <f t="shared" si="778"/>
        <v>471750</v>
      </c>
      <c r="F2881" s="21" t="s">
        <v>1248</v>
      </c>
      <c r="G2881" s="21">
        <f t="shared" si="786"/>
        <v>521283.75</v>
      </c>
      <c r="H2881" s="135">
        <f t="shared" si="782"/>
        <v>0</v>
      </c>
      <c r="I2881" s="294">
        <v>45352</v>
      </c>
      <c r="J2881" s="294">
        <v>45385</v>
      </c>
      <c r="K2881" s="32">
        <f>0.8*436800</f>
        <v>349440</v>
      </c>
      <c r="L2881" s="11"/>
      <c r="M2881" s="11"/>
      <c r="N2881" s="100"/>
      <c r="O2881" s="11">
        <f t="shared" si="785"/>
        <v>349440</v>
      </c>
      <c r="P2881" s="11">
        <f t="shared" si="783"/>
        <v>349440</v>
      </c>
      <c r="Q2881" s="32">
        <v>1.35</v>
      </c>
      <c r="R2881" s="11">
        <f t="shared" si="784"/>
        <v>471744.00000000006</v>
      </c>
      <c r="S2881" s="11"/>
      <c r="T2881" s="136">
        <f t="shared" si="787"/>
        <v>0</v>
      </c>
    </row>
    <row r="2882" spans="1:20" ht="15.75" customHeight="1">
      <c r="A2882" s="149"/>
      <c r="B2882" s="273"/>
      <c r="C2882" s="28" t="s">
        <v>3834</v>
      </c>
      <c r="D2882" s="71"/>
      <c r="E2882" s="132">
        <f t="shared" si="778"/>
        <v>755790</v>
      </c>
      <c r="F2882" s="21" t="s">
        <v>1248</v>
      </c>
      <c r="G2882" s="21">
        <f t="shared" si="786"/>
        <v>835147.95</v>
      </c>
      <c r="H2882" s="135"/>
      <c r="I2882" s="294">
        <v>44935</v>
      </c>
      <c r="J2882" s="294"/>
      <c r="K2882" s="11">
        <f>+PROVEEDORES!D39*610</f>
        <v>539850</v>
      </c>
      <c r="L2882" s="10"/>
      <c r="M2882" s="10"/>
      <c r="N2882" s="100"/>
      <c r="O2882" s="11">
        <f t="shared" si="785"/>
        <v>539850</v>
      </c>
      <c r="P2882" s="11">
        <f t="shared" si="783"/>
        <v>539850</v>
      </c>
      <c r="Q2882" s="11">
        <v>1.4</v>
      </c>
      <c r="R2882" s="11">
        <f t="shared" si="784"/>
        <v>755790</v>
      </c>
      <c r="S2882" s="11"/>
      <c r="T2882" s="136">
        <f t="shared" si="787"/>
        <v>0</v>
      </c>
    </row>
    <row r="2883" spans="1:20" ht="15.75" customHeight="1">
      <c r="A2883" s="149">
        <v>38</v>
      </c>
      <c r="B2883" s="273"/>
      <c r="C2883" s="28" t="s">
        <v>37256</v>
      </c>
      <c r="D2883" s="71">
        <v>25750</v>
      </c>
      <c r="E2883" s="131">
        <f>ROUNDUP(R2883,-1)</f>
        <v>414540</v>
      </c>
      <c r="F2883" s="21" t="s">
        <v>1248</v>
      </c>
      <c r="G2883" s="21">
        <f>+E2883*1.105</f>
        <v>458066.7</v>
      </c>
      <c r="H2883" s="135">
        <f>ROUNDUP(T2883,-1)</f>
        <v>386910</v>
      </c>
      <c r="I2883" s="294">
        <v>45210</v>
      </c>
      <c r="J2883" s="294">
        <v>45364</v>
      </c>
      <c r="K2883" s="32">
        <f>+PROVEEDORES!D32*282</f>
        <v>296100</v>
      </c>
      <c r="L2883" s="11"/>
      <c r="M2883" s="11"/>
      <c r="N2883" s="100">
        <v>276360</v>
      </c>
      <c r="O2883" s="11">
        <f>MIN(K2883:M2883)</f>
        <v>296100</v>
      </c>
      <c r="P2883" s="11">
        <f>+O2883</f>
        <v>296100</v>
      </c>
      <c r="Q2883" s="32">
        <v>1.4</v>
      </c>
      <c r="R2883" s="11">
        <f>+P2883*Q2883</f>
        <v>414540</v>
      </c>
      <c r="S2883" s="11"/>
      <c r="T2883" s="136">
        <f>+N2883*Q2883</f>
        <v>386904</v>
      </c>
    </row>
    <row r="2884" spans="1:20" ht="15.75" customHeight="1">
      <c r="A2884" s="149">
        <v>50</v>
      </c>
      <c r="B2884" s="273">
        <f>ROUNDUP(E2884*1.06,-1)</f>
        <v>389260</v>
      </c>
      <c r="C2884" s="28" t="s">
        <v>44266</v>
      </c>
      <c r="D2884" s="159">
        <v>9820</v>
      </c>
      <c r="E2884" s="139">
        <f t="shared" si="778"/>
        <v>367220</v>
      </c>
      <c r="F2884" s="21" t="s">
        <v>1248</v>
      </c>
      <c r="G2884" s="21">
        <f t="shared" si="786"/>
        <v>405778.1</v>
      </c>
      <c r="H2884" s="135">
        <f>ROUNDUP(T2884,-1)</f>
        <v>328050</v>
      </c>
      <c r="I2884" s="294">
        <v>45385</v>
      </c>
      <c r="J2884" s="294"/>
      <c r="K2884" s="102">
        <f>PROVEEDORES!$D$44*0.58*518.4</f>
        <v>266094.71999999997</v>
      </c>
      <c r="L2884" s="171"/>
      <c r="M2884" s="10"/>
      <c r="N2884" s="171">
        <f>PROVEEDORES!$D$44*0.5985*448.8</f>
        <v>237717.01800000001</v>
      </c>
      <c r="O2884" s="11">
        <f t="shared" si="785"/>
        <v>266094.71999999997</v>
      </c>
      <c r="P2884" s="11">
        <f t="shared" si="783"/>
        <v>266094.71999999997</v>
      </c>
      <c r="Q2884" s="11">
        <v>1.38</v>
      </c>
      <c r="R2884" s="11">
        <f t="shared" si="784"/>
        <v>367210.71359999996</v>
      </c>
      <c r="S2884" s="108"/>
      <c r="T2884" s="136">
        <f t="shared" si="787"/>
        <v>328049.48483999999</v>
      </c>
    </row>
    <row r="2885" spans="1:20" ht="15.75" customHeight="1">
      <c r="A2885" s="149">
        <v>50</v>
      </c>
      <c r="B2885" s="273">
        <f>ROUNDUP(E2885*1.06,-1)</f>
        <v>403670</v>
      </c>
      <c r="C2885" s="28" t="s">
        <v>44267</v>
      </c>
      <c r="D2885" s="159">
        <v>10860</v>
      </c>
      <c r="E2885" s="139">
        <f t="shared" si="778"/>
        <v>380820</v>
      </c>
      <c r="F2885" s="21" t="s">
        <v>1248</v>
      </c>
      <c r="G2885" s="21">
        <f t="shared" si="786"/>
        <v>420806.1</v>
      </c>
      <c r="H2885" s="135">
        <f>ROUNDUP(T2885,-1)</f>
        <v>341720</v>
      </c>
      <c r="I2885" s="294">
        <v>45385</v>
      </c>
      <c r="J2885" s="294"/>
      <c r="K2885" s="102">
        <f>PROVEEDORES!$D$44*0.58*537.6</f>
        <v>275950.08000000002</v>
      </c>
      <c r="L2885" s="171"/>
      <c r="M2885" s="11"/>
      <c r="N2885" s="171">
        <f>PROVEEDORES!$D$44*0.5985*467.5</f>
        <v>247621.89375000002</v>
      </c>
      <c r="O2885" s="11">
        <f t="shared" si="785"/>
        <v>275950.08000000002</v>
      </c>
      <c r="P2885" s="11">
        <f t="shared" si="783"/>
        <v>275950.08000000002</v>
      </c>
      <c r="Q2885" s="11">
        <v>1.38</v>
      </c>
      <c r="R2885" s="11">
        <f t="shared" si="784"/>
        <v>380811.11040000001</v>
      </c>
      <c r="S2885" s="146"/>
      <c r="T2885" s="136">
        <f t="shared" si="787"/>
        <v>341718.21337499999</v>
      </c>
    </row>
    <row r="2887" spans="1:20" ht="16">
      <c r="G2887" s="277"/>
    </row>
  </sheetData>
  <sortState xmlns:xlrd2="http://schemas.microsoft.com/office/spreadsheetml/2017/richdata2" ref="A2:S2608">
    <sortCondition ref="C2:C2608"/>
  </sortState>
  <phoneticPr fontId="59" type="noConversion"/>
  <pageMargins left="0.25" right="0.25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912"/>
  <sheetViews>
    <sheetView topLeftCell="B386" zoomScale="130" zoomScaleNormal="130" workbookViewId="0">
      <selection activeCell="D399" sqref="D399"/>
    </sheetView>
  </sheetViews>
  <sheetFormatPr baseColWidth="10" defaultColWidth="11.5" defaultRowHeight="15"/>
  <cols>
    <col min="1" max="1" width="5" style="206" hidden="1" customWidth="1"/>
    <col min="2" max="2" width="10.83203125" style="174" customWidth="1"/>
    <col min="3" max="3" width="16.6640625" style="174" customWidth="1"/>
    <col min="4" max="4" width="12.33203125" style="192" customWidth="1"/>
    <col min="5" max="5" width="30.5" style="193" customWidth="1"/>
    <col min="6" max="6" width="14.5" style="194" bestFit="1" customWidth="1"/>
    <col min="7" max="7" width="8.6640625" style="194" customWidth="1"/>
    <col min="8" max="8" width="4.6640625" style="194" customWidth="1"/>
    <col min="9" max="9" width="13" style="205" customWidth="1"/>
    <col min="10" max="10" width="9.83203125" style="266" hidden="1" customWidth="1"/>
    <col min="11" max="11" width="4" style="174" hidden="1" customWidth="1"/>
    <col min="12" max="12" width="12.33203125" style="174" hidden="1" customWidth="1"/>
    <col min="13" max="13" width="1.33203125" style="174" customWidth="1"/>
    <col min="14" max="14" width="12.5" style="267" bestFit="1" customWidth="1"/>
    <col min="15" max="15" width="1.5" style="174" customWidth="1"/>
    <col min="16" max="16" width="11.5" style="268"/>
    <col min="17" max="17" width="15" style="288" bestFit="1" customWidth="1"/>
    <col min="18" max="18" width="13" style="288" bestFit="1" customWidth="1"/>
    <col min="19" max="16384" width="11.5" style="174"/>
  </cols>
  <sheetData>
    <row r="1" spans="1:19">
      <c r="B1" s="339"/>
      <c r="C1" s="339"/>
      <c r="D1" s="339"/>
      <c r="E1" s="207" t="s">
        <v>2950</v>
      </c>
      <c r="F1" s="174"/>
      <c r="G1" s="207"/>
      <c r="H1" s="207"/>
      <c r="I1" s="201" t="s">
        <v>44370</v>
      </c>
      <c r="J1" s="257"/>
      <c r="M1" s="207"/>
      <c r="N1" s="269"/>
    </row>
    <row r="2" spans="1:19" ht="14.5" customHeight="1">
      <c r="B2" s="340" t="s">
        <v>44368</v>
      </c>
      <c r="C2" s="340"/>
      <c r="D2" s="341"/>
      <c r="E2" s="208" t="s">
        <v>2951</v>
      </c>
      <c r="F2" s="292">
        <v>885</v>
      </c>
      <c r="G2" s="174"/>
      <c r="H2" s="207"/>
      <c r="I2" s="201" t="s">
        <v>44364</v>
      </c>
      <c r="J2" s="257"/>
      <c r="L2" s="207"/>
      <c r="M2" s="207"/>
      <c r="N2" s="269"/>
    </row>
    <row r="3" spans="1:19" ht="14.5" customHeight="1">
      <c r="B3" s="340"/>
      <c r="C3" s="340"/>
      <c r="D3" s="341"/>
      <c r="E3" s="208" t="s">
        <v>2952</v>
      </c>
      <c r="F3" s="324">
        <v>0.59850000000000003</v>
      </c>
      <c r="G3" s="174"/>
      <c r="H3" s="207"/>
      <c r="I3" s="201" t="s">
        <v>44365</v>
      </c>
      <c r="J3" s="257"/>
      <c r="L3" s="207"/>
      <c r="M3" s="207"/>
      <c r="N3" s="269"/>
    </row>
    <row r="4" spans="1:19" ht="12.5" customHeight="1">
      <c r="B4" s="340"/>
      <c r="C4" s="340"/>
      <c r="D4" s="341"/>
      <c r="E4" s="208" t="s">
        <v>2953</v>
      </c>
      <c r="F4" s="322">
        <v>0.94</v>
      </c>
      <c r="G4" s="209"/>
      <c r="H4" s="202"/>
      <c r="I4" s="202"/>
      <c r="J4" s="258"/>
    </row>
    <row r="5" spans="1:19" ht="12.5" customHeight="1" thickBot="1">
      <c r="B5" s="340"/>
      <c r="C5" s="340"/>
      <c r="D5" s="341"/>
      <c r="E5" s="208" t="s">
        <v>4004</v>
      </c>
      <c r="F5" s="322">
        <v>0.95</v>
      </c>
      <c r="G5" s="210"/>
      <c r="H5" s="342" t="s">
        <v>2954</v>
      </c>
      <c r="I5" s="342"/>
      <c r="J5" s="342"/>
      <c r="L5" s="343"/>
      <c r="M5" s="343"/>
      <c r="N5" s="343"/>
    </row>
    <row r="6" spans="1:19" ht="38.5" customHeight="1" thickBot="1">
      <c r="B6" s="211" t="s">
        <v>2955</v>
      </c>
      <c r="C6" s="211" t="s">
        <v>2956</v>
      </c>
      <c r="D6" s="211" t="s">
        <v>2957</v>
      </c>
      <c r="E6" s="212" t="s">
        <v>2958</v>
      </c>
      <c r="F6" s="213">
        <v>8</v>
      </c>
      <c r="G6" s="213" t="s">
        <v>2959</v>
      </c>
      <c r="H6" s="214"/>
      <c r="I6" s="203" t="s">
        <v>2949</v>
      </c>
      <c r="J6" s="259" t="s">
        <v>4005</v>
      </c>
      <c r="L6" s="215" t="s">
        <v>2960</v>
      </c>
      <c r="N6" s="270" t="s">
        <v>4038</v>
      </c>
      <c r="P6" s="270" t="s">
        <v>44369</v>
      </c>
      <c r="S6" s="174">
        <v>154000</v>
      </c>
    </row>
    <row r="7" spans="1:19">
      <c r="A7" s="206">
        <v>1</v>
      </c>
      <c r="B7" s="175" t="s">
        <v>0</v>
      </c>
      <c r="C7" s="175" t="s">
        <v>2631</v>
      </c>
      <c r="D7" s="1" t="s">
        <v>1</v>
      </c>
      <c r="E7" s="176" t="s">
        <v>2</v>
      </c>
      <c r="F7" s="216">
        <v>7794334000180</v>
      </c>
      <c r="G7" s="216">
        <v>2</v>
      </c>
      <c r="H7" s="5" t="s">
        <v>1191</v>
      </c>
      <c r="I7" s="204">
        <v>37.799999999999997</v>
      </c>
      <c r="J7" s="260">
        <v>0.1</v>
      </c>
      <c r="L7" s="217">
        <f>+I7*$F$2*$F$3*$F$4*$F$5</f>
        <v>17879.3071065</v>
      </c>
      <c r="N7" s="328">
        <f>+L7*1.45</f>
        <v>25924.995304425</v>
      </c>
      <c r="P7" s="325">
        <f>+N7*1.21</f>
        <v>31369.244318354249</v>
      </c>
      <c r="S7" s="174">
        <v>135000</v>
      </c>
    </row>
    <row r="8" spans="1:19">
      <c r="A8" s="206">
        <v>2</v>
      </c>
      <c r="B8" s="175" t="s">
        <v>0</v>
      </c>
      <c r="C8" s="175" t="s">
        <v>2631</v>
      </c>
      <c r="D8" s="1" t="s">
        <v>3</v>
      </c>
      <c r="E8" s="176" t="s">
        <v>4</v>
      </c>
      <c r="F8" s="216">
        <v>7794334000197</v>
      </c>
      <c r="G8" s="216">
        <v>2</v>
      </c>
      <c r="H8" s="5" t="s">
        <v>1191</v>
      </c>
      <c r="I8" s="204">
        <v>57.5</v>
      </c>
      <c r="J8" s="260">
        <v>0.1</v>
      </c>
      <c r="L8" s="217">
        <f t="shared" ref="L8:L71" si="0">+I8*$F$2*$F$3*$F$4*$F$5</f>
        <v>27197.358693749997</v>
      </c>
      <c r="N8" s="271">
        <f>+L8*1.45</f>
        <v>39436.170105937497</v>
      </c>
      <c r="P8" s="326">
        <f t="shared" ref="P8:P72" si="1">+N8*1.21</f>
        <v>47717.765828184369</v>
      </c>
      <c r="R8" s="288">
        <f>23.74*F2*0.63*0.95*0.95*0.94*0.9</f>
        <v>10106.065493054997</v>
      </c>
      <c r="S8" s="174">
        <f>+R8*1.4</f>
        <v>14148.491690276995</v>
      </c>
    </row>
    <row r="9" spans="1:19">
      <c r="A9" s="206">
        <v>3</v>
      </c>
      <c r="B9" s="175" t="s">
        <v>0</v>
      </c>
      <c r="C9" s="175" t="s">
        <v>2631</v>
      </c>
      <c r="D9" s="1" t="s">
        <v>5</v>
      </c>
      <c r="E9" s="176" t="s">
        <v>6</v>
      </c>
      <c r="F9" s="216">
        <v>7794334002511</v>
      </c>
      <c r="G9" s="216">
        <v>2</v>
      </c>
      <c r="H9" s="5" t="s">
        <v>1191</v>
      </c>
      <c r="I9" s="204">
        <v>75.5</v>
      </c>
      <c r="J9" s="260">
        <v>0.1</v>
      </c>
      <c r="L9" s="217">
        <f t="shared" si="0"/>
        <v>35711.314458749999</v>
      </c>
      <c r="N9" s="271">
        <f t="shared" ref="N9:N72" si="2">+L9*1.45</f>
        <v>51781.4059651875</v>
      </c>
      <c r="P9" s="326">
        <f t="shared" si="1"/>
        <v>62655.501217876874</v>
      </c>
      <c r="R9" s="288">
        <f>2.82*F2*0.63*0.78*0.9</f>
        <v>1103.748282</v>
      </c>
      <c r="S9" s="174">
        <f>+R9*1.4</f>
        <v>1545.2475947999999</v>
      </c>
    </row>
    <row r="10" spans="1:19" ht="15" customHeight="1">
      <c r="A10" s="206">
        <v>4</v>
      </c>
      <c r="B10" s="175" t="s">
        <v>0</v>
      </c>
      <c r="C10" s="175" t="s">
        <v>2631</v>
      </c>
      <c r="D10" s="1" t="s">
        <v>7</v>
      </c>
      <c r="E10" s="176" t="s">
        <v>8</v>
      </c>
      <c r="F10" s="216">
        <v>7794334000296</v>
      </c>
      <c r="G10" s="216">
        <v>2</v>
      </c>
      <c r="H10" s="5" t="s">
        <v>1191</v>
      </c>
      <c r="I10" s="204">
        <v>87.1</v>
      </c>
      <c r="J10" s="260">
        <v>0.1</v>
      </c>
      <c r="L10" s="217">
        <f t="shared" si="0"/>
        <v>41198.085951749999</v>
      </c>
      <c r="N10" s="271">
        <f t="shared" si="2"/>
        <v>59737.224630037497</v>
      </c>
      <c r="P10" s="326">
        <f t="shared" si="1"/>
        <v>72282.041802345368</v>
      </c>
      <c r="R10" s="288">
        <f>32.6*F2*0.63*0.78*0.9</f>
        <v>12759.643260000003</v>
      </c>
      <c r="S10" s="174">
        <f>+R10*1.4</f>
        <v>17863.500564000002</v>
      </c>
    </row>
    <row r="11" spans="1:19">
      <c r="A11" s="206">
        <v>5</v>
      </c>
      <c r="B11" s="175" t="s">
        <v>0</v>
      </c>
      <c r="C11" s="175" t="s">
        <v>2631</v>
      </c>
      <c r="D11" s="1" t="s">
        <v>9</v>
      </c>
      <c r="E11" s="176" t="s">
        <v>10</v>
      </c>
      <c r="F11" s="216">
        <v>7794334002528</v>
      </c>
      <c r="G11" s="216">
        <v>2</v>
      </c>
      <c r="H11" s="5" t="s">
        <v>1191</v>
      </c>
      <c r="I11" s="204">
        <v>98.3</v>
      </c>
      <c r="J11" s="260">
        <v>0.1</v>
      </c>
      <c r="L11" s="217">
        <f t="shared" si="0"/>
        <v>46495.658427750001</v>
      </c>
      <c r="N11" s="271">
        <f t="shared" si="2"/>
        <v>67418.704720237496</v>
      </c>
      <c r="P11" s="326">
        <f t="shared" si="1"/>
        <v>81576.632711487371</v>
      </c>
    </row>
    <row r="12" spans="1:19">
      <c r="A12" s="206">
        <v>6</v>
      </c>
      <c r="B12" s="175" t="s">
        <v>0</v>
      </c>
      <c r="C12" s="175" t="s">
        <v>2631</v>
      </c>
      <c r="D12" s="1" t="s">
        <v>11</v>
      </c>
      <c r="E12" s="176" t="s">
        <v>12</v>
      </c>
      <c r="F12" s="216">
        <v>7794334000210</v>
      </c>
      <c r="G12" s="216">
        <v>2</v>
      </c>
      <c r="H12" s="5" t="s">
        <v>1191</v>
      </c>
      <c r="I12" s="204">
        <v>45</v>
      </c>
      <c r="J12" s="260">
        <v>0.1</v>
      </c>
      <c r="L12" s="217">
        <f t="shared" si="0"/>
        <v>21284.889412500001</v>
      </c>
      <c r="N12" s="271">
        <f t="shared" si="2"/>
        <v>30863.089648124998</v>
      </c>
      <c r="P12" s="326">
        <f t="shared" si="1"/>
        <v>37344.338474231248</v>
      </c>
      <c r="R12" s="288">
        <v>20.55</v>
      </c>
      <c r="S12" s="174">
        <v>11000</v>
      </c>
    </row>
    <row r="13" spans="1:19">
      <c r="A13" s="206">
        <v>7</v>
      </c>
      <c r="B13" s="175" t="s">
        <v>0</v>
      </c>
      <c r="C13" s="175" t="s">
        <v>2631</v>
      </c>
      <c r="D13" s="1" t="s">
        <v>13</v>
      </c>
      <c r="E13" s="176" t="s">
        <v>14</v>
      </c>
      <c r="F13" s="216">
        <v>7794334002535</v>
      </c>
      <c r="G13" s="216">
        <v>2</v>
      </c>
      <c r="H13" s="5" t="s">
        <v>1191</v>
      </c>
      <c r="I13" s="204">
        <v>57</v>
      </c>
      <c r="J13" s="260">
        <v>0.1</v>
      </c>
      <c r="L13" s="217">
        <f t="shared" si="0"/>
        <v>26960.8599225</v>
      </c>
      <c r="N13" s="271">
        <f t="shared" si="2"/>
        <v>39093.246887624999</v>
      </c>
      <c r="P13" s="326">
        <f t="shared" si="1"/>
        <v>47302.828734026247</v>
      </c>
      <c r="R13" s="288">
        <v>32.6</v>
      </c>
      <c r="S13" s="174">
        <v>17500</v>
      </c>
    </row>
    <row r="14" spans="1:19">
      <c r="A14" s="206">
        <v>8</v>
      </c>
      <c r="B14" s="175" t="s">
        <v>0</v>
      </c>
      <c r="C14" s="175" t="s">
        <v>2631</v>
      </c>
      <c r="D14" s="1" t="s">
        <v>15</v>
      </c>
      <c r="E14" s="176" t="s">
        <v>16</v>
      </c>
      <c r="F14" s="216">
        <v>7794334002542</v>
      </c>
      <c r="G14" s="216">
        <v>2</v>
      </c>
      <c r="H14" s="5" t="s">
        <v>1191</v>
      </c>
      <c r="I14" s="204">
        <v>70</v>
      </c>
      <c r="J14" s="260">
        <v>0.1</v>
      </c>
      <c r="L14" s="217">
        <f t="shared" si="0"/>
        <v>33109.827975</v>
      </c>
      <c r="N14" s="271">
        <f t="shared" si="2"/>
        <v>48009.25056375</v>
      </c>
      <c r="P14" s="326">
        <f t="shared" si="1"/>
        <v>58091.193182137496</v>
      </c>
    </row>
    <row r="15" spans="1:19">
      <c r="A15" s="206">
        <v>9</v>
      </c>
      <c r="B15" s="175" t="s">
        <v>0</v>
      </c>
      <c r="C15" s="175" t="s">
        <v>2631</v>
      </c>
      <c r="D15" s="1" t="s">
        <v>17</v>
      </c>
      <c r="E15" s="176" t="s">
        <v>18</v>
      </c>
      <c r="F15" s="216">
        <v>7794334000227</v>
      </c>
      <c r="G15" s="216">
        <v>2</v>
      </c>
      <c r="H15" s="5" t="s">
        <v>1191</v>
      </c>
      <c r="I15" s="204">
        <v>72</v>
      </c>
      <c r="J15" s="260">
        <v>0.1</v>
      </c>
      <c r="L15" s="217">
        <f t="shared" si="0"/>
        <v>34055.823060000002</v>
      </c>
      <c r="N15" s="271">
        <f t="shared" si="2"/>
        <v>49380.943437000002</v>
      </c>
      <c r="P15" s="326">
        <f t="shared" si="1"/>
        <v>59750.941558769999</v>
      </c>
    </row>
    <row r="16" spans="1:19">
      <c r="A16" s="206">
        <v>10</v>
      </c>
      <c r="B16" s="175" t="s">
        <v>0</v>
      </c>
      <c r="C16" s="175" t="s">
        <v>2631</v>
      </c>
      <c r="D16" s="1" t="s">
        <v>19</v>
      </c>
      <c r="E16" s="176" t="s">
        <v>20</v>
      </c>
      <c r="F16" s="216">
        <v>7794334002559</v>
      </c>
      <c r="G16" s="216">
        <v>2</v>
      </c>
      <c r="H16" s="5" t="s">
        <v>1191</v>
      </c>
      <c r="I16" s="204">
        <v>98.5</v>
      </c>
      <c r="J16" s="260">
        <v>0.1</v>
      </c>
      <c r="L16" s="217">
        <f t="shared" si="0"/>
        <v>46590.257936250004</v>
      </c>
      <c r="N16" s="271">
        <f t="shared" si="2"/>
        <v>67555.87400756251</v>
      </c>
      <c r="P16" s="326">
        <f t="shared" si="1"/>
        <v>81742.607549150634</v>
      </c>
    </row>
    <row r="17" spans="1:16">
      <c r="A17" s="206">
        <v>11</v>
      </c>
      <c r="B17" s="175" t="s">
        <v>0</v>
      </c>
      <c r="C17" s="175" t="s">
        <v>2631</v>
      </c>
      <c r="D17" s="1" t="s">
        <v>21</v>
      </c>
      <c r="E17" s="176" t="s">
        <v>22</v>
      </c>
      <c r="F17" s="216">
        <v>7794334000500</v>
      </c>
      <c r="G17" s="216">
        <v>2</v>
      </c>
      <c r="H17" s="5" t="s">
        <v>1191</v>
      </c>
      <c r="I17" s="204">
        <v>101</v>
      </c>
      <c r="J17" s="260">
        <v>0.1</v>
      </c>
      <c r="L17" s="217">
        <f t="shared" si="0"/>
        <v>47772.751792499992</v>
      </c>
      <c r="N17" s="271">
        <f t="shared" si="2"/>
        <v>69270.490099124989</v>
      </c>
      <c r="P17" s="326">
        <f t="shared" si="1"/>
        <v>83817.293019941237</v>
      </c>
    </row>
    <row r="18" spans="1:16">
      <c r="A18" s="206">
        <v>12</v>
      </c>
      <c r="B18" s="175" t="s">
        <v>0</v>
      </c>
      <c r="C18" s="175" t="s">
        <v>2631</v>
      </c>
      <c r="D18" s="1" t="s">
        <v>23</v>
      </c>
      <c r="E18" s="176" t="s">
        <v>24</v>
      </c>
      <c r="F18" s="216">
        <v>7794334007349</v>
      </c>
      <c r="G18" s="216">
        <v>2</v>
      </c>
      <c r="H18" s="5" t="s">
        <v>1191</v>
      </c>
      <c r="I18" s="204">
        <v>129</v>
      </c>
      <c r="J18" s="260">
        <v>0.1</v>
      </c>
      <c r="L18" s="217">
        <f t="shared" si="0"/>
        <v>61016.682982500002</v>
      </c>
      <c r="N18" s="271">
        <f t="shared" si="2"/>
        <v>88474.190324625</v>
      </c>
      <c r="P18" s="326">
        <f t="shared" si="1"/>
        <v>107053.77029279625</v>
      </c>
    </row>
    <row r="19" spans="1:16">
      <c r="A19" s="206">
        <v>13</v>
      </c>
      <c r="B19" s="175" t="s">
        <v>0</v>
      </c>
      <c r="C19" s="175" t="s">
        <v>2631</v>
      </c>
      <c r="D19" s="1" t="s">
        <v>25</v>
      </c>
      <c r="E19" s="176" t="s">
        <v>26</v>
      </c>
      <c r="F19" s="216">
        <v>7794334000241</v>
      </c>
      <c r="G19" s="216">
        <v>2</v>
      </c>
      <c r="H19" s="5" t="s">
        <v>1191</v>
      </c>
      <c r="I19" s="204">
        <v>42.9</v>
      </c>
      <c r="J19" s="260">
        <v>0.1</v>
      </c>
      <c r="L19" s="217">
        <f t="shared" si="0"/>
        <v>20291.59457325</v>
      </c>
      <c r="N19" s="271">
        <f t="shared" si="2"/>
        <v>29422.8121312125</v>
      </c>
      <c r="P19" s="326">
        <f t="shared" si="1"/>
        <v>35601.602678767122</v>
      </c>
    </row>
    <row r="20" spans="1:16">
      <c r="A20" s="206">
        <v>14</v>
      </c>
      <c r="B20" s="175" t="s">
        <v>0</v>
      </c>
      <c r="C20" s="175" t="s">
        <v>2631</v>
      </c>
      <c r="D20" s="1" t="s">
        <v>27</v>
      </c>
      <c r="E20" s="176" t="s">
        <v>28</v>
      </c>
      <c r="F20" s="216">
        <v>7794334002580</v>
      </c>
      <c r="G20" s="216">
        <v>2</v>
      </c>
      <c r="H20" s="5" t="s">
        <v>1191</v>
      </c>
      <c r="I20" s="204">
        <v>49.9</v>
      </c>
      <c r="J20" s="260">
        <v>0.1</v>
      </c>
      <c r="L20" s="217">
        <f t="shared" si="0"/>
        <v>23602.577370750001</v>
      </c>
      <c r="N20" s="271">
        <f t="shared" si="2"/>
        <v>34223.737187587503</v>
      </c>
      <c r="P20" s="326">
        <f t="shared" si="1"/>
        <v>41410.721996980879</v>
      </c>
    </row>
    <row r="21" spans="1:16">
      <c r="A21" s="206">
        <v>15</v>
      </c>
      <c r="B21" s="175" t="s">
        <v>0</v>
      </c>
      <c r="C21" s="175" t="s">
        <v>2631</v>
      </c>
      <c r="D21" s="1" t="s">
        <v>29</v>
      </c>
      <c r="E21" s="176" t="s">
        <v>30</v>
      </c>
      <c r="F21" s="216">
        <v>7794334002597</v>
      </c>
      <c r="G21" s="216">
        <v>2</v>
      </c>
      <c r="H21" s="5" t="s">
        <v>1191</v>
      </c>
      <c r="I21" s="204">
        <v>83.5</v>
      </c>
      <c r="J21" s="260">
        <v>0.1</v>
      </c>
      <c r="L21" s="217">
        <f t="shared" si="0"/>
        <v>39495.294798750001</v>
      </c>
      <c r="N21" s="271">
        <f t="shared" si="2"/>
        <v>57268.1774581875</v>
      </c>
      <c r="P21" s="326">
        <f t="shared" si="1"/>
        <v>69294.494724406875</v>
      </c>
    </row>
    <row r="22" spans="1:16">
      <c r="A22" s="206">
        <v>16</v>
      </c>
      <c r="B22" s="175" t="s">
        <v>0</v>
      </c>
      <c r="C22" s="175" t="s">
        <v>2631</v>
      </c>
      <c r="D22" s="1" t="s">
        <v>31</v>
      </c>
      <c r="E22" s="176" t="s">
        <v>32</v>
      </c>
      <c r="F22" s="216">
        <v>7794334000258</v>
      </c>
      <c r="G22" s="216">
        <v>2</v>
      </c>
      <c r="H22" s="5" t="s">
        <v>1191</v>
      </c>
      <c r="I22" s="204">
        <v>67.5</v>
      </c>
      <c r="J22" s="260">
        <v>0.1</v>
      </c>
      <c r="L22" s="217">
        <f t="shared" si="0"/>
        <v>31927.334118749997</v>
      </c>
      <c r="N22" s="271">
        <f t="shared" si="2"/>
        <v>46294.634472187492</v>
      </c>
      <c r="P22" s="326">
        <f t="shared" si="1"/>
        <v>56016.507711346865</v>
      </c>
    </row>
    <row r="23" spans="1:16">
      <c r="A23" s="206">
        <v>17</v>
      </c>
      <c r="B23" s="175" t="s">
        <v>0</v>
      </c>
      <c r="C23" s="175" t="s">
        <v>2631</v>
      </c>
      <c r="D23" s="1" t="s">
        <v>33</v>
      </c>
      <c r="E23" s="176" t="s">
        <v>34</v>
      </c>
      <c r="F23" s="216">
        <v>7794334002603</v>
      </c>
      <c r="G23" s="216">
        <v>2</v>
      </c>
      <c r="H23" s="5" t="s">
        <v>1191</v>
      </c>
      <c r="I23" s="204">
        <v>88</v>
      </c>
      <c r="J23" s="260">
        <v>0.1</v>
      </c>
      <c r="L23" s="217">
        <f t="shared" si="0"/>
        <v>41623.783739999999</v>
      </c>
      <c r="N23" s="271">
        <f t="shared" si="2"/>
        <v>60354.486422999995</v>
      </c>
      <c r="P23" s="326">
        <f t="shared" si="1"/>
        <v>73028.928571829994</v>
      </c>
    </row>
    <row r="24" spans="1:16">
      <c r="A24" s="206">
        <v>18</v>
      </c>
      <c r="B24" s="175" t="s">
        <v>0</v>
      </c>
      <c r="C24" s="175" t="s">
        <v>2631</v>
      </c>
      <c r="D24" s="1" t="s">
        <v>35</v>
      </c>
      <c r="E24" s="176" t="s">
        <v>36</v>
      </c>
      <c r="F24" s="216">
        <v>7794334000494</v>
      </c>
      <c r="G24" s="216">
        <v>2</v>
      </c>
      <c r="H24" s="5" t="s">
        <v>1191</v>
      </c>
      <c r="I24" s="204">
        <v>95.9</v>
      </c>
      <c r="J24" s="260">
        <v>0.1</v>
      </c>
      <c r="L24" s="217">
        <f t="shared" si="0"/>
        <v>45360.464325749999</v>
      </c>
      <c r="N24" s="271">
        <f t="shared" si="2"/>
        <v>65772.673272337503</v>
      </c>
      <c r="P24" s="326">
        <f t="shared" si="1"/>
        <v>79584.934659528371</v>
      </c>
    </row>
    <row r="25" spans="1:16">
      <c r="A25" s="206">
        <v>19</v>
      </c>
      <c r="B25" s="175" t="s">
        <v>0</v>
      </c>
      <c r="C25" s="175" t="s">
        <v>2631</v>
      </c>
      <c r="D25" s="1" t="s">
        <v>37</v>
      </c>
      <c r="E25" s="176" t="s">
        <v>38</v>
      </c>
      <c r="F25" s="216">
        <v>7794334002610</v>
      </c>
      <c r="G25" s="216">
        <v>2</v>
      </c>
      <c r="H25" s="5" t="s">
        <v>1191</v>
      </c>
      <c r="I25" s="204">
        <v>112.5</v>
      </c>
      <c r="J25" s="260">
        <v>0.1</v>
      </c>
      <c r="L25" s="217">
        <f t="shared" si="0"/>
        <v>53212.223531249998</v>
      </c>
      <c r="N25" s="271">
        <f t="shared" si="2"/>
        <v>77157.724120312501</v>
      </c>
      <c r="P25" s="326">
        <f t="shared" si="1"/>
        <v>93360.846185578121</v>
      </c>
    </row>
    <row r="26" spans="1:16">
      <c r="A26" s="206">
        <v>20</v>
      </c>
      <c r="B26" s="175" t="s">
        <v>0</v>
      </c>
      <c r="C26" s="175" t="s">
        <v>2631</v>
      </c>
      <c r="D26" s="1" t="s">
        <v>39</v>
      </c>
      <c r="E26" s="176" t="s">
        <v>40</v>
      </c>
      <c r="F26" s="216">
        <v>7794334000395</v>
      </c>
      <c r="G26" s="216">
        <v>2</v>
      </c>
      <c r="H26" s="5" t="s">
        <v>1191</v>
      </c>
      <c r="I26" s="204">
        <v>32.9</v>
      </c>
      <c r="J26" s="260">
        <v>0.1</v>
      </c>
      <c r="L26" s="217">
        <f t="shared" si="0"/>
        <v>15561.619148249998</v>
      </c>
      <c r="N26" s="271">
        <f t="shared" si="2"/>
        <v>22564.347764962495</v>
      </c>
      <c r="P26" s="326">
        <f t="shared" si="1"/>
        <v>27302.860795604618</v>
      </c>
    </row>
    <row r="27" spans="1:16">
      <c r="A27" s="206">
        <v>21</v>
      </c>
      <c r="B27" s="175" t="s">
        <v>0</v>
      </c>
      <c r="C27" s="175" t="s">
        <v>2631</v>
      </c>
      <c r="D27" s="1" t="s">
        <v>41</v>
      </c>
      <c r="E27" s="176" t="s">
        <v>42</v>
      </c>
      <c r="F27" s="216">
        <v>7794334007356</v>
      </c>
      <c r="G27" s="216">
        <v>2</v>
      </c>
      <c r="H27" s="5" t="s">
        <v>1191</v>
      </c>
      <c r="I27" s="204">
        <v>37.4</v>
      </c>
      <c r="J27" s="260">
        <v>0.1</v>
      </c>
      <c r="L27" s="217">
        <f t="shared" si="0"/>
        <v>17690.108089500001</v>
      </c>
      <c r="N27" s="271">
        <f t="shared" si="2"/>
        <v>25650.656729775001</v>
      </c>
      <c r="P27" s="326">
        <f t="shared" si="1"/>
        <v>31037.294643027752</v>
      </c>
    </row>
    <row r="28" spans="1:16">
      <c r="A28" s="206">
        <v>22</v>
      </c>
      <c r="B28" s="175" t="s">
        <v>0</v>
      </c>
      <c r="C28" s="175" t="s">
        <v>2631</v>
      </c>
      <c r="D28" s="1" t="s">
        <v>43</v>
      </c>
      <c r="E28" s="176" t="s">
        <v>44</v>
      </c>
      <c r="F28" s="216">
        <v>7794334000449</v>
      </c>
      <c r="G28" s="216">
        <v>2</v>
      </c>
      <c r="H28" s="5" t="s">
        <v>1191</v>
      </c>
      <c r="I28" s="204">
        <v>59.8</v>
      </c>
      <c r="J28" s="260">
        <v>0.1</v>
      </c>
      <c r="L28" s="217">
        <f t="shared" si="0"/>
        <v>28285.2530415</v>
      </c>
      <c r="N28" s="271">
        <f t="shared" si="2"/>
        <v>41013.616910174998</v>
      </c>
      <c r="P28" s="326">
        <f t="shared" si="1"/>
        <v>49626.476461311744</v>
      </c>
    </row>
    <row r="29" spans="1:16">
      <c r="A29" s="206">
        <v>23</v>
      </c>
      <c r="B29" s="175" t="s">
        <v>0</v>
      </c>
      <c r="C29" s="175" t="s">
        <v>2631</v>
      </c>
      <c r="D29" s="1" t="s">
        <v>45</v>
      </c>
      <c r="E29" s="176" t="s">
        <v>46</v>
      </c>
      <c r="F29" s="216">
        <v>7794334002627</v>
      </c>
      <c r="G29" s="216">
        <v>2</v>
      </c>
      <c r="H29" s="5" t="s">
        <v>1191</v>
      </c>
      <c r="I29" s="204">
        <v>84</v>
      </c>
      <c r="J29" s="260">
        <v>0.1</v>
      </c>
      <c r="L29" s="217">
        <f t="shared" si="0"/>
        <v>39731.793570000002</v>
      </c>
      <c r="N29" s="271">
        <f t="shared" si="2"/>
        <v>57611.100676499998</v>
      </c>
      <c r="P29" s="326">
        <f t="shared" si="1"/>
        <v>69709.43181856499</v>
      </c>
    </row>
    <row r="30" spans="1:16">
      <c r="A30" s="206">
        <v>24</v>
      </c>
      <c r="B30" s="175" t="s">
        <v>0</v>
      </c>
      <c r="C30" s="175" t="s">
        <v>2631</v>
      </c>
      <c r="D30" s="1" t="s">
        <v>47</v>
      </c>
      <c r="E30" s="176" t="s">
        <v>48</v>
      </c>
      <c r="F30" s="216">
        <v>7794334002634</v>
      </c>
      <c r="G30" s="216">
        <v>2</v>
      </c>
      <c r="H30" s="5" t="s">
        <v>1191</v>
      </c>
      <c r="I30" s="204">
        <v>61</v>
      </c>
      <c r="J30" s="260">
        <v>0.1</v>
      </c>
      <c r="L30" s="217">
        <f t="shared" si="0"/>
        <v>28852.850092500001</v>
      </c>
      <c r="N30" s="271">
        <f t="shared" si="2"/>
        <v>41836.632634125002</v>
      </c>
      <c r="P30" s="326">
        <f t="shared" si="1"/>
        <v>50622.325487291251</v>
      </c>
    </row>
    <row r="31" spans="1:16">
      <c r="A31" s="206">
        <v>25</v>
      </c>
      <c r="B31" s="175" t="s">
        <v>0</v>
      </c>
      <c r="C31" s="175" t="s">
        <v>2631</v>
      </c>
      <c r="D31" s="1" t="s">
        <v>49</v>
      </c>
      <c r="E31" s="176" t="s">
        <v>50</v>
      </c>
      <c r="F31" s="216">
        <v>7794334007363</v>
      </c>
      <c r="G31" s="216">
        <v>2</v>
      </c>
      <c r="H31" s="5" t="s">
        <v>1191</v>
      </c>
      <c r="I31" s="204">
        <v>68.5</v>
      </c>
      <c r="J31" s="260">
        <v>0.1</v>
      </c>
      <c r="L31" s="217">
        <f t="shared" si="0"/>
        <v>32400.331661249998</v>
      </c>
      <c r="N31" s="271">
        <f t="shared" si="2"/>
        <v>46980.480908812497</v>
      </c>
      <c r="P31" s="326">
        <f t="shared" si="1"/>
        <v>56846.381899663116</v>
      </c>
    </row>
    <row r="32" spans="1:16">
      <c r="A32" s="206">
        <v>26</v>
      </c>
      <c r="B32" s="175" t="s">
        <v>0</v>
      </c>
      <c r="C32" s="175" t="s">
        <v>2631</v>
      </c>
      <c r="D32" s="1" t="s">
        <v>51</v>
      </c>
      <c r="E32" s="176" t="s">
        <v>52</v>
      </c>
      <c r="F32" s="216">
        <v>7794334002641</v>
      </c>
      <c r="G32" s="216">
        <v>2</v>
      </c>
      <c r="H32" s="5" t="s">
        <v>1191</v>
      </c>
      <c r="I32" s="204">
        <v>103</v>
      </c>
      <c r="J32" s="260">
        <v>0.1</v>
      </c>
      <c r="L32" s="217">
        <f t="shared" si="0"/>
        <v>48718.746877499994</v>
      </c>
      <c r="N32" s="271">
        <f t="shared" si="2"/>
        <v>70642.182972374983</v>
      </c>
      <c r="P32" s="326">
        <f t="shared" si="1"/>
        <v>85477.041396573724</v>
      </c>
    </row>
    <row r="33" spans="1:16">
      <c r="A33" s="206">
        <v>27</v>
      </c>
      <c r="B33" s="175" t="s">
        <v>0</v>
      </c>
      <c r="C33" s="175" t="s">
        <v>2631</v>
      </c>
      <c r="D33" s="1" t="s">
        <v>53</v>
      </c>
      <c r="E33" s="176" t="s">
        <v>54</v>
      </c>
      <c r="F33" s="216">
        <v>7794334002658</v>
      </c>
      <c r="G33" s="216">
        <v>2</v>
      </c>
      <c r="H33" s="5" t="s">
        <v>1191</v>
      </c>
      <c r="I33" s="204">
        <v>134</v>
      </c>
      <c r="J33" s="260">
        <v>0.1</v>
      </c>
      <c r="L33" s="217">
        <f t="shared" si="0"/>
        <v>63381.670694999993</v>
      </c>
      <c r="N33" s="271">
        <f t="shared" si="2"/>
        <v>91903.422507749987</v>
      </c>
      <c r="P33" s="326">
        <f t="shared" si="1"/>
        <v>111203.14123437749</v>
      </c>
    </row>
    <row r="34" spans="1:16">
      <c r="A34" s="206">
        <v>28</v>
      </c>
      <c r="B34" s="175" t="s">
        <v>0</v>
      </c>
      <c r="C34" s="175" t="s">
        <v>2631</v>
      </c>
      <c r="D34" s="1" t="s">
        <v>55</v>
      </c>
      <c r="E34" s="176" t="s">
        <v>56</v>
      </c>
      <c r="F34" s="216">
        <v>7794334000050</v>
      </c>
      <c r="G34" s="216">
        <v>2</v>
      </c>
      <c r="H34" s="5" t="s">
        <v>1191</v>
      </c>
      <c r="I34" s="204">
        <v>27.5</v>
      </c>
      <c r="J34" s="260">
        <v>0.1</v>
      </c>
      <c r="L34" s="217">
        <f t="shared" si="0"/>
        <v>13007.432418749999</v>
      </c>
      <c r="N34" s="271">
        <f t="shared" si="2"/>
        <v>18860.777007187498</v>
      </c>
      <c r="P34" s="326">
        <f t="shared" si="1"/>
        <v>22821.540178696872</v>
      </c>
    </row>
    <row r="35" spans="1:16">
      <c r="A35" s="206">
        <v>29</v>
      </c>
      <c r="B35" s="175" t="s">
        <v>0</v>
      </c>
      <c r="C35" s="175" t="s">
        <v>2631</v>
      </c>
      <c r="D35" s="1" t="s">
        <v>57</v>
      </c>
      <c r="E35" s="176" t="s">
        <v>58</v>
      </c>
      <c r="F35" s="216">
        <v>7794334008629</v>
      </c>
      <c r="G35" s="216">
        <v>2</v>
      </c>
      <c r="H35" s="5" t="s">
        <v>1191</v>
      </c>
      <c r="I35" s="204">
        <v>34.799999999999997</v>
      </c>
      <c r="J35" s="260">
        <v>0.1</v>
      </c>
      <c r="L35" s="217">
        <f t="shared" si="0"/>
        <v>16460.314478999997</v>
      </c>
      <c r="N35" s="271">
        <f t="shared" si="2"/>
        <v>23867.455994549993</v>
      </c>
      <c r="P35" s="326">
        <f t="shared" si="1"/>
        <v>28879.621753405492</v>
      </c>
    </row>
    <row r="36" spans="1:16">
      <c r="A36" s="206">
        <v>30</v>
      </c>
      <c r="B36" s="175" t="s">
        <v>0</v>
      </c>
      <c r="C36" s="175" t="s">
        <v>2631</v>
      </c>
      <c r="D36" s="1" t="s">
        <v>59</v>
      </c>
      <c r="E36" s="176" t="s">
        <v>60</v>
      </c>
      <c r="F36" s="216">
        <v>7794334000067</v>
      </c>
      <c r="G36" s="216">
        <v>2</v>
      </c>
      <c r="H36" s="5" t="s">
        <v>1191</v>
      </c>
      <c r="I36" s="204">
        <v>43.5</v>
      </c>
      <c r="J36" s="260">
        <v>0.1</v>
      </c>
      <c r="L36" s="217">
        <f t="shared" si="0"/>
        <v>20575.393098749999</v>
      </c>
      <c r="N36" s="271">
        <f t="shared" si="2"/>
        <v>29834.319993187499</v>
      </c>
      <c r="P36" s="326">
        <f t="shared" si="1"/>
        <v>36099.527191756875</v>
      </c>
    </row>
    <row r="37" spans="1:16">
      <c r="A37" s="206">
        <v>31</v>
      </c>
      <c r="B37" s="175" t="s">
        <v>0</v>
      </c>
      <c r="C37" s="175" t="s">
        <v>2631</v>
      </c>
      <c r="D37" s="1" t="s">
        <v>61</v>
      </c>
      <c r="E37" s="176" t="s">
        <v>62</v>
      </c>
      <c r="F37" s="216">
        <v>7794334002665</v>
      </c>
      <c r="G37" s="216">
        <v>2</v>
      </c>
      <c r="H37" s="5" t="s">
        <v>1191</v>
      </c>
      <c r="I37" s="204">
        <v>56</v>
      </c>
      <c r="J37" s="260">
        <v>0.1</v>
      </c>
      <c r="L37" s="217">
        <f t="shared" si="0"/>
        <v>26487.862379999999</v>
      </c>
      <c r="N37" s="271">
        <f t="shared" si="2"/>
        <v>38407.400450999994</v>
      </c>
      <c r="P37" s="326">
        <f t="shared" si="1"/>
        <v>46472.954545709988</v>
      </c>
    </row>
    <row r="38" spans="1:16">
      <c r="A38" s="206">
        <v>32</v>
      </c>
      <c r="B38" s="175" t="s">
        <v>0</v>
      </c>
      <c r="C38" s="175" t="s">
        <v>2631</v>
      </c>
      <c r="D38" s="1" t="s">
        <v>63</v>
      </c>
      <c r="E38" s="176" t="s">
        <v>64</v>
      </c>
      <c r="F38" s="216">
        <v>7794334000074</v>
      </c>
      <c r="G38" s="216">
        <v>2</v>
      </c>
      <c r="H38" s="5" t="s">
        <v>1191</v>
      </c>
      <c r="I38" s="204">
        <v>63</v>
      </c>
      <c r="J38" s="260">
        <v>0.1</v>
      </c>
      <c r="L38" s="217">
        <f t="shared" si="0"/>
        <v>29798.845177499996</v>
      </c>
      <c r="N38" s="271">
        <f t="shared" si="2"/>
        <v>43208.32550737499</v>
      </c>
      <c r="P38" s="326">
        <f t="shared" si="1"/>
        <v>52282.073863923739</v>
      </c>
    </row>
    <row r="39" spans="1:16">
      <c r="A39" s="206">
        <v>33</v>
      </c>
      <c r="B39" s="175" t="s">
        <v>0</v>
      </c>
      <c r="C39" s="175" t="s">
        <v>2631</v>
      </c>
      <c r="D39" s="1" t="s">
        <v>65</v>
      </c>
      <c r="E39" s="176" t="s">
        <v>66</v>
      </c>
      <c r="F39" s="216">
        <v>7794334001194</v>
      </c>
      <c r="G39" s="216">
        <v>2</v>
      </c>
      <c r="H39" s="5" t="s">
        <v>1191</v>
      </c>
      <c r="I39" s="204">
        <v>30.9</v>
      </c>
      <c r="J39" s="260">
        <v>0.1</v>
      </c>
      <c r="L39" s="217">
        <f t="shared" si="0"/>
        <v>14615.624063249999</v>
      </c>
      <c r="N39" s="271">
        <f t="shared" si="2"/>
        <v>21192.6548917125</v>
      </c>
      <c r="O39" s="174">
        <f>7031/2</f>
        <v>3515.5</v>
      </c>
      <c r="P39" s="326">
        <f t="shared" si="1"/>
        <v>25643.112418972123</v>
      </c>
    </row>
    <row r="40" spans="1:16">
      <c r="A40" s="206">
        <v>33</v>
      </c>
      <c r="B40" s="175" t="s">
        <v>0</v>
      </c>
      <c r="C40" s="175" t="s">
        <v>2631</v>
      </c>
      <c r="D40" s="1" t="s">
        <v>37223</v>
      </c>
      <c r="E40" s="176" t="s">
        <v>66</v>
      </c>
      <c r="F40" s="216">
        <v>7794334001194</v>
      </c>
      <c r="G40" s="216">
        <v>2</v>
      </c>
      <c r="H40" s="5" t="s">
        <v>1191</v>
      </c>
      <c r="I40" s="204">
        <v>21</v>
      </c>
      <c r="J40" s="260">
        <v>0.1</v>
      </c>
      <c r="L40" s="217">
        <f t="shared" si="0"/>
        <v>9932.9483925000004</v>
      </c>
      <c r="N40" s="271">
        <f t="shared" si="2"/>
        <v>14402.775169125</v>
      </c>
      <c r="O40" s="174">
        <f>7031/2</f>
        <v>3515.5</v>
      </c>
      <c r="P40" s="326">
        <f>+N40*1.21</f>
        <v>17427.357954641247</v>
      </c>
    </row>
    <row r="41" spans="1:16">
      <c r="A41" s="206">
        <v>34</v>
      </c>
      <c r="B41" s="175" t="s">
        <v>0</v>
      </c>
      <c r="C41" s="175" t="s">
        <v>2631</v>
      </c>
      <c r="D41" s="1" t="s">
        <v>67</v>
      </c>
      <c r="E41" s="176" t="s">
        <v>68</v>
      </c>
      <c r="F41" s="216">
        <v>7794334008636</v>
      </c>
      <c r="G41" s="216">
        <v>2</v>
      </c>
      <c r="H41" s="5" t="s">
        <v>1191</v>
      </c>
      <c r="I41" s="204">
        <v>37</v>
      </c>
      <c r="J41" s="260">
        <v>0.1</v>
      </c>
      <c r="L41" s="217">
        <f t="shared" si="0"/>
        <v>17500.909072499999</v>
      </c>
      <c r="N41" s="271">
        <f t="shared" si="2"/>
        <v>25376.318155124998</v>
      </c>
      <c r="P41" s="326">
        <f t="shared" si="1"/>
        <v>30705.344967701247</v>
      </c>
    </row>
    <row r="42" spans="1:16">
      <c r="A42" s="206">
        <v>35</v>
      </c>
      <c r="B42" s="175" t="s">
        <v>0</v>
      </c>
      <c r="C42" s="175" t="s">
        <v>2631</v>
      </c>
      <c r="D42" s="1" t="s">
        <v>69</v>
      </c>
      <c r="E42" s="176" t="s">
        <v>70</v>
      </c>
      <c r="F42" s="216">
        <v>7794334008643</v>
      </c>
      <c r="G42" s="216">
        <v>2</v>
      </c>
      <c r="H42" s="5" t="s">
        <v>1191</v>
      </c>
      <c r="I42" s="204">
        <v>46.8</v>
      </c>
      <c r="J42" s="260">
        <v>0.1</v>
      </c>
      <c r="L42" s="217">
        <f t="shared" si="0"/>
        <v>22136.284989</v>
      </c>
      <c r="N42" s="271">
        <f t="shared" si="2"/>
        <v>32097.613234049997</v>
      </c>
      <c r="P42" s="326">
        <f t="shared" si="1"/>
        <v>38838.112013200494</v>
      </c>
    </row>
    <row r="43" spans="1:16">
      <c r="A43" s="206">
        <v>36</v>
      </c>
      <c r="B43" s="175" t="s">
        <v>0</v>
      </c>
      <c r="C43" s="175" t="s">
        <v>2631</v>
      </c>
      <c r="D43" s="1" t="s">
        <v>71</v>
      </c>
      <c r="E43" s="176" t="s">
        <v>72</v>
      </c>
      <c r="F43" s="216">
        <v>7794334001200</v>
      </c>
      <c r="G43" s="216">
        <v>2</v>
      </c>
      <c r="H43" s="5" t="s">
        <v>1191</v>
      </c>
      <c r="I43" s="204">
        <v>62.9</v>
      </c>
      <c r="J43" s="260">
        <v>0.1</v>
      </c>
      <c r="L43" s="217">
        <f t="shared" si="0"/>
        <v>29751.545423249994</v>
      </c>
      <c r="N43" s="271">
        <f t="shared" si="2"/>
        <v>43139.74086371249</v>
      </c>
      <c r="P43" s="326">
        <f t="shared" si="1"/>
        <v>52199.086445092114</v>
      </c>
    </row>
    <row r="44" spans="1:16">
      <c r="A44" s="206">
        <v>37</v>
      </c>
      <c r="B44" s="175" t="s">
        <v>0</v>
      </c>
      <c r="C44" s="175" t="s">
        <v>2631</v>
      </c>
      <c r="D44" s="1" t="s">
        <v>73</v>
      </c>
      <c r="E44" s="176" t="s">
        <v>74</v>
      </c>
      <c r="F44" s="216">
        <v>7794334010851</v>
      </c>
      <c r="G44" s="216">
        <v>2</v>
      </c>
      <c r="H44" s="5" t="s">
        <v>1191</v>
      </c>
      <c r="I44" s="204">
        <v>71.900000000000006</v>
      </c>
      <c r="J44" s="260">
        <v>0.1</v>
      </c>
      <c r="L44" s="217">
        <f t="shared" si="0"/>
        <v>34008.523305750001</v>
      </c>
      <c r="N44" s="271">
        <f t="shared" si="2"/>
        <v>49312.358793337502</v>
      </c>
      <c r="P44" s="326">
        <f t="shared" si="1"/>
        <v>59667.954139938374</v>
      </c>
    </row>
    <row r="45" spans="1:16">
      <c r="A45" s="206">
        <v>38</v>
      </c>
      <c r="B45" s="175" t="s">
        <v>0</v>
      </c>
      <c r="C45" s="175" t="s">
        <v>2631</v>
      </c>
      <c r="D45" s="1" t="s">
        <v>75</v>
      </c>
      <c r="E45" s="176" t="s">
        <v>76</v>
      </c>
      <c r="F45" s="216">
        <v>7794334008650</v>
      </c>
      <c r="G45" s="216">
        <v>2</v>
      </c>
      <c r="H45" s="5" t="s">
        <v>1191</v>
      </c>
      <c r="I45" s="204">
        <v>79.5</v>
      </c>
      <c r="J45" s="260">
        <v>0.1</v>
      </c>
      <c r="L45" s="217">
        <f t="shared" si="0"/>
        <v>37603.304628750004</v>
      </c>
      <c r="N45" s="271">
        <f t="shared" si="2"/>
        <v>54524.791711687503</v>
      </c>
      <c r="P45" s="326">
        <f t="shared" si="1"/>
        <v>65974.997971141871</v>
      </c>
    </row>
    <row r="46" spans="1:16">
      <c r="A46" s="206">
        <v>39</v>
      </c>
      <c r="B46" s="175" t="s">
        <v>0</v>
      </c>
      <c r="C46" s="175" t="s">
        <v>2631</v>
      </c>
      <c r="D46" s="1" t="s">
        <v>77</v>
      </c>
      <c r="E46" s="176" t="s">
        <v>78</v>
      </c>
      <c r="F46" s="216">
        <v>7794334008667</v>
      </c>
      <c r="G46" s="216">
        <v>2</v>
      </c>
      <c r="H46" s="5" t="s">
        <v>1191</v>
      </c>
      <c r="I46" s="204">
        <v>93.8</v>
      </c>
      <c r="J46" s="260">
        <v>0.1</v>
      </c>
      <c r="L46" s="217">
        <f t="shared" si="0"/>
        <v>44367.169486499995</v>
      </c>
      <c r="N46" s="271">
        <f t="shared" si="2"/>
        <v>64332.395755424994</v>
      </c>
      <c r="P46" s="326">
        <f t="shared" si="1"/>
        <v>77842.198864064238</v>
      </c>
    </row>
    <row r="47" spans="1:16">
      <c r="A47" s="206">
        <v>40</v>
      </c>
      <c r="B47" s="175" t="s">
        <v>0</v>
      </c>
      <c r="C47" s="175" t="s">
        <v>2631</v>
      </c>
      <c r="D47" s="1" t="s">
        <v>79</v>
      </c>
      <c r="E47" s="176" t="s">
        <v>80</v>
      </c>
      <c r="F47" s="216">
        <v>7794334002672</v>
      </c>
      <c r="G47" s="216">
        <v>2</v>
      </c>
      <c r="H47" s="5" t="s">
        <v>1191</v>
      </c>
      <c r="I47" s="204">
        <v>52.5</v>
      </c>
      <c r="J47" s="260">
        <v>0.1</v>
      </c>
      <c r="L47" s="217">
        <f t="shared" si="0"/>
        <v>24832.370981249998</v>
      </c>
      <c r="N47" s="271">
        <f t="shared" si="2"/>
        <v>36006.937922812496</v>
      </c>
      <c r="P47" s="326">
        <f t="shared" si="1"/>
        <v>43568.394886603121</v>
      </c>
    </row>
    <row r="48" spans="1:16">
      <c r="A48" s="206">
        <v>41</v>
      </c>
      <c r="B48" s="175" t="s">
        <v>0</v>
      </c>
      <c r="C48" s="175" t="s">
        <v>2631</v>
      </c>
      <c r="D48" s="1" t="s">
        <v>81</v>
      </c>
      <c r="E48" s="176" t="s">
        <v>82</v>
      </c>
      <c r="F48" s="216">
        <v>7794334008674</v>
      </c>
      <c r="G48" s="216">
        <v>2</v>
      </c>
      <c r="H48" s="5" t="s">
        <v>1191</v>
      </c>
      <c r="I48" s="204">
        <v>68</v>
      </c>
      <c r="J48" s="260">
        <v>0.1</v>
      </c>
      <c r="L48" s="217">
        <f t="shared" si="0"/>
        <v>32163.832889999998</v>
      </c>
      <c r="N48" s="271">
        <f t="shared" si="2"/>
        <v>46637.557690499998</v>
      </c>
      <c r="P48" s="326">
        <f t="shared" si="1"/>
        <v>56431.444805504994</v>
      </c>
    </row>
    <row r="49" spans="1:16">
      <c r="A49" s="206">
        <v>42</v>
      </c>
      <c r="B49" s="175" t="s">
        <v>0</v>
      </c>
      <c r="C49" s="175" t="s">
        <v>2631</v>
      </c>
      <c r="D49" s="1" t="s">
        <v>83</v>
      </c>
      <c r="E49" s="176" t="s">
        <v>84</v>
      </c>
      <c r="F49" s="216">
        <v>7794334000166</v>
      </c>
      <c r="G49" s="216">
        <v>2</v>
      </c>
      <c r="H49" s="5" t="s">
        <v>1191</v>
      </c>
      <c r="I49" s="204">
        <v>89.5</v>
      </c>
      <c r="J49" s="260">
        <v>0.1</v>
      </c>
      <c r="L49" s="217">
        <f t="shared" si="0"/>
        <v>42333.280053750001</v>
      </c>
      <c r="N49" s="271">
        <f t="shared" si="2"/>
        <v>61383.256077937498</v>
      </c>
      <c r="P49" s="326">
        <f t="shared" si="1"/>
        <v>74273.739854304367</v>
      </c>
    </row>
    <row r="50" spans="1:16">
      <c r="A50" s="206">
        <v>43</v>
      </c>
      <c r="B50" s="175" t="s">
        <v>0</v>
      </c>
      <c r="C50" s="175" t="s">
        <v>2631</v>
      </c>
      <c r="D50" s="1" t="s">
        <v>85</v>
      </c>
      <c r="E50" s="176" t="s">
        <v>86</v>
      </c>
      <c r="F50" s="216">
        <v>7794334000098</v>
      </c>
      <c r="G50" s="216">
        <v>2</v>
      </c>
      <c r="H50" s="5" t="s">
        <v>1191</v>
      </c>
      <c r="I50" s="204">
        <v>32</v>
      </c>
      <c r="J50" s="260">
        <v>0.1</v>
      </c>
      <c r="L50" s="217">
        <f t="shared" si="0"/>
        <v>15135.921359999998</v>
      </c>
      <c r="N50" s="271">
        <f t="shared" si="2"/>
        <v>21947.085971999997</v>
      </c>
      <c r="P50" s="326">
        <f t="shared" si="1"/>
        <v>26555.974026119995</v>
      </c>
    </row>
    <row r="51" spans="1:16">
      <c r="A51" s="206">
        <v>44</v>
      </c>
      <c r="B51" s="175" t="s">
        <v>0</v>
      </c>
      <c r="C51" s="175" t="s">
        <v>2631</v>
      </c>
      <c r="D51" s="1" t="s">
        <v>87</v>
      </c>
      <c r="E51" s="176" t="s">
        <v>88</v>
      </c>
      <c r="F51" s="216">
        <v>7794334008681</v>
      </c>
      <c r="G51" s="216">
        <v>2</v>
      </c>
      <c r="H51" s="5" t="s">
        <v>1191</v>
      </c>
      <c r="I51" s="204">
        <v>42.5</v>
      </c>
      <c r="J51" s="260">
        <v>0.1</v>
      </c>
      <c r="L51" s="217">
        <f t="shared" si="0"/>
        <v>20102.395556250001</v>
      </c>
      <c r="N51" s="271">
        <f t="shared" si="2"/>
        <v>29148.473556562501</v>
      </c>
      <c r="P51" s="326">
        <f t="shared" si="1"/>
        <v>35269.653003440624</v>
      </c>
    </row>
    <row r="52" spans="1:16">
      <c r="A52" s="206">
        <v>45</v>
      </c>
      <c r="B52" s="175" t="s">
        <v>0</v>
      </c>
      <c r="C52" s="175" t="s">
        <v>2631</v>
      </c>
      <c r="D52" s="1" t="s">
        <v>89</v>
      </c>
      <c r="E52" s="176" t="s">
        <v>90</v>
      </c>
      <c r="F52" s="216">
        <v>7794334002689</v>
      </c>
      <c r="G52" s="216">
        <v>2</v>
      </c>
      <c r="H52" s="5" t="s">
        <v>1191</v>
      </c>
      <c r="I52" s="204">
        <v>50.5</v>
      </c>
      <c r="J52" s="260">
        <v>0.1</v>
      </c>
      <c r="L52" s="217">
        <f t="shared" si="0"/>
        <v>23886.375896249996</v>
      </c>
      <c r="N52" s="271">
        <f t="shared" si="2"/>
        <v>34635.245049562494</v>
      </c>
      <c r="P52" s="326">
        <f t="shared" si="1"/>
        <v>41908.646509970618</v>
      </c>
    </row>
    <row r="53" spans="1:16">
      <c r="A53" s="206">
        <v>46</v>
      </c>
      <c r="B53" s="175" t="s">
        <v>0</v>
      </c>
      <c r="C53" s="175" t="s">
        <v>2631</v>
      </c>
      <c r="D53" s="1" t="s">
        <v>91</v>
      </c>
      <c r="E53" s="176" t="s">
        <v>92</v>
      </c>
      <c r="F53" s="216">
        <v>7794334000111</v>
      </c>
      <c r="G53" s="216">
        <v>2</v>
      </c>
      <c r="H53" s="5" t="s">
        <v>1191</v>
      </c>
      <c r="I53" s="204">
        <v>63.8</v>
      </c>
      <c r="J53" s="260">
        <v>0.1</v>
      </c>
      <c r="L53" s="217">
        <f t="shared" si="0"/>
        <v>30177.243211500001</v>
      </c>
      <c r="N53" s="271">
        <f t="shared" si="2"/>
        <v>43757.002656675002</v>
      </c>
      <c r="P53" s="326">
        <f t="shared" si="1"/>
        <v>52945.973214576748</v>
      </c>
    </row>
    <row r="54" spans="1:16">
      <c r="A54" s="206">
        <v>47</v>
      </c>
      <c r="B54" s="175" t="s">
        <v>0</v>
      </c>
      <c r="C54" s="175" t="s">
        <v>2631</v>
      </c>
      <c r="D54" s="1" t="s">
        <v>93</v>
      </c>
      <c r="E54" s="176" t="s">
        <v>94</v>
      </c>
      <c r="F54" s="216">
        <v>7794334002696</v>
      </c>
      <c r="G54" s="216">
        <v>2</v>
      </c>
      <c r="H54" s="5" t="s">
        <v>1191</v>
      </c>
      <c r="I54" s="204">
        <v>66.900000000000006</v>
      </c>
      <c r="J54" s="260">
        <v>0.1</v>
      </c>
      <c r="L54" s="217">
        <f t="shared" si="0"/>
        <v>31643.535593250002</v>
      </c>
      <c r="N54" s="271">
        <f t="shared" si="2"/>
        <v>45883.126610212501</v>
      </c>
      <c r="P54" s="326">
        <f t="shared" si="1"/>
        <v>55518.583198357126</v>
      </c>
    </row>
    <row r="55" spans="1:16">
      <c r="A55" s="206">
        <v>48</v>
      </c>
      <c r="B55" s="175" t="s">
        <v>0</v>
      </c>
      <c r="C55" s="175" t="s">
        <v>2631</v>
      </c>
      <c r="D55" s="1" t="s">
        <v>95</v>
      </c>
      <c r="E55" s="176" t="s">
        <v>96</v>
      </c>
      <c r="F55" s="216">
        <v>7794334002702</v>
      </c>
      <c r="G55" s="216">
        <v>2</v>
      </c>
      <c r="H55" s="5" t="s">
        <v>1191</v>
      </c>
      <c r="I55" s="204">
        <v>116</v>
      </c>
      <c r="J55" s="260">
        <v>0.1</v>
      </c>
      <c r="L55" s="217">
        <f t="shared" si="0"/>
        <v>54867.714929999995</v>
      </c>
      <c r="N55" s="271">
        <f t="shared" si="2"/>
        <v>79558.186648499992</v>
      </c>
      <c r="P55" s="326">
        <f t="shared" si="1"/>
        <v>96265.405844684981</v>
      </c>
    </row>
    <row r="56" spans="1:16">
      <c r="A56" s="206">
        <v>49</v>
      </c>
      <c r="B56" s="175" t="s">
        <v>0</v>
      </c>
      <c r="C56" s="175" t="s">
        <v>2631</v>
      </c>
      <c r="D56" s="1" t="s">
        <v>97</v>
      </c>
      <c r="E56" s="176" t="s">
        <v>98</v>
      </c>
      <c r="F56" s="216">
        <v>7794334002719</v>
      </c>
      <c r="G56" s="216">
        <v>2</v>
      </c>
      <c r="H56" s="5" t="s">
        <v>1191</v>
      </c>
      <c r="I56" s="204">
        <v>83.2</v>
      </c>
      <c r="J56" s="260">
        <v>0.1</v>
      </c>
      <c r="L56" s="217">
        <f t="shared" si="0"/>
        <v>39353.395535999996</v>
      </c>
      <c r="N56" s="271">
        <f t="shared" si="2"/>
        <v>57062.423527199993</v>
      </c>
      <c r="P56" s="326">
        <f t="shared" si="1"/>
        <v>69045.532467911995</v>
      </c>
    </row>
    <row r="57" spans="1:16">
      <c r="A57" s="206">
        <v>50</v>
      </c>
      <c r="B57" s="175" t="s">
        <v>0</v>
      </c>
      <c r="C57" s="175" t="s">
        <v>2631</v>
      </c>
      <c r="D57" s="1" t="s">
        <v>99</v>
      </c>
      <c r="E57" s="176" t="s">
        <v>100</v>
      </c>
      <c r="F57" s="216">
        <v>7794334000135</v>
      </c>
      <c r="G57" s="216">
        <v>2</v>
      </c>
      <c r="H57" s="5" t="s">
        <v>1191</v>
      </c>
      <c r="I57" s="204">
        <v>26.5</v>
      </c>
      <c r="J57" s="260">
        <v>0.1</v>
      </c>
      <c r="L57" s="217">
        <f t="shared" si="0"/>
        <v>12534.434876249999</v>
      </c>
      <c r="N57" s="271">
        <f t="shared" si="2"/>
        <v>18174.930570562497</v>
      </c>
      <c r="P57" s="326">
        <f t="shared" si="1"/>
        <v>21991.665990380621</v>
      </c>
    </row>
    <row r="58" spans="1:16">
      <c r="A58" s="206">
        <v>51</v>
      </c>
      <c r="B58" s="175" t="s">
        <v>0</v>
      </c>
      <c r="C58" s="175" t="s">
        <v>2631</v>
      </c>
      <c r="D58" s="1" t="s">
        <v>101</v>
      </c>
      <c r="E58" s="176" t="s">
        <v>102</v>
      </c>
      <c r="F58" s="216">
        <v>7794334008698</v>
      </c>
      <c r="G58" s="216">
        <v>2</v>
      </c>
      <c r="H58" s="5" t="s">
        <v>1191</v>
      </c>
      <c r="I58" s="204">
        <v>30.9</v>
      </c>
      <c r="J58" s="260">
        <v>0.1</v>
      </c>
      <c r="L58" s="217">
        <f t="shared" si="0"/>
        <v>14615.624063249999</v>
      </c>
      <c r="N58" s="271">
        <f t="shared" si="2"/>
        <v>21192.6548917125</v>
      </c>
      <c r="P58" s="326">
        <f t="shared" si="1"/>
        <v>25643.112418972123</v>
      </c>
    </row>
    <row r="59" spans="1:16">
      <c r="A59" s="206">
        <v>52</v>
      </c>
      <c r="B59" s="175" t="s">
        <v>0</v>
      </c>
      <c r="C59" s="175" t="s">
        <v>2631</v>
      </c>
      <c r="D59" s="1" t="s">
        <v>103</v>
      </c>
      <c r="E59" s="176" t="s">
        <v>104</v>
      </c>
      <c r="F59" s="216">
        <v>7794334008704</v>
      </c>
      <c r="G59" s="216">
        <v>2</v>
      </c>
      <c r="H59" s="5" t="s">
        <v>1191</v>
      </c>
      <c r="I59" s="204">
        <v>50.8</v>
      </c>
      <c r="J59" s="260">
        <v>0.1</v>
      </c>
      <c r="L59" s="217">
        <f t="shared" si="0"/>
        <v>24028.275159000001</v>
      </c>
      <c r="N59" s="271">
        <f t="shared" si="2"/>
        <v>34840.998980550001</v>
      </c>
      <c r="P59" s="326">
        <f t="shared" si="1"/>
        <v>42157.608766465499</v>
      </c>
    </row>
    <row r="60" spans="1:16">
      <c r="A60" s="206">
        <v>53</v>
      </c>
      <c r="B60" s="175" t="s">
        <v>0</v>
      </c>
      <c r="C60" s="175" t="s">
        <v>2631</v>
      </c>
      <c r="D60" s="1" t="s">
        <v>105</v>
      </c>
      <c r="E60" s="176" t="s">
        <v>106</v>
      </c>
      <c r="F60" s="216">
        <v>7794334000456</v>
      </c>
      <c r="G60" s="216">
        <v>2</v>
      </c>
      <c r="H60" s="5" t="s">
        <v>1191</v>
      </c>
      <c r="I60" s="204">
        <v>49</v>
      </c>
      <c r="J60" s="260">
        <v>0.1</v>
      </c>
      <c r="L60" s="217">
        <f t="shared" si="0"/>
        <v>23176.879582500002</v>
      </c>
      <c r="N60" s="271">
        <f t="shared" si="2"/>
        <v>33606.475394624998</v>
      </c>
      <c r="P60" s="326">
        <f t="shared" si="1"/>
        <v>40663.835227496245</v>
      </c>
    </row>
    <row r="61" spans="1:16">
      <c r="A61" s="206">
        <v>54</v>
      </c>
      <c r="B61" s="175" t="s">
        <v>0</v>
      </c>
      <c r="C61" s="175" t="s">
        <v>2631</v>
      </c>
      <c r="D61" s="1" t="s">
        <v>107</v>
      </c>
      <c r="E61" s="176" t="s">
        <v>108</v>
      </c>
      <c r="F61" s="216">
        <v>7794334002726</v>
      </c>
      <c r="G61" s="216">
        <v>2</v>
      </c>
      <c r="H61" s="5" t="s">
        <v>1191</v>
      </c>
      <c r="I61" s="204">
        <v>120</v>
      </c>
      <c r="J61" s="260">
        <v>0.1</v>
      </c>
      <c r="L61" s="217">
        <f t="shared" si="0"/>
        <v>56759.705099999992</v>
      </c>
      <c r="N61" s="271">
        <f t="shared" si="2"/>
        <v>82301.572394999981</v>
      </c>
      <c r="P61" s="326">
        <f t="shared" si="1"/>
        <v>99584.902597949971</v>
      </c>
    </row>
    <row r="62" spans="1:16">
      <c r="A62" s="206">
        <v>55</v>
      </c>
      <c r="B62" s="175" t="s">
        <v>0</v>
      </c>
      <c r="C62" s="175" t="s">
        <v>2631</v>
      </c>
      <c r="D62" s="1" t="s">
        <v>109</v>
      </c>
      <c r="E62" s="176" t="s">
        <v>110</v>
      </c>
      <c r="F62" s="216">
        <v>7794334002733</v>
      </c>
      <c r="G62" s="216">
        <v>2</v>
      </c>
      <c r="H62" s="5" t="s">
        <v>1191</v>
      </c>
      <c r="I62" s="204">
        <v>220</v>
      </c>
      <c r="J62" s="260">
        <v>0.1</v>
      </c>
      <c r="L62" s="217">
        <f t="shared" si="0"/>
        <v>104059.45934999999</v>
      </c>
      <c r="N62" s="271">
        <f t="shared" si="2"/>
        <v>150886.21605749999</v>
      </c>
      <c r="P62" s="326">
        <f t="shared" si="1"/>
        <v>182572.32142957498</v>
      </c>
    </row>
    <row r="63" spans="1:16">
      <c r="A63" s="206">
        <v>56</v>
      </c>
      <c r="B63" s="175" t="s">
        <v>0</v>
      </c>
      <c r="C63" s="175" t="s">
        <v>2631</v>
      </c>
      <c r="D63" s="1" t="s">
        <v>2961</v>
      </c>
      <c r="E63" s="176" t="s">
        <v>2962</v>
      </c>
      <c r="F63" s="216">
        <v>7794334002740</v>
      </c>
      <c r="G63" s="216">
        <v>2</v>
      </c>
      <c r="H63" s="5" t="s">
        <v>1191</v>
      </c>
      <c r="I63" s="204">
        <v>28.8</v>
      </c>
      <c r="J63" s="260">
        <v>0.1</v>
      </c>
      <c r="L63" s="217">
        <f t="shared" si="0"/>
        <v>13622.329223999999</v>
      </c>
      <c r="N63" s="271">
        <f t="shared" si="2"/>
        <v>19752.377374799999</v>
      </c>
      <c r="P63" s="326">
        <f t="shared" si="1"/>
        <v>23900.376623507997</v>
      </c>
    </row>
    <row r="64" spans="1:16">
      <c r="A64" s="206">
        <v>57</v>
      </c>
      <c r="B64" s="175" t="s">
        <v>0</v>
      </c>
      <c r="C64" s="175" t="s">
        <v>2631</v>
      </c>
      <c r="D64" s="1" t="s">
        <v>2963</v>
      </c>
      <c r="E64" s="176" t="s">
        <v>2964</v>
      </c>
      <c r="F64" s="216">
        <v>7794334002757</v>
      </c>
      <c r="G64" s="216">
        <v>2</v>
      </c>
      <c r="H64" s="5" t="s">
        <v>1191</v>
      </c>
      <c r="I64" s="204">
        <v>57.5</v>
      </c>
      <c r="J64" s="260">
        <v>0.1</v>
      </c>
      <c r="L64" s="217">
        <f t="shared" si="0"/>
        <v>27197.358693749997</v>
      </c>
      <c r="N64" s="271">
        <f t="shared" si="2"/>
        <v>39436.170105937497</v>
      </c>
      <c r="P64" s="326">
        <f t="shared" si="1"/>
        <v>47717.765828184369</v>
      </c>
    </row>
    <row r="65" spans="1:16">
      <c r="A65" s="206">
        <v>58</v>
      </c>
      <c r="B65" s="175" t="s">
        <v>0</v>
      </c>
      <c r="C65" s="175" t="s">
        <v>2631</v>
      </c>
      <c r="D65" s="1" t="s">
        <v>2965</v>
      </c>
      <c r="E65" s="176" t="s">
        <v>2966</v>
      </c>
      <c r="F65" s="216">
        <v>7794334002764</v>
      </c>
      <c r="G65" s="216">
        <v>2</v>
      </c>
      <c r="H65" s="5" t="s">
        <v>1191</v>
      </c>
      <c r="I65" s="204">
        <v>126.5</v>
      </c>
      <c r="J65" s="260">
        <v>0.1</v>
      </c>
      <c r="L65" s="217">
        <f t="shared" si="0"/>
        <v>59834.189126249999</v>
      </c>
      <c r="N65" s="271">
        <f t="shared" si="2"/>
        <v>86759.574233062493</v>
      </c>
      <c r="P65" s="326">
        <f t="shared" si="1"/>
        <v>104979.08482200561</v>
      </c>
    </row>
    <row r="66" spans="1:16">
      <c r="A66" s="206">
        <v>59</v>
      </c>
      <c r="B66" s="175" t="s">
        <v>0</v>
      </c>
      <c r="C66" s="175" t="s">
        <v>2631</v>
      </c>
      <c r="D66" s="1" t="s">
        <v>2967</v>
      </c>
      <c r="E66" s="176" t="s">
        <v>2968</v>
      </c>
      <c r="F66" s="216">
        <v>7794334002771</v>
      </c>
      <c r="G66" s="216">
        <v>2</v>
      </c>
      <c r="H66" s="5" t="s">
        <v>1191</v>
      </c>
      <c r="I66" s="204">
        <v>26.5</v>
      </c>
      <c r="J66" s="260">
        <v>0.1</v>
      </c>
      <c r="L66" s="217">
        <f t="shared" si="0"/>
        <v>12534.434876249999</v>
      </c>
      <c r="N66" s="271">
        <f t="shared" si="2"/>
        <v>18174.930570562497</v>
      </c>
      <c r="P66" s="326">
        <f t="shared" si="1"/>
        <v>21991.665990380621</v>
      </c>
    </row>
    <row r="67" spans="1:16">
      <c r="A67" s="206">
        <v>60</v>
      </c>
      <c r="B67" s="175" t="s">
        <v>0</v>
      </c>
      <c r="C67" s="175" t="s">
        <v>2631</v>
      </c>
      <c r="D67" s="1" t="s">
        <v>2969</v>
      </c>
      <c r="E67" s="176" t="s">
        <v>2970</v>
      </c>
      <c r="F67" s="216">
        <v>7794334002788</v>
      </c>
      <c r="G67" s="216">
        <v>2</v>
      </c>
      <c r="H67" s="5" t="s">
        <v>1191</v>
      </c>
      <c r="I67" s="204">
        <v>44</v>
      </c>
      <c r="J67" s="260">
        <v>0.1</v>
      </c>
      <c r="L67" s="217">
        <f t="shared" si="0"/>
        <v>20811.891869999999</v>
      </c>
      <c r="N67" s="271">
        <f t="shared" si="2"/>
        <v>30177.243211499997</v>
      </c>
      <c r="P67" s="326">
        <f t="shared" si="1"/>
        <v>36514.464285914997</v>
      </c>
    </row>
    <row r="68" spans="1:16">
      <c r="A68" s="206">
        <v>61</v>
      </c>
      <c r="B68" s="175" t="s">
        <v>0</v>
      </c>
      <c r="C68" s="175" t="s">
        <v>2631</v>
      </c>
      <c r="D68" s="1" t="s">
        <v>2971</v>
      </c>
      <c r="E68" s="176" t="s">
        <v>2972</v>
      </c>
      <c r="F68" s="216">
        <v>7794334002795</v>
      </c>
      <c r="G68" s="216">
        <v>2</v>
      </c>
      <c r="H68" s="5" t="s">
        <v>1191</v>
      </c>
      <c r="I68" s="204">
        <v>124.3</v>
      </c>
      <c r="J68" s="260">
        <v>0.1</v>
      </c>
      <c r="L68" s="217">
        <f t="shared" si="0"/>
        <v>58793.594532750001</v>
      </c>
      <c r="N68" s="271">
        <f t="shared" si="2"/>
        <v>85250.712072487499</v>
      </c>
      <c r="P68" s="326">
        <f t="shared" si="1"/>
        <v>103153.36160770987</v>
      </c>
    </row>
    <row r="69" spans="1:16">
      <c r="A69" s="206">
        <v>62</v>
      </c>
      <c r="B69" s="175" t="s">
        <v>0</v>
      </c>
      <c r="C69" s="175" t="s">
        <v>2973</v>
      </c>
      <c r="D69" s="2" t="s">
        <v>2974</v>
      </c>
      <c r="E69" s="177" t="s">
        <v>2975</v>
      </c>
      <c r="F69" s="218">
        <v>7794334002849</v>
      </c>
      <c r="G69" s="216">
        <v>2</v>
      </c>
      <c r="H69" s="5" t="s">
        <v>1191</v>
      </c>
      <c r="I69" s="204">
        <v>117.9</v>
      </c>
      <c r="J69" s="260">
        <v>0.1</v>
      </c>
      <c r="L69" s="217">
        <f t="shared" si="0"/>
        <v>55766.410260749995</v>
      </c>
      <c r="N69" s="271">
        <f t="shared" si="2"/>
        <v>80861.294878087487</v>
      </c>
      <c r="P69" s="326">
        <f t="shared" si="1"/>
        <v>97842.166802485852</v>
      </c>
    </row>
    <row r="70" spans="1:16">
      <c r="A70" s="206">
        <v>63</v>
      </c>
      <c r="B70" s="175" t="s">
        <v>0</v>
      </c>
      <c r="C70" s="175" t="s">
        <v>2973</v>
      </c>
      <c r="D70" s="2" t="s">
        <v>2976</v>
      </c>
      <c r="E70" s="177" t="s">
        <v>2977</v>
      </c>
      <c r="F70" s="218">
        <v>7794334002856</v>
      </c>
      <c r="G70" s="216">
        <v>2</v>
      </c>
      <c r="H70" s="5" t="s">
        <v>1191</v>
      </c>
      <c r="I70" s="204">
        <v>151</v>
      </c>
      <c r="J70" s="260">
        <v>0.1</v>
      </c>
      <c r="L70" s="217">
        <f t="shared" si="0"/>
        <v>71422.628917499998</v>
      </c>
      <c r="N70" s="271">
        <f t="shared" si="2"/>
        <v>103562.811930375</v>
      </c>
      <c r="P70" s="326">
        <f t="shared" si="1"/>
        <v>125311.00243575375</v>
      </c>
    </row>
    <row r="71" spans="1:16">
      <c r="A71" s="206">
        <v>64</v>
      </c>
      <c r="B71" s="175" t="s">
        <v>0</v>
      </c>
      <c r="C71" s="175" t="s">
        <v>2973</v>
      </c>
      <c r="D71" s="2" t="s">
        <v>2978</v>
      </c>
      <c r="E71" s="177" t="s">
        <v>2979</v>
      </c>
      <c r="F71" s="218">
        <v>7794334002863</v>
      </c>
      <c r="G71" s="216">
        <v>2</v>
      </c>
      <c r="H71" s="5" t="s">
        <v>1191</v>
      </c>
      <c r="I71" s="204">
        <v>115</v>
      </c>
      <c r="J71" s="260">
        <v>0.1</v>
      </c>
      <c r="L71" s="217">
        <f t="shared" si="0"/>
        <v>54394.717387499993</v>
      </c>
      <c r="N71" s="271">
        <f t="shared" si="2"/>
        <v>78872.340211874995</v>
      </c>
      <c r="P71" s="326">
        <f t="shared" si="1"/>
        <v>95435.531656368737</v>
      </c>
    </row>
    <row r="72" spans="1:16">
      <c r="A72" s="206">
        <v>65</v>
      </c>
      <c r="B72" s="175" t="s">
        <v>0</v>
      </c>
      <c r="C72" s="175" t="s">
        <v>2973</v>
      </c>
      <c r="D72" s="2" t="s">
        <v>2980</v>
      </c>
      <c r="E72" s="177" t="s">
        <v>2981</v>
      </c>
      <c r="F72" s="218">
        <v>7794334002870</v>
      </c>
      <c r="G72" s="216">
        <v>2</v>
      </c>
      <c r="H72" s="5" t="s">
        <v>1191</v>
      </c>
      <c r="I72" s="204">
        <v>148.19999999999999</v>
      </c>
      <c r="J72" s="260">
        <v>0.1</v>
      </c>
      <c r="L72" s="217">
        <f t="shared" ref="L72:L135" si="3">+I72*$F$2*$F$3*$F$4*$F$5</f>
        <v>70098.235798499998</v>
      </c>
      <c r="N72" s="271">
        <f t="shared" si="2"/>
        <v>101642.44190782499</v>
      </c>
      <c r="P72" s="326">
        <f t="shared" si="1"/>
        <v>122987.35470846824</v>
      </c>
    </row>
    <row r="73" spans="1:16">
      <c r="A73" s="206">
        <v>66</v>
      </c>
      <c r="B73" s="175" t="s">
        <v>0</v>
      </c>
      <c r="C73" s="175" t="s">
        <v>2973</v>
      </c>
      <c r="D73" s="2" t="s">
        <v>2982</v>
      </c>
      <c r="E73" s="177" t="s">
        <v>2983</v>
      </c>
      <c r="F73" s="218">
        <v>7794334002801</v>
      </c>
      <c r="G73" s="216">
        <v>2</v>
      </c>
      <c r="H73" s="5" t="s">
        <v>1191</v>
      </c>
      <c r="I73" s="204">
        <v>119.5</v>
      </c>
      <c r="J73" s="260">
        <v>0.1</v>
      </c>
      <c r="L73" s="217">
        <f t="shared" si="3"/>
        <v>56523.206328749991</v>
      </c>
      <c r="N73" s="271">
        <f t="shared" ref="N73:N136" si="4">+L73*1.45</f>
        <v>81958.649176687482</v>
      </c>
      <c r="P73" s="326">
        <f t="shared" ref="P73:P136" si="5">+N73*1.21</f>
        <v>99169.965503791856</v>
      </c>
    </row>
    <row r="74" spans="1:16">
      <c r="A74" s="206">
        <v>67</v>
      </c>
      <c r="B74" s="175" t="s">
        <v>0</v>
      </c>
      <c r="C74" s="175" t="s">
        <v>2973</v>
      </c>
      <c r="D74" s="2" t="s">
        <v>2984</v>
      </c>
      <c r="E74" s="177" t="s">
        <v>2985</v>
      </c>
      <c r="F74" s="218">
        <v>7794334002818</v>
      </c>
      <c r="G74" s="216">
        <v>2</v>
      </c>
      <c r="H74" s="5" t="s">
        <v>1191</v>
      </c>
      <c r="I74" s="204">
        <v>150.80000000000001</v>
      </c>
      <c r="J74" s="260">
        <v>0.1</v>
      </c>
      <c r="L74" s="217">
        <f t="shared" si="3"/>
        <v>71328.029408999995</v>
      </c>
      <c r="N74" s="271">
        <f t="shared" si="4"/>
        <v>103425.64264304999</v>
      </c>
      <c r="P74" s="326">
        <f t="shared" si="5"/>
        <v>125145.02759809048</v>
      </c>
    </row>
    <row r="75" spans="1:16">
      <c r="A75" s="206">
        <v>68</v>
      </c>
      <c r="B75" s="175" t="s">
        <v>0</v>
      </c>
      <c r="C75" s="175" t="s">
        <v>2973</v>
      </c>
      <c r="D75" s="2" t="s">
        <v>2986</v>
      </c>
      <c r="E75" s="177" t="s">
        <v>2987</v>
      </c>
      <c r="F75" s="218">
        <v>7794334002825</v>
      </c>
      <c r="G75" s="216">
        <v>2</v>
      </c>
      <c r="H75" s="5" t="s">
        <v>1191</v>
      </c>
      <c r="I75" s="204">
        <v>153.5</v>
      </c>
      <c r="J75" s="260">
        <v>0.1</v>
      </c>
      <c r="L75" s="217">
        <f t="shared" si="3"/>
        <v>72605.122773750001</v>
      </c>
      <c r="N75" s="271">
        <f t="shared" si="4"/>
        <v>105277.42802193749</v>
      </c>
      <c r="P75" s="326">
        <f t="shared" si="5"/>
        <v>127385.68790654436</v>
      </c>
    </row>
    <row r="76" spans="1:16">
      <c r="A76" s="206">
        <v>69</v>
      </c>
      <c r="B76" s="175" t="s">
        <v>0</v>
      </c>
      <c r="C76" s="175" t="s">
        <v>2973</v>
      </c>
      <c r="D76" s="2" t="s">
        <v>2988</v>
      </c>
      <c r="E76" s="177" t="s">
        <v>2989</v>
      </c>
      <c r="F76" s="218">
        <v>7794334002832</v>
      </c>
      <c r="G76" s="216">
        <v>2</v>
      </c>
      <c r="H76" s="5" t="s">
        <v>1191</v>
      </c>
      <c r="I76" s="204">
        <v>178</v>
      </c>
      <c r="J76" s="260">
        <v>0.1</v>
      </c>
      <c r="L76" s="217">
        <f t="shared" si="3"/>
        <v>84193.562565</v>
      </c>
      <c r="N76" s="271">
        <f t="shared" si="4"/>
        <v>122080.66571925</v>
      </c>
      <c r="P76" s="326">
        <f t="shared" si="5"/>
        <v>147717.60552029251</v>
      </c>
    </row>
    <row r="77" spans="1:16">
      <c r="A77" s="206">
        <v>70</v>
      </c>
      <c r="B77" s="175" t="s">
        <v>0</v>
      </c>
      <c r="C77" s="175" t="s">
        <v>2973</v>
      </c>
      <c r="D77" s="2" t="s">
        <v>2990</v>
      </c>
      <c r="E77" s="177" t="s">
        <v>2991</v>
      </c>
      <c r="F77" s="218">
        <v>7794334010301</v>
      </c>
      <c r="G77" s="216">
        <v>2</v>
      </c>
      <c r="H77" s="5" t="s">
        <v>1191</v>
      </c>
      <c r="I77" s="204">
        <v>94.5</v>
      </c>
      <c r="J77" s="260">
        <v>0.1</v>
      </c>
      <c r="L77" s="217">
        <f t="shared" si="3"/>
        <v>44698.267766249999</v>
      </c>
      <c r="N77" s="271">
        <f t="shared" si="4"/>
        <v>64812.488261062499</v>
      </c>
      <c r="P77" s="326">
        <f t="shared" si="5"/>
        <v>78423.110795885616</v>
      </c>
    </row>
    <row r="78" spans="1:16">
      <c r="A78" s="206">
        <v>71</v>
      </c>
      <c r="B78" s="175" t="s">
        <v>0</v>
      </c>
      <c r="C78" s="175" t="s">
        <v>2973</v>
      </c>
      <c r="D78" s="2" t="s">
        <v>2992</v>
      </c>
      <c r="E78" s="177" t="s">
        <v>2993</v>
      </c>
      <c r="F78" s="218">
        <v>7794334010318</v>
      </c>
      <c r="G78" s="216">
        <v>2</v>
      </c>
      <c r="H78" s="5" t="s">
        <v>1191</v>
      </c>
      <c r="I78" s="204">
        <v>109.5</v>
      </c>
      <c r="J78" s="260">
        <v>0.1</v>
      </c>
      <c r="L78" s="217">
        <f t="shared" si="3"/>
        <v>51793.230903750002</v>
      </c>
      <c r="N78" s="271">
        <f t="shared" si="4"/>
        <v>75100.184810437495</v>
      </c>
      <c r="P78" s="326">
        <f t="shared" si="5"/>
        <v>90871.22362062936</v>
      </c>
    </row>
    <row r="79" spans="1:16">
      <c r="A79" s="206">
        <v>72</v>
      </c>
      <c r="B79" s="175" t="s">
        <v>0</v>
      </c>
      <c r="C79" s="175" t="s">
        <v>2973</v>
      </c>
      <c r="D79" s="2" t="s">
        <v>2994</v>
      </c>
      <c r="E79" s="177" t="s">
        <v>2995</v>
      </c>
      <c r="F79" s="218">
        <v>7794334002931</v>
      </c>
      <c r="G79" s="216">
        <v>2</v>
      </c>
      <c r="H79" s="5" t="s">
        <v>1191</v>
      </c>
      <c r="I79" s="204">
        <v>126.9</v>
      </c>
      <c r="J79" s="260">
        <v>0.1</v>
      </c>
      <c r="L79" s="217">
        <f t="shared" si="3"/>
        <v>60023.388143249998</v>
      </c>
      <c r="N79" s="271">
        <f t="shared" si="4"/>
        <v>87033.912807712491</v>
      </c>
      <c r="P79" s="326">
        <f t="shared" si="5"/>
        <v>105311.0344973321</v>
      </c>
    </row>
    <row r="80" spans="1:16">
      <c r="A80" s="206">
        <v>73</v>
      </c>
      <c r="B80" s="175" t="s">
        <v>0</v>
      </c>
      <c r="C80" s="175" t="s">
        <v>2973</v>
      </c>
      <c r="D80" s="2" t="s">
        <v>2996</v>
      </c>
      <c r="E80" s="177" t="s">
        <v>2997</v>
      </c>
      <c r="F80" s="218">
        <v>7794334002948</v>
      </c>
      <c r="G80" s="216">
        <v>2</v>
      </c>
      <c r="H80" s="5" t="s">
        <v>1191</v>
      </c>
      <c r="I80" s="204">
        <v>146.5</v>
      </c>
      <c r="J80" s="260">
        <v>0.1</v>
      </c>
      <c r="L80" s="217">
        <f t="shared" si="3"/>
        <v>69294.139976249993</v>
      </c>
      <c r="N80" s="271">
        <f t="shared" si="4"/>
        <v>100476.50296556248</v>
      </c>
      <c r="P80" s="326">
        <f t="shared" si="5"/>
        <v>121576.5685883306</v>
      </c>
    </row>
    <row r="81" spans="1:16">
      <c r="A81" s="206">
        <v>74</v>
      </c>
      <c r="B81" s="175" t="s">
        <v>0</v>
      </c>
      <c r="C81" s="175" t="s">
        <v>2973</v>
      </c>
      <c r="D81" s="2" t="s">
        <v>2998</v>
      </c>
      <c r="E81" s="177" t="s">
        <v>2999</v>
      </c>
      <c r="F81" s="218">
        <v>7794334002955</v>
      </c>
      <c r="G81" s="216">
        <v>2</v>
      </c>
      <c r="H81" s="5" t="s">
        <v>1191</v>
      </c>
      <c r="I81" s="204">
        <v>111.5</v>
      </c>
      <c r="J81" s="260">
        <v>0.1</v>
      </c>
      <c r="L81" s="217">
        <f t="shared" si="3"/>
        <v>52739.225988749997</v>
      </c>
      <c r="N81" s="271">
        <f t="shared" si="4"/>
        <v>76471.877683687489</v>
      </c>
      <c r="P81" s="326">
        <f t="shared" si="5"/>
        <v>92530.971997261862</v>
      </c>
    </row>
    <row r="82" spans="1:16">
      <c r="A82" s="206">
        <v>75</v>
      </c>
      <c r="B82" s="175" t="s">
        <v>0</v>
      </c>
      <c r="C82" s="175" t="s">
        <v>2973</v>
      </c>
      <c r="D82" s="219" t="s">
        <v>3000</v>
      </c>
      <c r="E82" s="220" t="s">
        <v>3001</v>
      </c>
      <c r="F82" s="218">
        <v>7794334241767</v>
      </c>
      <c r="G82" s="216">
        <v>2</v>
      </c>
      <c r="H82" s="5" t="s">
        <v>1191</v>
      </c>
      <c r="I82" s="204">
        <v>81</v>
      </c>
      <c r="J82" s="260">
        <v>0.1</v>
      </c>
      <c r="L82" s="217">
        <f t="shared" si="3"/>
        <v>38312.800942499998</v>
      </c>
      <c r="N82" s="271">
        <f t="shared" si="4"/>
        <v>55553.561366624999</v>
      </c>
      <c r="P82" s="326">
        <f t="shared" si="5"/>
        <v>67219.809253616244</v>
      </c>
    </row>
    <row r="83" spans="1:16">
      <c r="A83" s="206">
        <v>76</v>
      </c>
      <c r="B83" s="175" t="s">
        <v>0</v>
      </c>
      <c r="C83" s="175" t="s">
        <v>2973</v>
      </c>
      <c r="D83" s="219" t="s">
        <v>3002</v>
      </c>
      <c r="E83" s="220" t="s">
        <v>3003</v>
      </c>
      <c r="F83" s="218">
        <v>7794334241774</v>
      </c>
      <c r="G83" s="216">
        <v>2</v>
      </c>
      <c r="H83" s="5" t="s">
        <v>1191</v>
      </c>
      <c r="I83" s="204">
        <v>107</v>
      </c>
      <c r="J83" s="260">
        <v>0.1</v>
      </c>
      <c r="L83" s="217">
        <f t="shared" si="3"/>
        <v>50610.737047499999</v>
      </c>
      <c r="N83" s="271">
        <f t="shared" si="4"/>
        <v>73385.568718875002</v>
      </c>
      <c r="P83" s="326">
        <f t="shared" si="5"/>
        <v>88796.538149838743</v>
      </c>
    </row>
    <row r="84" spans="1:16">
      <c r="A84" s="206">
        <v>77</v>
      </c>
      <c r="B84" s="175" t="s">
        <v>0</v>
      </c>
      <c r="C84" s="175" t="s">
        <v>2973</v>
      </c>
      <c r="D84" s="2" t="s">
        <v>3004</v>
      </c>
      <c r="E84" s="220" t="s">
        <v>3005</v>
      </c>
      <c r="F84" s="218">
        <v>7794334241781</v>
      </c>
      <c r="G84" s="216">
        <v>2</v>
      </c>
      <c r="H84" s="5" t="s">
        <v>1191</v>
      </c>
      <c r="I84" s="204">
        <v>117</v>
      </c>
      <c r="J84" s="260">
        <v>0.1</v>
      </c>
      <c r="L84" s="217">
        <f t="shared" si="3"/>
        <v>55340.712472499996</v>
      </c>
      <c r="N84" s="271">
        <f t="shared" si="4"/>
        <v>80244.033085124989</v>
      </c>
      <c r="P84" s="326">
        <f t="shared" si="5"/>
        <v>97095.28003300124</v>
      </c>
    </row>
    <row r="85" spans="1:16">
      <c r="A85" s="206">
        <v>78</v>
      </c>
      <c r="B85" s="175" t="s">
        <v>0</v>
      </c>
      <c r="C85" s="175" t="s">
        <v>2973</v>
      </c>
      <c r="D85" s="2" t="s">
        <v>3006</v>
      </c>
      <c r="E85" s="220" t="s">
        <v>3007</v>
      </c>
      <c r="F85" s="218">
        <v>7794334241798</v>
      </c>
      <c r="G85" s="216">
        <v>2</v>
      </c>
      <c r="H85" s="5" t="s">
        <v>1191</v>
      </c>
      <c r="I85" s="204">
        <v>145.9</v>
      </c>
      <c r="J85" s="260">
        <v>0.1</v>
      </c>
      <c r="L85" s="217">
        <f t="shared" si="3"/>
        <v>69010.341450749998</v>
      </c>
      <c r="N85" s="271">
        <f t="shared" si="4"/>
        <v>100064.9951035875</v>
      </c>
      <c r="P85" s="326">
        <f t="shared" si="5"/>
        <v>121078.64407534087</v>
      </c>
    </row>
    <row r="86" spans="1:16">
      <c r="A86" s="206">
        <v>79</v>
      </c>
      <c r="B86" s="175" t="s">
        <v>0</v>
      </c>
      <c r="C86" s="175" t="s">
        <v>2632</v>
      </c>
      <c r="D86" s="1" t="s">
        <v>111</v>
      </c>
      <c r="E86" s="176" t="s">
        <v>112</v>
      </c>
      <c r="F86" s="216">
        <v>7794334008827</v>
      </c>
      <c r="G86" s="216">
        <v>2</v>
      </c>
      <c r="H86" s="5" t="s">
        <v>1191</v>
      </c>
      <c r="I86" s="204">
        <v>299.5</v>
      </c>
      <c r="J86" s="260">
        <v>0.1</v>
      </c>
      <c r="L86" s="217">
        <f t="shared" si="3"/>
        <v>141662.76397875001</v>
      </c>
      <c r="N86" s="271">
        <f t="shared" si="4"/>
        <v>205411.0077691875</v>
      </c>
      <c r="P86" s="326">
        <f t="shared" si="5"/>
        <v>248547.31940071686</v>
      </c>
    </row>
    <row r="87" spans="1:16">
      <c r="A87" s="206">
        <v>80</v>
      </c>
      <c r="B87" s="175" t="s">
        <v>0</v>
      </c>
      <c r="C87" s="175" t="s">
        <v>2632</v>
      </c>
      <c r="D87" s="1" t="s">
        <v>113</v>
      </c>
      <c r="E87" s="176" t="s">
        <v>114</v>
      </c>
      <c r="F87" s="216">
        <v>7794334008834</v>
      </c>
      <c r="G87" s="216">
        <v>2</v>
      </c>
      <c r="H87" s="5" t="s">
        <v>1191</v>
      </c>
      <c r="I87" s="204">
        <v>359.9</v>
      </c>
      <c r="J87" s="260">
        <v>0.1</v>
      </c>
      <c r="L87" s="217">
        <f t="shared" si="3"/>
        <v>170231.81554575</v>
      </c>
      <c r="N87" s="271">
        <f t="shared" si="4"/>
        <v>246836.13254133749</v>
      </c>
      <c r="P87" s="326">
        <f t="shared" si="5"/>
        <v>298671.72037501837</v>
      </c>
    </row>
    <row r="88" spans="1:16">
      <c r="A88" s="206">
        <v>81</v>
      </c>
      <c r="B88" s="175" t="s">
        <v>0</v>
      </c>
      <c r="C88" s="175" t="s">
        <v>2632</v>
      </c>
      <c r="D88" s="1" t="s">
        <v>115</v>
      </c>
      <c r="E88" s="176" t="s">
        <v>116</v>
      </c>
      <c r="F88" s="216">
        <v>7794334008841</v>
      </c>
      <c r="G88" s="216">
        <v>2</v>
      </c>
      <c r="H88" s="5" t="s">
        <v>1191</v>
      </c>
      <c r="I88" s="204">
        <v>437.9</v>
      </c>
      <c r="J88" s="260">
        <v>0.1</v>
      </c>
      <c r="L88" s="217">
        <f t="shared" si="3"/>
        <v>207125.62386075</v>
      </c>
      <c r="N88" s="271">
        <f t="shared" si="4"/>
        <v>300332.15459808748</v>
      </c>
      <c r="P88" s="326">
        <f t="shared" si="5"/>
        <v>363401.90706368582</v>
      </c>
    </row>
    <row r="89" spans="1:16">
      <c r="A89" s="206">
        <v>82</v>
      </c>
      <c r="B89" s="175" t="s">
        <v>0</v>
      </c>
      <c r="C89" s="175" t="s">
        <v>2632</v>
      </c>
      <c r="D89" s="1" t="s">
        <v>117</v>
      </c>
      <c r="E89" s="176" t="s">
        <v>118</v>
      </c>
      <c r="F89" s="216">
        <v>7794334008858</v>
      </c>
      <c r="G89" s="216">
        <v>2</v>
      </c>
      <c r="H89" s="5" t="s">
        <v>1191</v>
      </c>
      <c r="I89" s="204">
        <v>348</v>
      </c>
      <c r="J89" s="260">
        <v>0.1</v>
      </c>
      <c r="L89" s="217">
        <f t="shared" si="3"/>
        <v>164603.14478999999</v>
      </c>
      <c r="N89" s="271">
        <f t="shared" si="4"/>
        <v>238674.55994549999</v>
      </c>
      <c r="P89" s="326">
        <f t="shared" si="5"/>
        <v>288796.217534055</v>
      </c>
    </row>
    <row r="90" spans="1:16">
      <c r="A90" s="206">
        <v>83</v>
      </c>
      <c r="B90" s="175" t="s">
        <v>0</v>
      </c>
      <c r="C90" s="175" t="s">
        <v>2632</v>
      </c>
      <c r="D90" s="1" t="s">
        <v>119</v>
      </c>
      <c r="E90" s="176" t="s">
        <v>120</v>
      </c>
      <c r="F90" s="216">
        <v>7794334008865</v>
      </c>
      <c r="G90" s="216">
        <v>2</v>
      </c>
      <c r="H90" s="5" t="s">
        <v>1191</v>
      </c>
      <c r="I90" s="204">
        <v>348</v>
      </c>
      <c r="J90" s="260">
        <v>0.1</v>
      </c>
      <c r="L90" s="217">
        <f t="shared" si="3"/>
        <v>164603.14478999999</v>
      </c>
      <c r="N90" s="271">
        <f t="shared" si="4"/>
        <v>238674.55994549999</v>
      </c>
      <c r="P90" s="326">
        <f t="shared" si="5"/>
        <v>288796.217534055</v>
      </c>
    </row>
    <row r="91" spans="1:16">
      <c r="A91" s="206">
        <v>84</v>
      </c>
      <c r="B91" s="175" t="s">
        <v>0</v>
      </c>
      <c r="C91" s="175" t="s">
        <v>2632</v>
      </c>
      <c r="D91" s="1" t="s">
        <v>121</v>
      </c>
      <c r="E91" s="176" t="s">
        <v>122</v>
      </c>
      <c r="F91" s="216">
        <v>7794334008872</v>
      </c>
      <c r="G91" s="216">
        <v>2</v>
      </c>
      <c r="H91" s="5" t="s">
        <v>1191</v>
      </c>
      <c r="I91" s="204">
        <v>412.8</v>
      </c>
      <c r="J91" s="260">
        <v>0.1</v>
      </c>
      <c r="L91" s="217">
        <f t="shared" si="3"/>
        <v>195253.38554400002</v>
      </c>
      <c r="N91" s="271">
        <f t="shared" si="4"/>
        <v>283117.40903880005</v>
      </c>
      <c r="P91" s="326">
        <f t="shared" si="5"/>
        <v>342572.06493694807</v>
      </c>
    </row>
    <row r="92" spans="1:16">
      <c r="A92" s="206">
        <v>85</v>
      </c>
      <c r="B92" s="175" t="s">
        <v>0</v>
      </c>
      <c r="C92" s="175" t="s">
        <v>2632</v>
      </c>
      <c r="D92" s="1" t="s">
        <v>123</v>
      </c>
      <c r="E92" s="176" t="s">
        <v>124</v>
      </c>
      <c r="F92" s="216">
        <v>7794334008889</v>
      </c>
      <c r="G92" s="216">
        <v>2</v>
      </c>
      <c r="H92" s="5" t="s">
        <v>1191</v>
      </c>
      <c r="I92" s="204">
        <v>412.8</v>
      </c>
      <c r="J92" s="260">
        <v>0.1</v>
      </c>
      <c r="L92" s="217">
        <f t="shared" si="3"/>
        <v>195253.38554400002</v>
      </c>
      <c r="N92" s="271">
        <f t="shared" si="4"/>
        <v>283117.40903880005</v>
      </c>
      <c r="P92" s="326">
        <f t="shared" si="5"/>
        <v>342572.06493694807</v>
      </c>
    </row>
    <row r="93" spans="1:16">
      <c r="A93" s="206">
        <v>86</v>
      </c>
      <c r="B93" s="175" t="s">
        <v>0</v>
      </c>
      <c r="C93" s="175" t="s">
        <v>2632</v>
      </c>
      <c r="D93" s="1" t="s">
        <v>125</v>
      </c>
      <c r="E93" s="176" t="s">
        <v>126</v>
      </c>
      <c r="F93" s="216">
        <v>7794334008896</v>
      </c>
      <c r="G93" s="216">
        <v>2</v>
      </c>
      <c r="H93" s="5" t="s">
        <v>1191</v>
      </c>
      <c r="I93" s="204">
        <v>499.5</v>
      </c>
      <c r="J93" s="260">
        <v>0.1</v>
      </c>
      <c r="L93" s="217">
        <f t="shared" si="3"/>
        <v>236262.27247874998</v>
      </c>
      <c r="N93" s="271">
        <f t="shared" si="4"/>
        <v>342580.29509418743</v>
      </c>
      <c r="P93" s="326">
        <f t="shared" si="5"/>
        <v>414522.15706396679</v>
      </c>
    </row>
    <row r="94" spans="1:16">
      <c r="A94" s="206">
        <v>87</v>
      </c>
      <c r="B94" s="175" t="s">
        <v>0</v>
      </c>
      <c r="C94" s="175" t="s">
        <v>2632</v>
      </c>
      <c r="D94" s="1" t="s">
        <v>127</v>
      </c>
      <c r="E94" s="176" t="s">
        <v>128</v>
      </c>
      <c r="F94" s="216">
        <v>7794334008902</v>
      </c>
      <c r="G94" s="216">
        <v>2</v>
      </c>
      <c r="H94" s="5" t="s">
        <v>1191</v>
      </c>
      <c r="I94" s="204">
        <v>499.5</v>
      </c>
      <c r="J94" s="260">
        <v>0.1</v>
      </c>
      <c r="L94" s="217">
        <f t="shared" si="3"/>
        <v>236262.27247874998</v>
      </c>
      <c r="N94" s="271">
        <f t="shared" si="4"/>
        <v>342580.29509418743</v>
      </c>
      <c r="P94" s="326">
        <f t="shared" si="5"/>
        <v>414522.15706396679</v>
      </c>
    </row>
    <row r="95" spans="1:16">
      <c r="A95" s="206">
        <v>88</v>
      </c>
      <c r="B95" s="175" t="s">
        <v>0</v>
      </c>
      <c r="C95" s="175" t="s">
        <v>2632</v>
      </c>
      <c r="D95" s="1" t="s">
        <v>129</v>
      </c>
      <c r="E95" s="176" t="s">
        <v>130</v>
      </c>
      <c r="F95" s="216">
        <v>7794334008919</v>
      </c>
      <c r="G95" s="216">
        <v>2</v>
      </c>
      <c r="H95" s="5" t="s">
        <v>1191</v>
      </c>
      <c r="I95" s="204">
        <v>588.5</v>
      </c>
      <c r="J95" s="260">
        <v>0.1</v>
      </c>
      <c r="L95" s="217">
        <f t="shared" si="3"/>
        <v>278359.05376124999</v>
      </c>
      <c r="N95" s="271">
        <f t="shared" si="4"/>
        <v>403620.62795381248</v>
      </c>
      <c r="P95" s="326">
        <f t="shared" si="5"/>
        <v>488380.95982411306</v>
      </c>
    </row>
    <row r="96" spans="1:16">
      <c r="A96" s="206">
        <v>89</v>
      </c>
      <c r="B96" s="175" t="s">
        <v>0</v>
      </c>
      <c r="C96" s="175" t="s">
        <v>2632</v>
      </c>
      <c r="D96" s="1" t="s">
        <v>131</v>
      </c>
      <c r="E96" s="176" t="s">
        <v>132</v>
      </c>
      <c r="F96" s="216">
        <v>7794334008926</v>
      </c>
      <c r="G96" s="216">
        <v>2</v>
      </c>
      <c r="H96" s="5" t="s">
        <v>1191</v>
      </c>
      <c r="I96" s="204">
        <v>588.5</v>
      </c>
      <c r="J96" s="260">
        <v>0.1</v>
      </c>
      <c r="L96" s="217">
        <f t="shared" si="3"/>
        <v>278359.05376124999</v>
      </c>
      <c r="N96" s="271">
        <f t="shared" si="4"/>
        <v>403620.62795381248</v>
      </c>
      <c r="P96" s="326">
        <f t="shared" si="5"/>
        <v>488380.95982411306</v>
      </c>
    </row>
    <row r="97" spans="1:17">
      <c r="A97" s="206">
        <v>90</v>
      </c>
      <c r="B97" s="175" t="s">
        <v>0</v>
      </c>
      <c r="C97" s="175" t="s">
        <v>2632</v>
      </c>
      <c r="D97" s="1" t="s">
        <v>133</v>
      </c>
      <c r="E97" s="176" t="s">
        <v>134</v>
      </c>
      <c r="F97" s="216">
        <v>7794334008933</v>
      </c>
      <c r="G97" s="216">
        <v>2</v>
      </c>
      <c r="H97" s="5" t="s">
        <v>1191</v>
      </c>
      <c r="I97" s="204">
        <v>730.2</v>
      </c>
      <c r="J97" s="260">
        <v>0.1</v>
      </c>
      <c r="L97" s="217">
        <f t="shared" si="3"/>
        <v>345382.80553349998</v>
      </c>
      <c r="N97" s="271">
        <f t="shared" si="4"/>
        <v>500805.06802357495</v>
      </c>
      <c r="P97" s="326">
        <f t="shared" si="5"/>
        <v>605974.13230852562</v>
      </c>
    </row>
    <row r="98" spans="1:17">
      <c r="A98" s="206">
        <v>91</v>
      </c>
      <c r="B98" s="175" t="s">
        <v>0</v>
      </c>
      <c r="C98" s="175" t="s">
        <v>2632</v>
      </c>
      <c r="D98" s="1" t="s">
        <v>135</v>
      </c>
      <c r="E98" s="176" t="s">
        <v>136</v>
      </c>
      <c r="F98" s="216">
        <v>7794334008940</v>
      </c>
      <c r="G98" s="216">
        <v>2</v>
      </c>
      <c r="H98" s="5" t="s">
        <v>1191</v>
      </c>
      <c r="I98" s="204">
        <v>730.2</v>
      </c>
      <c r="J98" s="260">
        <v>0.1</v>
      </c>
      <c r="L98" s="217">
        <f t="shared" si="3"/>
        <v>345382.80553349998</v>
      </c>
      <c r="N98" s="271">
        <f t="shared" si="4"/>
        <v>500805.06802357495</v>
      </c>
      <c r="P98" s="326">
        <f t="shared" si="5"/>
        <v>605974.13230852562</v>
      </c>
    </row>
    <row r="99" spans="1:17">
      <c r="A99" s="206">
        <v>92</v>
      </c>
      <c r="B99" s="175" t="s">
        <v>0</v>
      </c>
      <c r="C99" s="175" t="s">
        <v>2632</v>
      </c>
      <c r="D99" s="1" t="s">
        <v>137</v>
      </c>
      <c r="E99" s="176" t="s">
        <v>138</v>
      </c>
      <c r="F99" s="216">
        <v>7794334008957</v>
      </c>
      <c r="G99" s="216">
        <v>2</v>
      </c>
      <c r="H99" s="5" t="s">
        <v>1191</v>
      </c>
      <c r="I99" s="204">
        <v>970</v>
      </c>
      <c r="J99" s="260">
        <v>0.1</v>
      </c>
      <c r="L99" s="217">
        <f t="shared" si="3"/>
        <v>458807.61622499995</v>
      </c>
      <c r="N99" s="271">
        <f t="shared" si="4"/>
        <v>665271.04352624994</v>
      </c>
      <c r="P99" s="326">
        <f t="shared" si="5"/>
        <v>804977.96266676241</v>
      </c>
    </row>
    <row r="100" spans="1:17">
      <c r="A100" s="206">
        <v>93</v>
      </c>
      <c r="B100" s="175" t="s">
        <v>0</v>
      </c>
      <c r="C100" s="175" t="s">
        <v>2632</v>
      </c>
      <c r="D100" s="1" t="s">
        <v>139</v>
      </c>
      <c r="E100" s="176" t="s">
        <v>140</v>
      </c>
      <c r="F100" s="216">
        <v>7794334002962</v>
      </c>
      <c r="G100" s="216">
        <v>2</v>
      </c>
      <c r="H100" s="5" t="s">
        <v>1191</v>
      </c>
      <c r="I100" s="204">
        <v>175</v>
      </c>
      <c r="J100" s="260">
        <v>0.1</v>
      </c>
      <c r="L100" s="217">
        <f t="shared" si="3"/>
        <v>82774.569937499997</v>
      </c>
      <c r="N100" s="271">
        <f t="shared" si="4"/>
        <v>120023.12640937499</v>
      </c>
      <c r="P100" s="326">
        <f t="shared" si="5"/>
        <v>145227.98295534373</v>
      </c>
    </row>
    <row r="101" spans="1:17">
      <c r="A101" s="206">
        <v>94</v>
      </c>
      <c r="B101" s="175" t="s">
        <v>0</v>
      </c>
      <c r="C101" s="175" t="s">
        <v>2632</v>
      </c>
      <c r="D101" s="1" t="s">
        <v>141</v>
      </c>
      <c r="E101" s="176" t="s">
        <v>142</v>
      </c>
      <c r="F101" s="216">
        <v>7794334002979</v>
      </c>
      <c r="G101" s="216">
        <v>2</v>
      </c>
      <c r="H101" s="5" t="s">
        <v>1191</v>
      </c>
      <c r="I101" s="204">
        <v>175</v>
      </c>
      <c r="J101" s="260">
        <v>0.1</v>
      </c>
      <c r="L101" s="217">
        <f t="shared" si="3"/>
        <v>82774.569937499997</v>
      </c>
      <c r="N101" s="271">
        <f t="shared" si="4"/>
        <v>120023.12640937499</v>
      </c>
      <c r="P101" s="326">
        <f t="shared" si="5"/>
        <v>145227.98295534373</v>
      </c>
    </row>
    <row r="102" spans="1:17">
      <c r="A102" s="206">
        <v>95</v>
      </c>
      <c r="B102" s="175" t="s">
        <v>0</v>
      </c>
      <c r="C102" s="175" t="s">
        <v>2632</v>
      </c>
      <c r="D102" s="1" t="s">
        <v>143</v>
      </c>
      <c r="E102" s="176" t="s">
        <v>144</v>
      </c>
      <c r="F102" s="216">
        <v>7794334002986</v>
      </c>
      <c r="G102" s="216">
        <v>2</v>
      </c>
      <c r="H102" s="5" t="s">
        <v>1191</v>
      </c>
      <c r="I102" s="204">
        <v>194.3</v>
      </c>
      <c r="J102" s="260">
        <v>0.1</v>
      </c>
      <c r="L102" s="217">
        <f t="shared" si="3"/>
        <v>91903.422507750001</v>
      </c>
      <c r="N102" s="271">
        <f t="shared" si="4"/>
        <v>133259.9626362375</v>
      </c>
      <c r="P102" s="326">
        <f t="shared" si="5"/>
        <v>161244.55478984737</v>
      </c>
    </row>
    <row r="103" spans="1:17">
      <c r="A103" s="206">
        <v>96</v>
      </c>
      <c r="B103" s="175" t="s">
        <v>0</v>
      </c>
      <c r="C103" s="175" t="s">
        <v>2632</v>
      </c>
      <c r="D103" s="1" t="s">
        <v>145</v>
      </c>
      <c r="E103" s="176" t="s">
        <v>146</v>
      </c>
      <c r="F103" s="216">
        <v>7794334002993</v>
      </c>
      <c r="G103" s="216">
        <v>2</v>
      </c>
      <c r="H103" s="5" t="s">
        <v>1191</v>
      </c>
      <c r="I103" s="204">
        <v>194.3</v>
      </c>
      <c r="J103" s="260">
        <v>0.1</v>
      </c>
      <c r="L103" s="217">
        <f t="shared" si="3"/>
        <v>91903.422507750001</v>
      </c>
      <c r="N103" s="271">
        <f t="shared" si="4"/>
        <v>133259.9626362375</v>
      </c>
      <c r="P103" s="326">
        <f t="shared" si="5"/>
        <v>161244.55478984737</v>
      </c>
    </row>
    <row r="104" spans="1:17">
      <c r="A104" s="206">
        <v>97</v>
      </c>
      <c r="B104" s="175" t="s">
        <v>0</v>
      </c>
      <c r="C104" s="175" t="s">
        <v>2632</v>
      </c>
      <c r="D104" s="1" t="s">
        <v>147</v>
      </c>
      <c r="E104" s="176" t="s">
        <v>148</v>
      </c>
      <c r="F104" s="216">
        <v>7794334003006</v>
      </c>
      <c r="G104" s="216">
        <v>2</v>
      </c>
      <c r="H104" s="5" t="s">
        <v>1191</v>
      </c>
      <c r="I104" s="204">
        <v>243.9</v>
      </c>
      <c r="J104" s="260">
        <v>0.1</v>
      </c>
      <c r="L104" s="217">
        <f t="shared" si="3"/>
        <v>115364.10061574999</v>
      </c>
      <c r="N104" s="271">
        <f t="shared" si="4"/>
        <v>167277.94589283748</v>
      </c>
      <c r="P104" s="326">
        <f t="shared" si="5"/>
        <v>202406.31453033336</v>
      </c>
    </row>
    <row r="105" spans="1:17">
      <c r="A105" s="206">
        <v>98</v>
      </c>
      <c r="B105" s="175" t="s">
        <v>0</v>
      </c>
      <c r="C105" s="175" t="s">
        <v>2632</v>
      </c>
      <c r="D105" s="1" t="s">
        <v>149</v>
      </c>
      <c r="E105" s="176" t="s">
        <v>150</v>
      </c>
      <c r="F105" s="216">
        <v>7794334003013</v>
      </c>
      <c r="G105" s="216">
        <v>2</v>
      </c>
      <c r="H105" s="5" t="s">
        <v>1191</v>
      </c>
      <c r="I105" s="204">
        <v>243.9</v>
      </c>
      <c r="J105" s="260">
        <v>0.1</v>
      </c>
      <c r="L105" s="217">
        <f t="shared" si="3"/>
        <v>115364.10061574999</v>
      </c>
      <c r="N105" s="271">
        <f t="shared" si="4"/>
        <v>167277.94589283748</v>
      </c>
      <c r="P105" s="326">
        <f t="shared" si="5"/>
        <v>202406.31453033336</v>
      </c>
    </row>
    <row r="106" spans="1:17">
      <c r="A106" s="206">
        <v>99</v>
      </c>
      <c r="B106" s="175" t="s">
        <v>0</v>
      </c>
      <c r="C106" s="175" t="s">
        <v>2632</v>
      </c>
      <c r="D106" s="1" t="s">
        <v>151</v>
      </c>
      <c r="E106" s="176" t="s">
        <v>152</v>
      </c>
      <c r="F106" s="216">
        <v>7794334003020</v>
      </c>
      <c r="G106" s="216">
        <v>2</v>
      </c>
      <c r="H106" s="5" t="s">
        <v>1191</v>
      </c>
      <c r="I106" s="204">
        <v>180.5</v>
      </c>
      <c r="J106" s="260">
        <v>0.1</v>
      </c>
      <c r="L106" s="217">
        <f t="shared" si="3"/>
        <v>85376.056421249988</v>
      </c>
      <c r="N106" s="271">
        <f t="shared" si="4"/>
        <v>123795.28181081248</v>
      </c>
      <c r="P106" s="326">
        <f t="shared" si="5"/>
        <v>149792.29099108311</v>
      </c>
    </row>
    <row r="107" spans="1:17">
      <c r="A107" s="206">
        <v>100</v>
      </c>
      <c r="B107" s="175" t="s">
        <v>0</v>
      </c>
      <c r="C107" s="175" t="s">
        <v>2632</v>
      </c>
      <c r="D107" s="1" t="s">
        <v>153</v>
      </c>
      <c r="E107" s="176" t="s">
        <v>154</v>
      </c>
      <c r="F107" s="216">
        <v>7794334003037</v>
      </c>
      <c r="G107" s="216">
        <v>2</v>
      </c>
      <c r="H107" s="5" t="s">
        <v>1191</v>
      </c>
      <c r="I107" s="204">
        <v>180.5</v>
      </c>
      <c r="J107" s="260">
        <v>0.1</v>
      </c>
      <c r="L107" s="217">
        <f t="shared" si="3"/>
        <v>85376.056421249988</v>
      </c>
      <c r="N107" s="271">
        <f t="shared" si="4"/>
        <v>123795.28181081248</v>
      </c>
      <c r="P107" s="326">
        <f t="shared" si="5"/>
        <v>149792.29099108311</v>
      </c>
    </row>
    <row r="108" spans="1:17">
      <c r="A108" s="206">
        <v>101</v>
      </c>
      <c r="B108" s="175" t="s">
        <v>0</v>
      </c>
      <c r="C108" s="175" t="s">
        <v>2632</v>
      </c>
      <c r="D108" s="1" t="s">
        <v>155</v>
      </c>
      <c r="E108" s="176" t="s">
        <v>156</v>
      </c>
      <c r="F108" s="216">
        <v>7794334003044</v>
      </c>
      <c r="G108" s="216">
        <v>2</v>
      </c>
      <c r="H108" s="5" t="s">
        <v>1191</v>
      </c>
      <c r="I108" s="204">
        <v>212</v>
      </c>
      <c r="J108" s="260">
        <v>0.1</v>
      </c>
      <c r="L108" s="217">
        <f t="shared" si="3"/>
        <v>100275.47901</v>
      </c>
      <c r="N108" s="271">
        <f t="shared" si="4"/>
        <v>145399.44456449998</v>
      </c>
      <c r="P108" s="326">
        <f t="shared" si="5"/>
        <v>175933.32792304497</v>
      </c>
    </row>
    <row r="109" spans="1:17">
      <c r="A109" s="206">
        <v>102</v>
      </c>
      <c r="B109" s="175" t="s">
        <v>0</v>
      </c>
      <c r="C109" s="175" t="s">
        <v>2632</v>
      </c>
      <c r="D109" s="1" t="s">
        <v>157</v>
      </c>
      <c r="E109" s="176" t="s">
        <v>158</v>
      </c>
      <c r="F109" s="216">
        <v>7794334003051</v>
      </c>
      <c r="G109" s="216">
        <v>2</v>
      </c>
      <c r="H109" s="5" t="s">
        <v>1191</v>
      </c>
      <c r="I109" s="204">
        <v>212</v>
      </c>
      <c r="J109" s="260">
        <v>0.1</v>
      </c>
      <c r="L109" s="217">
        <f t="shared" si="3"/>
        <v>100275.47901</v>
      </c>
      <c r="N109" s="271">
        <f t="shared" si="4"/>
        <v>145399.44456449998</v>
      </c>
      <c r="P109" s="326">
        <f t="shared" si="5"/>
        <v>175933.32792304497</v>
      </c>
    </row>
    <row r="110" spans="1:17">
      <c r="A110" s="206">
        <v>103</v>
      </c>
      <c r="B110" s="175" t="s">
        <v>0</v>
      </c>
      <c r="C110" s="175" t="s">
        <v>2632</v>
      </c>
      <c r="D110" s="1" t="s">
        <v>159</v>
      </c>
      <c r="E110" s="176" t="s">
        <v>160</v>
      </c>
      <c r="F110" s="216">
        <v>7794334003082</v>
      </c>
      <c r="G110" s="216">
        <v>2</v>
      </c>
      <c r="H110" s="5" t="s">
        <v>1191</v>
      </c>
      <c r="I110" s="204">
        <v>260</v>
      </c>
      <c r="J110" s="260">
        <v>0.1</v>
      </c>
      <c r="L110" s="217">
        <f t="shared" si="3"/>
        <v>122979.36104999999</v>
      </c>
      <c r="N110" s="271">
        <f t="shared" si="4"/>
        <v>178320.0735225</v>
      </c>
      <c r="P110" s="326">
        <f t="shared" si="5"/>
        <v>215767.28896222499</v>
      </c>
      <c r="Q110" s="288">
        <v>260</v>
      </c>
    </row>
    <row r="111" spans="1:17">
      <c r="A111" s="206">
        <v>104</v>
      </c>
      <c r="B111" s="175" t="s">
        <v>0</v>
      </c>
      <c r="C111" s="175" t="s">
        <v>2632</v>
      </c>
      <c r="D111" s="1" t="s">
        <v>161</v>
      </c>
      <c r="E111" s="176" t="s">
        <v>162</v>
      </c>
      <c r="F111" s="216">
        <v>7794334003099</v>
      </c>
      <c r="G111" s="216">
        <v>2</v>
      </c>
      <c r="H111" s="5" t="s">
        <v>1191</v>
      </c>
      <c r="I111" s="204">
        <v>260</v>
      </c>
      <c r="J111" s="260">
        <v>0.1</v>
      </c>
      <c r="L111" s="217">
        <f t="shared" si="3"/>
        <v>122979.36104999999</v>
      </c>
      <c r="N111" s="271">
        <f t="shared" si="4"/>
        <v>178320.0735225</v>
      </c>
      <c r="P111" s="326">
        <f t="shared" si="5"/>
        <v>215767.28896222499</v>
      </c>
    </row>
    <row r="112" spans="1:17">
      <c r="A112" s="206">
        <v>105</v>
      </c>
      <c r="B112" s="175" t="s">
        <v>0</v>
      </c>
      <c r="C112" s="175" t="s">
        <v>2632</v>
      </c>
      <c r="D112" s="1" t="s">
        <v>163</v>
      </c>
      <c r="E112" s="176" t="s">
        <v>164</v>
      </c>
      <c r="F112" s="216">
        <v>7794334003105</v>
      </c>
      <c r="G112" s="216">
        <v>2</v>
      </c>
      <c r="H112" s="5" t="s">
        <v>1191</v>
      </c>
      <c r="I112" s="204">
        <v>398.5</v>
      </c>
      <c r="J112" s="260">
        <v>0.1</v>
      </c>
      <c r="L112" s="217">
        <f t="shared" si="3"/>
        <v>188489.52068625001</v>
      </c>
      <c r="N112" s="271">
        <f t="shared" si="4"/>
        <v>273309.80499506253</v>
      </c>
      <c r="P112" s="326">
        <f t="shared" si="5"/>
        <v>330704.86404402566</v>
      </c>
    </row>
    <row r="113" spans="1:16">
      <c r="A113" s="206">
        <v>106</v>
      </c>
      <c r="B113" s="175" t="s">
        <v>0</v>
      </c>
      <c r="C113" s="175" t="s">
        <v>2632</v>
      </c>
      <c r="D113" s="1" t="s">
        <v>165</v>
      </c>
      <c r="E113" s="176" t="s">
        <v>166</v>
      </c>
      <c r="F113" s="216">
        <v>7794334003112</v>
      </c>
      <c r="G113" s="216">
        <v>2</v>
      </c>
      <c r="H113" s="5" t="s">
        <v>1191</v>
      </c>
      <c r="I113" s="204">
        <v>398.5</v>
      </c>
      <c r="J113" s="260">
        <v>0.1</v>
      </c>
      <c r="L113" s="217">
        <f t="shared" si="3"/>
        <v>188489.52068625001</v>
      </c>
      <c r="N113" s="271">
        <f t="shared" si="4"/>
        <v>273309.80499506253</v>
      </c>
      <c r="P113" s="326">
        <f t="shared" si="5"/>
        <v>330704.86404402566</v>
      </c>
    </row>
    <row r="114" spans="1:16">
      <c r="A114" s="206">
        <v>107</v>
      </c>
      <c r="B114" s="175" t="s">
        <v>0</v>
      </c>
      <c r="C114" s="175" t="s">
        <v>2632</v>
      </c>
      <c r="D114" s="1" t="s">
        <v>167</v>
      </c>
      <c r="E114" s="176" t="s">
        <v>168</v>
      </c>
      <c r="F114" s="216">
        <v>7794334003129</v>
      </c>
      <c r="G114" s="216">
        <v>2</v>
      </c>
      <c r="H114" s="5" t="s">
        <v>1191</v>
      </c>
      <c r="I114" s="204">
        <v>379.5</v>
      </c>
      <c r="J114" s="260">
        <v>0.1</v>
      </c>
      <c r="L114" s="217">
        <f t="shared" si="3"/>
        <v>179502.56737875001</v>
      </c>
      <c r="N114" s="271">
        <f t="shared" si="4"/>
        <v>260278.72269918752</v>
      </c>
      <c r="P114" s="326">
        <f t="shared" si="5"/>
        <v>314937.25446601689</v>
      </c>
    </row>
    <row r="115" spans="1:16">
      <c r="A115" s="206">
        <v>108</v>
      </c>
      <c r="B115" s="175" t="s">
        <v>0</v>
      </c>
      <c r="C115" s="175" t="s">
        <v>2632</v>
      </c>
      <c r="D115" s="1" t="s">
        <v>169</v>
      </c>
      <c r="E115" s="176" t="s">
        <v>170</v>
      </c>
      <c r="F115" s="216">
        <v>7794334003136</v>
      </c>
      <c r="G115" s="216">
        <v>2</v>
      </c>
      <c r="H115" s="5" t="s">
        <v>1191</v>
      </c>
      <c r="I115" s="204">
        <v>379.5</v>
      </c>
      <c r="J115" s="260">
        <v>0.1</v>
      </c>
      <c r="L115" s="217">
        <f t="shared" si="3"/>
        <v>179502.56737875001</v>
      </c>
      <c r="N115" s="271">
        <f t="shared" si="4"/>
        <v>260278.72269918752</v>
      </c>
      <c r="P115" s="326">
        <f t="shared" si="5"/>
        <v>314937.25446601689</v>
      </c>
    </row>
    <row r="116" spans="1:16">
      <c r="A116" s="206">
        <v>109</v>
      </c>
      <c r="B116" s="175" t="s">
        <v>0</v>
      </c>
      <c r="C116" s="175" t="s">
        <v>2632</v>
      </c>
      <c r="D116" s="1" t="s">
        <v>171</v>
      </c>
      <c r="E116" s="176" t="s">
        <v>172</v>
      </c>
      <c r="F116" s="216">
        <v>7794334003143</v>
      </c>
      <c r="G116" s="216">
        <v>2</v>
      </c>
      <c r="H116" s="5" t="s">
        <v>1191</v>
      </c>
      <c r="I116" s="204">
        <v>470</v>
      </c>
      <c r="J116" s="260">
        <v>0.1</v>
      </c>
      <c r="L116" s="217">
        <f t="shared" si="3"/>
        <v>222308.84497499999</v>
      </c>
      <c r="N116" s="271">
        <f t="shared" si="4"/>
        <v>322347.82521374995</v>
      </c>
      <c r="P116" s="326">
        <f t="shared" si="5"/>
        <v>390040.86850863742</v>
      </c>
    </row>
    <row r="117" spans="1:16">
      <c r="A117" s="206">
        <v>110</v>
      </c>
      <c r="B117" s="175" t="s">
        <v>0</v>
      </c>
      <c r="C117" s="175" t="s">
        <v>2632</v>
      </c>
      <c r="D117" s="1" t="s">
        <v>173</v>
      </c>
      <c r="E117" s="176" t="s">
        <v>174</v>
      </c>
      <c r="F117" s="216">
        <v>7794334003150</v>
      </c>
      <c r="G117" s="216">
        <v>2</v>
      </c>
      <c r="H117" s="5" t="s">
        <v>1191</v>
      </c>
      <c r="I117" s="204">
        <v>470</v>
      </c>
      <c r="J117" s="260">
        <v>0.1</v>
      </c>
      <c r="L117" s="217">
        <f t="shared" si="3"/>
        <v>222308.84497499999</v>
      </c>
      <c r="N117" s="271">
        <f t="shared" si="4"/>
        <v>322347.82521374995</v>
      </c>
      <c r="P117" s="326">
        <f t="shared" si="5"/>
        <v>390040.86850863742</v>
      </c>
    </row>
    <row r="118" spans="1:16">
      <c r="A118" s="206">
        <v>111</v>
      </c>
      <c r="B118" s="175" t="s">
        <v>0</v>
      </c>
      <c r="C118" s="175" t="s">
        <v>2632</v>
      </c>
      <c r="D118" s="1" t="s">
        <v>175</v>
      </c>
      <c r="E118" s="176" t="s">
        <v>176</v>
      </c>
      <c r="F118" s="216">
        <v>7794334003167</v>
      </c>
      <c r="G118" s="216">
        <v>2</v>
      </c>
      <c r="H118" s="5" t="s">
        <v>1191</v>
      </c>
      <c r="I118" s="204">
        <v>416.5</v>
      </c>
      <c r="J118" s="260">
        <v>0.1</v>
      </c>
      <c r="L118" s="217">
        <f t="shared" si="3"/>
        <v>197003.47645125</v>
      </c>
      <c r="N118" s="271">
        <f t="shared" si="4"/>
        <v>285655.04085431248</v>
      </c>
      <c r="P118" s="326">
        <f t="shared" si="5"/>
        <v>345642.59943371807</v>
      </c>
    </row>
    <row r="119" spans="1:16">
      <c r="A119" s="206">
        <v>112</v>
      </c>
      <c r="B119" s="175" t="s">
        <v>0</v>
      </c>
      <c r="C119" s="175" t="s">
        <v>2632</v>
      </c>
      <c r="D119" s="1" t="s">
        <v>177</v>
      </c>
      <c r="E119" s="176" t="s">
        <v>178</v>
      </c>
      <c r="F119" s="216">
        <v>7794334003174</v>
      </c>
      <c r="G119" s="216">
        <v>2</v>
      </c>
      <c r="H119" s="5" t="s">
        <v>1191</v>
      </c>
      <c r="I119" s="204">
        <v>416.5</v>
      </c>
      <c r="J119" s="260">
        <v>0.1</v>
      </c>
      <c r="L119" s="217">
        <f t="shared" si="3"/>
        <v>197003.47645125</v>
      </c>
      <c r="N119" s="271">
        <f t="shared" si="4"/>
        <v>285655.04085431248</v>
      </c>
      <c r="P119" s="326">
        <f t="shared" si="5"/>
        <v>345642.59943371807</v>
      </c>
    </row>
    <row r="120" spans="1:16">
      <c r="A120" s="206">
        <v>113</v>
      </c>
      <c r="B120" s="175" t="s">
        <v>0</v>
      </c>
      <c r="C120" s="175" t="s">
        <v>2632</v>
      </c>
      <c r="D120" s="1" t="s">
        <v>179</v>
      </c>
      <c r="E120" s="176" t="s">
        <v>180</v>
      </c>
      <c r="F120" s="216">
        <v>7794334003181</v>
      </c>
      <c r="G120" s="216">
        <v>2</v>
      </c>
      <c r="H120" s="5" t="s">
        <v>1191</v>
      </c>
      <c r="I120" s="204">
        <v>535</v>
      </c>
      <c r="J120" s="260">
        <v>0.1</v>
      </c>
      <c r="L120" s="217">
        <f t="shared" si="3"/>
        <v>253053.6852375</v>
      </c>
      <c r="N120" s="271">
        <f t="shared" si="4"/>
        <v>366927.84359437501</v>
      </c>
      <c r="P120" s="326">
        <f t="shared" si="5"/>
        <v>443982.69074919377</v>
      </c>
    </row>
    <row r="121" spans="1:16">
      <c r="A121" s="206">
        <v>114</v>
      </c>
      <c r="B121" s="175" t="s">
        <v>0</v>
      </c>
      <c r="C121" s="175" t="s">
        <v>2632</v>
      </c>
      <c r="D121" s="1" t="s">
        <v>181</v>
      </c>
      <c r="E121" s="176" t="s">
        <v>182</v>
      </c>
      <c r="F121" s="216">
        <v>7794334003198</v>
      </c>
      <c r="G121" s="216">
        <v>2</v>
      </c>
      <c r="H121" s="5" t="s">
        <v>1191</v>
      </c>
      <c r="I121" s="204">
        <v>535</v>
      </c>
      <c r="J121" s="260">
        <v>0.1</v>
      </c>
      <c r="L121" s="217">
        <f t="shared" si="3"/>
        <v>253053.6852375</v>
      </c>
      <c r="N121" s="271">
        <f t="shared" si="4"/>
        <v>366927.84359437501</v>
      </c>
      <c r="P121" s="326">
        <f t="shared" si="5"/>
        <v>443982.69074919377</v>
      </c>
    </row>
    <row r="122" spans="1:16">
      <c r="A122" s="206">
        <v>115</v>
      </c>
      <c r="B122" s="175" t="s">
        <v>0</v>
      </c>
      <c r="C122" s="175" t="s">
        <v>2632</v>
      </c>
      <c r="D122" s="1" t="s">
        <v>183</v>
      </c>
      <c r="E122" s="176" t="s">
        <v>184</v>
      </c>
      <c r="F122" s="216">
        <v>7794334003204</v>
      </c>
      <c r="G122" s="216">
        <v>2</v>
      </c>
      <c r="H122" s="5" t="s">
        <v>1191</v>
      </c>
      <c r="I122" s="204">
        <v>598.5</v>
      </c>
      <c r="J122" s="260">
        <v>0.1</v>
      </c>
      <c r="L122" s="217">
        <f t="shared" si="3"/>
        <v>283089.02918625</v>
      </c>
      <c r="N122" s="271">
        <f t="shared" si="4"/>
        <v>410479.09232006251</v>
      </c>
      <c r="P122" s="326">
        <f t="shared" si="5"/>
        <v>496679.70170727564</v>
      </c>
    </row>
    <row r="123" spans="1:16">
      <c r="A123" s="206">
        <v>116</v>
      </c>
      <c r="B123" s="175" t="s">
        <v>0</v>
      </c>
      <c r="C123" s="175" t="s">
        <v>2632</v>
      </c>
      <c r="D123" s="1" t="s">
        <v>185</v>
      </c>
      <c r="E123" s="176" t="s">
        <v>186</v>
      </c>
      <c r="F123" s="216">
        <v>7794334003211</v>
      </c>
      <c r="G123" s="216">
        <v>2</v>
      </c>
      <c r="H123" s="5" t="s">
        <v>1191</v>
      </c>
      <c r="I123" s="204">
        <v>598.58000000000004</v>
      </c>
      <c r="J123" s="260">
        <v>0.1</v>
      </c>
      <c r="L123" s="217">
        <f t="shared" si="3"/>
        <v>283126.86898964999</v>
      </c>
      <c r="N123" s="271">
        <f t="shared" si="4"/>
        <v>410533.96003499249</v>
      </c>
      <c r="P123" s="326">
        <f t="shared" si="5"/>
        <v>496746.09164234088</v>
      </c>
    </row>
    <row r="124" spans="1:16">
      <c r="A124" s="206">
        <v>117</v>
      </c>
      <c r="B124" s="175" t="s">
        <v>0</v>
      </c>
      <c r="C124" s="175" t="s">
        <v>2632</v>
      </c>
      <c r="D124" s="1" t="s">
        <v>187</v>
      </c>
      <c r="E124" s="176" t="s">
        <v>188</v>
      </c>
      <c r="F124" s="216">
        <v>7794334003228</v>
      </c>
      <c r="G124" s="216">
        <v>2</v>
      </c>
      <c r="H124" s="5" t="s">
        <v>1191</v>
      </c>
      <c r="I124" s="204">
        <v>845</v>
      </c>
      <c r="J124" s="260">
        <v>0.1</v>
      </c>
      <c r="L124" s="217">
        <f t="shared" si="3"/>
        <v>399682.92341249995</v>
      </c>
      <c r="N124" s="271">
        <f t="shared" si="4"/>
        <v>579540.23894812493</v>
      </c>
      <c r="P124" s="326">
        <f t="shared" si="5"/>
        <v>701243.68912723113</v>
      </c>
    </row>
    <row r="125" spans="1:16">
      <c r="A125" s="206">
        <v>118</v>
      </c>
      <c r="B125" s="175" t="s">
        <v>0</v>
      </c>
      <c r="C125" s="175" t="s">
        <v>2632</v>
      </c>
      <c r="D125" s="1" t="s">
        <v>189</v>
      </c>
      <c r="E125" s="176" t="s">
        <v>190</v>
      </c>
      <c r="F125" s="216">
        <v>7794334003235</v>
      </c>
      <c r="G125" s="216">
        <v>2</v>
      </c>
      <c r="H125" s="5" t="s">
        <v>1191</v>
      </c>
      <c r="I125" s="204">
        <v>205.5</v>
      </c>
      <c r="J125" s="260">
        <v>0.1</v>
      </c>
      <c r="L125" s="217">
        <f t="shared" si="3"/>
        <v>97200.994983750003</v>
      </c>
      <c r="N125" s="271">
        <f t="shared" si="4"/>
        <v>140941.4427264375</v>
      </c>
      <c r="P125" s="326">
        <f t="shared" si="5"/>
        <v>170539.14569898936</v>
      </c>
    </row>
    <row r="126" spans="1:16">
      <c r="A126" s="206">
        <v>119</v>
      </c>
      <c r="B126" s="175" t="s">
        <v>0</v>
      </c>
      <c r="C126" s="175" t="s">
        <v>2632</v>
      </c>
      <c r="D126" s="1" t="s">
        <v>191</v>
      </c>
      <c r="E126" s="176" t="s">
        <v>192</v>
      </c>
      <c r="F126" s="216">
        <v>7794334003242</v>
      </c>
      <c r="G126" s="216">
        <v>2</v>
      </c>
      <c r="H126" s="5" t="s">
        <v>1191</v>
      </c>
      <c r="I126" s="204">
        <v>205.5</v>
      </c>
      <c r="J126" s="260">
        <v>0.1</v>
      </c>
      <c r="L126" s="217">
        <f t="shared" si="3"/>
        <v>97200.994983750003</v>
      </c>
      <c r="N126" s="271">
        <f t="shared" si="4"/>
        <v>140941.4427264375</v>
      </c>
      <c r="P126" s="326">
        <f t="shared" si="5"/>
        <v>170539.14569898936</v>
      </c>
    </row>
    <row r="127" spans="1:16">
      <c r="A127" s="206">
        <v>120</v>
      </c>
      <c r="B127" s="175" t="s">
        <v>0</v>
      </c>
      <c r="C127" s="175" t="s">
        <v>2632</v>
      </c>
      <c r="D127" s="1" t="s">
        <v>193</v>
      </c>
      <c r="E127" s="176" t="s">
        <v>194</v>
      </c>
      <c r="F127" s="216">
        <v>7794334003259</v>
      </c>
      <c r="G127" s="216">
        <v>2</v>
      </c>
      <c r="H127" s="5" t="s">
        <v>1191</v>
      </c>
      <c r="I127" s="204">
        <v>299.89999999999998</v>
      </c>
      <c r="J127" s="260">
        <v>0.1</v>
      </c>
      <c r="L127" s="217">
        <f t="shared" si="3"/>
        <v>141851.96299574999</v>
      </c>
      <c r="N127" s="271">
        <f t="shared" si="4"/>
        <v>205685.34634383747</v>
      </c>
      <c r="P127" s="326">
        <f t="shared" si="5"/>
        <v>248879.26907604333</v>
      </c>
    </row>
    <row r="128" spans="1:16">
      <c r="A128" s="206">
        <v>121</v>
      </c>
      <c r="B128" s="175" t="s">
        <v>0</v>
      </c>
      <c r="C128" s="175" t="s">
        <v>2632</v>
      </c>
      <c r="D128" s="1" t="s">
        <v>195</v>
      </c>
      <c r="E128" s="176" t="s">
        <v>196</v>
      </c>
      <c r="F128" s="216">
        <v>7794334003266</v>
      </c>
      <c r="G128" s="216">
        <v>2</v>
      </c>
      <c r="H128" s="5" t="s">
        <v>1191</v>
      </c>
      <c r="I128" s="204">
        <v>299.89999999999998</v>
      </c>
      <c r="J128" s="260">
        <v>0.1</v>
      </c>
      <c r="L128" s="217">
        <f t="shared" si="3"/>
        <v>141851.96299574999</v>
      </c>
      <c r="N128" s="271">
        <f t="shared" si="4"/>
        <v>205685.34634383747</v>
      </c>
      <c r="P128" s="326">
        <f t="shared" si="5"/>
        <v>248879.26907604333</v>
      </c>
    </row>
    <row r="129" spans="1:16">
      <c r="A129" s="206">
        <v>122</v>
      </c>
      <c r="B129" s="175" t="s">
        <v>0</v>
      </c>
      <c r="C129" s="175" t="s">
        <v>2632</v>
      </c>
      <c r="D129" s="1" t="s">
        <v>197</v>
      </c>
      <c r="E129" s="176" t="s">
        <v>198</v>
      </c>
      <c r="F129" s="216">
        <v>7794334003297</v>
      </c>
      <c r="G129" s="216">
        <v>2</v>
      </c>
      <c r="H129" s="5" t="s">
        <v>1191</v>
      </c>
      <c r="I129" s="204">
        <v>248.5</v>
      </c>
      <c r="J129" s="260">
        <v>0.1</v>
      </c>
      <c r="L129" s="217">
        <f t="shared" si="3"/>
        <v>117539.88931124999</v>
      </c>
      <c r="N129" s="271">
        <f t="shared" si="4"/>
        <v>170432.8395013125</v>
      </c>
      <c r="P129" s="326">
        <f t="shared" si="5"/>
        <v>206223.73579658812</v>
      </c>
    </row>
    <row r="130" spans="1:16">
      <c r="A130" s="206">
        <v>123</v>
      </c>
      <c r="B130" s="175" t="s">
        <v>0</v>
      </c>
      <c r="C130" s="175" t="s">
        <v>2632</v>
      </c>
      <c r="D130" s="1" t="s">
        <v>199</v>
      </c>
      <c r="E130" s="176" t="s">
        <v>200</v>
      </c>
      <c r="F130" s="216">
        <v>7794334003303</v>
      </c>
      <c r="G130" s="216">
        <v>2</v>
      </c>
      <c r="H130" s="5" t="s">
        <v>1191</v>
      </c>
      <c r="I130" s="204">
        <v>248.5</v>
      </c>
      <c r="J130" s="260">
        <v>0.1</v>
      </c>
      <c r="L130" s="217">
        <f t="shared" si="3"/>
        <v>117539.88931124999</v>
      </c>
      <c r="N130" s="271">
        <f t="shared" si="4"/>
        <v>170432.8395013125</v>
      </c>
      <c r="P130" s="326">
        <f t="shared" si="5"/>
        <v>206223.73579658812</v>
      </c>
    </row>
    <row r="131" spans="1:16">
      <c r="A131" s="206">
        <v>124</v>
      </c>
      <c r="B131" s="175" t="s">
        <v>0</v>
      </c>
      <c r="C131" s="175" t="s">
        <v>2632</v>
      </c>
      <c r="D131" s="1" t="s">
        <v>201</v>
      </c>
      <c r="E131" s="176" t="s">
        <v>202</v>
      </c>
      <c r="F131" s="216">
        <v>7794334003334</v>
      </c>
      <c r="G131" s="216">
        <v>2</v>
      </c>
      <c r="H131" s="5" t="s">
        <v>1191</v>
      </c>
      <c r="I131" s="204">
        <v>297</v>
      </c>
      <c r="J131" s="260">
        <v>0.1</v>
      </c>
      <c r="L131" s="217">
        <f t="shared" si="3"/>
        <v>140480.27012249999</v>
      </c>
      <c r="N131" s="271">
        <f t="shared" si="4"/>
        <v>203696.39167762498</v>
      </c>
      <c r="P131" s="326">
        <f t="shared" si="5"/>
        <v>246472.63392992623</v>
      </c>
    </row>
    <row r="132" spans="1:16">
      <c r="A132" s="206">
        <v>125</v>
      </c>
      <c r="B132" s="175" t="s">
        <v>0</v>
      </c>
      <c r="C132" s="175" t="s">
        <v>2632</v>
      </c>
      <c r="D132" s="1" t="s">
        <v>203</v>
      </c>
      <c r="E132" s="176" t="s">
        <v>204</v>
      </c>
      <c r="F132" s="216">
        <v>7794334003341</v>
      </c>
      <c r="G132" s="216">
        <v>2</v>
      </c>
      <c r="H132" s="5" t="s">
        <v>1191</v>
      </c>
      <c r="I132" s="204">
        <v>297</v>
      </c>
      <c r="J132" s="260">
        <v>0.1</v>
      </c>
      <c r="L132" s="217">
        <f t="shared" si="3"/>
        <v>140480.27012249999</v>
      </c>
      <c r="N132" s="271">
        <f t="shared" si="4"/>
        <v>203696.39167762498</v>
      </c>
      <c r="P132" s="326">
        <f t="shared" si="5"/>
        <v>246472.63392992623</v>
      </c>
    </row>
    <row r="133" spans="1:16">
      <c r="A133" s="206">
        <v>126</v>
      </c>
      <c r="B133" s="175" t="s">
        <v>0</v>
      </c>
      <c r="C133" s="175" t="s">
        <v>2632</v>
      </c>
      <c r="D133" s="1" t="s">
        <v>205</v>
      </c>
      <c r="E133" s="176" t="s">
        <v>206</v>
      </c>
      <c r="F133" s="216">
        <v>7794334003358</v>
      </c>
      <c r="G133" s="216">
        <v>2</v>
      </c>
      <c r="H133" s="5" t="s">
        <v>1191</v>
      </c>
      <c r="I133" s="204">
        <v>482.5</v>
      </c>
      <c r="J133" s="260">
        <v>0.1</v>
      </c>
      <c r="L133" s="217">
        <f t="shared" si="3"/>
        <v>228221.31425624999</v>
      </c>
      <c r="N133" s="271">
        <f t="shared" si="4"/>
        <v>330920.90567156248</v>
      </c>
      <c r="P133" s="326">
        <f t="shared" si="5"/>
        <v>400414.2958625906</v>
      </c>
    </row>
    <row r="134" spans="1:16">
      <c r="A134" s="206">
        <v>127</v>
      </c>
      <c r="B134" s="175" t="s">
        <v>0</v>
      </c>
      <c r="C134" s="175" t="s">
        <v>2632</v>
      </c>
      <c r="D134" s="1" t="s">
        <v>207</v>
      </c>
      <c r="E134" s="176" t="s">
        <v>208</v>
      </c>
      <c r="F134" s="216">
        <v>7794334003365</v>
      </c>
      <c r="G134" s="216">
        <v>2</v>
      </c>
      <c r="H134" s="5" t="s">
        <v>1191</v>
      </c>
      <c r="I134" s="204">
        <v>482.5</v>
      </c>
      <c r="J134" s="260">
        <v>0.1</v>
      </c>
      <c r="L134" s="217">
        <f t="shared" si="3"/>
        <v>228221.31425624999</v>
      </c>
      <c r="N134" s="271">
        <f t="shared" si="4"/>
        <v>330920.90567156248</v>
      </c>
      <c r="P134" s="326">
        <f t="shared" si="5"/>
        <v>400414.2958625906</v>
      </c>
    </row>
    <row r="135" spans="1:16">
      <c r="A135" s="206">
        <v>128</v>
      </c>
      <c r="B135" s="175" t="s">
        <v>0</v>
      </c>
      <c r="C135" s="175" t="s">
        <v>2632</v>
      </c>
      <c r="D135" s="1" t="s">
        <v>209</v>
      </c>
      <c r="E135" s="176" t="s">
        <v>210</v>
      </c>
      <c r="F135" s="216">
        <v>7794334003372</v>
      </c>
      <c r="G135" s="216">
        <v>2</v>
      </c>
      <c r="H135" s="5" t="s">
        <v>1191</v>
      </c>
      <c r="I135" s="204">
        <v>404.5</v>
      </c>
      <c r="J135" s="260">
        <v>0.1</v>
      </c>
      <c r="L135" s="217">
        <f t="shared" si="3"/>
        <v>191327.50594124998</v>
      </c>
      <c r="N135" s="271">
        <f t="shared" si="4"/>
        <v>277424.88361481245</v>
      </c>
      <c r="P135" s="326">
        <f t="shared" si="5"/>
        <v>335684.10917392303</v>
      </c>
    </row>
    <row r="136" spans="1:16">
      <c r="A136" s="206">
        <v>129</v>
      </c>
      <c r="B136" s="175" t="s">
        <v>0</v>
      </c>
      <c r="C136" s="175" t="s">
        <v>2632</v>
      </c>
      <c r="D136" s="1" t="s">
        <v>211</v>
      </c>
      <c r="E136" s="176" t="s">
        <v>212</v>
      </c>
      <c r="F136" s="216">
        <v>7794334003389</v>
      </c>
      <c r="G136" s="216">
        <v>2</v>
      </c>
      <c r="H136" s="5" t="s">
        <v>1191</v>
      </c>
      <c r="I136" s="204">
        <v>404.5</v>
      </c>
      <c r="J136" s="260">
        <v>0.1</v>
      </c>
      <c r="L136" s="217">
        <f t="shared" ref="L136:L199" si="6">+I136*$F$2*$F$3*$F$4*$F$5</f>
        <v>191327.50594124998</v>
      </c>
      <c r="N136" s="271">
        <f t="shared" si="4"/>
        <v>277424.88361481245</v>
      </c>
      <c r="P136" s="326">
        <f t="shared" si="5"/>
        <v>335684.10917392303</v>
      </c>
    </row>
    <row r="137" spans="1:16">
      <c r="A137" s="206">
        <v>130</v>
      </c>
      <c r="B137" s="175" t="s">
        <v>0</v>
      </c>
      <c r="C137" s="175" t="s">
        <v>2632</v>
      </c>
      <c r="D137" s="1" t="s">
        <v>213</v>
      </c>
      <c r="E137" s="176" t="s">
        <v>214</v>
      </c>
      <c r="F137" s="216">
        <v>7794334003396</v>
      </c>
      <c r="G137" s="216">
        <v>2</v>
      </c>
      <c r="H137" s="5" t="s">
        <v>1191</v>
      </c>
      <c r="I137" s="204">
        <v>527.5</v>
      </c>
      <c r="J137" s="260">
        <v>0.1</v>
      </c>
      <c r="L137" s="217">
        <f t="shared" si="6"/>
        <v>249506.20366875001</v>
      </c>
      <c r="N137" s="271">
        <f t="shared" ref="N137:N200" si="7">+L137*1.45</f>
        <v>361783.99531968753</v>
      </c>
      <c r="P137" s="326">
        <f t="shared" ref="P137:P200" si="8">+N137*1.21</f>
        <v>437758.63433682191</v>
      </c>
    </row>
    <row r="138" spans="1:16">
      <c r="A138" s="206">
        <v>131</v>
      </c>
      <c r="B138" s="175" t="s">
        <v>0</v>
      </c>
      <c r="C138" s="175" t="s">
        <v>2632</v>
      </c>
      <c r="D138" s="1" t="s">
        <v>215</v>
      </c>
      <c r="E138" s="176" t="s">
        <v>216</v>
      </c>
      <c r="F138" s="216">
        <v>7794334003402</v>
      </c>
      <c r="G138" s="216">
        <v>2</v>
      </c>
      <c r="H138" s="5" t="s">
        <v>1191</v>
      </c>
      <c r="I138" s="204">
        <v>527.5</v>
      </c>
      <c r="J138" s="260">
        <v>0.1</v>
      </c>
      <c r="L138" s="217">
        <f t="shared" si="6"/>
        <v>249506.20366875001</v>
      </c>
      <c r="N138" s="271">
        <f t="shared" si="7"/>
        <v>361783.99531968753</v>
      </c>
      <c r="P138" s="326">
        <f t="shared" si="8"/>
        <v>437758.63433682191</v>
      </c>
    </row>
    <row r="139" spans="1:16">
      <c r="A139" s="206">
        <v>132</v>
      </c>
      <c r="B139" s="175" t="s">
        <v>0</v>
      </c>
      <c r="C139" s="175" t="s">
        <v>2632</v>
      </c>
      <c r="D139" s="1" t="s">
        <v>217</v>
      </c>
      <c r="E139" s="176" t="s">
        <v>218</v>
      </c>
      <c r="F139" s="216">
        <v>7794334003419</v>
      </c>
      <c r="G139" s="216">
        <v>2</v>
      </c>
      <c r="H139" s="5" t="s">
        <v>1191</v>
      </c>
      <c r="I139" s="204">
        <v>450</v>
      </c>
      <c r="J139" s="260">
        <v>0.1</v>
      </c>
      <c r="L139" s="217">
        <f t="shared" si="6"/>
        <v>212848.89412499999</v>
      </c>
      <c r="N139" s="271">
        <f t="shared" si="7"/>
        <v>308630.89648125001</v>
      </c>
      <c r="P139" s="326">
        <f t="shared" si="8"/>
        <v>373443.38474231248</v>
      </c>
    </row>
    <row r="140" spans="1:16">
      <c r="A140" s="206">
        <v>133</v>
      </c>
      <c r="B140" s="175" t="s">
        <v>0</v>
      </c>
      <c r="C140" s="175" t="s">
        <v>2632</v>
      </c>
      <c r="D140" s="1" t="s">
        <v>219</v>
      </c>
      <c r="E140" s="176" t="s">
        <v>220</v>
      </c>
      <c r="F140" s="216">
        <v>7794334003426</v>
      </c>
      <c r="G140" s="216">
        <v>2</v>
      </c>
      <c r="H140" s="5" t="s">
        <v>1191</v>
      </c>
      <c r="I140" s="204">
        <v>450</v>
      </c>
      <c r="J140" s="260">
        <v>0.1</v>
      </c>
      <c r="L140" s="217">
        <f t="shared" si="6"/>
        <v>212848.89412499999</v>
      </c>
      <c r="N140" s="271">
        <f t="shared" si="7"/>
        <v>308630.89648125001</v>
      </c>
      <c r="P140" s="326">
        <f t="shared" si="8"/>
        <v>373443.38474231248</v>
      </c>
    </row>
    <row r="141" spans="1:16">
      <c r="A141" s="206">
        <v>134</v>
      </c>
      <c r="B141" s="175" t="s">
        <v>0</v>
      </c>
      <c r="C141" s="175" t="s">
        <v>2632</v>
      </c>
      <c r="D141" s="1" t="s">
        <v>221</v>
      </c>
      <c r="E141" s="176" t="s">
        <v>222</v>
      </c>
      <c r="F141" s="216">
        <v>7794334003433</v>
      </c>
      <c r="G141" s="216">
        <v>2</v>
      </c>
      <c r="H141" s="5" t="s">
        <v>1191</v>
      </c>
      <c r="I141" s="204">
        <v>617.5</v>
      </c>
      <c r="J141" s="260">
        <v>0.1</v>
      </c>
      <c r="L141" s="217">
        <f t="shared" si="6"/>
        <v>292075.98249375005</v>
      </c>
      <c r="N141" s="271">
        <f t="shared" si="7"/>
        <v>423510.17461593758</v>
      </c>
      <c r="P141" s="326">
        <f t="shared" si="8"/>
        <v>512447.31128528446</v>
      </c>
    </row>
    <row r="142" spans="1:16">
      <c r="A142" s="206">
        <v>135</v>
      </c>
      <c r="B142" s="175" t="s">
        <v>0</v>
      </c>
      <c r="C142" s="175" t="s">
        <v>2632</v>
      </c>
      <c r="D142" s="1" t="s">
        <v>223</v>
      </c>
      <c r="E142" s="176" t="s">
        <v>224</v>
      </c>
      <c r="F142" s="216">
        <v>7794334003440</v>
      </c>
      <c r="G142" s="216">
        <v>2</v>
      </c>
      <c r="H142" s="5" t="s">
        <v>1191</v>
      </c>
      <c r="I142" s="204">
        <v>617.5</v>
      </c>
      <c r="J142" s="260">
        <v>0.1</v>
      </c>
      <c r="L142" s="217">
        <f t="shared" si="6"/>
        <v>292075.98249375005</v>
      </c>
      <c r="N142" s="271">
        <f t="shared" si="7"/>
        <v>423510.17461593758</v>
      </c>
      <c r="P142" s="326">
        <f t="shared" si="8"/>
        <v>512447.31128528446</v>
      </c>
    </row>
    <row r="143" spans="1:16">
      <c r="A143" s="206">
        <v>136</v>
      </c>
      <c r="B143" s="175" t="s">
        <v>0</v>
      </c>
      <c r="C143" s="175" t="s">
        <v>2632</v>
      </c>
      <c r="D143" s="1" t="s">
        <v>225</v>
      </c>
      <c r="E143" s="176" t="s">
        <v>226</v>
      </c>
      <c r="F143" s="216">
        <v>7794334003457</v>
      </c>
      <c r="G143" s="216">
        <v>2</v>
      </c>
      <c r="H143" s="5" t="s">
        <v>1191</v>
      </c>
      <c r="I143" s="204">
        <v>715</v>
      </c>
      <c r="J143" s="260">
        <v>0.1</v>
      </c>
      <c r="L143" s="217">
        <f t="shared" si="6"/>
        <v>338193.24288750003</v>
      </c>
      <c r="N143" s="271">
        <f t="shared" si="7"/>
        <v>490380.20218687505</v>
      </c>
      <c r="P143" s="326">
        <f t="shared" si="8"/>
        <v>593360.04464611877</v>
      </c>
    </row>
    <row r="144" spans="1:16">
      <c r="A144" s="206">
        <v>137</v>
      </c>
      <c r="B144" s="175" t="s">
        <v>0</v>
      </c>
      <c r="C144" s="175" t="s">
        <v>2632</v>
      </c>
      <c r="D144" s="1" t="s">
        <v>227</v>
      </c>
      <c r="E144" s="176" t="s">
        <v>228</v>
      </c>
      <c r="F144" s="216">
        <v>7794334003464</v>
      </c>
      <c r="G144" s="216">
        <v>2</v>
      </c>
      <c r="H144" s="5" t="s">
        <v>1191</v>
      </c>
      <c r="I144" s="204">
        <v>715</v>
      </c>
      <c r="J144" s="260">
        <v>0.1</v>
      </c>
      <c r="L144" s="217">
        <f t="shared" si="6"/>
        <v>338193.24288750003</v>
      </c>
      <c r="N144" s="271">
        <f t="shared" si="7"/>
        <v>490380.20218687505</v>
      </c>
      <c r="P144" s="326">
        <f t="shared" si="8"/>
        <v>593360.04464611877</v>
      </c>
    </row>
    <row r="145" spans="1:18">
      <c r="A145" s="206">
        <v>138</v>
      </c>
      <c r="B145" s="175" t="s">
        <v>0</v>
      </c>
      <c r="C145" s="175" t="s">
        <v>2632</v>
      </c>
      <c r="D145" s="1" t="s">
        <v>229</v>
      </c>
      <c r="E145" s="176" t="s">
        <v>230</v>
      </c>
      <c r="F145" s="216">
        <v>7794334003471</v>
      </c>
      <c r="G145" s="216">
        <v>2</v>
      </c>
      <c r="H145" s="5" t="s">
        <v>1191</v>
      </c>
      <c r="I145" s="204">
        <v>998</v>
      </c>
      <c r="J145" s="260">
        <v>0.1</v>
      </c>
      <c r="L145" s="217">
        <f t="shared" si="6"/>
        <v>472051.54741499998</v>
      </c>
      <c r="N145" s="271">
        <f t="shared" si="7"/>
        <v>684474.74375174998</v>
      </c>
      <c r="P145" s="326">
        <f t="shared" si="8"/>
        <v>828214.43993961741</v>
      </c>
    </row>
    <row r="146" spans="1:18">
      <c r="A146" s="206">
        <v>139</v>
      </c>
      <c r="B146" s="175" t="s">
        <v>0</v>
      </c>
      <c r="C146" s="175" t="s">
        <v>2632</v>
      </c>
      <c r="D146" s="1" t="s">
        <v>231</v>
      </c>
      <c r="E146" s="176" t="s">
        <v>232</v>
      </c>
      <c r="F146" s="216">
        <v>7794334003488</v>
      </c>
      <c r="G146" s="216">
        <v>2</v>
      </c>
      <c r="H146" s="5" t="s">
        <v>1191</v>
      </c>
      <c r="I146" s="204">
        <v>212</v>
      </c>
      <c r="J146" s="260">
        <v>0.1</v>
      </c>
      <c r="L146" s="217">
        <f t="shared" si="6"/>
        <v>100275.47901</v>
      </c>
      <c r="N146" s="271">
        <f t="shared" si="7"/>
        <v>145399.44456449998</v>
      </c>
      <c r="P146" s="326">
        <f t="shared" si="8"/>
        <v>175933.32792304497</v>
      </c>
    </row>
    <row r="147" spans="1:18">
      <c r="A147" s="206">
        <v>140</v>
      </c>
      <c r="B147" s="175" t="s">
        <v>0</v>
      </c>
      <c r="C147" s="175" t="s">
        <v>2632</v>
      </c>
      <c r="D147" s="1" t="s">
        <v>233</v>
      </c>
      <c r="E147" s="176" t="s">
        <v>234</v>
      </c>
      <c r="F147" s="216">
        <v>7794334003495</v>
      </c>
      <c r="G147" s="216">
        <v>2</v>
      </c>
      <c r="H147" s="5" t="s">
        <v>1191</v>
      </c>
      <c r="I147" s="204">
        <v>212</v>
      </c>
      <c r="J147" s="260">
        <v>0.1</v>
      </c>
      <c r="L147" s="217">
        <f t="shared" si="6"/>
        <v>100275.47901</v>
      </c>
      <c r="N147" s="271">
        <f t="shared" si="7"/>
        <v>145399.44456449998</v>
      </c>
      <c r="P147" s="326">
        <f t="shared" si="8"/>
        <v>175933.32792304497</v>
      </c>
    </row>
    <row r="148" spans="1:18">
      <c r="A148" s="206">
        <v>141</v>
      </c>
      <c r="B148" s="175" t="s">
        <v>0</v>
      </c>
      <c r="C148" s="175" t="s">
        <v>2632</v>
      </c>
      <c r="D148" s="1" t="s">
        <v>235</v>
      </c>
      <c r="E148" s="176" t="s">
        <v>236</v>
      </c>
      <c r="F148" s="216">
        <v>7794334007370</v>
      </c>
      <c r="G148" s="216">
        <v>2</v>
      </c>
      <c r="H148" s="5" t="s">
        <v>1191</v>
      </c>
      <c r="I148" s="204">
        <v>278</v>
      </c>
      <c r="J148" s="260">
        <v>0.1</v>
      </c>
      <c r="L148" s="217">
        <f t="shared" si="6"/>
        <v>131493.316815</v>
      </c>
      <c r="N148" s="271">
        <f t="shared" si="7"/>
        <v>190665.30938175</v>
      </c>
      <c r="P148" s="326">
        <f t="shared" si="8"/>
        <v>230705.0243519175</v>
      </c>
    </row>
    <row r="149" spans="1:18">
      <c r="A149" s="206">
        <v>142</v>
      </c>
      <c r="B149" s="175" t="s">
        <v>0</v>
      </c>
      <c r="C149" s="175" t="s">
        <v>2632</v>
      </c>
      <c r="D149" s="1" t="s">
        <v>237</v>
      </c>
      <c r="E149" s="176" t="s">
        <v>238</v>
      </c>
      <c r="F149" s="216">
        <v>7794334007387</v>
      </c>
      <c r="G149" s="216">
        <v>2</v>
      </c>
      <c r="H149" s="5" t="s">
        <v>1191</v>
      </c>
      <c r="I149" s="204">
        <v>278</v>
      </c>
      <c r="J149" s="260">
        <v>0.1</v>
      </c>
      <c r="L149" s="217">
        <f t="shared" si="6"/>
        <v>131493.316815</v>
      </c>
      <c r="N149" s="271">
        <f t="shared" si="7"/>
        <v>190665.30938175</v>
      </c>
      <c r="P149" s="326">
        <f t="shared" si="8"/>
        <v>230705.0243519175</v>
      </c>
    </row>
    <row r="150" spans="1:18">
      <c r="A150" s="206">
        <v>143</v>
      </c>
      <c r="B150" s="175" t="s">
        <v>0</v>
      </c>
      <c r="C150" s="175" t="s">
        <v>2632</v>
      </c>
      <c r="D150" s="1" t="s">
        <v>239</v>
      </c>
      <c r="E150" s="176" t="s">
        <v>240</v>
      </c>
      <c r="F150" s="216">
        <v>7794334008964</v>
      </c>
      <c r="G150" s="216">
        <v>2</v>
      </c>
      <c r="H150" s="5" t="s">
        <v>1191</v>
      </c>
      <c r="I150" s="204">
        <v>376.5</v>
      </c>
      <c r="J150" s="260">
        <v>0.1</v>
      </c>
      <c r="L150" s="217">
        <f t="shared" si="6"/>
        <v>178083.57475125001</v>
      </c>
      <c r="N150" s="271">
        <f t="shared" si="7"/>
        <v>258221.1833893125</v>
      </c>
      <c r="P150" s="326">
        <f t="shared" si="8"/>
        <v>312447.63190106809</v>
      </c>
    </row>
    <row r="151" spans="1:18">
      <c r="A151" s="206">
        <v>144</v>
      </c>
      <c r="B151" s="175" t="s">
        <v>0</v>
      </c>
      <c r="C151" s="175" t="s">
        <v>2632</v>
      </c>
      <c r="D151" s="1" t="s">
        <v>241</v>
      </c>
      <c r="E151" s="176" t="s">
        <v>242</v>
      </c>
      <c r="F151" s="216">
        <v>7794334008971</v>
      </c>
      <c r="G151" s="216">
        <v>2</v>
      </c>
      <c r="H151" s="5" t="s">
        <v>1191</v>
      </c>
      <c r="I151" s="204">
        <v>376.5</v>
      </c>
      <c r="J151" s="260">
        <v>0.1</v>
      </c>
      <c r="L151" s="217">
        <f t="shared" si="6"/>
        <v>178083.57475125001</v>
      </c>
      <c r="N151" s="271">
        <f t="shared" si="7"/>
        <v>258221.1833893125</v>
      </c>
      <c r="P151" s="326">
        <f t="shared" si="8"/>
        <v>312447.63190106809</v>
      </c>
    </row>
    <row r="152" spans="1:18">
      <c r="A152" s="206">
        <v>145</v>
      </c>
      <c r="B152" s="175" t="s">
        <v>0</v>
      </c>
      <c r="C152" s="175" t="s">
        <v>2632</v>
      </c>
      <c r="D152" s="1" t="s">
        <v>243</v>
      </c>
      <c r="E152" s="176" t="s">
        <v>244</v>
      </c>
      <c r="F152" s="216">
        <v>7794334003525</v>
      </c>
      <c r="G152" s="216">
        <v>2</v>
      </c>
      <c r="H152" s="5" t="s">
        <v>1191</v>
      </c>
      <c r="I152" s="204">
        <v>308</v>
      </c>
      <c r="J152" s="260">
        <v>0.1</v>
      </c>
      <c r="L152" s="217">
        <f t="shared" si="6"/>
        <v>145683.24308999997</v>
      </c>
      <c r="N152" s="271">
        <f t="shared" si="7"/>
        <v>211240.70248049995</v>
      </c>
      <c r="P152" s="326">
        <f t="shared" si="8"/>
        <v>255601.25000140493</v>
      </c>
    </row>
    <row r="153" spans="1:18">
      <c r="A153" s="206">
        <v>146</v>
      </c>
      <c r="B153" s="175" t="s">
        <v>0</v>
      </c>
      <c r="C153" s="175" t="s">
        <v>2632</v>
      </c>
      <c r="D153" s="1" t="s">
        <v>245</v>
      </c>
      <c r="E153" s="176" t="s">
        <v>246</v>
      </c>
      <c r="F153" s="216">
        <v>7794334003532</v>
      </c>
      <c r="G153" s="216">
        <v>2</v>
      </c>
      <c r="H153" s="5" t="s">
        <v>1191</v>
      </c>
      <c r="I153" s="204">
        <v>308</v>
      </c>
      <c r="J153" s="260">
        <v>0.1</v>
      </c>
      <c r="L153" s="217">
        <f t="shared" si="6"/>
        <v>145683.24308999997</v>
      </c>
      <c r="N153" s="271">
        <f t="shared" si="7"/>
        <v>211240.70248049995</v>
      </c>
      <c r="P153" s="326">
        <f t="shared" si="8"/>
        <v>255601.25000140493</v>
      </c>
    </row>
    <row r="154" spans="1:18">
      <c r="A154" s="206">
        <v>147</v>
      </c>
      <c r="B154" s="175" t="s">
        <v>0</v>
      </c>
      <c r="C154" s="175" t="s">
        <v>2632</v>
      </c>
      <c r="D154" s="1" t="s">
        <v>247</v>
      </c>
      <c r="E154" s="176" t="s">
        <v>248</v>
      </c>
      <c r="F154" s="216">
        <v>7794334003549</v>
      </c>
      <c r="G154" s="216">
        <v>2</v>
      </c>
      <c r="H154" s="5" t="s">
        <v>1191</v>
      </c>
      <c r="I154" s="204">
        <v>315</v>
      </c>
      <c r="J154" s="260">
        <v>0.1</v>
      </c>
      <c r="L154" s="217">
        <f t="shared" si="6"/>
        <v>148994.22588750001</v>
      </c>
      <c r="N154" s="271">
        <f t="shared" si="7"/>
        <v>216041.62753687502</v>
      </c>
      <c r="P154" s="326">
        <f t="shared" si="8"/>
        <v>261410.36931961877</v>
      </c>
    </row>
    <row r="155" spans="1:18">
      <c r="A155" s="206">
        <v>148</v>
      </c>
      <c r="B155" s="175" t="s">
        <v>0</v>
      </c>
      <c r="C155" s="175" t="s">
        <v>2632</v>
      </c>
      <c r="D155" s="1" t="s">
        <v>249</v>
      </c>
      <c r="E155" s="176" t="s">
        <v>250</v>
      </c>
      <c r="F155" s="216">
        <v>7794334003556</v>
      </c>
      <c r="G155" s="216">
        <v>2</v>
      </c>
      <c r="H155" s="5" t="s">
        <v>1191</v>
      </c>
      <c r="I155" s="204">
        <v>315</v>
      </c>
      <c r="J155" s="260">
        <v>0.1</v>
      </c>
      <c r="L155" s="217">
        <f t="shared" si="6"/>
        <v>148994.22588750001</v>
      </c>
      <c r="N155" s="271">
        <f t="shared" si="7"/>
        <v>216041.62753687502</v>
      </c>
      <c r="P155" s="326">
        <f t="shared" si="8"/>
        <v>261410.36931961877</v>
      </c>
      <c r="Q155" s="288">
        <f>+N155*0.89</f>
        <v>192277.04850781878</v>
      </c>
      <c r="R155" s="288">
        <f>+Q155*1.21</f>
        <v>232655.2286944607</v>
      </c>
    </row>
    <row r="156" spans="1:18">
      <c r="A156" s="206">
        <v>149</v>
      </c>
      <c r="B156" s="175" t="s">
        <v>0</v>
      </c>
      <c r="C156" s="175" t="s">
        <v>2632</v>
      </c>
      <c r="D156" s="1" t="s">
        <v>251</v>
      </c>
      <c r="E156" s="176" t="s">
        <v>252</v>
      </c>
      <c r="F156" s="216">
        <v>7794334008988</v>
      </c>
      <c r="G156" s="216">
        <v>2</v>
      </c>
      <c r="H156" s="5" t="s">
        <v>1191</v>
      </c>
      <c r="I156" s="204">
        <v>445</v>
      </c>
      <c r="J156" s="260">
        <v>0.1</v>
      </c>
      <c r="L156" s="217">
        <f t="shared" si="6"/>
        <v>210483.90641249999</v>
      </c>
      <c r="N156" s="271">
        <f t="shared" si="7"/>
        <v>305201.66429812496</v>
      </c>
      <c r="P156" s="326">
        <f t="shared" si="8"/>
        <v>369294.01380073122</v>
      </c>
      <c r="R156" s="288">
        <v>232000</v>
      </c>
    </row>
    <row r="157" spans="1:18">
      <c r="A157" s="206">
        <v>150</v>
      </c>
      <c r="B157" s="175" t="s">
        <v>0</v>
      </c>
      <c r="C157" s="175" t="s">
        <v>2632</v>
      </c>
      <c r="D157" s="1" t="s">
        <v>253</v>
      </c>
      <c r="E157" s="176" t="s">
        <v>254</v>
      </c>
      <c r="F157" s="216">
        <v>7794334008995</v>
      </c>
      <c r="G157" s="216">
        <v>2</v>
      </c>
      <c r="H157" s="5" t="s">
        <v>1191</v>
      </c>
      <c r="I157" s="204">
        <v>445</v>
      </c>
      <c r="J157" s="260">
        <v>0.1</v>
      </c>
      <c r="L157" s="217">
        <f t="shared" si="6"/>
        <v>210483.90641249999</v>
      </c>
      <c r="N157" s="271">
        <f t="shared" si="7"/>
        <v>305201.66429812496</v>
      </c>
      <c r="P157" s="326">
        <f t="shared" si="8"/>
        <v>369294.01380073122</v>
      </c>
    </row>
    <row r="158" spans="1:18">
      <c r="A158" s="206">
        <v>151</v>
      </c>
      <c r="B158" s="175" t="s">
        <v>0</v>
      </c>
      <c r="C158" s="175" t="s">
        <v>2632</v>
      </c>
      <c r="D158" s="1" t="s">
        <v>255</v>
      </c>
      <c r="E158" s="176" t="s">
        <v>256</v>
      </c>
      <c r="F158" s="216">
        <v>7794334009008</v>
      </c>
      <c r="G158" s="216">
        <v>2</v>
      </c>
      <c r="H158" s="5" t="s">
        <v>1191</v>
      </c>
      <c r="I158" s="204">
        <v>529.5</v>
      </c>
      <c r="J158" s="260">
        <v>0.1</v>
      </c>
      <c r="L158" s="217">
        <f t="shared" si="6"/>
        <v>250452.19875374995</v>
      </c>
      <c r="N158" s="271">
        <f t="shared" si="7"/>
        <v>363155.68819293741</v>
      </c>
      <c r="P158" s="326">
        <f t="shared" si="8"/>
        <v>439418.38271345425</v>
      </c>
    </row>
    <row r="159" spans="1:18">
      <c r="A159" s="206">
        <v>152</v>
      </c>
      <c r="B159" s="175" t="s">
        <v>0</v>
      </c>
      <c r="C159" s="175" t="s">
        <v>2632</v>
      </c>
      <c r="D159" s="1" t="s">
        <v>257</v>
      </c>
      <c r="E159" s="176" t="s">
        <v>258</v>
      </c>
      <c r="F159" s="216">
        <v>7794334009015</v>
      </c>
      <c r="G159" s="216">
        <v>2</v>
      </c>
      <c r="H159" s="5" t="s">
        <v>1191</v>
      </c>
      <c r="I159" s="204">
        <v>529.5</v>
      </c>
      <c r="J159" s="260">
        <v>0.1</v>
      </c>
      <c r="L159" s="217">
        <f t="shared" si="6"/>
        <v>250452.19875374995</v>
      </c>
      <c r="N159" s="271">
        <f t="shared" si="7"/>
        <v>363155.68819293741</v>
      </c>
      <c r="P159" s="326">
        <f t="shared" si="8"/>
        <v>439418.38271345425</v>
      </c>
    </row>
    <row r="160" spans="1:18">
      <c r="A160" s="206">
        <v>153</v>
      </c>
      <c r="B160" s="175" t="s">
        <v>0</v>
      </c>
      <c r="C160" s="175" t="s">
        <v>2632</v>
      </c>
      <c r="D160" s="1" t="s">
        <v>259</v>
      </c>
      <c r="E160" s="176" t="s">
        <v>260</v>
      </c>
      <c r="F160" s="216">
        <v>7794334009022</v>
      </c>
      <c r="G160" s="216">
        <v>2</v>
      </c>
      <c r="H160" s="5" t="s">
        <v>1191</v>
      </c>
      <c r="I160" s="204">
        <v>672.5</v>
      </c>
      <c r="J160" s="260">
        <v>0.1</v>
      </c>
      <c r="L160" s="217">
        <f t="shared" si="6"/>
        <v>318090.84733124997</v>
      </c>
      <c r="N160" s="271">
        <f t="shared" si="7"/>
        <v>461231.72863031243</v>
      </c>
      <c r="P160" s="326">
        <f t="shared" si="8"/>
        <v>558090.39164267806</v>
      </c>
    </row>
    <row r="161" spans="1:16">
      <c r="A161" s="206">
        <v>154</v>
      </c>
      <c r="B161" s="175" t="s">
        <v>0</v>
      </c>
      <c r="C161" s="175" t="s">
        <v>2632</v>
      </c>
      <c r="D161" s="1" t="s">
        <v>261</v>
      </c>
      <c r="E161" s="176" t="s">
        <v>262</v>
      </c>
      <c r="F161" s="216">
        <v>7794334009039</v>
      </c>
      <c r="G161" s="216">
        <v>2</v>
      </c>
      <c r="H161" s="5" t="s">
        <v>1191</v>
      </c>
      <c r="I161" s="204">
        <v>672.5</v>
      </c>
      <c r="J161" s="260">
        <v>0.1</v>
      </c>
      <c r="L161" s="217">
        <f t="shared" si="6"/>
        <v>318090.84733124997</v>
      </c>
      <c r="N161" s="271">
        <f t="shared" si="7"/>
        <v>461231.72863031243</v>
      </c>
      <c r="P161" s="326">
        <f t="shared" si="8"/>
        <v>558090.39164267806</v>
      </c>
    </row>
    <row r="162" spans="1:16">
      <c r="A162" s="206">
        <v>155</v>
      </c>
      <c r="B162" s="175" t="s">
        <v>0</v>
      </c>
      <c r="C162" s="175" t="s">
        <v>2632</v>
      </c>
      <c r="D162" s="1" t="s">
        <v>263</v>
      </c>
      <c r="E162" s="176" t="s">
        <v>264</v>
      </c>
      <c r="F162" s="216">
        <v>7794334009046</v>
      </c>
      <c r="G162" s="216">
        <v>2</v>
      </c>
      <c r="H162" s="5" t="s">
        <v>1191</v>
      </c>
      <c r="I162" s="204">
        <v>739.9</v>
      </c>
      <c r="J162" s="260">
        <v>0.1</v>
      </c>
      <c r="L162" s="217">
        <f t="shared" si="6"/>
        <v>349970.88169574999</v>
      </c>
      <c r="N162" s="271">
        <f t="shared" si="7"/>
        <v>507457.77845883748</v>
      </c>
      <c r="P162" s="326">
        <f t="shared" si="8"/>
        <v>614023.91193519335</v>
      </c>
    </row>
    <row r="163" spans="1:16">
      <c r="A163" s="206">
        <v>156</v>
      </c>
      <c r="B163" s="175" t="s">
        <v>0</v>
      </c>
      <c r="C163" s="175" t="s">
        <v>2632</v>
      </c>
      <c r="D163" s="1" t="s">
        <v>265</v>
      </c>
      <c r="E163" s="176" t="s">
        <v>266</v>
      </c>
      <c r="F163" s="216">
        <v>7794334009053</v>
      </c>
      <c r="G163" s="216">
        <v>2</v>
      </c>
      <c r="H163" s="5" t="s">
        <v>1191</v>
      </c>
      <c r="I163" s="204">
        <v>739.9</v>
      </c>
      <c r="J163" s="260">
        <v>0.1</v>
      </c>
      <c r="L163" s="217">
        <f t="shared" si="6"/>
        <v>349970.88169574999</v>
      </c>
      <c r="N163" s="271">
        <f t="shared" si="7"/>
        <v>507457.77845883748</v>
      </c>
      <c r="P163" s="326">
        <f t="shared" si="8"/>
        <v>614023.91193519335</v>
      </c>
    </row>
    <row r="164" spans="1:16">
      <c r="A164" s="206">
        <v>157</v>
      </c>
      <c r="B164" s="175" t="s">
        <v>0</v>
      </c>
      <c r="C164" s="175" t="s">
        <v>2632</v>
      </c>
      <c r="D164" s="1" t="s">
        <v>267</v>
      </c>
      <c r="E164" s="176" t="s">
        <v>268</v>
      </c>
      <c r="F164" s="216">
        <v>7794334009060</v>
      </c>
      <c r="G164" s="216">
        <v>2</v>
      </c>
      <c r="H164" s="5" t="s">
        <v>1191</v>
      </c>
      <c r="I164" s="204">
        <v>1029</v>
      </c>
      <c r="J164" s="260">
        <v>0.1</v>
      </c>
      <c r="L164" s="217">
        <f t="shared" si="6"/>
        <v>486714.47123250004</v>
      </c>
      <c r="N164" s="271">
        <f t="shared" si="7"/>
        <v>705735.98328712501</v>
      </c>
      <c r="P164" s="326">
        <f t="shared" si="8"/>
        <v>853940.53977742128</v>
      </c>
    </row>
    <row r="165" spans="1:16">
      <c r="A165" s="206">
        <v>158</v>
      </c>
      <c r="B165" s="175" t="s">
        <v>0</v>
      </c>
      <c r="C165" s="175" t="s">
        <v>2632</v>
      </c>
      <c r="D165" s="1" t="s">
        <v>269</v>
      </c>
      <c r="E165" s="176" t="s">
        <v>270</v>
      </c>
      <c r="F165" s="216">
        <v>7794334003655</v>
      </c>
      <c r="G165" s="216">
        <v>2</v>
      </c>
      <c r="H165" s="5" t="s">
        <v>1191</v>
      </c>
      <c r="I165" s="204">
        <v>417</v>
      </c>
      <c r="J165" s="260">
        <v>0.1</v>
      </c>
      <c r="L165" s="217">
        <f t="shared" si="6"/>
        <v>197239.97522250001</v>
      </c>
      <c r="N165" s="271">
        <f t="shared" si="7"/>
        <v>285997.96407262504</v>
      </c>
      <c r="P165" s="326">
        <f t="shared" si="8"/>
        <v>346057.53652787628</v>
      </c>
    </row>
    <row r="166" spans="1:16">
      <c r="A166" s="206">
        <v>159</v>
      </c>
      <c r="B166" s="175" t="s">
        <v>0</v>
      </c>
      <c r="C166" s="175" t="s">
        <v>2632</v>
      </c>
      <c r="D166" s="1" t="s">
        <v>271</v>
      </c>
      <c r="E166" s="176" t="s">
        <v>272</v>
      </c>
      <c r="F166" s="216">
        <v>7794334003662</v>
      </c>
      <c r="G166" s="216">
        <v>2</v>
      </c>
      <c r="H166" s="5" t="s">
        <v>1191</v>
      </c>
      <c r="I166" s="204">
        <v>417</v>
      </c>
      <c r="J166" s="260">
        <v>0.1</v>
      </c>
      <c r="L166" s="217">
        <f t="shared" si="6"/>
        <v>197239.97522250001</v>
      </c>
      <c r="N166" s="271">
        <f t="shared" si="7"/>
        <v>285997.96407262504</v>
      </c>
      <c r="P166" s="326">
        <f t="shared" si="8"/>
        <v>346057.53652787628</v>
      </c>
    </row>
    <row r="167" spans="1:16">
      <c r="A167" s="206">
        <v>160</v>
      </c>
      <c r="B167" s="175" t="s">
        <v>0</v>
      </c>
      <c r="C167" s="175" t="s">
        <v>2632</v>
      </c>
      <c r="D167" s="1" t="s">
        <v>273</v>
      </c>
      <c r="E167" s="176" t="s">
        <v>274</v>
      </c>
      <c r="F167" s="216">
        <v>7794334003679</v>
      </c>
      <c r="G167" s="216">
        <v>2</v>
      </c>
      <c r="H167" s="5" t="s">
        <v>1191</v>
      </c>
      <c r="I167" s="204">
        <v>460</v>
      </c>
      <c r="J167" s="260">
        <v>0.1</v>
      </c>
      <c r="L167" s="217">
        <f t="shared" si="6"/>
        <v>217578.86954999997</v>
      </c>
      <c r="N167" s="271">
        <f t="shared" si="7"/>
        <v>315489.36084749998</v>
      </c>
      <c r="P167" s="326">
        <f t="shared" si="8"/>
        <v>381742.12662547495</v>
      </c>
    </row>
    <row r="168" spans="1:16">
      <c r="A168" s="206">
        <v>161</v>
      </c>
      <c r="B168" s="175" t="s">
        <v>0</v>
      </c>
      <c r="C168" s="175" t="s">
        <v>2632</v>
      </c>
      <c r="D168" s="1" t="s">
        <v>275</v>
      </c>
      <c r="E168" s="176" t="s">
        <v>276</v>
      </c>
      <c r="F168" s="216">
        <v>7794334003686</v>
      </c>
      <c r="G168" s="216">
        <v>2</v>
      </c>
      <c r="H168" s="5" t="s">
        <v>1191</v>
      </c>
      <c r="I168" s="204">
        <v>460</v>
      </c>
      <c r="J168" s="260">
        <v>0.1</v>
      </c>
      <c r="L168" s="217">
        <f t="shared" si="6"/>
        <v>217578.86954999997</v>
      </c>
      <c r="N168" s="271">
        <f t="shared" si="7"/>
        <v>315489.36084749998</v>
      </c>
      <c r="P168" s="326">
        <f t="shared" si="8"/>
        <v>381742.12662547495</v>
      </c>
    </row>
    <row r="169" spans="1:16">
      <c r="A169" s="206">
        <v>162</v>
      </c>
      <c r="B169" s="175" t="s">
        <v>0</v>
      </c>
      <c r="C169" s="175" t="s">
        <v>2632</v>
      </c>
      <c r="D169" s="1" t="s">
        <v>277</v>
      </c>
      <c r="E169" s="176" t="s">
        <v>278</v>
      </c>
      <c r="F169" s="216">
        <v>7794334003693</v>
      </c>
      <c r="G169" s="216">
        <v>2</v>
      </c>
      <c r="H169" s="5" t="s">
        <v>1191</v>
      </c>
      <c r="I169" s="204">
        <v>589.5</v>
      </c>
      <c r="J169" s="260">
        <v>0.1</v>
      </c>
      <c r="L169" s="217">
        <f t="shared" si="6"/>
        <v>278832.05130374996</v>
      </c>
      <c r="N169" s="271">
        <f t="shared" si="7"/>
        <v>404306.47439043742</v>
      </c>
      <c r="P169" s="326">
        <f t="shared" si="8"/>
        <v>489210.83401242929</v>
      </c>
    </row>
    <row r="170" spans="1:16">
      <c r="A170" s="206">
        <v>163</v>
      </c>
      <c r="B170" s="175" t="s">
        <v>0</v>
      </c>
      <c r="C170" s="175" t="s">
        <v>2632</v>
      </c>
      <c r="D170" s="1" t="s">
        <v>279</v>
      </c>
      <c r="E170" s="176" t="s">
        <v>280</v>
      </c>
      <c r="F170" s="216">
        <v>7794334003709</v>
      </c>
      <c r="G170" s="216">
        <v>2</v>
      </c>
      <c r="H170" s="5" t="s">
        <v>1191</v>
      </c>
      <c r="I170" s="204">
        <v>589.5</v>
      </c>
      <c r="J170" s="260">
        <v>0.1</v>
      </c>
      <c r="L170" s="217">
        <f t="shared" si="6"/>
        <v>278832.05130374996</v>
      </c>
      <c r="N170" s="271">
        <f t="shared" si="7"/>
        <v>404306.47439043742</v>
      </c>
      <c r="P170" s="326">
        <f t="shared" si="8"/>
        <v>489210.83401242929</v>
      </c>
    </row>
    <row r="171" spans="1:16">
      <c r="A171" s="206">
        <v>164</v>
      </c>
      <c r="B171" s="175" t="s">
        <v>0</v>
      </c>
      <c r="C171" s="175" t="s">
        <v>2632</v>
      </c>
      <c r="D171" s="1" t="s">
        <v>281</v>
      </c>
      <c r="E171" s="176" t="s">
        <v>282</v>
      </c>
      <c r="F171" s="216">
        <v>7794334003716</v>
      </c>
      <c r="G171" s="216">
        <v>2</v>
      </c>
      <c r="H171" s="5" t="s">
        <v>1191</v>
      </c>
      <c r="I171" s="204">
        <v>720</v>
      </c>
      <c r="J171" s="260">
        <v>0.1</v>
      </c>
      <c r="L171" s="217">
        <f t="shared" si="6"/>
        <v>340558.23060000001</v>
      </c>
      <c r="N171" s="271">
        <f t="shared" si="7"/>
        <v>493809.43436999997</v>
      </c>
      <c r="P171" s="326">
        <f t="shared" si="8"/>
        <v>597509.41558769997</v>
      </c>
    </row>
    <row r="172" spans="1:16">
      <c r="A172" s="206">
        <v>165</v>
      </c>
      <c r="B172" s="175" t="s">
        <v>0</v>
      </c>
      <c r="C172" s="175" t="s">
        <v>2632</v>
      </c>
      <c r="D172" s="1" t="s">
        <v>283</v>
      </c>
      <c r="E172" s="176" t="s">
        <v>284</v>
      </c>
      <c r="F172" s="216">
        <v>7794334003723</v>
      </c>
      <c r="G172" s="216">
        <v>2</v>
      </c>
      <c r="H172" s="5" t="s">
        <v>1191</v>
      </c>
      <c r="I172" s="204">
        <v>720</v>
      </c>
      <c r="J172" s="260">
        <v>0.1</v>
      </c>
      <c r="L172" s="217">
        <f t="shared" si="6"/>
        <v>340558.23060000001</v>
      </c>
      <c r="N172" s="271">
        <f t="shared" si="7"/>
        <v>493809.43436999997</v>
      </c>
      <c r="P172" s="326">
        <f t="shared" si="8"/>
        <v>597509.41558769997</v>
      </c>
    </row>
    <row r="173" spans="1:16">
      <c r="A173" s="206">
        <v>166</v>
      </c>
      <c r="B173" s="175" t="s">
        <v>0</v>
      </c>
      <c r="C173" s="175" t="s">
        <v>2632</v>
      </c>
      <c r="D173" s="1" t="s">
        <v>285</v>
      </c>
      <c r="E173" s="176" t="s">
        <v>286</v>
      </c>
      <c r="F173" s="216">
        <v>7794334003730</v>
      </c>
      <c r="G173" s="216">
        <v>2</v>
      </c>
      <c r="H173" s="5" t="s">
        <v>1191</v>
      </c>
      <c r="I173" s="204">
        <v>803</v>
      </c>
      <c r="J173" s="260">
        <v>0.1</v>
      </c>
      <c r="L173" s="217">
        <f t="shared" si="6"/>
        <v>379817.02662749996</v>
      </c>
      <c r="N173" s="271">
        <f t="shared" si="7"/>
        <v>550734.68860987492</v>
      </c>
      <c r="P173" s="326">
        <f t="shared" si="8"/>
        <v>666388.97321794869</v>
      </c>
    </row>
    <row r="174" spans="1:16">
      <c r="A174" s="206">
        <v>167</v>
      </c>
      <c r="B174" s="175" t="s">
        <v>0</v>
      </c>
      <c r="C174" s="175" t="s">
        <v>2632</v>
      </c>
      <c r="D174" s="1" t="s">
        <v>287</v>
      </c>
      <c r="E174" s="176" t="s">
        <v>288</v>
      </c>
      <c r="F174" s="216">
        <v>7794334003747</v>
      </c>
      <c r="G174" s="216">
        <v>2</v>
      </c>
      <c r="H174" s="5" t="s">
        <v>1191</v>
      </c>
      <c r="I174" s="204">
        <v>803</v>
      </c>
      <c r="J174" s="260">
        <v>0.1</v>
      </c>
      <c r="L174" s="217">
        <f t="shared" si="6"/>
        <v>379817.02662749996</v>
      </c>
      <c r="N174" s="271">
        <f t="shared" si="7"/>
        <v>550734.68860987492</v>
      </c>
      <c r="P174" s="326">
        <f t="shared" si="8"/>
        <v>666388.97321794869</v>
      </c>
    </row>
    <row r="175" spans="1:16">
      <c r="A175" s="206">
        <v>168</v>
      </c>
      <c r="B175" s="175" t="s">
        <v>0</v>
      </c>
      <c r="C175" s="175" t="s">
        <v>2632</v>
      </c>
      <c r="D175" s="1" t="s">
        <v>289</v>
      </c>
      <c r="E175" s="176" t="s">
        <v>290</v>
      </c>
      <c r="F175" s="216">
        <v>7794334003754</v>
      </c>
      <c r="G175" s="216">
        <v>2</v>
      </c>
      <c r="H175" s="5" t="s">
        <v>1191</v>
      </c>
      <c r="I175" s="204">
        <v>1127</v>
      </c>
      <c r="J175" s="260">
        <v>0.1</v>
      </c>
      <c r="L175" s="217">
        <f t="shared" si="6"/>
        <v>533068.23039749998</v>
      </c>
      <c r="N175" s="271">
        <f t="shared" si="7"/>
        <v>772948.93407637498</v>
      </c>
      <c r="P175" s="326">
        <f t="shared" si="8"/>
        <v>935268.21023241372</v>
      </c>
    </row>
    <row r="176" spans="1:16">
      <c r="A176" s="206">
        <v>169</v>
      </c>
      <c r="B176" s="175" t="s">
        <v>0</v>
      </c>
      <c r="C176" s="175" t="s">
        <v>2632</v>
      </c>
      <c r="D176" s="1" t="s">
        <v>3008</v>
      </c>
      <c r="E176" s="176" t="s">
        <v>3009</v>
      </c>
      <c r="F176" s="216">
        <v>7794334007417</v>
      </c>
      <c r="G176" s="216">
        <v>2</v>
      </c>
      <c r="H176" s="5" t="s">
        <v>1191</v>
      </c>
      <c r="I176" s="204">
        <v>7.1</v>
      </c>
      <c r="J176" s="260">
        <v>0.1</v>
      </c>
      <c r="L176" s="217">
        <f t="shared" si="6"/>
        <v>3358.2825517499996</v>
      </c>
      <c r="N176" s="271">
        <f t="shared" si="7"/>
        <v>4869.509700037499</v>
      </c>
      <c r="P176" s="326">
        <f t="shared" si="8"/>
        <v>5892.1067370453738</v>
      </c>
    </row>
    <row r="177" spans="1:16">
      <c r="A177" s="206">
        <v>170</v>
      </c>
      <c r="B177" s="175" t="s">
        <v>0</v>
      </c>
      <c r="C177" s="175" t="s">
        <v>2632</v>
      </c>
      <c r="D177" s="1" t="s">
        <v>3010</v>
      </c>
      <c r="E177" s="176" t="s">
        <v>3011</v>
      </c>
      <c r="F177" s="216">
        <v>7794334007424</v>
      </c>
      <c r="G177" s="216">
        <v>2</v>
      </c>
      <c r="H177" s="5" t="s">
        <v>1191</v>
      </c>
      <c r="I177" s="204">
        <v>7.5</v>
      </c>
      <c r="J177" s="260">
        <v>0.1</v>
      </c>
      <c r="L177" s="217">
        <f t="shared" si="6"/>
        <v>3547.4815687499995</v>
      </c>
      <c r="N177" s="271">
        <f t="shared" si="7"/>
        <v>5143.8482746874988</v>
      </c>
      <c r="P177" s="326">
        <f t="shared" si="8"/>
        <v>6224.0564123718732</v>
      </c>
    </row>
    <row r="178" spans="1:16">
      <c r="A178" s="206">
        <v>171</v>
      </c>
      <c r="B178" s="175" t="s">
        <v>0</v>
      </c>
      <c r="C178" s="175" t="s">
        <v>2632</v>
      </c>
      <c r="D178" s="1" t="s">
        <v>3012</v>
      </c>
      <c r="E178" s="176" t="s">
        <v>3013</v>
      </c>
      <c r="F178" s="216">
        <v>7794334007431</v>
      </c>
      <c r="G178" s="216">
        <v>2</v>
      </c>
      <c r="H178" s="5" t="s">
        <v>1191</v>
      </c>
      <c r="I178" s="204">
        <v>15</v>
      </c>
      <c r="J178" s="260">
        <v>0.1</v>
      </c>
      <c r="L178" s="217">
        <f t="shared" si="6"/>
        <v>7094.963137499999</v>
      </c>
      <c r="N178" s="271">
        <f t="shared" si="7"/>
        <v>10287.696549374998</v>
      </c>
      <c r="P178" s="326">
        <f t="shared" si="8"/>
        <v>12448.112824743746</v>
      </c>
    </row>
    <row r="179" spans="1:16">
      <c r="A179" s="206">
        <v>172</v>
      </c>
      <c r="B179" s="175" t="s">
        <v>0</v>
      </c>
      <c r="C179" s="175" t="s">
        <v>2632</v>
      </c>
      <c r="D179" s="1" t="s">
        <v>3014</v>
      </c>
      <c r="E179" s="176" t="s">
        <v>3015</v>
      </c>
      <c r="F179" s="216">
        <v>7794334007448</v>
      </c>
      <c r="G179" s="216">
        <v>2</v>
      </c>
      <c r="H179" s="5" t="s">
        <v>1191</v>
      </c>
      <c r="I179" s="204">
        <v>15.7</v>
      </c>
      <c r="J179" s="260">
        <v>0.1</v>
      </c>
      <c r="L179" s="217">
        <f t="shared" si="6"/>
        <v>7426.0614172500009</v>
      </c>
      <c r="N179" s="271">
        <f t="shared" si="7"/>
        <v>10767.789055012501</v>
      </c>
      <c r="P179" s="326">
        <f t="shared" si="8"/>
        <v>13029.024756565126</v>
      </c>
    </row>
    <row r="180" spans="1:16">
      <c r="A180" s="206">
        <v>173</v>
      </c>
      <c r="B180" s="175" t="s">
        <v>0</v>
      </c>
      <c r="C180" s="175" t="s">
        <v>2634</v>
      </c>
      <c r="D180" s="3" t="s">
        <v>313</v>
      </c>
      <c r="E180" s="179" t="s">
        <v>314</v>
      </c>
      <c r="F180" s="221">
        <v>7794334004188</v>
      </c>
      <c r="G180" s="216">
        <v>2</v>
      </c>
      <c r="H180" s="5" t="s">
        <v>1191</v>
      </c>
      <c r="I180" s="204">
        <v>112</v>
      </c>
      <c r="J180" s="260">
        <v>0.1</v>
      </c>
      <c r="L180" s="217">
        <f t="shared" si="6"/>
        <v>52975.724759999997</v>
      </c>
      <c r="N180" s="271">
        <f t="shared" si="7"/>
        <v>76814.800901999988</v>
      </c>
      <c r="P180" s="326">
        <f t="shared" si="8"/>
        <v>92945.909091419977</v>
      </c>
    </row>
    <row r="181" spans="1:16">
      <c r="A181" s="206">
        <v>174</v>
      </c>
      <c r="B181" s="175" t="s">
        <v>0</v>
      </c>
      <c r="C181" s="175" t="s">
        <v>2634</v>
      </c>
      <c r="D181" s="3" t="s">
        <v>315</v>
      </c>
      <c r="E181" s="179" t="s">
        <v>316</v>
      </c>
      <c r="F181" s="221">
        <v>7794334004195</v>
      </c>
      <c r="G181" s="216">
        <v>2</v>
      </c>
      <c r="H181" s="5" t="s">
        <v>1191</v>
      </c>
      <c r="I181" s="204">
        <v>112</v>
      </c>
      <c r="J181" s="260">
        <v>0.1</v>
      </c>
      <c r="L181" s="217">
        <f t="shared" si="6"/>
        <v>52975.724759999997</v>
      </c>
      <c r="N181" s="271">
        <f t="shared" si="7"/>
        <v>76814.800901999988</v>
      </c>
      <c r="P181" s="326">
        <f t="shared" si="8"/>
        <v>92945.909091419977</v>
      </c>
    </row>
    <row r="182" spans="1:16">
      <c r="A182" s="206">
        <v>175</v>
      </c>
      <c r="B182" s="175" t="s">
        <v>0</v>
      </c>
      <c r="C182" s="175" t="s">
        <v>2634</v>
      </c>
      <c r="D182" s="3" t="s">
        <v>317</v>
      </c>
      <c r="E182" s="179" t="s">
        <v>318</v>
      </c>
      <c r="F182" s="221">
        <v>7794334010349</v>
      </c>
      <c r="G182" s="216">
        <v>2</v>
      </c>
      <c r="H182" s="5" t="s">
        <v>1191</v>
      </c>
      <c r="I182" s="204">
        <v>189.5</v>
      </c>
      <c r="J182" s="260">
        <v>0.1</v>
      </c>
      <c r="L182" s="217">
        <f t="shared" si="6"/>
        <v>89633.034303749999</v>
      </c>
      <c r="N182" s="271">
        <f t="shared" si="7"/>
        <v>129967.8997404375</v>
      </c>
      <c r="P182" s="326">
        <f t="shared" si="8"/>
        <v>157261.15868592937</v>
      </c>
    </row>
    <row r="183" spans="1:16">
      <c r="A183" s="206">
        <v>176</v>
      </c>
      <c r="B183" s="175" t="s">
        <v>0</v>
      </c>
      <c r="C183" s="175" t="s">
        <v>2634</v>
      </c>
      <c r="D183" s="3" t="s">
        <v>319</v>
      </c>
      <c r="E183" s="179" t="s">
        <v>320</v>
      </c>
      <c r="F183" s="221">
        <v>7794334010356</v>
      </c>
      <c r="G183" s="216">
        <v>2</v>
      </c>
      <c r="H183" s="5" t="s">
        <v>1191</v>
      </c>
      <c r="I183" s="204">
        <v>189.5</v>
      </c>
      <c r="J183" s="260">
        <v>0.1</v>
      </c>
      <c r="L183" s="217">
        <f t="shared" si="6"/>
        <v>89633.034303749999</v>
      </c>
      <c r="N183" s="271">
        <f t="shared" si="7"/>
        <v>129967.8997404375</v>
      </c>
      <c r="P183" s="326">
        <f t="shared" si="8"/>
        <v>157261.15868592937</v>
      </c>
    </row>
    <row r="184" spans="1:16">
      <c r="A184" s="206">
        <v>177</v>
      </c>
      <c r="B184" s="175" t="s">
        <v>0</v>
      </c>
      <c r="C184" s="175" t="s">
        <v>2634</v>
      </c>
      <c r="D184" s="3" t="s">
        <v>321</v>
      </c>
      <c r="E184" s="179" t="s">
        <v>322</v>
      </c>
      <c r="F184" s="221">
        <v>7794334010363</v>
      </c>
      <c r="G184" s="216">
        <v>2</v>
      </c>
      <c r="H184" s="5" t="s">
        <v>1191</v>
      </c>
      <c r="I184" s="204">
        <v>177.5</v>
      </c>
      <c r="J184" s="260">
        <v>0.1</v>
      </c>
      <c r="L184" s="217">
        <f t="shared" si="6"/>
        <v>83957.06379375</v>
      </c>
      <c r="N184" s="271">
        <f t="shared" si="7"/>
        <v>121737.7425009375</v>
      </c>
      <c r="P184" s="326">
        <f t="shared" si="8"/>
        <v>147302.66842613436</v>
      </c>
    </row>
    <row r="185" spans="1:16">
      <c r="A185" s="206">
        <v>178</v>
      </c>
      <c r="B185" s="175" t="s">
        <v>0</v>
      </c>
      <c r="C185" s="175" t="s">
        <v>2634</v>
      </c>
      <c r="D185" s="3" t="s">
        <v>323</v>
      </c>
      <c r="E185" s="179" t="s">
        <v>324</v>
      </c>
      <c r="F185" s="221">
        <v>7794334004225</v>
      </c>
      <c r="G185" s="216">
        <v>2</v>
      </c>
      <c r="H185" s="5" t="s">
        <v>1191</v>
      </c>
      <c r="I185" s="204">
        <v>319</v>
      </c>
      <c r="J185" s="260">
        <v>0.1</v>
      </c>
      <c r="L185" s="217">
        <f t="shared" si="6"/>
        <v>150886.21605749999</v>
      </c>
      <c r="N185" s="271">
        <f t="shared" si="7"/>
        <v>218785.01328337498</v>
      </c>
      <c r="P185" s="326">
        <f t="shared" si="8"/>
        <v>264729.86607288371</v>
      </c>
    </row>
    <row r="186" spans="1:16">
      <c r="A186" s="206">
        <v>179</v>
      </c>
      <c r="B186" s="175" t="s">
        <v>0</v>
      </c>
      <c r="C186" s="175" t="s">
        <v>2634</v>
      </c>
      <c r="D186" s="3" t="s">
        <v>325</v>
      </c>
      <c r="E186" s="179" t="s">
        <v>326</v>
      </c>
      <c r="F186" s="221">
        <v>7794334242214</v>
      </c>
      <c r="G186" s="216">
        <v>2</v>
      </c>
      <c r="H186" s="5" t="s">
        <v>1191</v>
      </c>
      <c r="I186" s="204">
        <v>156</v>
      </c>
      <c r="J186" s="260">
        <v>0.1</v>
      </c>
      <c r="L186" s="217">
        <f t="shared" si="6"/>
        <v>73787.61662999999</v>
      </c>
      <c r="N186" s="271">
        <f t="shared" si="7"/>
        <v>106992.04411349999</v>
      </c>
      <c r="P186" s="326">
        <f t="shared" si="8"/>
        <v>129460.37337733498</v>
      </c>
    </row>
    <row r="187" spans="1:16">
      <c r="A187" s="206">
        <v>180</v>
      </c>
      <c r="B187" s="175" t="s">
        <v>0</v>
      </c>
      <c r="C187" s="175" t="s">
        <v>2634</v>
      </c>
      <c r="D187" s="3" t="s">
        <v>327</v>
      </c>
      <c r="E187" s="179" t="s">
        <v>328</v>
      </c>
      <c r="F187" s="221">
        <v>7794334009602</v>
      </c>
      <c r="G187" s="216">
        <v>2</v>
      </c>
      <c r="H187" s="5" t="s">
        <v>1191</v>
      </c>
      <c r="I187" s="204">
        <v>142.5</v>
      </c>
      <c r="J187" s="260">
        <v>0.1</v>
      </c>
      <c r="L187" s="217">
        <f t="shared" si="6"/>
        <v>67402.149806249989</v>
      </c>
      <c r="N187" s="271">
        <f t="shared" si="7"/>
        <v>97733.117219062478</v>
      </c>
      <c r="P187" s="326">
        <f t="shared" si="8"/>
        <v>118257.0718350656</v>
      </c>
    </row>
    <row r="188" spans="1:16">
      <c r="A188" s="206">
        <v>181</v>
      </c>
      <c r="B188" s="175" t="s">
        <v>0</v>
      </c>
      <c r="C188" s="175" t="s">
        <v>2634</v>
      </c>
      <c r="D188" s="3" t="s">
        <v>329</v>
      </c>
      <c r="E188" s="179" t="s">
        <v>330</v>
      </c>
      <c r="F188" s="221">
        <v>7794334004232</v>
      </c>
      <c r="G188" s="216">
        <v>2</v>
      </c>
      <c r="H188" s="5" t="s">
        <v>1191</v>
      </c>
      <c r="I188" s="204">
        <v>220</v>
      </c>
      <c r="J188" s="260">
        <v>0.1</v>
      </c>
      <c r="L188" s="217">
        <f t="shared" si="6"/>
        <v>104059.45934999999</v>
      </c>
      <c r="N188" s="271">
        <f t="shared" si="7"/>
        <v>150886.21605749999</v>
      </c>
      <c r="P188" s="326">
        <f t="shared" si="8"/>
        <v>182572.32142957498</v>
      </c>
    </row>
    <row r="189" spans="1:16">
      <c r="A189" s="206">
        <v>182</v>
      </c>
      <c r="B189" s="175" t="s">
        <v>0</v>
      </c>
      <c r="C189" s="175" t="s">
        <v>2634</v>
      </c>
      <c r="D189" s="3" t="s">
        <v>331</v>
      </c>
      <c r="E189" s="179" t="s">
        <v>332</v>
      </c>
      <c r="F189" s="221">
        <v>7794334004249</v>
      </c>
      <c r="G189" s="216">
        <v>2</v>
      </c>
      <c r="H189" s="5" t="s">
        <v>1191</v>
      </c>
      <c r="I189" s="204">
        <v>258.89999999999998</v>
      </c>
      <c r="J189" s="260">
        <v>0.1</v>
      </c>
      <c r="L189" s="217">
        <f t="shared" si="6"/>
        <v>122459.06375324998</v>
      </c>
      <c r="N189" s="271">
        <f t="shared" si="7"/>
        <v>177565.64244221247</v>
      </c>
      <c r="P189" s="326">
        <f t="shared" si="8"/>
        <v>214854.42735507709</v>
      </c>
    </row>
    <row r="190" spans="1:16">
      <c r="A190" s="206">
        <v>183</v>
      </c>
      <c r="B190" s="175" t="s">
        <v>0</v>
      </c>
      <c r="C190" s="175" t="s">
        <v>2634</v>
      </c>
      <c r="D190" s="3" t="s">
        <v>333</v>
      </c>
      <c r="E190" s="179" t="s">
        <v>334</v>
      </c>
      <c r="F190" s="221">
        <v>7794334004256</v>
      </c>
      <c r="G190" s="216">
        <v>2</v>
      </c>
      <c r="H190" s="5" t="s">
        <v>1191</v>
      </c>
      <c r="I190" s="204">
        <v>327.8</v>
      </c>
      <c r="J190" s="260">
        <v>0.1</v>
      </c>
      <c r="L190" s="217">
        <f t="shared" si="6"/>
        <v>155048.59443150001</v>
      </c>
      <c r="N190" s="271">
        <f t="shared" si="7"/>
        <v>224820.46192567502</v>
      </c>
      <c r="P190" s="326">
        <f t="shared" si="8"/>
        <v>272032.75893006678</v>
      </c>
    </row>
    <row r="191" spans="1:16">
      <c r="A191" s="206">
        <v>184</v>
      </c>
      <c r="B191" s="175" t="s">
        <v>0</v>
      </c>
      <c r="C191" s="175" t="s">
        <v>2634</v>
      </c>
      <c r="D191" s="3" t="s">
        <v>335</v>
      </c>
      <c r="E191" s="179" t="s">
        <v>336</v>
      </c>
      <c r="F191" s="221">
        <v>7794334004263</v>
      </c>
      <c r="G191" s="216">
        <v>2</v>
      </c>
      <c r="H191" s="5" t="s">
        <v>1191</v>
      </c>
      <c r="I191" s="204">
        <v>463.9</v>
      </c>
      <c r="J191" s="260">
        <v>0.1</v>
      </c>
      <c r="L191" s="217">
        <f t="shared" si="6"/>
        <v>219423.55996575</v>
      </c>
      <c r="N191" s="271">
        <f t="shared" si="7"/>
        <v>318164.16195033747</v>
      </c>
      <c r="P191" s="326">
        <f t="shared" si="8"/>
        <v>384978.63595990831</v>
      </c>
    </row>
    <row r="192" spans="1:16">
      <c r="A192" s="206">
        <v>185</v>
      </c>
      <c r="B192" s="175" t="s">
        <v>0</v>
      </c>
      <c r="C192" s="175" t="s">
        <v>2634</v>
      </c>
      <c r="D192" s="3" t="s">
        <v>337</v>
      </c>
      <c r="E192" s="179" t="s">
        <v>338</v>
      </c>
      <c r="F192" s="221">
        <v>7794334004270</v>
      </c>
      <c r="G192" s="216">
        <v>2</v>
      </c>
      <c r="H192" s="5" t="s">
        <v>1191</v>
      </c>
      <c r="I192" s="204">
        <v>324</v>
      </c>
      <c r="J192" s="260">
        <v>0.1</v>
      </c>
      <c r="L192" s="217">
        <f t="shared" si="6"/>
        <v>153251.20376999999</v>
      </c>
      <c r="N192" s="271">
        <f t="shared" si="7"/>
        <v>222214.2454665</v>
      </c>
      <c r="P192" s="326">
        <f t="shared" si="8"/>
        <v>268879.23701446498</v>
      </c>
    </row>
    <row r="193" spans="1:16">
      <c r="A193" s="206">
        <v>186</v>
      </c>
      <c r="B193" s="175" t="s">
        <v>0</v>
      </c>
      <c r="C193" s="175" t="s">
        <v>2634</v>
      </c>
      <c r="D193" s="3" t="s">
        <v>339</v>
      </c>
      <c r="E193" s="179" t="s">
        <v>340</v>
      </c>
      <c r="F193" s="221">
        <v>7794334004287</v>
      </c>
      <c r="G193" s="216">
        <v>2</v>
      </c>
      <c r="H193" s="5" t="s">
        <v>1191</v>
      </c>
      <c r="I193" s="204">
        <v>373.2</v>
      </c>
      <c r="J193" s="260">
        <v>0.1</v>
      </c>
      <c r="L193" s="217">
        <f t="shared" si="6"/>
        <v>176522.68286099998</v>
      </c>
      <c r="N193" s="271">
        <f t="shared" si="7"/>
        <v>255957.89014844995</v>
      </c>
      <c r="P193" s="326">
        <f t="shared" si="8"/>
        <v>309709.04707962443</v>
      </c>
    </row>
    <row r="194" spans="1:16">
      <c r="A194" s="206">
        <v>187</v>
      </c>
      <c r="B194" s="175" t="s">
        <v>0</v>
      </c>
      <c r="C194" s="175" t="s">
        <v>2634</v>
      </c>
      <c r="D194" s="3" t="s">
        <v>341</v>
      </c>
      <c r="E194" s="179" t="s">
        <v>342</v>
      </c>
      <c r="F194" s="221">
        <v>7794334004317</v>
      </c>
      <c r="G194" s="216">
        <v>2</v>
      </c>
      <c r="H194" s="5" t="s">
        <v>1191</v>
      </c>
      <c r="I194" s="204">
        <v>434.5</v>
      </c>
      <c r="J194" s="260">
        <v>0.1</v>
      </c>
      <c r="L194" s="217">
        <f t="shared" si="6"/>
        <v>205517.43221624999</v>
      </c>
      <c r="N194" s="271">
        <f t="shared" si="7"/>
        <v>298000.27671356249</v>
      </c>
      <c r="P194" s="326">
        <f t="shared" si="8"/>
        <v>360580.33482341061</v>
      </c>
    </row>
    <row r="195" spans="1:16">
      <c r="A195" s="206">
        <v>188</v>
      </c>
      <c r="B195" s="175" t="s">
        <v>0</v>
      </c>
      <c r="C195" s="175" t="s">
        <v>2634</v>
      </c>
      <c r="D195" s="3" t="s">
        <v>343</v>
      </c>
      <c r="E195" s="179" t="s">
        <v>4006</v>
      </c>
      <c r="F195" s="221">
        <v>7794334248629</v>
      </c>
      <c r="G195" s="216">
        <v>2</v>
      </c>
      <c r="H195" s="5" t="s">
        <v>1191</v>
      </c>
      <c r="I195" s="204">
        <v>220.5</v>
      </c>
      <c r="J195" s="260">
        <v>0.1</v>
      </c>
      <c r="L195" s="217">
        <f t="shared" si="6"/>
        <v>104295.95812124999</v>
      </c>
      <c r="N195" s="271">
        <f t="shared" si="7"/>
        <v>151229.13927581249</v>
      </c>
      <c r="P195" s="326">
        <f t="shared" si="8"/>
        <v>182987.25852373309</v>
      </c>
    </row>
    <row r="196" spans="1:16">
      <c r="A196" s="206">
        <v>189</v>
      </c>
      <c r="B196" s="175" t="s">
        <v>0</v>
      </c>
      <c r="C196" s="175" t="s">
        <v>2634</v>
      </c>
      <c r="D196" s="3" t="s">
        <v>344</v>
      </c>
      <c r="E196" s="179" t="s">
        <v>4007</v>
      </c>
      <c r="F196" s="221">
        <v>7794334242245</v>
      </c>
      <c r="G196" s="216">
        <v>2</v>
      </c>
      <c r="H196" s="5" t="s">
        <v>1191</v>
      </c>
      <c r="I196" s="204">
        <v>380</v>
      </c>
      <c r="J196" s="260">
        <v>0.1</v>
      </c>
      <c r="L196" s="217">
        <f t="shared" si="6"/>
        <v>179739.06615</v>
      </c>
      <c r="N196" s="271">
        <f t="shared" si="7"/>
        <v>260621.64591749999</v>
      </c>
      <c r="P196" s="326">
        <f t="shared" si="8"/>
        <v>315352.19156017498</v>
      </c>
    </row>
    <row r="197" spans="1:16">
      <c r="A197" s="206">
        <v>190</v>
      </c>
      <c r="B197" s="175" t="s">
        <v>0</v>
      </c>
      <c r="C197" s="175" t="s">
        <v>2634</v>
      </c>
      <c r="D197" s="3" t="s">
        <v>345</v>
      </c>
      <c r="E197" s="179" t="s">
        <v>346</v>
      </c>
      <c r="F197" s="221">
        <v>7794334004294</v>
      </c>
      <c r="G197" s="216">
        <v>2</v>
      </c>
      <c r="H197" s="5" t="s">
        <v>1191</v>
      </c>
      <c r="I197" s="204">
        <v>442.5</v>
      </c>
      <c r="J197" s="260">
        <v>0.1</v>
      </c>
      <c r="L197" s="217">
        <f t="shared" si="6"/>
        <v>209301.41255625</v>
      </c>
      <c r="N197" s="271">
        <f t="shared" si="7"/>
        <v>303487.04820656247</v>
      </c>
      <c r="P197" s="326">
        <f t="shared" si="8"/>
        <v>367219.32832994056</v>
      </c>
    </row>
    <row r="198" spans="1:16">
      <c r="A198" s="206">
        <v>191</v>
      </c>
      <c r="B198" s="175" t="s">
        <v>0</v>
      </c>
      <c r="C198" s="175" t="s">
        <v>2634</v>
      </c>
      <c r="D198" s="3" t="s">
        <v>347</v>
      </c>
      <c r="E198" s="179" t="s">
        <v>348</v>
      </c>
      <c r="F198" s="221">
        <v>7794334004300</v>
      </c>
      <c r="G198" s="216">
        <v>2</v>
      </c>
      <c r="H198" s="5" t="s">
        <v>1191</v>
      </c>
      <c r="I198" s="204">
        <v>530</v>
      </c>
      <c r="J198" s="260">
        <v>0.1</v>
      </c>
      <c r="L198" s="217">
        <f t="shared" si="6"/>
        <v>250688.697525</v>
      </c>
      <c r="N198" s="271">
        <f t="shared" si="7"/>
        <v>363498.61141124996</v>
      </c>
      <c r="P198" s="326">
        <f t="shared" si="8"/>
        <v>439833.31980761245</v>
      </c>
    </row>
    <row r="199" spans="1:16">
      <c r="A199" s="206">
        <v>192</v>
      </c>
      <c r="B199" s="175" t="s">
        <v>0</v>
      </c>
      <c r="C199" s="175" t="s">
        <v>2634</v>
      </c>
      <c r="D199" s="3" t="s">
        <v>349</v>
      </c>
      <c r="E199" s="179" t="s">
        <v>350</v>
      </c>
      <c r="F199" s="221">
        <v>7794334248636</v>
      </c>
      <c r="G199" s="216">
        <v>2</v>
      </c>
      <c r="H199" s="5" t="s">
        <v>1191</v>
      </c>
      <c r="I199" s="204">
        <v>252</v>
      </c>
      <c r="J199" s="260">
        <v>0.1</v>
      </c>
      <c r="L199" s="217">
        <f t="shared" si="6"/>
        <v>119195.38070999998</v>
      </c>
      <c r="N199" s="271">
        <f t="shared" si="7"/>
        <v>172833.30202949996</v>
      </c>
      <c r="P199" s="326">
        <f t="shared" si="8"/>
        <v>209128.29545569496</v>
      </c>
    </row>
    <row r="200" spans="1:16">
      <c r="A200" s="206">
        <v>193</v>
      </c>
      <c r="B200" s="175" t="s">
        <v>0</v>
      </c>
      <c r="C200" s="175" t="s">
        <v>2634</v>
      </c>
      <c r="D200" s="3" t="s">
        <v>351</v>
      </c>
      <c r="E200" s="179" t="s">
        <v>350</v>
      </c>
      <c r="F200" s="221">
        <v>7794334242252</v>
      </c>
      <c r="G200" s="216">
        <v>2</v>
      </c>
      <c r="H200" s="5" t="s">
        <v>1191</v>
      </c>
      <c r="I200" s="204">
        <v>470</v>
      </c>
      <c r="J200" s="260">
        <v>0.1</v>
      </c>
      <c r="L200" s="217">
        <f t="shared" ref="L200:L263" si="9">+I200*$F$2*$F$3*$F$4*$F$5</f>
        <v>222308.84497499999</v>
      </c>
      <c r="N200" s="271">
        <f t="shared" si="7"/>
        <v>322347.82521374995</v>
      </c>
      <c r="P200" s="326">
        <f t="shared" si="8"/>
        <v>390040.86850863742</v>
      </c>
    </row>
    <row r="201" spans="1:16">
      <c r="A201" s="206">
        <v>194</v>
      </c>
      <c r="B201" s="175" t="s">
        <v>0</v>
      </c>
      <c r="C201" s="175" t="s">
        <v>2634</v>
      </c>
      <c r="D201" s="3" t="s">
        <v>352</v>
      </c>
      <c r="E201" s="179" t="s">
        <v>353</v>
      </c>
      <c r="F201" s="221">
        <v>7794334004324</v>
      </c>
      <c r="G201" s="216">
        <v>2</v>
      </c>
      <c r="H201" s="5" t="s">
        <v>1191</v>
      </c>
      <c r="I201" s="204">
        <v>190</v>
      </c>
      <c r="J201" s="260">
        <v>0.1</v>
      </c>
      <c r="L201" s="217">
        <f t="shared" si="9"/>
        <v>89869.533074999999</v>
      </c>
      <c r="N201" s="271">
        <f t="shared" ref="N201:N264" si="10">+L201*1.45</f>
        <v>130310.82295875</v>
      </c>
      <c r="P201" s="326">
        <f t="shared" ref="P201:P264" si="11">+N201*1.21</f>
        <v>157676.09578008749</v>
      </c>
    </row>
    <row r="202" spans="1:16">
      <c r="A202" s="206">
        <v>195</v>
      </c>
      <c r="B202" s="175" t="s">
        <v>0</v>
      </c>
      <c r="C202" s="175" t="s">
        <v>2634</v>
      </c>
      <c r="D202" s="3" t="s">
        <v>354</v>
      </c>
      <c r="E202" s="179" t="s">
        <v>355</v>
      </c>
      <c r="F202" s="221">
        <v>7794334004331</v>
      </c>
      <c r="G202" s="216">
        <v>2</v>
      </c>
      <c r="H202" s="5" t="s">
        <v>1191</v>
      </c>
      <c r="I202" s="204">
        <v>225</v>
      </c>
      <c r="J202" s="260">
        <v>0.1</v>
      </c>
      <c r="L202" s="217">
        <f t="shared" si="9"/>
        <v>106424.4470625</v>
      </c>
      <c r="N202" s="271">
        <f t="shared" si="10"/>
        <v>154315.448240625</v>
      </c>
      <c r="P202" s="326">
        <f t="shared" si="11"/>
        <v>186721.69237115624</v>
      </c>
    </row>
    <row r="203" spans="1:16">
      <c r="A203" s="206">
        <v>196</v>
      </c>
      <c r="B203" s="175" t="s">
        <v>0</v>
      </c>
      <c r="C203" s="175" t="s">
        <v>2634</v>
      </c>
      <c r="D203" s="3" t="s">
        <v>356</v>
      </c>
      <c r="E203" s="179" t="s">
        <v>357</v>
      </c>
      <c r="F203" s="221">
        <v>7794334004348</v>
      </c>
      <c r="G203" s="216">
        <v>2</v>
      </c>
      <c r="H203" s="5" t="s">
        <v>1191</v>
      </c>
      <c r="I203" s="204">
        <v>289.5</v>
      </c>
      <c r="J203" s="260">
        <v>0.1</v>
      </c>
      <c r="L203" s="217">
        <f t="shared" si="9"/>
        <v>136932.78855374997</v>
      </c>
      <c r="N203" s="271">
        <f t="shared" si="10"/>
        <v>198552.54340293744</v>
      </c>
      <c r="P203" s="326">
        <f t="shared" si="11"/>
        <v>240248.57751755431</v>
      </c>
    </row>
    <row r="204" spans="1:16">
      <c r="A204" s="206">
        <v>197</v>
      </c>
      <c r="B204" s="175" t="s">
        <v>0</v>
      </c>
      <c r="C204" s="175" t="s">
        <v>2634</v>
      </c>
      <c r="D204" s="3" t="s">
        <v>358</v>
      </c>
      <c r="E204" s="179" t="s">
        <v>359</v>
      </c>
      <c r="F204" s="221">
        <v>7794334004355</v>
      </c>
      <c r="G204" s="216">
        <v>2</v>
      </c>
      <c r="H204" s="5" t="s">
        <v>1191</v>
      </c>
      <c r="I204" s="204">
        <v>356.5</v>
      </c>
      <c r="J204" s="260">
        <v>0.1</v>
      </c>
      <c r="L204" s="217">
        <f t="shared" si="9"/>
        <v>168623.62390124999</v>
      </c>
      <c r="N204" s="271">
        <f t="shared" si="10"/>
        <v>244504.25465681247</v>
      </c>
      <c r="P204" s="326">
        <f t="shared" si="11"/>
        <v>295850.1481347431</v>
      </c>
    </row>
    <row r="205" spans="1:16">
      <c r="A205" s="206">
        <v>198</v>
      </c>
      <c r="B205" s="175" t="s">
        <v>0</v>
      </c>
      <c r="C205" s="175" t="s">
        <v>2634</v>
      </c>
      <c r="D205" s="3" t="s">
        <v>360</v>
      </c>
      <c r="E205" s="179" t="s">
        <v>361</v>
      </c>
      <c r="F205" s="221">
        <v>7794334004362</v>
      </c>
      <c r="G205" s="216">
        <v>2</v>
      </c>
      <c r="H205" s="5" t="s">
        <v>1191</v>
      </c>
      <c r="I205" s="204">
        <v>229.5</v>
      </c>
      <c r="J205" s="260">
        <v>0.1</v>
      </c>
      <c r="L205" s="217">
        <f t="shared" si="9"/>
        <v>108552.93600374999</v>
      </c>
      <c r="N205" s="271">
        <f t="shared" si="10"/>
        <v>157401.75720543746</v>
      </c>
      <c r="P205" s="326">
        <f t="shared" si="11"/>
        <v>190456.12621857933</v>
      </c>
    </row>
    <row r="206" spans="1:16">
      <c r="A206" s="206">
        <v>199</v>
      </c>
      <c r="B206" s="175" t="s">
        <v>0</v>
      </c>
      <c r="C206" s="175" t="s">
        <v>2634</v>
      </c>
      <c r="D206" s="3" t="s">
        <v>362</v>
      </c>
      <c r="E206" s="179" t="s">
        <v>363</v>
      </c>
      <c r="F206" s="221">
        <v>7794334004379</v>
      </c>
      <c r="G206" s="216">
        <v>2</v>
      </c>
      <c r="H206" s="5" t="s">
        <v>1191</v>
      </c>
      <c r="I206" s="204">
        <v>270</v>
      </c>
      <c r="J206" s="260">
        <v>0.1</v>
      </c>
      <c r="L206" s="217">
        <f t="shared" si="9"/>
        <v>127709.33647499999</v>
      </c>
      <c r="N206" s="271">
        <f t="shared" si="10"/>
        <v>185178.53788874997</v>
      </c>
      <c r="P206" s="326">
        <f t="shared" si="11"/>
        <v>224066.03084538746</v>
      </c>
    </row>
    <row r="207" spans="1:16">
      <c r="A207" s="206">
        <v>200</v>
      </c>
      <c r="B207" s="175" t="s">
        <v>0</v>
      </c>
      <c r="C207" s="175" t="s">
        <v>2634</v>
      </c>
      <c r="D207" s="3" t="s">
        <v>364</v>
      </c>
      <c r="E207" s="179" t="s">
        <v>365</v>
      </c>
      <c r="F207" s="221">
        <v>7794334004386</v>
      </c>
      <c r="G207" s="216">
        <v>2</v>
      </c>
      <c r="H207" s="5" t="s">
        <v>1191</v>
      </c>
      <c r="I207" s="204">
        <v>342</v>
      </c>
      <c r="J207" s="260">
        <v>0.1</v>
      </c>
      <c r="L207" s="217">
        <f t="shared" si="9"/>
        <v>161765.15953499996</v>
      </c>
      <c r="N207" s="271">
        <f t="shared" si="10"/>
        <v>234559.48132574992</v>
      </c>
      <c r="P207" s="326">
        <f t="shared" si="11"/>
        <v>283816.97240415739</v>
      </c>
    </row>
    <row r="208" spans="1:16">
      <c r="A208" s="206">
        <v>201</v>
      </c>
      <c r="B208" s="175" t="s">
        <v>0</v>
      </c>
      <c r="C208" s="175" t="s">
        <v>2634</v>
      </c>
      <c r="D208" s="3" t="s">
        <v>366</v>
      </c>
      <c r="E208" s="179" t="s">
        <v>367</v>
      </c>
      <c r="F208" s="221">
        <v>7794334004393</v>
      </c>
      <c r="G208" s="216">
        <v>2</v>
      </c>
      <c r="H208" s="5" t="s">
        <v>1191</v>
      </c>
      <c r="I208" s="204">
        <v>462.5</v>
      </c>
      <c r="J208" s="260">
        <v>0.1</v>
      </c>
      <c r="L208" s="217">
        <f t="shared" si="9"/>
        <v>218761.36340624996</v>
      </c>
      <c r="N208" s="271">
        <f t="shared" si="10"/>
        <v>317203.97693906241</v>
      </c>
      <c r="P208" s="326">
        <f t="shared" si="11"/>
        <v>383816.81209626549</v>
      </c>
    </row>
    <row r="209" spans="1:16">
      <c r="A209" s="206">
        <v>202</v>
      </c>
      <c r="B209" s="175" t="s">
        <v>0</v>
      </c>
      <c r="C209" s="175" t="s">
        <v>2634</v>
      </c>
      <c r="D209" s="3" t="s">
        <v>368</v>
      </c>
      <c r="E209" s="179" t="s">
        <v>369</v>
      </c>
      <c r="F209" s="221">
        <v>7794334004409</v>
      </c>
      <c r="G209" s="216">
        <v>2</v>
      </c>
      <c r="H209" s="5" t="s">
        <v>1191</v>
      </c>
      <c r="I209" s="204">
        <v>310</v>
      </c>
      <c r="J209" s="260">
        <v>0.1</v>
      </c>
      <c r="L209" s="217">
        <f t="shared" si="9"/>
        <v>146629.23817499998</v>
      </c>
      <c r="N209" s="271">
        <f t="shared" si="10"/>
        <v>212612.39535374995</v>
      </c>
      <c r="P209" s="326">
        <f t="shared" si="11"/>
        <v>257260.99837803742</v>
      </c>
    </row>
    <row r="210" spans="1:16">
      <c r="A210" s="206">
        <v>203</v>
      </c>
      <c r="B210" s="175" t="s">
        <v>0</v>
      </c>
      <c r="C210" s="175" t="s">
        <v>2634</v>
      </c>
      <c r="D210" s="3" t="s">
        <v>370</v>
      </c>
      <c r="E210" s="179" t="s">
        <v>371</v>
      </c>
      <c r="F210" s="221">
        <v>7794334004416</v>
      </c>
      <c r="G210" s="216">
        <v>2</v>
      </c>
      <c r="H210" s="5" t="s">
        <v>1191</v>
      </c>
      <c r="I210" s="204">
        <v>359</v>
      </c>
      <c r="J210" s="260">
        <v>0.1</v>
      </c>
      <c r="L210" s="217">
        <f t="shared" si="9"/>
        <v>169806.1177575</v>
      </c>
      <c r="N210" s="271">
        <f t="shared" si="10"/>
        <v>246218.87074837499</v>
      </c>
      <c r="P210" s="326">
        <f t="shared" si="11"/>
        <v>297924.83360553376</v>
      </c>
    </row>
    <row r="211" spans="1:16">
      <c r="A211" s="206">
        <v>204</v>
      </c>
      <c r="B211" s="175" t="s">
        <v>0</v>
      </c>
      <c r="C211" s="175" t="s">
        <v>2634</v>
      </c>
      <c r="D211" s="3" t="s">
        <v>372</v>
      </c>
      <c r="E211" s="179" t="s">
        <v>373</v>
      </c>
      <c r="F211" s="221">
        <v>7794334004447</v>
      </c>
      <c r="G211" s="216">
        <v>2</v>
      </c>
      <c r="H211" s="5" t="s">
        <v>1191</v>
      </c>
      <c r="I211" s="204">
        <v>433</v>
      </c>
      <c r="J211" s="260">
        <v>0.1</v>
      </c>
      <c r="L211" s="217">
        <f t="shared" si="9"/>
        <v>204807.9359025</v>
      </c>
      <c r="N211" s="271">
        <f t="shared" si="10"/>
        <v>296971.50705862499</v>
      </c>
      <c r="P211" s="326">
        <f t="shared" si="11"/>
        <v>359335.52354093624</v>
      </c>
    </row>
    <row r="212" spans="1:16">
      <c r="A212" s="206">
        <v>205</v>
      </c>
      <c r="B212" s="175" t="s">
        <v>0</v>
      </c>
      <c r="C212" s="175" t="s">
        <v>2634</v>
      </c>
      <c r="D212" s="3" t="s">
        <v>374</v>
      </c>
      <c r="E212" s="179" t="s">
        <v>375</v>
      </c>
      <c r="F212" s="221">
        <v>7794334242221</v>
      </c>
      <c r="G212" s="216">
        <v>2</v>
      </c>
      <c r="H212" s="5" t="s">
        <v>1191</v>
      </c>
      <c r="I212" s="204">
        <v>485</v>
      </c>
      <c r="J212" s="260">
        <v>0.1</v>
      </c>
      <c r="L212" s="217">
        <f t="shared" si="9"/>
        <v>229403.80811249997</v>
      </c>
      <c r="N212" s="271">
        <f t="shared" si="10"/>
        <v>332635.52176312497</v>
      </c>
      <c r="P212" s="326">
        <f t="shared" si="11"/>
        <v>402488.98133338121</v>
      </c>
    </row>
    <row r="213" spans="1:16">
      <c r="A213" s="206">
        <v>206</v>
      </c>
      <c r="B213" s="175" t="s">
        <v>0</v>
      </c>
      <c r="C213" s="175" t="s">
        <v>2634</v>
      </c>
      <c r="D213" s="3" t="s">
        <v>376</v>
      </c>
      <c r="E213" s="179" t="s">
        <v>377</v>
      </c>
      <c r="F213" s="221">
        <v>7794334004423</v>
      </c>
      <c r="G213" s="216">
        <v>2</v>
      </c>
      <c r="H213" s="5" t="s">
        <v>1191</v>
      </c>
      <c r="I213" s="204">
        <v>452</v>
      </c>
      <c r="J213" s="260">
        <v>0.1</v>
      </c>
      <c r="L213" s="217">
        <f t="shared" si="9"/>
        <v>213794.88920999999</v>
      </c>
      <c r="N213" s="271">
        <f t="shared" si="10"/>
        <v>310002.5893545</v>
      </c>
      <c r="P213" s="326">
        <f t="shared" si="11"/>
        <v>375103.133118945</v>
      </c>
    </row>
    <row r="214" spans="1:16">
      <c r="A214" s="206">
        <v>207</v>
      </c>
      <c r="B214" s="175" t="s">
        <v>0</v>
      </c>
      <c r="C214" s="175" t="s">
        <v>2634</v>
      </c>
      <c r="D214" s="3" t="s">
        <v>378</v>
      </c>
      <c r="E214" s="179" t="s">
        <v>379</v>
      </c>
      <c r="F214" s="221">
        <v>7794334242238</v>
      </c>
      <c r="G214" s="216">
        <v>2</v>
      </c>
      <c r="H214" s="5" t="s">
        <v>1191</v>
      </c>
      <c r="I214" s="204">
        <v>590</v>
      </c>
      <c r="J214" s="260">
        <v>0.1</v>
      </c>
      <c r="L214" s="217">
        <f t="shared" si="9"/>
        <v>279068.55007499998</v>
      </c>
      <c r="N214" s="271">
        <f t="shared" si="10"/>
        <v>404649.39760874998</v>
      </c>
      <c r="P214" s="326">
        <f t="shared" si="11"/>
        <v>489625.77110658743</v>
      </c>
    </row>
    <row r="215" spans="1:16">
      <c r="A215" s="206">
        <v>209</v>
      </c>
      <c r="B215" s="175" t="s">
        <v>0</v>
      </c>
      <c r="C215" s="175" t="s">
        <v>2634</v>
      </c>
      <c r="D215" s="3" t="s">
        <v>380</v>
      </c>
      <c r="E215" s="179" t="s">
        <v>381</v>
      </c>
      <c r="F215" s="221">
        <v>7794334004454</v>
      </c>
      <c r="G215" s="216">
        <v>2</v>
      </c>
      <c r="H215" s="5" t="s">
        <v>1191</v>
      </c>
      <c r="I215" s="204">
        <v>166.5</v>
      </c>
      <c r="J215" s="260">
        <v>0.1</v>
      </c>
      <c r="L215" s="217">
        <f t="shared" si="9"/>
        <v>78754.090826250002</v>
      </c>
      <c r="N215" s="271">
        <f t="shared" si="10"/>
        <v>114193.4316980625</v>
      </c>
      <c r="P215" s="326">
        <f t="shared" si="11"/>
        <v>138174.05235465564</v>
      </c>
    </row>
    <row r="216" spans="1:16">
      <c r="A216" s="206">
        <v>210</v>
      </c>
      <c r="B216" s="175" t="s">
        <v>0</v>
      </c>
      <c r="C216" s="175" t="s">
        <v>2634</v>
      </c>
      <c r="D216" s="3" t="s">
        <v>382</v>
      </c>
      <c r="E216" s="179" t="s">
        <v>383</v>
      </c>
      <c r="F216" s="221">
        <v>7794334004461</v>
      </c>
      <c r="G216" s="216">
        <v>2</v>
      </c>
      <c r="H216" s="5" t="s">
        <v>1191</v>
      </c>
      <c r="I216" s="204">
        <v>197.9</v>
      </c>
      <c r="J216" s="260">
        <v>0.1</v>
      </c>
      <c r="L216" s="217">
        <f t="shared" si="9"/>
        <v>93606.21366075</v>
      </c>
      <c r="N216" s="271">
        <f t="shared" si="10"/>
        <v>135729.00980808749</v>
      </c>
      <c r="P216" s="326">
        <f t="shared" si="11"/>
        <v>164232.10186778585</v>
      </c>
    </row>
    <row r="217" spans="1:16">
      <c r="A217" s="206">
        <v>211</v>
      </c>
      <c r="B217" s="175" t="s">
        <v>0</v>
      </c>
      <c r="C217" s="175" t="s">
        <v>2634</v>
      </c>
      <c r="D217" s="3" t="s">
        <v>384</v>
      </c>
      <c r="E217" s="179" t="s">
        <v>385</v>
      </c>
      <c r="F217" s="221">
        <v>7794334004478</v>
      </c>
      <c r="G217" s="216">
        <v>2</v>
      </c>
      <c r="H217" s="5" t="s">
        <v>1191</v>
      </c>
      <c r="I217" s="204">
        <v>204.1</v>
      </c>
      <c r="J217" s="260">
        <v>0.1</v>
      </c>
      <c r="L217" s="217">
        <f t="shared" si="9"/>
        <v>96538.798424249995</v>
      </c>
      <c r="N217" s="271">
        <f t="shared" si="10"/>
        <v>139981.2577151625</v>
      </c>
      <c r="P217" s="326">
        <f t="shared" si="11"/>
        <v>169377.32183534661</v>
      </c>
    </row>
    <row r="218" spans="1:16">
      <c r="A218" s="206">
        <v>212</v>
      </c>
      <c r="B218" s="175" t="s">
        <v>0</v>
      </c>
      <c r="C218" s="175" t="s">
        <v>2634</v>
      </c>
      <c r="D218" s="3" t="s">
        <v>386</v>
      </c>
      <c r="E218" s="179" t="s">
        <v>387</v>
      </c>
      <c r="F218" s="221">
        <v>7794334004485</v>
      </c>
      <c r="G218" s="216">
        <v>2</v>
      </c>
      <c r="H218" s="5" t="s">
        <v>1191</v>
      </c>
      <c r="I218" s="204">
        <v>241.1</v>
      </c>
      <c r="J218" s="260">
        <v>0.1</v>
      </c>
      <c r="L218" s="217">
        <f t="shared" si="9"/>
        <v>114039.70749674999</v>
      </c>
      <c r="N218" s="271">
        <f t="shared" si="10"/>
        <v>165357.57587028749</v>
      </c>
      <c r="P218" s="326">
        <f t="shared" si="11"/>
        <v>200082.66680304785</v>
      </c>
    </row>
    <row r="219" spans="1:16">
      <c r="A219" s="206">
        <v>213</v>
      </c>
      <c r="B219" s="175" t="s">
        <v>0</v>
      </c>
      <c r="C219" s="175" t="s">
        <v>2634</v>
      </c>
      <c r="D219" s="3" t="s">
        <v>388</v>
      </c>
      <c r="E219" s="179" t="s">
        <v>389</v>
      </c>
      <c r="F219" s="221">
        <v>7794334004508</v>
      </c>
      <c r="G219" s="216">
        <v>2</v>
      </c>
      <c r="H219" s="5" t="s">
        <v>1191</v>
      </c>
      <c r="I219" s="204">
        <v>230.6</v>
      </c>
      <c r="J219" s="260">
        <v>0.1</v>
      </c>
      <c r="L219" s="217">
        <f t="shared" si="9"/>
        <v>109073.2333005</v>
      </c>
      <c r="N219" s="271">
        <f t="shared" si="10"/>
        <v>158156.18828572499</v>
      </c>
      <c r="P219" s="326">
        <f t="shared" si="11"/>
        <v>191368.98782572724</v>
      </c>
    </row>
    <row r="220" spans="1:16">
      <c r="A220" s="206">
        <v>214</v>
      </c>
      <c r="B220" s="175" t="s">
        <v>0</v>
      </c>
      <c r="C220" s="175" t="s">
        <v>2634</v>
      </c>
      <c r="D220" s="3" t="s">
        <v>390</v>
      </c>
      <c r="E220" s="179" t="s">
        <v>391</v>
      </c>
      <c r="F220" s="221">
        <v>7794334004515</v>
      </c>
      <c r="G220" s="216">
        <v>2</v>
      </c>
      <c r="H220" s="5" t="s">
        <v>1191</v>
      </c>
      <c r="I220" s="204">
        <v>271.8</v>
      </c>
      <c r="J220" s="260">
        <v>0.1</v>
      </c>
      <c r="L220" s="217">
        <f t="shared" si="9"/>
        <v>128560.7320515</v>
      </c>
      <c r="N220" s="271">
        <f t="shared" si="10"/>
        <v>186413.06147467499</v>
      </c>
      <c r="P220" s="326">
        <f t="shared" si="11"/>
        <v>225559.80438435674</v>
      </c>
    </row>
    <row r="221" spans="1:16">
      <c r="A221" s="206">
        <v>215</v>
      </c>
      <c r="B221" s="175" t="s">
        <v>0</v>
      </c>
      <c r="C221" s="175" t="s">
        <v>2634</v>
      </c>
      <c r="D221" s="3" t="s">
        <v>392</v>
      </c>
      <c r="E221" s="179" t="s">
        <v>393</v>
      </c>
      <c r="F221" s="221">
        <v>7794334004522</v>
      </c>
      <c r="G221" s="216">
        <v>2</v>
      </c>
      <c r="H221" s="5" t="s">
        <v>1191</v>
      </c>
      <c r="I221" s="204">
        <v>345.7</v>
      </c>
      <c r="J221" s="260">
        <v>0.1</v>
      </c>
      <c r="L221" s="217">
        <f t="shared" si="9"/>
        <v>163515.25044224996</v>
      </c>
      <c r="N221" s="271">
        <f t="shared" si="10"/>
        <v>237097.11314126244</v>
      </c>
      <c r="P221" s="326">
        <f t="shared" si="11"/>
        <v>286887.50690092752</v>
      </c>
    </row>
    <row r="222" spans="1:16">
      <c r="A222" s="206">
        <v>216</v>
      </c>
      <c r="B222" s="175" t="s">
        <v>0</v>
      </c>
      <c r="C222" s="175" t="s">
        <v>2634</v>
      </c>
      <c r="D222" s="3" t="s">
        <v>394</v>
      </c>
      <c r="E222" s="179" t="s">
        <v>395</v>
      </c>
      <c r="F222" s="221">
        <v>7794334004539</v>
      </c>
      <c r="G222" s="216">
        <v>2</v>
      </c>
      <c r="H222" s="5" t="s">
        <v>1191</v>
      </c>
      <c r="I222" s="204">
        <v>494.2</v>
      </c>
      <c r="J222" s="260">
        <v>0.1</v>
      </c>
      <c r="L222" s="217">
        <f t="shared" si="9"/>
        <v>233755.38550349997</v>
      </c>
      <c r="N222" s="271">
        <f t="shared" si="10"/>
        <v>338945.30898007494</v>
      </c>
      <c r="P222" s="326">
        <f t="shared" si="11"/>
        <v>410123.82386589068</v>
      </c>
    </row>
    <row r="223" spans="1:16">
      <c r="A223" s="206">
        <v>217</v>
      </c>
      <c r="B223" s="175" t="s">
        <v>0</v>
      </c>
      <c r="C223" s="175" t="s">
        <v>3016</v>
      </c>
      <c r="D223" s="2" t="s">
        <v>3017</v>
      </c>
      <c r="E223" s="178" t="s">
        <v>3018</v>
      </c>
      <c r="F223" s="218">
        <v>7794334007479</v>
      </c>
      <c r="G223" s="216">
        <v>2</v>
      </c>
      <c r="H223" s="5" t="s">
        <v>1191</v>
      </c>
      <c r="I223" s="204">
        <v>89.9</v>
      </c>
      <c r="J223" s="260">
        <v>0.1</v>
      </c>
      <c r="L223" s="217">
        <f t="shared" si="9"/>
        <v>42522.479070749992</v>
      </c>
      <c r="N223" s="271">
        <f t="shared" si="10"/>
        <v>61657.59465258749</v>
      </c>
      <c r="P223" s="326">
        <f t="shared" si="11"/>
        <v>74605.689529630865</v>
      </c>
    </row>
    <row r="224" spans="1:16">
      <c r="A224" s="206">
        <v>218</v>
      </c>
      <c r="B224" s="175" t="s">
        <v>0</v>
      </c>
      <c r="C224" s="175" t="s">
        <v>3016</v>
      </c>
      <c r="D224" s="2" t="s">
        <v>3019</v>
      </c>
      <c r="E224" s="178" t="s">
        <v>3020</v>
      </c>
      <c r="F224" s="218">
        <v>7794334007486</v>
      </c>
      <c r="G224" s="216">
        <v>2</v>
      </c>
      <c r="H224" s="5" t="s">
        <v>1191</v>
      </c>
      <c r="I224" s="204">
        <v>99.9</v>
      </c>
      <c r="J224" s="260">
        <v>0.1</v>
      </c>
      <c r="L224" s="217">
        <f t="shared" si="9"/>
        <v>47252.454495749997</v>
      </c>
      <c r="N224" s="271">
        <f t="shared" si="10"/>
        <v>68516.059018837492</v>
      </c>
      <c r="P224" s="326">
        <f t="shared" si="11"/>
        <v>82904.431412793361</v>
      </c>
    </row>
    <row r="225" spans="1:16">
      <c r="A225" s="206">
        <v>219</v>
      </c>
      <c r="B225" s="175" t="s">
        <v>0</v>
      </c>
      <c r="C225" s="175" t="s">
        <v>3016</v>
      </c>
      <c r="D225" s="2" t="s">
        <v>3021</v>
      </c>
      <c r="E225" s="178" t="s">
        <v>3022</v>
      </c>
      <c r="F225" s="218">
        <v>7794334245833</v>
      </c>
      <c r="G225" s="216">
        <v>2</v>
      </c>
      <c r="H225" s="5" t="s">
        <v>1191</v>
      </c>
      <c r="I225" s="204">
        <v>117.5</v>
      </c>
      <c r="J225" s="260">
        <v>0.1</v>
      </c>
      <c r="L225" s="217">
        <f t="shared" si="9"/>
        <v>55577.211243749996</v>
      </c>
      <c r="N225" s="271">
        <f t="shared" si="10"/>
        <v>80586.956303437488</v>
      </c>
      <c r="P225" s="326">
        <f t="shared" si="11"/>
        <v>97510.217127159354</v>
      </c>
    </row>
    <row r="226" spans="1:16">
      <c r="A226" s="206">
        <v>220</v>
      </c>
      <c r="B226" s="175" t="s">
        <v>0</v>
      </c>
      <c r="C226" s="175" t="s">
        <v>3016</v>
      </c>
      <c r="D226" s="2" t="s">
        <v>3023</v>
      </c>
      <c r="E226" s="178" t="s">
        <v>3024</v>
      </c>
      <c r="F226" s="218">
        <v>7794334007493</v>
      </c>
      <c r="G226" s="216">
        <v>2</v>
      </c>
      <c r="H226" s="5" t="s">
        <v>1191</v>
      </c>
      <c r="I226" s="204">
        <v>129.5</v>
      </c>
      <c r="J226" s="260">
        <v>0.1</v>
      </c>
      <c r="L226" s="217">
        <f t="shared" si="9"/>
        <v>61253.181753750003</v>
      </c>
      <c r="N226" s="271">
        <f t="shared" si="10"/>
        <v>88817.113542937499</v>
      </c>
      <c r="P226" s="326">
        <f t="shared" si="11"/>
        <v>107468.70738695437</v>
      </c>
    </row>
    <row r="227" spans="1:16">
      <c r="A227" s="206">
        <v>221</v>
      </c>
      <c r="B227" s="175" t="s">
        <v>0</v>
      </c>
      <c r="C227" s="175" t="s">
        <v>3016</v>
      </c>
      <c r="D227" s="2" t="s">
        <v>3025</v>
      </c>
      <c r="E227" s="178" t="s">
        <v>3026</v>
      </c>
      <c r="F227" s="218">
        <v>7794334007509</v>
      </c>
      <c r="G227" s="216">
        <v>2</v>
      </c>
      <c r="H227" s="5" t="s">
        <v>1191</v>
      </c>
      <c r="I227" s="204">
        <v>151</v>
      </c>
      <c r="J227" s="260">
        <v>0.1</v>
      </c>
      <c r="L227" s="217">
        <f t="shared" si="9"/>
        <v>71422.628917499998</v>
      </c>
      <c r="N227" s="271">
        <f t="shared" si="10"/>
        <v>103562.811930375</v>
      </c>
      <c r="P227" s="326">
        <f t="shared" si="11"/>
        <v>125311.00243575375</v>
      </c>
    </row>
    <row r="228" spans="1:16">
      <c r="A228" s="206">
        <v>222</v>
      </c>
      <c r="B228" s="175" t="s">
        <v>0</v>
      </c>
      <c r="C228" s="175" t="s">
        <v>3016</v>
      </c>
      <c r="D228" s="2" t="s">
        <v>3027</v>
      </c>
      <c r="E228" s="178" t="s">
        <v>3028</v>
      </c>
      <c r="F228" s="218">
        <v>7794334007516</v>
      </c>
      <c r="G228" s="216">
        <v>2</v>
      </c>
      <c r="H228" s="5" t="s">
        <v>1191</v>
      </c>
      <c r="I228" s="204">
        <v>242.5</v>
      </c>
      <c r="J228" s="260">
        <v>0.1</v>
      </c>
      <c r="L228" s="217">
        <f t="shared" si="9"/>
        <v>114701.90405624999</v>
      </c>
      <c r="N228" s="271">
        <f t="shared" si="10"/>
        <v>166317.76088156248</v>
      </c>
      <c r="P228" s="326">
        <f t="shared" si="11"/>
        <v>201244.4906666906</v>
      </c>
    </row>
    <row r="229" spans="1:16">
      <c r="A229" s="206">
        <v>223</v>
      </c>
      <c r="B229" s="175" t="s">
        <v>0</v>
      </c>
      <c r="C229" s="175" t="s">
        <v>3016</v>
      </c>
      <c r="D229" s="2" t="s">
        <v>291</v>
      </c>
      <c r="E229" s="178" t="s">
        <v>292</v>
      </c>
      <c r="F229" s="218">
        <v>7794334007523</v>
      </c>
      <c r="G229" s="216">
        <v>2</v>
      </c>
      <c r="H229" s="5" t="s">
        <v>1191</v>
      </c>
      <c r="I229" s="204">
        <v>64.900000000000006</v>
      </c>
      <c r="J229" s="260">
        <v>0.1</v>
      </c>
      <c r="L229" s="217">
        <f t="shared" si="9"/>
        <v>30697.540508250004</v>
      </c>
      <c r="N229" s="271">
        <f t="shared" si="10"/>
        <v>44511.433736962506</v>
      </c>
      <c r="P229" s="326">
        <f t="shared" si="11"/>
        <v>53858.834821724631</v>
      </c>
    </row>
    <row r="230" spans="1:16">
      <c r="A230" s="206">
        <v>224</v>
      </c>
      <c r="B230" s="175" t="s">
        <v>0</v>
      </c>
      <c r="C230" s="175" t="s">
        <v>3016</v>
      </c>
      <c r="D230" s="2" t="s">
        <v>3029</v>
      </c>
      <c r="E230" s="178" t="s">
        <v>3030</v>
      </c>
      <c r="F230" s="218">
        <v>7794334007530</v>
      </c>
      <c r="G230" s="216">
        <v>2</v>
      </c>
      <c r="H230" s="5" t="s">
        <v>1191</v>
      </c>
      <c r="I230" s="204">
        <v>65</v>
      </c>
      <c r="J230" s="260">
        <v>0.1</v>
      </c>
      <c r="L230" s="217">
        <f t="shared" si="9"/>
        <v>30744.840262499998</v>
      </c>
      <c r="N230" s="271">
        <f t="shared" si="10"/>
        <v>44580.018380624999</v>
      </c>
      <c r="P230" s="326">
        <f t="shared" si="11"/>
        <v>53941.822240556248</v>
      </c>
    </row>
    <row r="231" spans="1:16">
      <c r="A231" s="206">
        <v>225</v>
      </c>
      <c r="B231" s="175" t="s">
        <v>0</v>
      </c>
      <c r="C231" s="175" t="s">
        <v>3016</v>
      </c>
      <c r="D231" s="2" t="s">
        <v>3031</v>
      </c>
      <c r="E231" s="178" t="s">
        <v>3032</v>
      </c>
      <c r="F231" s="218">
        <v>7794334003778</v>
      </c>
      <c r="G231" s="216">
        <v>2</v>
      </c>
      <c r="H231" s="5" t="s">
        <v>1191</v>
      </c>
      <c r="I231" s="204">
        <v>63</v>
      </c>
      <c r="J231" s="260">
        <v>0.1</v>
      </c>
      <c r="L231" s="217">
        <f t="shared" si="9"/>
        <v>29798.845177499996</v>
      </c>
      <c r="N231" s="271">
        <f t="shared" si="10"/>
        <v>43208.32550737499</v>
      </c>
      <c r="P231" s="326">
        <f t="shared" si="11"/>
        <v>52282.073863923739</v>
      </c>
    </row>
    <row r="232" spans="1:16">
      <c r="A232" s="206">
        <v>226</v>
      </c>
      <c r="B232" s="175" t="s">
        <v>0</v>
      </c>
      <c r="C232" s="175" t="s">
        <v>3016</v>
      </c>
      <c r="D232" s="2" t="s">
        <v>3033</v>
      </c>
      <c r="E232" s="178" t="s">
        <v>3034</v>
      </c>
      <c r="F232" s="218">
        <v>7794334003785</v>
      </c>
      <c r="G232" s="216">
        <v>2</v>
      </c>
      <c r="H232" s="5" t="s">
        <v>1191</v>
      </c>
      <c r="I232" s="204">
        <v>80.400000000000006</v>
      </c>
      <c r="J232" s="260">
        <v>0.1</v>
      </c>
      <c r="L232" s="217">
        <f t="shared" si="9"/>
        <v>38029.002416999996</v>
      </c>
      <c r="N232" s="271">
        <f t="shared" si="10"/>
        <v>55142.053504649994</v>
      </c>
      <c r="P232" s="326">
        <f t="shared" si="11"/>
        <v>66721.884740626483</v>
      </c>
    </row>
    <row r="233" spans="1:16">
      <c r="A233" s="206">
        <v>227</v>
      </c>
      <c r="B233" s="175" t="s">
        <v>0</v>
      </c>
      <c r="C233" s="175" t="s">
        <v>3016</v>
      </c>
      <c r="D233" s="2" t="s">
        <v>3035</v>
      </c>
      <c r="E233" s="178" t="s">
        <v>3036</v>
      </c>
      <c r="F233" s="218">
        <v>7794334003792</v>
      </c>
      <c r="G233" s="216">
        <v>2</v>
      </c>
      <c r="H233" s="5" t="s">
        <v>1191</v>
      </c>
      <c r="I233" s="204">
        <v>84.5</v>
      </c>
      <c r="J233" s="260">
        <v>0.1</v>
      </c>
      <c r="L233" s="217">
        <f t="shared" si="9"/>
        <v>39968.292341250002</v>
      </c>
      <c r="N233" s="271">
        <f t="shared" si="10"/>
        <v>57954.023894812504</v>
      </c>
      <c r="P233" s="326">
        <f t="shared" si="11"/>
        <v>70124.368912723134</v>
      </c>
    </row>
    <row r="234" spans="1:16">
      <c r="A234" s="206">
        <v>228</v>
      </c>
      <c r="B234" s="175" t="s">
        <v>0</v>
      </c>
      <c r="C234" s="175" t="s">
        <v>3016</v>
      </c>
      <c r="D234" s="2" t="s">
        <v>3037</v>
      </c>
      <c r="E234" s="178" t="s">
        <v>3038</v>
      </c>
      <c r="F234" s="218">
        <v>7794334003808</v>
      </c>
      <c r="G234" s="216">
        <v>2</v>
      </c>
      <c r="H234" s="5" t="s">
        <v>1191</v>
      </c>
      <c r="I234" s="204">
        <v>94.5</v>
      </c>
      <c r="J234" s="260">
        <v>0.1</v>
      </c>
      <c r="L234" s="217">
        <f t="shared" si="9"/>
        <v>44698.267766249999</v>
      </c>
      <c r="N234" s="271">
        <f t="shared" si="10"/>
        <v>64812.488261062499</v>
      </c>
      <c r="P234" s="326">
        <f t="shared" si="11"/>
        <v>78423.110795885616</v>
      </c>
    </row>
    <row r="235" spans="1:16">
      <c r="A235" s="206">
        <v>229</v>
      </c>
      <c r="B235" s="175" t="s">
        <v>0</v>
      </c>
      <c r="C235" s="175" t="s">
        <v>3016</v>
      </c>
      <c r="D235" s="2" t="s">
        <v>3039</v>
      </c>
      <c r="E235" s="178" t="s">
        <v>3040</v>
      </c>
      <c r="F235" s="218">
        <v>7794334003815</v>
      </c>
      <c r="G235" s="216">
        <v>2</v>
      </c>
      <c r="H235" s="5" t="s">
        <v>1191</v>
      </c>
      <c r="I235" s="204">
        <v>115</v>
      </c>
      <c r="J235" s="260">
        <v>0.1</v>
      </c>
      <c r="L235" s="217">
        <f t="shared" si="9"/>
        <v>54394.717387499993</v>
      </c>
      <c r="N235" s="271">
        <f t="shared" si="10"/>
        <v>78872.340211874995</v>
      </c>
      <c r="P235" s="326">
        <f t="shared" si="11"/>
        <v>95435.531656368737</v>
      </c>
    </row>
    <row r="236" spans="1:16">
      <c r="A236" s="206">
        <v>230</v>
      </c>
      <c r="B236" s="175" t="s">
        <v>0</v>
      </c>
      <c r="C236" s="175" t="s">
        <v>3016</v>
      </c>
      <c r="D236" s="2" t="s">
        <v>3041</v>
      </c>
      <c r="E236" s="178" t="s">
        <v>3042</v>
      </c>
      <c r="F236" s="218">
        <v>7794334003822</v>
      </c>
      <c r="G236" s="216">
        <v>2</v>
      </c>
      <c r="H236" s="5" t="s">
        <v>1191</v>
      </c>
      <c r="I236" s="204">
        <v>132.19999999999999</v>
      </c>
      <c r="J236" s="260">
        <v>0.1</v>
      </c>
      <c r="L236" s="217">
        <f t="shared" si="9"/>
        <v>62530.275118499994</v>
      </c>
      <c r="N236" s="271">
        <f t="shared" si="10"/>
        <v>90668.898921824992</v>
      </c>
      <c r="P236" s="326">
        <f t="shared" si="11"/>
        <v>109709.36769540823</v>
      </c>
    </row>
    <row r="237" spans="1:16">
      <c r="A237" s="206">
        <v>231</v>
      </c>
      <c r="B237" s="175" t="s">
        <v>0</v>
      </c>
      <c r="C237" s="175" t="s">
        <v>3016</v>
      </c>
      <c r="D237" s="2" t="s">
        <v>3043</v>
      </c>
      <c r="E237" s="178" t="s">
        <v>3044</v>
      </c>
      <c r="F237" s="218">
        <v>7794334003839</v>
      </c>
      <c r="G237" s="216">
        <v>2</v>
      </c>
      <c r="H237" s="5" t="s">
        <v>1191</v>
      </c>
      <c r="I237" s="204">
        <v>147.5</v>
      </c>
      <c r="J237" s="260">
        <v>0.1</v>
      </c>
      <c r="L237" s="217">
        <f t="shared" si="9"/>
        <v>69767.137518749994</v>
      </c>
      <c r="N237" s="271">
        <f t="shared" si="10"/>
        <v>101162.34940218749</v>
      </c>
      <c r="P237" s="326">
        <f t="shared" si="11"/>
        <v>122406.44277664686</v>
      </c>
    </row>
    <row r="238" spans="1:16">
      <c r="A238" s="206">
        <v>232</v>
      </c>
      <c r="B238" s="175" t="s">
        <v>0</v>
      </c>
      <c r="C238" s="175" t="s">
        <v>3016</v>
      </c>
      <c r="D238" s="2" t="s">
        <v>3045</v>
      </c>
      <c r="E238" s="178" t="s">
        <v>3046</v>
      </c>
      <c r="F238" s="218">
        <v>7794334003846</v>
      </c>
      <c r="G238" s="216">
        <v>2</v>
      </c>
      <c r="H238" s="5" t="s">
        <v>1191</v>
      </c>
      <c r="I238" s="204">
        <v>84.5</v>
      </c>
      <c r="J238" s="260">
        <v>0.1</v>
      </c>
      <c r="L238" s="217">
        <f t="shared" si="9"/>
        <v>39968.292341250002</v>
      </c>
      <c r="N238" s="271">
        <f t="shared" si="10"/>
        <v>57954.023894812504</v>
      </c>
      <c r="P238" s="326">
        <f t="shared" si="11"/>
        <v>70124.368912723134</v>
      </c>
    </row>
    <row r="239" spans="1:16">
      <c r="A239" s="206">
        <v>233</v>
      </c>
      <c r="B239" s="175" t="s">
        <v>0</v>
      </c>
      <c r="C239" s="175" t="s">
        <v>3016</v>
      </c>
      <c r="D239" s="2" t="s">
        <v>3047</v>
      </c>
      <c r="E239" s="178" t="s">
        <v>3048</v>
      </c>
      <c r="F239" s="218">
        <v>7794334003853</v>
      </c>
      <c r="G239" s="216">
        <v>2</v>
      </c>
      <c r="H239" s="5" t="s">
        <v>1191</v>
      </c>
      <c r="I239" s="204">
        <v>94.2</v>
      </c>
      <c r="J239" s="260">
        <v>0.1</v>
      </c>
      <c r="L239" s="217">
        <f t="shared" si="9"/>
        <v>44556.368503499994</v>
      </c>
      <c r="N239" s="271">
        <f t="shared" si="10"/>
        <v>64606.734330074993</v>
      </c>
      <c r="P239" s="326">
        <f t="shared" si="11"/>
        <v>78174.148539390735</v>
      </c>
    </row>
    <row r="240" spans="1:16">
      <c r="A240" s="206">
        <v>234</v>
      </c>
      <c r="B240" s="175" t="s">
        <v>0</v>
      </c>
      <c r="C240" s="175" t="s">
        <v>3016</v>
      </c>
      <c r="D240" s="2" t="s">
        <v>3049</v>
      </c>
      <c r="E240" s="178" t="s">
        <v>3050</v>
      </c>
      <c r="F240" s="218">
        <v>7794334003860</v>
      </c>
      <c r="G240" s="216">
        <v>2</v>
      </c>
      <c r="H240" s="5" t="s">
        <v>1191</v>
      </c>
      <c r="I240" s="204">
        <v>115</v>
      </c>
      <c r="J240" s="260">
        <v>0.1</v>
      </c>
      <c r="L240" s="217">
        <f t="shared" si="9"/>
        <v>54394.717387499993</v>
      </c>
      <c r="N240" s="271">
        <f t="shared" si="10"/>
        <v>78872.340211874995</v>
      </c>
      <c r="P240" s="326">
        <f t="shared" si="11"/>
        <v>95435.531656368737</v>
      </c>
    </row>
    <row r="241" spans="1:16">
      <c r="A241" s="206">
        <v>235</v>
      </c>
      <c r="B241" s="175" t="s">
        <v>0</v>
      </c>
      <c r="C241" s="175" t="s">
        <v>3016</v>
      </c>
      <c r="D241" s="2" t="s">
        <v>3051</v>
      </c>
      <c r="E241" s="178" t="s">
        <v>3052</v>
      </c>
      <c r="F241" s="218">
        <v>7794334003877</v>
      </c>
      <c r="G241" s="216">
        <v>2</v>
      </c>
      <c r="H241" s="5" t="s">
        <v>1191</v>
      </c>
      <c r="I241" s="204">
        <v>132.19999999999999</v>
      </c>
      <c r="J241" s="260">
        <v>0.1</v>
      </c>
      <c r="L241" s="217">
        <f t="shared" si="9"/>
        <v>62530.275118499994</v>
      </c>
      <c r="N241" s="271">
        <f t="shared" si="10"/>
        <v>90668.898921824992</v>
      </c>
      <c r="P241" s="326">
        <f t="shared" si="11"/>
        <v>109709.36769540823</v>
      </c>
    </row>
    <row r="242" spans="1:16">
      <c r="A242" s="206">
        <v>236</v>
      </c>
      <c r="B242" s="175" t="s">
        <v>0</v>
      </c>
      <c r="C242" s="175" t="s">
        <v>3016</v>
      </c>
      <c r="D242" s="2" t="s">
        <v>3053</v>
      </c>
      <c r="E242" s="178" t="s">
        <v>3054</v>
      </c>
      <c r="F242" s="218">
        <v>7794334003884</v>
      </c>
      <c r="G242" s="216">
        <v>2</v>
      </c>
      <c r="H242" s="5" t="s">
        <v>1191</v>
      </c>
      <c r="I242" s="204">
        <v>147.5</v>
      </c>
      <c r="J242" s="260">
        <v>0.1</v>
      </c>
      <c r="L242" s="217">
        <f t="shared" si="9"/>
        <v>69767.137518749994</v>
      </c>
      <c r="N242" s="271">
        <f t="shared" si="10"/>
        <v>101162.34940218749</v>
      </c>
      <c r="P242" s="326">
        <f t="shared" si="11"/>
        <v>122406.44277664686</v>
      </c>
    </row>
    <row r="243" spans="1:16">
      <c r="A243" s="206">
        <v>237</v>
      </c>
      <c r="B243" s="175" t="s">
        <v>0</v>
      </c>
      <c r="C243" s="175" t="s">
        <v>3016</v>
      </c>
      <c r="D243" s="2" t="s">
        <v>3055</v>
      </c>
      <c r="E243" s="178" t="s">
        <v>3056</v>
      </c>
      <c r="F243" s="218">
        <v>7794334003891</v>
      </c>
      <c r="G243" s="216">
        <v>2</v>
      </c>
      <c r="H243" s="5" t="s">
        <v>1191</v>
      </c>
      <c r="I243" s="204">
        <v>168</v>
      </c>
      <c r="J243" s="260">
        <v>0.1</v>
      </c>
      <c r="L243" s="217">
        <f t="shared" si="9"/>
        <v>79463.587140000003</v>
      </c>
      <c r="N243" s="271">
        <f t="shared" si="10"/>
        <v>115222.201353</v>
      </c>
      <c r="P243" s="326">
        <f t="shared" si="11"/>
        <v>139418.86363712998</v>
      </c>
    </row>
    <row r="244" spans="1:16">
      <c r="A244" s="206">
        <v>238</v>
      </c>
      <c r="B244" s="175" t="s">
        <v>0</v>
      </c>
      <c r="C244" s="175" t="s">
        <v>3016</v>
      </c>
      <c r="D244" s="2" t="s">
        <v>3057</v>
      </c>
      <c r="E244" s="178" t="s">
        <v>3058</v>
      </c>
      <c r="F244" s="218">
        <v>7794334003907</v>
      </c>
      <c r="G244" s="216">
        <v>2</v>
      </c>
      <c r="H244" s="5" t="s">
        <v>1191</v>
      </c>
      <c r="I244" s="204">
        <v>415</v>
      </c>
      <c r="J244" s="260">
        <v>0.1</v>
      </c>
      <c r="L244" s="217">
        <f t="shared" si="9"/>
        <v>196293.98013750001</v>
      </c>
      <c r="N244" s="271">
        <f t="shared" si="10"/>
        <v>284626.27119937498</v>
      </c>
      <c r="P244" s="326">
        <f t="shared" si="11"/>
        <v>344397.7881512437</v>
      </c>
    </row>
    <row r="245" spans="1:16">
      <c r="A245" s="206">
        <v>239</v>
      </c>
      <c r="B245" s="175" t="s">
        <v>0</v>
      </c>
      <c r="C245" s="175" t="s">
        <v>3016</v>
      </c>
      <c r="D245" s="2" t="s">
        <v>3059</v>
      </c>
      <c r="E245" s="178" t="s">
        <v>3060</v>
      </c>
      <c r="F245" s="218">
        <v>7794334007547</v>
      </c>
      <c r="G245" s="216">
        <v>2</v>
      </c>
      <c r="H245" s="5" t="s">
        <v>1191</v>
      </c>
      <c r="I245" s="204">
        <v>674</v>
      </c>
      <c r="J245" s="260">
        <v>0.1</v>
      </c>
      <c r="L245" s="217">
        <f t="shared" si="9"/>
        <v>318800.34364500002</v>
      </c>
      <c r="N245" s="271">
        <f t="shared" si="10"/>
        <v>462260.49828524998</v>
      </c>
      <c r="P245" s="326">
        <f t="shared" si="11"/>
        <v>559335.20292515249</v>
      </c>
    </row>
    <row r="246" spans="1:16">
      <c r="A246" s="206">
        <v>240</v>
      </c>
      <c r="B246" s="175" t="s">
        <v>0</v>
      </c>
      <c r="C246" s="175" t="s">
        <v>3016</v>
      </c>
      <c r="D246" s="2" t="s">
        <v>3061</v>
      </c>
      <c r="E246" s="178" t="s">
        <v>3062</v>
      </c>
      <c r="F246" s="218">
        <v>7794334007554</v>
      </c>
      <c r="G246" s="216">
        <v>2</v>
      </c>
      <c r="H246" s="5" t="s">
        <v>1191</v>
      </c>
      <c r="I246" s="204">
        <v>804</v>
      </c>
      <c r="J246" s="260">
        <v>0.1</v>
      </c>
      <c r="L246" s="217">
        <f t="shared" si="9"/>
        <v>380290.02416999993</v>
      </c>
      <c r="N246" s="271">
        <f t="shared" si="10"/>
        <v>551420.53504649992</v>
      </c>
      <c r="P246" s="326">
        <f t="shared" si="11"/>
        <v>667218.84740626486</v>
      </c>
    </row>
    <row r="247" spans="1:16">
      <c r="A247" s="206">
        <v>241</v>
      </c>
      <c r="B247" s="175" t="s">
        <v>0</v>
      </c>
      <c r="C247" s="175" t="s">
        <v>3016</v>
      </c>
      <c r="D247" s="2" t="s">
        <v>3063</v>
      </c>
      <c r="E247" s="178" t="s">
        <v>3064</v>
      </c>
      <c r="F247" s="218">
        <v>7794334007561</v>
      </c>
      <c r="G247" s="216">
        <v>2</v>
      </c>
      <c r="H247" s="5" t="s">
        <v>1191</v>
      </c>
      <c r="I247" s="204">
        <v>35.9</v>
      </c>
      <c r="J247" s="260">
        <v>0.1</v>
      </c>
      <c r="L247" s="217">
        <f t="shared" si="9"/>
        <v>16980.611775749996</v>
      </c>
      <c r="N247" s="271">
        <f t="shared" si="10"/>
        <v>24621.887074837494</v>
      </c>
      <c r="P247" s="326">
        <f t="shared" si="11"/>
        <v>29792.483360553368</v>
      </c>
    </row>
    <row r="248" spans="1:16">
      <c r="A248" s="206">
        <v>242</v>
      </c>
      <c r="B248" s="175" t="s">
        <v>0</v>
      </c>
      <c r="C248" s="175" t="s">
        <v>3016</v>
      </c>
      <c r="D248" s="2" t="s">
        <v>3065</v>
      </c>
      <c r="E248" s="178" t="s">
        <v>3066</v>
      </c>
      <c r="F248" s="218">
        <v>7794334003914</v>
      </c>
      <c r="G248" s="216">
        <v>2</v>
      </c>
      <c r="H248" s="5" t="s">
        <v>1191</v>
      </c>
      <c r="I248" s="204">
        <v>45.5</v>
      </c>
      <c r="J248" s="260">
        <v>0.1</v>
      </c>
      <c r="L248" s="217">
        <f t="shared" si="9"/>
        <v>21521.388183749998</v>
      </c>
      <c r="N248" s="271">
        <f t="shared" si="10"/>
        <v>31206.012866437497</v>
      </c>
      <c r="P248" s="326">
        <f t="shared" si="11"/>
        <v>37759.27556838937</v>
      </c>
    </row>
    <row r="249" spans="1:16">
      <c r="A249" s="206">
        <v>243</v>
      </c>
      <c r="B249" s="175" t="s">
        <v>0</v>
      </c>
      <c r="C249" s="175" t="s">
        <v>3016</v>
      </c>
      <c r="D249" s="2" t="s">
        <v>3067</v>
      </c>
      <c r="E249" s="178" t="s">
        <v>3068</v>
      </c>
      <c r="F249" s="218">
        <v>7794334003921</v>
      </c>
      <c r="G249" s="216">
        <v>2</v>
      </c>
      <c r="H249" s="5" t="s">
        <v>1191</v>
      </c>
      <c r="I249" s="204">
        <v>59.9</v>
      </c>
      <c r="J249" s="260">
        <v>0.1</v>
      </c>
      <c r="L249" s="217">
        <f t="shared" si="9"/>
        <v>28332.552795749998</v>
      </c>
      <c r="N249" s="271">
        <f t="shared" si="10"/>
        <v>41082.201553837498</v>
      </c>
      <c r="P249" s="326">
        <f t="shared" si="11"/>
        <v>49709.463880143368</v>
      </c>
    </row>
    <row r="250" spans="1:16">
      <c r="A250" s="206">
        <v>244</v>
      </c>
      <c r="B250" s="175" t="s">
        <v>0</v>
      </c>
      <c r="C250" s="175" t="s">
        <v>3016</v>
      </c>
      <c r="D250" s="2" t="s">
        <v>3069</v>
      </c>
      <c r="E250" s="178" t="s">
        <v>3070</v>
      </c>
      <c r="F250" s="218">
        <v>7794334003938</v>
      </c>
      <c r="G250" s="216">
        <v>2</v>
      </c>
      <c r="H250" s="5" t="s">
        <v>1191</v>
      </c>
      <c r="I250" s="204">
        <v>60.5</v>
      </c>
      <c r="J250" s="260">
        <v>0.1</v>
      </c>
      <c r="L250" s="217">
        <f t="shared" si="9"/>
        <v>28616.35132125</v>
      </c>
      <c r="N250" s="271">
        <f t="shared" si="10"/>
        <v>41493.709415812496</v>
      </c>
      <c r="P250" s="326">
        <f t="shared" si="11"/>
        <v>50207.388393133122</v>
      </c>
    </row>
    <row r="251" spans="1:16">
      <c r="A251" s="206">
        <v>245</v>
      </c>
      <c r="B251" s="175" t="s">
        <v>0</v>
      </c>
      <c r="C251" s="175" t="s">
        <v>3016</v>
      </c>
      <c r="D251" s="2" t="s">
        <v>3071</v>
      </c>
      <c r="E251" s="178" t="s">
        <v>3072</v>
      </c>
      <c r="F251" s="218">
        <v>7794334003945</v>
      </c>
      <c r="G251" s="216">
        <v>2</v>
      </c>
      <c r="H251" s="5" t="s">
        <v>1191</v>
      </c>
      <c r="I251" s="204">
        <v>77</v>
      </c>
      <c r="J251" s="260">
        <v>0.1</v>
      </c>
      <c r="L251" s="217">
        <f t="shared" si="9"/>
        <v>36420.810772499994</v>
      </c>
      <c r="N251" s="271">
        <f t="shared" si="10"/>
        <v>52810.175620124988</v>
      </c>
      <c r="P251" s="326">
        <f t="shared" si="11"/>
        <v>63900.312500351232</v>
      </c>
    </row>
    <row r="252" spans="1:16">
      <c r="A252" s="206">
        <v>246</v>
      </c>
      <c r="B252" s="175" t="s">
        <v>0</v>
      </c>
      <c r="C252" s="175" t="s">
        <v>3016</v>
      </c>
      <c r="D252" s="2" t="s">
        <v>3073</v>
      </c>
      <c r="E252" s="178" t="s">
        <v>3074</v>
      </c>
      <c r="F252" s="218">
        <v>7794334003952</v>
      </c>
      <c r="G252" s="216">
        <v>2</v>
      </c>
      <c r="H252" s="5" t="s">
        <v>1191</v>
      </c>
      <c r="I252" s="204">
        <v>77.5</v>
      </c>
      <c r="J252" s="260">
        <v>0.1</v>
      </c>
      <c r="L252" s="217">
        <f t="shared" si="9"/>
        <v>36657.309543749994</v>
      </c>
      <c r="N252" s="271">
        <f t="shared" si="10"/>
        <v>53153.098838437487</v>
      </c>
      <c r="P252" s="326">
        <f t="shared" si="11"/>
        <v>64315.249594509354</v>
      </c>
    </row>
    <row r="253" spans="1:16">
      <c r="A253" s="206">
        <v>247</v>
      </c>
      <c r="B253" s="175" t="s">
        <v>0</v>
      </c>
      <c r="C253" s="175" t="s">
        <v>3016</v>
      </c>
      <c r="D253" s="2" t="s">
        <v>3075</v>
      </c>
      <c r="E253" s="178" t="s">
        <v>3076</v>
      </c>
      <c r="F253" s="218">
        <v>7794334003969</v>
      </c>
      <c r="G253" s="216">
        <v>2</v>
      </c>
      <c r="H253" s="5" t="s">
        <v>1191</v>
      </c>
      <c r="I253" s="204">
        <v>127</v>
      </c>
      <c r="J253" s="260">
        <v>0.1</v>
      </c>
      <c r="L253" s="217">
        <f t="shared" si="9"/>
        <v>60070.687897499993</v>
      </c>
      <c r="N253" s="271">
        <f t="shared" si="10"/>
        <v>87102.497451374991</v>
      </c>
      <c r="P253" s="326">
        <f t="shared" si="11"/>
        <v>105394.02191616374</v>
      </c>
    </row>
    <row r="254" spans="1:16">
      <c r="A254" s="206">
        <v>248</v>
      </c>
      <c r="B254" s="175" t="s">
        <v>0</v>
      </c>
      <c r="C254" s="175" t="s">
        <v>3016</v>
      </c>
      <c r="D254" s="2" t="s">
        <v>3077</v>
      </c>
      <c r="E254" s="178" t="s">
        <v>3078</v>
      </c>
      <c r="F254" s="218">
        <v>7794334003976</v>
      </c>
      <c r="G254" s="216">
        <v>2</v>
      </c>
      <c r="H254" s="5" t="s">
        <v>1191</v>
      </c>
      <c r="I254" s="204">
        <v>140.5</v>
      </c>
      <c r="J254" s="260">
        <v>0.1</v>
      </c>
      <c r="L254" s="217">
        <f t="shared" si="9"/>
        <v>66456.154721250001</v>
      </c>
      <c r="N254" s="271">
        <f t="shared" si="10"/>
        <v>96361.424345812498</v>
      </c>
      <c r="P254" s="326">
        <f t="shared" si="11"/>
        <v>116597.32345843312</v>
      </c>
    </row>
    <row r="255" spans="1:16">
      <c r="A255" s="206">
        <v>249</v>
      </c>
      <c r="B255" s="175" t="s">
        <v>0</v>
      </c>
      <c r="C255" s="175" t="s">
        <v>3016</v>
      </c>
      <c r="D255" s="2" t="s">
        <v>3079</v>
      </c>
      <c r="E255" s="178" t="s">
        <v>3080</v>
      </c>
      <c r="F255" s="218">
        <v>7794334003983</v>
      </c>
      <c r="G255" s="216">
        <v>2</v>
      </c>
      <c r="H255" s="5" t="s">
        <v>1191</v>
      </c>
      <c r="I255" s="204">
        <v>159.9</v>
      </c>
      <c r="J255" s="260">
        <v>0.1</v>
      </c>
      <c r="L255" s="217">
        <f t="shared" si="9"/>
        <v>75632.307045749985</v>
      </c>
      <c r="N255" s="271">
        <f t="shared" si="10"/>
        <v>109666.84521633747</v>
      </c>
      <c r="P255" s="326">
        <f t="shared" si="11"/>
        <v>132696.88271176835</v>
      </c>
    </row>
    <row r="256" spans="1:16">
      <c r="A256" s="206">
        <v>250</v>
      </c>
      <c r="B256" s="175" t="s">
        <v>0</v>
      </c>
      <c r="C256" s="175" t="s">
        <v>3016</v>
      </c>
      <c r="D256" s="2" t="s">
        <v>3081</v>
      </c>
      <c r="E256" s="178" t="s">
        <v>3082</v>
      </c>
      <c r="F256" s="218">
        <v>7794334003990</v>
      </c>
      <c r="G256" s="216">
        <v>2</v>
      </c>
      <c r="H256" s="5" t="s">
        <v>1191</v>
      </c>
      <c r="I256" s="204">
        <v>410</v>
      </c>
      <c r="J256" s="260">
        <v>0.1</v>
      </c>
      <c r="L256" s="217">
        <f t="shared" si="9"/>
        <v>193928.99242499997</v>
      </c>
      <c r="N256" s="271">
        <f t="shared" si="10"/>
        <v>281197.03901624994</v>
      </c>
      <c r="P256" s="326">
        <f t="shared" si="11"/>
        <v>340248.41720966244</v>
      </c>
    </row>
    <row r="257" spans="1:16">
      <c r="A257" s="206">
        <v>251</v>
      </c>
      <c r="B257" s="175" t="s">
        <v>0</v>
      </c>
      <c r="C257" s="175" t="s">
        <v>3016</v>
      </c>
      <c r="D257" s="2" t="s">
        <v>3083</v>
      </c>
      <c r="E257" s="178" t="s">
        <v>3084</v>
      </c>
      <c r="F257" s="218">
        <v>7794334007578</v>
      </c>
      <c r="G257" s="216">
        <v>2</v>
      </c>
      <c r="H257" s="5" t="s">
        <v>1191</v>
      </c>
      <c r="I257" s="204">
        <v>728</v>
      </c>
      <c r="J257" s="260">
        <v>0.1</v>
      </c>
      <c r="L257" s="217">
        <f t="shared" si="9"/>
        <v>344342.21093999996</v>
      </c>
      <c r="N257" s="271">
        <f t="shared" si="10"/>
        <v>499296.20586299995</v>
      </c>
      <c r="P257" s="326">
        <f t="shared" si="11"/>
        <v>604148.40909422992</v>
      </c>
    </row>
    <row r="258" spans="1:16">
      <c r="A258" s="206">
        <v>252</v>
      </c>
      <c r="B258" s="175" t="s">
        <v>0</v>
      </c>
      <c r="C258" s="175" t="s">
        <v>3016</v>
      </c>
      <c r="D258" s="2" t="s">
        <v>3085</v>
      </c>
      <c r="E258" s="178" t="s">
        <v>3086</v>
      </c>
      <c r="F258" s="218">
        <v>7794334007585</v>
      </c>
      <c r="G258" s="216">
        <v>2</v>
      </c>
      <c r="H258" s="5" t="s">
        <v>1191</v>
      </c>
      <c r="I258" s="204">
        <v>999</v>
      </c>
      <c r="J258" s="260">
        <v>0.1</v>
      </c>
      <c r="L258" s="217">
        <f t="shared" si="9"/>
        <v>472524.54495749995</v>
      </c>
      <c r="N258" s="271">
        <f t="shared" si="10"/>
        <v>685160.59018837486</v>
      </c>
      <c r="P258" s="326">
        <f t="shared" si="11"/>
        <v>829044.31412793358</v>
      </c>
    </row>
    <row r="259" spans="1:16">
      <c r="A259" s="206">
        <v>253</v>
      </c>
      <c r="B259" s="175" t="s">
        <v>0</v>
      </c>
      <c r="C259" s="175" t="s">
        <v>3016</v>
      </c>
      <c r="D259" s="2" t="s">
        <v>3087</v>
      </c>
      <c r="E259" s="178" t="s">
        <v>3088</v>
      </c>
      <c r="F259" s="218">
        <v>7794334007592</v>
      </c>
      <c r="G259" s="216">
        <v>2</v>
      </c>
      <c r="H259" s="5" t="s">
        <v>1191</v>
      </c>
      <c r="I259" s="204">
        <v>76</v>
      </c>
      <c r="J259" s="260">
        <v>0.1</v>
      </c>
      <c r="L259" s="217">
        <f t="shared" si="9"/>
        <v>35947.813229999992</v>
      </c>
      <c r="N259" s="271">
        <f t="shared" si="10"/>
        <v>52124.329183499991</v>
      </c>
      <c r="P259" s="326">
        <f t="shared" si="11"/>
        <v>63070.438312034988</v>
      </c>
    </row>
    <row r="260" spans="1:16">
      <c r="A260" s="206">
        <v>254</v>
      </c>
      <c r="B260" s="175" t="s">
        <v>0</v>
      </c>
      <c r="C260" s="175" t="s">
        <v>3016</v>
      </c>
      <c r="D260" s="2" t="s">
        <v>3089</v>
      </c>
      <c r="E260" s="178" t="s">
        <v>3090</v>
      </c>
      <c r="F260" s="218">
        <v>7794334004003</v>
      </c>
      <c r="G260" s="216">
        <v>2</v>
      </c>
      <c r="H260" s="5" t="s">
        <v>1191</v>
      </c>
      <c r="I260" s="204">
        <v>82.3</v>
      </c>
      <c r="J260" s="260">
        <v>0.1</v>
      </c>
      <c r="L260" s="217">
        <f t="shared" si="9"/>
        <v>38927.697747749997</v>
      </c>
      <c r="N260" s="271">
        <f t="shared" si="10"/>
        <v>56445.161734237496</v>
      </c>
      <c r="P260" s="326">
        <f t="shared" si="11"/>
        <v>68298.645698427368</v>
      </c>
    </row>
    <row r="261" spans="1:16">
      <c r="A261" s="206">
        <v>255</v>
      </c>
      <c r="B261" s="175" t="s">
        <v>0</v>
      </c>
      <c r="C261" s="175" t="s">
        <v>3016</v>
      </c>
      <c r="D261" s="2" t="s">
        <v>3091</v>
      </c>
      <c r="E261" s="178" t="s">
        <v>3092</v>
      </c>
      <c r="F261" s="218">
        <v>7794334004010</v>
      </c>
      <c r="G261" s="216">
        <v>2</v>
      </c>
      <c r="H261" s="5" t="s">
        <v>1191</v>
      </c>
      <c r="I261" s="204">
        <v>104.9</v>
      </c>
      <c r="J261" s="260">
        <v>0.1</v>
      </c>
      <c r="L261" s="217">
        <f t="shared" si="9"/>
        <v>49617.442208249995</v>
      </c>
      <c r="N261" s="271">
        <f t="shared" si="10"/>
        <v>71945.291201962493</v>
      </c>
      <c r="P261" s="326">
        <f t="shared" si="11"/>
        <v>87053.802354374609</v>
      </c>
    </row>
    <row r="262" spans="1:16">
      <c r="A262" s="206">
        <v>256</v>
      </c>
      <c r="B262" s="175" t="s">
        <v>0</v>
      </c>
      <c r="C262" s="175" t="s">
        <v>3016</v>
      </c>
      <c r="D262" s="2" t="s">
        <v>3093</v>
      </c>
      <c r="E262" s="178" t="s">
        <v>3094</v>
      </c>
      <c r="F262" s="218">
        <v>7794334004027</v>
      </c>
      <c r="G262" s="216">
        <v>2</v>
      </c>
      <c r="H262" s="5" t="s">
        <v>1191</v>
      </c>
      <c r="I262" s="204">
        <v>116.5</v>
      </c>
      <c r="J262" s="260">
        <v>0.1</v>
      </c>
      <c r="L262" s="217">
        <f t="shared" si="9"/>
        <v>55104.213701249995</v>
      </c>
      <c r="N262" s="271">
        <f t="shared" si="10"/>
        <v>79901.109866812491</v>
      </c>
      <c r="P262" s="326">
        <f t="shared" si="11"/>
        <v>96680.34293884311</v>
      </c>
    </row>
    <row r="263" spans="1:16">
      <c r="A263" s="206">
        <v>257</v>
      </c>
      <c r="B263" s="175" t="s">
        <v>0</v>
      </c>
      <c r="C263" s="175" t="s">
        <v>3016</v>
      </c>
      <c r="D263" s="2" t="s">
        <v>3095</v>
      </c>
      <c r="E263" s="178" t="s">
        <v>3096</v>
      </c>
      <c r="F263" s="218">
        <v>7794334004034</v>
      </c>
      <c r="G263" s="216">
        <v>2</v>
      </c>
      <c r="H263" s="5" t="s">
        <v>1191</v>
      </c>
      <c r="I263" s="204">
        <v>142.5</v>
      </c>
      <c r="J263" s="260">
        <v>0.1</v>
      </c>
      <c r="L263" s="217">
        <f t="shared" si="9"/>
        <v>67402.149806249989</v>
      </c>
      <c r="N263" s="271">
        <f t="shared" si="10"/>
        <v>97733.117219062478</v>
      </c>
      <c r="P263" s="326">
        <f t="shared" si="11"/>
        <v>118257.0718350656</v>
      </c>
    </row>
    <row r="264" spans="1:16">
      <c r="A264" s="206">
        <v>258</v>
      </c>
      <c r="B264" s="175" t="s">
        <v>0</v>
      </c>
      <c r="C264" s="175" t="s">
        <v>3016</v>
      </c>
      <c r="D264" s="2" t="s">
        <v>3097</v>
      </c>
      <c r="E264" s="178" t="s">
        <v>3098</v>
      </c>
      <c r="F264" s="218">
        <v>7794334004041</v>
      </c>
      <c r="G264" s="216">
        <v>2</v>
      </c>
      <c r="H264" s="5" t="s">
        <v>1191</v>
      </c>
      <c r="I264" s="204">
        <v>151.30000000000001</v>
      </c>
      <c r="J264" s="260">
        <v>0.1</v>
      </c>
      <c r="L264" s="217">
        <f t="shared" ref="L264:L327" si="12">+I264*$F$2*$F$3*$F$4*$F$5</f>
        <v>71564.528180249996</v>
      </c>
      <c r="N264" s="271">
        <f t="shared" si="10"/>
        <v>103768.56586136248</v>
      </c>
      <c r="P264" s="326">
        <f t="shared" si="11"/>
        <v>125559.9646922486</v>
      </c>
    </row>
    <row r="265" spans="1:16">
      <c r="A265" s="206">
        <v>259</v>
      </c>
      <c r="B265" s="175" t="s">
        <v>0</v>
      </c>
      <c r="C265" s="175" t="s">
        <v>3016</v>
      </c>
      <c r="D265" s="2" t="s">
        <v>3099</v>
      </c>
      <c r="E265" s="178" t="s">
        <v>3100</v>
      </c>
      <c r="F265" s="218">
        <v>7794334004058</v>
      </c>
      <c r="G265" s="216">
        <v>2</v>
      </c>
      <c r="H265" s="5" t="s">
        <v>1191</v>
      </c>
      <c r="I265" s="204">
        <v>178.5</v>
      </c>
      <c r="J265" s="260">
        <v>0.1</v>
      </c>
      <c r="L265" s="217">
        <f t="shared" si="12"/>
        <v>84430.061336250001</v>
      </c>
      <c r="N265" s="271">
        <f t="shared" ref="N265:N328" si="13">+L265*1.45</f>
        <v>122423.5889375625</v>
      </c>
      <c r="P265" s="326">
        <f t="shared" ref="P265:P328" si="14">+N265*1.21</f>
        <v>148132.54261445062</v>
      </c>
    </row>
    <row r="266" spans="1:16">
      <c r="A266" s="206">
        <v>260</v>
      </c>
      <c r="B266" s="175" t="s">
        <v>0</v>
      </c>
      <c r="C266" s="175" t="s">
        <v>3016</v>
      </c>
      <c r="D266" s="2" t="s">
        <v>3101</v>
      </c>
      <c r="E266" s="178" t="s">
        <v>3102</v>
      </c>
      <c r="F266" s="218">
        <v>7794334004065</v>
      </c>
      <c r="G266" s="216">
        <v>2</v>
      </c>
      <c r="H266" s="5" t="s">
        <v>1191</v>
      </c>
      <c r="I266" s="204">
        <v>222.5</v>
      </c>
      <c r="J266" s="260">
        <v>0.1</v>
      </c>
      <c r="L266" s="217">
        <f t="shared" si="12"/>
        <v>105241.95320624999</v>
      </c>
      <c r="N266" s="271">
        <f t="shared" si="13"/>
        <v>152600.83214906248</v>
      </c>
      <c r="P266" s="326">
        <f t="shared" si="14"/>
        <v>184647.00690036561</v>
      </c>
    </row>
    <row r="267" spans="1:16">
      <c r="A267" s="206">
        <v>261</v>
      </c>
      <c r="B267" s="175" t="s">
        <v>0</v>
      </c>
      <c r="C267" s="175" t="s">
        <v>3016</v>
      </c>
      <c r="D267" s="2" t="s">
        <v>3103</v>
      </c>
      <c r="E267" s="178" t="s">
        <v>3104</v>
      </c>
      <c r="F267" s="218">
        <v>7794334004072</v>
      </c>
      <c r="G267" s="216">
        <v>2</v>
      </c>
      <c r="H267" s="5" t="s">
        <v>1191</v>
      </c>
      <c r="I267" s="204">
        <v>255</v>
      </c>
      <c r="J267" s="260">
        <v>0.1</v>
      </c>
      <c r="L267" s="217">
        <f t="shared" si="12"/>
        <v>120614.3733375</v>
      </c>
      <c r="N267" s="271">
        <f t="shared" si="13"/>
        <v>174890.84133937501</v>
      </c>
      <c r="P267" s="326">
        <f t="shared" si="14"/>
        <v>211617.91802064376</v>
      </c>
    </row>
    <row r="268" spans="1:16">
      <c r="A268" s="206">
        <v>262</v>
      </c>
      <c r="B268" s="175" t="s">
        <v>0</v>
      </c>
      <c r="C268" s="175" t="s">
        <v>3016</v>
      </c>
      <c r="D268" s="2" t="s">
        <v>3105</v>
      </c>
      <c r="E268" s="178" t="s">
        <v>3106</v>
      </c>
      <c r="F268" s="218">
        <v>7794334004089</v>
      </c>
      <c r="G268" s="216">
        <v>2</v>
      </c>
      <c r="H268" s="5" t="s">
        <v>1191</v>
      </c>
      <c r="I268" s="204">
        <v>438</v>
      </c>
      <c r="J268" s="260">
        <v>0.1</v>
      </c>
      <c r="L268" s="217">
        <f t="shared" si="12"/>
        <v>207172.92361500001</v>
      </c>
      <c r="N268" s="271">
        <f t="shared" si="13"/>
        <v>300400.73924174998</v>
      </c>
      <c r="P268" s="326">
        <f t="shared" si="14"/>
        <v>363484.89448251744</v>
      </c>
    </row>
    <row r="269" spans="1:16">
      <c r="A269" s="206">
        <v>263</v>
      </c>
      <c r="B269" s="175" t="s">
        <v>0</v>
      </c>
      <c r="C269" s="175" t="s">
        <v>3016</v>
      </c>
      <c r="D269" s="2" t="s">
        <v>3107</v>
      </c>
      <c r="E269" s="178" t="s">
        <v>3108</v>
      </c>
      <c r="F269" s="218">
        <v>7794334007608</v>
      </c>
      <c r="G269" s="216">
        <v>2</v>
      </c>
      <c r="H269" s="5" t="s">
        <v>1191</v>
      </c>
      <c r="I269" s="204">
        <v>549.5</v>
      </c>
      <c r="J269" s="260">
        <v>0.1</v>
      </c>
      <c r="L269" s="217">
        <f t="shared" si="12"/>
        <v>259912.14960375</v>
      </c>
      <c r="N269" s="271">
        <f t="shared" si="13"/>
        <v>376872.61692543747</v>
      </c>
      <c r="P269" s="326">
        <f t="shared" si="14"/>
        <v>456015.8664797793</v>
      </c>
    </row>
    <row r="270" spans="1:16">
      <c r="A270" s="206">
        <v>264</v>
      </c>
      <c r="B270" s="175" t="s">
        <v>0</v>
      </c>
      <c r="C270" s="175" t="s">
        <v>3016</v>
      </c>
      <c r="D270" s="2" t="s">
        <v>3109</v>
      </c>
      <c r="E270" s="178" t="s">
        <v>3110</v>
      </c>
      <c r="F270" s="218">
        <v>7794334007615</v>
      </c>
      <c r="G270" s="216">
        <v>2</v>
      </c>
      <c r="H270" s="5" t="s">
        <v>1191</v>
      </c>
      <c r="I270" s="204">
        <v>699.5</v>
      </c>
      <c r="J270" s="260">
        <v>0.1</v>
      </c>
      <c r="L270" s="217">
        <f t="shared" si="12"/>
        <v>330861.78097874997</v>
      </c>
      <c r="N270" s="271">
        <f t="shared" si="13"/>
        <v>479749.58241918747</v>
      </c>
      <c r="P270" s="326">
        <f t="shared" si="14"/>
        <v>580496.99472721678</v>
      </c>
    </row>
    <row r="271" spans="1:16">
      <c r="A271" s="206">
        <v>265</v>
      </c>
      <c r="B271" s="175" t="s">
        <v>0</v>
      </c>
      <c r="C271" s="175" t="s">
        <v>3016</v>
      </c>
      <c r="D271" s="2" t="s">
        <v>3111</v>
      </c>
      <c r="E271" s="178" t="s">
        <v>3112</v>
      </c>
      <c r="F271" s="218">
        <v>7794334007622</v>
      </c>
      <c r="G271" s="216">
        <v>2</v>
      </c>
      <c r="H271" s="5" t="s">
        <v>1191</v>
      </c>
      <c r="I271" s="204">
        <v>79.900000000000006</v>
      </c>
      <c r="J271" s="260">
        <v>0.1</v>
      </c>
      <c r="L271" s="217">
        <f t="shared" si="12"/>
        <v>37792.503645749995</v>
      </c>
      <c r="N271" s="271">
        <f t="shared" si="13"/>
        <v>54799.130286337495</v>
      </c>
      <c r="P271" s="326">
        <f t="shared" si="14"/>
        <v>66306.947646468368</v>
      </c>
    </row>
    <row r="272" spans="1:16">
      <c r="A272" s="206">
        <v>266</v>
      </c>
      <c r="B272" s="175" t="s">
        <v>0</v>
      </c>
      <c r="C272" s="175" t="s">
        <v>3016</v>
      </c>
      <c r="D272" s="2" t="s">
        <v>3113</v>
      </c>
      <c r="E272" s="178" t="s">
        <v>3114</v>
      </c>
      <c r="F272" s="218">
        <v>7794334004096</v>
      </c>
      <c r="G272" s="216">
        <v>2</v>
      </c>
      <c r="H272" s="5" t="s">
        <v>1191</v>
      </c>
      <c r="I272" s="204">
        <v>85.9</v>
      </c>
      <c r="J272" s="260">
        <v>0.1</v>
      </c>
      <c r="L272" s="217">
        <f t="shared" si="12"/>
        <v>40630.488900750002</v>
      </c>
      <c r="N272" s="271">
        <f t="shared" si="13"/>
        <v>58914.208906087501</v>
      </c>
      <c r="P272" s="326">
        <f t="shared" si="14"/>
        <v>71286.192776365875</v>
      </c>
    </row>
    <row r="273" spans="1:16">
      <c r="A273" s="206">
        <v>267</v>
      </c>
      <c r="B273" s="175" t="s">
        <v>0</v>
      </c>
      <c r="C273" s="175" t="s">
        <v>3016</v>
      </c>
      <c r="D273" s="2" t="s">
        <v>3115</v>
      </c>
      <c r="E273" s="178" t="s">
        <v>3116</v>
      </c>
      <c r="F273" s="218">
        <v>7794334004102</v>
      </c>
      <c r="G273" s="216">
        <v>2</v>
      </c>
      <c r="H273" s="5" t="s">
        <v>1191</v>
      </c>
      <c r="I273" s="204">
        <v>105.8</v>
      </c>
      <c r="J273" s="260">
        <v>0.1</v>
      </c>
      <c r="L273" s="217">
        <f t="shared" si="12"/>
        <v>50043.139996499995</v>
      </c>
      <c r="N273" s="271">
        <f t="shared" si="13"/>
        <v>72562.55299492499</v>
      </c>
      <c r="P273" s="326">
        <f t="shared" si="14"/>
        <v>87800.689123859236</v>
      </c>
    </row>
    <row r="274" spans="1:16">
      <c r="A274" s="206">
        <v>268</v>
      </c>
      <c r="B274" s="175" t="s">
        <v>0</v>
      </c>
      <c r="C274" s="175" t="s">
        <v>3016</v>
      </c>
      <c r="D274" s="2" t="s">
        <v>3117</v>
      </c>
      <c r="E274" s="178" t="s">
        <v>3118</v>
      </c>
      <c r="F274" s="218">
        <v>7794334004119</v>
      </c>
      <c r="G274" s="216">
        <v>2</v>
      </c>
      <c r="H274" s="5" t="s">
        <v>1191</v>
      </c>
      <c r="I274" s="204">
        <v>145</v>
      </c>
      <c r="J274" s="260">
        <v>0.1</v>
      </c>
      <c r="L274" s="217">
        <f t="shared" si="12"/>
        <v>68584.643662499991</v>
      </c>
      <c r="N274" s="271">
        <f t="shared" si="13"/>
        <v>99447.733310624986</v>
      </c>
      <c r="P274" s="326">
        <f t="shared" si="14"/>
        <v>120331.75730585623</v>
      </c>
    </row>
    <row r="275" spans="1:16">
      <c r="A275" s="206">
        <v>269</v>
      </c>
      <c r="B275" s="175" t="s">
        <v>0</v>
      </c>
      <c r="C275" s="175" t="s">
        <v>3016</v>
      </c>
      <c r="D275" s="2" t="s">
        <v>3119</v>
      </c>
      <c r="E275" s="178" t="s">
        <v>3120</v>
      </c>
      <c r="F275" s="218">
        <v>7794334004126</v>
      </c>
      <c r="G275" s="216">
        <v>2</v>
      </c>
      <c r="H275" s="5" t="s">
        <v>1191</v>
      </c>
      <c r="I275" s="204">
        <v>158.5</v>
      </c>
      <c r="J275" s="260">
        <v>0.1</v>
      </c>
      <c r="L275" s="217">
        <f t="shared" si="12"/>
        <v>74970.110486249992</v>
      </c>
      <c r="N275" s="271">
        <f t="shared" si="13"/>
        <v>108706.66020506248</v>
      </c>
      <c r="P275" s="326">
        <f t="shared" si="14"/>
        <v>131535.0588481256</v>
      </c>
    </row>
    <row r="276" spans="1:16">
      <c r="A276" s="206">
        <v>270</v>
      </c>
      <c r="B276" s="175" t="s">
        <v>0</v>
      </c>
      <c r="C276" s="175" t="s">
        <v>3016</v>
      </c>
      <c r="D276" s="2" t="s">
        <v>3121</v>
      </c>
      <c r="E276" s="178" t="s">
        <v>3122</v>
      </c>
      <c r="F276" s="218">
        <v>7794334004133</v>
      </c>
      <c r="G276" s="216">
        <v>2</v>
      </c>
      <c r="H276" s="5" t="s">
        <v>1191</v>
      </c>
      <c r="I276" s="204">
        <v>171.5</v>
      </c>
      <c r="J276" s="260">
        <v>0.1</v>
      </c>
      <c r="L276" s="217">
        <f t="shared" si="12"/>
        <v>81119.078538749993</v>
      </c>
      <c r="N276" s="271">
        <f t="shared" si="13"/>
        <v>117622.66388118749</v>
      </c>
      <c r="P276" s="326">
        <f t="shared" si="14"/>
        <v>142323.42329623687</v>
      </c>
    </row>
    <row r="277" spans="1:16">
      <c r="A277" s="206">
        <v>271</v>
      </c>
      <c r="B277" s="175" t="s">
        <v>0</v>
      </c>
      <c r="C277" s="175" t="s">
        <v>3016</v>
      </c>
      <c r="D277" s="2" t="s">
        <v>3123</v>
      </c>
      <c r="E277" s="178" t="s">
        <v>3124</v>
      </c>
      <c r="F277" s="218">
        <v>7794334004140</v>
      </c>
      <c r="G277" s="216">
        <v>2</v>
      </c>
      <c r="H277" s="5" t="s">
        <v>1191</v>
      </c>
      <c r="I277" s="204">
        <v>201.5</v>
      </c>
      <c r="J277" s="260">
        <v>0.1</v>
      </c>
      <c r="L277" s="217">
        <f t="shared" si="12"/>
        <v>95309.004813749998</v>
      </c>
      <c r="N277" s="271">
        <f t="shared" si="13"/>
        <v>138198.05697993748</v>
      </c>
      <c r="P277" s="326">
        <f t="shared" si="14"/>
        <v>167219.64894572436</v>
      </c>
    </row>
    <row r="278" spans="1:16">
      <c r="A278" s="206">
        <v>272</v>
      </c>
      <c r="B278" s="175" t="s">
        <v>0</v>
      </c>
      <c r="C278" s="175" t="s">
        <v>3016</v>
      </c>
      <c r="D278" s="2" t="s">
        <v>3125</v>
      </c>
      <c r="E278" s="178" t="s">
        <v>3126</v>
      </c>
      <c r="F278" s="218">
        <v>7794334004157</v>
      </c>
      <c r="G278" s="216">
        <v>2</v>
      </c>
      <c r="H278" s="5" t="s">
        <v>1191</v>
      </c>
      <c r="I278" s="204">
        <v>309.5</v>
      </c>
      <c r="J278" s="260">
        <v>0.1</v>
      </c>
      <c r="L278" s="217">
        <f t="shared" si="12"/>
        <v>146392.73940374999</v>
      </c>
      <c r="N278" s="271">
        <f t="shared" si="13"/>
        <v>212269.47213543748</v>
      </c>
      <c r="P278" s="326">
        <f t="shared" si="14"/>
        <v>256846.06128387933</v>
      </c>
    </row>
    <row r="279" spans="1:16">
      <c r="A279" s="206">
        <v>273</v>
      </c>
      <c r="B279" s="175" t="s">
        <v>0</v>
      </c>
      <c r="C279" s="175" t="s">
        <v>3016</v>
      </c>
      <c r="D279" s="2" t="s">
        <v>3127</v>
      </c>
      <c r="E279" s="178" t="s">
        <v>3128</v>
      </c>
      <c r="F279" s="218">
        <v>7794334004164</v>
      </c>
      <c r="G279" s="216">
        <v>2</v>
      </c>
      <c r="H279" s="5" t="s">
        <v>1191</v>
      </c>
      <c r="I279" s="204">
        <v>389.5</v>
      </c>
      <c r="J279" s="260">
        <v>0.1</v>
      </c>
      <c r="L279" s="217">
        <f t="shared" si="12"/>
        <v>184232.54280375</v>
      </c>
      <c r="N279" s="271">
        <f t="shared" si="13"/>
        <v>267137.18706543749</v>
      </c>
      <c r="P279" s="326">
        <f t="shared" si="14"/>
        <v>323235.99634917936</v>
      </c>
    </row>
    <row r="280" spans="1:16">
      <c r="A280" s="206">
        <v>274</v>
      </c>
      <c r="B280" s="175" t="s">
        <v>0</v>
      </c>
      <c r="C280" s="175" t="s">
        <v>3016</v>
      </c>
      <c r="D280" s="2" t="s">
        <v>3129</v>
      </c>
      <c r="E280" s="178" t="s">
        <v>3130</v>
      </c>
      <c r="F280" s="218">
        <v>7794334004171</v>
      </c>
      <c r="G280" s="216">
        <v>2</v>
      </c>
      <c r="H280" s="5" t="s">
        <v>1191</v>
      </c>
      <c r="I280" s="204">
        <v>505</v>
      </c>
      <c r="J280" s="260">
        <v>0.1</v>
      </c>
      <c r="L280" s="217">
        <f t="shared" si="12"/>
        <v>238863.75896249997</v>
      </c>
      <c r="N280" s="271">
        <f t="shared" si="13"/>
        <v>346352.45049562491</v>
      </c>
      <c r="P280" s="326">
        <f t="shared" si="14"/>
        <v>419086.46509970614</v>
      </c>
    </row>
    <row r="281" spans="1:16">
      <c r="A281" s="206">
        <v>275</v>
      </c>
      <c r="B281" s="175" t="s">
        <v>0</v>
      </c>
      <c r="C281" s="175" t="s">
        <v>3016</v>
      </c>
      <c r="D281" s="2" t="s">
        <v>3131</v>
      </c>
      <c r="E281" s="178" t="s">
        <v>3132</v>
      </c>
      <c r="F281" s="218">
        <v>7794334007639</v>
      </c>
      <c r="G281" s="216">
        <v>2</v>
      </c>
      <c r="H281" s="5" t="s">
        <v>1191</v>
      </c>
      <c r="I281" s="204">
        <v>522.5</v>
      </c>
      <c r="J281" s="260">
        <v>0.1</v>
      </c>
      <c r="L281" s="217">
        <f t="shared" si="12"/>
        <v>247141.21595625</v>
      </c>
      <c r="N281" s="271">
        <f t="shared" si="13"/>
        <v>358354.76313656248</v>
      </c>
      <c r="P281" s="326">
        <f t="shared" si="14"/>
        <v>433609.26339524059</v>
      </c>
    </row>
    <row r="282" spans="1:16">
      <c r="A282" s="206">
        <v>276</v>
      </c>
      <c r="B282" s="175" t="s">
        <v>0</v>
      </c>
      <c r="C282" s="175" t="s">
        <v>3016</v>
      </c>
      <c r="D282" s="2" t="s">
        <v>3133</v>
      </c>
      <c r="E282" s="178" t="s">
        <v>3134</v>
      </c>
      <c r="F282" s="218">
        <v>7794334007646</v>
      </c>
      <c r="G282" s="216">
        <v>2</v>
      </c>
      <c r="H282" s="5" t="s">
        <v>1191</v>
      </c>
      <c r="I282" s="204">
        <v>665</v>
      </c>
      <c r="J282" s="260">
        <v>0.1</v>
      </c>
      <c r="L282" s="217">
        <f t="shared" si="12"/>
        <v>314543.36576249998</v>
      </c>
      <c r="N282" s="271">
        <f t="shared" si="13"/>
        <v>456087.88035562495</v>
      </c>
      <c r="P282" s="326">
        <f t="shared" si="14"/>
        <v>551866.33523030614</v>
      </c>
    </row>
    <row r="283" spans="1:16">
      <c r="A283" s="206">
        <v>277</v>
      </c>
      <c r="B283" s="175" t="s">
        <v>0</v>
      </c>
      <c r="C283" s="175" t="s">
        <v>3016</v>
      </c>
      <c r="D283" s="2" t="s">
        <v>3135</v>
      </c>
      <c r="E283" s="178" t="s">
        <v>3136</v>
      </c>
      <c r="F283" s="218">
        <v>7794334003761</v>
      </c>
      <c r="G283" s="216">
        <v>2</v>
      </c>
      <c r="H283" s="5" t="s">
        <v>1191</v>
      </c>
      <c r="I283" s="204">
        <v>99.9</v>
      </c>
      <c r="J283" s="260">
        <v>0.1</v>
      </c>
      <c r="L283" s="217">
        <f t="shared" si="12"/>
        <v>47252.454495749997</v>
      </c>
      <c r="N283" s="271">
        <f t="shared" si="13"/>
        <v>68516.059018837492</v>
      </c>
      <c r="P283" s="326">
        <f t="shared" si="14"/>
        <v>82904.431412793361</v>
      </c>
    </row>
    <row r="284" spans="1:16">
      <c r="A284" s="206">
        <v>278</v>
      </c>
      <c r="B284" s="175" t="s">
        <v>0</v>
      </c>
      <c r="C284" s="175" t="s">
        <v>3016</v>
      </c>
      <c r="D284" s="2" t="s">
        <v>3137</v>
      </c>
      <c r="E284" s="178" t="s">
        <v>3138</v>
      </c>
      <c r="F284" s="218">
        <v>7794334007653</v>
      </c>
      <c r="G284" s="216">
        <v>2</v>
      </c>
      <c r="H284" s="5" t="s">
        <v>1191</v>
      </c>
      <c r="I284" s="204">
        <v>286.5</v>
      </c>
      <c r="J284" s="260">
        <v>0.1</v>
      </c>
      <c r="L284" s="217">
        <f t="shared" si="12"/>
        <v>135513.79592624999</v>
      </c>
      <c r="N284" s="271">
        <f t="shared" si="13"/>
        <v>196495.00409306248</v>
      </c>
      <c r="P284" s="326">
        <f t="shared" si="14"/>
        <v>237758.95495260559</v>
      </c>
    </row>
    <row r="285" spans="1:16">
      <c r="A285" s="206">
        <v>279</v>
      </c>
      <c r="B285" s="175" t="s">
        <v>0</v>
      </c>
      <c r="C285" s="175" t="s">
        <v>3016</v>
      </c>
      <c r="D285" s="2" t="s">
        <v>3139</v>
      </c>
      <c r="E285" s="178" t="s">
        <v>3140</v>
      </c>
      <c r="F285" s="218">
        <v>7794334007660</v>
      </c>
      <c r="G285" s="218">
        <v>2</v>
      </c>
      <c r="H285" s="5" t="s">
        <v>1191</v>
      </c>
      <c r="I285" s="204">
        <v>12.8</v>
      </c>
      <c r="J285" s="260">
        <v>0.1</v>
      </c>
      <c r="L285" s="217">
        <f t="shared" si="12"/>
        <v>6054.3685439999999</v>
      </c>
      <c r="N285" s="271">
        <f t="shared" si="13"/>
        <v>8778.8343887999999</v>
      </c>
      <c r="P285" s="326">
        <f t="shared" si="14"/>
        <v>10622.389610447999</v>
      </c>
    </row>
    <row r="286" spans="1:16">
      <c r="A286" s="206">
        <v>280</v>
      </c>
      <c r="B286" s="175" t="s">
        <v>0</v>
      </c>
      <c r="C286" s="175" t="s">
        <v>2633</v>
      </c>
      <c r="D286" s="2" t="s">
        <v>293</v>
      </c>
      <c r="E286" s="177" t="s">
        <v>294</v>
      </c>
      <c r="F286" s="218">
        <v>7794334002887</v>
      </c>
      <c r="G286" s="216">
        <v>2</v>
      </c>
      <c r="H286" s="5" t="s">
        <v>1191</v>
      </c>
      <c r="I286" s="204">
        <v>62.5</v>
      </c>
      <c r="J286" s="260">
        <v>0.1</v>
      </c>
      <c r="L286" s="217">
        <f t="shared" si="12"/>
        <v>29562.346406249995</v>
      </c>
      <c r="N286" s="271">
        <f t="shared" si="13"/>
        <v>42865.402289062491</v>
      </c>
      <c r="P286" s="326">
        <f t="shared" si="14"/>
        <v>51867.13676976561</v>
      </c>
    </row>
    <row r="287" spans="1:16">
      <c r="A287" s="206">
        <v>281</v>
      </c>
      <c r="B287" s="175" t="s">
        <v>0</v>
      </c>
      <c r="C287" s="175" t="s">
        <v>2633</v>
      </c>
      <c r="D287" s="2" t="s">
        <v>295</v>
      </c>
      <c r="E287" s="177" t="s">
        <v>296</v>
      </c>
      <c r="F287" s="218">
        <v>7794334007325</v>
      </c>
      <c r="G287" s="216">
        <v>2</v>
      </c>
      <c r="H287" s="5" t="s">
        <v>1191</v>
      </c>
      <c r="I287" s="204">
        <v>166.5</v>
      </c>
      <c r="J287" s="260">
        <v>0.1</v>
      </c>
      <c r="L287" s="217">
        <f t="shared" si="12"/>
        <v>78754.090826250002</v>
      </c>
      <c r="N287" s="271">
        <f t="shared" si="13"/>
        <v>114193.4316980625</v>
      </c>
      <c r="P287" s="326">
        <f t="shared" si="14"/>
        <v>138174.05235465564</v>
      </c>
    </row>
    <row r="288" spans="1:16">
      <c r="A288" s="206">
        <v>282</v>
      </c>
      <c r="B288" s="175" t="s">
        <v>0</v>
      </c>
      <c r="C288" s="175" t="s">
        <v>2633</v>
      </c>
      <c r="D288" s="2" t="s">
        <v>297</v>
      </c>
      <c r="E288" s="177" t="s">
        <v>298</v>
      </c>
      <c r="F288" s="218">
        <v>7794334002894</v>
      </c>
      <c r="G288" s="216">
        <v>2</v>
      </c>
      <c r="H288" s="5" t="s">
        <v>1191</v>
      </c>
      <c r="I288" s="204">
        <v>113.5</v>
      </c>
      <c r="J288" s="260">
        <v>0.1</v>
      </c>
      <c r="L288" s="217">
        <f t="shared" si="12"/>
        <v>53685.221073749999</v>
      </c>
      <c r="N288" s="271">
        <f t="shared" si="13"/>
        <v>77843.570556937499</v>
      </c>
      <c r="P288" s="326">
        <f t="shared" si="14"/>
        <v>94190.720373894364</v>
      </c>
    </row>
    <row r="289" spans="1:16">
      <c r="A289" s="206">
        <v>283</v>
      </c>
      <c r="B289" s="175" t="s">
        <v>0</v>
      </c>
      <c r="C289" s="175" t="s">
        <v>2633</v>
      </c>
      <c r="D289" s="2" t="s">
        <v>299</v>
      </c>
      <c r="E289" s="177" t="s">
        <v>300</v>
      </c>
      <c r="F289" s="218">
        <v>7794334248643</v>
      </c>
      <c r="G289" s="216">
        <v>2</v>
      </c>
      <c r="H289" s="5" t="s">
        <v>1191</v>
      </c>
      <c r="I289" s="204">
        <v>53.9</v>
      </c>
      <c r="J289" s="260">
        <v>0.1</v>
      </c>
      <c r="L289" s="217">
        <f t="shared" si="12"/>
        <v>25494.567540749998</v>
      </c>
      <c r="N289" s="271">
        <f t="shared" si="13"/>
        <v>36967.1229340875</v>
      </c>
      <c r="P289" s="326">
        <f t="shared" si="14"/>
        <v>44730.218750245876</v>
      </c>
    </row>
    <row r="290" spans="1:16">
      <c r="A290" s="206">
        <v>284</v>
      </c>
      <c r="B290" s="175" t="s">
        <v>0</v>
      </c>
      <c r="C290" s="175" t="s">
        <v>2633</v>
      </c>
      <c r="D290" s="2" t="s">
        <v>301</v>
      </c>
      <c r="E290" s="177" t="s">
        <v>302</v>
      </c>
      <c r="F290" s="218">
        <v>7794334007332</v>
      </c>
      <c r="G290" s="216">
        <v>2</v>
      </c>
      <c r="H290" s="5" t="s">
        <v>1191</v>
      </c>
      <c r="I290" s="204">
        <v>238.5</v>
      </c>
      <c r="J290" s="260">
        <v>0.1</v>
      </c>
      <c r="L290" s="217">
        <f t="shared" si="12"/>
        <v>112809.91388625</v>
      </c>
      <c r="N290" s="271">
        <f t="shared" si="13"/>
        <v>163574.3751350625</v>
      </c>
      <c r="P290" s="326">
        <f t="shared" si="14"/>
        <v>197924.99391342563</v>
      </c>
    </row>
    <row r="291" spans="1:16">
      <c r="A291" s="206">
        <v>285</v>
      </c>
      <c r="B291" s="175" t="s">
        <v>0</v>
      </c>
      <c r="C291" s="175" t="s">
        <v>2633</v>
      </c>
      <c r="D291" s="2" t="s">
        <v>303</v>
      </c>
      <c r="E291" s="177" t="s">
        <v>304</v>
      </c>
      <c r="F291" s="218">
        <v>7794334002900</v>
      </c>
      <c r="G291" s="216">
        <v>2</v>
      </c>
      <c r="H291" s="5" t="s">
        <v>1191</v>
      </c>
      <c r="I291" s="204">
        <v>155</v>
      </c>
      <c r="J291" s="260">
        <v>0.1</v>
      </c>
      <c r="L291" s="217">
        <f t="shared" si="12"/>
        <v>73314.619087499988</v>
      </c>
      <c r="N291" s="271">
        <f t="shared" si="13"/>
        <v>106306.19767687497</v>
      </c>
      <c r="P291" s="326">
        <f t="shared" si="14"/>
        <v>128630.49918901871</v>
      </c>
    </row>
    <row r="292" spans="1:16">
      <c r="A292" s="206">
        <v>286</v>
      </c>
      <c r="B292" s="175" t="s">
        <v>0</v>
      </c>
      <c r="C292" s="175" t="s">
        <v>2633</v>
      </c>
      <c r="D292" s="2" t="s">
        <v>305</v>
      </c>
      <c r="E292" s="177" t="s">
        <v>306</v>
      </c>
      <c r="F292" s="218">
        <v>7794334002917</v>
      </c>
      <c r="G292" s="216">
        <v>2</v>
      </c>
      <c r="H292" s="5" t="s">
        <v>1191</v>
      </c>
      <c r="I292" s="204">
        <v>144.5</v>
      </c>
      <c r="J292" s="260">
        <v>0.1</v>
      </c>
      <c r="L292" s="217">
        <f t="shared" si="12"/>
        <v>68348.144891249991</v>
      </c>
      <c r="N292" s="271">
        <f t="shared" si="13"/>
        <v>99104.810092312488</v>
      </c>
      <c r="P292" s="326">
        <f t="shared" si="14"/>
        <v>119916.82021169811</v>
      </c>
    </row>
    <row r="293" spans="1:16">
      <c r="A293" s="206">
        <v>287</v>
      </c>
      <c r="B293" s="175" t="s">
        <v>0</v>
      </c>
      <c r="C293" s="175" t="s">
        <v>2633</v>
      </c>
      <c r="D293" s="2" t="s">
        <v>307</v>
      </c>
      <c r="E293" s="177" t="s">
        <v>308</v>
      </c>
      <c r="F293" s="218">
        <v>7794334002924</v>
      </c>
      <c r="G293" s="216">
        <v>2</v>
      </c>
      <c r="H293" s="5" t="s">
        <v>1191</v>
      </c>
      <c r="I293" s="204">
        <v>199.5</v>
      </c>
      <c r="J293" s="260">
        <v>0.1</v>
      </c>
      <c r="L293" s="217">
        <f t="shared" si="12"/>
        <v>94363.009728749996</v>
      </c>
      <c r="N293" s="271">
        <f t="shared" si="13"/>
        <v>136826.36410668748</v>
      </c>
      <c r="P293" s="326">
        <f t="shared" si="14"/>
        <v>165559.90056909184</v>
      </c>
    </row>
    <row r="294" spans="1:16">
      <c r="A294" s="206">
        <v>288</v>
      </c>
      <c r="B294" s="175" t="s">
        <v>0</v>
      </c>
      <c r="C294" s="175" t="s">
        <v>2633</v>
      </c>
      <c r="D294" s="2" t="s">
        <v>309</v>
      </c>
      <c r="E294" s="177" t="s">
        <v>310</v>
      </c>
      <c r="F294" s="218">
        <v>7794334007677</v>
      </c>
      <c r="G294" s="216">
        <v>2</v>
      </c>
      <c r="H294" s="5" t="s">
        <v>1191</v>
      </c>
      <c r="I294" s="204">
        <v>199.5</v>
      </c>
      <c r="J294" s="260">
        <v>0.1</v>
      </c>
      <c r="L294" s="217">
        <f t="shared" si="12"/>
        <v>94363.009728749996</v>
      </c>
      <c r="N294" s="271">
        <f t="shared" si="13"/>
        <v>136826.36410668748</v>
      </c>
      <c r="P294" s="326">
        <f t="shared" si="14"/>
        <v>165559.90056909184</v>
      </c>
    </row>
    <row r="295" spans="1:16">
      <c r="A295" s="206">
        <v>289</v>
      </c>
      <c r="B295" s="175" t="s">
        <v>0</v>
      </c>
      <c r="C295" s="175" t="s">
        <v>2633</v>
      </c>
      <c r="D295" s="2" t="s">
        <v>311</v>
      </c>
      <c r="E295" s="177" t="s">
        <v>312</v>
      </c>
      <c r="F295" s="218">
        <v>7794334007684</v>
      </c>
      <c r="G295" s="216">
        <v>2</v>
      </c>
      <c r="H295" s="5" t="s">
        <v>1191</v>
      </c>
      <c r="I295" s="204">
        <v>199.5</v>
      </c>
      <c r="J295" s="260">
        <v>0.1</v>
      </c>
      <c r="L295" s="217">
        <f t="shared" si="12"/>
        <v>94363.009728749996</v>
      </c>
      <c r="N295" s="271">
        <f t="shared" si="13"/>
        <v>136826.36410668748</v>
      </c>
      <c r="P295" s="326">
        <f t="shared" si="14"/>
        <v>165559.90056909184</v>
      </c>
    </row>
    <row r="296" spans="1:16">
      <c r="A296" s="206">
        <v>290</v>
      </c>
      <c r="B296" s="175" t="s">
        <v>0</v>
      </c>
      <c r="C296" s="175" t="s">
        <v>2633</v>
      </c>
      <c r="D296" s="2" t="s">
        <v>3141</v>
      </c>
      <c r="E296" s="178" t="s">
        <v>3142</v>
      </c>
      <c r="F296" s="218">
        <v>7794334007691</v>
      </c>
      <c r="G296" s="216">
        <v>10</v>
      </c>
      <c r="H296" s="5" t="s">
        <v>1191</v>
      </c>
      <c r="I296" s="204">
        <v>14.9</v>
      </c>
      <c r="J296" s="260">
        <v>0.1</v>
      </c>
      <c r="L296" s="217">
        <f t="shared" si="12"/>
        <v>7047.6633832500002</v>
      </c>
      <c r="N296" s="271">
        <f t="shared" si="13"/>
        <v>10219.1119057125</v>
      </c>
      <c r="P296" s="326">
        <f t="shared" si="14"/>
        <v>12365.125405912124</v>
      </c>
    </row>
    <row r="297" spans="1:16">
      <c r="A297" s="206">
        <v>291</v>
      </c>
      <c r="B297" s="175" t="s">
        <v>0</v>
      </c>
      <c r="C297" s="175" t="s">
        <v>2633</v>
      </c>
      <c r="D297" s="2" t="s">
        <v>3143</v>
      </c>
      <c r="E297" s="178" t="s">
        <v>3144</v>
      </c>
      <c r="F297" s="218">
        <v>7794334007707</v>
      </c>
      <c r="G297" s="216">
        <v>10</v>
      </c>
      <c r="H297" s="5" t="s">
        <v>1191</v>
      </c>
      <c r="I297" s="204">
        <v>14.9</v>
      </c>
      <c r="J297" s="260">
        <v>0.1</v>
      </c>
      <c r="L297" s="217">
        <f t="shared" si="12"/>
        <v>7047.6633832500002</v>
      </c>
      <c r="N297" s="271">
        <f t="shared" si="13"/>
        <v>10219.1119057125</v>
      </c>
      <c r="P297" s="326">
        <f t="shared" si="14"/>
        <v>12365.125405912124</v>
      </c>
    </row>
    <row r="298" spans="1:16">
      <c r="A298" s="206">
        <v>292</v>
      </c>
      <c r="B298" s="175" t="s">
        <v>0</v>
      </c>
      <c r="C298" s="175" t="s">
        <v>2633</v>
      </c>
      <c r="D298" s="2" t="s">
        <v>3145</v>
      </c>
      <c r="E298" s="178" t="s">
        <v>3146</v>
      </c>
      <c r="F298" s="218">
        <v>7794334007714</v>
      </c>
      <c r="G298" s="216">
        <v>10</v>
      </c>
      <c r="H298" s="5" t="s">
        <v>1191</v>
      </c>
      <c r="I298" s="204">
        <v>14.9</v>
      </c>
      <c r="J298" s="260">
        <v>0.1</v>
      </c>
      <c r="L298" s="217">
        <f t="shared" si="12"/>
        <v>7047.6633832500002</v>
      </c>
      <c r="N298" s="271">
        <f t="shared" si="13"/>
        <v>10219.1119057125</v>
      </c>
      <c r="P298" s="326">
        <f t="shared" si="14"/>
        <v>12365.125405912124</v>
      </c>
    </row>
    <row r="299" spans="1:16">
      <c r="A299" s="206">
        <v>293</v>
      </c>
      <c r="B299" s="175" t="s">
        <v>0</v>
      </c>
      <c r="C299" s="175" t="s">
        <v>2633</v>
      </c>
      <c r="D299" s="2" t="s">
        <v>3147</v>
      </c>
      <c r="E299" s="178" t="s">
        <v>3148</v>
      </c>
      <c r="F299" s="218">
        <v>7794334007721</v>
      </c>
      <c r="G299" s="216">
        <v>10</v>
      </c>
      <c r="H299" s="5" t="s">
        <v>1191</v>
      </c>
      <c r="I299" s="204">
        <v>14.9</v>
      </c>
      <c r="J299" s="260">
        <v>0.1</v>
      </c>
      <c r="L299" s="217">
        <f t="shared" si="12"/>
        <v>7047.6633832500002</v>
      </c>
      <c r="N299" s="271">
        <f t="shared" si="13"/>
        <v>10219.1119057125</v>
      </c>
      <c r="P299" s="326">
        <f t="shared" si="14"/>
        <v>12365.125405912124</v>
      </c>
    </row>
    <row r="300" spans="1:16">
      <c r="A300" s="206">
        <v>294</v>
      </c>
      <c r="B300" s="175" t="s">
        <v>0</v>
      </c>
      <c r="C300" s="175" t="s">
        <v>2633</v>
      </c>
      <c r="D300" s="2" t="s">
        <v>3149</v>
      </c>
      <c r="E300" s="178" t="s">
        <v>3150</v>
      </c>
      <c r="F300" s="218">
        <v>7794334007738</v>
      </c>
      <c r="G300" s="216">
        <v>10</v>
      </c>
      <c r="H300" s="5" t="s">
        <v>1191</v>
      </c>
      <c r="I300" s="204">
        <v>14.9</v>
      </c>
      <c r="J300" s="260">
        <v>0.1</v>
      </c>
      <c r="L300" s="217">
        <f t="shared" si="12"/>
        <v>7047.6633832500002</v>
      </c>
      <c r="N300" s="271">
        <f t="shared" si="13"/>
        <v>10219.1119057125</v>
      </c>
      <c r="P300" s="326">
        <f t="shared" si="14"/>
        <v>12365.125405912124</v>
      </c>
    </row>
    <row r="301" spans="1:16">
      <c r="A301" s="206">
        <v>295</v>
      </c>
      <c r="B301" s="175" t="s">
        <v>0</v>
      </c>
      <c r="C301" s="175" t="s">
        <v>2633</v>
      </c>
      <c r="D301" s="2" t="s">
        <v>3151</v>
      </c>
      <c r="E301" s="178" t="s">
        <v>3152</v>
      </c>
      <c r="F301" s="218">
        <v>7794334007745</v>
      </c>
      <c r="G301" s="216">
        <v>10</v>
      </c>
      <c r="H301" s="5" t="s">
        <v>1191</v>
      </c>
      <c r="I301" s="204">
        <v>14.9</v>
      </c>
      <c r="J301" s="260">
        <v>0.1</v>
      </c>
      <c r="L301" s="217">
        <f t="shared" si="12"/>
        <v>7047.6633832500002</v>
      </c>
      <c r="N301" s="271">
        <f t="shared" si="13"/>
        <v>10219.1119057125</v>
      </c>
      <c r="P301" s="326">
        <f t="shared" si="14"/>
        <v>12365.125405912124</v>
      </c>
    </row>
    <row r="302" spans="1:16">
      <c r="A302" s="206">
        <v>296</v>
      </c>
      <c r="B302" s="175" t="s">
        <v>0</v>
      </c>
      <c r="C302" s="175" t="s">
        <v>2633</v>
      </c>
      <c r="D302" s="2" t="s">
        <v>3153</v>
      </c>
      <c r="E302" s="178" t="s">
        <v>3154</v>
      </c>
      <c r="F302" s="218">
        <v>7794334007752</v>
      </c>
      <c r="G302" s="216">
        <v>10</v>
      </c>
      <c r="H302" s="5" t="s">
        <v>1191</v>
      </c>
      <c r="I302" s="204">
        <v>14.9</v>
      </c>
      <c r="J302" s="260">
        <v>0.1</v>
      </c>
      <c r="L302" s="217">
        <f t="shared" si="12"/>
        <v>7047.6633832500002</v>
      </c>
      <c r="N302" s="271">
        <f t="shared" si="13"/>
        <v>10219.1119057125</v>
      </c>
      <c r="P302" s="326">
        <f t="shared" si="14"/>
        <v>12365.125405912124</v>
      </c>
    </row>
    <row r="303" spans="1:16">
      <c r="A303" s="206">
        <v>297</v>
      </c>
      <c r="B303" s="175" t="s">
        <v>0</v>
      </c>
      <c r="C303" s="175" t="s">
        <v>2633</v>
      </c>
      <c r="D303" s="2" t="s">
        <v>3155</v>
      </c>
      <c r="E303" s="178" t="s">
        <v>3156</v>
      </c>
      <c r="F303" s="218">
        <v>7794334007783</v>
      </c>
      <c r="G303" s="216">
        <v>10</v>
      </c>
      <c r="H303" s="5" t="s">
        <v>1191</v>
      </c>
      <c r="I303" s="204">
        <v>17.8</v>
      </c>
      <c r="J303" s="260">
        <v>0.1</v>
      </c>
      <c r="L303" s="217">
        <f t="shared" si="12"/>
        <v>8419.3562564999993</v>
      </c>
      <c r="N303" s="271">
        <f t="shared" si="13"/>
        <v>12208.066571924999</v>
      </c>
      <c r="P303" s="326">
        <f t="shared" si="14"/>
        <v>14771.760552029249</v>
      </c>
    </row>
    <row r="304" spans="1:16">
      <c r="A304" s="206">
        <v>298</v>
      </c>
      <c r="B304" s="175" t="s">
        <v>0</v>
      </c>
      <c r="C304" s="175" t="s">
        <v>2633</v>
      </c>
      <c r="D304" s="2" t="s">
        <v>3157</v>
      </c>
      <c r="E304" s="178" t="s">
        <v>3158</v>
      </c>
      <c r="F304" s="218">
        <v>7794334007790</v>
      </c>
      <c r="G304" s="216">
        <v>10</v>
      </c>
      <c r="H304" s="5" t="s">
        <v>1191</v>
      </c>
      <c r="I304" s="204">
        <v>17.8</v>
      </c>
      <c r="J304" s="260">
        <v>0.1</v>
      </c>
      <c r="L304" s="217">
        <f t="shared" si="12"/>
        <v>8419.3562564999993</v>
      </c>
      <c r="N304" s="271">
        <f t="shared" si="13"/>
        <v>12208.066571924999</v>
      </c>
      <c r="P304" s="326">
        <f t="shared" si="14"/>
        <v>14771.760552029249</v>
      </c>
    </row>
    <row r="305" spans="1:18">
      <c r="A305" s="206">
        <v>299</v>
      </c>
      <c r="B305" s="175" t="s">
        <v>0</v>
      </c>
      <c r="C305" s="175" t="s">
        <v>2633</v>
      </c>
      <c r="D305" s="2" t="s">
        <v>3159</v>
      </c>
      <c r="E305" s="178" t="s">
        <v>3160</v>
      </c>
      <c r="F305" s="218">
        <v>7794334007806</v>
      </c>
      <c r="G305" s="216">
        <v>10</v>
      </c>
      <c r="H305" s="5" t="s">
        <v>1191</v>
      </c>
      <c r="I305" s="204">
        <v>17.8</v>
      </c>
      <c r="J305" s="260">
        <v>0.1</v>
      </c>
      <c r="L305" s="217">
        <f t="shared" si="12"/>
        <v>8419.3562564999993</v>
      </c>
      <c r="N305" s="271">
        <f t="shared" si="13"/>
        <v>12208.066571924999</v>
      </c>
      <c r="P305" s="326">
        <f t="shared" si="14"/>
        <v>14771.760552029249</v>
      </c>
    </row>
    <row r="306" spans="1:18">
      <c r="A306" s="206">
        <v>300</v>
      </c>
      <c r="B306" s="175" t="s">
        <v>0</v>
      </c>
      <c r="C306" s="175" t="s">
        <v>2633</v>
      </c>
      <c r="D306" s="2" t="s">
        <v>3161</v>
      </c>
      <c r="E306" s="178" t="s">
        <v>3162</v>
      </c>
      <c r="F306" s="218">
        <v>7794334007813</v>
      </c>
      <c r="G306" s="216">
        <v>10</v>
      </c>
      <c r="H306" s="5" t="s">
        <v>1191</v>
      </c>
      <c r="I306" s="204">
        <v>17.8</v>
      </c>
      <c r="J306" s="260">
        <v>0.1</v>
      </c>
      <c r="L306" s="217">
        <f t="shared" si="12"/>
        <v>8419.3562564999993</v>
      </c>
      <c r="N306" s="271">
        <f t="shared" si="13"/>
        <v>12208.066571924999</v>
      </c>
      <c r="P306" s="326">
        <f t="shared" si="14"/>
        <v>14771.760552029249</v>
      </c>
    </row>
    <row r="307" spans="1:18">
      <c r="A307" s="206">
        <v>301</v>
      </c>
      <c r="B307" s="175" t="s">
        <v>0</v>
      </c>
      <c r="C307" s="175" t="s">
        <v>2633</v>
      </c>
      <c r="D307" s="2" t="s">
        <v>3163</v>
      </c>
      <c r="E307" s="178" t="s">
        <v>3164</v>
      </c>
      <c r="F307" s="218">
        <v>7794334007820</v>
      </c>
      <c r="G307" s="216">
        <v>10</v>
      </c>
      <c r="H307" s="5" t="s">
        <v>1191</v>
      </c>
      <c r="I307" s="204">
        <v>17.8</v>
      </c>
      <c r="J307" s="260">
        <v>0.1</v>
      </c>
      <c r="L307" s="217">
        <f t="shared" si="12"/>
        <v>8419.3562564999993</v>
      </c>
      <c r="N307" s="271">
        <f t="shared" si="13"/>
        <v>12208.066571924999</v>
      </c>
      <c r="P307" s="326">
        <f t="shared" si="14"/>
        <v>14771.760552029249</v>
      </c>
    </row>
    <row r="308" spans="1:18">
      <c r="A308" s="206">
        <v>302</v>
      </c>
      <c r="B308" s="175" t="s">
        <v>0</v>
      </c>
      <c r="C308" s="175" t="s">
        <v>2633</v>
      </c>
      <c r="D308" s="2" t="s">
        <v>3165</v>
      </c>
      <c r="E308" s="178" t="s">
        <v>3166</v>
      </c>
      <c r="F308" s="218">
        <v>7794334007837</v>
      </c>
      <c r="G308" s="216">
        <v>10</v>
      </c>
      <c r="H308" s="5" t="s">
        <v>1191</v>
      </c>
      <c r="I308" s="204">
        <v>17.8</v>
      </c>
      <c r="J308" s="260">
        <v>0.1</v>
      </c>
      <c r="L308" s="217">
        <f t="shared" si="12"/>
        <v>8419.3562564999993</v>
      </c>
      <c r="N308" s="271">
        <f t="shared" si="13"/>
        <v>12208.066571924999</v>
      </c>
      <c r="P308" s="326">
        <f t="shared" si="14"/>
        <v>14771.760552029249</v>
      </c>
    </row>
    <row r="309" spans="1:18">
      <c r="A309" s="206">
        <v>303</v>
      </c>
      <c r="B309" s="175" t="s">
        <v>0</v>
      </c>
      <c r="C309" s="175" t="s">
        <v>2633</v>
      </c>
      <c r="D309" s="2" t="s">
        <v>3167</v>
      </c>
      <c r="E309" s="178" t="s">
        <v>3168</v>
      </c>
      <c r="F309" s="218">
        <v>7794334007844</v>
      </c>
      <c r="G309" s="216">
        <v>10</v>
      </c>
      <c r="H309" s="5" t="s">
        <v>1191</v>
      </c>
      <c r="I309" s="204">
        <v>17.8</v>
      </c>
      <c r="J309" s="260">
        <v>0.1</v>
      </c>
      <c r="L309" s="217">
        <f t="shared" si="12"/>
        <v>8419.3562564999993</v>
      </c>
      <c r="N309" s="271">
        <f t="shared" si="13"/>
        <v>12208.066571924999</v>
      </c>
      <c r="P309" s="326">
        <f t="shared" si="14"/>
        <v>14771.760552029249</v>
      </c>
    </row>
    <row r="310" spans="1:18">
      <c r="A310" s="206">
        <v>304</v>
      </c>
      <c r="B310" s="175" t="s">
        <v>0</v>
      </c>
      <c r="C310" s="175" t="s">
        <v>2633</v>
      </c>
      <c r="D310" s="2" t="s">
        <v>3169</v>
      </c>
      <c r="E310" s="178" t="s">
        <v>3170</v>
      </c>
      <c r="F310" s="218">
        <v>7794334007875</v>
      </c>
      <c r="G310" s="216">
        <v>2</v>
      </c>
      <c r="H310" s="5" t="s">
        <v>1191</v>
      </c>
      <c r="I310" s="204">
        <v>26.9</v>
      </c>
      <c r="J310" s="260">
        <v>0.1</v>
      </c>
      <c r="L310" s="217">
        <f t="shared" si="12"/>
        <v>12723.63389325</v>
      </c>
      <c r="N310" s="271">
        <f t="shared" si="13"/>
        <v>18449.2691452125</v>
      </c>
      <c r="P310" s="326">
        <f t="shared" si="14"/>
        <v>22323.615665707126</v>
      </c>
    </row>
    <row r="311" spans="1:18">
      <c r="A311" s="206">
        <v>305</v>
      </c>
      <c r="B311" s="175" t="s">
        <v>0</v>
      </c>
      <c r="C311" s="175" t="s">
        <v>2633</v>
      </c>
      <c r="D311" s="2" t="s">
        <v>3171</v>
      </c>
      <c r="E311" s="178" t="s">
        <v>3172</v>
      </c>
      <c r="F311" s="218">
        <v>7794334007882</v>
      </c>
      <c r="G311" s="216">
        <v>2</v>
      </c>
      <c r="H311" s="5" t="s">
        <v>1191</v>
      </c>
      <c r="I311" s="204">
        <v>26.9</v>
      </c>
      <c r="J311" s="260">
        <v>0.1</v>
      </c>
      <c r="L311" s="217">
        <f t="shared" si="12"/>
        <v>12723.63389325</v>
      </c>
      <c r="N311" s="271">
        <f t="shared" si="13"/>
        <v>18449.2691452125</v>
      </c>
      <c r="P311" s="326">
        <f t="shared" si="14"/>
        <v>22323.615665707126</v>
      </c>
    </row>
    <row r="312" spans="1:18">
      <c r="A312" s="206">
        <v>306</v>
      </c>
      <c r="B312" s="175" t="s">
        <v>0</v>
      </c>
      <c r="C312" s="175" t="s">
        <v>4008</v>
      </c>
      <c r="D312" s="3" t="s">
        <v>396</v>
      </c>
      <c r="E312" s="179" t="s">
        <v>397</v>
      </c>
      <c r="F312" s="221">
        <v>7794334010943</v>
      </c>
      <c r="G312" s="216">
        <v>2</v>
      </c>
      <c r="H312" s="5" t="s">
        <v>1191</v>
      </c>
      <c r="I312" s="204">
        <v>26.9</v>
      </c>
      <c r="J312" s="260">
        <v>0.1</v>
      </c>
      <c r="L312" s="217">
        <f t="shared" si="12"/>
        <v>12723.63389325</v>
      </c>
      <c r="N312" s="271">
        <f t="shared" si="13"/>
        <v>18449.2691452125</v>
      </c>
      <c r="P312" s="326">
        <f t="shared" si="14"/>
        <v>22323.615665707126</v>
      </c>
    </row>
    <row r="313" spans="1:18">
      <c r="A313" s="206">
        <v>307</v>
      </c>
      <c r="B313" s="175" t="s">
        <v>0</v>
      </c>
      <c r="C313" s="175" t="s">
        <v>4008</v>
      </c>
      <c r="D313" s="3" t="s">
        <v>398</v>
      </c>
      <c r="E313" s="179" t="s">
        <v>399</v>
      </c>
      <c r="F313" s="221">
        <v>7794334010950</v>
      </c>
      <c r="G313" s="216">
        <v>2</v>
      </c>
      <c r="H313" s="5" t="s">
        <v>1191</v>
      </c>
      <c r="I313" s="204">
        <v>69.8</v>
      </c>
      <c r="J313" s="260">
        <v>0.1</v>
      </c>
      <c r="L313" s="217">
        <f t="shared" si="12"/>
        <v>33015.228466499997</v>
      </c>
      <c r="N313" s="271">
        <f t="shared" si="13"/>
        <v>47872.081276424993</v>
      </c>
      <c r="P313" s="326">
        <f t="shared" si="14"/>
        <v>57925.21834447424</v>
      </c>
    </row>
    <row r="314" spans="1:18">
      <c r="A314" s="206">
        <v>308</v>
      </c>
      <c r="B314" s="175" t="s">
        <v>0</v>
      </c>
      <c r="C314" s="175" t="s">
        <v>4008</v>
      </c>
      <c r="D314" s="3" t="s">
        <v>400</v>
      </c>
      <c r="E314" s="179" t="s">
        <v>401</v>
      </c>
      <c r="F314" s="221">
        <v>7794334010967</v>
      </c>
      <c r="G314" s="216">
        <v>2</v>
      </c>
      <c r="H314" s="5" t="s">
        <v>1191</v>
      </c>
      <c r="I314" s="204">
        <v>87</v>
      </c>
      <c r="J314" s="260">
        <v>0.1</v>
      </c>
      <c r="L314" s="217">
        <f t="shared" si="12"/>
        <v>41150.786197499998</v>
      </c>
      <c r="N314" s="271">
        <f t="shared" si="13"/>
        <v>59668.639986374998</v>
      </c>
      <c r="P314" s="326">
        <f t="shared" si="14"/>
        <v>72199.054383513751</v>
      </c>
    </row>
    <row r="315" spans="1:18">
      <c r="A315" s="206">
        <v>309</v>
      </c>
      <c r="B315" s="175" t="s">
        <v>0</v>
      </c>
      <c r="C315" s="175" t="s">
        <v>4008</v>
      </c>
      <c r="D315" s="3" t="s">
        <v>402</v>
      </c>
      <c r="E315" s="179" t="s">
        <v>403</v>
      </c>
      <c r="F315" s="221">
        <v>7794334011810</v>
      </c>
      <c r="G315" s="216">
        <v>2</v>
      </c>
      <c r="H315" s="5" t="s">
        <v>1191</v>
      </c>
      <c r="I315" s="204">
        <v>318</v>
      </c>
      <c r="J315" s="260">
        <v>0.1</v>
      </c>
      <c r="L315" s="217">
        <f t="shared" si="12"/>
        <v>150413.21851500002</v>
      </c>
      <c r="N315" s="271">
        <f t="shared" si="13"/>
        <v>218099.16684675001</v>
      </c>
      <c r="P315" s="326">
        <f t="shared" si="14"/>
        <v>263899.99188456748</v>
      </c>
    </row>
    <row r="316" spans="1:18">
      <c r="A316" s="206">
        <v>310</v>
      </c>
      <c r="B316" s="175" t="s">
        <v>0</v>
      </c>
      <c r="C316" s="175" t="s">
        <v>4008</v>
      </c>
      <c r="D316" s="3" t="s">
        <v>404</v>
      </c>
      <c r="E316" s="179" t="s">
        <v>405</v>
      </c>
      <c r="F316" s="221">
        <v>7794334242030</v>
      </c>
      <c r="G316" s="216">
        <v>2</v>
      </c>
      <c r="H316" s="5" t="s">
        <v>1191</v>
      </c>
      <c r="I316" s="204">
        <v>318</v>
      </c>
      <c r="J316" s="260">
        <v>0.1</v>
      </c>
      <c r="L316" s="217">
        <f t="shared" si="12"/>
        <v>150413.21851500002</v>
      </c>
      <c r="N316" s="271">
        <f t="shared" si="13"/>
        <v>218099.16684675001</v>
      </c>
      <c r="P316" s="326">
        <f t="shared" si="14"/>
        <v>263899.99188456748</v>
      </c>
    </row>
    <row r="317" spans="1:18">
      <c r="A317" s="206">
        <v>311</v>
      </c>
      <c r="B317" s="175" t="s">
        <v>0</v>
      </c>
      <c r="C317" s="175" t="s">
        <v>4008</v>
      </c>
      <c r="D317" s="3" t="s">
        <v>406</v>
      </c>
      <c r="E317" s="179" t="s">
        <v>3173</v>
      </c>
      <c r="F317" s="221">
        <v>7794334242795</v>
      </c>
      <c r="G317" s="216">
        <v>2</v>
      </c>
      <c r="H317" s="5" t="s">
        <v>1191</v>
      </c>
      <c r="I317" s="204">
        <v>232</v>
      </c>
      <c r="J317" s="260">
        <v>0.1</v>
      </c>
      <c r="L317" s="217">
        <f t="shared" si="12"/>
        <v>109735.42985999999</v>
      </c>
      <c r="N317" s="271">
        <f t="shared" si="13"/>
        <v>159116.37329699998</v>
      </c>
      <c r="P317" s="326">
        <f t="shared" si="14"/>
        <v>192530.81168936996</v>
      </c>
    </row>
    <row r="318" spans="1:18">
      <c r="A318" s="206">
        <v>312</v>
      </c>
      <c r="B318" s="175" t="s">
        <v>0</v>
      </c>
      <c r="C318" s="175" t="s">
        <v>4008</v>
      </c>
      <c r="D318" s="3" t="s">
        <v>407</v>
      </c>
      <c r="E318" s="179" t="s">
        <v>408</v>
      </c>
      <c r="F318" s="221">
        <v>7794334241538</v>
      </c>
      <c r="G318" s="216">
        <v>2</v>
      </c>
      <c r="H318" s="5" t="s">
        <v>1191</v>
      </c>
      <c r="I318" s="204">
        <v>71.900000000000006</v>
      </c>
      <c r="J318" s="260">
        <v>0.1</v>
      </c>
      <c r="L318" s="217">
        <f t="shared" si="12"/>
        <v>34008.523305750001</v>
      </c>
      <c r="N318" s="271">
        <f t="shared" si="13"/>
        <v>49312.358793337502</v>
      </c>
      <c r="P318" s="326">
        <f t="shared" si="14"/>
        <v>59667.954139938374</v>
      </c>
    </row>
    <row r="319" spans="1:18">
      <c r="A319" s="206">
        <v>313</v>
      </c>
      <c r="B319" s="175" t="s">
        <v>0</v>
      </c>
      <c r="C319" s="175" t="s">
        <v>4008</v>
      </c>
      <c r="D319" s="3" t="s">
        <v>409</v>
      </c>
      <c r="E319" s="179" t="s">
        <v>410</v>
      </c>
      <c r="F319" s="221">
        <v>7794334241545</v>
      </c>
      <c r="G319" s="216">
        <v>2</v>
      </c>
      <c r="H319" s="5" t="s">
        <v>1191</v>
      </c>
      <c r="I319" s="204">
        <v>122</v>
      </c>
      <c r="J319" s="260">
        <v>0.1</v>
      </c>
      <c r="L319" s="217">
        <f t="shared" si="12"/>
        <v>57705.700185000002</v>
      </c>
      <c r="N319" s="271">
        <f t="shared" si="13"/>
        <v>83673.265268250005</v>
      </c>
      <c r="P319" s="326">
        <f t="shared" si="14"/>
        <v>101244.6509745825</v>
      </c>
    </row>
    <row r="320" spans="1:18">
      <c r="A320" s="206">
        <v>314</v>
      </c>
      <c r="B320" s="175" t="s">
        <v>0</v>
      </c>
      <c r="C320" s="175" t="s">
        <v>2635</v>
      </c>
      <c r="D320" s="181" t="s">
        <v>2636</v>
      </c>
      <c r="E320" s="182" t="s">
        <v>411</v>
      </c>
      <c r="F320" s="221">
        <v>7794334009503</v>
      </c>
      <c r="G320" s="216">
        <v>2</v>
      </c>
      <c r="H320" s="5" t="s">
        <v>1191</v>
      </c>
      <c r="I320" s="204">
        <v>20.2</v>
      </c>
      <c r="J320" s="260">
        <v>0.1</v>
      </c>
      <c r="L320" s="217">
        <f t="shared" si="12"/>
        <v>9554.5503585000006</v>
      </c>
      <c r="N320" s="271">
        <f t="shared" si="13"/>
        <v>13854.098019825</v>
      </c>
      <c r="P320" s="326">
        <f t="shared" si="14"/>
        <v>16763.458603988249</v>
      </c>
      <c r="Q320" s="323"/>
      <c r="R320" s="323"/>
    </row>
    <row r="321" spans="1:18">
      <c r="A321" s="206">
        <v>315</v>
      </c>
      <c r="B321" s="175" t="s">
        <v>0</v>
      </c>
      <c r="C321" s="175" t="s">
        <v>2635</v>
      </c>
      <c r="D321" s="181" t="s">
        <v>2637</v>
      </c>
      <c r="E321" s="182" t="s">
        <v>412</v>
      </c>
      <c r="F321" s="221">
        <v>7794334010998</v>
      </c>
      <c r="G321" s="216">
        <v>2</v>
      </c>
      <c r="H321" s="5" t="s">
        <v>1191</v>
      </c>
      <c r="I321" s="204">
        <v>21.1</v>
      </c>
      <c r="J321" s="260">
        <v>0.1</v>
      </c>
      <c r="L321" s="217">
        <f t="shared" si="12"/>
        <v>9980.2481467500002</v>
      </c>
      <c r="N321" s="271">
        <f t="shared" si="13"/>
        <v>14471.359812787499</v>
      </c>
      <c r="P321" s="326">
        <f t="shared" si="14"/>
        <v>17510.345373472872</v>
      </c>
      <c r="Q321" s="323"/>
      <c r="R321" s="323"/>
    </row>
    <row r="322" spans="1:18">
      <c r="A322" s="206">
        <v>316</v>
      </c>
      <c r="B322" s="175" t="s">
        <v>0</v>
      </c>
      <c r="C322" s="175" t="s">
        <v>2635</v>
      </c>
      <c r="D322" s="181" t="s">
        <v>2638</v>
      </c>
      <c r="E322" s="182" t="s">
        <v>413</v>
      </c>
      <c r="F322" s="221">
        <v>7794334011001</v>
      </c>
      <c r="G322" s="216">
        <v>2</v>
      </c>
      <c r="H322" s="5" t="s">
        <v>1191</v>
      </c>
      <c r="I322" s="204">
        <v>22.9</v>
      </c>
      <c r="J322" s="260">
        <v>0.1</v>
      </c>
      <c r="L322" s="217">
        <f t="shared" si="12"/>
        <v>10831.643723250001</v>
      </c>
      <c r="N322" s="271">
        <f t="shared" si="13"/>
        <v>15705.883398712502</v>
      </c>
      <c r="P322" s="326">
        <f t="shared" si="14"/>
        <v>19004.118912442125</v>
      </c>
      <c r="Q322" s="323"/>
      <c r="R322" s="323"/>
    </row>
    <row r="323" spans="1:18">
      <c r="A323" s="206">
        <v>317</v>
      </c>
      <c r="B323" s="175" t="s">
        <v>0</v>
      </c>
      <c r="C323" s="175" t="s">
        <v>2635</v>
      </c>
      <c r="D323" s="181" t="s">
        <v>2639</v>
      </c>
      <c r="E323" s="182" t="s">
        <v>414</v>
      </c>
      <c r="F323" s="221">
        <v>7794334011018</v>
      </c>
      <c r="G323" s="216">
        <v>2</v>
      </c>
      <c r="H323" s="5" t="s">
        <v>1191</v>
      </c>
      <c r="I323" s="204">
        <v>24.7</v>
      </c>
      <c r="J323" s="260">
        <v>0.1</v>
      </c>
      <c r="L323" s="217">
        <f t="shared" si="12"/>
        <v>11683.03929975</v>
      </c>
      <c r="N323" s="271">
        <f t="shared" si="13"/>
        <v>16940.406984637499</v>
      </c>
      <c r="P323" s="326">
        <f t="shared" si="14"/>
        <v>20497.892451411371</v>
      </c>
      <c r="Q323" s="323"/>
      <c r="R323" s="323"/>
    </row>
    <row r="324" spans="1:18">
      <c r="A324" s="206">
        <v>318</v>
      </c>
      <c r="B324" s="175" t="s">
        <v>0</v>
      </c>
      <c r="C324" s="175" t="s">
        <v>2635</v>
      </c>
      <c r="D324" s="181" t="s">
        <v>2640</v>
      </c>
      <c r="E324" s="182" t="s">
        <v>415</v>
      </c>
      <c r="F324" s="221">
        <v>7794334011025</v>
      </c>
      <c r="G324" s="216">
        <v>2</v>
      </c>
      <c r="H324" s="5" t="s">
        <v>1191</v>
      </c>
      <c r="I324" s="204">
        <v>26.5</v>
      </c>
      <c r="J324" s="260">
        <v>0.1</v>
      </c>
      <c r="L324" s="217">
        <f t="shared" si="12"/>
        <v>12534.434876249999</v>
      </c>
      <c r="N324" s="271">
        <f t="shared" si="13"/>
        <v>18174.930570562497</v>
      </c>
      <c r="P324" s="326">
        <f t="shared" si="14"/>
        <v>21991.665990380621</v>
      </c>
      <c r="Q324" s="323"/>
      <c r="R324" s="323"/>
    </row>
    <row r="325" spans="1:18">
      <c r="A325" s="206">
        <v>319</v>
      </c>
      <c r="B325" s="175" t="s">
        <v>0</v>
      </c>
      <c r="C325" s="175" t="s">
        <v>2635</v>
      </c>
      <c r="D325" s="181" t="s">
        <v>2641</v>
      </c>
      <c r="E325" s="182" t="s">
        <v>416</v>
      </c>
      <c r="F325" s="221">
        <v>7794334011032</v>
      </c>
      <c r="G325" s="216">
        <v>2</v>
      </c>
      <c r="H325" s="5" t="s">
        <v>1191</v>
      </c>
      <c r="I325" s="204">
        <v>31.4</v>
      </c>
      <c r="J325" s="260">
        <v>0.1</v>
      </c>
      <c r="L325" s="217">
        <f t="shared" si="12"/>
        <v>14852.122834500002</v>
      </c>
      <c r="N325" s="271">
        <f t="shared" si="13"/>
        <v>21535.578110025002</v>
      </c>
      <c r="P325" s="326">
        <f t="shared" si="14"/>
        <v>26058.049513130252</v>
      </c>
      <c r="Q325" s="323"/>
      <c r="R325" s="323"/>
    </row>
    <row r="326" spans="1:18">
      <c r="A326" s="206">
        <v>320</v>
      </c>
      <c r="B326" s="175" t="s">
        <v>0</v>
      </c>
      <c r="C326" s="175" t="s">
        <v>2635</v>
      </c>
      <c r="D326" s="181" t="s">
        <v>2642</v>
      </c>
      <c r="E326" s="182" t="s">
        <v>417</v>
      </c>
      <c r="F326" s="221">
        <v>7794334011049</v>
      </c>
      <c r="G326" s="216">
        <v>2</v>
      </c>
      <c r="H326" s="5" t="s">
        <v>1191</v>
      </c>
      <c r="I326" s="204">
        <v>33.200000000000003</v>
      </c>
      <c r="J326" s="260">
        <v>0.1</v>
      </c>
      <c r="L326" s="217">
        <f t="shared" si="12"/>
        <v>15703.518411000001</v>
      </c>
      <c r="N326" s="271">
        <f t="shared" si="13"/>
        <v>22770.101695950001</v>
      </c>
      <c r="P326" s="326">
        <f t="shared" si="14"/>
        <v>27551.823052099502</v>
      </c>
      <c r="Q326" s="323"/>
      <c r="R326" s="323"/>
    </row>
    <row r="327" spans="1:18">
      <c r="A327" s="206">
        <v>321</v>
      </c>
      <c r="B327" s="175" t="s">
        <v>0</v>
      </c>
      <c r="C327" s="175" t="s">
        <v>2635</v>
      </c>
      <c r="D327" s="181" t="s">
        <v>2643</v>
      </c>
      <c r="E327" s="182" t="s">
        <v>418</v>
      </c>
      <c r="F327" s="221">
        <v>7794334011056</v>
      </c>
      <c r="G327" s="216">
        <v>2</v>
      </c>
      <c r="H327" s="5" t="s">
        <v>1191</v>
      </c>
      <c r="I327" s="204">
        <v>35</v>
      </c>
      <c r="J327" s="260">
        <v>0.1</v>
      </c>
      <c r="L327" s="217">
        <f t="shared" si="12"/>
        <v>16554.9139875</v>
      </c>
      <c r="N327" s="271">
        <f t="shared" si="13"/>
        <v>24004.625281875</v>
      </c>
      <c r="P327" s="326">
        <f t="shared" si="14"/>
        <v>29045.596591068748</v>
      </c>
      <c r="Q327" s="323"/>
      <c r="R327" s="323"/>
    </row>
    <row r="328" spans="1:18">
      <c r="A328" s="206">
        <v>322</v>
      </c>
      <c r="B328" s="175" t="s">
        <v>0</v>
      </c>
      <c r="C328" s="175" t="s">
        <v>2635</v>
      </c>
      <c r="D328" s="181" t="s">
        <v>4009</v>
      </c>
      <c r="E328" s="183" t="s">
        <v>2644</v>
      </c>
      <c r="F328" s="221">
        <v>7794334243525</v>
      </c>
      <c r="G328" s="216">
        <v>2</v>
      </c>
      <c r="H328" s="5" t="s">
        <v>1191</v>
      </c>
      <c r="I328" s="204">
        <v>18</v>
      </c>
      <c r="J328" s="260">
        <v>0.1</v>
      </c>
      <c r="L328" s="217">
        <f t="shared" ref="L328:L391" si="15">+I328*$F$2*$F$3*$F$4*$F$5</f>
        <v>8513.9557650000006</v>
      </c>
      <c r="N328" s="271">
        <f t="shared" si="13"/>
        <v>12345.23585925</v>
      </c>
      <c r="P328" s="326">
        <f t="shared" si="14"/>
        <v>14937.7353896925</v>
      </c>
      <c r="Q328" s="323"/>
      <c r="R328" s="323"/>
    </row>
    <row r="329" spans="1:18">
      <c r="A329" s="206">
        <v>323</v>
      </c>
      <c r="B329" s="175" t="s">
        <v>0</v>
      </c>
      <c r="C329" s="175" t="s">
        <v>2635</v>
      </c>
      <c r="D329" s="181" t="s">
        <v>4010</v>
      </c>
      <c r="E329" s="183" t="s">
        <v>2645</v>
      </c>
      <c r="F329" s="221">
        <v>7794334243532</v>
      </c>
      <c r="G329" s="216">
        <v>2</v>
      </c>
      <c r="H329" s="5" t="s">
        <v>1191</v>
      </c>
      <c r="I329" s="204">
        <v>20.100000000000001</v>
      </c>
      <c r="J329" s="260">
        <v>0.1</v>
      </c>
      <c r="L329" s="217">
        <f t="shared" si="15"/>
        <v>9507.250604249999</v>
      </c>
      <c r="N329" s="271">
        <f t="shared" ref="N329:N392" si="16">+L329*1.45</f>
        <v>13785.513376162498</v>
      </c>
      <c r="P329" s="326">
        <f t="shared" ref="P329:P392" si="17">+N329*1.21</f>
        <v>16680.471185156621</v>
      </c>
      <c r="Q329" s="323"/>
      <c r="R329" s="323"/>
    </row>
    <row r="330" spans="1:18">
      <c r="A330" s="206">
        <v>324</v>
      </c>
      <c r="B330" s="175" t="s">
        <v>0</v>
      </c>
      <c r="C330" s="175" t="s">
        <v>2635</v>
      </c>
      <c r="D330" s="181" t="s">
        <v>4011</v>
      </c>
      <c r="E330" s="183" t="s">
        <v>2646</v>
      </c>
      <c r="F330" s="221">
        <v>7794334243549</v>
      </c>
      <c r="G330" s="216">
        <v>2</v>
      </c>
      <c r="H330" s="5" t="s">
        <v>1191</v>
      </c>
      <c r="I330" s="204">
        <v>22.3</v>
      </c>
      <c r="J330" s="260">
        <v>0.1</v>
      </c>
      <c r="L330" s="217">
        <f t="shared" si="15"/>
        <v>10547.845197749999</v>
      </c>
      <c r="N330" s="271">
        <f t="shared" si="16"/>
        <v>15294.375536737498</v>
      </c>
      <c r="P330" s="326">
        <f t="shared" si="17"/>
        <v>18506.194399452372</v>
      </c>
      <c r="Q330" s="323"/>
      <c r="R330" s="323"/>
    </row>
    <row r="331" spans="1:18">
      <c r="A331" s="206">
        <v>325</v>
      </c>
      <c r="B331" s="175" t="s">
        <v>0</v>
      </c>
      <c r="C331" s="175" t="s">
        <v>2635</v>
      </c>
      <c r="D331" s="181" t="s">
        <v>419</v>
      </c>
      <c r="E331" s="182" t="s">
        <v>420</v>
      </c>
      <c r="F331" s="221">
        <v>7794334011063</v>
      </c>
      <c r="G331" s="216">
        <v>2</v>
      </c>
      <c r="H331" s="5" t="s">
        <v>1191</v>
      </c>
      <c r="I331" s="204">
        <v>13.2</v>
      </c>
      <c r="J331" s="260">
        <v>0.1</v>
      </c>
      <c r="L331" s="217">
        <f t="shared" si="15"/>
        <v>6243.5675609999998</v>
      </c>
      <c r="N331" s="271">
        <f t="shared" si="16"/>
        <v>9053.1729634499989</v>
      </c>
      <c r="P331" s="326">
        <f t="shared" si="17"/>
        <v>10954.339285774498</v>
      </c>
      <c r="Q331" s="323"/>
      <c r="R331" s="323"/>
    </row>
    <row r="332" spans="1:18">
      <c r="A332" s="206">
        <v>326</v>
      </c>
      <c r="B332" s="175" t="s">
        <v>0</v>
      </c>
      <c r="C332" s="175" t="s">
        <v>2635</v>
      </c>
      <c r="D332" s="2" t="s">
        <v>291</v>
      </c>
      <c r="E332" s="178" t="s">
        <v>292</v>
      </c>
      <c r="F332" s="218">
        <v>7794334007523</v>
      </c>
      <c r="G332" s="216">
        <v>2</v>
      </c>
      <c r="H332" s="5" t="s">
        <v>1191</v>
      </c>
      <c r="I332" s="204">
        <v>64.900000000000006</v>
      </c>
      <c r="J332" s="260">
        <v>0.1</v>
      </c>
      <c r="L332" s="217">
        <f t="shared" si="15"/>
        <v>30697.540508250004</v>
      </c>
      <c r="N332" s="271">
        <f t="shared" si="16"/>
        <v>44511.433736962506</v>
      </c>
      <c r="P332" s="326">
        <f t="shared" si="17"/>
        <v>53858.834821724631</v>
      </c>
    </row>
    <row r="333" spans="1:18">
      <c r="A333" s="206">
        <v>327</v>
      </c>
      <c r="B333" s="175" t="s">
        <v>0</v>
      </c>
      <c r="C333" s="175" t="s">
        <v>2635</v>
      </c>
      <c r="D333" s="181" t="s">
        <v>421</v>
      </c>
      <c r="E333" s="182" t="s">
        <v>422</v>
      </c>
      <c r="F333" s="221">
        <v>7794334011070</v>
      </c>
      <c r="G333" s="216">
        <v>2</v>
      </c>
      <c r="H333" s="5" t="s">
        <v>1191</v>
      </c>
      <c r="I333" s="204">
        <v>11.6</v>
      </c>
      <c r="J333" s="260">
        <v>0.1</v>
      </c>
      <c r="L333" s="217">
        <f t="shared" si="15"/>
        <v>5486.7714929999993</v>
      </c>
      <c r="N333" s="271">
        <f t="shared" si="16"/>
        <v>7955.8186648499986</v>
      </c>
      <c r="P333" s="326">
        <f t="shared" si="17"/>
        <v>9626.5405844684974</v>
      </c>
      <c r="Q333" s="323"/>
      <c r="R333" s="323"/>
    </row>
    <row r="334" spans="1:18">
      <c r="A334" s="206">
        <v>328</v>
      </c>
      <c r="B334" s="175" t="s">
        <v>0</v>
      </c>
      <c r="C334" s="175" t="s">
        <v>2635</v>
      </c>
      <c r="D334" s="181" t="s">
        <v>423</v>
      </c>
      <c r="E334" s="182" t="s">
        <v>424</v>
      </c>
      <c r="F334" s="221">
        <v>7794334011087</v>
      </c>
      <c r="G334" s="216">
        <v>2</v>
      </c>
      <c r="H334" s="5" t="s">
        <v>1191</v>
      </c>
      <c r="I334" s="204">
        <v>31.5</v>
      </c>
      <c r="J334" s="260">
        <v>0.1</v>
      </c>
      <c r="L334" s="217">
        <f t="shared" si="15"/>
        <v>14899.422588749998</v>
      </c>
      <c r="N334" s="271">
        <f t="shared" si="16"/>
        <v>21604.162753687495</v>
      </c>
      <c r="P334" s="326">
        <f t="shared" si="17"/>
        <v>26141.036931961869</v>
      </c>
      <c r="Q334" s="323"/>
      <c r="R334" s="323"/>
    </row>
    <row r="335" spans="1:18">
      <c r="A335" s="206">
        <v>329</v>
      </c>
      <c r="B335" s="175" t="s">
        <v>0</v>
      </c>
      <c r="C335" s="175" t="s">
        <v>2635</v>
      </c>
      <c r="D335" s="181" t="s">
        <v>425</v>
      </c>
      <c r="E335" s="182" t="s">
        <v>426</v>
      </c>
      <c r="F335" s="221">
        <v>7794334011094</v>
      </c>
      <c r="G335" s="216">
        <v>2</v>
      </c>
      <c r="H335" s="5" t="s">
        <v>1191</v>
      </c>
      <c r="I335" s="204">
        <v>38.5</v>
      </c>
      <c r="J335" s="260">
        <v>0.1</v>
      </c>
      <c r="L335" s="217">
        <f t="shared" si="15"/>
        <v>18210.405386249997</v>
      </c>
      <c r="N335" s="271">
        <f t="shared" si="16"/>
        <v>26405.087810062494</v>
      </c>
      <c r="P335" s="326">
        <f t="shared" si="17"/>
        <v>31950.156250175616</v>
      </c>
      <c r="Q335" s="323"/>
      <c r="R335" s="323"/>
    </row>
    <row r="336" spans="1:18">
      <c r="A336" s="206">
        <v>330</v>
      </c>
      <c r="B336" s="175" t="s">
        <v>0</v>
      </c>
      <c r="C336" s="175" t="s">
        <v>2635</v>
      </c>
      <c r="D336" s="181" t="s">
        <v>427</v>
      </c>
      <c r="E336" s="182" t="s">
        <v>428</v>
      </c>
      <c r="F336" s="221">
        <v>7794334011100</v>
      </c>
      <c r="G336" s="216">
        <v>2</v>
      </c>
      <c r="H336" s="5" t="s">
        <v>1191</v>
      </c>
      <c r="I336" s="204">
        <v>45.4</v>
      </c>
      <c r="J336" s="260">
        <v>0.1</v>
      </c>
      <c r="L336" s="217">
        <f t="shared" si="15"/>
        <v>21474.0884295</v>
      </c>
      <c r="N336" s="271">
        <f t="shared" si="16"/>
        <v>31137.428222774997</v>
      </c>
      <c r="P336" s="326">
        <f t="shared" si="17"/>
        <v>37676.288149557746</v>
      </c>
      <c r="Q336" s="323"/>
      <c r="R336" s="323"/>
    </row>
    <row r="337" spans="1:18">
      <c r="A337" s="206">
        <v>331</v>
      </c>
      <c r="B337" s="175" t="s">
        <v>0</v>
      </c>
      <c r="C337" s="175" t="s">
        <v>2635</v>
      </c>
      <c r="D337" s="181" t="s">
        <v>429</v>
      </c>
      <c r="E337" s="182" t="s">
        <v>430</v>
      </c>
      <c r="F337" s="221">
        <v>7794334011117</v>
      </c>
      <c r="G337" s="216">
        <v>2</v>
      </c>
      <c r="H337" s="5" t="s">
        <v>1191</v>
      </c>
      <c r="I337" s="204">
        <v>52.4</v>
      </c>
      <c r="J337" s="260">
        <v>0.1</v>
      </c>
      <c r="L337" s="217">
        <f t="shared" si="15"/>
        <v>24785.071226999997</v>
      </c>
      <c r="N337" s="271">
        <f t="shared" si="16"/>
        <v>35938.353279149997</v>
      </c>
      <c r="P337" s="326">
        <f t="shared" si="17"/>
        <v>43485.407467771496</v>
      </c>
      <c r="Q337" s="323"/>
      <c r="R337" s="323"/>
    </row>
    <row r="338" spans="1:18">
      <c r="A338" s="206">
        <v>332</v>
      </c>
      <c r="B338" s="175" t="s">
        <v>0</v>
      </c>
      <c r="C338" s="175" t="s">
        <v>2635</v>
      </c>
      <c r="D338" s="181" t="s">
        <v>431</v>
      </c>
      <c r="E338" s="182" t="s">
        <v>432</v>
      </c>
      <c r="F338" s="221">
        <v>7794334011124</v>
      </c>
      <c r="G338" s="216">
        <v>2</v>
      </c>
      <c r="H338" s="5" t="s">
        <v>1191</v>
      </c>
      <c r="I338" s="204">
        <v>61.2</v>
      </c>
      <c r="J338" s="260">
        <v>0.1</v>
      </c>
      <c r="L338" s="217">
        <f t="shared" si="15"/>
        <v>28947.449600999997</v>
      </c>
      <c r="N338" s="271">
        <f t="shared" si="16"/>
        <v>41973.801921449995</v>
      </c>
      <c r="P338" s="326">
        <f t="shared" si="17"/>
        <v>50788.300324954493</v>
      </c>
      <c r="Q338" s="323"/>
      <c r="R338" s="323"/>
    </row>
    <row r="339" spans="1:18">
      <c r="A339" s="206">
        <v>333</v>
      </c>
      <c r="B339" s="175" t="s">
        <v>0</v>
      </c>
      <c r="C339" s="175" t="s">
        <v>2635</v>
      </c>
      <c r="D339" s="181" t="s">
        <v>433</v>
      </c>
      <c r="E339" s="182" t="s">
        <v>434</v>
      </c>
      <c r="F339" s="221">
        <v>7794334011131</v>
      </c>
      <c r="G339" s="216">
        <v>2</v>
      </c>
      <c r="H339" s="5" t="s">
        <v>1191</v>
      </c>
      <c r="I339" s="204">
        <v>68.2</v>
      </c>
      <c r="J339" s="260">
        <v>0.1</v>
      </c>
      <c r="L339" s="217">
        <f t="shared" si="15"/>
        <v>32258.432398499994</v>
      </c>
      <c r="N339" s="271">
        <f t="shared" si="16"/>
        <v>46774.72697782499</v>
      </c>
      <c r="P339" s="326">
        <f t="shared" si="17"/>
        <v>56597.419643168236</v>
      </c>
      <c r="Q339" s="323"/>
      <c r="R339" s="323"/>
    </row>
    <row r="340" spans="1:18">
      <c r="A340" s="206">
        <v>334</v>
      </c>
      <c r="B340" s="175" t="s">
        <v>0</v>
      </c>
      <c r="C340" s="175" t="s">
        <v>2635</v>
      </c>
      <c r="D340" s="181" t="s">
        <v>435</v>
      </c>
      <c r="E340" s="182" t="s">
        <v>436</v>
      </c>
      <c r="F340" s="221">
        <v>7794334011148</v>
      </c>
      <c r="G340" s="216">
        <v>2</v>
      </c>
      <c r="H340" s="5" t="s">
        <v>1191</v>
      </c>
      <c r="I340" s="204">
        <v>91.8</v>
      </c>
      <c r="J340" s="260">
        <v>0.1</v>
      </c>
      <c r="L340" s="217">
        <f t="shared" si="15"/>
        <v>43421.174401499993</v>
      </c>
      <c r="N340" s="271">
        <f t="shared" si="16"/>
        <v>62960.702882174985</v>
      </c>
      <c r="P340" s="326">
        <f t="shared" si="17"/>
        <v>76182.450487431735</v>
      </c>
      <c r="Q340" s="323"/>
      <c r="R340" s="323"/>
    </row>
    <row r="341" spans="1:18">
      <c r="A341" s="206">
        <v>335</v>
      </c>
      <c r="B341" s="175" t="s">
        <v>0</v>
      </c>
      <c r="C341" s="175" t="s">
        <v>2635</v>
      </c>
      <c r="D341" s="181" t="s">
        <v>437</v>
      </c>
      <c r="E341" s="182" t="s">
        <v>438</v>
      </c>
      <c r="F341" s="221">
        <v>7794334011155</v>
      </c>
      <c r="G341" s="216">
        <v>2</v>
      </c>
      <c r="H341" s="5" t="s">
        <v>1191</v>
      </c>
      <c r="I341" s="204">
        <v>103.7</v>
      </c>
      <c r="J341" s="260">
        <v>0.1</v>
      </c>
      <c r="L341" s="217">
        <f t="shared" si="15"/>
        <v>49049.845157249998</v>
      </c>
      <c r="N341" s="271">
        <f t="shared" si="16"/>
        <v>71122.275478012496</v>
      </c>
      <c r="P341" s="326">
        <f t="shared" si="17"/>
        <v>86057.953328395117</v>
      </c>
      <c r="Q341" s="323"/>
      <c r="R341" s="323"/>
    </row>
    <row r="342" spans="1:18">
      <c r="A342" s="206">
        <v>336</v>
      </c>
      <c r="B342" s="175" t="s">
        <v>0</v>
      </c>
      <c r="C342" s="175" t="s">
        <v>2635</v>
      </c>
      <c r="D342" s="181" t="s">
        <v>439</v>
      </c>
      <c r="E342" s="182" t="s">
        <v>440</v>
      </c>
      <c r="F342" s="221">
        <v>7794334011162</v>
      </c>
      <c r="G342" s="216">
        <v>2</v>
      </c>
      <c r="H342" s="5" t="s">
        <v>1191</v>
      </c>
      <c r="I342" s="204">
        <v>126.6</v>
      </c>
      <c r="J342" s="260">
        <v>0.1</v>
      </c>
      <c r="L342" s="217">
        <f t="shared" si="15"/>
        <v>59881.488880500001</v>
      </c>
      <c r="N342" s="271">
        <f t="shared" si="16"/>
        <v>86828.158876724992</v>
      </c>
      <c r="P342" s="326">
        <f t="shared" si="17"/>
        <v>105062.07224083724</v>
      </c>
      <c r="Q342" s="323"/>
      <c r="R342" s="323"/>
    </row>
    <row r="343" spans="1:18">
      <c r="A343" s="206">
        <v>337</v>
      </c>
      <c r="B343" s="175" t="s">
        <v>0</v>
      </c>
      <c r="C343" s="175" t="s">
        <v>2635</v>
      </c>
      <c r="D343" s="181" t="s">
        <v>441</v>
      </c>
      <c r="E343" s="182" t="s">
        <v>442</v>
      </c>
      <c r="F343" s="221">
        <v>7794334011179</v>
      </c>
      <c r="G343" s="216">
        <v>2</v>
      </c>
      <c r="H343" s="5" t="s">
        <v>1191</v>
      </c>
      <c r="I343" s="204">
        <v>141.19999999999999</v>
      </c>
      <c r="J343" s="260">
        <v>0.1</v>
      </c>
      <c r="L343" s="217">
        <f t="shared" si="15"/>
        <v>66787.25300099999</v>
      </c>
      <c r="N343" s="271">
        <f t="shared" si="16"/>
        <v>96841.516851449982</v>
      </c>
      <c r="P343" s="326">
        <f t="shared" si="17"/>
        <v>117178.23539025447</v>
      </c>
      <c r="Q343" s="323"/>
      <c r="R343" s="323"/>
    </row>
    <row r="344" spans="1:18">
      <c r="A344" s="206">
        <v>338</v>
      </c>
      <c r="B344" s="175" t="s">
        <v>0</v>
      </c>
      <c r="C344" s="175" t="s">
        <v>2635</v>
      </c>
      <c r="D344" s="181" t="s">
        <v>443</v>
      </c>
      <c r="E344" s="182" t="s">
        <v>444</v>
      </c>
      <c r="F344" s="221">
        <v>7794334011186</v>
      </c>
      <c r="G344" s="216">
        <v>2</v>
      </c>
      <c r="H344" s="5" t="s">
        <v>1191</v>
      </c>
      <c r="I344" s="204">
        <v>151.69999999999999</v>
      </c>
      <c r="J344" s="260">
        <v>0.1</v>
      </c>
      <c r="L344" s="217">
        <f t="shared" si="15"/>
        <v>71753.727197250002</v>
      </c>
      <c r="N344" s="271">
        <f t="shared" si="16"/>
        <v>104042.9044360125</v>
      </c>
      <c r="P344" s="326">
        <f t="shared" si="17"/>
        <v>125891.91436757511</v>
      </c>
      <c r="Q344" s="323"/>
      <c r="R344" s="323"/>
    </row>
    <row r="345" spans="1:18">
      <c r="A345" s="206">
        <v>339</v>
      </c>
      <c r="B345" s="175" t="s">
        <v>0</v>
      </c>
      <c r="C345" s="175" t="s">
        <v>2635</v>
      </c>
      <c r="D345" s="181" t="s">
        <v>445</v>
      </c>
      <c r="E345" s="182" t="s">
        <v>446</v>
      </c>
      <c r="F345" s="221">
        <v>7794334011193</v>
      </c>
      <c r="G345" s="216">
        <v>2</v>
      </c>
      <c r="H345" s="5" t="s">
        <v>1191</v>
      </c>
      <c r="I345" s="204">
        <v>174.1</v>
      </c>
      <c r="J345" s="260">
        <v>0.1</v>
      </c>
      <c r="L345" s="217">
        <f t="shared" si="15"/>
        <v>82348.87214924999</v>
      </c>
      <c r="N345" s="271">
        <f t="shared" si="16"/>
        <v>119405.86461641248</v>
      </c>
      <c r="P345" s="326">
        <f t="shared" si="17"/>
        <v>144481.09618585909</v>
      </c>
      <c r="Q345" s="323"/>
      <c r="R345" s="323"/>
    </row>
    <row r="346" spans="1:18">
      <c r="A346" s="206">
        <v>340</v>
      </c>
      <c r="B346" s="175" t="s">
        <v>0</v>
      </c>
      <c r="C346" s="175" t="s">
        <v>3174</v>
      </c>
      <c r="D346" s="181" t="s">
        <v>1192</v>
      </c>
      <c r="E346" s="182" t="s">
        <v>3175</v>
      </c>
      <c r="F346" s="221">
        <v>7794334242740</v>
      </c>
      <c r="G346" s="216">
        <v>2</v>
      </c>
      <c r="H346" s="5" t="s">
        <v>1191</v>
      </c>
      <c r="I346" s="204">
        <v>12.2</v>
      </c>
      <c r="J346" s="260">
        <v>0.1</v>
      </c>
      <c r="L346" s="217">
        <f t="shared" si="15"/>
        <v>5770.5700184999987</v>
      </c>
      <c r="N346" s="271">
        <f t="shared" si="16"/>
        <v>8367.3265268249979</v>
      </c>
      <c r="P346" s="326">
        <f t="shared" si="17"/>
        <v>10124.465097458247</v>
      </c>
      <c r="Q346" s="323"/>
      <c r="R346" s="323"/>
    </row>
    <row r="347" spans="1:18">
      <c r="A347" s="206">
        <v>341</v>
      </c>
      <c r="B347" s="175" t="s">
        <v>0</v>
      </c>
      <c r="C347" s="175" t="s">
        <v>3174</v>
      </c>
      <c r="D347" s="181" t="s">
        <v>1193</v>
      </c>
      <c r="E347" s="182" t="s">
        <v>3176</v>
      </c>
      <c r="F347" s="221">
        <v>7794334242757</v>
      </c>
      <c r="G347" s="216">
        <v>2</v>
      </c>
      <c r="H347" s="5" t="s">
        <v>1191</v>
      </c>
      <c r="I347" s="204">
        <v>42.5</v>
      </c>
      <c r="J347" s="260">
        <v>0.1</v>
      </c>
      <c r="L347" s="217">
        <f t="shared" si="15"/>
        <v>20102.395556250001</v>
      </c>
      <c r="N347" s="271">
        <f t="shared" si="16"/>
        <v>29148.473556562501</v>
      </c>
      <c r="P347" s="326">
        <f t="shared" si="17"/>
        <v>35269.653003440624</v>
      </c>
      <c r="Q347" s="323"/>
      <c r="R347" s="323"/>
    </row>
    <row r="348" spans="1:18">
      <c r="A348" s="206">
        <v>342</v>
      </c>
      <c r="B348" s="175" t="s">
        <v>0</v>
      </c>
      <c r="C348" s="175" t="s">
        <v>3174</v>
      </c>
      <c r="D348" s="181" t="s">
        <v>1194</v>
      </c>
      <c r="E348" s="182" t="s">
        <v>3177</v>
      </c>
      <c r="F348" s="221">
        <v>7794334242764</v>
      </c>
      <c r="G348" s="216">
        <v>2</v>
      </c>
      <c r="H348" s="5" t="s">
        <v>1191</v>
      </c>
      <c r="I348" s="204">
        <v>51.2</v>
      </c>
      <c r="J348" s="260">
        <v>0.1</v>
      </c>
      <c r="L348" s="217">
        <f t="shared" si="15"/>
        <v>24217.474176</v>
      </c>
      <c r="N348" s="271">
        <f t="shared" si="16"/>
        <v>35115.3375552</v>
      </c>
      <c r="P348" s="326">
        <f t="shared" si="17"/>
        <v>42489.558441791996</v>
      </c>
      <c r="Q348" s="323"/>
      <c r="R348" s="323"/>
    </row>
    <row r="349" spans="1:18">
      <c r="A349" s="206">
        <v>343</v>
      </c>
      <c r="B349" s="175" t="s">
        <v>0</v>
      </c>
      <c r="C349" s="175"/>
      <c r="D349" s="261" t="s">
        <v>4012</v>
      </c>
      <c r="E349" s="262" t="s">
        <v>4013</v>
      </c>
      <c r="F349" s="221">
        <v>7794334242276</v>
      </c>
      <c r="G349" s="216">
        <v>2</v>
      </c>
      <c r="H349" s="5" t="s">
        <v>1191</v>
      </c>
      <c r="I349" s="204">
        <v>23.5</v>
      </c>
      <c r="J349" s="260">
        <v>0.1</v>
      </c>
      <c r="L349" s="217">
        <f t="shared" si="15"/>
        <v>11115.44224875</v>
      </c>
      <c r="N349" s="271">
        <f t="shared" si="16"/>
        <v>16117.391260687498</v>
      </c>
      <c r="P349" s="326">
        <f t="shared" si="17"/>
        <v>19502.043425431872</v>
      </c>
      <c r="Q349" s="323"/>
      <c r="R349" s="323"/>
    </row>
    <row r="350" spans="1:18">
      <c r="A350" s="206">
        <v>344</v>
      </c>
      <c r="B350" s="175" t="s">
        <v>0</v>
      </c>
      <c r="C350" s="175"/>
      <c r="D350" s="261" t="s">
        <v>4014</v>
      </c>
      <c r="E350" s="262" t="s">
        <v>4015</v>
      </c>
      <c r="F350" s="221">
        <v>7794334242283</v>
      </c>
      <c r="G350" s="216">
        <v>2</v>
      </c>
      <c r="H350" s="5" t="s">
        <v>1191</v>
      </c>
      <c r="I350" s="204">
        <v>31</v>
      </c>
      <c r="J350" s="260">
        <v>0.1</v>
      </c>
      <c r="L350" s="217">
        <f t="shared" si="15"/>
        <v>14662.923817499999</v>
      </c>
      <c r="N350" s="271">
        <f t="shared" si="16"/>
        <v>21261.239535375</v>
      </c>
      <c r="P350" s="326">
        <f t="shared" si="17"/>
        <v>25726.099837803748</v>
      </c>
      <c r="Q350" s="323"/>
      <c r="R350" s="323"/>
    </row>
    <row r="351" spans="1:18">
      <c r="A351" s="206">
        <v>345</v>
      </c>
      <c r="B351" s="175" t="s">
        <v>2647</v>
      </c>
      <c r="C351" s="175" t="s">
        <v>2648</v>
      </c>
      <c r="D351" s="3" t="s">
        <v>447</v>
      </c>
      <c r="E351" s="179" t="s">
        <v>448</v>
      </c>
      <c r="F351" s="221">
        <v>7794334000548</v>
      </c>
      <c r="G351" s="216">
        <v>6</v>
      </c>
      <c r="H351" s="5" t="s">
        <v>1191</v>
      </c>
      <c r="I351" s="204">
        <v>9.1999999999999993</v>
      </c>
      <c r="J351" s="260">
        <v>0.1</v>
      </c>
      <c r="L351" s="217">
        <f t="shared" si="15"/>
        <v>4351.5773909999989</v>
      </c>
      <c r="N351" s="271">
        <f t="shared" si="16"/>
        <v>6309.7872169499979</v>
      </c>
      <c r="P351" s="326">
        <f t="shared" si="17"/>
        <v>7634.8425325094968</v>
      </c>
    </row>
    <row r="352" spans="1:18">
      <c r="A352" s="206">
        <v>346</v>
      </c>
      <c r="B352" s="175" t="s">
        <v>2647</v>
      </c>
      <c r="C352" s="175" t="s">
        <v>2648</v>
      </c>
      <c r="D352" s="3" t="s">
        <v>449</v>
      </c>
      <c r="E352" s="179" t="s">
        <v>450</v>
      </c>
      <c r="F352" s="221">
        <v>7794334001507</v>
      </c>
      <c r="G352" s="216">
        <v>3</v>
      </c>
      <c r="H352" s="5" t="s">
        <v>1191</v>
      </c>
      <c r="I352" s="204">
        <v>22.9</v>
      </c>
      <c r="J352" s="260">
        <v>0.1</v>
      </c>
      <c r="L352" s="217">
        <f t="shared" si="15"/>
        <v>10831.643723250001</v>
      </c>
      <c r="N352" s="271">
        <f t="shared" si="16"/>
        <v>15705.883398712502</v>
      </c>
      <c r="P352" s="326">
        <f t="shared" si="17"/>
        <v>19004.118912442125</v>
      </c>
    </row>
    <row r="353" spans="1:20">
      <c r="A353" s="206">
        <v>347</v>
      </c>
      <c r="B353" s="175" t="s">
        <v>2647</v>
      </c>
      <c r="C353" s="175" t="s">
        <v>2648</v>
      </c>
      <c r="D353" s="3" t="s">
        <v>451</v>
      </c>
      <c r="E353" s="179" t="s">
        <v>452</v>
      </c>
      <c r="F353" s="221">
        <v>7794334004553</v>
      </c>
      <c r="G353" s="216">
        <v>2</v>
      </c>
      <c r="H353" s="5" t="s">
        <v>1191</v>
      </c>
      <c r="I353" s="204">
        <v>41.9</v>
      </c>
      <c r="J353" s="260">
        <v>0.1</v>
      </c>
      <c r="L353" s="217">
        <f t="shared" si="15"/>
        <v>19818.597030749999</v>
      </c>
      <c r="N353" s="271">
        <f t="shared" si="16"/>
        <v>28736.965694587499</v>
      </c>
      <c r="P353" s="326">
        <f t="shared" si="17"/>
        <v>34771.728490450871</v>
      </c>
    </row>
    <row r="354" spans="1:20">
      <c r="A354" s="206">
        <v>348</v>
      </c>
      <c r="B354" s="175" t="s">
        <v>2647</v>
      </c>
      <c r="C354" s="175" t="s">
        <v>2648</v>
      </c>
      <c r="D354" s="3" t="s">
        <v>453</v>
      </c>
      <c r="E354" s="179" t="s">
        <v>454</v>
      </c>
      <c r="F354" s="221">
        <v>7794334004560</v>
      </c>
      <c r="G354" s="216">
        <v>2</v>
      </c>
      <c r="H354" s="5" t="s">
        <v>1191</v>
      </c>
      <c r="I354" s="204">
        <v>81.900000000000006</v>
      </c>
      <c r="J354" s="260">
        <v>0.1</v>
      </c>
      <c r="L354" s="217">
        <f t="shared" si="15"/>
        <v>38738.498730749998</v>
      </c>
      <c r="N354" s="271">
        <f t="shared" si="16"/>
        <v>56170.823159587497</v>
      </c>
      <c r="P354" s="326">
        <f t="shared" si="17"/>
        <v>67966.696023100871</v>
      </c>
    </row>
    <row r="355" spans="1:20">
      <c r="A355" s="206">
        <v>349</v>
      </c>
      <c r="B355" s="175" t="s">
        <v>2647</v>
      </c>
      <c r="C355" s="175" t="s">
        <v>2648</v>
      </c>
      <c r="D355" s="3" t="s">
        <v>455</v>
      </c>
      <c r="E355" s="179" t="s">
        <v>456</v>
      </c>
      <c r="F355" s="221">
        <v>7794334000555</v>
      </c>
      <c r="G355" s="216">
        <v>6</v>
      </c>
      <c r="H355" s="5" t="s">
        <v>1191</v>
      </c>
      <c r="I355" s="204">
        <v>15.5</v>
      </c>
      <c r="J355" s="260">
        <v>0.1</v>
      </c>
      <c r="L355" s="217">
        <f t="shared" si="15"/>
        <v>7331.4619087499996</v>
      </c>
      <c r="N355" s="271">
        <f t="shared" si="16"/>
        <v>10630.6197676875</v>
      </c>
      <c r="P355" s="326">
        <f t="shared" si="17"/>
        <v>12863.049918901874</v>
      </c>
    </row>
    <row r="356" spans="1:20">
      <c r="A356" s="206">
        <v>350</v>
      </c>
      <c r="B356" s="175" t="s">
        <v>2647</v>
      </c>
      <c r="C356" s="175" t="s">
        <v>2648</v>
      </c>
      <c r="D356" s="3" t="s">
        <v>457</v>
      </c>
      <c r="E356" s="179" t="s">
        <v>458</v>
      </c>
      <c r="F356" s="221">
        <v>7794334000579</v>
      </c>
      <c r="G356" s="216">
        <v>3</v>
      </c>
      <c r="H356" s="5" t="s">
        <v>1191</v>
      </c>
      <c r="I356" s="204">
        <v>36.9</v>
      </c>
      <c r="J356" s="260">
        <v>0.1</v>
      </c>
      <c r="L356" s="217">
        <f t="shared" si="15"/>
        <v>17453.609318250001</v>
      </c>
      <c r="N356" s="271">
        <f t="shared" si="16"/>
        <v>25307.733511462502</v>
      </c>
      <c r="P356" s="326">
        <f t="shared" si="17"/>
        <v>30622.357548869626</v>
      </c>
    </row>
    <row r="357" spans="1:20">
      <c r="A357" s="206">
        <v>351</v>
      </c>
      <c r="B357" s="175" t="s">
        <v>2647</v>
      </c>
      <c r="C357" s="175" t="s">
        <v>2648</v>
      </c>
      <c r="D357" s="3" t="s">
        <v>459</v>
      </c>
      <c r="E357" s="179" t="s">
        <v>460</v>
      </c>
      <c r="F357" s="221">
        <v>7794334001132</v>
      </c>
      <c r="G357" s="216">
        <v>2</v>
      </c>
      <c r="H357" s="5" t="s">
        <v>1191</v>
      </c>
      <c r="I357" s="204">
        <v>45</v>
      </c>
      <c r="J357" s="260">
        <v>0.1</v>
      </c>
      <c r="L357" s="217">
        <f t="shared" si="15"/>
        <v>21284.889412500001</v>
      </c>
      <c r="N357" s="271">
        <f t="shared" si="16"/>
        <v>30863.089648124998</v>
      </c>
      <c r="P357" s="326">
        <f t="shared" si="17"/>
        <v>37344.338474231248</v>
      </c>
    </row>
    <row r="358" spans="1:20">
      <c r="A358" s="206">
        <v>352</v>
      </c>
      <c r="B358" s="175" t="s">
        <v>2647</v>
      </c>
      <c r="C358" s="175" t="s">
        <v>2648</v>
      </c>
      <c r="D358" s="3" t="s">
        <v>461</v>
      </c>
      <c r="E358" s="179" t="s">
        <v>462</v>
      </c>
      <c r="F358" s="221">
        <v>7794334004577</v>
      </c>
      <c r="G358" s="216">
        <v>2</v>
      </c>
      <c r="H358" s="5" t="s">
        <v>1191</v>
      </c>
      <c r="I358" s="204">
        <v>57</v>
      </c>
      <c r="J358" s="260">
        <v>0.1</v>
      </c>
      <c r="L358" s="217">
        <f t="shared" si="15"/>
        <v>26960.8599225</v>
      </c>
      <c r="N358" s="271">
        <f t="shared" si="16"/>
        <v>39093.246887624999</v>
      </c>
      <c r="P358" s="326">
        <f t="shared" si="17"/>
        <v>47302.828734026247</v>
      </c>
    </row>
    <row r="359" spans="1:20">
      <c r="A359" s="206">
        <v>353</v>
      </c>
      <c r="B359" s="175" t="s">
        <v>2647</v>
      </c>
      <c r="C359" s="175" t="s">
        <v>2648</v>
      </c>
      <c r="D359" s="3" t="s">
        <v>463</v>
      </c>
      <c r="E359" s="179" t="s">
        <v>464</v>
      </c>
      <c r="F359" s="221">
        <v>7794334004584</v>
      </c>
      <c r="G359" s="216">
        <v>2</v>
      </c>
      <c r="H359" s="5" t="s">
        <v>1191</v>
      </c>
      <c r="I359" s="204">
        <v>80</v>
      </c>
      <c r="J359" s="260">
        <v>0.1</v>
      </c>
      <c r="L359" s="217">
        <f t="shared" si="15"/>
        <v>37839.803400000004</v>
      </c>
      <c r="N359" s="271">
        <f t="shared" si="16"/>
        <v>54867.714930000002</v>
      </c>
      <c r="P359" s="326">
        <f t="shared" si="17"/>
        <v>66389.9350653</v>
      </c>
    </row>
    <row r="360" spans="1:20">
      <c r="A360" s="206">
        <v>354</v>
      </c>
      <c r="B360" s="175" t="s">
        <v>2647</v>
      </c>
      <c r="C360" s="175" t="s">
        <v>2648</v>
      </c>
      <c r="D360" s="3" t="s">
        <v>465</v>
      </c>
      <c r="E360" s="179" t="s">
        <v>466</v>
      </c>
      <c r="F360" s="221">
        <v>7794334000531</v>
      </c>
      <c r="G360" s="216">
        <v>6</v>
      </c>
      <c r="H360" s="5" t="s">
        <v>1191</v>
      </c>
      <c r="I360" s="204">
        <v>16.100000000000001</v>
      </c>
      <c r="J360" s="260">
        <v>0.1</v>
      </c>
      <c r="L360" s="217">
        <f t="shared" si="15"/>
        <v>7615.2604342500008</v>
      </c>
      <c r="N360" s="271">
        <f t="shared" si="16"/>
        <v>11042.1276296625</v>
      </c>
      <c r="P360" s="326">
        <f t="shared" si="17"/>
        <v>13360.974431891625</v>
      </c>
    </row>
    <row r="361" spans="1:20">
      <c r="A361" s="206">
        <v>355</v>
      </c>
      <c r="B361" s="175" t="s">
        <v>2647</v>
      </c>
      <c r="C361" s="175" t="s">
        <v>2648</v>
      </c>
      <c r="D361" s="3" t="s">
        <v>467</v>
      </c>
      <c r="E361" s="179" t="s">
        <v>468</v>
      </c>
      <c r="F361" s="221">
        <v>7794334000562</v>
      </c>
      <c r="G361" s="216">
        <v>3</v>
      </c>
      <c r="H361" s="5" t="s">
        <v>1191</v>
      </c>
      <c r="I361" s="204">
        <v>38</v>
      </c>
      <c r="J361" s="260">
        <v>0.1</v>
      </c>
      <c r="L361" s="217">
        <f t="shared" si="15"/>
        <v>17973.906614999996</v>
      </c>
      <c r="N361" s="271">
        <f t="shared" si="16"/>
        <v>26062.164591749995</v>
      </c>
      <c r="P361" s="326">
        <f t="shared" si="17"/>
        <v>31535.219156017494</v>
      </c>
    </row>
    <row r="362" spans="1:20">
      <c r="A362" s="206">
        <v>356</v>
      </c>
      <c r="B362" s="175" t="s">
        <v>2647</v>
      </c>
      <c r="C362" s="175" t="s">
        <v>2648</v>
      </c>
      <c r="D362" s="3" t="s">
        <v>469</v>
      </c>
      <c r="E362" s="179" t="s">
        <v>470</v>
      </c>
      <c r="F362" s="221">
        <v>7794334001149</v>
      </c>
      <c r="G362" s="216">
        <v>2</v>
      </c>
      <c r="H362" s="5" t="s">
        <v>1191</v>
      </c>
      <c r="I362" s="204">
        <v>45.5</v>
      </c>
      <c r="J362" s="260">
        <v>0.1</v>
      </c>
      <c r="L362" s="217">
        <f t="shared" si="15"/>
        <v>21521.388183749998</v>
      </c>
      <c r="N362" s="271">
        <f t="shared" si="16"/>
        <v>31206.012866437497</v>
      </c>
      <c r="P362" s="326">
        <f t="shared" si="17"/>
        <v>37759.27556838937</v>
      </c>
    </row>
    <row r="363" spans="1:20">
      <c r="A363" s="206">
        <v>357</v>
      </c>
      <c r="B363" s="175" t="s">
        <v>2647</v>
      </c>
      <c r="C363" s="175" t="s">
        <v>2648</v>
      </c>
      <c r="D363" s="3" t="s">
        <v>471</v>
      </c>
      <c r="E363" s="179" t="s">
        <v>472</v>
      </c>
      <c r="F363" s="221">
        <v>7794334007912</v>
      </c>
      <c r="G363" s="216">
        <v>2</v>
      </c>
      <c r="H363" s="5" t="s">
        <v>1191</v>
      </c>
      <c r="I363" s="204">
        <v>57.5</v>
      </c>
      <c r="J363" s="260">
        <v>0.1</v>
      </c>
      <c r="L363" s="217">
        <f t="shared" si="15"/>
        <v>27197.358693749997</v>
      </c>
      <c r="N363" s="271">
        <f t="shared" si="16"/>
        <v>39436.170105937497</v>
      </c>
      <c r="P363" s="326">
        <f t="shared" si="17"/>
        <v>47717.765828184369</v>
      </c>
    </row>
    <row r="364" spans="1:20">
      <c r="A364" s="206">
        <v>358</v>
      </c>
      <c r="B364" s="175" t="s">
        <v>2647</v>
      </c>
      <c r="C364" s="175" t="s">
        <v>2648</v>
      </c>
      <c r="D364" s="3" t="s">
        <v>473</v>
      </c>
      <c r="E364" s="179" t="s">
        <v>474</v>
      </c>
      <c r="F364" s="221">
        <v>7794334007929</v>
      </c>
      <c r="G364" s="216">
        <v>2</v>
      </c>
      <c r="H364" s="5" t="s">
        <v>1191</v>
      </c>
      <c r="I364" s="204">
        <v>82</v>
      </c>
      <c r="J364" s="260">
        <v>0.1</v>
      </c>
      <c r="L364" s="217">
        <f t="shared" si="15"/>
        <v>38785.798484999999</v>
      </c>
      <c r="N364" s="271">
        <f t="shared" si="16"/>
        <v>56239.407803249997</v>
      </c>
      <c r="P364" s="326">
        <f t="shared" si="17"/>
        <v>68049.683441932488</v>
      </c>
    </row>
    <row r="365" spans="1:20">
      <c r="A365" s="206">
        <v>359</v>
      </c>
      <c r="B365" s="175" t="s">
        <v>475</v>
      </c>
      <c r="C365" s="175" t="s">
        <v>2648</v>
      </c>
      <c r="D365" s="3" t="s">
        <v>476</v>
      </c>
      <c r="E365" s="179" t="s">
        <v>448</v>
      </c>
      <c r="F365" s="221">
        <v>7794334000845</v>
      </c>
      <c r="G365" s="216">
        <v>6</v>
      </c>
      <c r="H365" s="5" t="s">
        <v>1191</v>
      </c>
      <c r="I365" s="204">
        <v>6.9</v>
      </c>
      <c r="J365" s="260">
        <v>0.1</v>
      </c>
      <c r="L365" s="217">
        <f t="shared" si="15"/>
        <v>3263.6830432500001</v>
      </c>
      <c r="N365" s="271">
        <f t="shared" si="16"/>
        <v>4732.3404127124995</v>
      </c>
      <c r="P365" s="326">
        <f t="shared" si="17"/>
        <v>5726.1318993821242</v>
      </c>
    </row>
    <row r="366" spans="1:20">
      <c r="A366" s="206">
        <v>360</v>
      </c>
      <c r="B366" s="175" t="s">
        <v>475</v>
      </c>
      <c r="C366" s="175" t="s">
        <v>2648</v>
      </c>
      <c r="D366" s="3" t="s">
        <v>477</v>
      </c>
      <c r="E366" s="179" t="s">
        <v>450</v>
      </c>
      <c r="F366" s="221">
        <v>7794334000876</v>
      </c>
      <c r="G366" s="216">
        <v>3</v>
      </c>
      <c r="H366" s="5" t="s">
        <v>1191</v>
      </c>
      <c r="I366" s="204">
        <v>17.2</v>
      </c>
      <c r="J366" s="260">
        <v>0.1</v>
      </c>
      <c r="L366" s="217">
        <f t="shared" si="15"/>
        <v>8135.557730999999</v>
      </c>
      <c r="N366" s="271">
        <f t="shared" si="16"/>
        <v>11796.558709949999</v>
      </c>
      <c r="P366" s="326">
        <f t="shared" si="17"/>
        <v>14273.836039039499</v>
      </c>
    </row>
    <row r="367" spans="1:20">
      <c r="A367" s="206">
        <v>361</v>
      </c>
      <c r="B367" s="175" t="s">
        <v>475</v>
      </c>
      <c r="C367" s="175" t="s">
        <v>2648</v>
      </c>
      <c r="D367" s="3" t="s">
        <v>478</v>
      </c>
      <c r="E367" s="179" t="s">
        <v>452</v>
      </c>
      <c r="F367" s="221">
        <v>7794334004591</v>
      </c>
      <c r="G367" s="216">
        <v>2</v>
      </c>
      <c r="H367" s="5" t="s">
        <v>1191</v>
      </c>
      <c r="I367" s="204">
        <v>38.928600000000003</v>
      </c>
      <c r="J367" s="260">
        <v>0.1</v>
      </c>
      <c r="L367" s="217">
        <f t="shared" si="15"/>
        <v>18413.1321329655</v>
      </c>
      <c r="N367" s="271">
        <f t="shared" si="16"/>
        <v>26699.041592799975</v>
      </c>
      <c r="P367" s="326">
        <f t="shared" si="17"/>
        <v>32305.84032728797</v>
      </c>
      <c r="S367" s="175"/>
    </row>
    <row r="368" spans="1:20">
      <c r="A368" s="206">
        <v>362</v>
      </c>
      <c r="B368" s="175" t="s">
        <v>475</v>
      </c>
      <c r="C368" s="175" t="s">
        <v>2648</v>
      </c>
      <c r="D368" s="3" t="s">
        <v>479</v>
      </c>
      <c r="E368" s="179" t="s">
        <v>456</v>
      </c>
      <c r="F368" s="221">
        <v>7794334000869</v>
      </c>
      <c r="G368" s="216">
        <v>6</v>
      </c>
      <c r="H368" s="5" t="s">
        <v>1191</v>
      </c>
      <c r="I368" s="204">
        <v>8.9499999999999993</v>
      </c>
      <c r="J368" s="260">
        <v>0.1</v>
      </c>
      <c r="L368" s="217">
        <f t="shared" si="15"/>
        <v>4233.3280053749995</v>
      </c>
      <c r="N368" s="271">
        <f t="shared" si="16"/>
        <v>6138.3256077937494</v>
      </c>
      <c r="P368" s="326">
        <f t="shared" si="17"/>
        <v>7427.3739854304367</v>
      </c>
      <c r="T368" s="175"/>
    </row>
    <row r="369" spans="1:20">
      <c r="A369" s="206">
        <v>363</v>
      </c>
      <c r="B369" s="175" t="s">
        <v>475</v>
      </c>
      <c r="C369" s="175" t="s">
        <v>2648</v>
      </c>
      <c r="D369" s="3" t="s">
        <v>480</v>
      </c>
      <c r="E369" s="179" t="s">
        <v>458</v>
      </c>
      <c r="F369" s="221">
        <v>7794334000890</v>
      </c>
      <c r="G369" s="216">
        <v>3</v>
      </c>
      <c r="H369" s="5" t="s">
        <v>1191</v>
      </c>
      <c r="I369" s="204">
        <v>20.55</v>
      </c>
      <c r="J369" s="260">
        <v>0.1</v>
      </c>
      <c r="L369" s="217">
        <f t="shared" si="15"/>
        <v>9720.0994983749988</v>
      </c>
      <c r="N369" s="271">
        <f t="shared" si="16"/>
        <v>14094.144272643747</v>
      </c>
      <c r="P369" s="326">
        <f t="shared" si="17"/>
        <v>17053.914569898934</v>
      </c>
    </row>
    <row r="370" spans="1:20">
      <c r="A370" s="206">
        <v>364</v>
      </c>
      <c r="B370" s="175" t="s">
        <v>475</v>
      </c>
      <c r="C370" s="175" t="s">
        <v>2648</v>
      </c>
      <c r="D370" s="3" t="s">
        <v>481</v>
      </c>
      <c r="E370" s="179" t="s">
        <v>460</v>
      </c>
      <c r="F370" s="221">
        <v>7794334004607</v>
      </c>
      <c r="G370" s="216">
        <v>2</v>
      </c>
      <c r="H370" s="5" t="s">
        <v>1191</v>
      </c>
      <c r="I370" s="204">
        <v>32.6</v>
      </c>
      <c r="J370" s="260">
        <v>0.1</v>
      </c>
      <c r="L370" s="217">
        <f t="shared" si="15"/>
        <v>15419.719885500001</v>
      </c>
      <c r="N370" s="271">
        <f t="shared" si="16"/>
        <v>22358.593833974999</v>
      </c>
      <c r="P370" s="326">
        <f t="shared" si="17"/>
        <v>27053.898539109749</v>
      </c>
      <c r="T370" s="175"/>
    </row>
    <row r="371" spans="1:20">
      <c r="A371" s="206">
        <v>365</v>
      </c>
      <c r="B371" s="175" t="s">
        <v>475</v>
      </c>
      <c r="C371" s="175" t="s">
        <v>2648</v>
      </c>
      <c r="D371" s="3" t="s">
        <v>482</v>
      </c>
      <c r="E371" s="179" t="s">
        <v>462</v>
      </c>
      <c r="F371" s="221">
        <v>7794334004614</v>
      </c>
      <c r="G371" s="216">
        <v>2</v>
      </c>
      <c r="H371" s="5" t="s">
        <v>1191</v>
      </c>
      <c r="I371" s="204">
        <v>43.5</v>
      </c>
      <c r="J371" s="260">
        <v>0.1</v>
      </c>
      <c r="L371" s="217">
        <f t="shared" si="15"/>
        <v>20575.393098749999</v>
      </c>
      <c r="N371" s="271">
        <f t="shared" si="16"/>
        <v>29834.319993187499</v>
      </c>
      <c r="P371" s="326">
        <f t="shared" si="17"/>
        <v>36099.527191756875</v>
      </c>
    </row>
    <row r="372" spans="1:20">
      <c r="A372" s="206">
        <v>366</v>
      </c>
      <c r="B372" s="175" t="s">
        <v>475</v>
      </c>
      <c r="C372" s="175" t="s">
        <v>2648</v>
      </c>
      <c r="D372" s="3" t="s">
        <v>483</v>
      </c>
      <c r="E372" s="179" t="s">
        <v>464</v>
      </c>
      <c r="F372" s="221">
        <v>7794334004621</v>
      </c>
      <c r="G372" s="216">
        <v>2</v>
      </c>
      <c r="H372" s="5" t="s">
        <v>1191</v>
      </c>
      <c r="I372" s="204">
        <v>66.900000000000006</v>
      </c>
      <c r="J372" s="260">
        <v>0.1</v>
      </c>
      <c r="L372" s="217">
        <f t="shared" si="15"/>
        <v>31643.535593250002</v>
      </c>
      <c r="N372" s="271">
        <f t="shared" si="16"/>
        <v>45883.126610212501</v>
      </c>
      <c r="P372" s="326">
        <f t="shared" si="17"/>
        <v>55518.583198357126</v>
      </c>
    </row>
    <row r="373" spans="1:20">
      <c r="A373" s="206">
        <v>367</v>
      </c>
      <c r="B373" s="175" t="s">
        <v>475</v>
      </c>
      <c r="C373" s="175" t="s">
        <v>2648</v>
      </c>
      <c r="D373" s="3" t="s">
        <v>484</v>
      </c>
      <c r="E373" s="179" t="s">
        <v>466</v>
      </c>
      <c r="F373" s="221">
        <v>7794334000852</v>
      </c>
      <c r="G373" s="216">
        <v>6</v>
      </c>
      <c r="H373" s="5" t="s">
        <v>1191</v>
      </c>
      <c r="I373" s="204">
        <v>9.6999999999999993</v>
      </c>
      <c r="J373" s="260">
        <v>0.1</v>
      </c>
      <c r="L373" s="217">
        <f t="shared" si="15"/>
        <v>4588.0761622499995</v>
      </c>
      <c r="N373" s="271">
        <f t="shared" si="16"/>
        <v>6652.7104352624992</v>
      </c>
      <c r="P373" s="326">
        <f t="shared" si="17"/>
        <v>8049.7796266676241</v>
      </c>
    </row>
    <row r="374" spans="1:20">
      <c r="A374" s="206">
        <v>368</v>
      </c>
      <c r="B374" s="175" t="s">
        <v>475</v>
      </c>
      <c r="C374" s="175" t="s">
        <v>2648</v>
      </c>
      <c r="D374" s="3" t="s">
        <v>485</v>
      </c>
      <c r="E374" s="179" t="s">
        <v>468</v>
      </c>
      <c r="F374" s="221">
        <v>7794334000883</v>
      </c>
      <c r="G374" s="216">
        <v>3</v>
      </c>
      <c r="H374" s="5" t="s">
        <v>1191</v>
      </c>
      <c r="I374" s="204">
        <v>21.5</v>
      </c>
      <c r="J374" s="260">
        <v>0.1</v>
      </c>
      <c r="L374" s="217">
        <f t="shared" si="15"/>
        <v>10169.447163749997</v>
      </c>
      <c r="N374" s="271">
        <f t="shared" si="16"/>
        <v>14745.698387437496</v>
      </c>
      <c r="P374" s="326">
        <f t="shared" si="17"/>
        <v>17842.295048799369</v>
      </c>
    </row>
    <row r="375" spans="1:20">
      <c r="A375" s="206">
        <v>369</v>
      </c>
      <c r="B375" s="175" t="s">
        <v>475</v>
      </c>
      <c r="C375" s="175" t="s">
        <v>2648</v>
      </c>
      <c r="D375" s="3" t="s">
        <v>486</v>
      </c>
      <c r="E375" s="179" t="s">
        <v>470</v>
      </c>
      <c r="F375" s="221">
        <v>7794334004638</v>
      </c>
      <c r="G375" s="216">
        <v>2</v>
      </c>
      <c r="H375" s="5" t="s">
        <v>1191</v>
      </c>
      <c r="I375" s="204">
        <v>34.1</v>
      </c>
      <c r="J375" s="260">
        <v>0.1</v>
      </c>
      <c r="L375" s="217">
        <f t="shared" si="15"/>
        <v>16129.216199249997</v>
      </c>
      <c r="N375" s="271">
        <f t="shared" si="16"/>
        <v>23387.363488912495</v>
      </c>
      <c r="P375" s="326">
        <f t="shared" si="17"/>
        <v>28298.709821584118</v>
      </c>
    </row>
    <row r="376" spans="1:20">
      <c r="A376" s="206">
        <v>370</v>
      </c>
      <c r="B376" s="175" t="s">
        <v>475</v>
      </c>
      <c r="C376" s="175" t="s">
        <v>2648</v>
      </c>
      <c r="D376" s="3" t="s">
        <v>487</v>
      </c>
      <c r="E376" s="179" t="s">
        <v>472</v>
      </c>
      <c r="F376" s="221">
        <v>7794334007936</v>
      </c>
      <c r="G376" s="216">
        <v>2</v>
      </c>
      <c r="H376" s="5" t="s">
        <v>1191</v>
      </c>
      <c r="I376" s="204">
        <v>48.8</v>
      </c>
      <c r="J376" s="260">
        <v>0.1</v>
      </c>
      <c r="L376" s="217">
        <f t="shared" si="15"/>
        <v>23082.280073999995</v>
      </c>
      <c r="N376" s="271">
        <f t="shared" si="16"/>
        <v>33469.306107299992</v>
      </c>
      <c r="P376" s="326">
        <f t="shared" si="17"/>
        <v>40497.860389832989</v>
      </c>
    </row>
    <row r="377" spans="1:20">
      <c r="A377" s="206">
        <v>371</v>
      </c>
      <c r="B377" s="175" t="s">
        <v>475</v>
      </c>
      <c r="C377" s="175" t="s">
        <v>2648</v>
      </c>
      <c r="D377" s="3" t="s">
        <v>488</v>
      </c>
      <c r="E377" s="179" t="s">
        <v>474</v>
      </c>
      <c r="F377" s="221">
        <v>7794334007943</v>
      </c>
      <c r="G377" s="216">
        <v>2</v>
      </c>
      <c r="H377" s="5" t="s">
        <v>1191</v>
      </c>
      <c r="I377" s="204">
        <v>66.900000000000006</v>
      </c>
      <c r="J377" s="260">
        <v>0.1</v>
      </c>
      <c r="L377" s="217">
        <f t="shared" si="15"/>
        <v>31643.535593250002</v>
      </c>
      <c r="N377" s="271">
        <f t="shared" si="16"/>
        <v>45883.126610212501</v>
      </c>
      <c r="P377" s="326">
        <f t="shared" si="17"/>
        <v>55518.583198357126</v>
      </c>
    </row>
    <row r="378" spans="1:20">
      <c r="A378" s="206">
        <v>372</v>
      </c>
      <c r="B378" s="175" t="s">
        <v>475</v>
      </c>
      <c r="C378" s="175" t="s">
        <v>2648</v>
      </c>
      <c r="D378" s="3" t="s">
        <v>489</v>
      </c>
      <c r="E378" s="179" t="s">
        <v>490</v>
      </c>
      <c r="F378" s="221">
        <v>7794334011780</v>
      </c>
      <c r="G378" s="216">
        <v>6</v>
      </c>
      <c r="H378" s="5" t="s">
        <v>1191</v>
      </c>
      <c r="I378" s="204">
        <v>17.5</v>
      </c>
      <c r="J378" s="260">
        <v>0.1</v>
      </c>
      <c r="L378" s="217">
        <f t="shared" si="15"/>
        <v>8277.45699375</v>
      </c>
      <c r="N378" s="271">
        <f t="shared" si="16"/>
        <v>12002.3126409375</v>
      </c>
      <c r="P378" s="326">
        <f t="shared" si="17"/>
        <v>14522.798295534374</v>
      </c>
    </row>
    <row r="379" spans="1:20">
      <c r="A379" s="206">
        <v>373</v>
      </c>
      <c r="B379" s="175" t="s">
        <v>475</v>
      </c>
      <c r="C379" s="175" t="s">
        <v>2648</v>
      </c>
      <c r="D379" s="3" t="s">
        <v>491</v>
      </c>
      <c r="E379" s="179" t="s">
        <v>492</v>
      </c>
      <c r="F379" s="221">
        <v>7794334011797</v>
      </c>
      <c r="G379" s="216">
        <v>3</v>
      </c>
      <c r="H379" s="5" t="s">
        <v>1191</v>
      </c>
      <c r="I379" s="204">
        <v>38.200000000000003</v>
      </c>
      <c r="J379" s="260">
        <v>0.1</v>
      </c>
      <c r="L379" s="217">
        <f t="shared" si="15"/>
        <v>18068.506123499999</v>
      </c>
      <c r="N379" s="271">
        <f t="shared" si="16"/>
        <v>26199.333879074999</v>
      </c>
      <c r="P379" s="326">
        <f t="shared" si="17"/>
        <v>31701.193993680747</v>
      </c>
    </row>
    <row r="380" spans="1:20">
      <c r="A380" s="206">
        <v>374</v>
      </c>
      <c r="B380" s="175" t="s">
        <v>475</v>
      </c>
      <c r="C380" s="175" t="s">
        <v>2648</v>
      </c>
      <c r="D380" s="3" t="s">
        <v>493</v>
      </c>
      <c r="E380" s="179" t="s">
        <v>494</v>
      </c>
      <c r="F380" s="221">
        <v>7794334007950</v>
      </c>
      <c r="G380" s="216">
        <v>6</v>
      </c>
      <c r="H380" s="5" t="s">
        <v>1191</v>
      </c>
      <c r="I380" s="204">
        <v>10.199999999999999</v>
      </c>
      <c r="J380" s="260">
        <v>0.1</v>
      </c>
      <c r="L380" s="217">
        <f t="shared" si="15"/>
        <v>4824.5749335</v>
      </c>
      <c r="N380" s="271">
        <f t="shared" si="16"/>
        <v>6995.6336535749997</v>
      </c>
      <c r="P380" s="326">
        <f t="shared" si="17"/>
        <v>8464.7167208257488</v>
      </c>
    </row>
    <row r="381" spans="1:20">
      <c r="A381" s="206">
        <v>375</v>
      </c>
      <c r="B381" s="175" t="s">
        <v>475</v>
      </c>
      <c r="C381" s="175" t="s">
        <v>2648</v>
      </c>
      <c r="D381" s="3" t="s">
        <v>495</v>
      </c>
      <c r="E381" s="179" t="s">
        <v>496</v>
      </c>
      <c r="F381" s="221">
        <v>7794334007967</v>
      </c>
      <c r="G381" s="216">
        <v>3</v>
      </c>
      <c r="H381" s="5" t="s">
        <v>1191</v>
      </c>
      <c r="I381" s="204">
        <v>21.7</v>
      </c>
      <c r="J381" s="260">
        <v>0.1</v>
      </c>
      <c r="L381" s="217">
        <f t="shared" si="15"/>
        <v>10264.046672249999</v>
      </c>
      <c r="N381" s="271">
        <f t="shared" si="16"/>
        <v>14882.867674762498</v>
      </c>
      <c r="P381" s="326">
        <f t="shared" si="17"/>
        <v>18008.269886462622</v>
      </c>
    </row>
    <row r="382" spans="1:20">
      <c r="A382" s="206">
        <v>376</v>
      </c>
      <c r="B382" s="175" t="s">
        <v>475</v>
      </c>
      <c r="C382" s="175" t="s">
        <v>2648</v>
      </c>
      <c r="D382" s="3" t="s">
        <v>497</v>
      </c>
      <c r="E382" s="179" t="s">
        <v>498</v>
      </c>
      <c r="F382" s="221">
        <v>7794334007974</v>
      </c>
      <c r="G382" s="216">
        <v>2</v>
      </c>
      <c r="H382" s="5" t="s">
        <v>1191</v>
      </c>
      <c r="I382" s="204">
        <v>34.9</v>
      </c>
      <c r="J382" s="260">
        <v>0.1</v>
      </c>
      <c r="L382" s="217">
        <f t="shared" si="15"/>
        <v>16507.614233249999</v>
      </c>
      <c r="N382" s="271">
        <f t="shared" si="16"/>
        <v>23936.040638212497</v>
      </c>
      <c r="P382" s="326">
        <f t="shared" si="17"/>
        <v>28962.60917223712</v>
      </c>
    </row>
    <row r="383" spans="1:20">
      <c r="A383" s="206">
        <v>377</v>
      </c>
      <c r="B383" s="184" t="s">
        <v>475</v>
      </c>
      <c r="C383" s="184" t="s">
        <v>2633</v>
      </c>
      <c r="D383" s="4" t="s">
        <v>1196</v>
      </c>
      <c r="E383" s="180" t="s">
        <v>520</v>
      </c>
      <c r="F383" s="222">
        <v>7794334242771</v>
      </c>
      <c r="G383" s="223">
        <v>2</v>
      </c>
      <c r="H383" s="5" t="s">
        <v>1191</v>
      </c>
      <c r="I383" s="204">
        <v>40.5</v>
      </c>
      <c r="J383" s="260">
        <v>0.1</v>
      </c>
      <c r="L383" s="217">
        <f t="shared" si="15"/>
        <v>19156.400471249999</v>
      </c>
      <c r="N383" s="271">
        <f t="shared" si="16"/>
        <v>27776.7806833125</v>
      </c>
      <c r="P383" s="326">
        <f t="shared" si="17"/>
        <v>33609.904626808122</v>
      </c>
    </row>
    <row r="384" spans="1:20">
      <c r="A384" s="206">
        <v>378</v>
      </c>
      <c r="B384" s="184" t="s">
        <v>475</v>
      </c>
      <c r="C384" s="184" t="s">
        <v>2633</v>
      </c>
      <c r="D384" s="4" t="s">
        <v>1197</v>
      </c>
      <c r="E384" s="180" t="s">
        <v>522</v>
      </c>
      <c r="F384" s="222">
        <v>7794334242788</v>
      </c>
      <c r="G384" s="223">
        <v>2</v>
      </c>
      <c r="H384" s="5" t="s">
        <v>1191</v>
      </c>
      <c r="I384" s="204">
        <v>122.9</v>
      </c>
      <c r="J384" s="260">
        <v>0.1</v>
      </c>
      <c r="L384" s="217">
        <f t="shared" si="15"/>
        <v>58131.397973249994</v>
      </c>
      <c r="N384" s="271">
        <f t="shared" si="16"/>
        <v>84290.527061212488</v>
      </c>
      <c r="P384" s="326">
        <f t="shared" si="17"/>
        <v>101991.5377440671</v>
      </c>
    </row>
    <row r="385" spans="1:18">
      <c r="A385" s="206">
        <v>379</v>
      </c>
      <c r="B385" s="175" t="s">
        <v>475</v>
      </c>
      <c r="C385" s="175" t="s">
        <v>2633</v>
      </c>
      <c r="D385" s="3" t="s">
        <v>519</v>
      </c>
      <c r="E385" s="179" t="s">
        <v>520</v>
      </c>
      <c r="F385" s="221">
        <v>7794334010059</v>
      </c>
      <c r="G385" s="216">
        <v>2</v>
      </c>
      <c r="H385" s="5" t="s">
        <v>1191</v>
      </c>
      <c r="I385" s="204">
        <v>54.6</v>
      </c>
      <c r="J385" s="260">
        <v>0.1</v>
      </c>
      <c r="L385" s="217">
        <f t="shared" si="15"/>
        <v>25825.665820499995</v>
      </c>
      <c r="N385" s="271">
        <f t="shared" si="16"/>
        <v>37447.215439724991</v>
      </c>
      <c r="P385" s="326">
        <f t="shared" si="17"/>
        <v>45311.13068206724</v>
      </c>
    </row>
    <row r="386" spans="1:18">
      <c r="A386" s="206">
        <v>380</v>
      </c>
      <c r="B386" s="175" t="s">
        <v>475</v>
      </c>
      <c r="C386" s="175" t="s">
        <v>2633</v>
      </c>
      <c r="D386" s="3" t="s">
        <v>521</v>
      </c>
      <c r="E386" s="179" t="s">
        <v>522</v>
      </c>
      <c r="F386" s="221">
        <v>7794334010066</v>
      </c>
      <c r="G386" s="216">
        <v>2</v>
      </c>
      <c r="H386" s="5" t="s">
        <v>1191</v>
      </c>
      <c r="I386" s="204">
        <v>150</v>
      </c>
      <c r="J386" s="260">
        <v>0.1</v>
      </c>
      <c r="L386" s="217">
        <f t="shared" si="15"/>
        <v>70949.631374999997</v>
      </c>
      <c r="N386" s="271">
        <f t="shared" si="16"/>
        <v>102876.96549374999</v>
      </c>
      <c r="P386" s="326">
        <f t="shared" si="17"/>
        <v>124481.12824743747</v>
      </c>
    </row>
    <row r="387" spans="1:18">
      <c r="A387" s="206">
        <v>381</v>
      </c>
      <c r="B387" s="175" t="s">
        <v>475</v>
      </c>
      <c r="C387" s="175" t="s">
        <v>2632</v>
      </c>
      <c r="D387" s="3" t="s">
        <v>499</v>
      </c>
      <c r="E387" s="179" t="s">
        <v>500</v>
      </c>
      <c r="F387" s="221">
        <v>7794334007981</v>
      </c>
      <c r="G387" s="216">
        <v>2</v>
      </c>
      <c r="H387" s="5" t="s">
        <v>1191</v>
      </c>
      <c r="I387" s="204">
        <v>190.5</v>
      </c>
      <c r="J387" s="260">
        <v>0.1</v>
      </c>
      <c r="L387" s="217">
        <f t="shared" si="15"/>
        <v>90106.031846249985</v>
      </c>
      <c r="N387" s="271">
        <f t="shared" si="16"/>
        <v>130653.74617706248</v>
      </c>
      <c r="P387" s="326">
        <f t="shared" si="17"/>
        <v>158091.0328742456</v>
      </c>
    </row>
    <row r="388" spans="1:18">
      <c r="A388" s="206">
        <v>382</v>
      </c>
      <c r="B388" s="175" t="s">
        <v>475</v>
      </c>
      <c r="C388" s="175" t="s">
        <v>2632</v>
      </c>
      <c r="D388" s="3" t="s">
        <v>501</v>
      </c>
      <c r="E388" s="179" t="s">
        <v>502</v>
      </c>
      <c r="F388" s="221">
        <v>7794334007998</v>
      </c>
      <c r="G388" s="216">
        <v>2</v>
      </c>
      <c r="H388" s="5" t="s">
        <v>1191</v>
      </c>
      <c r="I388" s="204">
        <v>219.2</v>
      </c>
      <c r="J388" s="260">
        <v>0.1</v>
      </c>
      <c r="L388" s="217">
        <f t="shared" si="15"/>
        <v>103681.06131599999</v>
      </c>
      <c r="N388" s="271">
        <f t="shared" si="16"/>
        <v>150337.53890819999</v>
      </c>
      <c r="P388" s="326">
        <f t="shared" si="17"/>
        <v>181908.42207892198</v>
      </c>
    </row>
    <row r="389" spans="1:18">
      <c r="A389" s="206">
        <v>383</v>
      </c>
      <c r="B389" s="175" t="s">
        <v>475</v>
      </c>
      <c r="C389" s="175" t="s">
        <v>2632</v>
      </c>
      <c r="D389" s="3" t="s">
        <v>503</v>
      </c>
      <c r="E389" s="179" t="s">
        <v>504</v>
      </c>
      <c r="F389" s="221">
        <v>7794334008001</v>
      </c>
      <c r="G389" s="216">
        <v>2</v>
      </c>
      <c r="H389" s="5" t="s">
        <v>1191</v>
      </c>
      <c r="I389" s="204">
        <v>295.2</v>
      </c>
      <c r="J389" s="260">
        <v>0.1</v>
      </c>
      <c r="L389" s="217">
        <f t="shared" si="15"/>
        <v>139628.87454600001</v>
      </c>
      <c r="N389" s="271">
        <f t="shared" si="16"/>
        <v>202461.86809170002</v>
      </c>
      <c r="P389" s="326">
        <f t="shared" si="17"/>
        <v>244978.86039095701</v>
      </c>
      <c r="R389" s="338"/>
    </row>
    <row r="390" spans="1:18">
      <c r="A390" s="206">
        <v>384</v>
      </c>
      <c r="B390" s="175" t="s">
        <v>475</v>
      </c>
      <c r="C390" s="175" t="s">
        <v>2632</v>
      </c>
      <c r="D390" s="3" t="s">
        <v>505</v>
      </c>
      <c r="E390" s="179" t="s">
        <v>506</v>
      </c>
      <c r="F390" s="221">
        <v>7794334012190</v>
      </c>
      <c r="G390" s="216">
        <v>2</v>
      </c>
      <c r="H390" s="5" t="s">
        <v>1191</v>
      </c>
      <c r="I390" s="204">
        <v>341</v>
      </c>
      <c r="J390" s="260">
        <v>0.1</v>
      </c>
      <c r="L390" s="217">
        <f t="shared" si="15"/>
        <v>161292.16199249998</v>
      </c>
      <c r="N390" s="271">
        <f t="shared" si="16"/>
        <v>233873.63488912498</v>
      </c>
      <c r="P390" s="326">
        <f t="shared" si="17"/>
        <v>282987.09821584122</v>
      </c>
    </row>
    <row r="391" spans="1:18">
      <c r="A391" s="206">
        <v>385</v>
      </c>
      <c r="B391" s="175" t="s">
        <v>475</v>
      </c>
      <c r="C391" s="175" t="s">
        <v>2632</v>
      </c>
      <c r="D391" s="3" t="s">
        <v>507</v>
      </c>
      <c r="E391" s="179" t="s">
        <v>508</v>
      </c>
      <c r="F391" s="221">
        <v>7794334008018</v>
      </c>
      <c r="G391" s="216">
        <v>2</v>
      </c>
      <c r="H391" s="5" t="s">
        <v>1191</v>
      </c>
      <c r="I391" s="204">
        <v>202.4</v>
      </c>
      <c r="J391" s="260">
        <v>0.1</v>
      </c>
      <c r="L391" s="217">
        <f t="shared" si="15"/>
        <v>95734.70260199999</v>
      </c>
      <c r="N391" s="271">
        <f t="shared" si="16"/>
        <v>138815.31877289998</v>
      </c>
      <c r="P391" s="326">
        <f t="shared" si="17"/>
        <v>167966.53571520897</v>
      </c>
    </row>
    <row r="392" spans="1:18">
      <c r="A392" s="206">
        <v>386</v>
      </c>
      <c r="B392" s="175" t="s">
        <v>475</v>
      </c>
      <c r="C392" s="175" t="s">
        <v>2632</v>
      </c>
      <c r="D392" s="3" t="s">
        <v>509</v>
      </c>
      <c r="E392" s="179" t="s">
        <v>510</v>
      </c>
      <c r="F392" s="221">
        <v>7794334008025</v>
      </c>
      <c r="G392" s="216">
        <v>2</v>
      </c>
      <c r="H392" s="5" t="s">
        <v>1191</v>
      </c>
      <c r="I392" s="204">
        <v>227.8</v>
      </c>
      <c r="J392" s="260">
        <v>0.1</v>
      </c>
      <c r="L392" s="217">
        <f t="shared" ref="L392:L455" si="18">+I392*$F$2*$F$3*$F$4*$F$5</f>
        <v>107748.8401815</v>
      </c>
      <c r="N392" s="271">
        <f t="shared" si="16"/>
        <v>156235.818263175</v>
      </c>
      <c r="P392" s="326">
        <f t="shared" si="17"/>
        <v>189045.34009844172</v>
      </c>
    </row>
    <row r="393" spans="1:18">
      <c r="A393" s="206">
        <v>387</v>
      </c>
      <c r="B393" s="175" t="s">
        <v>475</v>
      </c>
      <c r="C393" s="175" t="s">
        <v>2632</v>
      </c>
      <c r="D393" s="3" t="s">
        <v>511</v>
      </c>
      <c r="E393" s="179" t="s">
        <v>512</v>
      </c>
      <c r="F393" s="221">
        <v>7794334008032</v>
      </c>
      <c r="G393" s="216">
        <v>2</v>
      </c>
      <c r="H393" s="5" t="s">
        <v>1191</v>
      </c>
      <c r="I393" s="204">
        <v>303.60000000000002</v>
      </c>
      <c r="J393" s="260">
        <v>0.1</v>
      </c>
      <c r="L393" s="217">
        <f t="shared" si="18"/>
        <v>143602.05390299999</v>
      </c>
      <c r="N393" s="271">
        <f t="shared" ref="N393:N456" si="19">+L393*1.45</f>
        <v>208222.97815934999</v>
      </c>
      <c r="P393" s="326">
        <f t="shared" ref="P393:P456" si="20">+N393*1.21</f>
        <v>251949.80357281349</v>
      </c>
    </row>
    <row r="394" spans="1:18">
      <c r="A394" s="206">
        <v>388</v>
      </c>
      <c r="B394" s="175" t="s">
        <v>475</v>
      </c>
      <c r="C394" s="175" t="s">
        <v>2632</v>
      </c>
      <c r="D394" s="3" t="s">
        <v>513</v>
      </c>
      <c r="E394" s="179" t="s">
        <v>514</v>
      </c>
      <c r="F394" s="221">
        <v>7794334012206</v>
      </c>
      <c r="G394" s="216">
        <v>2</v>
      </c>
      <c r="H394" s="5" t="s">
        <v>1191</v>
      </c>
      <c r="I394" s="204">
        <v>348.3</v>
      </c>
      <c r="J394" s="260">
        <v>0.1</v>
      </c>
      <c r="L394" s="217">
        <f t="shared" si="18"/>
        <v>164745.04405274999</v>
      </c>
      <c r="N394" s="271">
        <f t="shared" si="19"/>
        <v>238880.31387648749</v>
      </c>
      <c r="P394" s="326">
        <f t="shared" si="20"/>
        <v>289045.17979054985</v>
      </c>
    </row>
    <row r="395" spans="1:18">
      <c r="A395" s="206">
        <v>389</v>
      </c>
      <c r="B395" s="175" t="s">
        <v>475</v>
      </c>
      <c r="C395" s="175" t="s">
        <v>2634</v>
      </c>
      <c r="D395" s="3" t="s">
        <v>515</v>
      </c>
      <c r="E395" s="179" t="s">
        <v>516</v>
      </c>
      <c r="F395" s="221">
        <v>7794334010325</v>
      </c>
      <c r="G395" s="216">
        <v>2</v>
      </c>
      <c r="H395" s="5" t="s">
        <v>1191</v>
      </c>
      <c r="I395" s="204">
        <v>186</v>
      </c>
      <c r="J395" s="260">
        <v>0.1</v>
      </c>
      <c r="L395" s="217">
        <f t="shared" si="18"/>
        <v>87977.542904999995</v>
      </c>
      <c r="N395" s="271">
        <f t="shared" si="19"/>
        <v>127567.43721224999</v>
      </c>
      <c r="P395" s="326">
        <f t="shared" si="20"/>
        <v>154356.59902682249</v>
      </c>
    </row>
    <row r="396" spans="1:18">
      <c r="A396" s="206">
        <v>390</v>
      </c>
      <c r="B396" s="175" t="s">
        <v>475</v>
      </c>
      <c r="C396" s="175" t="s">
        <v>2634</v>
      </c>
      <c r="D396" s="3" t="s">
        <v>517</v>
      </c>
      <c r="E396" s="179" t="s">
        <v>518</v>
      </c>
      <c r="F396" s="221">
        <v>7794334010332</v>
      </c>
      <c r="G396" s="216">
        <v>2</v>
      </c>
      <c r="H396" s="5" t="s">
        <v>1191</v>
      </c>
      <c r="I396" s="204">
        <v>240</v>
      </c>
      <c r="J396" s="260">
        <v>0.1</v>
      </c>
      <c r="L396" s="217">
        <f t="shared" si="18"/>
        <v>113519.41019999998</v>
      </c>
      <c r="N396" s="271">
        <f t="shared" si="19"/>
        <v>164603.14478999996</v>
      </c>
      <c r="P396" s="326">
        <f t="shared" si="20"/>
        <v>199169.80519589994</v>
      </c>
    </row>
    <row r="397" spans="1:18">
      <c r="A397" s="206">
        <v>391</v>
      </c>
      <c r="B397" s="184" t="s">
        <v>1195</v>
      </c>
      <c r="C397" s="184" t="s">
        <v>2648</v>
      </c>
      <c r="D397" s="4" t="s">
        <v>3178</v>
      </c>
      <c r="E397" s="180" t="s">
        <v>448</v>
      </c>
      <c r="F397" s="222">
        <v>7794334242801</v>
      </c>
      <c r="G397" s="223">
        <v>6</v>
      </c>
      <c r="H397" s="5" t="s">
        <v>1191</v>
      </c>
      <c r="I397" s="204">
        <v>5.0999999999999996</v>
      </c>
      <c r="J397" s="260">
        <v>0.1</v>
      </c>
      <c r="L397" s="217">
        <f t="shared" si="18"/>
        <v>2412.28746675</v>
      </c>
      <c r="N397" s="271">
        <f t="shared" si="19"/>
        <v>3497.8168267874998</v>
      </c>
      <c r="P397" s="326">
        <f t="shared" si="20"/>
        <v>4232.3583604128744</v>
      </c>
    </row>
    <row r="398" spans="1:18">
      <c r="A398" s="206">
        <v>392</v>
      </c>
      <c r="B398" s="184" t="s">
        <v>1195</v>
      </c>
      <c r="C398" s="184" t="s">
        <v>2648</v>
      </c>
      <c r="D398" s="4" t="s">
        <v>3179</v>
      </c>
      <c r="E398" s="180" t="s">
        <v>450</v>
      </c>
      <c r="F398" s="222">
        <v>7794334242818</v>
      </c>
      <c r="G398" s="223">
        <v>3</v>
      </c>
      <c r="H398" s="5" t="s">
        <v>1191</v>
      </c>
      <c r="I398" s="204">
        <v>14.5</v>
      </c>
      <c r="J398" s="260">
        <v>0.1</v>
      </c>
      <c r="L398" s="217">
        <f t="shared" si="18"/>
        <v>6858.4643662499993</v>
      </c>
      <c r="N398" s="271">
        <f t="shared" si="19"/>
        <v>9944.773331062499</v>
      </c>
      <c r="P398" s="326">
        <f t="shared" si="20"/>
        <v>12033.175730585623</v>
      </c>
    </row>
    <row r="399" spans="1:18">
      <c r="A399" s="206">
        <v>393</v>
      </c>
      <c r="B399" s="184" t="s">
        <v>1195</v>
      </c>
      <c r="C399" s="184" t="s">
        <v>2648</v>
      </c>
      <c r="D399" s="4" t="s">
        <v>3180</v>
      </c>
      <c r="E399" s="180" t="s">
        <v>456</v>
      </c>
      <c r="F399" s="222">
        <v>7794334242825</v>
      </c>
      <c r="G399" s="223">
        <v>6</v>
      </c>
      <c r="H399" s="5" t="s">
        <v>1191</v>
      </c>
      <c r="I399" s="204">
        <v>6.4</v>
      </c>
      <c r="J399" s="260">
        <v>0.1</v>
      </c>
      <c r="L399" s="217">
        <f t="shared" si="18"/>
        <v>3027.184272</v>
      </c>
      <c r="N399" s="271">
        <f t="shared" si="19"/>
        <v>4389.4171944</v>
      </c>
      <c r="P399" s="326">
        <f t="shared" si="20"/>
        <v>5311.1948052239995</v>
      </c>
    </row>
    <row r="400" spans="1:18">
      <c r="A400" s="206">
        <v>394</v>
      </c>
      <c r="B400" s="184" t="s">
        <v>1195</v>
      </c>
      <c r="C400" s="184" t="s">
        <v>2648</v>
      </c>
      <c r="D400" s="4" t="s">
        <v>3181</v>
      </c>
      <c r="E400" s="180" t="s">
        <v>458</v>
      </c>
      <c r="F400" s="222">
        <v>7794334242832</v>
      </c>
      <c r="G400" s="223">
        <v>3</v>
      </c>
      <c r="H400" s="5" t="s">
        <v>1191</v>
      </c>
      <c r="I400" s="204">
        <v>16</v>
      </c>
      <c r="J400" s="260">
        <v>0.1</v>
      </c>
      <c r="L400" s="217">
        <f t="shared" si="18"/>
        <v>7567.9606799999992</v>
      </c>
      <c r="N400" s="271">
        <f t="shared" si="19"/>
        <v>10973.542985999999</v>
      </c>
      <c r="P400" s="326">
        <f t="shared" si="20"/>
        <v>13277.987013059997</v>
      </c>
    </row>
    <row r="401" spans="1:18">
      <c r="A401" s="206">
        <v>395</v>
      </c>
      <c r="B401" s="184" t="s">
        <v>1195</v>
      </c>
      <c r="C401" s="184" t="s">
        <v>2648</v>
      </c>
      <c r="D401" s="4" t="s">
        <v>3182</v>
      </c>
      <c r="E401" s="180" t="s">
        <v>460</v>
      </c>
      <c r="F401" s="222">
        <v>7794334242849</v>
      </c>
      <c r="G401" s="223">
        <v>2</v>
      </c>
      <c r="H401" s="5" t="s">
        <v>1191</v>
      </c>
      <c r="I401" s="204">
        <v>26.7</v>
      </c>
      <c r="J401" s="260">
        <v>0.1</v>
      </c>
      <c r="L401" s="217">
        <f t="shared" si="18"/>
        <v>12629.034384749999</v>
      </c>
      <c r="N401" s="271">
        <f t="shared" si="19"/>
        <v>18312.099857887497</v>
      </c>
      <c r="P401" s="326">
        <f t="shared" si="20"/>
        <v>22157.64082804387</v>
      </c>
      <c r="R401" s="288">
        <f>26.7*0.63*0.78*0.9*850*1.45</f>
        <v>14553.781514999999</v>
      </c>
    </row>
    <row r="402" spans="1:18">
      <c r="A402" s="206">
        <v>396</v>
      </c>
      <c r="B402" s="184" t="s">
        <v>1195</v>
      </c>
      <c r="C402" s="184" t="s">
        <v>2648</v>
      </c>
      <c r="D402" s="4" t="s">
        <v>3183</v>
      </c>
      <c r="E402" s="180" t="s">
        <v>466</v>
      </c>
      <c r="F402" s="222">
        <v>7794334242856</v>
      </c>
      <c r="G402" s="223">
        <v>6</v>
      </c>
      <c r="H402" s="5" t="s">
        <v>1191</v>
      </c>
      <c r="I402" s="204">
        <v>6.85</v>
      </c>
      <c r="J402" s="260">
        <v>0.1</v>
      </c>
      <c r="L402" s="217">
        <f t="shared" si="18"/>
        <v>3240.0331661249998</v>
      </c>
      <c r="N402" s="271">
        <f t="shared" si="19"/>
        <v>4698.0480908812497</v>
      </c>
      <c r="P402" s="326">
        <f t="shared" si="20"/>
        <v>5684.638189966312</v>
      </c>
    </row>
    <row r="403" spans="1:18">
      <c r="A403" s="206">
        <v>397</v>
      </c>
      <c r="B403" s="184" t="s">
        <v>1195</v>
      </c>
      <c r="C403" s="184" t="s">
        <v>2648</v>
      </c>
      <c r="D403" s="4" t="s">
        <v>3184</v>
      </c>
      <c r="E403" s="180" t="s">
        <v>468</v>
      </c>
      <c r="F403" s="222">
        <v>7794334242863</v>
      </c>
      <c r="G403" s="223">
        <v>3</v>
      </c>
      <c r="H403" s="5" t="s">
        <v>1191</v>
      </c>
      <c r="I403" s="204">
        <v>16.399999999999999</v>
      </c>
      <c r="J403" s="260">
        <v>0.1</v>
      </c>
      <c r="L403" s="217">
        <f t="shared" si="18"/>
        <v>7757.1596969999982</v>
      </c>
      <c r="N403" s="271">
        <f t="shared" si="19"/>
        <v>11247.881560649997</v>
      </c>
      <c r="P403" s="326">
        <f t="shared" si="20"/>
        <v>13609.936688386497</v>
      </c>
    </row>
    <row r="404" spans="1:18">
      <c r="A404" s="206">
        <v>398</v>
      </c>
      <c r="B404" s="184" t="s">
        <v>1195</v>
      </c>
      <c r="C404" s="184" t="s">
        <v>2648</v>
      </c>
      <c r="D404" s="4" t="s">
        <v>3185</v>
      </c>
      <c r="E404" s="180" t="s">
        <v>470</v>
      </c>
      <c r="F404" s="222">
        <v>7794334242870</v>
      </c>
      <c r="G404" s="223">
        <v>2</v>
      </c>
      <c r="H404" s="5" t="s">
        <v>1191</v>
      </c>
      <c r="I404" s="204">
        <v>27.4</v>
      </c>
      <c r="J404" s="260">
        <v>0.1</v>
      </c>
      <c r="L404" s="217">
        <f t="shared" si="18"/>
        <v>12960.132664499999</v>
      </c>
      <c r="N404" s="271">
        <f t="shared" si="19"/>
        <v>18792.192363524999</v>
      </c>
      <c r="P404" s="326">
        <f t="shared" si="20"/>
        <v>22738.552759865248</v>
      </c>
    </row>
    <row r="405" spans="1:18">
      <c r="A405" s="206">
        <v>399</v>
      </c>
      <c r="B405" s="184" t="s">
        <v>1195</v>
      </c>
      <c r="C405" s="184" t="s">
        <v>2649</v>
      </c>
      <c r="D405" s="185" t="s">
        <v>2650</v>
      </c>
      <c r="E405" s="186" t="s">
        <v>2651</v>
      </c>
      <c r="F405" s="222">
        <v>7794334243570</v>
      </c>
      <c r="G405" s="223">
        <v>3</v>
      </c>
      <c r="H405" s="5" t="s">
        <v>1191</v>
      </c>
      <c r="I405" s="204">
        <v>5.2</v>
      </c>
      <c r="J405" s="260">
        <v>0.1</v>
      </c>
      <c r="L405" s="217">
        <f t="shared" si="18"/>
        <v>2459.5872209999998</v>
      </c>
      <c r="N405" s="271">
        <f t="shared" si="19"/>
        <v>3566.4014704499996</v>
      </c>
      <c r="P405" s="326">
        <f t="shared" si="20"/>
        <v>4315.3457792444997</v>
      </c>
    </row>
    <row r="406" spans="1:18">
      <c r="A406" s="206">
        <v>400</v>
      </c>
      <c r="B406" s="184" t="s">
        <v>1195</v>
      </c>
      <c r="C406" s="184" t="s">
        <v>2649</v>
      </c>
      <c r="D406" s="185" t="s">
        <v>2652</v>
      </c>
      <c r="E406" s="186" t="s">
        <v>2653</v>
      </c>
      <c r="F406" s="222">
        <v>7794334243587</v>
      </c>
      <c r="G406" s="223">
        <v>3</v>
      </c>
      <c r="H406" s="5" t="s">
        <v>1191</v>
      </c>
      <c r="I406" s="204">
        <v>5.5</v>
      </c>
      <c r="J406" s="260">
        <v>0.1</v>
      </c>
      <c r="L406" s="217">
        <f t="shared" si="18"/>
        <v>2601.4864837499999</v>
      </c>
      <c r="N406" s="271">
        <f t="shared" si="19"/>
        <v>3772.1554014374997</v>
      </c>
      <c r="P406" s="326">
        <f t="shared" si="20"/>
        <v>4564.3080357393746</v>
      </c>
    </row>
    <row r="407" spans="1:18">
      <c r="A407" s="206">
        <v>401</v>
      </c>
      <c r="B407" s="184" t="s">
        <v>1195</v>
      </c>
      <c r="C407" s="184" t="s">
        <v>2649</v>
      </c>
      <c r="D407" s="185" t="s">
        <v>2654</v>
      </c>
      <c r="E407" s="186" t="s">
        <v>2655</v>
      </c>
      <c r="F407" s="222">
        <v>7794334243594</v>
      </c>
      <c r="G407" s="223">
        <v>3</v>
      </c>
      <c r="H407" s="5" t="s">
        <v>1191</v>
      </c>
      <c r="I407" s="204">
        <v>6.1</v>
      </c>
      <c r="J407" s="260">
        <v>0.1</v>
      </c>
      <c r="L407" s="217">
        <f t="shared" si="18"/>
        <v>2885.2850092499993</v>
      </c>
      <c r="N407" s="271">
        <f t="shared" si="19"/>
        <v>4183.663263412499</v>
      </c>
      <c r="P407" s="326">
        <f t="shared" si="20"/>
        <v>5062.2325487291237</v>
      </c>
    </row>
    <row r="408" spans="1:18">
      <c r="A408" s="206">
        <v>402</v>
      </c>
      <c r="B408" s="184" t="s">
        <v>1195</v>
      </c>
      <c r="C408" s="184" t="s">
        <v>2649</v>
      </c>
      <c r="D408" s="185" t="s">
        <v>2656</v>
      </c>
      <c r="E408" s="186" t="s">
        <v>2657</v>
      </c>
      <c r="F408" s="222">
        <v>7794334243600</v>
      </c>
      <c r="G408" s="223">
        <v>3</v>
      </c>
      <c r="H408" s="5" t="s">
        <v>1191</v>
      </c>
      <c r="I408" s="204">
        <v>6.6</v>
      </c>
      <c r="J408" s="260">
        <v>0.1</v>
      </c>
      <c r="L408" s="217">
        <f t="shared" si="18"/>
        <v>3121.7837804999999</v>
      </c>
      <c r="N408" s="271">
        <f t="shared" si="19"/>
        <v>4526.5864817249994</v>
      </c>
      <c r="P408" s="326">
        <f t="shared" si="20"/>
        <v>5477.1696428872492</v>
      </c>
    </row>
    <row r="409" spans="1:18">
      <c r="A409" s="206">
        <v>403</v>
      </c>
      <c r="B409" s="184" t="s">
        <v>1195</v>
      </c>
      <c r="C409" s="184" t="s">
        <v>2649</v>
      </c>
      <c r="D409" s="185" t="s">
        <v>2658</v>
      </c>
      <c r="E409" s="186" t="s">
        <v>2659</v>
      </c>
      <c r="F409" s="222">
        <v>7794334243617</v>
      </c>
      <c r="G409" s="223">
        <v>3</v>
      </c>
      <c r="H409" s="5" t="s">
        <v>1191</v>
      </c>
      <c r="I409" s="204">
        <v>7.2</v>
      </c>
      <c r="J409" s="260">
        <v>0.1</v>
      </c>
      <c r="L409" s="217">
        <f t="shared" si="18"/>
        <v>3405.5823059999998</v>
      </c>
      <c r="N409" s="271">
        <f t="shared" si="19"/>
        <v>4938.0943436999996</v>
      </c>
      <c r="P409" s="326">
        <f t="shared" si="20"/>
        <v>5975.0941558769991</v>
      </c>
    </row>
    <row r="410" spans="1:18">
      <c r="A410" s="206">
        <v>404</v>
      </c>
      <c r="B410" s="175" t="s">
        <v>523</v>
      </c>
      <c r="C410" s="175" t="s">
        <v>2660</v>
      </c>
      <c r="D410" s="3" t="s">
        <v>524</v>
      </c>
      <c r="E410" s="179" t="s">
        <v>525</v>
      </c>
      <c r="F410" s="221">
        <v>7794334000586</v>
      </c>
      <c r="G410" s="216">
        <v>2</v>
      </c>
      <c r="H410" s="5" t="s">
        <v>1191</v>
      </c>
      <c r="I410" s="204">
        <v>16.07</v>
      </c>
      <c r="J410" s="260">
        <v>0.1</v>
      </c>
      <c r="L410" s="217">
        <f t="shared" si="18"/>
        <v>7601.0705079750005</v>
      </c>
      <c r="N410" s="271">
        <f t="shared" si="19"/>
        <v>11021.55223656375</v>
      </c>
      <c r="P410" s="326">
        <f t="shared" si="20"/>
        <v>13336.078206242137</v>
      </c>
    </row>
    <row r="411" spans="1:18">
      <c r="A411" s="206">
        <v>405</v>
      </c>
      <c r="B411" s="175" t="s">
        <v>523</v>
      </c>
      <c r="C411" s="175" t="s">
        <v>2660</v>
      </c>
      <c r="D411" s="3" t="s">
        <v>526</v>
      </c>
      <c r="E411" s="179" t="s">
        <v>527</v>
      </c>
      <c r="F411" s="221">
        <v>7794334000593</v>
      </c>
      <c r="G411" s="216">
        <v>2</v>
      </c>
      <c r="H411" s="5" t="s">
        <v>1191</v>
      </c>
      <c r="I411" s="204">
        <v>17.36</v>
      </c>
      <c r="J411" s="260">
        <v>0.1</v>
      </c>
      <c r="L411" s="217">
        <f t="shared" si="18"/>
        <v>8211.2373377999993</v>
      </c>
      <c r="N411" s="271">
        <f t="shared" si="19"/>
        <v>11906.294139809999</v>
      </c>
      <c r="P411" s="326">
        <f t="shared" si="20"/>
        <v>14406.615909170099</v>
      </c>
    </row>
    <row r="412" spans="1:18">
      <c r="A412" s="206">
        <v>406</v>
      </c>
      <c r="B412" s="175" t="s">
        <v>523</v>
      </c>
      <c r="C412" s="175" t="s">
        <v>2660</v>
      </c>
      <c r="D412" s="3" t="s">
        <v>528</v>
      </c>
      <c r="E412" s="179" t="s">
        <v>529</v>
      </c>
      <c r="F412" s="221">
        <v>7794334000609</v>
      </c>
      <c r="G412" s="216">
        <v>2</v>
      </c>
      <c r="H412" s="5" t="s">
        <v>1191</v>
      </c>
      <c r="I412" s="204">
        <v>18.68</v>
      </c>
      <c r="J412" s="260">
        <v>0.1</v>
      </c>
      <c r="L412" s="217">
        <f t="shared" si="18"/>
        <v>8835.5940939000011</v>
      </c>
      <c r="N412" s="271">
        <f t="shared" si="19"/>
        <v>12811.611436155001</v>
      </c>
      <c r="P412" s="326">
        <f t="shared" si="20"/>
        <v>15502.049837747551</v>
      </c>
    </row>
    <row r="413" spans="1:18">
      <c r="A413" s="206">
        <v>407</v>
      </c>
      <c r="B413" s="175" t="s">
        <v>523</v>
      </c>
      <c r="C413" s="175" t="s">
        <v>2660</v>
      </c>
      <c r="D413" s="3" t="s">
        <v>530</v>
      </c>
      <c r="E413" s="179" t="s">
        <v>531</v>
      </c>
      <c r="F413" s="221">
        <v>7794334000616</v>
      </c>
      <c r="G413" s="216">
        <v>2</v>
      </c>
      <c r="H413" s="5" t="s">
        <v>1191</v>
      </c>
      <c r="I413" s="204">
        <v>20.25</v>
      </c>
      <c r="J413" s="260">
        <v>0.1</v>
      </c>
      <c r="L413" s="217">
        <f t="shared" si="18"/>
        <v>9578.2002356249996</v>
      </c>
      <c r="N413" s="271">
        <f t="shared" si="19"/>
        <v>13888.39034165625</v>
      </c>
      <c r="P413" s="326">
        <f t="shared" si="20"/>
        <v>16804.952313404061</v>
      </c>
    </row>
    <row r="414" spans="1:18">
      <c r="A414" s="206">
        <v>408</v>
      </c>
      <c r="B414" s="175" t="s">
        <v>523</v>
      </c>
      <c r="C414" s="175" t="s">
        <v>2660</v>
      </c>
      <c r="D414" s="3" t="s">
        <v>532</v>
      </c>
      <c r="E414" s="179" t="s">
        <v>533</v>
      </c>
      <c r="F414" s="221">
        <v>7794334000623</v>
      </c>
      <c r="G414" s="216">
        <v>2</v>
      </c>
      <c r="H414" s="5" t="s">
        <v>1191</v>
      </c>
      <c r="I414" s="204">
        <v>6.21</v>
      </c>
      <c r="J414" s="260">
        <v>0.1</v>
      </c>
      <c r="L414" s="217">
        <f t="shared" si="18"/>
        <v>2937.3147389249998</v>
      </c>
      <c r="N414" s="271">
        <f t="shared" si="19"/>
        <v>4259.1063714412494</v>
      </c>
      <c r="P414" s="326">
        <f t="shared" si="20"/>
        <v>5153.5187094439116</v>
      </c>
    </row>
    <row r="415" spans="1:18">
      <c r="A415" s="206">
        <v>409</v>
      </c>
      <c r="B415" s="175" t="s">
        <v>523</v>
      </c>
      <c r="C415" s="175" t="s">
        <v>2660</v>
      </c>
      <c r="D415" s="3" t="s">
        <v>534</v>
      </c>
      <c r="E415" s="179" t="s">
        <v>535</v>
      </c>
      <c r="F415" s="221">
        <v>7794334000630</v>
      </c>
      <c r="G415" s="216">
        <v>2</v>
      </c>
      <c r="H415" s="5" t="s">
        <v>1191</v>
      </c>
      <c r="I415" s="204">
        <v>7.52</v>
      </c>
      <c r="J415" s="260">
        <v>0.1</v>
      </c>
      <c r="L415" s="217">
        <f t="shared" si="18"/>
        <v>3556.9415196</v>
      </c>
      <c r="N415" s="271">
        <f t="shared" si="19"/>
        <v>5157.5652034200002</v>
      </c>
      <c r="P415" s="326">
        <f t="shared" si="20"/>
        <v>6240.6538961382003</v>
      </c>
    </row>
    <row r="416" spans="1:18">
      <c r="A416" s="206">
        <v>410</v>
      </c>
      <c r="B416" s="175" t="s">
        <v>523</v>
      </c>
      <c r="C416" s="175" t="s">
        <v>2660</v>
      </c>
      <c r="D416" s="3" t="s">
        <v>536</v>
      </c>
      <c r="E416" s="179" t="s">
        <v>537</v>
      </c>
      <c r="F416" s="221">
        <v>7794334000647</v>
      </c>
      <c r="G416" s="216">
        <v>2</v>
      </c>
      <c r="H416" s="5" t="s">
        <v>1191</v>
      </c>
      <c r="I416" s="204">
        <v>9.24</v>
      </c>
      <c r="J416" s="260">
        <v>0.1</v>
      </c>
      <c r="L416" s="217">
        <f t="shared" si="18"/>
        <v>4370.4972926999999</v>
      </c>
      <c r="N416" s="271">
        <f t="shared" si="19"/>
        <v>6337.2210744149997</v>
      </c>
      <c r="P416" s="326">
        <f t="shared" si="20"/>
        <v>7668.0375000421491</v>
      </c>
    </row>
    <row r="417" spans="1:16">
      <c r="A417" s="206">
        <v>411</v>
      </c>
      <c r="B417" s="175" t="s">
        <v>523</v>
      </c>
      <c r="C417" s="175" t="s">
        <v>2660</v>
      </c>
      <c r="D417" s="3" t="s">
        <v>538</v>
      </c>
      <c r="E417" s="179" t="s">
        <v>539</v>
      </c>
      <c r="F417" s="221">
        <v>7794334000654</v>
      </c>
      <c r="G417" s="216">
        <v>2</v>
      </c>
      <c r="H417" s="5" t="s">
        <v>1191</v>
      </c>
      <c r="I417" s="204">
        <v>10.92</v>
      </c>
      <c r="J417" s="260">
        <v>0.1</v>
      </c>
      <c r="L417" s="217">
        <f t="shared" si="18"/>
        <v>5165.1331640999997</v>
      </c>
      <c r="N417" s="271">
        <f t="shared" si="19"/>
        <v>7489.4430879449992</v>
      </c>
      <c r="P417" s="326">
        <f t="shared" si="20"/>
        <v>9062.2261364134483</v>
      </c>
    </row>
    <row r="418" spans="1:16">
      <c r="A418" s="206">
        <v>412</v>
      </c>
      <c r="B418" s="175" t="s">
        <v>523</v>
      </c>
      <c r="C418" s="175" t="s">
        <v>2660</v>
      </c>
      <c r="D418" s="3" t="s">
        <v>540</v>
      </c>
      <c r="E418" s="179" t="s">
        <v>541</v>
      </c>
      <c r="F418" s="221">
        <v>7794334000661</v>
      </c>
      <c r="G418" s="216">
        <v>2</v>
      </c>
      <c r="H418" s="5" t="s">
        <v>1191</v>
      </c>
      <c r="I418" s="204">
        <v>11.6</v>
      </c>
      <c r="J418" s="260">
        <v>0.1</v>
      </c>
      <c r="L418" s="217">
        <f t="shared" si="18"/>
        <v>5486.7714929999993</v>
      </c>
      <c r="N418" s="271">
        <f t="shared" si="19"/>
        <v>7955.8186648499986</v>
      </c>
      <c r="P418" s="326">
        <f t="shared" si="20"/>
        <v>9626.5405844684974</v>
      </c>
    </row>
    <row r="419" spans="1:16">
      <c r="A419" s="206">
        <v>413</v>
      </c>
      <c r="B419" s="175" t="s">
        <v>523</v>
      </c>
      <c r="C419" s="175" t="s">
        <v>2660</v>
      </c>
      <c r="D419" s="3" t="s">
        <v>542</v>
      </c>
      <c r="E419" s="179" t="s">
        <v>543</v>
      </c>
      <c r="F419" s="221">
        <v>7794334000678</v>
      </c>
      <c r="G419" s="216">
        <v>2</v>
      </c>
      <c r="H419" s="5" t="s">
        <v>1191</v>
      </c>
      <c r="I419" s="204">
        <v>12.91</v>
      </c>
      <c r="J419" s="260">
        <v>0.1</v>
      </c>
      <c r="L419" s="217">
        <f t="shared" si="18"/>
        <v>6106.3982736750004</v>
      </c>
      <c r="N419" s="271">
        <f t="shared" si="19"/>
        <v>8854.2774968287504</v>
      </c>
      <c r="P419" s="326">
        <f t="shared" si="20"/>
        <v>10713.675771162787</v>
      </c>
    </row>
    <row r="420" spans="1:16">
      <c r="A420" s="206">
        <v>414</v>
      </c>
      <c r="B420" s="175" t="s">
        <v>523</v>
      </c>
      <c r="C420" s="175" t="s">
        <v>2660</v>
      </c>
      <c r="D420" s="3" t="s">
        <v>544</v>
      </c>
      <c r="E420" s="179" t="s">
        <v>545</v>
      </c>
      <c r="F420" s="221">
        <v>7794334000920</v>
      </c>
      <c r="G420" s="216">
        <v>2</v>
      </c>
      <c r="H420" s="5" t="s">
        <v>1191</v>
      </c>
      <c r="I420" s="204">
        <v>18.940000000000001</v>
      </c>
      <c r="J420" s="260">
        <v>0.1</v>
      </c>
      <c r="L420" s="217">
        <f t="shared" si="18"/>
        <v>8958.5734549499994</v>
      </c>
      <c r="N420" s="271">
        <f t="shared" si="19"/>
        <v>12989.931509677499</v>
      </c>
      <c r="P420" s="326">
        <f t="shared" si="20"/>
        <v>15717.817126709773</v>
      </c>
    </row>
    <row r="421" spans="1:16">
      <c r="A421" s="206">
        <v>415</v>
      </c>
      <c r="B421" s="175" t="s">
        <v>523</v>
      </c>
      <c r="C421" s="175" t="s">
        <v>2660</v>
      </c>
      <c r="D421" s="3" t="s">
        <v>546</v>
      </c>
      <c r="E421" s="179" t="s">
        <v>547</v>
      </c>
      <c r="F421" s="221">
        <v>7794334001156</v>
      </c>
      <c r="G421" s="216">
        <v>2</v>
      </c>
      <c r="H421" s="5" t="s">
        <v>1191</v>
      </c>
      <c r="I421" s="204">
        <v>20.25</v>
      </c>
      <c r="J421" s="260">
        <v>0.1</v>
      </c>
      <c r="L421" s="217">
        <f t="shared" si="18"/>
        <v>9578.2002356249996</v>
      </c>
      <c r="N421" s="271">
        <f t="shared" si="19"/>
        <v>13888.39034165625</v>
      </c>
      <c r="P421" s="326">
        <f t="shared" si="20"/>
        <v>16804.952313404061</v>
      </c>
    </row>
    <row r="422" spans="1:16">
      <c r="A422" s="206">
        <v>416</v>
      </c>
      <c r="B422" s="175" t="s">
        <v>523</v>
      </c>
      <c r="C422" s="175" t="s">
        <v>2660</v>
      </c>
      <c r="D422" s="3" t="s">
        <v>548</v>
      </c>
      <c r="E422" s="179" t="s">
        <v>549</v>
      </c>
      <c r="F422" s="221">
        <v>7794334000685</v>
      </c>
      <c r="G422" s="216">
        <v>2</v>
      </c>
      <c r="H422" s="5" t="s">
        <v>1191</v>
      </c>
      <c r="I422" s="204">
        <v>8.83</v>
      </c>
      <c r="J422" s="260">
        <v>0.1</v>
      </c>
      <c r="L422" s="217">
        <f t="shared" si="18"/>
        <v>4176.5683002749993</v>
      </c>
      <c r="N422" s="271">
        <f t="shared" si="19"/>
        <v>6056.0240353987483</v>
      </c>
      <c r="P422" s="326">
        <f t="shared" si="20"/>
        <v>7327.7890828324853</v>
      </c>
    </row>
    <row r="423" spans="1:16">
      <c r="A423" s="206">
        <v>417</v>
      </c>
      <c r="B423" s="175" t="s">
        <v>523</v>
      </c>
      <c r="C423" s="175" t="s">
        <v>2660</v>
      </c>
      <c r="D423" s="3" t="s">
        <v>550</v>
      </c>
      <c r="E423" s="179" t="s">
        <v>551</v>
      </c>
      <c r="F423" s="221">
        <v>7794334000913</v>
      </c>
      <c r="G423" s="216">
        <v>2</v>
      </c>
      <c r="H423" s="5" t="s">
        <v>1191</v>
      </c>
      <c r="I423" s="204">
        <v>13.84</v>
      </c>
      <c r="J423" s="260">
        <v>0.1</v>
      </c>
      <c r="L423" s="217">
        <f t="shared" si="18"/>
        <v>6546.2859881999993</v>
      </c>
      <c r="N423" s="271">
        <f t="shared" si="19"/>
        <v>9492.1146828899982</v>
      </c>
      <c r="P423" s="326">
        <f t="shared" si="20"/>
        <v>11485.458766296897</v>
      </c>
    </row>
    <row r="424" spans="1:16">
      <c r="A424" s="206">
        <v>418</v>
      </c>
      <c r="B424" s="175" t="s">
        <v>523</v>
      </c>
      <c r="C424" s="175" t="s">
        <v>2660</v>
      </c>
      <c r="D424" s="3" t="s">
        <v>552</v>
      </c>
      <c r="E424" s="179" t="s">
        <v>553</v>
      </c>
      <c r="F424" s="221">
        <v>7794334000692</v>
      </c>
      <c r="G424" s="216">
        <v>2</v>
      </c>
      <c r="H424" s="5" t="s">
        <v>1191</v>
      </c>
      <c r="I424" s="204">
        <v>4.66</v>
      </c>
      <c r="J424" s="260">
        <v>0.1</v>
      </c>
      <c r="L424" s="217">
        <f t="shared" si="18"/>
        <v>2204.1685480500005</v>
      </c>
      <c r="N424" s="271">
        <f t="shared" si="19"/>
        <v>3196.0443946725004</v>
      </c>
      <c r="P424" s="326">
        <f t="shared" si="20"/>
        <v>3867.2137175537255</v>
      </c>
    </row>
    <row r="425" spans="1:16">
      <c r="A425" s="206">
        <v>419</v>
      </c>
      <c r="B425" s="175" t="s">
        <v>523</v>
      </c>
      <c r="C425" s="175" t="s">
        <v>2661</v>
      </c>
      <c r="D425" s="3" t="s">
        <v>554</v>
      </c>
      <c r="E425" s="179" t="s">
        <v>555</v>
      </c>
      <c r="F425" s="221">
        <v>7794334009732</v>
      </c>
      <c r="G425" s="216">
        <v>2</v>
      </c>
      <c r="H425" s="5" t="s">
        <v>1191</v>
      </c>
      <c r="I425" s="204">
        <v>28.53</v>
      </c>
      <c r="J425" s="260">
        <v>0.1</v>
      </c>
      <c r="L425" s="217">
        <f t="shared" si="18"/>
        <v>13494.619887524999</v>
      </c>
      <c r="N425" s="271">
        <f t="shared" si="19"/>
        <v>19567.198836911248</v>
      </c>
      <c r="P425" s="326">
        <f t="shared" si="20"/>
        <v>23676.310592662609</v>
      </c>
    </row>
    <row r="426" spans="1:16">
      <c r="A426" s="206">
        <v>420</v>
      </c>
      <c r="B426" s="175" t="s">
        <v>523</v>
      </c>
      <c r="C426" s="175" t="s">
        <v>2661</v>
      </c>
      <c r="D426" s="3" t="s">
        <v>556</v>
      </c>
      <c r="E426" s="179" t="s">
        <v>557</v>
      </c>
      <c r="F426" s="221">
        <v>7794334009749</v>
      </c>
      <c r="G426" s="216">
        <v>2</v>
      </c>
      <c r="H426" s="5" t="s">
        <v>1191</v>
      </c>
      <c r="I426" s="204">
        <v>31.14</v>
      </c>
      <c r="J426" s="260">
        <v>0.1</v>
      </c>
      <c r="L426" s="217">
        <f t="shared" si="18"/>
        <v>14729.143473450002</v>
      </c>
      <c r="N426" s="271">
        <f t="shared" si="19"/>
        <v>21357.258036502502</v>
      </c>
      <c r="P426" s="326">
        <f t="shared" si="20"/>
        <v>25842.282224168026</v>
      </c>
    </row>
    <row r="427" spans="1:16">
      <c r="A427" s="206">
        <v>421</v>
      </c>
      <c r="B427" s="175" t="s">
        <v>523</v>
      </c>
      <c r="C427" s="175" t="s">
        <v>2661</v>
      </c>
      <c r="D427" s="3" t="s">
        <v>558</v>
      </c>
      <c r="E427" s="179" t="s">
        <v>559</v>
      </c>
      <c r="F427" s="221">
        <v>7794334009756</v>
      </c>
      <c r="G427" s="216">
        <v>2</v>
      </c>
      <c r="H427" s="5" t="s">
        <v>1191</v>
      </c>
      <c r="I427" s="204">
        <v>33.89</v>
      </c>
      <c r="J427" s="260">
        <v>0.1</v>
      </c>
      <c r="L427" s="217">
        <f t="shared" si="18"/>
        <v>16029.886715324999</v>
      </c>
      <c r="N427" s="271">
        <f t="shared" si="19"/>
        <v>23243.335737221249</v>
      </c>
      <c r="P427" s="326">
        <f t="shared" si="20"/>
        <v>28124.436242037711</v>
      </c>
    </row>
    <row r="428" spans="1:16">
      <c r="A428" s="206">
        <v>422</v>
      </c>
      <c r="B428" s="175" t="s">
        <v>523</v>
      </c>
      <c r="C428" s="175" t="s">
        <v>2661</v>
      </c>
      <c r="D428" s="3" t="s">
        <v>560</v>
      </c>
      <c r="E428" s="179" t="s">
        <v>561</v>
      </c>
      <c r="F428" s="221">
        <v>7794334009763</v>
      </c>
      <c r="G428" s="216">
        <v>2</v>
      </c>
      <c r="H428" s="5" t="s">
        <v>1191</v>
      </c>
      <c r="I428" s="204">
        <v>37.65</v>
      </c>
      <c r="J428" s="260">
        <v>0.1</v>
      </c>
      <c r="L428" s="217">
        <f t="shared" si="18"/>
        <v>17808.357475125002</v>
      </c>
      <c r="N428" s="271">
        <f t="shared" si="19"/>
        <v>25822.11833893125</v>
      </c>
      <c r="P428" s="326">
        <f t="shared" si="20"/>
        <v>31244.763190106813</v>
      </c>
    </row>
    <row r="429" spans="1:16">
      <c r="A429" s="206">
        <v>423</v>
      </c>
      <c r="B429" s="175" t="s">
        <v>523</v>
      </c>
      <c r="C429" s="175" t="s">
        <v>2661</v>
      </c>
      <c r="D429" s="3" t="s">
        <v>562</v>
      </c>
      <c r="E429" s="179" t="s">
        <v>563</v>
      </c>
      <c r="F429" s="221">
        <v>7794334009619</v>
      </c>
      <c r="G429" s="216">
        <v>2</v>
      </c>
      <c r="H429" s="5" t="s">
        <v>1191</v>
      </c>
      <c r="I429" s="204">
        <v>10.59</v>
      </c>
      <c r="J429" s="260">
        <v>0.1</v>
      </c>
      <c r="L429" s="217">
        <f t="shared" si="18"/>
        <v>5009.0439750749993</v>
      </c>
      <c r="N429" s="271">
        <f t="shared" si="19"/>
        <v>7263.1137638587488</v>
      </c>
      <c r="P429" s="326">
        <f t="shared" si="20"/>
        <v>8788.3676542690864</v>
      </c>
    </row>
    <row r="430" spans="1:16">
      <c r="A430" s="206">
        <v>424</v>
      </c>
      <c r="B430" s="175" t="s">
        <v>523</v>
      </c>
      <c r="C430" s="175" t="s">
        <v>2661</v>
      </c>
      <c r="D430" s="3" t="s">
        <v>564</v>
      </c>
      <c r="E430" s="179" t="s">
        <v>565</v>
      </c>
      <c r="F430" s="221">
        <v>7794334009626</v>
      </c>
      <c r="G430" s="216">
        <v>2</v>
      </c>
      <c r="H430" s="5" t="s">
        <v>1191</v>
      </c>
      <c r="I430" s="204">
        <v>13.42</v>
      </c>
      <c r="J430" s="260">
        <v>0.1</v>
      </c>
      <c r="L430" s="217">
        <f t="shared" si="18"/>
        <v>6347.6270203499998</v>
      </c>
      <c r="N430" s="271">
        <f t="shared" si="19"/>
        <v>9204.0591795074997</v>
      </c>
      <c r="P430" s="326">
        <f t="shared" si="20"/>
        <v>11136.911607204074</v>
      </c>
    </row>
    <row r="431" spans="1:16">
      <c r="A431" s="206">
        <v>425</v>
      </c>
      <c r="B431" s="175" t="s">
        <v>523</v>
      </c>
      <c r="C431" s="175" t="s">
        <v>2661</v>
      </c>
      <c r="D431" s="3" t="s">
        <v>566</v>
      </c>
      <c r="E431" s="179" t="s">
        <v>567</v>
      </c>
      <c r="F431" s="221">
        <v>7794334009633</v>
      </c>
      <c r="G431" s="216">
        <v>2</v>
      </c>
      <c r="H431" s="5" t="s">
        <v>1191</v>
      </c>
      <c r="I431" s="204">
        <v>16.739999999999998</v>
      </c>
      <c r="J431" s="260">
        <v>0.1</v>
      </c>
      <c r="L431" s="217">
        <f t="shared" si="18"/>
        <v>7917.9788614499976</v>
      </c>
      <c r="N431" s="271">
        <f t="shared" si="19"/>
        <v>11481.069349102496</v>
      </c>
      <c r="P431" s="326">
        <f t="shared" si="20"/>
        <v>13892.09391241402</v>
      </c>
    </row>
    <row r="432" spans="1:16">
      <c r="A432" s="206">
        <v>426</v>
      </c>
      <c r="B432" s="175" t="s">
        <v>523</v>
      </c>
      <c r="C432" s="175" t="s">
        <v>2661</v>
      </c>
      <c r="D432" s="3" t="s">
        <v>568</v>
      </c>
      <c r="E432" s="179" t="s">
        <v>569</v>
      </c>
      <c r="F432" s="221">
        <v>7794334009640</v>
      </c>
      <c r="G432" s="216">
        <v>2</v>
      </c>
      <c r="H432" s="5" t="s">
        <v>1191</v>
      </c>
      <c r="I432" s="204">
        <v>20.7</v>
      </c>
      <c r="J432" s="260">
        <v>0.1</v>
      </c>
      <c r="L432" s="217">
        <f t="shared" si="18"/>
        <v>9791.0491297499993</v>
      </c>
      <c r="N432" s="271">
        <f t="shared" si="19"/>
        <v>14197.021238137499</v>
      </c>
      <c r="P432" s="326">
        <f t="shared" si="20"/>
        <v>17178.395698146374</v>
      </c>
    </row>
    <row r="433" spans="1:16">
      <c r="A433" s="206">
        <v>427</v>
      </c>
      <c r="B433" s="175" t="s">
        <v>523</v>
      </c>
      <c r="C433" s="175" t="s">
        <v>2661</v>
      </c>
      <c r="D433" s="3" t="s">
        <v>570</v>
      </c>
      <c r="E433" s="179" t="s">
        <v>571</v>
      </c>
      <c r="F433" s="221">
        <v>7794334009657</v>
      </c>
      <c r="G433" s="216">
        <v>2</v>
      </c>
      <c r="H433" s="5" t="s">
        <v>1191</v>
      </c>
      <c r="I433" s="204">
        <v>22.18</v>
      </c>
      <c r="J433" s="260">
        <v>0.1</v>
      </c>
      <c r="L433" s="217">
        <f t="shared" si="18"/>
        <v>10491.08549265</v>
      </c>
      <c r="N433" s="271">
        <f t="shared" si="19"/>
        <v>15212.073964342499</v>
      </c>
      <c r="P433" s="326">
        <f t="shared" si="20"/>
        <v>18406.609496854424</v>
      </c>
    </row>
    <row r="434" spans="1:16">
      <c r="A434" s="206">
        <v>428</v>
      </c>
      <c r="B434" s="175" t="s">
        <v>523</v>
      </c>
      <c r="C434" s="175" t="s">
        <v>2661</v>
      </c>
      <c r="D434" s="3" t="s">
        <v>572</v>
      </c>
      <c r="E434" s="179" t="s">
        <v>573</v>
      </c>
      <c r="F434" s="221">
        <v>7794334009664</v>
      </c>
      <c r="G434" s="216">
        <v>2</v>
      </c>
      <c r="H434" s="5" t="s">
        <v>1191</v>
      </c>
      <c r="I434" s="204">
        <v>24.67</v>
      </c>
      <c r="J434" s="260">
        <v>0.1</v>
      </c>
      <c r="L434" s="217">
        <f t="shared" si="18"/>
        <v>11668.849373474999</v>
      </c>
      <c r="N434" s="271">
        <f t="shared" si="19"/>
        <v>16919.831591538747</v>
      </c>
      <c r="P434" s="326">
        <f t="shared" si="20"/>
        <v>20472.996225761883</v>
      </c>
    </row>
    <row r="435" spans="1:16">
      <c r="A435" s="206">
        <v>429</v>
      </c>
      <c r="B435" s="175" t="s">
        <v>523</v>
      </c>
      <c r="C435" s="175" t="s">
        <v>2661</v>
      </c>
      <c r="D435" s="3" t="s">
        <v>574</v>
      </c>
      <c r="E435" s="179" t="s">
        <v>575</v>
      </c>
      <c r="F435" s="221">
        <v>7794334009671</v>
      </c>
      <c r="G435" s="216">
        <v>2</v>
      </c>
      <c r="H435" s="5" t="s">
        <v>1191</v>
      </c>
      <c r="I435" s="204">
        <v>31.32</v>
      </c>
      <c r="J435" s="260">
        <v>0.1</v>
      </c>
      <c r="L435" s="217">
        <f t="shared" si="18"/>
        <v>14814.283031099998</v>
      </c>
      <c r="N435" s="271">
        <f t="shared" si="19"/>
        <v>21480.710395094997</v>
      </c>
      <c r="P435" s="326">
        <f t="shared" si="20"/>
        <v>25991.659578064944</v>
      </c>
    </row>
    <row r="436" spans="1:16">
      <c r="A436" s="206">
        <v>430</v>
      </c>
      <c r="B436" s="175" t="s">
        <v>523</v>
      </c>
      <c r="C436" s="175" t="s">
        <v>2661</v>
      </c>
      <c r="D436" s="3" t="s">
        <v>576</v>
      </c>
      <c r="E436" s="179" t="s">
        <v>577</v>
      </c>
      <c r="F436" s="221">
        <v>7794334009688</v>
      </c>
      <c r="G436" s="216">
        <v>2</v>
      </c>
      <c r="H436" s="5" t="s">
        <v>1191</v>
      </c>
      <c r="I436" s="204">
        <v>35.869999999999997</v>
      </c>
      <c r="J436" s="260">
        <v>0.1</v>
      </c>
      <c r="L436" s="217">
        <f t="shared" si="18"/>
        <v>16966.421849474998</v>
      </c>
      <c r="N436" s="271">
        <f t="shared" si="19"/>
        <v>24601.311681738745</v>
      </c>
      <c r="P436" s="326">
        <f t="shared" si="20"/>
        <v>29767.587134903883</v>
      </c>
    </row>
    <row r="437" spans="1:16">
      <c r="A437" s="206">
        <v>431</v>
      </c>
      <c r="B437" s="175" t="s">
        <v>523</v>
      </c>
      <c r="C437" s="175" t="s">
        <v>2661</v>
      </c>
      <c r="D437" s="3" t="s">
        <v>578</v>
      </c>
      <c r="E437" s="179" t="s">
        <v>579</v>
      </c>
      <c r="F437" s="221">
        <v>7794334009695</v>
      </c>
      <c r="G437" s="216">
        <v>2</v>
      </c>
      <c r="H437" s="5" t="s">
        <v>1191</v>
      </c>
      <c r="I437" s="204">
        <v>19.2</v>
      </c>
      <c r="J437" s="260">
        <v>0.1</v>
      </c>
      <c r="L437" s="217">
        <f t="shared" si="18"/>
        <v>9081.5528159999994</v>
      </c>
      <c r="N437" s="271">
        <f t="shared" si="19"/>
        <v>13168.251583199999</v>
      </c>
      <c r="P437" s="326">
        <f t="shared" si="20"/>
        <v>15933.584415671998</v>
      </c>
    </row>
    <row r="438" spans="1:16">
      <c r="A438" s="206">
        <v>432</v>
      </c>
      <c r="B438" s="175" t="s">
        <v>523</v>
      </c>
      <c r="C438" s="175" t="s">
        <v>2661</v>
      </c>
      <c r="D438" s="3" t="s">
        <v>580</v>
      </c>
      <c r="E438" s="179" t="s">
        <v>581</v>
      </c>
      <c r="F438" s="221">
        <v>7794334009701</v>
      </c>
      <c r="G438" s="216">
        <v>2</v>
      </c>
      <c r="H438" s="5" t="s">
        <v>1191</v>
      </c>
      <c r="I438" s="204">
        <v>21.92</v>
      </c>
      <c r="J438" s="260">
        <v>0.1</v>
      </c>
      <c r="L438" s="217">
        <f t="shared" si="18"/>
        <v>10368.1061316</v>
      </c>
      <c r="N438" s="271">
        <f t="shared" si="19"/>
        <v>15033.753890819999</v>
      </c>
      <c r="P438" s="326">
        <f t="shared" si="20"/>
        <v>18190.842207892198</v>
      </c>
    </row>
    <row r="439" spans="1:16">
      <c r="A439" s="206">
        <v>433</v>
      </c>
      <c r="B439" s="175" t="s">
        <v>523</v>
      </c>
      <c r="C439" s="175" t="s">
        <v>2662</v>
      </c>
      <c r="D439" s="3" t="s">
        <v>582</v>
      </c>
      <c r="E439" s="179" t="s">
        <v>583</v>
      </c>
      <c r="F439" s="221">
        <v>7794334009527</v>
      </c>
      <c r="G439" s="216">
        <v>2</v>
      </c>
      <c r="H439" s="5" t="s">
        <v>1191</v>
      </c>
      <c r="I439" s="204">
        <v>7.62</v>
      </c>
      <c r="J439" s="260">
        <v>0.1</v>
      </c>
      <c r="L439" s="217">
        <f t="shared" si="18"/>
        <v>3604.2412738500002</v>
      </c>
      <c r="N439" s="271">
        <f t="shared" si="19"/>
        <v>5226.1498470824999</v>
      </c>
      <c r="P439" s="326">
        <f t="shared" si="20"/>
        <v>6323.6413149698246</v>
      </c>
    </row>
    <row r="440" spans="1:16">
      <c r="A440" s="206">
        <v>434</v>
      </c>
      <c r="B440" s="175" t="s">
        <v>523</v>
      </c>
      <c r="C440" s="175" t="s">
        <v>2662</v>
      </c>
      <c r="D440" s="3" t="s">
        <v>584</v>
      </c>
      <c r="E440" s="179" t="s">
        <v>585</v>
      </c>
      <c r="F440" s="221">
        <v>7794334009534</v>
      </c>
      <c r="G440" s="216">
        <v>2</v>
      </c>
      <c r="H440" s="5" t="s">
        <v>1191</v>
      </c>
      <c r="I440" s="204">
        <v>12.01</v>
      </c>
      <c r="J440" s="260">
        <v>0.1</v>
      </c>
      <c r="L440" s="217">
        <f t="shared" si="18"/>
        <v>5680.7004854250008</v>
      </c>
      <c r="N440" s="271">
        <f t="shared" si="19"/>
        <v>8237.015703866251</v>
      </c>
      <c r="P440" s="326">
        <f t="shared" si="20"/>
        <v>9966.7890016781639</v>
      </c>
    </row>
    <row r="441" spans="1:16">
      <c r="A441" s="206">
        <v>435</v>
      </c>
      <c r="B441" s="175" t="s">
        <v>523</v>
      </c>
      <c r="C441" s="175" t="s">
        <v>2662</v>
      </c>
      <c r="D441" s="3" t="s">
        <v>586</v>
      </c>
      <c r="E441" s="179" t="s">
        <v>587</v>
      </c>
      <c r="F441" s="221">
        <v>7794334000012</v>
      </c>
      <c r="G441" s="216">
        <v>2</v>
      </c>
      <c r="H441" s="5" t="s">
        <v>1191</v>
      </c>
      <c r="I441" s="204">
        <v>5.69</v>
      </c>
      <c r="J441" s="260">
        <v>0.1</v>
      </c>
      <c r="L441" s="217">
        <f t="shared" si="18"/>
        <v>2691.3560168250001</v>
      </c>
      <c r="N441" s="271">
        <f t="shared" si="19"/>
        <v>3902.4662243962498</v>
      </c>
      <c r="P441" s="326">
        <f t="shared" si="20"/>
        <v>4721.9841315194617</v>
      </c>
    </row>
    <row r="442" spans="1:16">
      <c r="A442" s="206">
        <v>436</v>
      </c>
      <c r="B442" s="175" t="s">
        <v>523</v>
      </c>
      <c r="C442" s="175" t="s">
        <v>2662</v>
      </c>
      <c r="D442" s="3" t="s">
        <v>588</v>
      </c>
      <c r="E442" s="179" t="s">
        <v>589</v>
      </c>
      <c r="F442" s="221">
        <v>7794334000029</v>
      </c>
      <c r="G442" s="216">
        <v>2</v>
      </c>
      <c r="H442" s="5" t="s">
        <v>1191</v>
      </c>
      <c r="I442" s="204">
        <v>5.81</v>
      </c>
      <c r="J442" s="260">
        <v>0.1</v>
      </c>
      <c r="L442" s="217">
        <f t="shared" si="18"/>
        <v>2748.1157219249994</v>
      </c>
      <c r="N442" s="271">
        <f t="shared" si="19"/>
        <v>3984.7677967912491</v>
      </c>
      <c r="P442" s="326">
        <f t="shared" si="20"/>
        <v>4821.5690341174113</v>
      </c>
    </row>
    <row r="443" spans="1:16">
      <c r="A443" s="206">
        <v>437</v>
      </c>
      <c r="B443" s="175" t="s">
        <v>523</v>
      </c>
      <c r="C443" s="175" t="s">
        <v>2662</v>
      </c>
      <c r="D443" s="3" t="s">
        <v>590</v>
      </c>
      <c r="E443" s="179" t="s">
        <v>591</v>
      </c>
      <c r="F443" s="221">
        <v>7794334000036</v>
      </c>
      <c r="G443" s="216">
        <v>2</v>
      </c>
      <c r="H443" s="5" t="s">
        <v>1191</v>
      </c>
      <c r="I443" s="204">
        <v>6.06</v>
      </c>
      <c r="J443" s="260">
        <v>0.1</v>
      </c>
      <c r="L443" s="217">
        <f t="shared" si="18"/>
        <v>2866.3651075499997</v>
      </c>
      <c r="N443" s="271">
        <f t="shared" si="19"/>
        <v>4156.2294059474998</v>
      </c>
      <c r="P443" s="326">
        <f t="shared" si="20"/>
        <v>5029.037581196475</v>
      </c>
    </row>
    <row r="444" spans="1:16">
      <c r="A444" s="206">
        <v>438</v>
      </c>
      <c r="B444" s="175" t="s">
        <v>523</v>
      </c>
      <c r="C444" s="175" t="s">
        <v>2662</v>
      </c>
      <c r="D444" s="3" t="s">
        <v>592</v>
      </c>
      <c r="E444" s="179" t="s">
        <v>593</v>
      </c>
      <c r="F444" s="221">
        <v>7794334000418</v>
      </c>
      <c r="G444" s="216">
        <v>2</v>
      </c>
      <c r="H444" s="5" t="s">
        <v>1191</v>
      </c>
      <c r="I444" s="204">
        <v>6.5</v>
      </c>
      <c r="J444" s="260">
        <v>0.1</v>
      </c>
      <c r="L444" s="217">
        <f t="shared" si="18"/>
        <v>3074.4840262500002</v>
      </c>
      <c r="N444" s="271">
        <f t="shared" si="19"/>
        <v>4458.0018380624997</v>
      </c>
      <c r="P444" s="326">
        <f t="shared" si="20"/>
        <v>5394.1822240556248</v>
      </c>
    </row>
    <row r="445" spans="1:16">
      <c r="A445" s="206">
        <v>439</v>
      </c>
      <c r="B445" s="175" t="s">
        <v>523</v>
      </c>
      <c r="C445" s="175" t="s">
        <v>2662</v>
      </c>
      <c r="D445" s="3" t="s">
        <v>594</v>
      </c>
      <c r="E445" s="179" t="s">
        <v>595</v>
      </c>
      <c r="F445" s="221">
        <v>7794334000425</v>
      </c>
      <c r="G445" s="216">
        <v>2</v>
      </c>
      <c r="H445" s="5" t="s">
        <v>1191</v>
      </c>
      <c r="I445" s="204">
        <v>6.64</v>
      </c>
      <c r="J445" s="260">
        <v>0.1</v>
      </c>
      <c r="L445" s="217">
        <f t="shared" si="18"/>
        <v>3140.7036821999995</v>
      </c>
      <c r="N445" s="271">
        <f t="shared" si="19"/>
        <v>4554.0203391899995</v>
      </c>
      <c r="P445" s="326">
        <f t="shared" si="20"/>
        <v>5510.3646104198997</v>
      </c>
    </row>
    <row r="446" spans="1:16">
      <c r="A446" s="206">
        <v>440</v>
      </c>
      <c r="B446" s="175" t="s">
        <v>523</v>
      </c>
      <c r="C446" s="175" t="s">
        <v>2662</v>
      </c>
      <c r="D446" s="3" t="s">
        <v>596</v>
      </c>
      <c r="E446" s="179" t="s">
        <v>597</v>
      </c>
      <c r="F446" s="221">
        <v>7794334000432</v>
      </c>
      <c r="G446" s="216">
        <v>2</v>
      </c>
      <c r="H446" s="5" t="s">
        <v>1191</v>
      </c>
      <c r="I446" s="204">
        <v>7.08</v>
      </c>
      <c r="J446" s="260">
        <v>0.1</v>
      </c>
      <c r="L446" s="217">
        <f t="shared" si="18"/>
        <v>3348.8226009</v>
      </c>
      <c r="N446" s="271">
        <f t="shared" si="19"/>
        <v>4855.7927713049994</v>
      </c>
      <c r="P446" s="326">
        <f t="shared" si="20"/>
        <v>5875.5092532790495</v>
      </c>
    </row>
    <row r="447" spans="1:16">
      <c r="A447" s="206">
        <v>441</v>
      </c>
      <c r="B447" s="175" t="s">
        <v>523</v>
      </c>
      <c r="C447" s="175" t="s">
        <v>2662</v>
      </c>
      <c r="D447" s="3" t="s">
        <v>598</v>
      </c>
      <c r="E447" s="179" t="s">
        <v>599</v>
      </c>
      <c r="F447" s="221">
        <v>7794334000463</v>
      </c>
      <c r="G447" s="216">
        <v>2</v>
      </c>
      <c r="H447" s="5" t="s">
        <v>1191</v>
      </c>
      <c r="I447" s="204">
        <v>7.29</v>
      </c>
      <c r="J447" s="260">
        <v>0.1</v>
      </c>
      <c r="L447" s="217">
        <f t="shared" si="18"/>
        <v>3448.1520848249997</v>
      </c>
      <c r="N447" s="271">
        <f t="shared" si="19"/>
        <v>4999.8205229962496</v>
      </c>
      <c r="P447" s="326">
        <f t="shared" si="20"/>
        <v>6049.7828328254618</v>
      </c>
    </row>
    <row r="448" spans="1:16">
      <c r="A448" s="206">
        <v>442</v>
      </c>
      <c r="B448" s="175" t="s">
        <v>523</v>
      </c>
      <c r="C448" s="175" t="s">
        <v>2662</v>
      </c>
      <c r="D448" s="3" t="s">
        <v>600</v>
      </c>
      <c r="E448" s="179" t="s">
        <v>601</v>
      </c>
      <c r="F448" s="221">
        <v>7794334000470</v>
      </c>
      <c r="G448" s="216">
        <v>2</v>
      </c>
      <c r="H448" s="5" t="s">
        <v>1191</v>
      </c>
      <c r="I448" s="204">
        <v>7.41</v>
      </c>
      <c r="J448" s="260">
        <v>0.1</v>
      </c>
      <c r="L448" s="217">
        <f t="shared" si="18"/>
        <v>3504.911789925</v>
      </c>
      <c r="N448" s="271">
        <f t="shared" si="19"/>
        <v>5082.1220953912498</v>
      </c>
      <c r="P448" s="326">
        <f t="shared" si="20"/>
        <v>6149.3677354234123</v>
      </c>
    </row>
    <row r="449" spans="1:16">
      <c r="A449" s="206">
        <v>443</v>
      </c>
      <c r="B449" s="175" t="s">
        <v>523</v>
      </c>
      <c r="C449" s="175" t="s">
        <v>2662</v>
      </c>
      <c r="D449" s="3" t="s">
        <v>602</v>
      </c>
      <c r="E449" s="179" t="s">
        <v>603</v>
      </c>
      <c r="F449" s="221">
        <v>7794334000487</v>
      </c>
      <c r="G449" s="216">
        <v>2</v>
      </c>
      <c r="H449" s="5" t="s">
        <v>1191</v>
      </c>
      <c r="I449" s="204">
        <v>7.61</v>
      </c>
      <c r="J449" s="260">
        <v>0.1</v>
      </c>
      <c r="L449" s="217">
        <f t="shared" si="18"/>
        <v>3599.5112984249999</v>
      </c>
      <c r="N449" s="271">
        <f t="shared" si="19"/>
        <v>5219.2913827162502</v>
      </c>
      <c r="P449" s="326">
        <f t="shared" si="20"/>
        <v>6315.3425730866629</v>
      </c>
    </row>
    <row r="450" spans="1:16">
      <c r="A450" s="206">
        <v>444</v>
      </c>
      <c r="B450" s="175" t="s">
        <v>523</v>
      </c>
      <c r="C450" s="175" t="s">
        <v>2662</v>
      </c>
      <c r="D450" s="3" t="s">
        <v>604</v>
      </c>
      <c r="E450" s="179" t="s">
        <v>605</v>
      </c>
      <c r="F450" s="221">
        <v>7794334001279</v>
      </c>
      <c r="G450" s="216">
        <v>2</v>
      </c>
      <c r="H450" s="5" t="s">
        <v>1191</v>
      </c>
      <c r="I450" s="204">
        <v>8.26</v>
      </c>
      <c r="J450" s="260">
        <v>0.1</v>
      </c>
      <c r="L450" s="217">
        <f t="shared" si="18"/>
        <v>3906.9597010499992</v>
      </c>
      <c r="N450" s="271">
        <f t="shared" si="19"/>
        <v>5665.0915665224984</v>
      </c>
      <c r="P450" s="326">
        <f t="shared" si="20"/>
        <v>6854.7607954922232</v>
      </c>
    </row>
    <row r="451" spans="1:16">
      <c r="A451" s="206">
        <v>445</v>
      </c>
      <c r="B451" s="175" t="s">
        <v>523</v>
      </c>
      <c r="C451" s="175" t="s">
        <v>2662</v>
      </c>
      <c r="D451" s="3" t="s">
        <v>606</v>
      </c>
      <c r="E451" s="179" t="s">
        <v>607</v>
      </c>
      <c r="F451" s="221">
        <v>7794334009077</v>
      </c>
      <c r="G451" s="216">
        <v>2</v>
      </c>
      <c r="H451" s="5" t="s">
        <v>1191</v>
      </c>
      <c r="I451" s="204">
        <v>8.85</v>
      </c>
      <c r="J451" s="260">
        <v>0.1</v>
      </c>
      <c r="L451" s="217">
        <f t="shared" si="18"/>
        <v>4186.0282511249998</v>
      </c>
      <c r="N451" s="271">
        <f t="shared" si="19"/>
        <v>6069.7409641312497</v>
      </c>
      <c r="P451" s="326">
        <f t="shared" si="20"/>
        <v>7344.3865665988124</v>
      </c>
    </row>
    <row r="452" spans="1:16">
      <c r="A452" s="206">
        <v>446</v>
      </c>
      <c r="B452" s="175" t="s">
        <v>523</v>
      </c>
      <c r="C452" s="175" t="s">
        <v>2662</v>
      </c>
      <c r="D452" s="3" t="s">
        <v>608</v>
      </c>
      <c r="E452" s="179" t="s">
        <v>609</v>
      </c>
      <c r="F452" s="221">
        <v>7794334009084</v>
      </c>
      <c r="G452" s="216">
        <v>2</v>
      </c>
      <c r="H452" s="5" t="s">
        <v>1191</v>
      </c>
      <c r="I452" s="204">
        <v>8.94</v>
      </c>
      <c r="J452" s="260">
        <v>0.1</v>
      </c>
      <c r="L452" s="217">
        <f t="shared" si="18"/>
        <v>4228.5980299499988</v>
      </c>
      <c r="N452" s="271">
        <f t="shared" si="19"/>
        <v>6131.4671434274978</v>
      </c>
      <c r="P452" s="326">
        <f t="shared" si="20"/>
        <v>7419.0752435472723</v>
      </c>
    </row>
    <row r="453" spans="1:16">
      <c r="A453" s="206">
        <v>447</v>
      </c>
      <c r="B453" s="175" t="s">
        <v>523</v>
      </c>
      <c r="C453" s="175" t="s">
        <v>2662</v>
      </c>
      <c r="D453" s="3" t="s">
        <v>610</v>
      </c>
      <c r="E453" s="179" t="s">
        <v>611</v>
      </c>
      <c r="F453" s="221">
        <v>7794334009091</v>
      </c>
      <c r="G453" s="216">
        <v>2</v>
      </c>
      <c r="H453" s="5" t="s">
        <v>1191</v>
      </c>
      <c r="I453" s="204">
        <v>9.25</v>
      </c>
      <c r="J453" s="260">
        <v>0.1</v>
      </c>
      <c r="L453" s="217">
        <f t="shared" si="18"/>
        <v>4375.2272681249997</v>
      </c>
      <c r="N453" s="271">
        <f t="shared" si="19"/>
        <v>6344.0795387812495</v>
      </c>
      <c r="P453" s="326">
        <f t="shared" si="20"/>
        <v>7676.3362419253117</v>
      </c>
    </row>
    <row r="454" spans="1:16">
      <c r="A454" s="206">
        <v>448</v>
      </c>
      <c r="B454" s="175" t="s">
        <v>523</v>
      </c>
      <c r="C454" s="175" t="s">
        <v>2662</v>
      </c>
      <c r="D454" s="3" t="s">
        <v>612</v>
      </c>
      <c r="E454" s="179" t="s">
        <v>613</v>
      </c>
      <c r="F454" s="221">
        <v>7794334009107</v>
      </c>
      <c r="G454" s="216">
        <v>2</v>
      </c>
      <c r="H454" s="5" t="s">
        <v>1191</v>
      </c>
      <c r="I454" s="204">
        <v>9.44</v>
      </c>
      <c r="J454" s="260">
        <v>0.1</v>
      </c>
      <c r="L454" s="217">
        <f t="shared" si="18"/>
        <v>4465.0968012000003</v>
      </c>
      <c r="N454" s="271">
        <f t="shared" si="19"/>
        <v>6474.3903617400001</v>
      </c>
      <c r="P454" s="326">
        <f t="shared" si="20"/>
        <v>7834.0123377053997</v>
      </c>
    </row>
    <row r="455" spans="1:16">
      <c r="A455" s="206">
        <v>449</v>
      </c>
      <c r="B455" s="175" t="s">
        <v>523</v>
      </c>
      <c r="C455" s="175" t="s">
        <v>2662</v>
      </c>
      <c r="D455" s="3" t="s">
        <v>614</v>
      </c>
      <c r="E455" s="179" t="s">
        <v>615</v>
      </c>
      <c r="F455" s="221">
        <v>7794334009114</v>
      </c>
      <c r="G455" s="216">
        <v>2</v>
      </c>
      <c r="H455" s="5" t="s">
        <v>1191</v>
      </c>
      <c r="I455" s="204">
        <v>9.65</v>
      </c>
      <c r="J455" s="260">
        <v>0.1</v>
      </c>
      <c r="L455" s="217">
        <f t="shared" si="18"/>
        <v>4564.4262851250005</v>
      </c>
      <c r="N455" s="271">
        <f t="shared" si="19"/>
        <v>6618.4181134312503</v>
      </c>
      <c r="P455" s="326">
        <f t="shared" si="20"/>
        <v>8008.2859172518129</v>
      </c>
    </row>
    <row r="456" spans="1:16">
      <c r="A456" s="206">
        <v>450</v>
      </c>
      <c r="B456" s="175" t="s">
        <v>523</v>
      </c>
      <c r="C456" s="175" t="s">
        <v>2662</v>
      </c>
      <c r="D456" s="3" t="s">
        <v>616</v>
      </c>
      <c r="E456" s="179" t="s">
        <v>617</v>
      </c>
      <c r="F456" s="221">
        <v>7794334009121</v>
      </c>
      <c r="G456" s="216">
        <v>2</v>
      </c>
      <c r="H456" s="5" t="s">
        <v>1191</v>
      </c>
      <c r="I456" s="204">
        <v>10.39</v>
      </c>
      <c r="J456" s="260">
        <v>0.1</v>
      </c>
      <c r="L456" s="217">
        <f t="shared" ref="L456:L519" si="21">+I456*$F$2*$F$3*$F$4*$F$5</f>
        <v>4914.4444665749988</v>
      </c>
      <c r="N456" s="271">
        <f t="shared" si="19"/>
        <v>7125.9444765337485</v>
      </c>
      <c r="P456" s="326">
        <f t="shared" si="20"/>
        <v>8622.3928166058358</v>
      </c>
    </row>
    <row r="457" spans="1:16">
      <c r="A457" s="206">
        <v>451</v>
      </c>
      <c r="B457" s="175" t="s">
        <v>523</v>
      </c>
      <c r="C457" s="175" t="s">
        <v>2662</v>
      </c>
      <c r="D457" s="3" t="s">
        <v>618</v>
      </c>
      <c r="E457" s="179" t="s">
        <v>619</v>
      </c>
      <c r="F457" s="221">
        <v>7794334009138</v>
      </c>
      <c r="G457" s="216">
        <v>2</v>
      </c>
      <c r="H457" s="5" t="s">
        <v>1191</v>
      </c>
      <c r="I457" s="204">
        <v>10.63</v>
      </c>
      <c r="J457" s="260">
        <v>0.1</v>
      </c>
      <c r="L457" s="217">
        <f t="shared" si="21"/>
        <v>5027.9638767750002</v>
      </c>
      <c r="N457" s="271">
        <f t="shared" ref="N457:N520" si="22">+L457*1.45</f>
        <v>7290.5476213237498</v>
      </c>
      <c r="P457" s="326">
        <f t="shared" ref="P457:P520" si="23">+N457*1.21</f>
        <v>8821.5626218017369</v>
      </c>
    </row>
    <row r="458" spans="1:16">
      <c r="A458" s="206">
        <v>452</v>
      </c>
      <c r="B458" s="175" t="s">
        <v>523</v>
      </c>
      <c r="C458" s="175" t="s">
        <v>2662</v>
      </c>
      <c r="D458" s="3" t="s">
        <v>620</v>
      </c>
      <c r="E458" s="179" t="s">
        <v>621</v>
      </c>
      <c r="F458" s="221">
        <v>7794334009145</v>
      </c>
      <c r="G458" s="216">
        <v>2</v>
      </c>
      <c r="H458" s="5" t="s">
        <v>1191</v>
      </c>
      <c r="I458" s="204">
        <v>10.81</v>
      </c>
      <c r="J458" s="260">
        <v>0.1</v>
      </c>
      <c r="L458" s="217">
        <f t="shared" si="21"/>
        <v>5113.1034344250002</v>
      </c>
      <c r="N458" s="271">
        <f t="shared" si="22"/>
        <v>7413.9999799162497</v>
      </c>
      <c r="P458" s="326">
        <f t="shared" si="23"/>
        <v>8970.9399756986622</v>
      </c>
    </row>
    <row r="459" spans="1:16">
      <c r="A459" s="206">
        <v>453</v>
      </c>
      <c r="B459" s="175" t="s">
        <v>523</v>
      </c>
      <c r="C459" s="175" t="s">
        <v>2662</v>
      </c>
      <c r="D459" s="3" t="s">
        <v>622</v>
      </c>
      <c r="E459" s="179" t="s">
        <v>623</v>
      </c>
      <c r="F459" s="221">
        <v>7794334009152</v>
      </c>
      <c r="G459" s="216">
        <v>2</v>
      </c>
      <c r="H459" s="5" t="s">
        <v>1191</v>
      </c>
      <c r="I459" s="204">
        <v>11.1</v>
      </c>
      <c r="J459" s="260">
        <v>0.1</v>
      </c>
      <c r="L459" s="217">
        <f t="shared" si="21"/>
        <v>5250.2727217499996</v>
      </c>
      <c r="N459" s="271">
        <f t="shared" si="22"/>
        <v>7612.8954465374991</v>
      </c>
      <c r="P459" s="326">
        <f t="shared" si="23"/>
        <v>9211.6034903103737</v>
      </c>
    </row>
    <row r="460" spans="1:16">
      <c r="A460" s="206">
        <v>454</v>
      </c>
      <c r="B460" s="175" t="s">
        <v>523</v>
      </c>
      <c r="C460" s="175" t="s">
        <v>2662</v>
      </c>
      <c r="D460" s="3" t="s">
        <v>624</v>
      </c>
      <c r="E460" s="179" t="s">
        <v>625</v>
      </c>
      <c r="F460" s="221">
        <v>7794334009169</v>
      </c>
      <c r="G460" s="216">
        <v>2</v>
      </c>
      <c r="H460" s="5" t="s">
        <v>1191</v>
      </c>
      <c r="I460" s="204">
        <v>11.68</v>
      </c>
      <c r="J460" s="260">
        <v>0.1</v>
      </c>
      <c r="L460" s="217">
        <f t="shared" si="21"/>
        <v>5524.6112964000004</v>
      </c>
      <c r="N460" s="271">
        <f t="shared" si="22"/>
        <v>8010.6863797800006</v>
      </c>
      <c r="P460" s="326">
        <f t="shared" si="23"/>
        <v>9692.9305195338002</v>
      </c>
    </row>
    <row r="461" spans="1:16">
      <c r="A461" s="206">
        <v>455</v>
      </c>
      <c r="B461" s="175" t="s">
        <v>523</v>
      </c>
      <c r="C461" s="175" t="s">
        <v>2662</v>
      </c>
      <c r="D461" s="3" t="s">
        <v>626</v>
      </c>
      <c r="E461" s="179" t="s">
        <v>627</v>
      </c>
      <c r="F461" s="221">
        <v>7794334009176</v>
      </c>
      <c r="G461" s="216">
        <v>2</v>
      </c>
      <c r="H461" s="5" t="s">
        <v>1191</v>
      </c>
      <c r="I461" s="204">
        <v>11.81</v>
      </c>
      <c r="J461" s="260">
        <v>0.1</v>
      </c>
      <c r="L461" s="217">
        <f t="shared" si="21"/>
        <v>5586.1009769250004</v>
      </c>
      <c r="N461" s="271">
        <f t="shared" si="22"/>
        <v>8099.8464165412506</v>
      </c>
      <c r="P461" s="326">
        <f t="shared" si="23"/>
        <v>9800.8141640149133</v>
      </c>
    </row>
    <row r="462" spans="1:16">
      <c r="A462" s="206">
        <v>456</v>
      </c>
      <c r="B462" s="175" t="s">
        <v>523</v>
      </c>
      <c r="C462" s="175" t="s">
        <v>2662</v>
      </c>
      <c r="D462" s="3" t="s">
        <v>628</v>
      </c>
      <c r="E462" s="179" t="s">
        <v>629</v>
      </c>
      <c r="F462" s="221">
        <v>7794334009183</v>
      </c>
      <c r="G462" s="216">
        <v>2</v>
      </c>
      <c r="H462" s="5" t="s">
        <v>1191</v>
      </c>
      <c r="I462" s="204">
        <v>12.36</v>
      </c>
      <c r="J462" s="260">
        <v>0.1</v>
      </c>
      <c r="L462" s="217">
        <f t="shared" si="21"/>
        <v>5846.2496252999999</v>
      </c>
      <c r="N462" s="271">
        <f t="shared" si="22"/>
        <v>8477.061956685</v>
      </c>
      <c r="P462" s="326">
        <f t="shared" si="23"/>
        <v>10257.244967588849</v>
      </c>
    </row>
    <row r="463" spans="1:16">
      <c r="A463" s="206">
        <v>457</v>
      </c>
      <c r="B463" s="175" t="s">
        <v>523</v>
      </c>
      <c r="C463" s="175" t="s">
        <v>2662</v>
      </c>
      <c r="D463" s="3" t="s">
        <v>630</v>
      </c>
      <c r="E463" s="179" t="s">
        <v>631</v>
      </c>
      <c r="F463" s="221">
        <v>7794334009190</v>
      </c>
      <c r="G463" s="216">
        <v>2</v>
      </c>
      <c r="H463" s="5" t="s">
        <v>1191</v>
      </c>
      <c r="I463" s="204">
        <v>12.85</v>
      </c>
      <c r="J463" s="260">
        <v>0.1</v>
      </c>
      <c r="L463" s="217">
        <f t="shared" si="21"/>
        <v>6078.0184211249998</v>
      </c>
      <c r="N463" s="271">
        <f t="shared" si="22"/>
        <v>8813.1267106312498</v>
      </c>
      <c r="P463" s="326">
        <f t="shared" si="23"/>
        <v>10663.883319863811</v>
      </c>
    </row>
    <row r="464" spans="1:16">
      <c r="A464" s="206">
        <v>458</v>
      </c>
      <c r="B464" s="175" t="s">
        <v>523</v>
      </c>
      <c r="C464" s="175" t="s">
        <v>2662</v>
      </c>
      <c r="D464" s="3" t="s">
        <v>632</v>
      </c>
      <c r="E464" s="179" t="s">
        <v>633</v>
      </c>
      <c r="F464" s="221">
        <v>7794334009206</v>
      </c>
      <c r="G464" s="216">
        <v>2</v>
      </c>
      <c r="H464" s="5" t="s">
        <v>1191</v>
      </c>
      <c r="I464" s="204">
        <v>12.94</v>
      </c>
      <c r="J464" s="260">
        <v>0.1</v>
      </c>
      <c r="L464" s="217">
        <f t="shared" si="21"/>
        <v>6120.5881999499998</v>
      </c>
      <c r="N464" s="271">
        <f t="shared" si="22"/>
        <v>8874.8528899274988</v>
      </c>
      <c r="P464" s="326">
        <f t="shared" si="23"/>
        <v>10738.571996812274</v>
      </c>
    </row>
    <row r="465" spans="1:16">
      <c r="A465" s="206">
        <v>459</v>
      </c>
      <c r="B465" s="175" t="s">
        <v>523</v>
      </c>
      <c r="C465" s="175" t="s">
        <v>2662</v>
      </c>
      <c r="D465" s="3" t="s">
        <v>634</v>
      </c>
      <c r="E465" s="179" t="s">
        <v>635</v>
      </c>
      <c r="F465" s="221">
        <v>7794334009213</v>
      </c>
      <c r="G465" s="216">
        <v>2</v>
      </c>
      <c r="H465" s="5" t="s">
        <v>1191</v>
      </c>
      <c r="I465" s="204">
        <v>13.18</v>
      </c>
      <c r="J465" s="260">
        <v>0.1</v>
      </c>
      <c r="L465" s="217">
        <f t="shared" si="21"/>
        <v>6234.1076101499993</v>
      </c>
      <c r="N465" s="271">
        <f t="shared" si="22"/>
        <v>9039.4560347174993</v>
      </c>
      <c r="P465" s="326">
        <f t="shared" si="23"/>
        <v>10937.741802008173</v>
      </c>
    </row>
    <row r="466" spans="1:16">
      <c r="A466" s="206">
        <v>460</v>
      </c>
      <c r="B466" s="175" t="s">
        <v>523</v>
      </c>
      <c r="C466" s="175" t="s">
        <v>2662</v>
      </c>
      <c r="D466" s="3" t="s">
        <v>636</v>
      </c>
      <c r="E466" s="179" t="s">
        <v>637</v>
      </c>
      <c r="F466" s="221">
        <v>7794334009220</v>
      </c>
      <c r="G466" s="216">
        <v>2</v>
      </c>
      <c r="H466" s="5" t="s">
        <v>1191</v>
      </c>
      <c r="I466" s="204">
        <v>13.59</v>
      </c>
      <c r="J466" s="260">
        <v>0.1</v>
      </c>
      <c r="L466" s="217">
        <f t="shared" si="21"/>
        <v>6428.036602575</v>
      </c>
      <c r="N466" s="271">
        <f t="shared" si="22"/>
        <v>9320.6530737337489</v>
      </c>
      <c r="P466" s="326">
        <f t="shared" si="23"/>
        <v>11277.990219217836</v>
      </c>
    </row>
    <row r="467" spans="1:16">
      <c r="A467" s="206">
        <v>461</v>
      </c>
      <c r="B467" s="175" t="s">
        <v>523</v>
      </c>
      <c r="C467" s="175" t="s">
        <v>2662</v>
      </c>
      <c r="D467" s="3" t="s">
        <v>638</v>
      </c>
      <c r="E467" s="179" t="s">
        <v>639</v>
      </c>
      <c r="F467" s="221">
        <v>7794334009237</v>
      </c>
      <c r="G467" s="216">
        <v>2</v>
      </c>
      <c r="H467" s="5" t="s">
        <v>1191</v>
      </c>
      <c r="I467" s="204">
        <v>14.16</v>
      </c>
      <c r="J467" s="260">
        <v>0.1</v>
      </c>
      <c r="L467" s="217">
        <f t="shared" si="21"/>
        <v>6697.6452018</v>
      </c>
      <c r="N467" s="271">
        <f t="shared" si="22"/>
        <v>9711.5855426099988</v>
      </c>
      <c r="P467" s="326">
        <f t="shared" si="23"/>
        <v>11751.018506558099</v>
      </c>
    </row>
    <row r="468" spans="1:16">
      <c r="A468" s="206">
        <v>462</v>
      </c>
      <c r="B468" s="175" t="s">
        <v>523</v>
      </c>
      <c r="C468" s="175" t="s">
        <v>2662</v>
      </c>
      <c r="D468" s="3" t="s">
        <v>640</v>
      </c>
      <c r="E468" s="179" t="s">
        <v>641</v>
      </c>
      <c r="F468" s="221">
        <v>7794334009244</v>
      </c>
      <c r="G468" s="216">
        <v>2</v>
      </c>
      <c r="H468" s="5" t="s">
        <v>1191</v>
      </c>
      <c r="I468" s="204">
        <v>14.6</v>
      </c>
      <c r="J468" s="260">
        <v>0.1</v>
      </c>
      <c r="L468" s="217">
        <f t="shared" si="21"/>
        <v>6905.7641205</v>
      </c>
      <c r="N468" s="271">
        <f t="shared" si="22"/>
        <v>10013.357974725001</v>
      </c>
      <c r="P468" s="326">
        <f t="shared" si="23"/>
        <v>12116.163149417251</v>
      </c>
    </row>
    <row r="469" spans="1:16">
      <c r="A469" s="206">
        <v>463</v>
      </c>
      <c r="B469" s="175" t="s">
        <v>523</v>
      </c>
      <c r="C469" s="175" t="s">
        <v>2662</v>
      </c>
      <c r="D469" s="3" t="s">
        <v>642</v>
      </c>
      <c r="E469" s="179" t="s">
        <v>643</v>
      </c>
      <c r="F469" s="221">
        <v>7794334009251</v>
      </c>
      <c r="G469" s="216">
        <v>2</v>
      </c>
      <c r="H469" s="5" t="s">
        <v>1191</v>
      </c>
      <c r="I469" s="204">
        <v>15.03</v>
      </c>
      <c r="J469" s="260">
        <v>0.1</v>
      </c>
      <c r="L469" s="217">
        <f t="shared" si="21"/>
        <v>7109.1530637749993</v>
      </c>
      <c r="N469" s="271">
        <f t="shared" si="22"/>
        <v>10308.271942473748</v>
      </c>
      <c r="P469" s="326">
        <f t="shared" si="23"/>
        <v>12473.009050393235</v>
      </c>
    </row>
    <row r="470" spans="1:16">
      <c r="A470" s="206">
        <v>464</v>
      </c>
      <c r="B470" s="175" t="s">
        <v>523</v>
      </c>
      <c r="C470" s="175" t="s">
        <v>2662</v>
      </c>
      <c r="D470" s="3" t="s">
        <v>644</v>
      </c>
      <c r="E470" s="179" t="s">
        <v>645</v>
      </c>
      <c r="F470" s="221">
        <v>7794334009268</v>
      </c>
      <c r="G470" s="216">
        <v>2</v>
      </c>
      <c r="H470" s="5" t="s">
        <v>1191</v>
      </c>
      <c r="I470" s="204">
        <v>15.57</v>
      </c>
      <c r="J470" s="260">
        <v>0.1</v>
      </c>
      <c r="L470" s="217">
        <f t="shared" si="21"/>
        <v>7364.5717367250008</v>
      </c>
      <c r="N470" s="271">
        <f t="shared" si="22"/>
        <v>10678.629018251251</v>
      </c>
      <c r="P470" s="326">
        <f t="shared" si="23"/>
        <v>12921.141112084013</v>
      </c>
    </row>
    <row r="471" spans="1:16">
      <c r="A471" s="206">
        <v>465</v>
      </c>
      <c r="B471" s="175" t="s">
        <v>523</v>
      </c>
      <c r="C471" s="175" t="s">
        <v>2662</v>
      </c>
      <c r="D471" s="3" t="s">
        <v>646</v>
      </c>
      <c r="E471" s="179" t="s">
        <v>647</v>
      </c>
      <c r="F471" s="221">
        <v>7794334009275</v>
      </c>
      <c r="G471" s="216">
        <v>2</v>
      </c>
      <c r="H471" s="5" t="s">
        <v>1191</v>
      </c>
      <c r="I471" s="204">
        <v>15.71</v>
      </c>
      <c r="J471" s="260">
        <v>0.1</v>
      </c>
      <c r="L471" s="217">
        <f t="shared" si="21"/>
        <v>7430.7913926750007</v>
      </c>
      <c r="N471" s="271">
        <f t="shared" si="22"/>
        <v>10774.64751937875</v>
      </c>
      <c r="P471" s="326">
        <f t="shared" si="23"/>
        <v>13037.323498448288</v>
      </c>
    </row>
    <row r="472" spans="1:16">
      <c r="A472" s="206">
        <v>466</v>
      </c>
      <c r="B472" s="175" t="s">
        <v>523</v>
      </c>
      <c r="C472" s="175" t="s">
        <v>2662</v>
      </c>
      <c r="D472" s="3" t="s">
        <v>648</v>
      </c>
      <c r="E472" s="179" t="s">
        <v>649</v>
      </c>
      <c r="F472" s="221">
        <v>7794334009282</v>
      </c>
      <c r="G472" s="216">
        <v>2</v>
      </c>
      <c r="H472" s="5" t="s">
        <v>1191</v>
      </c>
      <c r="I472" s="204">
        <v>16.34</v>
      </c>
      <c r="J472" s="260">
        <v>0.1</v>
      </c>
      <c r="L472" s="217">
        <f t="shared" si="21"/>
        <v>7728.7798444499995</v>
      </c>
      <c r="N472" s="271">
        <f t="shared" si="22"/>
        <v>11206.730774452499</v>
      </c>
      <c r="P472" s="326">
        <f t="shared" si="23"/>
        <v>13560.144237087523</v>
      </c>
    </row>
    <row r="473" spans="1:16">
      <c r="A473" s="206">
        <v>467</v>
      </c>
      <c r="B473" s="175" t="s">
        <v>523</v>
      </c>
      <c r="C473" s="175" t="s">
        <v>2662</v>
      </c>
      <c r="D473" s="3" t="s">
        <v>650</v>
      </c>
      <c r="E473" s="179" t="s">
        <v>651</v>
      </c>
      <c r="F473" s="221">
        <v>7794334009299</v>
      </c>
      <c r="G473" s="216">
        <v>2</v>
      </c>
      <c r="H473" s="5" t="s">
        <v>1191</v>
      </c>
      <c r="I473" s="204">
        <v>16.5</v>
      </c>
      <c r="J473" s="260">
        <v>0.1</v>
      </c>
      <c r="L473" s="217">
        <f t="shared" si="21"/>
        <v>7804.4594512499998</v>
      </c>
      <c r="N473" s="271">
        <f t="shared" si="22"/>
        <v>11316.466204312499</v>
      </c>
      <c r="P473" s="326">
        <f t="shared" si="23"/>
        <v>13692.924107218123</v>
      </c>
    </row>
    <row r="474" spans="1:16">
      <c r="A474" s="206">
        <v>468</v>
      </c>
      <c r="B474" s="175" t="s">
        <v>523</v>
      </c>
      <c r="C474" s="175" t="s">
        <v>2662</v>
      </c>
      <c r="D474" s="3" t="s">
        <v>652</v>
      </c>
      <c r="E474" s="179" t="s">
        <v>653</v>
      </c>
      <c r="F474" s="221">
        <v>7794334009305</v>
      </c>
      <c r="G474" s="216">
        <v>2</v>
      </c>
      <c r="H474" s="5" t="s">
        <v>1191</v>
      </c>
      <c r="I474" s="204">
        <v>17.09</v>
      </c>
      <c r="J474" s="260">
        <v>0.1</v>
      </c>
      <c r="L474" s="217">
        <f t="shared" si="21"/>
        <v>8083.5280013250003</v>
      </c>
      <c r="N474" s="271">
        <f t="shared" si="22"/>
        <v>11721.11560192125</v>
      </c>
      <c r="P474" s="326">
        <f t="shared" si="23"/>
        <v>14182.549878324713</v>
      </c>
    </row>
    <row r="475" spans="1:16">
      <c r="A475" s="206">
        <v>469</v>
      </c>
      <c r="B475" s="175" t="s">
        <v>523</v>
      </c>
      <c r="C475" s="175" t="s">
        <v>2662</v>
      </c>
      <c r="D475" s="3" t="s">
        <v>654</v>
      </c>
      <c r="E475" s="179" t="s">
        <v>655</v>
      </c>
      <c r="F475" s="221">
        <v>7794334009312</v>
      </c>
      <c r="G475" s="216">
        <v>2</v>
      </c>
      <c r="H475" s="5" t="s">
        <v>1191</v>
      </c>
      <c r="I475" s="204">
        <v>17.850000000000001</v>
      </c>
      <c r="J475" s="260">
        <v>0.1</v>
      </c>
      <c r="L475" s="217">
        <f t="shared" si="21"/>
        <v>8443.0061336250001</v>
      </c>
      <c r="N475" s="271">
        <f t="shared" si="22"/>
        <v>12242.358893756249</v>
      </c>
      <c r="P475" s="326">
        <f t="shared" si="23"/>
        <v>14813.254261445061</v>
      </c>
    </row>
    <row r="476" spans="1:16">
      <c r="A476" s="206">
        <v>470</v>
      </c>
      <c r="B476" s="175" t="s">
        <v>523</v>
      </c>
      <c r="C476" s="175" t="s">
        <v>2662</v>
      </c>
      <c r="D476" s="3" t="s">
        <v>656</v>
      </c>
      <c r="E476" s="179" t="s">
        <v>657</v>
      </c>
      <c r="F476" s="221">
        <v>7794334009329</v>
      </c>
      <c r="G476" s="216">
        <v>2</v>
      </c>
      <c r="H476" s="5" t="s">
        <v>1191</v>
      </c>
      <c r="I476" s="204">
        <v>18.829999999999998</v>
      </c>
      <c r="J476" s="260">
        <v>0.1</v>
      </c>
      <c r="L476" s="217">
        <f t="shared" si="21"/>
        <v>8906.543725274998</v>
      </c>
      <c r="N476" s="271">
        <f t="shared" si="22"/>
        <v>12914.488401648747</v>
      </c>
      <c r="P476" s="326">
        <f t="shared" si="23"/>
        <v>15626.530965994983</v>
      </c>
    </row>
    <row r="477" spans="1:16">
      <c r="A477" s="206">
        <v>471</v>
      </c>
      <c r="B477" s="175" t="s">
        <v>523</v>
      </c>
      <c r="C477" s="175" t="s">
        <v>2662</v>
      </c>
      <c r="D477" s="3" t="s">
        <v>658</v>
      </c>
      <c r="E477" s="179" t="s">
        <v>659</v>
      </c>
      <c r="F477" s="221">
        <v>7794334009336</v>
      </c>
      <c r="G477" s="216">
        <v>2</v>
      </c>
      <c r="H477" s="5" t="s">
        <v>1191</v>
      </c>
      <c r="I477" s="204">
        <v>19.3</v>
      </c>
      <c r="J477" s="260">
        <v>0.1</v>
      </c>
      <c r="L477" s="217">
        <f t="shared" si="21"/>
        <v>9128.852570250001</v>
      </c>
      <c r="N477" s="271">
        <f t="shared" si="22"/>
        <v>13236.836226862501</v>
      </c>
      <c r="P477" s="326">
        <f t="shared" si="23"/>
        <v>16016.571834503626</v>
      </c>
    </row>
    <row r="478" spans="1:16">
      <c r="A478" s="206">
        <v>472</v>
      </c>
      <c r="B478" s="175" t="s">
        <v>523</v>
      </c>
      <c r="C478" s="175" t="s">
        <v>2662</v>
      </c>
      <c r="D478" s="3" t="s">
        <v>660</v>
      </c>
      <c r="E478" s="179" t="s">
        <v>661</v>
      </c>
      <c r="F478" s="221">
        <v>7794334009343</v>
      </c>
      <c r="G478" s="216">
        <v>2</v>
      </c>
      <c r="H478" s="5" t="s">
        <v>1191</v>
      </c>
      <c r="I478" s="204">
        <v>19.739999999999998</v>
      </c>
      <c r="J478" s="260">
        <v>0.1</v>
      </c>
      <c r="L478" s="217">
        <f t="shared" si="21"/>
        <v>9336.9714889499992</v>
      </c>
      <c r="N478" s="271">
        <f t="shared" si="22"/>
        <v>13538.608658977499</v>
      </c>
      <c r="P478" s="326">
        <f t="shared" si="23"/>
        <v>16381.716477362774</v>
      </c>
    </row>
    <row r="479" spans="1:16">
      <c r="A479" s="206">
        <v>473</v>
      </c>
      <c r="B479" s="175" t="s">
        <v>523</v>
      </c>
      <c r="C479" s="175" t="s">
        <v>2662</v>
      </c>
      <c r="D479" s="3" t="s">
        <v>662</v>
      </c>
      <c r="E479" s="179" t="s">
        <v>663</v>
      </c>
      <c r="F479" s="221">
        <v>7794334009350</v>
      </c>
      <c r="G479" s="216">
        <v>2</v>
      </c>
      <c r="H479" s="5" t="s">
        <v>1191</v>
      </c>
      <c r="I479" s="204">
        <v>20.309999999999999</v>
      </c>
      <c r="J479" s="260">
        <v>0.1</v>
      </c>
      <c r="L479" s="217">
        <f t="shared" si="21"/>
        <v>9606.5800881749983</v>
      </c>
      <c r="N479" s="271">
        <f t="shared" si="22"/>
        <v>13929.541127853747</v>
      </c>
      <c r="P479" s="326">
        <f t="shared" si="23"/>
        <v>16854.744764703031</v>
      </c>
    </row>
    <row r="480" spans="1:16">
      <c r="A480" s="206">
        <v>474</v>
      </c>
      <c r="B480" s="175" t="s">
        <v>523</v>
      </c>
      <c r="C480" s="175" t="s">
        <v>2662</v>
      </c>
      <c r="D480" s="3" t="s">
        <v>664</v>
      </c>
      <c r="E480" s="179" t="s">
        <v>665</v>
      </c>
      <c r="F480" s="221">
        <v>7794334009367</v>
      </c>
      <c r="G480" s="216">
        <v>2</v>
      </c>
      <c r="H480" s="5" t="s">
        <v>1191</v>
      </c>
      <c r="I480" s="204">
        <v>21.76</v>
      </c>
      <c r="J480" s="260">
        <v>0.1</v>
      </c>
      <c r="L480" s="217">
        <f t="shared" si="21"/>
        <v>10292.426524800001</v>
      </c>
      <c r="N480" s="271">
        <f t="shared" si="22"/>
        <v>14924.018460960002</v>
      </c>
      <c r="P480" s="326">
        <f t="shared" si="23"/>
        <v>18058.062337761603</v>
      </c>
    </row>
    <row r="481" spans="1:16">
      <c r="A481" s="206">
        <v>475</v>
      </c>
      <c r="B481" s="175" t="s">
        <v>523</v>
      </c>
      <c r="C481" s="175" t="s">
        <v>2662</v>
      </c>
      <c r="D481" s="3" t="s">
        <v>666</v>
      </c>
      <c r="E481" s="179" t="s">
        <v>667</v>
      </c>
      <c r="F481" s="221">
        <v>7794334009374</v>
      </c>
      <c r="G481" s="216">
        <v>2</v>
      </c>
      <c r="H481" s="5" t="s">
        <v>1191</v>
      </c>
      <c r="I481" s="204">
        <v>22.35</v>
      </c>
      <c r="J481" s="260">
        <v>0.1</v>
      </c>
      <c r="L481" s="217">
        <f t="shared" si="21"/>
        <v>10571.495074874998</v>
      </c>
      <c r="N481" s="271">
        <f t="shared" si="22"/>
        <v>15328.667858568746</v>
      </c>
      <c r="P481" s="326">
        <f t="shared" si="23"/>
        <v>18547.68810886818</v>
      </c>
    </row>
    <row r="482" spans="1:16">
      <c r="A482" s="206">
        <v>476</v>
      </c>
      <c r="B482" s="175" t="s">
        <v>523</v>
      </c>
      <c r="C482" s="175" t="s">
        <v>2662</v>
      </c>
      <c r="D482" s="3" t="s">
        <v>668</v>
      </c>
      <c r="E482" s="179" t="s">
        <v>669</v>
      </c>
      <c r="F482" s="221">
        <v>7794334009381</v>
      </c>
      <c r="G482" s="216">
        <v>2</v>
      </c>
      <c r="H482" s="5" t="s">
        <v>1191</v>
      </c>
      <c r="I482" s="204">
        <v>23.28</v>
      </c>
      <c r="J482" s="260">
        <v>0.1</v>
      </c>
      <c r="L482" s="217">
        <f t="shared" si="21"/>
        <v>11011.382789399997</v>
      </c>
      <c r="N482" s="271">
        <f t="shared" si="22"/>
        <v>15966.505044629996</v>
      </c>
      <c r="P482" s="326">
        <f t="shared" si="23"/>
        <v>19319.471104002296</v>
      </c>
    </row>
    <row r="483" spans="1:16">
      <c r="A483" s="206">
        <v>477</v>
      </c>
      <c r="B483" s="175" t="s">
        <v>523</v>
      </c>
      <c r="C483" s="175" t="s">
        <v>2662</v>
      </c>
      <c r="D483" s="3" t="s">
        <v>670</v>
      </c>
      <c r="E483" s="179" t="s">
        <v>671</v>
      </c>
      <c r="F483" s="221">
        <v>7794334009398</v>
      </c>
      <c r="G483" s="216">
        <v>2</v>
      </c>
      <c r="H483" s="5" t="s">
        <v>1191</v>
      </c>
      <c r="I483" s="204">
        <v>23.56</v>
      </c>
      <c r="J483" s="260">
        <v>0.1</v>
      </c>
      <c r="L483" s="217">
        <f t="shared" si="21"/>
        <v>11143.8221013</v>
      </c>
      <c r="N483" s="271">
        <f t="shared" si="22"/>
        <v>16158.542046885001</v>
      </c>
      <c r="P483" s="326">
        <f t="shared" si="23"/>
        <v>19551.835876730849</v>
      </c>
    </row>
    <row r="484" spans="1:16">
      <c r="A484" s="206">
        <v>478</v>
      </c>
      <c r="B484" s="175" t="s">
        <v>523</v>
      </c>
      <c r="C484" s="175" t="s">
        <v>2662</v>
      </c>
      <c r="D484" s="3" t="s">
        <v>672</v>
      </c>
      <c r="E484" s="179" t="s">
        <v>673</v>
      </c>
      <c r="F484" s="221">
        <v>7794334009404</v>
      </c>
      <c r="G484" s="216">
        <v>2</v>
      </c>
      <c r="H484" s="5" t="s">
        <v>1191</v>
      </c>
      <c r="I484" s="204">
        <v>24.49</v>
      </c>
      <c r="J484" s="260">
        <v>0.1</v>
      </c>
      <c r="L484" s="217">
        <f t="shared" si="21"/>
        <v>11583.709815824999</v>
      </c>
      <c r="N484" s="271">
        <f t="shared" si="22"/>
        <v>16796.379232946249</v>
      </c>
      <c r="P484" s="326">
        <f t="shared" si="23"/>
        <v>20323.618871864961</v>
      </c>
    </row>
    <row r="485" spans="1:16">
      <c r="A485" s="206">
        <v>479</v>
      </c>
      <c r="B485" s="175" t="s">
        <v>523</v>
      </c>
      <c r="C485" s="175" t="s">
        <v>2662</v>
      </c>
      <c r="D485" s="3" t="s">
        <v>674</v>
      </c>
      <c r="E485" s="179" t="s">
        <v>675</v>
      </c>
      <c r="F485" s="221">
        <v>7794334009411</v>
      </c>
      <c r="G485" s="216">
        <v>2</v>
      </c>
      <c r="H485" s="5" t="s">
        <v>1191</v>
      </c>
      <c r="I485" s="204">
        <v>25.4</v>
      </c>
      <c r="J485" s="260">
        <v>0.1</v>
      </c>
      <c r="L485" s="217">
        <f t="shared" si="21"/>
        <v>12014.1375795</v>
      </c>
      <c r="N485" s="271">
        <f t="shared" si="22"/>
        <v>17420.499490275</v>
      </c>
      <c r="P485" s="326">
        <f t="shared" si="23"/>
        <v>21078.804383232749</v>
      </c>
    </row>
    <row r="486" spans="1:16">
      <c r="A486" s="206">
        <v>480</v>
      </c>
      <c r="B486" s="175" t="s">
        <v>523</v>
      </c>
      <c r="C486" s="175" t="s">
        <v>2662</v>
      </c>
      <c r="D486" s="3" t="s">
        <v>676</v>
      </c>
      <c r="E486" s="179" t="s">
        <v>677</v>
      </c>
      <c r="F486" s="221">
        <v>7794334009428</v>
      </c>
      <c r="G486" s="216">
        <v>2</v>
      </c>
      <c r="H486" s="5" t="s">
        <v>1191</v>
      </c>
      <c r="I486" s="204">
        <v>27.2</v>
      </c>
      <c r="J486" s="260">
        <v>0.1</v>
      </c>
      <c r="L486" s="217">
        <f t="shared" si="21"/>
        <v>12865.533156</v>
      </c>
      <c r="N486" s="271">
        <f t="shared" si="22"/>
        <v>18655.023076199999</v>
      </c>
      <c r="P486" s="326">
        <f t="shared" si="23"/>
        <v>22572.577922201999</v>
      </c>
    </row>
    <row r="487" spans="1:16">
      <c r="A487" s="206">
        <v>481</v>
      </c>
      <c r="B487" s="175" t="s">
        <v>523</v>
      </c>
      <c r="C487" s="175" t="s">
        <v>2662</v>
      </c>
      <c r="D487" s="3" t="s">
        <v>678</v>
      </c>
      <c r="E487" s="179" t="s">
        <v>679</v>
      </c>
      <c r="F487" s="221">
        <v>7794334009435</v>
      </c>
      <c r="G487" s="216">
        <v>2</v>
      </c>
      <c r="H487" s="5" t="s">
        <v>1191</v>
      </c>
      <c r="I487" s="204">
        <v>28.21</v>
      </c>
      <c r="J487" s="260">
        <v>0.1</v>
      </c>
      <c r="L487" s="217">
        <f t="shared" si="21"/>
        <v>13343.260673924999</v>
      </c>
      <c r="N487" s="271">
        <f t="shared" si="22"/>
        <v>19347.727977191247</v>
      </c>
      <c r="P487" s="326">
        <f t="shared" si="23"/>
        <v>23410.750852401408</v>
      </c>
    </row>
    <row r="488" spans="1:16">
      <c r="A488" s="206">
        <v>482</v>
      </c>
      <c r="B488" s="175" t="s">
        <v>523</v>
      </c>
      <c r="C488" s="175" t="s">
        <v>2662</v>
      </c>
      <c r="D488" s="3" t="s">
        <v>680</v>
      </c>
      <c r="E488" s="179" t="s">
        <v>681</v>
      </c>
      <c r="F488" s="221">
        <v>7794334009442</v>
      </c>
      <c r="G488" s="216">
        <v>2</v>
      </c>
      <c r="H488" s="5" t="s">
        <v>1191</v>
      </c>
      <c r="I488" s="204">
        <v>29.73</v>
      </c>
      <c r="J488" s="260">
        <v>0.1</v>
      </c>
      <c r="L488" s="217">
        <f t="shared" si="21"/>
        <v>14062.216938524998</v>
      </c>
      <c r="N488" s="271">
        <f t="shared" si="22"/>
        <v>20390.214560861248</v>
      </c>
      <c r="P488" s="326">
        <f t="shared" si="23"/>
        <v>24672.159618642108</v>
      </c>
    </row>
    <row r="489" spans="1:16">
      <c r="A489" s="206">
        <v>483</v>
      </c>
      <c r="B489" s="175" t="s">
        <v>523</v>
      </c>
      <c r="C489" s="175" t="s">
        <v>2662</v>
      </c>
      <c r="D489" s="3" t="s">
        <v>682</v>
      </c>
      <c r="E489" s="179" t="s">
        <v>683</v>
      </c>
      <c r="F489" s="221">
        <v>7794334009459</v>
      </c>
      <c r="G489" s="216">
        <v>2</v>
      </c>
      <c r="H489" s="5" t="s">
        <v>1191</v>
      </c>
      <c r="I489" s="204">
        <v>31.73</v>
      </c>
      <c r="J489" s="260">
        <v>0.1</v>
      </c>
      <c r="L489" s="217">
        <f t="shared" si="21"/>
        <v>15008.212023524999</v>
      </c>
      <c r="N489" s="271">
        <f t="shared" si="22"/>
        <v>21761.907434111246</v>
      </c>
      <c r="P489" s="326">
        <f t="shared" si="23"/>
        <v>26331.907995274607</v>
      </c>
    </row>
    <row r="490" spans="1:16">
      <c r="A490" s="206">
        <v>484</v>
      </c>
      <c r="B490" s="175" t="s">
        <v>523</v>
      </c>
      <c r="C490" s="175" t="s">
        <v>2662</v>
      </c>
      <c r="D490" s="3" t="s">
        <v>684</v>
      </c>
      <c r="E490" s="179" t="s">
        <v>685</v>
      </c>
      <c r="F490" s="221">
        <v>7794334009466</v>
      </c>
      <c r="G490" s="216">
        <v>2</v>
      </c>
      <c r="H490" s="5" t="s">
        <v>1191</v>
      </c>
      <c r="I490" s="204">
        <v>32.18</v>
      </c>
      <c r="J490" s="260">
        <v>0.1</v>
      </c>
      <c r="L490" s="217">
        <f t="shared" si="21"/>
        <v>15221.060917649998</v>
      </c>
      <c r="N490" s="271">
        <f t="shared" si="22"/>
        <v>22070.538330592495</v>
      </c>
      <c r="P490" s="326">
        <f t="shared" si="23"/>
        <v>26705.351380016917</v>
      </c>
    </row>
    <row r="491" spans="1:16">
      <c r="A491" s="206">
        <v>485</v>
      </c>
      <c r="B491" s="175" t="s">
        <v>523</v>
      </c>
      <c r="C491" s="175" t="s">
        <v>2662</v>
      </c>
      <c r="D491" s="3" t="s">
        <v>686</v>
      </c>
      <c r="E491" s="179" t="s">
        <v>687</v>
      </c>
      <c r="F491" s="221">
        <v>7794334009473</v>
      </c>
      <c r="G491" s="216">
        <v>2</v>
      </c>
      <c r="H491" s="5" t="s">
        <v>1191</v>
      </c>
      <c r="I491" s="204">
        <v>34.15</v>
      </c>
      <c r="J491" s="260">
        <v>0.1</v>
      </c>
      <c r="L491" s="217">
        <f t="shared" si="21"/>
        <v>16152.866076374998</v>
      </c>
      <c r="N491" s="271">
        <f t="shared" si="22"/>
        <v>23421.655810743745</v>
      </c>
      <c r="P491" s="326">
        <f t="shared" si="23"/>
        <v>28340.20353099993</v>
      </c>
    </row>
    <row r="492" spans="1:16">
      <c r="A492" s="206">
        <v>486</v>
      </c>
      <c r="B492" s="175" t="s">
        <v>523</v>
      </c>
      <c r="C492" s="175" t="s">
        <v>2662</v>
      </c>
      <c r="D492" s="3" t="s">
        <v>688</v>
      </c>
      <c r="E492" s="179" t="s">
        <v>689</v>
      </c>
      <c r="F492" s="221">
        <v>7794334009480</v>
      </c>
      <c r="G492" s="216">
        <v>2</v>
      </c>
      <c r="H492" s="5" t="s">
        <v>1191</v>
      </c>
      <c r="I492" s="204">
        <v>35.630000000000003</v>
      </c>
      <c r="J492" s="260">
        <v>0.1</v>
      </c>
      <c r="L492" s="217">
        <f t="shared" si="21"/>
        <v>16852.902439275</v>
      </c>
      <c r="N492" s="271">
        <f t="shared" si="22"/>
        <v>24436.70853694875</v>
      </c>
      <c r="P492" s="326">
        <f t="shared" si="23"/>
        <v>29568.417329707987</v>
      </c>
    </row>
    <row r="493" spans="1:16">
      <c r="A493" s="206">
        <v>487</v>
      </c>
      <c r="B493" s="175" t="s">
        <v>523</v>
      </c>
      <c r="C493" s="175" t="s">
        <v>2662</v>
      </c>
      <c r="D493" s="3" t="s">
        <v>690</v>
      </c>
      <c r="E493" s="179" t="s">
        <v>691</v>
      </c>
      <c r="F493" s="221">
        <v>7794334009497</v>
      </c>
      <c r="G493" s="216">
        <v>2</v>
      </c>
      <c r="H493" s="5" t="s">
        <v>1191</v>
      </c>
      <c r="I493" s="204">
        <v>37.17</v>
      </c>
      <c r="J493" s="260">
        <v>0.1</v>
      </c>
      <c r="L493" s="217">
        <f t="shared" si="21"/>
        <v>17581.318654725001</v>
      </c>
      <c r="N493" s="271">
        <f t="shared" si="22"/>
        <v>25492.912049351249</v>
      </c>
      <c r="P493" s="326">
        <f t="shared" si="23"/>
        <v>30846.42357971501</v>
      </c>
    </row>
    <row r="494" spans="1:16">
      <c r="A494" s="206">
        <v>488</v>
      </c>
      <c r="B494" s="175" t="s">
        <v>523</v>
      </c>
      <c r="C494" s="175" t="s">
        <v>2663</v>
      </c>
      <c r="D494" s="3" t="s">
        <v>692</v>
      </c>
      <c r="E494" s="179" t="s">
        <v>693</v>
      </c>
      <c r="F494" s="221">
        <v>7794334006410</v>
      </c>
      <c r="G494" s="216">
        <v>2</v>
      </c>
      <c r="H494" s="5" t="s">
        <v>1191</v>
      </c>
      <c r="I494" s="204">
        <v>31.35</v>
      </c>
      <c r="J494" s="260">
        <v>0.1</v>
      </c>
      <c r="L494" s="217">
        <f t="shared" si="21"/>
        <v>14828.472957375001</v>
      </c>
      <c r="N494" s="271">
        <f t="shared" si="22"/>
        <v>21501.285788193753</v>
      </c>
      <c r="P494" s="326">
        <f t="shared" si="23"/>
        <v>26016.55580371444</v>
      </c>
    </row>
    <row r="495" spans="1:16">
      <c r="A495" s="206">
        <v>489</v>
      </c>
      <c r="B495" s="175" t="s">
        <v>523</v>
      </c>
      <c r="C495" s="175" t="s">
        <v>2663</v>
      </c>
      <c r="D495" s="3" t="s">
        <v>694</v>
      </c>
      <c r="E495" s="179" t="s">
        <v>695</v>
      </c>
      <c r="F495" s="221">
        <v>7794334005772</v>
      </c>
      <c r="G495" s="216">
        <v>2</v>
      </c>
      <c r="H495" s="5" t="s">
        <v>1191</v>
      </c>
      <c r="I495" s="204">
        <v>15.28</v>
      </c>
      <c r="J495" s="260">
        <v>0.1</v>
      </c>
      <c r="L495" s="217">
        <f t="shared" si="21"/>
        <v>7227.4024493999996</v>
      </c>
      <c r="N495" s="271">
        <f t="shared" si="22"/>
        <v>10479.733551629999</v>
      </c>
      <c r="P495" s="326">
        <f t="shared" si="23"/>
        <v>12680.477597472298</v>
      </c>
    </row>
    <row r="496" spans="1:16">
      <c r="A496" s="206">
        <v>490</v>
      </c>
      <c r="B496" s="175" t="s">
        <v>523</v>
      </c>
      <c r="C496" s="175" t="s">
        <v>2663</v>
      </c>
      <c r="D496" s="3" t="s">
        <v>696</v>
      </c>
      <c r="E496" s="179" t="s">
        <v>697</v>
      </c>
      <c r="F496" s="221">
        <v>7794334005789</v>
      </c>
      <c r="G496" s="216">
        <v>2</v>
      </c>
      <c r="H496" s="5" t="s">
        <v>1191</v>
      </c>
      <c r="I496" s="204">
        <v>17.63</v>
      </c>
      <c r="J496" s="260">
        <v>0.1</v>
      </c>
      <c r="L496" s="217">
        <f t="shared" si="21"/>
        <v>8338.9466742749992</v>
      </c>
      <c r="N496" s="271">
        <f t="shared" si="22"/>
        <v>12091.472677698748</v>
      </c>
      <c r="P496" s="326">
        <f t="shared" si="23"/>
        <v>14630.681940015485</v>
      </c>
    </row>
    <row r="497" spans="1:16">
      <c r="A497" s="206">
        <v>491</v>
      </c>
      <c r="B497" s="175" t="s">
        <v>523</v>
      </c>
      <c r="C497" s="175" t="s">
        <v>2663</v>
      </c>
      <c r="D497" s="3" t="s">
        <v>698</v>
      </c>
      <c r="E497" s="179" t="s">
        <v>699</v>
      </c>
      <c r="F497" s="221">
        <v>7794334011384</v>
      </c>
      <c r="G497" s="216">
        <v>2</v>
      </c>
      <c r="H497" s="5" t="s">
        <v>1191</v>
      </c>
      <c r="I497" s="204">
        <v>39.82</v>
      </c>
      <c r="J497" s="260">
        <v>0.1</v>
      </c>
      <c r="L497" s="217">
        <f t="shared" si="21"/>
        <v>18834.762142349995</v>
      </c>
      <c r="N497" s="271">
        <f t="shared" si="22"/>
        <v>27310.405106407492</v>
      </c>
      <c r="P497" s="326">
        <f t="shared" si="23"/>
        <v>33045.590178753067</v>
      </c>
    </row>
    <row r="498" spans="1:16">
      <c r="A498" s="206">
        <v>492</v>
      </c>
      <c r="B498" s="175" t="s">
        <v>523</v>
      </c>
      <c r="C498" s="175" t="s">
        <v>2663</v>
      </c>
      <c r="D498" s="3" t="s">
        <v>700</v>
      </c>
      <c r="E498" s="179" t="s">
        <v>701</v>
      </c>
      <c r="F498" s="221">
        <v>7794334006434</v>
      </c>
      <c r="G498" s="216">
        <v>2</v>
      </c>
      <c r="H498" s="5" t="s">
        <v>1191</v>
      </c>
      <c r="I498" s="204">
        <v>42.95</v>
      </c>
      <c r="J498" s="260">
        <v>0.1</v>
      </c>
      <c r="L498" s="217">
        <f t="shared" si="21"/>
        <v>20315.244450375001</v>
      </c>
      <c r="N498" s="271">
        <f t="shared" si="22"/>
        <v>29457.10445304375</v>
      </c>
      <c r="P498" s="326">
        <f t="shared" si="23"/>
        <v>35643.096388182938</v>
      </c>
    </row>
    <row r="499" spans="1:16">
      <c r="A499" s="206">
        <v>493</v>
      </c>
      <c r="B499" s="175" t="s">
        <v>523</v>
      </c>
      <c r="C499" s="175" t="s">
        <v>2663</v>
      </c>
      <c r="D499" s="3" t="s">
        <v>702</v>
      </c>
      <c r="E499" s="179" t="s">
        <v>703</v>
      </c>
      <c r="F499" s="221">
        <v>7794334006441</v>
      </c>
      <c r="G499" s="216">
        <v>2</v>
      </c>
      <c r="H499" s="5" t="s">
        <v>1191</v>
      </c>
      <c r="I499" s="204">
        <v>58.12</v>
      </c>
      <c r="J499" s="260">
        <v>0.1</v>
      </c>
      <c r="L499" s="217">
        <f t="shared" si="21"/>
        <v>27490.617170099995</v>
      </c>
      <c r="N499" s="271">
        <f t="shared" si="22"/>
        <v>39861.39489664499</v>
      </c>
      <c r="P499" s="326">
        <f t="shared" si="23"/>
        <v>48232.287824940438</v>
      </c>
    </row>
    <row r="500" spans="1:16">
      <c r="A500" s="206">
        <v>494</v>
      </c>
      <c r="B500" s="175" t="s">
        <v>523</v>
      </c>
      <c r="C500" s="175" t="s">
        <v>2663</v>
      </c>
      <c r="D500" s="3" t="s">
        <v>704</v>
      </c>
      <c r="E500" s="179" t="s">
        <v>705</v>
      </c>
      <c r="F500" s="221">
        <v>7794334011391</v>
      </c>
      <c r="G500" s="216">
        <v>2</v>
      </c>
      <c r="H500" s="5" t="s">
        <v>1191</v>
      </c>
      <c r="I500" s="204">
        <v>19.760000000000002</v>
      </c>
      <c r="J500" s="260">
        <v>0.1</v>
      </c>
      <c r="L500" s="217">
        <f t="shared" si="21"/>
        <v>9346.4314398000024</v>
      </c>
      <c r="N500" s="271">
        <f t="shared" si="22"/>
        <v>13552.325587710004</v>
      </c>
      <c r="P500" s="326">
        <f t="shared" si="23"/>
        <v>16398.313961129104</v>
      </c>
    </row>
    <row r="501" spans="1:16">
      <c r="A501" s="206">
        <v>495</v>
      </c>
      <c r="B501" s="175" t="s">
        <v>523</v>
      </c>
      <c r="C501" s="175" t="s">
        <v>2663</v>
      </c>
      <c r="D501" s="3" t="s">
        <v>706</v>
      </c>
      <c r="E501" s="179" t="s">
        <v>707</v>
      </c>
      <c r="F501" s="221">
        <v>7794334005802</v>
      </c>
      <c r="G501" s="216">
        <v>2</v>
      </c>
      <c r="H501" s="5" t="s">
        <v>1191</v>
      </c>
      <c r="I501" s="204">
        <v>22.95</v>
      </c>
      <c r="J501" s="260">
        <v>0.1</v>
      </c>
      <c r="L501" s="217">
        <f t="shared" si="21"/>
        <v>10855.293600374998</v>
      </c>
      <c r="N501" s="271">
        <f t="shared" si="22"/>
        <v>15740.175720543746</v>
      </c>
      <c r="P501" s="326">
        <f t="shared" si="23"/>
        <v>19045.612621857934</v>
      </c>
    </row>
    <row r="502" spans="1:16">
      <c r="A502" s="206">
        <v>496</v>
      </c>
      <c r="B502" s="175" t="s">
        <v>523</v>
      </c>
      <c r="C502" s="175" t="s">
        <v>2663</v>
      </c>
      <c r="D502" s="4" t="s">
        <v>708</v>
      </c>
      <c r="E502" s="179" t="s">
        <v>709</v>
      </c>
      <c r="F502" s="221">
        <v>7794334005819</v>
      </c>
      <c r="G502" s="216">
        <v>2</v>
      </c>
      <c r="H502" s="5" t="s">
        <v>1191</v>
      </c>
      <c r="I502" s="204">
        <v>29.39</v>
      </c>
      <c r="J502" s="260">
        <v>0.1</v>
      </c>
      <c r="L502" s="217">
        <f t="shared" si="21"/>
        <v>13901.397774075</v>
      </c>
      <c r="N502" s="271">
        <f t="shared" si="22"/>
        <v>20157.02677240875</v>
      </c>
      <c r="P502" s="326">
        <f t="shared" si="23"/>
        <v>24390.002394614585</v>
      </c>
    </row>
    <row r="503" spans="1:16">
      <c r="A503" s="206">
        <v>497</v>
      </c>
      <c r="B503" s="175" t="s">
        <v>523</v>
      </c>
      <c r="C503" s="175" t="s">
        <v>2663</v>
      </c>
      <c r="D503" s="4" t="s">
        <v>710</v>
      </c>
      <c r="E503" s="179" t="s">
        <v>711</v>
      </c>
      <c r="F503" s="221">
        <v>7794334005826</v>
      </c>
      <c r="G503" s="216">
        <v>2</v>
      </c>
      <c r="H503" s="5" t="s">
        <v>1191</v>
      </c>
      <c r="I503" s="204">
        <v>38.090000000000003</v>
      </c>
      <c r="J503" s="260">
        <v>0.1</v>
      </c>
      <c r="L503" s="217">
        <f t="shared" si="21"/>
        <v>18016.476393825</v>
      </c>
      <c r="N503" s="271">
        <f t="shared" si="22"/>
        <v>26123.890771046248</v>
      </c>
      <c r="P503" s="326">
        <f t="shared" si="23"/>
        <v>31609.907832965961</v>
      </c>
    </row>
    <row r="504" spans="1:16">
      <c r="A504" s="206">
        <v>498</v>
      </c>
      <c r="B504" s="175" t="s">
        <v>523</v>
      </c>
      <c r="C504" s="175" t="s">
        <v>2663</v>
      </c>
      <c r="D504" s="4" t="s">
        <v>712</v>
      </c>
      <c r="E504" s="179" t="s">
        <v>713</v>
      </c>
      <c r="F504" s="221">
        <v>7794334005833</v>
      </c>
      <c r="G504" s="216">
        <v>2</v>
      </c>
      <c r="H504" s="5" t="s">
        <v>1191</v>
      </c>
      <c r="I504" s="204">
        <v>54.9</v>
      </c>
      <c r="J504" s="260">
        <v>0.1</v>
      </c>
      <c r="L504" s="217">
        <f t="shared" si="21"/>
        <v>25967.56508325</v>
      </c>
      <c r="N504" s="271">
        <f t="shared" si="22"/>
        <v>37652.969370712497</v>
      </c>
      <c r="P504" s="326">
        <f t="shared" si="23"/>
        <v>45560.09293856212</v>
      </c>
    </row>
    <row r="505" spans="1:16">
      <c r="A505" s="206">
        <v>499</v>
      </c>
      <c r="B505" s="175" t="s">
        <v>523</v>
      </c>
      <c r="C505" s="175" t="s">
        <v>2663</v>
      </c>
      <c r="D505" s="4" t="s">
        <v>714</v>
      </c>
      <c r="E505" s="179" t="s">
        <v>715</v>
      </c>
      <c r="F505" s="221">
        <v>7794334005840</v>
      </c>
      <c r="G505" s="216">
        <v>2</v>
      </c>
      <c r="H505" s="5" t="s">
        <v>1191</v>
      </c>
      <c r="I505" s="204">
        <v>3.7</v>
      </c>
      <c r="J505" s="260">
        <v>0.1</v>
      </c>
      <c r="L505" s="217">
        <f t="shared" si="21"/>
        <v>1750.0909072499999</v>
      </c>
      <c r="N505" s="271">
        <f t="shared" si="22"/>
        <v>2537.6318155124995</v>
      </c>
      <c r="P505" s="326">
        <f t="shared" si="23"/>
        <v>3070.5344967701244</v>
      </c>
    </row>
    <row r="506" spans="1:16">
      <c r="A506" s="206">
        <v>500</v>
      </c>
      <c r="B506" s="175" t="s">
        <v>523</v>
      </c>
      <c r="C506" s="175" t="s">
        <v>2664</v>
      </c>
      <c r="D506" s="4" t="s">
        <v>716</v>
      </c>
      <c r="E506" s="179" t="s">
        <v>717</v>
      </c>
      <c r="F506" s="221">
        <v>7794334005895</v>
      </c>
      <c r="G506" s="216">
        <v>2</v>
      </c>
      <c r="H506" s="5" t="s">
        <v>1191</v>
      </c>
      <c r="I506" s="204">
        <v>34.369999999999997</v>
      </c>
      <c r="J506" s="260">
        <v>0.1</v>
      </c>
      <c r="L506" s="217">
        <f t="shared" si="21"/>
        <v>16256.925535725</v>
      </c>
      <c r="N506" s="271">
        <f t="shared" si="22"/>
        <v>23572.542026801249</v>
      </c>
      <c r="P506" s="326">
        <f t="shared" si="23"/>
        <v>28522.77585242951</v>
      </c>
    </row>
    <row r="507" spans="1:16">
      <c r="A507" s="206">
        <v>501</v>
      </c>
      <c r="B507" s="175" t="s">
        <v>523</v>
      </c>
      <c r="C507" s="175" t="s">
        <v>2664</v>
      </c>
      <c r="D507" s="4" t="s">
        <v>718</v>
      </c>
      <c r="E507" s="179" t="s">
        <v>719</v>
      </c>
      <c r="F507" s="221">
        <v>7794334005901</v>
      </c>
      <c r="G507" s="216">
        <v>2</v>
      </c>
      <c r="H507" s="5" t="s">
        <v>1191</v>
      </c>
      <c r="I507" s="204">
        <v>45.85</v>
      </c>
      <c r="J507" s="260">
        <v>0.1</v>
      </c>
      <c r="L507" s="217">
        <f t="shared" si="21"/>
        <v>21686.937323624999</v>
      </c>
      <c r="N507" s="271">
        <f t="shared" si="22"/>
        <v>31446.05911925625</v>
      </c>
      <c r="P507" s="326">
        <f t="shared" si="23"/>
        <v>38049.731534300059</v>
      </c>
    </row>
    <row r="508" spans="1:16">
      <c r="A508" s="206">
        <v>502</v>
      </c>
      <c r="B508" s="175" t="s">
        <v>523</v>
      </c>
      <c r="C508" s="175" t="s">
        <v>2664</v>
      </c>
      <c r="D508" s="4" t="s">
        <v>720</v>
      </c>
      <c r="E508" s="179" t="s">
        <v>721</v>
      </c>
      <c r="F508" s="221">
        <v>7794334005918</v>
      </c>
      <c r="G508" s="216">
        <v>2</v>
      </c>
      <c r="H508" s="5" t="s">
        <v>1191</v>
      </c>
      <c r="I508" s="204">
        <v>57.93</v>
      </c>
      <c r="J508" s="260">
        <v>0.1</v>
      </c>
      <c r="L508" s="217">
        <f t="shared" si="21"/>
        <v>27400.747637025001</v>
      </c>
      <c r="N508" s="271">
        <f t="shared" si="22"/>
        <v>39731.084073686252</v>
      </c>
      <c r="P508" s="326">
        <f t="shared" si="23"/>
        <v>48074.611729160366</v>
      </c>
    </row>
    <row r="509" spans="1:16">
      <c r="A509" s="206">
        <v>503</v>
      </c>
      <c r="B509" s="175" t="s">
        <v>523</v>
      </c>
      <c r="C509" s="175" t="s">
        <v>2664</v>
      </c>
      <c r="D509" s="4" t="s">
        <v>722</v>
      </c>
      <c r="E509" s="179" t="s">
        <v>723</v>
      </c>
      <c r="F509" s="221">
        <v>7794334005925</v>
      </c>
      <c r="G509" s="216">
        <v>2</v>
      </c>
      <c r="H509" s="5" t="s">
        <v>1191</v>
      </c>
      <c r="I509" s="204">
        <v>67.099999999999994</v>
      </c>
      <c r="J509" s="260">
        <v>0.1</v>
      </c>
      <c r="L509" s="217">
        <f t="shared" si="21"/>
        <v>31738.135101749995</v>
      </c>
      <c r="N509" s="271">
        <f t="shared" si="22"/>
        <v>46020.295897537493</v>
      </c>
      <c r="P509" s="326">
        <f t="shared" si="23"/>
        <v>55684.558036020368</v>
      </c>
    </row>
    <row r="510" spans="1:16">
      <c r="A510" s="206">
        <v>504</v>
      </c>
      <c r="B510" s="175" t="s">
        <v>523</v>
      </c>
      <c r="C510" s="175" t="s">
        <v>2664</v>
      </c>
      <c r="D510" s="4" t="s">
        <v>724</v>
      </c>
      <c r="E510" s="179" t="s">
        <v>725</v>
      </c>
      <c r="F510" s="221">
        <v>7794334005932</v>
      </c>
      <c r="G510" s="216">
        <v>2</v>
      </c>
      <c r="H510" s="5" t="s">
        <v>1191</v>
      </c>
      <c r="I510" s="204">
        <v>81.89</v>
      </c>
      <c r="J510" s="260">
        <v>0.1</v>
      </c>
      <c r="L510" s="217">
        <f t="shared" si="21"/>
        <v>38733.768755325</v>
      </c>
      <c r="N510" s="271">
        <f t="shared" si="22"/>
        <v>56163.96469522125</v>
      </c>
      <c r="P510" s="326">
        <f t="shared" si="23"/>
        <v>67958.397281217709</v>
      </c>
    </row>
    <row r="511" spans="1:16">
      <c r="A511" s="206">
        <v>505</v>
      </c>
      <c r="B511" s="175" t="s">
        <v>523</v>
      </c>
      <c r="C511" s="175" t="s">
        <v>2664</v>
      </c>
      <c r="D511" s="4" t="s">
        <v>726</v>
      </c>
      <c r="E511" s="179" t="s">
        <v>727</v>
      </c>
      <c r="F511" s="221">
        <v>7794334005949</v>
      </c>
      <c r="G511" s="216">
        <v>2</v>
      </c>
      <c r="H511" s="5" t="s">
        <v>1191</v>
      </c>
      <c r="I511" s="204">
        <v>101.48</v>
      </c>
      <c r="J511" s="260">
        <v>0.1</v>
      </c>
      <c r="L511" s="217">
        <f t="shared" si="21"/>
        <v>47999.790612900004</v>
      </c>
      <c r="N511" s="271">
        <f t="shared" si="22"/>
        <v>69599.696388705008</v>
      </c>
      <c r="P511" s="326">
        <f t="shared" si="23"/>
        <v>84215.632630333057</v>
      </c>
    </row>
    <row r="512" spans="1:16">
      <c r="A512" s="206">
        <v>506</v>
      </c>
      <c r="B512" s="175" t="s">
        <v>523</v>
      </c>
      <c r="C512" s="175" t="s">
        <v>2664</v>
      </c>
      <c r="D512" s="4" t="s">
        <v>728</v>
      </c>
      <c r="E512" s="179" t="s">
        <v>729</v>
      </c>
      <c r="F512" s="221">
        <v>7794334005956</v>
      </c>
      <c r="G512" s="216">
        <v>2</v>
      </c>
      <c r="H512" s="5" t="s">
        <v>1191</v>
      </c>
      <c r="I512" s="204">
        <v>115.22</v>
      </c>
      <c r="J512" s="260">
        <v>0.1</v>
      </c>
      <c r="L512" s="217">
        <f t="shared" si="21"/>
        <v>54498.77684685</v>
      </c>
      <c r="N512" s="271">
        <f t="shared" si="22"/>
        <v>79023.226427932503</v>
      </c>
      <c r="P512" s="326">
        <f t="shared" si="23"/>
        <v>95618.103977798324</v>
      </c>
    </row>
    <row r="513" spans="1:16">
      <c r="A513" s="206">
        <v>507</v>
      </c>
      <c r="B513" s="175" t="s">
        <v>523</v>
      </c>
      <c r="C513" s="175" t="s">
        <v>2664</v>
      </c>
      <c r="D513" s="4" t="s">
        <v>730</v>
      </c>
      <c r="E513" s="179" t="s">
        <v>731</v>
      </c>
      <c r="F513" s="221">
        <v>7794334005963</v>
      </c>
      <c r="G513" s="216">
        <v>2</v>
      </c>
      <c r="H513" s="5" t="s">
        <v>1191</v>
      </c>
      <c r="I513" s="204">
        <v>144.51</v>
      </c>
      <c r="J513" s="260">
        <v>0.1</v>
      </c>
      <c r="L513" s="217">
        <f t="shared" si="21"/>
        <v>68352.874866674989</v>
      </c>
      <c r="N513" s="271">
        <f t="shared" si="22"/>
        <v>99111.668556678735</v>
      </c>
      <c r="P513" s="326">
        <f t="shared" si="23"/>
        <v>119925.11895358126</v>
      </c>
    </row>
    <row r="514" spans="1:16">
      <c r="A514" s="206">
        <v>508</v>
      </c>
      <c r="B514" s="175" t="s">
        <v>523</v>
      </c>
      <c r="C514" s="175" t="s">
        <v>2664</v>
      </c>
      <c r="D514" s="4" t="s">
        <v>732</v>
      </c>
      <c r="E514" s="179" t="s">
        <v>733</v>
      </c>
      <c r="F514" s="221">
        <v>7794334005970</v>
      </c>
      <c r="G514" s="216">
        <v>2</v>
      </c>
      <c r="H514" s="5" t="s">
        <v>1191</v>
      </c>
      <c r="I514" s="204">
        <v>169.65</v>
      </c>
      <c r="J514" s="260">
        <v>0.1</v>
      </c>
      <c r="L514" s="217">
        <f t="shared" si="21"/>
        <v>80244.033085124989</v>
      </c>
      <c r="N514" s="271">
        <f t="shared" si="22"/>
        <v>116353.84797343123</v>
      </c>
      <c r="P514" s="326">
        <f t="shared" si="23"/>
        <v>140788.15604785178</v>
      </c>
    </row>
    <row r="515" spans="1:16">
      <c r="A515" s="206">
        <v>509</v>
      </c>
      <c r="B515" s="175" t="s">
        <v>523</v>
      </c>
      <c r="C515" s="175" t="s">
        <v>2664</v>
      </c>
      <c r="D515" s="4" t="s">
        <v>734</v>
      </c>
      <c r="E515" s="179" t="s">
        <v>735</v>
      </c>
      <c r="F515" s="221">
        <v>7794334005987</v>
      </c>
      <c r="G515" s="216">
        <v>2</v>
      </c>
      <c r="H515" s="5" t="s">
        <v>1191</v>
      </c>
      <c r="I515" s="204">
        <v>242.97</v>
      </c>
      <c r="J515" s="260">
        <v>0.1</v>
      </c>
      <c r="L515" s="217">
        <f t="shared" si="21"/>
        <v>114924.21290122499</v>
      </c>
      <c r="N515" s="271">
        <f t="shared" si="22"/>
        <v>166640.10870677623</v>
      </c>
      <c r="P515" s="326">
        <f t="shared" si="23"/>
        <v>201634.53153519923</v>
      </c>
    </row>
    <row r="516" spans="1:16">
      <c r="A516" s="206">
        <v>510</v>
      </c>
      <c r="B516" s="175" t="s">
        <v>523</v>
      </c>
      <c r="C516" s="175" t="s">
        <v>2664</v>
      </c>
      <c r="D516" s="4" t="s">
        <v>736</v>
      </c>
      <c r="E516" s="179" t="s">
        <v>737</v>
      </c>
      <c r="F516" s="221">
        <v>7794334005994</v>
      </c>
      <c r="G516" s="216">
        <v>2</v>
      </c>
      <c r="H516" s="5" t="s">
        <v>1191</v>
      </c>
      <c r="I516" s="204">
        <v>4.24</v>
      </c>
      <c r="J516" s="260">
        <v>0.1</v>
      </c>
      <c r="L516" s="217">
        <f t="shared" si="21"/>
        <v>2005.5095801999998</v>
      </c>
      <c r="N516" s="271">
        <f t="shared" si="22"/>
        <v>2907.9888912899996</v>
      </c>
      <c r="P516" s="326">
        <f t="shared" si="23"/>
        <v>3518.6665584608995</v>
      </c>
    </row>
    <row r="517" spans="1:16">
      <c r="A517" s="206">
        <v>511</v>
      </c>
      <c r="B517" s="175" t="s">
        <v>523</v>
      </c>
      <c r="C517" s="175" t="s">
        <v>2665</v>
      </c>
      <c r="D517" s="4" t="s">
        <v>738</v>
      </c>
      <c r="E517" s="179" t="s">
        <v>739</v>
      </c>
      <c r="F517" s="221">
        <v>7794334005857</v>
      </c>
      <c r="G517" s="216">
        <v>2</v>
      </c>
      <c r="H517" s="5" t="s">
        <v>1191</v>
      </c>
      <c r="I517" s="204">
        <v>13.48</v>
      </c>
      <c r="J517" s="260">
        <v>0.1</v>
      </c>
      <c r="L517" s="217">
        <f t="shared" si="21"/>
        <v>6376.0068729000004</v>
      </c>
      <c r="N517" s="271">
        <f t="shared" si="22"/>
        <v>9245.2099657050003</v>
      </c>
      <c r="P517" s="326">
        <f t="shared" si="23"/>
        <v>11186.70405850305</v>
      </c>
    </row>
    <row r="518" spans="1:16">
      <c r="A518" s="206">
        <v>512</v>
      </c>
      <c r="B518" s="175" t="s">
        <v>523</v>
      </c>
      <c r="C518" s="175" t="s">
        <v>2665</v>
      </c>
      <c r="D518" s="4" t="s">
        <v>740</v>
      </c>
      <c r="E518" s="179" t="s">
        <v>741</v>
      </c>
      <c r="F518" s="221">
        <v>7794334005864</v>
      </c>
      <c r="G518" s="216">
        <v>2</v>
      </c>
      <c r="H518" s="5" t="s">
        <v>1191</v>
      </c>
      <c r="I518" s="204">
        <v>22.95</v>
      </c>
      <c r="J518" s="260">
        <v>0.1</v>
      </c>
      <c r="L518" s="217">
        <f t="shared" si="21"/>
        <v>10855.293600374998</v>
      </c>
      <c r="N518" s="271">
        <f t="shared" si="22"/>
        <v>15740.175720543746</v>
      </c>
      <c r="P518" s="326">
        <f t="shared" si="23"/>
        <v>19045.612621857934</v>
      </c>
    </row>
    <row r="519" spans="1:16">
      <c r="A519" s="206">
        <v>513</v>
      </c>
      <c r="B519" s="175" t="s">
        <v>523</v>
      </c>
      <c r="C519" s="175" t="s">
        <v>2665</v>
      </c>
      <c r="D519" s="4" t="s">
        <v>742</v>
      </c>
      <c r="E519" s="179" t="s">
        <v>743</v>
      </c>
      <c r="F519" s="221">
        <v>7794334005871</v>
      </c>
      <c r="G519" s="216">
        <v>2</v>
      </c>
      <c r="H519" s="5" t="s">
        <v>1191</v>
      </c>
      <c r="I519" s="204">
        <v>9.99</v>
      </c>
      <c r="J519" s="260">
        <v>0.1</v>
      </c>
      <c r="L519" s="217">
        <f t="shared" si="21"/>
        <v>4725.2454495749998</v>
      </c>
      <c r="N519" s="271">
        <f t="shared" si="22"/>
        <v>6851.6059018837495</v>
      </c>
      <c r="P519" s="326">
        <f t="shared" si="23"/>
        <v>8290.4431412793365</v>
      </c>
    </row>
    <row r="520" spans="1:16">
      <c r="A520" s="206">
        <v>514</v>
      </c>
      <c r="B520" s="175" t="s">
        <v>523</v>
      </c>
      <c r="C520" s="175" t="s">
        <v>2665</v>
      </c>
      <c r="D520" s="4" t="s">
        <v>744</v>
      </c>
      <c r="E520" s="179" t="s">
        <v>745</v>
      </c>
      <c r="F520" s="221">
        <v>7794334005888</v>
      </c>
      <c r="G520" s="216">
        <v>2</v>
      </c>
      <c r="H520" s="5" t="s">
        <v>1191</v>
      </c>
      <c r="I520" s="204">
        <v>17.329999999999998</v>
      </c>
      <c r="J520" s="260">
        <v>0.1</v>
      </c>
      <c r="L520" s="217">
        <f t="shared" ref="L520:L583" si="24">+I520*$F$2*$F$3*$F$4*$F$5</f>
        <v>8197.0474115249999</v>
      </c>
      <c r="N520" s="271">
        <f t="shared" si="22"/>
        <v>11885.718746711249</v>
      </c>
      <c r="P520" s="326">
        <f t="shared" si="23"/>
        <v>14381.71968352061</v>
      </c>
    </row>
    <row r="521" spans="1:16">
      <c r="A521" s="206">
        <v>515</v>
      </c>
      <c r="B521" s="175" t="s">
        <v>523</v>
      </c>
      <c r="C521" s="175" t="s">
        <v>2665</v>
      </c>
      <c r="D521" s="4" t="s">
        <v>746</v>
      </c>
      <c r="E521" s="179" t="s">
        <v>747</v>
      </c>
      <c r="F521" s="221">
        <v>7794334010028</v>
      </c>
      <c r="G521" s="216">
        <v>2</v>
      </c>
      <c r="H521" s="5" t="s">
        <v>1191</v>
      </c>
      <c r="I521" s="204">
        <v>14.42</v>
      </c>
      <c r="J521" s="260">
        <v>0.1</v>
      </c>
      <c r="L521" s="217">
        <f t="shared" si="24"/>
        <v>6820.6245628500001</v>
      </c>
      <c r="N521" s="271">
        <f t="shared" ref="N521:N584" si="25">+L521*1.45</f>
        <v>9889.9056161325007</v>
      </c>
      <c r="P521" s="326">
        <f t="shared" ref="P521:P584" si="26">+N521*1.21</f>
        <v>11966.785795520325</v>
      </c>
    </row>
    <row r="522" spans="1:16">
      <c r="A522" s="206">
        <v>516</v>
      </c>
      <c r="B522" s="175" t="s">
        <v>523</v>
      </c>
      <c r="C522" s="175" t="s">
        <v>2665</v>
      </c>
      <c r="D522" s="4" t="s">
        <v>748</v>
      </c>
      <c r="E522" s="179" t="s">
        <v>749</v>
      </c>
      <c r="F522" s="221">
        <v>7794334010035</v>
      </c>
      <c r="G522" s="216">
        <v>2</v>
      </c>
      <c r="H522" s="5" t="s">
        <v>1191</v>
      </c>
      <c r="I522" s="204">
        <v>24.98</v>
      </c>
      <c r="J522" s="260">
        <v>0.1</v>
      </c>
      <c r="L522" s="217">
        <f t="shared" si="24"/>
        <v>11815.478611649998</v>
      </c>
      <c r="N522" s="271">
        <f t="shared" si="25"/>
        <v>17132.443986892496</v>
      </c>
      <c r="P522" s="326">
        <f t="shared" si="26"/>
        <v>20730.257224139921</v>
      </c>
    </row>
    <row r="523" spans="1:16">
      <c r="A523" s="206">
        <v>517</v>
      </c>
      <c r="B523" s="175" t="s">
        <v>523</v>
      </c>
      <c r="C523" s="175" t="s">
        <v>2665</v>
      </c>
      <c r="D523" s="4" t="s">
        <v>750</v>
      </c>
      <c r="E523" s="179" t="s">
        <v>751</v>
      </c>
      <c r="F523" s="221">
        <v>7794334006007</v>
      </c>
      <c r="G523" s="216">
        <v>2</v>
      </c>
      <c r="H523" s="5" t="s">
        <v>1191</v>
      </c>
      <c r="I523" s="204">
        <v>19.23</v>
      </c>
      <c r="J523" s="260">
        <v>0.1</v>
      </c>
      <c r="L523" s="217">
        <f t="shared" si="24"/>
        <v>9095.7427422749988</v>
      </c>
      <c r="N523" s="271">
        <f t="shared" si="25"/>
        <v>13188.826976298747</v>
      </c>
      <c r="P523" s="326">
        <f t="shared" si="26"/>
        <v>15958.480641321485</v>
      </c>
    </row>
    <row r="524" spans="1:16">
      <c r="A524" s="206">
        <v>518</v>
      </c>
      <c r="B524" s="175" t="s">
        <v>523</v>
      </c>
      <c r="C524" s="175" t="s">
        <v>2665</v>
      </c>
      <c r="D524" s="4" t="s">
        <v>752</v>
      </c>
      <c r="E524" s="179" t="s">
        <v>753</v>
      </c>
      <c r="F524" s="221">
        <v>7794334010042</v>
      </c>
      <c r="G524" s="216">
        <v>2</v>
      </c>
      <c r="H524" s="5" t="s">
        <v>1191</v>
      </c>
      <c r="I524" s="204">
        <v>21.33</v>
      </c>
      <c r="J524" s="260">
        <v>0.1</v>
      </c>
      <c r="L524" s="217">
        <f t="shared" si="24"/>
        <v>10089.037581525001</v>
      </c>
      <c r="N524" s="271">
        <f t="shared" si="25"/>
        <v>14629.104493211251</v>
      </c>
      <c r="P524" s="326">
        <f t="shared" si="26"/>
        <v>17701.216436785613</v>
      </c>
    </row>
    <row r="525" spans="1:16">
      <c r="A525" s="206">
        <v>519</v>
      </c>
      <c r="B525" s="175" t="s">
        <v>523</v>
      </c>
      <c r="C525" s="175" t="s">
        <v>2665</v>
      </c>
      <c r="D525" s="4" t="s">
        <v>754</v>
      </c>
      <c r="E525" s="179" t="s">
        <v>755</v>
      </c>
      <c r="F525" s="221">
        <v>7794334006021</v>
      </c>
      <c r="G525" s="216">
        <v>2</v>
      </c>
      <c r="H525" s="5" t="s">
        <v>1191</v>
      </c>
      <c r="I525" s="204">
        <v>17.690000000000001</v>
      </c>
      <c r="J525" s="260">
        <v>0.1</v>
      </c>
      <c r="L525" s="217">
        <f t="shared" si="24"/>
        <v>8367.3265268249997</v>
      </c>
      <c r="N525" s="271">
        <f t="shared" si="25"/>
        <v>12132.623463896249</v>
      </c>
      <c r="P525" s="326">
        <f t="shared" si="26"/>
        <v>14680.474391314461</v>
      </c>
    </row>
    <row r="526" spans="1:16">
      <c r="A526" s="206">
        <v>520</v>
      </c>
      <c r="B526" s="175" t="s">
        <v>523</v>
      </c>
      <c r="C526" s="175" t="s">
        <v>2665</v>
      </c>
      <c r="D526" s="4" t="s">
        <v>756</v>
      </c>
      <c r="E526" s="179" t="s">
        <v>757</v>
      </c>
      <c r="F526" s="221">
        <v>7794334006038</v>
      </c>
      <c r="G526" s="216">
        <v>2</v>
      </c>
      <c r="H526" s="5" t="s">
        <v>1191</v>
      </c>
      <c r="I526" s="204">
        <v>21.84</v>
      </c>
      <c r="J526" s="260">
        <v>0.1</v>
      </c>
      <c r="L526" s="217">
        <f t="shared" si="24"/>
        <v>10330.266328199999</v>
      </c>
      <c r="N526" s="271">
        <f t="shared" si="25"/>
        <v>14978.886175889998</v>
      </c>
      <c r="P526" s="326">
        <f t="shared" si="26"/>
        <v>18124.452272826897</v>
      </c>
    </row>
    <row r="527" spans="1:16">
      <c r="A527" s="206">
        <v>521</v>
      </c>
      <c r="B527" s="175" t="s">
        <v>523</v>
      </c>
      <c r="C527" s="175" t="s">
        <v>2665</v>
      </c>
      <c r="D527" s="3" t="s">
        <v>3545</v>
      </c>
      <c r="E527" s="179" t="s">
        <v>3546</v>
      </c>
      <c r="F527" s="221">
        <v>7794334244515</v>
      </c>
      <c r="G527" s="216">
        <v>5</v>
      </c>
      <c r="H527" s="5" t="s">
        <v>1191</v>
      </c>
      <c r="I527" s="204">
        <v>2.2999999999999998</v>
      </c>
      <c r="J527" s="260">
        <v>0.1</v>
      </c>
      <c r="L527" s="217">
        <f t="shared" si="24"/>
        <v>1087.8943477499997</v>
      </c>
      <c r="N527" s="271">
        <f t="shared" si="25"/>
        <v>1577.4468042374995</v>
      </c>
      <c r="P527" s="326">
        <f t="shared" si="26"/>
        <v>1908.7106331273742</v>
      </c>
    </row>
    <row r="528" spans="1:16">
      <c r="A528" s="206">
        <v>522</v>
      </c>
      <c r="B528" s="175" t="s">
        <v>523</v>
      </c>
      <c r="C528" s="175" t="s">
        <v>2665</v>
      </c>
      <c r="D528" s="3" t="s">
        <v>3547</v>
      </c>
      <c r="E528" s="179" t="s">
        <v>3548</v>
      </c>
      <c r="F528" s="221">
        <v>7794334244522</v>
      </c>
      <c r="G528" s="216">
        <v>5</v>
      </c>
      <c r="H528" s="5" t="s">
        <v>1191</v>
      </c>
      <c r="I528" s="204">
        <v>2.4</v>
      </c>
      <c r="J528" s="260">
        <v>0.1</v>
      </c>
      <c r="L528" s="217">
        <f t="shared" si="24"/>
        <v>1135.1941019999999</v>
      </c>
      <c r="N528" s="271">
        <f t="shared" si="25"/>
        <v>1646.0314478999999</v>
      </c>
      <c r="P528" s="326">
        <f t="shared" si="26"/>
        <v>1991.6980519589997</v>
      </c>
    </row>
    <row r="529" spans="1:16">
      <c r="A529" s="206">
        <v>523</v>
      </c>
      <c r="B529" s="175" t="s">
        <v>523</v>
      </c>
      <c r="C529" s="175" t="s">
        <v>2665</v>
      </c>
      <c r="D529" s="3" t="s">
        <v>3549</v>
      </c>
      <c r="E529" s="179" t="s">
        <v>3550</v>
      </c>
      <c r="F529" s="221">
        <v>7794334244539</v>
      </c>
      <c r="G529" s="216">
        <v>5</v>
      </c>
      <c r="H529" s="5" t="s">
        <v>1191</v>
      </c>
      <c r="I529" s="204">
        <v>2.44</v>
      </c>
      <c r="J529" s="260">
        <v>0.1</v>
      </c>
      <c r="L529" s="217">
        <f t="shared" si="24"/>
        <v>1154.1140036999998</v>
      </c>
      <c r="N529" s="271">
        <f t="shared" si="25"/>
        <v>1673.4653053649997</v>
      </c>
      <c r="P529" s="326">
        <f t="shared" si="26"/>
        <v>2024.8930194916495</v>
      </c>
    </row>
    <row r="530" spans="1:16">
      <c r="A530" s="206">
        <v>524</v>
      </c>
      <c r="B530" s="175" t="s">
        <v>523</v>
      </c>
      <c r="C530" s="175" t="s">
        <v>2665</v>
      </c>
      <c r="D530" s="3" t="s">
        <v>3551</v>
      </c>
      <c r="E530" s="179" t="s">
        <v>3552</v>
      </c>
      <c r="F530" s="221">
        <v>7794334244546</v>
      </c>
      <c r="G530" s="216">
        <v>5</v>
      </c>
      <c r="H530" s="5" t="s">
        <v>1191</v>
      </c>
      <c r="I530" s="204">
        <v>2.5099999999999998</v>
      </c>
      <c r="J530" s="260">
        <v>0.1</v>
      </c>
      <c r="L530" s="217">
        <f t="shared" si="24"/>
        <v>1187.2238316749999</v>
      </c>
      <c r="N530" s="271">
        <f t="shared" si="25"/>
        <v>1721.4745559287499</v>
      </c>
      <c r="P530" s="326">
        <f t="shared" si="26"/>
        <v>2082.9842126737872</v>
      </c>
    </row>
    <row r="531" spans="1:16">
      <c r="A531" s="206">
        <v>525</v>
      </c>
      <c r="B531" s="175" t="s">
        <v>523</v>
      </c>
      <c r="C531" s="175" t="s">
        <v>2665</v>
      </c>
      <c r="D531" s="3" t="s">
        <v>3553</v>
      </c>
      <c r="E531" s="179" t="s">
        <v>3554</v>
      </c>
      <c r="F531" s="221">
        <v>7794334244553</v>
      </c>
      <c r="G531" s="216">
        <v>5</v>
      </c>
      <c r="H531" s="5" t="s">
        <v>1191</v>
      </c>
      <c r="I531" s="204">
        <v>2.8</v>
      </c>
      <c r="J531" s="260">
        <v>0.1</v>
      </c>
      <c r="L531" s="217">
        <f t="shared" si="24"/>
        <v>1324.3931189999998</v>
      </c>
      <c r="N531" s="271">
        <f t="shared" si="25"/>
        <v>1920.3700225499997</v>
      </c>
      <c r="P531" s="326">
        <f t="shared" si="26"/>
        <v>2323.6477272854995</v>
      </c>
    </row>
    <row r="532" spans="1:16">
      <c r="A532" s="206">
        <v>526</v>
      </c>
      <c r="B532" s="175" t="s">
        <v>523</v>
      </c>
      <c r="C532" s="175" t="s">
        <v>2665</v>
      </c>
      <c r="D532" s="3" t="s">
        <v>3555</v>
      </c>
      <c r="E532" s="179" t="s">
        <v>3556</v>
      </c>
      <c r="F532" s="221">
        <v>7794334244560</v>
      </c>
      <c r="G532" s="216">
        <v>5</v>
      </c>
      <c r="H532" s="5" t="s">
        <v>1191</v>
      </c>
      <c r="I532" s="204">
        <v>2.89</v>
      </c>
      <c r="J532" s="260">
        <v>0.1</v>
      </c>
      <c r="L532" s="217">
        <f t="shared" si="24"/>
        <v>1366.962897825</v>
      </c>
      <c r="N532" s="271">
        <f t="shared" si="25"/>
        <v>1982.0962018462499</v>
      </c>
      <c r="P532" s="326">
        <f t="shared" si="26"/>
        <v>2398.3364042339622</v>
      </c>
    </row>
    <row r="533" spans="1:16">
      <c r="A533" s="206">
        <v>527</v>
      </c>
      <c r="B533" s="175" t="s">
        <v>523</v>
      </c>
      <c r="C533" s="175" t="s">
        <v>2665</v>
      </c>
      <c r="D533" s="3" t="s">
        <v>3557</v>
      </c>
      <c r="E533" s="179" t="s">
        <v>3558</v>
      </c>
      <c r="F533" s="221">
        <v>7794334244577</v>
      </c>
      <c r="G533" s="216">
        <v>5</v>
      </c>
      <c r="H533" s="5" t="s">
        <v>1191</v>
      </c>
      <c r="I533" s="204">
        <v>3.05</v>
      </c>
      <c r="J533" s="260">
        <v>0.1</v>
      </c>
      <c r="L533" s="217">
        <f t="shared" si="24"/>
        <v>1442.6425046249997</v>
      </c>
      <c r="N533" s="271">
        <f t="shared" si="25"/>
        <v>2091.8316317062495</v>
      </c>
      <c r="P533" s="326">
        <f t="shared" si="26"/>
        <v>2531.1162743645618</v>
      </c>
    </row>
    <row r="534" spans="1:16">
      <c r="A534" s="206">
        <v>528</v>
      </c>
      <c r="B534" s="175" t="s">
        <v>523</v>
      </c>
      <c r="C534" s="175" t="s">
        <v>2665</v>
      </c>
      <c r="D534" s="3" t="s">
        <v>3559</v>
      </c>
      <c r="E534" s="179" t="s">
        <v>3560</v>
      </c>
      <c r="F534" s="221">
        <v>7794334244584</v>
      </c>
      <c r="G534" s="216">
        <v>5</v>
      </c>
      <c r="H534" s="5" t="s">
        <v>1191</v>
      </c>
      <c r="I534" s="204">
        <v>3.21</v>
      </c>
      <c r="J534" s="260">
        <v>0.1</v>
      </c>
      <c r="L534" s="217">
        <f t="shared" si="24"/>
        <v>1518.322111425</v>
      </c>
      <c r="N534" s="271">
        <f t="shared" si="25"/>
        <v>2201.5670615662498</v>
      </c>
      <c r="P534" s="326">
        <f t="shared" si="26"/>
        <v>2663.8961444951619</v>
      </c>
    </row>
    <row r="535" spans="1:16">
      <c r="A535" s="206">
        <v>529</v>
      </c>
      <c r="B535" s="175" t="s">
        <v>523</v>
      </c>
      <c r="C535" s="175" t="s">
        <v>2665</v>
      </c>
      <c r="D535" s="3" t="s">
        <v>3561</v>
      </c>
      <c r="E535" s="179" t="s">
        <v>3562</v>
      </c>
      <c r="F535" s="221">
        <v>7794334244591</v>
      </c>
      <c r="G535" s="216">
        <v>5</v>
      </c>
      <c r="H535" s="5" t="s">
        <v>1191</v>
      </c>
      <c r="I535" s="204">
        <v>3.29</v>
      </c>
      <c r="J535" s="260">
        <v>0.1</v>
      </c>
      <c r="L535" s="217">
        <f t="shared" si="24"/>
        <v>1556.1619148249999</v>
      </c>
      <c r="N535" s="271">
        <f t="shared" si="25"/>
        <v>2256.4347764962499</v>
      </c>
      <c r="P535" s="326">
        <f t="shared" si="26"/>
        <v>2730.2860795604624</v>
      </c>
    </row>
    <row r="536" spans="1:16">
      <c r="A536" s="206">
        <v>530</v>
      </c>
      <c r="B536" s="175" t="s">
        <v>523</v>
      </c>
      <c r="C536" s="175" t="s">
        <v>2665</v>
      </c>
      <c r="D536" s="3" t="s">
        <v>3563</v>
      </c>
      <c r="E536" s="179" t="s">
        <v>3564</v>
      </c>
      <c r="F536" s="221">
        <v>7794334244607</v>
      </c>
      <c r="G536" s="216">
        <v>5</v>
      </c>
      <c r="H536" s="5" t="s">
        <v>1191</v>
      </c>
      <c r="I536" s="204">
        <v>3.61</v>
      </c>
      <c r="J536" s="260">
        <v>0.1</v>
      </c>
      <c r="L536" s="217">
        <f t="shared" si="24"/>
        <v>1707.5211284249997</v>
      </c>
      <c r="N536" s="271">
        <f t="shared" si="25"/>
        <v>2475.9056362162496</v>
      </c>
      <c r="P536" s="326">
        <f t="shared" si="26"/>
        <v>2995.8458198216617</v>
      </c>
    </row>
    <row r="537" spans="1:16">
      <c r="A537" s="206">
        <v>531</v>
      </c>
      <c r="B537" s="175" t="s">
        <v>523</v>
      </c>
      <c r="C537" s="175" t="s">
        <v>2665</v>
      </c>
      <c r="D537" s="3" t="s">
        <v>3565</v>
      </c>
      <c r="E537" s="179" t="s">
        <v>3566</v>
      </c>
      <c r="F537" s="221">
        <v>7794334244614</v>
      </c>
      <c r="G537" s="216">
        <v>5</v>
      </c>
      <c r="H537" s="5" t="s">
        <v>1191</v>
      </c>
      <c r="I537" s="204">
        <v>4.1100000000000003</v>
      </c>
      <c r="J537" s="260">
        <v>0.1</v>
      </c>
      <c r="L537" s="217">
        <f t="shared" si="24"/>
        <v>1944.019899675</v>
      </c>
      <c r="N537" s="271">
        <f t="shared" si="25"/>
        <v>2818.8288545287501</v>
      </c>
      <c r="P537" s="326">
        <f t="shared" si="26"/>
        <v>3410.7829139797873</v>
      </c>
    </row>
    <row r="538" spans="1:16">
      <c r="A538" s="206">
        <v>532</v>
      </c>
      <c r="B538" s="175" t="s">
        <v>523</v>
      </c>
      <c r="C538" s="175" t="s">
        <v>2665</v>
      </c>
      <c r="D538" s="3" t="s">
        <v>3567</v>
      </c>
      <c r="E538" s="179" t="s">
        <v>3568</v>
      </c>
      <c r="F538" s="221">
        <v>7794334244621</v>
      </c>
      <c r="G538" s="216">
        <v>5</v>
      </c>
      <c r="H538" s="5" t="s">
        <v>1191</v>
      </c>
      <c r="I538" s="204">
        <v>4.26</v>
      </c>
      <c r="J538" s="260">
        <v>0.1</v>
      </c>
      <c r="L538" s="217">
        <f t="shared" si="24"/>
        <v>2014.9695310499994</v>
      </c>
      <c r="N538" s="271">
        <f t="shared" si="25"/>
        <v>2921.7058200224992</v>
      </c>
      <c r="P538" s="326">
        <f t="shared" si="26"/>
        <v>3535.2640422272239</v>
      </c>
    </row>
    <row r="539" spans="1:16">
      <c r="A539" s="206">
        <v>533</v>
      </c>
      <c r="B539" s="175" t="s">
        <v>523</v>
      </c>
      <c r="C539" s="175" t="s">
        <v>2665</v>
      </c>
      <c r="D539" s="3" t="s">
        <v>3569</v>
      </c>
      <c r="E539" s="179" t="s">
        <v>3570</v>
      </c>
      <c r="F539" s="221">
        <v>7794334244638</v>
      </c>
      <c r="G539" s="216">
        <v>5</v>
      </c>
      <c r="H539" s="5" t="s">
        <v>1191</v>
      </c>
      <c r="I539" s="204">
        <v>5.08</v>
      </c>
      <c r="J539" s="260">
        <v>0.1</v>
      </c>
      <c r="L539" s="217">
        <f t="shared" si="24"/>
        <v>2402.8275158999995</v>
      </c>
      <c r="N539" s="271">
        <f t="shared" si="25"/>
        <v>3484.0998980549994</v>
      </c>
      <c r="P539" s="326">
        <f t="shared" si="26"/>
        <v>4215.7608766465491</v>
      </c>
    </row>
    <row r="540" spans="1:16">
      <c r="A540" s="206">
        <v>534</v>
      </c>
      <c r="B540" s="175" t="s">
        <v>523</v>
      </c>
      <c r="C540" s="175" t="s">
        <v>2666</v>
      </c>
      <c r="D540" s="187" t="s">
        <v>2667</v>
      </c>
      <c r="E540" s="183" t="s">
        <v>2668</v>
      </c>
      <c r="F540" s="221">
        <v>7794334002115</v>
      </c>
      <c r="G540" s="216">
        <v>10</v>
      </c>
      <c r="H540" s="5" t="s">
        <v>1191</v>
      </c>
      <c r="I540" s="204">
        <v>1.41</v>
      </c>
      <c r="J540" s="260">
        <v>0.1</v>
      </c>
      <c r="L540" s="217">
        <f t="shared" si="24"/>
        <v>666.92653492499983</v>
      </c>
      <c r="N540" s="271">
        <f t="shared" si="25"/>
        <v>967.04347564124976</v>
      </c>
      <c r="P540" s="326">
        <f t="shared" si="26"/>
        <v>1170.1226055259121</v>
      </c>
    </row>
    <row r="541" spans="1:16">
      <c r="A541" s="206">
        <v>535</v>
      </c>
      <c r="B541" s="175" t="s">
        <v>523</v>
      </c>
      <c r="C541" s="175" t="s">
        <v>2666</v>
      </c>
      <c r="D541" s="187" t="s">
        <v>2669</v>
      </c>
      <c r="E541" s="183" t="s">
        <v>2670</v>
      </c>
      <c r="F541" s="221">
        <v>7794334002146</v>
      </c>
      <c r="G541" s="216">
        <v>10</v>
      </c>
      <c r="H541" s="5" t="s">
        <v>1191</v>
      </c>
      <c r="I541" s="204">
        <v>1.48</v>
      </c>
      <c r="J541" s="260">
        <v>0.1</v>
      </c>
      <c r="L541" s="217">
        <f t="shared" si="24"/>
        <v>700.03636289999986</v>
      </c>
      <c r="N541" s="271">
        <f t="shared" si="25"/>
        <v>1015.0527262049998</v>
      </c>
      <c r="P541" s="326">
        <f t="shared" si="26"/>
        <v>1228.2137987080496</v>
      </c>
    </row>
    <row r="542" spans="1:16">
      <c r="A542" s="206">
        <v>536</v>
      </c>
      <c r="B542" s="175" t="s">
        <v>523</v>
      </c>
      <c r="C542" s="175" t="s">
        <v>2666</v>
      </c>
      <c r="D542" s="187" t="s">
        <v>2671</v>
      </c>
      <c r="E542" s="183" t="s">
        <v>2672</v>
      </c>
      <c r="F542" s="221">
        <v>7794334002160</v>
      </c>
      <c r="G542" s="216">
        <v>10</v>
      </c>
      <c r="H542" s="5" t="s">
        <v>1191</v>
      </c>
      <c r="I542" s="204">
        <v>1.63</v>
      </c>
      <c r="J542" s="260">
        <v>0.1</v>
      </c>
      <c r="L542" s="217">
        <f t="shared" si="24"/>
        <v>770.98599427499994</v>
      </c>
      <c r="N542" s="271">
        <f t="shared" si="25"/>
        <v>1117.9296916987498</v>
      </c>
      <c r="P542" s="326">
        <f t="shared" si="26"/>
        <v>1352.6949269554873</v>
      </c>
    </row>
    <row r="543" spans="1:16">
      <c r="A543" s="206">
        <v>537</v>
      </c>
      <c r="B543" s="175" t="s">
        <v>523</v>
      </c>
      <c r="C543" s="175" t="s">
        <v>2666</v>
      </c>
      <c r="D543" s="187" t="s">
        <v>2673</v>
      </c>
      <c r="E543" s="183" t="s">
        <v>2674</v>
      </c>
      <c r="F543" s="221">
        <v>7794334243563</v>
      </c>
      <c r="G543" s="216">
        <v>10</v>
      </c>
      <c r="H543" s="5" t="s">
        <v>1191</v>
      </c>
      <c r="I543" s="204">
        <v>2.2200000000000002</v>
      </c>
      <c r="J543" s="260">
        <v>0.1</v>
      </c>
      <c r="L543" s="217">
        <f t="shared" si="24"/>
        <v>1050.0545443500002</v>
      </c>
      <c r="N543" s="271">
        <f t="shared" si="25"/>
        <v>1522.5790893075002</v>
      </c>
      <c r="P543" s="326">
        <f t="shared" si="26"/>
        <v>1842.3206980620753</v>
      </c>
    </row>
    <row r="544" spans="1:16">
      <c r="A544" s="206">
        <v>538</v>
      </c>
      <c r="B544" s="175" t="s">
        <v>523</v>
      </c>
      <c r="C544" s="175" t="s">
        <v>2666</v>
      </c>
      <c r="D544" s="187" t="s">
        <v>2675</v>
      </c>
      <c r="E544" s="183" t="s">
        <v>2676</v>
      </c>
      <c r="F544" s="221">
        <v>7794334243556</v>
      </c>
      <c r="G544" s="216">
        <v>10</v>
      </c>
      <c r="H544" s="5" t="s">
        <v>1191</v>
      </c>
      <c r="I544" s="204">
        <v>2.65</v>
      </c>
      <c r="J544" s="260">
        <v>0.1</v>
      </c>
      <c r="L544" s="217">
        <f t="shared" si="24"/>
        <v>1253.443487625</v>
      </c>
      <c r="N544" s="271">
        <f t="shared" si="25"/>
        <v>1817.4930570562499</v>
      </c>
      <c r="P544" s="326">
        <f t="shared" si="26"/>
        <v>2199.1665990380625</v>
      </c>
    </row>
    <row r="545" spans="1:16">
      <c r="A545" s="206">
        <v>539</v>
      </c>
      <c r="B545" s="175" t="s">
        <v>523</v>
      </c>
      <c r="C545" s="175" t="s">
        <v>2666</v>
      </c>
      <c r="D545" s="187" t="s">
        <v>4016</v>
      </c>
      <c r="E545" s="183" t="s">
        <v>4017</v>
      </c>
      <c r="F545" s="221">
        <v>7794334248650</v>
      </c>
      <c r="G545" s="216">
        <v>10</v>
      </c>
      <c r="H545" s="5" t="s">
        <v>1191</v>
      </c>
      <c r="I545" s="204">
        <v>3.3</v>
      </c>
      <c r="J545" s="260">
        <v>0.1</v>
      </c>
      <c r="L545" s="217">
        <f t="shared" si="24"/>
        <v>1560.89189025</v>
      </c>
      <c r="N545" s="271">
        <f t="shared" si="25"/>
        <v>2263.2932408624997</v>
      </c>
      <c r="P545" s="326">
        <f t="shared" si="26"/>
        <v>2738.5848214436246</v>
      </c>
    </row>
    <row r="546" spans="1:16" ht="15" customHeight="1">
      <c r="A546" s="206">
        <v>540</v>
      </c>
      <c r="B546" s="175" t="s">
        <v>523</v>
      </c>
      <c r="C546" s="175" t="s">
        <v>2666</v>
      </c>
      <c r="D546" s="3" t="s">
        <v>758</v>
      </c>
      <c r="E546" s="179" t="s">
        <v>759</v>
      </c>
      <c r="F546" s="221">
        <v>7794334241590</v>
      </c>
      <c r="G546" s="216">
        <v>10</v>
      </c>
      <c r="H546" s="5" t="s">
        <v>1191</v>
      </c>
      <c r="I546" s="204">
        <v>2</v>
      </c>
      <c r="J546" s="260">
        <v>0.1</v>
      </c>
      <c r="L546" s="217">
        <f t="shared" si="24"/>
        <v>945.9950849999999</v>
      </c>
      <c r="N546" s="271">
        <f t="shared" si="25"/>
        <v>1371.6928732499998</v>
      </c>
      <c r="P546" s="326">
        <f t="shared" si="26"/>
        <v>1659.7483766324997</v>
      </c>
    </row>
    <row r="547" spans="1:16" ht="15" customHeight="1">
      <c r="A547" s="206">
        <v>541</v>
      </c>
      <c r="B547" s="175" t="s">
        <v>523</v>
      </c>
      <c r="C547" s="175" t="s">
        <v>2666</v>
      </c>
      <c r="D547" s="3" t="s">
        <v>760</v>
      </c>
      <c r="E547" s="179" t="s">
        <v>761</v>
      </c>
      <c r="F547" s="221">
        <v>7794334241606</v>
      </c>
      <c r="G547" s="216">
        <v>10</v>
      </c>
      <c r="H547" s="5" t="s">
        <v>1191</v>
      </c>
      <c r="I547" s="204">
        <v>2.1</v>
      </c>
      <c r="J547" s="260">
        <v>0.1</v>
      </c>
      <c r="L547" s="217">
        <f t="shared" si="24"/>
        <v>993.29483924999977</v>
      </c>
      <c r="N547" s="271">
        <f t="shared" si="25"/>
        <v>1440.2775169124996</v>
      </c>
      <c r="P547" s="326">
        <f t="shared" si="26"/>
        <v>1742.7357954641243</v>
      </c>
    </row>
    <row r="548" spans="1:16" ht="15" customHeight="1">
      <c r="A548" s="206">
        <v>542</v>
      </c>
      <c r="B548" s="175" t="s">
        <v>523</v>
      </c>
      <c r="C548" s="175" t="s">
        <v>2666</v>
      </c>
      <c r="D548" s="3" t="s">
        <v>762</v>
      </c>
      <c r="E548" s="179" t="s">
        <v>763</v>
      </c>
      <c r="F548" s="221">
        <v>7794334241613</v>
      </c>
      <c r="G548" s="216">
        <v>10</v>
      </c>
      <c r="H548" s="5" t="s">
        <v>1191</v>
      </c>
      <c r="I548" s="204">
        <v>2.1</v>
      </c>
      <c r="J548" s="260">
        <v>0.1</v>
      </c>
      <c r="L548" s="217">
        <f t="shared" si="24"/>
        <v>993.29483924999977</v>
      </c>
      <c r="N548" s="271">
        <f t="shared" si="25"/>
        <v>1440.2775169124996</v>
      </c>
      <c r="P548" s="326">
        <f t="shared" si="26"/>
        <v>1742.7357954641243</v>
      </c>
    </row>
    <row r="549" spans="1:16" ht="15" customHeight="1">
      <c r="A549" s="206">
        <v>543</v>
      </c>
      <c r="B549" s="175" t="s">
        <v>523</v>
      </c>
      <c r="C549" s="175" t="s">
        <v>2666</v>
      </c>
      <c r="D549" s="3" t="s">
        <v>764</v>
      </c>
      <c r="E549" s="179" t="s">
        <v>765</v>
      </c>
      <c r="F549" s="221">
        <v>7794334241620</v>
      </c>
      <c r="G549" s="216">
        <v>5</v>
      </c>
      <c r="H549" s="5" t="s">
        <v>1191</v>
      </c>
      <c r="I549" s="204">
        <v>6.5</v>
      </c>
      <c r="J549" s="260">
        <v>0.1</v>
      </c>
      <c r="L549" s="217">
        <f t="shared" si="24"/>
        <v>3074.4840262500002</v>
      </c>
      <c r="N549" s="271">
        <f t="shared" si="25"/>
        <v>4458.0018380624997</v>
      </c>
      <c r="P549" s="326">
        <f t="shared" si="26"/>
        <v>5394.1822240556248</v>
      </c>
    </row>
    <row r="550" spans="1:16" ht="15" customHeight="1">
      <c r="A550" s="206">
        <v>544</v>
      </c>
      <c r="B550" s="175" t="s">
        <v>523</v>
      </c>
      <c r="C550" s="175" t="s">
        <v>2666</v>
      </c>
      <c r="D550" s="3" t="s">
        <v>766</v>
      </c>
      <c r="E550" s="179" t="s">
        <v>767</v>
      </c>
      <c r="F550" s="221">
        <v>7794334241637</v>
      </c>
      <c r="G550" s="216">
        <v>5</v>
      </c>
      <c r="H550" s="5" t="s">
        <v>1191</v>
      </c>
      <c r="I550" s="204">
        <v>10.6</v>
      </c>
      <c r="J550" s="260">
        <v>0.1</v>
      </c>
      <c r="L550" s="217">
        <f t="shared" si="24"/>
        <v>5013.7739505</v>
      </c>
      <c r="N550" s="271">
        <f t="shared" si="25"/>
        <v>7269.9722282249995</v>
      </c>
      <c r="P550" s="326">
        <f t="shared" si="26"/>
        <v>8796.6663961522499</v>
      </c>
    </row>
    <row r="551" spans="1:16" ht="15" customHeight="1">
      <c r="A551" s="206">
        <v>545</v>
      </c>
      <c r="B551" s="175" t="s">
        <v>523</v>
      </c>
      <c r="C551" s="175" t="s">
        <v>2666</v>
      </c>
      <c r="D551" s="3" t="s">
        <v>768</v>
      </c>
      <c r="E551" s="179" t="s">
        <v>769</v>
      </c>
      <c r="F551" s="221">
        <v>7794334241644</v>
      </c>
      <c r="G551" s="216">
        <v>10</v>
      </c>
      <c r="H551" s="5" t="s">
        <v>1191</v>
      </c>
      <c r="I551" s="204">
        <v>2.6</v>
      </c>
      <c r="J551" s="260">
        <v>0.1</v>
      </c>
      <c r="L551" s="217">
        <f t="shared" si="24"/>
        <v>1229.7936104999999</v>
      </c>
      <c r="N551" s="271">
        <f t="shared" si="25"/>
        <v>1783.2007352249998</v>
      </c>
      <c r="P551" s="326">
        <f t="shared" si="26"/>
        <v>2157.6728896222498</v>
      </c>
    </row>
    <row r="552" spans="1:16" ht="15" customHeight="1">
      <c r="A552" s="206">
        <v>546</v>
      </c>
      <c r="B552" s="175" t="s">
        <v>523</v>
      </c>
      <c r="C552" s="175" t="s">
        <v>2666</v>
      </c>
      <c r="D552" s="3" t="s">
        <v>770</v>
      </c>
      <c r="E552" s="179" t="s">
        <v>771</v>
      </c>
      <c r="F552" s="221">
        <v>7794334241651</v>
      </c>
      <c r="G552" s="216">
        <v>5</v>
      </c>
      <c r="H552" s="5" t="s">
        <v>1191</v>
      </c>
      <c r="I552" s="204">
        <v>7.02</v>
      </c>
      <c r="J552" s="260">
        <v>0.1</v>
      </c>
      <c r="L552" s="217">
        <f t="shared" si="24"/>
        <v>3320.4427483499999</v>
      </c>
      <c r="N552" s="271">
        <f t="shared" si="25"/>
        <v>4814.6419851074997</v>
      </c>
      <c r="P552" s="326">
        <f t="shared" si="26"/>
        <v>5825.7168019800747</v>
      </c>
    </row>
    <row r="553" spans="1:16" ht="15" customHeight="1">
      <c r="A553" s="206">
        <v>547</v>
      </c>
      <c r="B553" s="175" t="s">
        <v>523</v>
      </c>
      <c r="C553" s="175" t="s">
        <v>2666</v>
      </c>
      <c r="D553" s="3" t="s">
        <v>772</v>
      </c>
      <c r="E553" s="179" t="s">
        <v>773</v>
      </c>
      <c r="F553" s="221">
        <v>7794334241668</v>
      </c>
      <c r="G553" s="216">
        <v>5</v>
      </c>
      <c r="H553" s="5" t="s">
        <v>1191</v>
      </c>
      <c r="I553" s="204">
        <v>11.7</v>
      </c>
      <c r="J553" s="260">
        <v>0.1</v>
      </c>
      <c r="L553" s="217">
        <f t="shared" si="24"/>
        <v>5534.0712472499999</v>
      </c>
      <c r="N553" s="271">
        <f t="shared" si="25"/>
        <v>8024.4033085124993</v>
      </c>
      <c r="P553" s="326">
        <f t="shared" si="26"/>
        <v>9709.5280033001236</v>
      </c>
    </row>
    <row r="554" spans="1:16" ht="15" customHeight="1">
      <c r="A554" s="206">
        <v>548</v>
      </c>
      <c r="B554" s="175" t="s">
        <v>523</v>
      </c>
      <c r="C554" s="175" t="s">
        <v>2666</v>
      </c>
      <c r="D554" s="3" t="s">
        <v>774</v>
      </c>
      <c r="E554" s="179" t="s">
        <v>775</v>
      </c>
      <c r="F554" s="221">
        <v>7794334241675</v>
      </c>
      <c r="G554" s="216">
        <v>10</v>
      </c>
      <c r="H554" s="5" t="s">
        <v>1191</v>
      </c>
      <c r="I554" s="204">
        <v>3.48</v>
      </c>
      <c r="J554" s="260">
        <v>0.1</v>
      </c>
      <c r="L554" s="217">
        <f t="shared" si="24"/>
        <v>1646.0314479000001</v>
      </c>
      <c r="N554" s="271">
        <f t="shared" si="25"/>
        <v>2386.745599455</v>
      </c>
      <c r="P554" s="326">
        <f t="shared" si="26"/>
        <v>2887.9621753405499</v>
      </c>
    </row>
    <row r="555" spans="1:16" ht="15" customHeight="1">
      <c r="A555" s="206">
        <v>549</v>
      </c>
      <c r="B555" s="175" t="s">
        <v>523</v>
      </c>
      <c r="C555" s="175" t="s">
        <v>2666</v>
      </c>
      <c r="D555" s="3" t="s">
        <v>776</v>
      </c>
      <c r="E555" s="179" t="s">
        <v>777</v>
      </c>
      <c r="F555" s="221">
        <v>7794334241682</v>
      </c>
      <c r="G555" s="216">
        <v>5</v>
      </c>
      <c r="H555" s="5" t="s">
        <v>1191</v>
      </c>
      <c r="I555" s="204">
        <v>7.32</v>
      </c>
      <c r="J555" s="260">
        <v>0.1</v>
      </c>
      <c r="L555" s="217">
        <f t="shared" si="24"/>
        <v>3462.3420110999996</v>
      </c>
      <c r="N555" s="271">
        <f t="shared" si="25"/>
        <v>5020.3959160949989</v>
      </c>
      <c r="P555" s="326">
        <f t="shared" si="26"/>
        <v>6074.6790584749488</v>
      </c>
    </row>
    <row r="556" spans="1:16" ht="15" customHeight="1">
      <c r="A556" s="206">
        <v>550</v>
      </c>
      <c r="B556" s="175" t="s">
        <v>523</v>
      </c>
      <c r="C556" s="175" t="s">
        <v>2666</v>
      </c>
      <c r="D556" s="3" t="s">
        <v>778</v>
      </c>
      <c r="E556" s="179" t="s">
        <v>779</v>
      </c>
      <c r="F556" s="221">
        <v>7794334241699</v>
      </c>
      <c r="G556" s="216">
        <v>5</v>
      </c>
      <c r="H556" s="5" t="s">
        <v>1191</v>
      </c>
      <c r="I556" s="204">
        <v>11.9</v>
      </c>
      <c r="J556" s="260">
        <v>0.1</v>
      </c>
      <c r="L556" s="217">
        <f t="shared" si="24"/>
        <v>5628.6707557499994</v>
      </c>
      <c r="N556" s="271">
        <f t="shared" si="25"/>
        <v>8161.5725958374987</v>
      </c>
      <c r="P556" s="326">
        <f t="shared" si="26"/>
        <v>9875.5028409633724</v>
      </c>
    </row>
    <row r="557" spans="1:16" ht="15" customHeight="1">
      <c r="A557" s="206">
        <v>551</v>
      </c>
      <c r="B557" s="175" t="s">
        <v>523</v>
      </c>
      <c r="C557" s="175" t="s">
        <v>2666</v>
      </c>
      <c r="D557" s="3" t="s">
        <v>780</v>
      </c>
      <c r="E557" s="179" t="s">
        <v>781</v>
      </c>
      <c r="F557" s="221">
        <v>7794334241705</v>
      </c>
      <c r="G557" s="216">
        <v>10</v>
      </c>
      <c r="H557" s="5" t="s">
        <v>1191</v>
      </c>
      <c r="I557" s="204">
        <v>5.3</v>
      </c>
      <c r="J557" s="260">
        <v>0.1</v>
      </c>
      <c r="L557" s="217">
        <f t="shared" si="24"/>
        <v>2506.88697525</v>
      </c>
      <c r="N557" s="271">
        <f t="shared" si="25"/>
        <v>3634.9861141124998</v>
      </c>
      <c r="P557" s="326">
        <f t="shared" si="26"/>
        <v>4398.333198076125</v>
      </c>
    </row>
    <row r="558" spans="1:16" ht="15" customHeight="1">
      <c r="A558" s="206">
        <v>552</v>
      </c>
      <c r="B558" s="175" t="s">
        <v>523</v>
      </c>
      <c r="C558" s="175" t="s">
        <v>2666</v>
      </c>
      <c r="D558" s="3" t="s">
        <v>782</v>
      </c>
      <c r="E558" s="179" t="s">
        <v>783</v>
      </c>
      <c r="F558" s="221">
        <v>7794334241712</v>
      </c>
      <c r="G558" s="216">
        <v>5</v>
      </c>
      <c r="H558" s="5" t="s">
        <v>1191</v>
      </c>
      <c r="I558" s="204">
        <v>8.85</v>
      </c>
      <c r="J558" s="260">
        <v>0.1</v>
      </c>
      <c r="L558" s="217">
        <f t="shared" si="24"/>
        <v>4186.0282511249998</v>
      </c>
      <c r="N558" s="271">
        <f t="shared" si="25"/>
        <v>6069.7409641312497</v>
      </c>
      <c r="P558" s="326">
        <f t="shared" si="26"/>
        <v>7344.3865665988124</v>
      </c>
    </row>
    <row r="559" spans="1:16" ht="15" customHeight="1">
      <c r="A559" s="206">
        <v>553</v>
      </c>
      <c r="B559" s="175" t="s">
        <v>523</v>
      </c>
      <c r="C559" s="175" t="s">
        <v>2666</v>
      </c>
      <c r="D559" s="3" t="s">
        <v>784</v>
      </c>
      <c r="E559" s="179" t="s">
        <v>785</v>
      </c>
      <c r="F559" s="221">
        <v>7794334241729</v>
      </c>
      <c r="G559" s="216">
        <v>5</v>
      </c>
      <c r="H559" s="5" t="s">
        <v>1191</v>
      </c>
      <c r="I559" s="204">
        <v>13.45</v>
      </c>
      <c r="J559" s="260">
        <v>0.1</v>
      </c>
      <c r="L559" s="217">
        <f t="shared" si="24"/>
        <v>6361.8169466250001</v>
      </c>
      <c r="N559" s="271">
        <f t="shared" si="25"/>
        <v>9224.63457260625</v>
      </c>
      <c r="P559" s="326">
        <f t="shared" si="26"/>
        <v>11161.807832853563</v>
      </c>
    </row>
    <row r="560" spans="1:16" ht="15" customHeight="1">
      <c r="A560" s="206">
        <v>554</v>
      </c>
      <c r="B560" s="175" t="s">
        <v>523</v>
      </c>
      <c r="C560" s="175" t="s">
        <v>2666</v>
      </c>
      <c r="D560" s="3" t="s">
        <v>786</v>
      </c>
      <c r="E560" s="179" t="s">
        <v>787</v>
      </c>
      <c r="F560" s="221">
        <v>7794334241736</v>
      </c>
      <c r="G560" s="216">
        <v>10</v>
      </c>
      <c r="H560" s="5" t="s">
        <v>1191</v>
      </c>
      <c r="I560" s="204">
        <v>7.4</v>
      </c>
      <c r="J560" s="260">
        <v>0.1</v>
      </c>
      <c r="L560" s="217">
        <f t="shared" si="24"/>
        <v>3500.1818144999997</v>
      </c>
      <c r="N560" s="271">
        <f t="shared" si="25"/>
        <v>5075.2636310249991</v>
      </c>
      <c r="P560" s="326">
        <f t="shared" si="26"/>
        <v>6141.0689935402488</v>
      </c>
    </row>
    <row r="561" spans="1:17" ht="15" customHeight="1">
      <c r="A561" s="206">
        <v>555</v>
      </c>
      <c r="B561" s="175" t="s">
        <v>523</v>
      </c>
      <c r="C561" s="175" t="s">
        <v>2666</v>
      </c>
      <c r="D561" s="3" t="s">
        <v>788</v>
      </c>
      <c r="E561" s="179" t="s">
        <v>789</v>
      </c>
      <c r="F561" s="221">
        <v>7794334241743</v>
      </c>
      <c r="G561" s="216">
        <v>5</v>
      </c>
      <c r="H561" s="5" t="s">
        <v>1191</v>
      </c>
      <c r="I561" s="204">
        <v>10.6</v>
      </c>
      <c r="J561" s="260">
        <v>0.1</v>
      </c>
      <c r="L561" s="217">
        <f t="shared" si="24"/>
        <v>5013.7739505</v>
      </c>
      <c r="N561" s="271">
        <f t="shared" si="25"/>
        <v>7269.9722282249995</v>
      </c>
      <c r="P561" s="326">
        <f t="shared" si="26"/>
        <v>8796.6663961522499</v>
      </c>
    </row>
    <row r="562" spans="1:17" ht="15" customHeight="1">
      <c r="A562" s="206">
        <v>556</v>
      </c>
      <c r="B562" s="175" t="s">
        <v>523</v>
      </c>
      <c r="C562" s="175" t="s">
        <v>2666</v>
      </c>
      <c r="D562" s="3" t="s">
        <v>790</v>
      </c>
      <c r="E562" s="179" t="s">
        <v>791</v>
      </c>
      <c r="F562" s="221">
        <v>7794334241750</v>
      </c>
      <c r="G562" s="216">
        <v>5</v>
      </c>
      <c r="H562" s="5" t="s">
        <v>1191</v>
      </c>
      <c r="I562" s="204">
        <v>15.7</v>
      </c>
      <c r="J562" s="260">
        <v>0.1</v>
      </c>
      <c r="L562" s="217">
        <f t="shared" si="24"/>
        <v>7426.0614172500009</v>
      </c>
      <c r="N562" s="271">
        <f t="shared" si="25"/>
        <v>10767.789055012501</v>
      </c>
      <c r="P562" s="326">
        <f t="shared" si="26"/>
        <v>13029.024756565126</v>
      </c>
    </row>
    <row r="563" spans="1:17" ht="15" customHeight="1">
      <c r="A563" s="206">
        <v>557</v>
      </c>
      <c r="B563" s="175" t="s">
        <v>523</v>
      </c>
      <c r="C563" s="175" t="s">
        <v>2665</v>
      </c>
      <c r="D563" s="3" t="s">
        <v>3186</v>
      </c>
      <c r="E563" s="179" t="s">
        <v>3187</v>
      </c>
      <c r="F563" s="221">
        <v>7794334244126</v>
      </c>
      <c r="G563" s="216">
        <v>2</v>
      </c>
      <c r="H563" s="5" t="s">
        <v>1191</v>
      </c>
      <c r="I563" s="204">
        <v>8.02</v>
      </c>
      <c r="J563" s="260">
        <v>0.1</v>
      </c>
      <c r="L563" s="217">
        <f t="shared" si="24"/>
        <v>3793.4402908500001</v>
      </c>
      <c r="N563" s="271">
        <f t="shared" si="25"/>
        <v>5500.4884217324998</v>
      </c>
      <c r="P563" s="326">
        <f t="shared" si="26"/>
        <v>6655.5909902963249</v>
      </c>
    </row>
    <row r="564" spans="1:17" ht="15" customHeight="1">
      <c r="A564" s="206">
        <v>558</v>
      </c>
      <c r="B564" s="175" t="s">
        <v>523</v>
      </c>
      <c r="C564" s="175" t="s">
        <v>2665</v>
      </c>
      <c r="D564" s="3" t="s">
        <v>3188</v>
      </c>
      <c r="E564" s="179" t="s">
        <v>3189</v>
      </c>
      <c r="F564" s="221">
        <v>7794334244119</v>
      </c>
      <c r="G564" s="216">
        <v>2</v>
      </c>
      <c r="H564" s="5" t="s">
        <v>1191</v>
      </c>
      <c r="I564" s="204">
        <v>10.6</v>
      </c>
      <c r="J564" s="260">
        <v>0.1</v>
      </c>
      <c r="L564" s="217">
        <f t="shared" si="24"/>
        <v>5013.7739505</v>
      </c>
      <c r="N564" s="271">
        <f t="shared" si="25"/>
        <v>7269.9722282249995</v>
      </c>
      <c r="P564" s="326">
        <f t="shared" si="26"/>
        <v>8796.6663961522499</v>
      </c>
    </row>
    <row r="565" spans="1:17">
      <c r="A565" s="206">
        <v>559</v>
      </c>
      <c r="B565" s="175" t="s">
        <v>523</v>
      </c>
      <c r="C565" s="175" t="s">
        <v>2677</v>
      </c>
      <c r="D565" s="3" t="s">
        <v>792</v>
      </c>
      <c r="E565" s="179" t="s">
        <v>793</v>
      </c>
      <c r="F565" s="221">
        <v>7794334001514</v>
      </c>
      <c r="G565" s="216">
        <v>5</v>
      </c>
      <c r="H565" s="5" t="s">
        <v>1191</v>
      </c>
      <c r="I565" s="204">
        <v>1.94</v>
      </c>
      <c r="J565" s="260">
        <v>0.1</v>
      </c>
      <c r="L565" s="217">
        <f t="shared" si="24"/>
        <v>917.61523244999989</v>
      </c>
      <c r="N565" s="271">
        <f t="shared" si="25"/>
        <v>1330.5420870524997</v>
      </c>
      <c r="P565" s="326">
        <f t="shared" si="26"/>
        <v>1609.9559253335246</v>
      </c>
    </row>
    <row r="566" spans="1:17">
      <c r="A566" s="206">
        <v>560</v>
      </c>
      <c r="B566" s="175" t="s">
        <v>523</v>
      </c>
      <c r="C566" s="175" t="s">
        <v>2677</v>
      </c>
      <c r="D566" s="3" t="s">
        <v>794</v>
      </c>
      <c r="E566" s="179" t="s">
        <v>795</v>
      </c>
      <c r="F566" s="221">
        <v>7794334001521</v>
      </c>
      <c r="G566" s="216">
        <v>5</v>
      </c>
      <c r="H566" s="5" t="s">
        <v>1191</v>
      </c>
      <c r="I566" s="204">
        <v>2.09</v>
      </c>
      <c r="J566" s="260">
        <v>0.1</v>
      </c>
      <c r="L566" s="217">
        <f t="shared" si="24"/>
        <v>988.56486382499997</v>
      </c>
      <c r="N566" s="271">
        <f t="shared" si="25"/>
        <v>1433.41905254625</v>
      </c>
      <c r="P566" s="326">
        <f t="shared" si="26"/>
        <v>1734.4370535809624</v>
      </c>
    </row>
    <row r="567" spans="1:17">
      <c r="A567" s="206">
        <v>561</v>
      </c>
      <c r="B567" s="175" t="s">
        <v>523</v>
      </c>
      <c r="C567" s="175" t="s">
        <v>2677</v>
      </c>
      <c r="D567" s="3" t="s">
        <v>796</v>
      </c>
      <c r="E567" s="179" t="s">
        <v>797</v>
      </c>
      <c r="F567" s="221">
        <v>7794334001538</v>
      </c>
      <c r="G567" s="216">
        <v>5</v>
      </c>
      <c r="H567" s="5" t="s">
        <v>1191</v>
      </c>
      <c r="I567" s="204">
        <v>2.41</v>
      </c>
      <c r="J567" s="260">
        <v>0.1</v>
      </c>
      <c r="L567" s="217">
        <f t="shared" si="24"/>
        <v>1139.924077425</v>
      </c>
      <c r="N567" s="271">
        <f t="shared" si="25"/>
        <v>1652.8899122662499</v>
      </c>
      <c r="P567" s="326">
        <f t="shared" si="26"/>
        <v>1999.9967938421623</v>
      </c>
    </row>
    <row r="568" spans="1:17">
      <c r="A568" s="206">
        <v>562</v>
      </c>
      <c r="B568" s="175" t="s">
        <v>523</v>
      </c>
      <c r="C568" s="175" t="s">
        <v>2677</v>
      </c>
      <c r="D568" s="3" t="s">
        <v>798</v>
      </c>
      <c r="E568" s="179" t="s">
        <v>799</v>
      </c>
      <c r="F568" s="221">
        <v>7794334001545</v>
      </c>
      <c r="G568" s="216">
        <v>5</v>
      </c>
      <c r="H568" s="5" t="s">
        <v>1191</v>
      </c>
      <c r="I568" s="204">
        <v>2.09</v>
      </c>
      <c r="J568" s="260">
        <v>0.1</v>
      </c>
      <c r="L568" s="217">
        <f t="shared" si="24"/>
        <v>988.56486382499997</v>
      </c>
      <c r="N568" s="271">
        <f t="shared" si="25"/>
        <v>1433.41905254625</v>
      </c>
      <c r="P568" s="326">
        <f t="shared" si="26"/>
        <v>1734.4370535809624</v>
      </c>
    </row>
    <row r="569" spans="1:17">
      <c r="A569" s="206">
        <v>563</v>
      </c>
      <c r="B569" s="175" t="s">
        <v>523</v>
      </c>
      <c r="C569" s="175" t="s">
        <v>2677</v>
      </c>
      <c r="D569" s="3" t="s">
        <v>800</v>
      </c>
      <c r="E569" s="179" t="s">
        <v>801</v>
      </c>
      <c r="F569" s="221">
        <v>7794334001552</v>
      </c>
      <c r="G569" s="216">
        <v>5</v>
      </c>
      <c r="H569" s="5" t="s">
        <v>1191</v>
      </c>
      <c r="I569" s="204">
        <v>2.41</v>
      </c>
      <c r="J569" s="260">
        <v>0.1</v>
      </c>
      <c r="L569" s="217">
        <f t="shared" si="24"/>
        <v>1139.924077425</v>
      </c>
      <c r="N569" s="271">
        <f t="shared" si="25"/>
        <v>1652.8899122662499</v>
      </c>
      <c r="P569" s="326">
        <f t="shared" si="26"/>
        <v>1999.9967938421623</v>
      </c>
    </row>
    <row r="570" spans="1:17">
      <c r="A570" s="206">
        <v>564</v>
      </c>
      <c r="B570" s="175" t="s">
        <v>523</v>
      </c>
      <c r="C570" s="175" t="s">
        <v>2677</v>
      </c>
      <c r="D570" s="3" t="s">
        <v>802</v>
      </c>
      <c r="E570" s="179" t="s">
        <v>803</v>
      </c>
      <c r="F570" s="221">
        <v>7794334001569</v>
      </c>
      <c r="G570" s="216">
        <v>5</v>
      </c>
      <c r="H570" s="5" t="s">
        <v>1191</v>
      </c>
      <c r="I570" s="204">
        <v>2.09</v>
      </c>
      <c r="J570" s="260">
        <v>0.1</v>
      </c>
      <c r="L570" s="217">
        <f t="shared" si="24"/>
        <v>988.56486382499997</v>
      </c>
      <c r="N570" s="271">
        <f t="shared" si="25"/>
        <v>1433.41905254625</v>
      </c>
      <c r="P570" s="326">
        <f t="shared" si="26"/>
        <v>1734.4370535809624</v>
      </c>
    </row>
    <row r="571" spans="1:17">
      <c r="A571" s="206">
        <v>565</v>
      </c>
      <c r="B571" s="175" t="s">
        <v>523</v>
      </c>
      <c r="C571" s="175" t="s">
        <v>2677</v>
      </c>
      <c r="D571" s="3" t="s">
        <v>804</v>
      </c>
      <c r="E571" s="179" t="s">
        <v>805</v>
      </c>
      <c r="F571" s="221">
        <v>7794334001576</v>
      </c>
      <c r="G571" s="216">
        <v>5</v>
      </c>
      <c r="H571" s="5" t="s">
        <v>1191</v>
      </c>
      <c r="I571" s="204">
        <v>2.41</v>
      </c>
      <c r="J571" s="260">
        <v>0.1</v>
      </c>
      <c r="L571" s="217">
        <f t="shared" si="24"/>
        <v>1139.924077425</v>
      </c>
      <c r="N571" s="271">
        <f t="shared" si="25"/>
        <v>1652.8899122662499</v>
      </c>
      <c r="P571" s="326">
        <f t="shared" si="26"/>
        <v>1999.9967938421623</v>
      </c>
    </row>
    <row r="572" spans="1:17">
      <c r="A572" s="206">
        <v>566</v>
      </c>
      <c r="B572" s="175" t="s">
        <v>523</v>
      </c>
      <c r="C572" s="175" t="s">
        <v>2677</v>
      </c>
      <c r="D572" s="3" t="s">
        <v>806</v>
      </c>
      <c r="E572" s="179" t="s">
        <v>807</v>
      </c>
      <c r="F572" s="221">
        <v>7794334001583</v>
      </c>
      <c r="G572" s="216">
        <v>5</v>
      </c>
      <c r="H572" s="5" t="s">
        <v>1191</v>
      </c>
      <c r="I572" s="204">
        <v>3.16</v>
      </c>
      <c r="J572" s="260">
        <v>0.1</v>
      </c>
      <c r="L572" s="217">
        <f t="shared" si="24"/>
        <v>1494.6722342999999</v>
      </c>
      <c r="N572" s="271">
        <f t="shared" si="25"/>
        <v>2167.2747397349999</v>
      </c>
      <c r="P572" s="326">
        <f t="shared" si="26"/>
        <v>2622.4024350793497</v>
      </c>
      <c r="Q572" s="288">
        <v>34200</v>
      </c>
    </row>
    <row r="573" spans="1:17">
      <c r="A573" s="206">
        <v>567</v>
      </c>
      <c r="B573" s="175" t="s">
        <v>523</v>
      </c>
      <c r="C573" s="175" t="s">
        <v>2677</v>
      </c>
      <c r="D573" s="3" t="s">
        <v>808</v>
      </c>
      <c r="E573" s="179" t="s">
        <v>809</v>
      </c>
      <c r="F573" s="221">
        <v>7794334001590</v>
      </c>
      <c r="G573" s="216">
        <v>5</v>
      </c>
      <c r="H573" s="5" t="s">
        <v>1191</v>
      </c>
      <c r="I573" s="204">
        <v>3.58</v>
      </c>
      <c r="J573" s="260">
        <v>0.1</v>
      </c>
      <c r="L573" s="217">
        <f t="shared" si="24"/>
        <v>1693.3312021500001</v>
      </c>
      <c r="N573" s="271">
        <f t="shared" si="25"/>
        <v>2455.3302431175002</v>
      </c>
      <c r="P573" s="326">
        <f t="shared" si="26"/>
        <v>2970.9495941721752</v>
      </c>
    </row>
    <row r="574" spans="1:17">
      <c r="A574" s="206">
        <v>568</v>
      </c>
      <c r="B574" s="175" t="s">
        <v>523</v>
      </c>
      <c r="C574" s="175" t="s">
        <v>2677</v>
      </c>
      <c r="D574" s="3" t="s">
        <v>810</v>
      </c>
      <c r="E574" s="179" t="s">
        <v>811</v>
      </c>
      <c r="F574" s="221">
        <v>7794334001606</v>
      </c>
      <c r="G574" s="216">
        <v>5</v>
      </c>
      <c r="H574" s="5" t="s">
        <v>1191</v>
      </c>
      <c r="I574" s="204">
        <v>2.41</v>
      </c>
      <c r="J574" s="260">
        <v>0.1</v>
      </c>
      <c r="L574" s="217">
        <f t="shared" si="24"/>
        <v>1139.924077425</v>
      </c>
      <c r="N574" s="271">
        <f t="shared" si="25"/>
        <v>1652.8899122662499</v>
      </c>
      <c r="P574" s="326">
        <f t="shared" si="26"/>
        <v>1999.9967938421623</v>
      </c>
    </row>
    <row r="575" spans="1:17">
      <c r="A575" s="206">
        <v>569</v>
      </c>
      <c r="B575" s="175" t="s">
        <v>523</v>
      </c>
      <c r="C575" s="175" t="s">
        <v>2677</v>
      </c>
      <c r="D575" s="3" t="s">
        <v>812</v>
      </c>
      <c r="E575" s="179" t="s">
        <v>813</v>
      </c>
      <c r="F575" s="221">
        <v>7794334001613</v>
      </c>
      <c r="G575" s="216">
        <v>5</v>
      </c>
      <c r="H575" s="5" t="s">
        <v>1191</v>
      </c>
      <c r="I575" s="204">
        <v>2.62</v>
      </c>
      <c r="J575" s="260">
        <v>0.1</v>
      </c>
      <c r="L575" s="217">
        <f t="shared" si="24"/>
        <v>1239.2535613500002</v>
      </c>
      <c r="N575" s="271">
        <f t="shared" si="25"/>
        <v>1796.9176639575003</v>
      </c>
      <c r="P575" s="326">
        <f t="shared" si="26"/>
        <v>2174.2703733885751</v>
      </c>
    </row>
    <row r="576" spans="1:17">
      <c r="A576" s="206">
        <v>570</v>
      </c>
      <c r="B576" s="175" t="s">
        <v>523</v>
      </c>
      <c r="C576" s="175" t="s">
        <v>2677</v>
      </c>
      <c r="D576" s="3" t="s">
        <v>814</v>
      </c>
      <c r="E576" s="179" t="s">
        <v>815</v>
      </c>
      <c r="F576" s="221">
        <v>7794334001620</v>
      </c>
      <c r="G576" s="216">
        <v>5</v>
      </c>
      <c r="H576" s="5" t="s">
        <v>1191</v>
      </c>
      <c r="I576" s="204">
        <v>2.41</v>
      </c>
      <c r="J576" s="260">
        <v>0.1</v>
      </c>
      <c r="L576" s="217">
        <f t="shared" si="24"/>
        <v>1139.924077425</v>
      </c>
      <c r="N576" s="271">
        <f t="shared" si="25"/>
        <v>1652.8899122662499</v>
      </c>
      <c r="P576" s="326">
        <f t="shared" si="26"/>
        <v>1999.9967938421623</v>
      </c>
    </row>
    <row r="577" spans="1:16">
      <c r="A577" s="206">
        <v>571</v>
      </c>
      <c r="B577" s="175" t="s">
        <v>523</v>
      </c>
      <c r="C577" s="175" t="s">
        <v>2677</v>
      </c>
      <c r="D577" s="3" t="s">
        <v>816</v>
      </c>
      <c r="E577" s="179" t="s">
        <v>817</v>
      </c>
      <c r="F577" s="221">
        <v>7794334001637</v>
      </c>
      <c r="G577" s="216">
        <v>5</v>
      </c>
      <c r="H577" s="5" t="s">
        <v>1191</v>
      </c>
      <c r="I577" s="204">
        <v>2.62</v>
      </c>
      <c r="J577" s="260">
        <v>0.1</v>
      </c>
      <c r="L577" s="217">
        <f t="shared" si="24"/>
        <v>1239.2535613500002</v>
      </c>
      <c r="N577" s="271">
        <f t="shared" si="25"/>
        <v>1796.9176639575003</v>
      </c>
      <c r="P577" s="326">
        <f t="shared" si="26"/>
        <v>2174.2703733885751</v>
      </c>
    </row>
    <row r="578" spans="1:16">
      <c r="A578" s="206">
        <v>572</v>
      </c>
      <c r="B578" s="175" t="s">
        <v>523</v>
      </c>
      <c r="C578" s="175" t="s">
        <v>2677</v>
      </c>
      <c r="D578" s="3" t="s">
        <v>818</v>
      </c>
      <c r="E578" s="179" t="s">
        <v>819</v>
      </c>
      <c r="F578" s="221">
        <v>7794334001644</v>
      </c>
      <c r="G578" s="216">
        <v>5</v>
      </c>
      <c r="H578" s="5" t="s">
        <v>1191</v>
      </c>
      <c r="I578" s="204">
        <v>2.41</v>
      </c>
      <c r="J578" s="260">
        <v>0.1</v>
      </c>
      <c r="L578" s="217">
        <f t="shared" si="24"/>
        <v>1139.924077425</v>
      </c>
      <c r="N578" s="271">
        <f t="shared" si="25"/>
        <v>1652.8899122662499</v>
      </c>
      <c r="P578" s="326">
        <f t="shared" si="26"/>
        <v>1999.9967938421623</v>
      </c>
    </row>
    <row r="579" spans="1:16">
      <c r="A579" s="206">
        <v>573</v>
      </c>
      <c r="B579" s="175" t="s">
        <v>523</v>
      </c>
      <c r="C579" s="175" t="s">
        <v>2677</v>
      </c>
      <c r="D579" s="3" t="s">
        <v>820</v>
      </c>
      <c r="E579" s="179" t="s">
        <v>821</v>
      </c>
      <c r="F579" s="221">
        <v>7794334001651</v>
      </c>
      <c r="G579" s="216">
        <v>5</v>
      </c>
      <c r="H579" s="5" t="s">
        <v>1191</v>
      </c>
      <c r="I579" s="204">
        <v>2.62</v>
      </c>
      <c r="J579" s="260">
        <v>0.1</v>
      </c>
      <c r="L579" s="217">
        <f t="shared" si="24"/>
        <v>1239.2535613500002</v>
      </c>
      <c r="N579" s="271">
        <f t="shared" si="25"/>
        <v>1796.9176639575003</v>
      </c>
      <c r="P579" s="326">
        <f t="shared" si="26"/>
        <v>2174.2703733885751</v>
      </c>
    </row>
    <row r="580" spans="1:16">
      <c r="A580" s="206">
        <v>574</v>
      </c>
      <c r="B580" s="175" t="s">
        <v>523</v>
      </c>
      <c r="C580" s="175" t="s">
        <v>2677</v>
      </c>
      <c r="D580" s="3" t="s">
        <v>822</v>
      </c>
      <c r="E580" s="179" t="s">
        <v>823</v>
      </c>
      <c r="F580" s="221">
        <v>7794334001668</v>
      </c>
      <c r="G580" s="216">
        <v>5</v>
      </c>
      <c r="H580" s="5" t="s">
        <v>1191</v>
      </c>
      <c r="I580" s="204">
        <v>3.2</v>
      </c>
      <c r="J580" s="260">
        <v>0.1</v>
      </c>
      <c r="L580" s="217">
        <f t="shared" si="24"/>
        <v>1513.592136</v>
      </c>
      <c r="N580" s="271">
        <f t="shared" si="25"/>
        <v>2194.7085972</v>
      </c>
      <c r="P580" s="326">
        <f t="shared" si="26"/>
        <v>2655.5974026119998</v>
      </c>
    </row>
    <row r="581" spans="1:16">
      <c r="A581" s="206">
        <v>575</v>
      </c>
      <c r="B581" s="175" t="s">
        <v>523</v>
      </c>
      <c r="C581" s="175" t="s">
        <v>2677</v>
      </c>
      <c r="D581" s="3" t="s">
        <v>824</v>
      </c>
      <c r="E581" s="179" t="s">
        <v>825</v>
      </c>
      <c r="F581" s="221">
        <v>7794334001675</v>
      </c>
      <c r="G581" s="216">
        <v>5</v>
      </c>
      <c r="H581" s="5" t="s">
        <v>1191</v>
      </c>
      <c r="I581" s="204">
        <v>3.72</v>
      </c>
      <c r="J581" s="260">
        <v>0.1</v>
      </c>
      <c r="L581" s="217">
        <f t="shared" si="24"/>
        <v>1759.5508581000001</v>
      </c>
      <c r="N581" s="271">
        <f t="shared" si="25"/>
        <v>2551.348744245</v>
      </c>
      <c r="P581" s="326">
        <f t="shared" si="26"/>
        <v>3087.1319805364501</v>
      </c>
    </row>
    <row r="582" spans="1:16">
      <c r="A582" s="206">
        <v>576</v>
      </c>
      <c r="B582" s="175" t="s">
        <v>523</v>
      </c>
      <c r="C582" s="175" t="s">
        <v>2677</v>
      </c>
      <c r="D582" s="3" t="s">
        <v>826</v>
      </c>
      <c r="E582" s="179" t="s">
        <v>827</v>
      </c>
      <c r="F582" s="221">
        <v>7794334001682</v>
      </c>
      <c r="G582" s="216">
        <v>3</v>
      </c>
      <c r="H582" s="5" t="s">
        <v>1191</v>
      </c>
      <c r="I582" s="204">
        <v>5.03</v>
      </c>
      <c r="J582" s="260">
        <v>0.1</v>
      </c>
      <c r="L582" s="217">
        <f t="shared" si="24"/>
        <v>2379.1776387749997</v>
      </c>
      <c r="N582" s="271">
        <f t="shared" si="25"/>
        <v>3449.8075762237495</v>
      </c>
      <c r="P582" s="326">
        <f t="shared" si="26"/>
        <v>4174.267167230737</v>
      </c>
    </row>
    <row r="583" spans="1:16">
      <c r="A583" s="206">
        <v>577</v>
      </c>
      <c r="B583" s="175" t="s">
        <v>523</v>
      </c>
      <c r="C583" s="175" t="s">
        <v>2677</v>
      </c>
      <c r="D583" s="3" t="s">
        <v>828</v>
      </c>
      <c r="E583" s="179" t="s">
        <v>829</v>
      </c>
      <c r="F583" s="221">
        <v>7794334001699</v>
      </c>
      <c r="G583" s="216">
        <v>3</v>
      </c>
      <c r="H583" s="5" t="s">
        <v>1191</v>
      </c>
      <c r="I583" s="204">
        <v>6.65</v>
      </c>
      <c r="J583" s="260">
        <v>0.1</v>
      </c>
      <c r="L583" s="217">
        <f t="shared" si="24"/>
        <v>3145.4336576249998</v>
      </c>
      <c r="N583" s="271">
        <f t="shared" si="25"/>
        <v>4560.8788035562493</v>
      </c>
      <c r="P583" s="326">
        <f t="shared" si="26"/>
        <v>5518.6633523030614</v>
      </c>
    </row>
    <row r="584" spans="1:16">
      <c r="A584" s="206">
        <v>578</v>
      </c>
      <c r="B584" s="175" t="s">
        <v>523</v>
      </c>
      <c r="C584" s="175" t="s">
        <v>2677</v>
      </c>
      <c r="D584" s="3" t="s">
        <v>830</v>
      </c>
      <c r="E584" s="179" t="s">
        <v>831</v>
      </c>
      <c r="F584" s="221">
        <v>7794334001705</v>
      </c>
      <c r="G584" s="216">
        <v>5</v>
      </c>
      <c r="H584" s="5" t="s">
        <v>1191</v>
      </c>
      <c r="I584" s="204">
        <v>2.62</v>
      </c>
      <c r="J584" s="260">
        <v>0.1</v>
      </c>
      <c r="L584" s="217">
        <f t="shared" ref="L584:L647" si="27">+I584*$F$2*$F$3*$F$4*$F$5</f>
        <v>1239.2535613500002</v>
      </c>
      <c r="N584" s="271">
        <f t="shared" si="25"/>
        <v>1796.9176639575003</v>
      </c>
      <c r="P584" s="326">
        <f t="shared" si="26"/>
        <v>2174.2703733885751</v>
      </c>
    </row>
    <row r="585" spans="1:16">
      <c r="A585" s="206">
        <v>579</v>
      </c>
      <c r="B585" s="175" t="s">
        <v>523</v>
      </c>
      <c r="C585" s="175" t="s">
        <v>2677</v>
      </c>
      <c r="D585" s="3" t="s">
        <v>832</v>
      </c>
      <c r="E585" s="179" t="s">
        <v>833</v>
      </c>
      <c r="F585" s="221">
        <v>7794334001712</v>
      </c>
      <c r="G585" s="216">
        <v>5</v>
      </c>
      <c r="H585" s="5" t="s">
        <v>1191</v>
      </c>
      <c r="I585" s="204">
        <v>2.91</v>
      </c>
      <c r="J585" s="260">
        <v>0.1</v>
      </c>
      <c r="L585" s="217">
        <f t="shared" si="27"/>
        <v>1376.4228486749996</v>
      </c>
      <c r="N585" s="271">
        <f t="shared" ref="N585:N648" si="28">+L585*1.45</f>
        <v>1995.8131305787495</v>
      </c>
      <c r="P585" s="326">
        <f t="shared" ref="P585:P648" si="29">+N585*1.21</f>
        <v>2414.933888000287</v>
      </c>
    </row>
    <row r="586" spans="1:16">
      <c r="A586" s="206">
        <v>580</v>
      </c>
      <c r="B586" s="175" t="s">
        <v>523</v>
      </c>
      <c r="C586" s="175" t="s">
        <v>2677</v>
      </c>
      <c r="D586" s="3" t="s">
        <v>834</v>
      </c>
      <c r="E586" s="179" t="s">
        <v>835</v>
      </c>
      <c r="F586" s="221">
        <v>7794334001729</v>
      </c>
      <c r="G586" s="216">
        <v>5</v>
      </c>
      <c r="H586" s="5" t="s">
        <v>1191</v>
      </c>
      <c r="I586" s="204">
        <v>3.43</v>
      </c>
      <c r="J586" s="260">
        <v>0.1</v>
      </c>
      <c r="L586" s="217">
        <f t="shared" si="27"/>
        <v>1622.381570775</v>
      </c>
      <c r="N586" s="271">
        <f t="shared" si="28"/>
        <v>2352.4532776237497</v>
      </c>
      <c r="P586" s="326">
        <f t="shared" si="29"/>
        <v>2846.4684659247373</v>
      </c>
    </row>
    <row r="587" spans="1:16">
      <c r="A587" s="206">
        <v>581</v>
      </c>
      <c r="B587" s="175" t="s">
        <v>523</v>
      </c>
      <c r="C587" s="175" t="s">
        <v>2677</v>
      </c>
      <c r="D587" s="3" t="s">
        <v>836</v>
      </c>
      <c r="E587" s="179" t="s">
        <v>837</v>
      </c>
      <c r="F587" s="221">
        <v>7794334001736</v>
      </c>
      <c r="G587" s="216">
        <v>5</v>
      </c>
      <c r="H587" s="5" t="s">
        <v>1191</v>
      </c>
      <c r="I587" s="204">
        <v>4.0599999999999996</v>
      </c>
      <c r="J587" s="260">
        <v>0.1</v>
      </c>
      <c r="L587" s="217">
        <f t="shared" si="27"/>
        <v>1920.3700225499995</v>
      </c>
      <c r="N587" s="271">
        <f t="shared" si="28"/>
        <v>2784.5365326974993</v>
      </c>
      <c r="P587" s="326">
        <f t="shared" si="29"/>
        <v>3369.2892045639742</v>
      </c>
    </row>
    <row r="588" spans="1:16">
      <c r="A588" s="206">
        <v>582</v>
      </c>
      <c r="B588" s="175" t="s">
        <v>523</v>
      </c>
      <c r="C588" s="175" t="s">
        <v>2677</v>
      </c>
      <c r="D588" s="3" t="s">
        <v>838</v>
      </c>
      <c r="E588" s="179" t="s">
        <v>839</v>
      </c>
      <c r="F588" s="221">
        <v>7794334001743</v>
      </c>
      <c r="G588" s="216">
        <v>3</v>
      </c>
      <c r="H588" s="5" t="s">
        <v>1191</v>
      </c>
      <c r="I588" s="204">
        <v>5.27</v>
      </c>
      <c r="J588" s="260">
        <v>0.1</v>
      </c>
      <c r="L588" s="217">
        <f t="shared" si="27"/>
        <v>2492.6970489749997</v>
      </c>
      <c r="N588" s="271">
        <f t="shared" si="28"/>
        <v>3614.4107210137495</v>
      </c>
      <c r="P588" s="326">
        <f t="shared" si="29"/>
        <v>4373.4369724266371</v>
      </c>
    </row>
    <row r="589" spans="1:16">
      <c r="A589" s="206">
        <v>583</v>
      </c>
      <c r="B589" s="175" t="s">
        <v>523</v>
      </c>
      <c r="C589" s="175" t="s">
        <v>2677</v>
      </c>
      <c r="D589" s="3" t="s">
        <v>840</v>
      </c>
      <c r="E589" s="179" t="s">
        <v>841</v>
      </c>
      <c r="F589" s="221">
        <v>7794334001750</v>
      </c>
      <c r="G589" s="216">
        <v>3</v>
      </c>
      <c r="H589" s="5" t="s">
        <v>1191</v>
      </c>
      <c r="I589" s="204">
        <v>6.92</v>
      </c>
      <c r="J589" s="260">
        <v>0.1</v>
      </c>
      <c r="L589" s="217">
        <f t="shared" si="27"/>
        <v>3273.1429940999997</v>
      </c>
      <c r="N589" s="271">
        <f t="shared" si="28"/>
        <v>4746.0573414449991</v>
      </c>
      <c r="P589" s="326">
        <f t="shared" si="29"/>
        <v>5742.7293831484485</v>
      </c>
    </row>
    <row r="590" spans="1:16">
      <c r="A590" s="206">
        <v>584</v>
      </c>
      <c r="B590" s="175" t="s">
        <v>523</v>
      </c>
      <c r="C590" s="175" t="s">
        <v>2677</v>
      </c>
      <c r="D590" s="3" t="s">
        <v>842</v>
      </c>
      <c r="E590" s="179" t="s">
        <v>843</v>
      </c>
      <c r="F590" s="221">
        <v>7794334001767</v>
      </c>
      <c r="G590" s="216">
        <v>3</v>
      </c>
      <c r="H590" s="5" t="s">
        <v>1191</v>
      </c>
      <c r="I590" s="204">
        <v>9.9600000000000009</v>
      </c>
      <c r="J590" s="260">
        <v>0.1</v>
      </c>
      <c r="L590" s="217">
        <f t="shared" si="27"/>
        <v>4711.0555232999995</v>
      </c>
      <c r="N590" s="271">
        <f t="shared" si="28"/>
        <v>6831.0305087849993</v>
      </c>
      <c r="P590" s="326">
        <f t="shared" si="29"/>
        <v>8265.5469156298495</v>
      </c>
    </row>
    <row r="591" spans="1:16">
      <c r="A591" s="206">
        <v>585</v>
      </c>
      <c r="B591" s="175" t="s">
        <v>523</v>
      </c>
      <c r="C591" s="175" t="s">
        <v>2677</v>
      </c>
      <c r="D591" s="3" t="s">
        <v>844</v>
      </c>
      <c r="E591" s="179" t="s">
        <v>845</v>
      </c>
      <c r="F591" s="221">
        <v>7794334001774</v>
      </c>
      <c r="G591" s="216">
        <v>5</v>
      </c>
      <c r="H591" s="5" t="s">
        <v>1191</v>
      </c>
      <c r="I591" s="204">
        <v>3.2</v>
      </c>
      <c r="J591" s="260">
        <v>0.1</v>
      </c>
      <c r="L591" s="217">
        <f t="shared" si="27"/>
        <v>1513.592136</v>
      </c>
      <c r="N591" s="271">
        <f t="shared" si="28"/>
        <v>2194.7085972</v>
      </c>
      <c r="P591" s="326">
        <f t="shared" si="29"/>
        <v>2655.5974026119998</v>
      </c>
    </row>
    <row r="592" spans="1:16">
      <c r="A592" s="206">
        <v>586</v>
      </c>
      <c r="B592" s="175" t="s">
        <v>523</v>
      </c>
      <c r="C592" s="175" t="s">
        <v>2677</v>
      </c>
      <c r="D592" s="3" t="s">
        <v>846</v>
      </c>
      <c r="E592" s="179" t="s">
        <v>847</v>
      </c>
      <c r="F592" s="221">
        <v>7794334001781</v>
      </c>
      <c r="G592" s="216">
        <v>5</v>
      </c>
      <c r="H592" s="5" t="s">
        <v>1191</v>
      </c>
      <c r="I592" s="204">
        <v>4.42</v>
      </c>
      <c r="J592" s="260">
        <v>0.1</v>
      </c>
      <c r="L592" s="217">
        <f t="shared" si="27"/>
        <v>2090.6491378499995</v>
      </c>
      <c r="N592" s="271">
        <f t="shared" si="28"/>
        <v>3031.4412498824991</v>
      </c>
      <c r="P592" s="326">
        <f t="shared" si="29"/>
        <v>3668.043912357824</v>
      </c>
    </row>
    <row r="593" spans="1:16">
      <c r="A593" s="206">
        <v>587</v>
      </c>
      <c r="B593" s="175" t="s">
        <v>523</v>
      </c>
      <c r="C593" s="175" t="s">
        <v>2677</v>
      </c>
      <c r="D593" s="3" t="s">
        <v>848</v>
      </c>
      <c r="E593" s="179" t="s">
        <v>849</v>
      </c>
      <c r="F593" s="221">
        <v>7794334001798</v>
      </c>
      <c r="G593" s="216">
        <v>5</v>
      </c>
      <c r="H593" s="5" t="s">
        <v>1191</v>
      </c>
      <c r="I593" s="204">
        <v>4.42</v>
      </c>
      <c r="J593" s="260">
        <v>0.1</v>
      </c>
      <c r="L593" s="217">
        <f t="shared" si="27"/>
        <v>2090.6491378499995</v>
      </c>
      <c r="N593" s="271">
        <f t="shared" si="28"/>
        <v>3031.4412498824991</v>
      </c>
      <c r="P593" s="326">
        <f t="shared" si="29"/>
        <v>3668.043912357824</v>
      </c>
    </row>
    <row r="594" spans="1:16">
      <c r="A594" s="206">
        <v>588</v>
      </c>
      <c r="B594" s="175" t="s">
        <v>523</v>
      </c>
      <c r="C594" s="175" t="s">
        <v>2677</v>
      </c>
      <c r="D594" s="3" t="s">
        <v>850</v>
      </c>
      <c r="E594" s="179" t="s">
        <v>851</v>
      </c>
      <c r="F594" s="221">
        <v>7794334001804</v>
      </c>
      <c r="G594" s="216">
        <v>3</v>
      </c>
      <c r="H594" s="5" t="s">
        <v>1191</v>
      </c>
      <c r="I594" s="204">
        <v>5.58</v>
      </c>
      <c r="J594" s="260">
        <v>0.1</v>
      </c>
      <c r="L594" s="217">
        <f t="shared" si="27"/>
        <v>2639.3262871500001</v>
      </c>
      <c r="N594" s="271">
        <f t="shared" si="28"/>
        <v>3827.0231163674998</v>
      </c>
      <c r="P594" s="326">
        <f t="shared" si="29"/>
        <v>4630.6979708046747</v>
      </c>
    </row>
    <row r="595" spans="1:16">
      <c r="A595" s="206">
        <v>589</v>
      </c>
      <c r="B595" s="175" t="s">
        <v>523</v>
      </c>
      <c r="C595" s="175" t="s">
        <v>2677</v>
      </c>
      <c r="D595" s="3" t="s">
        <v>852</v>
      </c>
      <c r="E595" s="179" t="s">
        <v>853</v>
      </c>
      <c r="F595" s="221">
        <v>7794334001811</v>
      </c>
      <c r="G595" s="216">
        <v>3</v>
      </c>
      <c r="H595" s="5" t="s">
        <v>1191</v>
      </c>
      <c r="I595" s="204">
        <v>7.4</v>
      </c>
      <c r="J595" s="260">
        <v>0.1</v>
      </c>
      <c r="L595" s="217">
        <f t="shared" si="27"/>
        <v>3500.1818144999997</v>
      </c>
      <c r="N595" s="271">
        <f t="shared" si="28"/>
        <v>5075.2636310249991</v>
      </c>
      <c r="P595" s="326">
        <f t="shared" si="29"/>
        <v>6141.0689935402488</v>
      </c>
    </row>
    <row r="596" spans="1:16">
      <c r="A596" s="206">
        <v>590</v>
      </c>
      <c r="B596" s="175" t="s">
        <v>523</v>
      </c>
      <c r="C596" s="175" t="s">
        <v>2677</v>
      </c>
      <c r="D596" s="3" t="s">
        <v>854</v>
      </c>
      <c r="E596" s="179" t="s">
        <v>855</v>
      </c>
      <c r="F596" s="221">
        <v>7794334001828</v>
      </c>
      <c r="G596" s="216">
        <v>3</v>
      </c>
      <c r="H596" s="5" t="s">
        <v>1191</v>
      </c>
      <c r="I596" s="204">
        <v>10.54</v>
      </c>
      <c r="J596" s="260">
        <v>0.1</v>
      </c>
      <c r="L596" s="217">
        <f t="shared" si="27"/>
        <v>4985.3940979499994</v>
      </c>
      <c r="N596" s="271">
        <f t="shared" si="28"/>
        <v>7228.821442027499</v>
      </c>
      <c r="P596" s="326">
        <f t="shared" si="29"/>
        <v>8746.8739448532742</v>
      </c>
    </row>
    <row r="597" spans="1:16">
      <c r="A597" s="206">
        <v>591</v>
      </c>
      <c r="B597" s="175" t="s">
        <v>523</v>
      </c>
      <c r="C597" s="175" t="s">
        <v>2677</v>
      </c>
      <c r="D597" s="3" t="s">
        <v>856</v>
      </c>
      <c r="E597" s="179" t="s">
        <v>857</v>
      </c>
      <c r="F597" s="221">
        <v>7794334001835</v>
      </c>
      <c r="G597" s="216">
        <v>5</v>
      </c>
      <c r="H597" s="5" t="s">
        <v>1191</v>
      </c>
      <c r="I597" s="204">
        <v>4.55</v>
      </c>
      <c r="J597" s="260">
        <v>0.1</v>
      </c>
      <c r="L597" s="217">
        <f t="shared" si="27"/>
        <v>2152.138818375</v>
      </c>
      <c r="N597" s="271">
        <f t="shared" si="28"/>
        <v>3120.60128664375</v>
      </c>
      <c r="P597" s="326">
        <f t="shared" si="29"/>
        <v>3775.9275568389376</v>
      </c>
    </row>
    <row r="598" spans="1:16">
      <c r="A598" s="206">
        <v>592</v>
      </c>
      <c r="B598" s="175" t="s">
        <v>523</v>
      </c>
      <c r="C598" s="175" t="s">
        <v>2677</v>
      </c>
      <c r="D598" s="3" t="s">
        <v>858</v>
      </c>
      <c r="E598" s="179" t="s">
        <v>859</v>
      </c>
      <c r="F598" s="221">
        <v>7794334001842</v>
      </c>
      <c r="G598" s="216">
        <v>5</v>
      </c>
      <c r="H598" s="5" t="s">
        <v>1191</v>
      </c>
      <c r="I598" s="204">
        <v>5.21</v>
      </c>
      <c r="J598" s="260">
        <v>0.1</v>
      </c>
      <c r="L598" s="217">
        <f t="shared" si="27"/>
        <v>2464.3171964249996</v>
      </c>
      <c r="N598" s="271">
        <f t="shared" si="28"/>
        <v>3573.2599348162494</v>
      </c>
      <c r="P598" s="326">
        <f t="shared" si="29"/>
        <v>4323.6445211276614</v>
      </c>
    </row>
    <row r="599" spans="1:16">
      <c r="A599" s="206">
        <v>593</v>
      </c>
      <c r="B599" s="175" t="s">
        <v>523</v>
      </c>
      <c r="C599" s="175" t="s">
        <v>2677</v>
      </c>
      <c r="D599" s="3" t="s">
        <v>860</v>
      </c>
      <c r="E599" s="179" t="s">
        <v>861</v>
      </c>
      <c r="F599" s="221">
        <v>7794334001859</v>
      </c>
      <c r="G599" s="216">
        <v>5</v>
      </c>
      <c r="H599" s="5" t="s">
        <v>1191</v>
      </c>
      <c r="I599" s="204">
        <v>5.69</v>
      </c>
      <c r="J599" s="260">
        <v>0.1</v>
      </c>
      <c r="L599" s="217">
        <f t="shared" si="27"/>
        <v>2691.3560168250001</v>
      </c>
      <c r="N599" s="271">
        <f t="shared" si="28"/>
        <v>3902.4662243962498</v>
      </c>
      <c r="P599" s="326">
        <f t="shared" si="29"/>
        <v>4721.9841315194617</v>
      </c>
    </row>
    <row r="600" spans="1:16">
      <c r="A600" s="206">
        <v>594</v>
      </c>
      <c r="B600" s="175" t="s">
        <v>523</v>
      </c>
      <c r="C600" s="175" t="s">
        <v>2677</v>
      </c>
      <c r="D600" s="3" t="s">
        <v>862</v>
      </c>
      <c r="E600" s="179" t="s">
        <v>863</v>
      </c>
      <c r="F600" s="221">
        <v>7794334001866</v>
      </c>
      <c r="G600" s="216">
        <v>3</v>
      </c>
      <c r="H600" s="5" t="s">
        <v>1191</v>
      </c>
      <c r="I600" s="204">
        <v>7.06</v>
      </c>
      <c r="J600" s="260">
        <v>0.1</v>
      </c>
      <c r="L600" s="217">
        <f t="shared" si="27"/>
        <v>3339.36265005</v>
      </c>
      <c r="N600" s="271">
        <f t="shared" si="28"/>
        <v>4842.0758425724998</v>
      </c>
      <c r="P600" s="326">
        <f t="shared" si="29"/>
        <v>5858.9117695127243</v>
      </c>
    </row>
    <row r="601" spans="1:16">
      <c r="A601" s="206">
        <v>595</v>
      </c>
      <c r="B601" s="175" t="s">
        <v>523</v>
      </c>
      <c r="C601" s="175" t="s">
        <v>2677</v>
      </c>
      <c r="D601" s="3" t="s">
        <v>864</v>
      </c>
      <c r="E601" s="179" t="s">
        <v>865</v>
      </c>
      <c r="F601" s="221">
        <v>7794334001873</v>
      </c>
      <c r="G601" s="216">
        <v>3</v>
      </c>
      <c r="H601" s="5" t="s">
        <v>1191</v>
      </c>
      <c r="I601" s="204">
        <v>9.3000000000000007</v>
      </c>
      <c r="J601" s="260">
        <v>0.1</v>
      </c>
      <c r="L601" s="217">
        <f t="shared" si="27"/>
        <v>4398.8771452499996</v>
      </c>
      <c r="N601" s="271">
        <f t="shared" si="28"/>
        <v>6378.3718606124994</v>
      </c>
      <c r="P601" s="326">
        <f t="shared" si="29"/>
        <v>7717.8299513411239</v>
      </c>
    </row>
    <row r="602" spans="1:16">
      <c r="A602" s="206">
        <v>596</v>
      </c>
      <c r="B602" s="175" t="s">
        <v>523</v>
      </c>
      <c r="C602" s="175" t="s">
        <v>2677</v>
      </c>
      <c r="D602" s="3" t="s">
        <v>866</v>
      </c>
      <c r="E602" s="179" t="s">
        <v>867</v>
      </c>
      <c r="F602" s="221">
        <v>7794334001880</v>
      </c>
      <c r="G602" s="216">
        <v>3</v>
      </c>
      <c r="H602" s="5" t="s">
        <v>1191</v>
      </c>
      <c r="I602" s="204">
        <v>13.18</v>
      </c>
      <c r="J602" s="260">
        <v>0.1</v>
      </c>
      <c r="L602" s="217">
        <f t="shared" si="27"/>
        <v>6234.1076101499993</v>
      </c>
      <c r="N602" s="271">
        <f t="shared" si="28"/>
        <v>9039.4560347174993</v>
      </c>
      <c r="P602" s="326">
        <f t="shared" si="29"/>
        <v>10937.741802008173</v>
      </c>
    </row>
    <row r="603" spans="1:16">
      <c r="A603" s="206">
        <v>597</v>
      </c>
      <c r="B603" s="175" t="s">
        <v>523</v>
      </c>
      <c r="C603" s="175" t="s">
        <v>2677</v>
      </c>
      <c r="D603" s="3" t="s">
        <v>868</v>
      </c>
      <c r="E603" s="179" t="s">
        <v>869</v>
      </c>
      <c r="F603" s="221">
        <v>7794334001897</v>
      </c>
      <c r="G603" s="216">
        <v>5</v>
      </c>
      <c r="H603" s="5" t="s">
        <v>1191</v>
      </c>
      <c r="I603" s="204">
        <v>5.44</v>
      </c>
      <c r="J603" s="260">
        <v>0.1</v>
      </c>
      <c r="L603" s="217">
        <f t="shared" si="27"/>
        <v>2573.1066312000003</v>
      </c>
      <c r="N603" s="271">
        <f t="shared" si="28"/>
        <v>3731.0046152400005</v>
      </c>
      <c r="P603" s="326">
        <f t="shared" si="29"/>
        <v>4514.5155844404007</v>
      </c>
    </row>
    <row r="604" spans="1:16">
      <c r="A604" s="206">
        <v>598</v>
      </c>
      <c r="B604" s="175" t="s">
        <v>523</v>
      </c>
      <c r="C604" s="175" t="s">
        <v>2677</v>
      </c>
      <c r="D604" s="3" t="s">
        <v>870</v>
      </c>
      <c r="E604" s="179" t="s">
        <v>871</v>
      </c>
      <c r="F604" s="221">
        <v>7794334001903</v>
      </c>
      <c r="G604" s="216">
        <v>5</v>
      </c>
      <c r="H604" s="5" t="s">
        <v>1191</v>
      </c>
      <c r="I604" s="204">
        <v>6.35</v>
      </c>
      <c r="J604" s="260">
        <v>0.1</v>
      </c>
      <c r="L604" s="217">
        <f t="shared" si="27"/>
        <v>3003.5343948750001</v>
      </c>
      <c r="N604" s="271">
        <f t="shared" si="28"/>
        <v>4355.1248725687501</v>
      </c>
      <c r="P604" s="326">
        <f t="shared" si="29"/>
        <v>5269.7010958081873</v>
      </c>
    </row>
    <row r="605" spans="1:16">
      <c r="A605" s="206">
        <v>599</v>
      </c>
      <c r="B605" s="175" t="s">
        <v>523</v>
      </c>
      <c r="C605" s="175" t="s">
        <v>2677</v>
      </c>
      <c r="D605" s="3" t="s">
        <v>872</v>
      </c>
      <c r="E605" s="179" t="s">
        <v>873</v>
      </c>
      <c r="F605" s="221">
        <v>7794334001910</v>
      </c>
      <c r="G605" s="216">
        <v>5</v>
      </c>
      <c r="H605" s="5" t="s">
        <v>1191</v>
      </c>
      <c r="I605" s="204">
        <v>7.19</v>
      </c>
      <c r="J605" s="260">
        <v>0.1</v>
      </c>
      <c r="L605" s="217">
        <f t="shared" si="27"/>
        <v>3400.8523305750005</v>
      </c>
      <c r="N605" s="271">
        <f t="shared" si="28"/>
        <v>4931.2358793337507</v>
      </c>
      <c r="P605" s="326">
        <f t="shared" si="29"/>
        <v>5966.7954139938383</v>
      </c>
    </row>
    <row r="606" spans="1:16">
      <c r="A606" s="206">
        <v>600</v>
      </c>
      <c r="B606" s="175" t="s">
        <v>523</v>
      </c>
      <c r="C606" s="175" t="s">
        <v>2677</v>
      </c>
      <c r="D606" s="3" t="s">
        <v>874</v>
      </c>
      <c r="E606" s="179" t="s">
        <v>875</v>
      </c>
      <c r="F606" s="221">
        <v>7794334001927</v>
      </c>
      <c r="G606" s="216">
        <v>3</v>
      </c>
      <c r="H606" s="5" t="s">
        <v>1191</v>
      </c>
      <c r="I606" s="204">
        <v>12.45</v>
      </c>
      <c r="J606" s="260">
        <v>0.1</v>
      </c>
      <c r="L606" s="217">
        <f t="shared" si="27"/>
        <v>5888.8194041249999</v>
      </c>
      <c r="N606" s="271">
        <f t="shared" si="28"/>
        <v>8538.7881359812491</v>
      </c>
      <c r="P606" s="326">
        <f t="shared" si="29"/>
        <v>10331.933644537312</v>
      </c>
    </row>
    <row r="607" spans="1:16">
      <c r="A607" s="206">
        <v>601</v>
      </c>
      <c r="B607" s="175" t="s">
        <v>523</v>
      </c>
      <c r="C607" s="175" t="s">
        <v>2677</v>
      </c>
      <c r="D607" s="3" t="s">
        <v>876</v>
      </c>
      <c r="E607" s="179" t="s">
        <v>877</v>
      </c>
      <c r="F607" s="221">
        <v>7794334001934</v>
      </c>
      <c r="G607" s="216">
        <v>3</v>
      </c>
      <c r="H607" s="5" t="s">
        <v>1191</v>
      </c>
      <c r="I607" s="204">
        <v>16.62</v>
      </c>
      <c r="J607" s="260">
        <v>0.1</v>
      </c>
      <c r="L607" s="217">
        <f t="shared" si="27"/>
        <v>7861.21915635</v>
      </c>
      <c r="N607" s="271">
        <f t="shared" si="28"/>
        <v>11398.7677767075</v>
      </c>
      <c r="P607" s="326">
        <f t="shared" si="29"/>
        <v>13792.509009816074</v>
      </c>
    </row>
    <row r="608" spans="1:16">
      <c r="A608" s="206">
        <v>602</v>
      </c>
      <c r="B608" s="175" t="s">
        <v>523</v>
      </c>
      <c r="C608" s="175" t="s">
        <v>2677</v>
      </c>
      <c r="D608" s="3" t="s">
        <v>878</v>
      </c>
      <c r="E608" s="179" t="s">
        <v>879</v>
      </c>
      <c r="F608" s="221">
        <v>7794334001941</v>
      </c>
      <c r="G608" s="216">
        <v>5</v>
      </c>
      <c r="H608" s="5" t="s">
        <v>1191</v>
      </c>
      <c r="I608" s="204">
        <v>7.86</v>
      </c>
      <c r="J608" s="260">
        <v>0.1</v>
      </c>
      <c r="L608" s="217">
        <f t="shared" si="27"/>
        <v>3717.7606840500002</v>
      </c>
      <c r="N608" s="271">
        <f t="shared" si="28"/>
        <v>5390.7529918725004</v>
      </c>
      <c r="P608" s="326">
        <f t="shared" si="29"/>
        <v>6522.8111201657257</v>
      </c>
    </row>
    <row r="609" spans="1:16">
      <c r="A609" s="206">
        <v>603</v>
      </c>
      <c r="B609" s="175" t="s">
        <v>523</v>
      </c>
      <c r="C609" s="175" t="s">
        <v>2677</v>
      </c>
      <c r="D609" s="3" t="s">
        <v>880</v>
      </c>
      <c r="E609" s="179" t="s">
        <v>881</v>
      </c>
      <c r="F609" s="221">
        <v>7794334001958</v>
      </c>
      <c r="G609" s="216">
        <v>5</v>
      </c>
      <c r="H609" s="5" t="s">
        <v>1191</v>
      </c>
      <c r="I609" s="204">
        <v>8.99</v>
      </c>
      <c r="J609" s="260">
        <v>0.1</v>
      </c>
      <c r="L609" s="217">
        <f t="shared" si="27"/>
        <v>4252.2479070750005</v>
      </c>
      <c r="N609" s="271">
        <f t="shared" si="28"/>
        <v>6165.7594652587504</v>
      </c>
      <c r="P609" s="326">
        <f t="shared" si="29"/>
        <v>7460.5689529630881</v>
      </c>
    </row>
    <row r="610" spans="1:16">
      <c r="A610" s="206">
        <v>604</v>
      </c>
      <c r="B610" s="175" t="s">
        <v>523</v>
      </c>
      <c r="C610" s="175" t="s">
        <v>2677</v>
      </c>
      <c r="D610" s="3" t="s">
        <v>882</v>
      </c>
      <c r="E610" s="179" t="s">
        <v>883</v>
      </c>
      <c r="F610" s="221">
        <v>7794334001965</v>
      </c>
      <c r="G610" s="216">
        <v>3</v>
      </c>
      <c r="H610" s="5" t="s">
        <v>1191</v>
      </c>
      <c r="I610" s="204">
        <v>13.84</v>
      </c>
      <c r="J610" s="260">
        <v>0.1</v>
      </c>
      <c r="L610" s="217">
        <f t="shared" si="27"/>
        <v>6546.2859881999993</v>
      </c>
      <c r="N610" s="271">
        <f t="shared" si="28"/>
        <v>9492.1146828899982</v>
      </c>
      <c r="P610" s="326">
        <f t="shared" si="29"/>
        <v>11485.458766296897</v>
      </c>
    </row>
    <row r="611" spans="1:16">
      <c r="A611" s="206">
        <v>605</v>
      </c>
      <c r="B611" s="175" t="s">
        <v>523</v>
      </c>
      <c r="C611" s="175" t="s">
        <v>2677</v>
      </c>
      <c r="D611" s="3" t="s">
        <v>884</v>
      </c>
      <c r="E611" s="179" t="s">
        <v>885</v>
      </c>
      <c r="F611" s="221">
        <v>7794334001972</v>
      </c>
      <c r="G611" s="216">
        <v>3</v>
      </c>
      <c r="H611" s="5" t="s">
        <v>1191</v>
      </c>
      <c r="I611" s="204">
        <v>17.64</v>
      </c>
      <c r="J611" s="260">
        <v>0.1</v>
      </c>
      <c r="L611" s="217">
        <f t="shared" si="27"/>
        <v>8343.676649699999</v>
      </c>
      <c r="N611" s="271">
        <f t="shared" si="28"/>
        <v>12098.331142064999</v>
      </c>
      <c r="P611" s="326">
        <f t="shared" si="29"/>
        <v>14638.980681898649</v>
      </c>
    </row>
    <row r="612" spans="1:16">
      <c r="A612" s="206">
        <v>606</v>
      </c>
      <c r="B612" s="175" t="s">
        <v>523</v>
      </c>
      <c r="C612" s="175" t="s">
        <v>2677</v>
      </c>
      <c r="D612" s="3" t="s">
        <v>886</v>
      </c>
      <c r="E612" s="179" t="s">
        <v>887</v>
      </c>
      <c r="F612" s="221">
        <v>7794334001989</v>
      </c>
      <c r="G612" s="216">
        <v>5</v>
      </c>
      <c r="H612" s="5" t="s">
        <v>1191</v>
      </c>
      <c r="I612" s="204">
        <v>11.28</v>
      </c>
      <c r="J612" s="260">
        <v>0.1</v>
      </c>
      <c r="L612" s="217">
        <f t="shared" si="27"/>
        <v>5335.4122793999986</v>
      </c>
      <c r="N612" s="271">
        <f t="shared" si="28"/>
        <v>7736.3478051299981</v>
      </c>
      <c r="P612" s="326">
        <f t="shared" si="29"/>
        <v>9360.9808442072972</v>
      </c>
    </row>
    <row r="613" spans="1:16">
      <c r="A613" s="206">
        <v>607</v>
      </c>
      <c r="B613" s="175" t="s">
        <v>523</v>
      </c>
      <c r="C613" s="175" t="s">
        <v>2677</v>
      </c>
      <c r="D613" s="3" t="s">
        <v>888</v>
      </c>
      <c r="E613" s="179" t="s">
        <v>889</v>
      </c>
      <c r="F613" s="221">
        <v>7794334001996</v>
      </c>
      <c r="G613" s="216">
        <v>3</v>
      </c>
      <c r="H613" s="5" t="s">
        <v>1191</v>
      </c>
      <c r="I613" s="204">
        <v>16.47</v>
      </c>
      <c r="J613" s="260">
        <v>0.1</v>
      </c>
      <c r="L613" s="217">
        <f t="shared" si="27"/>
        <v>7790.2695249749995</v>
      </c>
      <c r="N613" s="271">
        <f t="shared" si="28"/>
        <v>11295.890811213749</v>
      </c>
      <c r="P613" s="326">
        <f t="shared" si="29"/>
        <v>13668.027881568636</v>
      </c>
    </row>
    <row r="614" spans="1:16">
      <c r="A614" s="206">
        <v>608</v>
      </c>
      <c r="B614" s="175" t="s">
        <v>523</v>
      </c>
      <c r="C614" s="175" t="s">
        <v>2677</v>
      </c>
      <c r="D614" s="3" t="s">
        <v>890</v>
      </c>
      <c r="E614" s="179" t="s">
        <v>891</v>
      </c>
      <c r="F614" s="221">
        <v>7794334002009</v>
      </c>
      <c r="G614" s="216">
        <v>3</v>
      </c>
      <c r="H614" s="5" t="s">
        <v>1191</v>
      </c>
      <c r="I614" s="204">
        <v>23.17</v>
      </c>
      <c r="J614" s="260">
        <v>0.1</v>
      </c>
      <c r="L614" s="217">
        <f t="shared" si="27"/>
        <v>10959.353059725001</v>
      </c>
      <c r="N614" s="271">
        <f t="shared" si="28"/>
        <v>15891.061936601251</v>
      </c>
      <c r="P614" s="326">
        <f t="shared" si="29"/>
        <v>19228.184943287513</v>
      </c>
    </row>
    <row r="615" spans="1:16">
      <c r="A615" s="206">
        <v>609</v>
      </c>
      <c r="B615" s="175" t="s">
        <v>523</v>
      </c>
      <c r="C615" s="175" t="s">
        <v>2677</v>
      </c>
      <c r="D615" s="3" t="s">
        <v>892</v>
      </c>
      <c r="E615" s="179" t="s">
        <v>893</v>
      </c>
      <c r="F615" s="221">
        <v>7794334002016</v>
      </c>
      <c r="G615" s="216">
        <v>5</v>
      </c>
      <c r="H615" s="5" t="s">
        <v>1191</v>
      </c>
      <c r="I615" s="204">
        <v>13.84</v>
      </c>
      <c r="J615" s="260">
        <v>0.1</v>
      </c>
      <c r="L615" s="217">
        <f t="shared" si="27"/>
        <v>6546.2859881999993</v>
      </c>
      <c r="N615" s="271">
        <f t="shared" si="28"/>
        <v>9492.1146828899982</v>
      </c>
      <c r="P615" s="326">
        <f t="shared" si="29"/>
        <v>11485.458766296897</v>
      </c>
    </row>
    <row r="616" spans="1:16">
      <c r="A616" s="206">
        <v>610</v>
      </c>
      <c r="B616" s="175" t="s">
        <v>523</v>
      </c>
      <c r="C616" s="175" t="s">
        <v>2677</v>
      </c>
      <c r="D616" s="3" t="s">
        <v>894</v>
      </c>
      <c r="E616" s="179" t="s">
        <v>895</v>
      </c>
      <c r="F616" s="221">
        <v>7794334002023</v>
      </c>
      <c r="G616" s="216">
        <v>3</v>
      </c>
      <c r="H616" s="5" t="s">
        <v>1191</v>
      </c>
      <c r="I616" s="204">
        <v>23.17</v>
      </c>
      <c r="J616" s="260">
        <v>0.1</v>
      </c>
      <c r="L616" s="217">
        <f t="shared" si="27"/>
        <v>10959.353059725001</v>
      </c>
      <c r="N616" s="271">
        <f t="shared" si="28"/>
        <v>15891.061936601251</v>
      </c>
      <c r="P616" s="326">
        <f t="shared" si="29"/>
        <v>19228.184943287513</v>
      </c>
    </row>
    <row r="617" spans="1:16">
      <c r="A617" s="206">
        <v>611</v>
      </c>
      <c r="B617" s="175" t="s">
        <v>523</v>
      </c>
      <c r="C617" s="175" t="s">
        <v>2677</v>
      </c>
      <c r="D617" s="3" t="s">
        <v>896</v>
      </c>
      <c r="E617" s="179" t="s">
        <v>897</v>
      </c>
      <c r="F617" s="221">
        <v>7794334002030</v>
      </c>
      <c r="G617" s="216">
        <v>3</v>
      </c>
      <c r="H617" s="5" t="s">
        <v>1191</v>
      </c>
      <c r="I617" s="204">
        <v>32.03</v>
      </c>
      <c r="J617" s="260">
        <v>0.1</v>
      </c>
      <c r="L617" s="217">
        <f t="shared" si="27"/>
        <v>15150.111286275</v>
      </c>
      <c r="N617" s="271">
        <f t="shared" si="28"/>
        <v>21967.661365098749</v>
      </c>
      <c r="P617" s="326">
        <f t="shared" si="29"/>
        <v>26580.870251769487</v>
      </c>
    </row>
    <row r="618" spans="1:16">
      <c r="A618" s="206">
        <v>612</v>
      </c>
      <c r="B618" s="175" t="s">
        <v>523</v>
      </c>
      <c r="C618" s="175" t="s">
        <v>2677</v>
      </c>
      <c r="D618" s="3" t="s">
        <v>898</v>
      </c>
      <c r="E618" s="179" t="s">
        <v>899</v>
      </c>
      <c r="F618" s="221">
        <v>7794334002047</v>
      </c>
      <c r="G618" s="216">
        <v>5</v>
      </c>
      <c r="H618" s="5" t="s">
        <v>1191</v>
      </c>
      <c r="I618" s="204">
        <v>18.05</v>
      </c>
      <c r="J618" s="260">
        <v>0.1</v>
      </c>
      <c r="L618" s="217">
        <f t="shared" si="27"/>
        <v>8537.6056421249996</v>
      </c>
      <c r="N618" s="271">
        <f t="shared" si="28"/>
        <v>12379.528181081248</v>
      </c>
      <c r="P618" s="326">
        <f t="shared" si="29"/>
        <v>14979.22909910831</v>
      </c>
    </row>
    <row r="619" spans="1:16">
      <c r="A619" s="206">
        <v>613</v>
      </c>
      <c r="B619" s="175" t="s">
        <v>523</v>
      </c>
      <c r="C619" s="175" t="s">
        <v>2677</v>
      </c>
      <c r="D619" s="3" t="s">
        <v>900</v>
      </c>
      <c r="E619" s="179" t="s">
        <v>901</v>
      </c>
      <c r="F619" s="221">
        <v>7794334002054</v>
      </c>
      <c r="G619" s="216">
        <v>3</v>
      </c>
      <c r="H619" s="5" t="s">
        <v>1191</v>
      </c>
      <c r="I619" s="204">
        <v>23.74</v>
      </c>
      <c r="J619" s="260">
        <v>0.1</v>
      </c>
      <c r="L619" s="217">
        <f t="shared" si="27"/>
        <v>11228.961658949996</v>
      </c>
      <c r="N619" s="271">
        <f t="shared" si="28"/>
        <v>16281.994405477495</v>
      </c>
      <c r="P619" s="326">
        <f t="shared" si="29"/>
        <v>19701.213230627767</v>
      </c>
    </row>
    <row r="620" spans="1:16">
      <c r="A620" s="206">
        <v>614</v>
      </c>
      <c r="B620" s="175" t="s">
        <v>523</v>
      </c>
      <c r="C620" s="175" t="s">
        <v>2677</v>
      </c>
      <c r="D620" s="3" t="s">
        <v>902</v>
      </c>
      <c r="E620" s="179" t="s">
        <v>903</v>
      </c>
      <c r="F620" s="221">
        <v>7794334002061</v>
      </c>
      <c r="G620" s="216">
        <v>3</v>
      </c>
      <c r="H620" s="5" t="s">
        <v>1191</v>
      </c>
      <c r="I620" s="204">
        <v>31.44</v>
      </c>
      <c r="J620" s="260">
        <v>0.1</v>
      </c>
      <c r="L620" s="217">
        <f t="shared" si="27"/>
        <v>14871.042736200001</v>
      </c>
      <c r="N620" s="271">
        <f t="shared" si="28"/>
        <v>21563.011967490002</v>
      </c>
      <c r="P620" s="326">
        <f t="shared" si="29"/>
        <v>26091.244480662903</v>
      </c>
    </row>
    <row r="621" spans="1:16">
      <c r="A621" s="206">
        <v>615</v>
      </c>
      <c r="B621" s="175" t="s">
        <v>523</v>
      </c>
      <c r="C621" s="175" t="s">
        <v>2677</v>
      </c>
      <c r="D621" s="3" t="s">
        <v>904</v>
      </c>
      <c r="E621" s="179" t="s">
        <v>905</v>
      </c>
      <c r="F621" s="221">
        <v>7794334002078</v>
      </c>
      <c r="G621" s="216">
        <v>5</v>
      </c>
      <c r="H621" s="5" t="s">
        <v>1191</v>
      </c>
      <c r="I621" s="204">
        <v>18.05</v>
      </c>
      <c r="J621" s="260">
        <v>0.1</v>
      </c>
      <c r="L621" s="217">
        <f t="shared" si="27"/>
        <v>8537.6056421249996</v>
      </c>
      <c r="N621" s="271">
        <f t="shared" si="28"/>
        <v>12379.528181081248</v>
      </c>
      <c r="P621" s="326">
        <f t="shared" si="29"/>
        <v>14979.22909910831</v>
      </c>
    </row>
    <row r="622" spans="1:16">
      <c r="A622" s="206">
        <v>616</v>
      </c>
      <c r="B622" s="175" t="s">
        <v>523</v>
      </c>
      <c r="C622" s="175" t="s">
        <v>2677</v>
      </c>
      <c r="D622" s="3" t="s">
        <v>906</v>
      </c>
      <c r="E622" s="179" t="s">
        <v>907</v>
      </c>
      <c r="F622" s="221">
        <v>7794334002085</v>
      </c>
      <c r="G622" s="216">
        <v>3</v>
      </c>
      <c r="H622" s="5" t="s">
        <v>1191</v>
      </c>
      <c r="I622" s="204">
        <v>23.74</v>
      </c>
      <c r="J622" s="260">
        <v>0.1</v>
      </c>
      <c r="L622" s="217">
        <f t="shared" si="27"/>
        <v>11228.961658949996</v>
      </c>
      <c r="N622" s="271">
        <f t="shared" si="28"/>
        <v>16281.994405477495</v>
      </c>
      <c r="P622" s="326">
        <f t="shared" si="29"/>
        <v>19701.213230627767</v>
      </c>
    </row>
    <row r="623" spans="1:16">
      <c r="A623" s="206">
        <v>617</v>
      </c>
      <c r="B623" s="175" t="s">
        <v>523</v>
      </c>
      <c r="C623" s="175" t="s">
        <v>2677</v>
      </c>
      <c r="D623" s="3" t="s">
        <v>908</v>
      </c>
      <c r="E623" s="179" t="s">
        <v>909</v>
      </c>
      <c r="F623" s="221">
        <v>7794334002092</v>
      </c>
      <c r="G623" s="216">
        <v>3</v>
      </c>
      <c r="H623" s="5" t="s">
        <v>1191</v>
      </c>
      <c r="I623" s="204">
        <v>31.44</v>
      </c>
      <c r="J623" s="260">
        <v>0.1</v>
      </c>
      <c r="L623" s="217">
        <f t="shared" si="27"/>
        <v>14871.042736200001</v>
      </c>
      <c r="N623" s="271">
        <f t="shared" si="28"/>
        <v>21563.011967490002</v>
      </c>
      <c r="P623" s="326">
        <f t="shared" si="29"/>
        <v>26091.244480662903</v>
      </c>
    </row>
    <row r="624" spans="1:16">
      <c r="A624" s="206">
        <v>618</v>
      </c>
      <c r="B624" s="175" t="s">
        <v>523</v>
      </c>
      <c r="C624" s="175" t="s">
        <v>2678</v>
      </c>
      <c r="D624" s="3" t="s">
        <v>910</v>
      </c>
      <c r="E624" s="179" t="s">
        <v>911</v>
      </c>
      <c r="F624" s="221">
        <v>7794334006069</v>
      </c>
      <c r="G624" s="216">
        <v>2</v>
      </c>
      <c r="H624" s="5" t="s">
        <v>1191</v>
      </c>
      <c r="I624" s="204">
        <v>5.4</v>
      </c>
      <c r="J624" s="260">
        <v>0.1</v>
      </c>
      <c r="L624" s="217">
        <f t="shared" si="27"/>
        <v>2554.1867295000002</v>
      </c>
      <c r="N624" s="271">
        <f t="shared" si="28"/>
        <v>3703.5707577749999</v>
      </c>
      <c r="P624" s="326">
        <f t="shared" si="29"/>
        <v>4481.3206169077494</v>
      </c>
    </row>
    <row r="625" spans="1:16">
      <c r="A625" s="206">
        <v>619</v>
      </c>
      <c r="B625" s="175" t="s">
        <v>523</v>
      </c>
      <c r="C625" s="175" t="s">
        <v>2678</v>
      </c>
      <c r="D625" s="3" t="s">
        <v>912</v>
      </c>
      <c r="E625" s="179" t="s">
        <v>913</v>
      </c>
      <c r="F625" s="221">
        <v>7794334006045</v>
      </c>
      <c r="G625" s="216">
        <v>2</v>
      </c>
      <c r="H625" s="5" t="s">
        <v>1191</v>
      </c>
      <c r="I625" s="204">
        <v>5.4</v>
      </c>
      <c r="J625" s="260">
        <v>0.1</v>
      </c>
      <c r="L625" s="217">
        <f t="shared" si="27"/>
        <v>2554.1867295000002</v>
      </c>
      <c r="N625" s="271">
        <f t="shared" si="28"/>
        <v>3703.5707577749999</v>
      </c>
      <c r="P625" s="326">
        <f t="shared" si="29"/>
        <v>4481.3206169077494</v>
      </c>
    </row>
    <row r="626" spans="1:16">
      <c r="A626" s="206">
        <v>620</v>
      </c>
      <c r="B626" s="175" t="s">
        <v>523</v>
      </c>
      <c r="C626" s="175" t="s">
        <v>2678</v>
      </c>
      <c r="D626" s="3" t="s">
        <v>914</v>
      </c>
      <c r="E626" s="179" t="s">
        <v>915</v>
      </c>
      <c r="F626" s="221">
        <v>7794334006052</v>
      </c>
      <c r="G626" s="216">
        <v>2</v>
      </c>
      <c r="H626" s="5" t="s">
        <v>1191</v>
      </c>
      <c r="I626" s="204">
        <v>6.8</v>
      </c>
      <c r="J626" s="260">
        <v>0.1</v>
      </c>
      <c r="L626" s="217">
        <f t="shared" si="27"/>
        <v>3216.3832889999999</v>
      </c>
      <c r="N626" s="271">
        <f t="shared" si="28"/>
        <v>4663.7557690499998</v>
      </c>
      <c r="P626" s="326">
        <f t="shared" si="29"/>
        <v>5643.1444805504998</v>
      </c>
    </row>
    <row r="627" spans="1:16">
      <c r="A627" s="206">
        <v>621</v>
      </c>
      <c r="B627" s="175" t="s">
        <v>523</v>
      </c>
      <c r="C627" s="175" t="s">
        <v>2678</v>
      </c>
      <c r="D627" s="3" t="s">
        <v>916</v>
      </c>
      <c r="E627" s="179" t="s">
        <v>917</v>
      </c>
      <c r="F627" s="221">
        <v>7794334006083</v>
      </c>
      <c r="G627" s="216">
        <v>2</v>
      </c>
      <c r="H627" s="5" t="s">
        <v>1191</v>
      </c>
      <c r="I627" s="204">
        <v>7.31</v>
      </c>
      <c r="J627" s="260">
        <v>0.1</v>
      </c>
      <c r="L627" s="217">
        <f t="shared" si="27"/>
        <v>3457.6120356749993</v>
      </c>
      <c r="N627" s="271">
        <f t="shared" si="28"/>
        <v>5013.5374517287491</v>
      </c>
      <c r="P627" s="326">
        <f t="shared" si="29"/>
        <v>6066.3803165917861</v>
      </c>
    </row>
    <row r="628" spans="1:16">
      <c r="A628" s="206">
        <v>622</v>
      </c>
      <c r="B628" s="175" t="s">
        <v>523</v>
      </c>
      <c r="C628" s="175" t="s">
        <v>2678</v>
      </c>
      <c r="D628" s="3" t="s">
        <v>918</v>
      </c>
      <c r="E628" s="179" t="s">
        <v>919</v>
      </c>
      <c r="F628" s="221">
        <v>7794334006076</v>
      </c>
      <c r="G628" s="216">
        <v>2</v>
      </c>
      <c r="H628" s="5" t="s">
        <v>1191</v>
      </c>
      <c r="I628" s="204">
        <v>7.54</v>
      </c>
      <c r="J628" s="260">
        <v>0.1</v>
      </c>
      <c r="L628" s="217">
        <f t="shared" si="27"/>
        <v>3566.4014704499996</v>
      </c>
      <c r="N628" s="271">
        <f t="shared" si="28"/>
        <v>5171.2821321524989</v>
      </c>
      <c r="P628" s="326">
        <f t="shared" si="29"/>
        <v>6257.2513799045237</v>
      </c>
    </row>
    <row r="629" spans="1:16">
      <c r="A629" s="206">
        <v>623</v>
      </c>
      <c r="B629" s="175" t="s">
        <v>523</v>
      </c>
      <c r="C629" s="175" t="s">
        <v>2678</v>
      </c>
      <c r="D629" s="3" t="s">
        <v>920</v>
      </c>
      <c r="E629" s="179" t="s">
        <v>921</v>
      </c>
      <c r="F629" s="221">
        <v>7794334242122</v>
      </c>
      <c r="G629" s="216">
        <v>2</v>
      </c>
      <c r="H629" s="5" t="s">
        <v>1191</v>
      </c>
      <c r="I629" s="204">
        <v>2.57</v>
      </c>
      <c r="J629" s="260">
        <v>0.1</v>
      </c>
      <c r="L629" s="217">
        <f t="shared" si="27"/>
        <v>1215.6036842249998</v>
      </c>
      <c r="N629" s="271">
        <f t="shared" si="28"/>
        <v>1762.6253421262497</v>
      </c>
      <c r="P629" s="326">
        <f t="shared" si="29"/>
        <v>2132.776663972762</v>
      </c>
    </row>
    <row r="630" spans="1:16">
      <c r="A630" s="206">
        <v>624</v>
      </c>
      <c r="B630" s="175" t="s">
        <v>523</v>
      </c>
      <c r="C630" s="175" t="s">
        <v>2679</v>
      </c>
      <c r="D630" s="3" t="s">
        <v>922</v>
      </c>
      <c r="E630" s="179" t="s">
        <v>923</v>
      </c>
      <c r="F630" s="221">
        <v>7794334006175</v>
      </c>
      <c r="G630" s="216">
        <v>2</v>
      </c>
      <c r="H630" s="5" t="s">
        <v>1191</v>
      </c>
      <c r="I630" s="204">
        <v>20.6</v>
      </c>
      <c r="J630" s="260">
        <v>0.1</v>
      </c>
      <c r="L630" s="217">
        <f t="shared" si="27"/>
        <v>9743.7493754999996</v>
      </c>
      <c r="N630" s="271">
        <f t="shared" si="28"/>
        <v>14128.436594474999</v>
      </c>
      <c r="P630" s="326">
        <f t="shared" si="29"/>
        <v>17095.408279314746</v>
      </c>
    </row>
    <row r="631" spans="1:16">
      <c r="A631" s="206">
        <v>625</v>
      </c>
      <c r="B631" s="175" t="s">
        <v>523</v>
      </c>
      <c r="C631" s="175" t="s">
        <v>2679</v>
      </c>
      <c r="D631" s="3" t="s">
        <v>924</v>
      </c>
      <c r="E631" s="179" t="s">
        <v>925</v>
      </c>
      <c r="F631" s="221">
        <v>7794334006182</v>
      </c>
      <c r="G631" s="216">
        <v>2</v>
      </c>
      <c r="H631" s="5" t="s">
        <v>1191</v>
      </c>
      <c r="I631" s="204">
        <v>22.79</v>
      </c>
      <c r="J631" s="260">
        <v>0.1</v>
      </c>
      <c r="L631" s="217">
        <f t="shared" si="27"/>
        <v>10779.613993574998</v>
      </c>
      <c r="N631" s="271">
        <f t="shared" si="28"/>
        <v>15630.440290683746</v>
      </c>
      <c r="P631" s="326">
        <f t="shared" si="29"/>
        <v>18912.832751727332</v>
      </c>
    </row>
    <row r="632" spans="1:16">
      <c r="A632" s="206">
        <v>626</v>
      </c>
      <c r="B632" s="175" t="s">
        <v>523</v>
      </c>
      <c r="C632" s="175" t="s">
        <v>2679</v>
      </c>
      <c r="D632" s="3" t="s">
        <v>926</v>
      </c>
      <c r="E632" s="179" t="s">
        <v>927</v>
      </c>
      <c r="F632" s="221">
        <v>7794334006199</v>
      </c>
      <c r="G632" s="216">
        <v>2</v>
      </c>
      <c r="H632" s="5" t="s">
        <v>1191</v>
      </c>
      <c r="I632" s="204">
        <v>24.96</v>
      </c>
      <c r="J632" s="260">
        <v>0.1</v>
      </c>
      <c r="L632" s="217">
        <f t="shared" si="27"/>
        <v>11806.0186608</v>
      </c>
      <c r="N632" s="271">
        <f t="shared" si="28"/>
        <v>17118.727058159999</v>
      </c>
      <c r="P632" s="326">
        <f t="shared" si="29"/>
        <v>20713.659740373598</v>
      </c>
    </row>
    <row r="633" spans="1:16">
      <c r="A633" s="206">
        <v>627</v>
      </c>
      <c r="B633" s="175" t="s">
        <v>523</v>
      </c>
      <c r="C633" s="175" t="s">
        <v>2679</v>
      </c>
      <c r="D633" s="3" t="s">
        <v>928</v>
      </c>
      <c r="E633" s="179" t="s">
        <v>929</v>
      </c>
      <c r="F633" s="221">
        <v>7794334006205</v>
      </c>
      <c r="G633" s="216">
        <v>2</v>
      </c>
      <c r="H633" s="5" t="s">
        <v>1191</v>
      </c>
      <c r="I633" s="204">
        <v>27.52</v>
      </c>
      <c r="J633" s="260">
        <v>0.1</v>
      </c>
      <c r="L633" s="217">
        <f t="shared" si="27"/>
        <v>13016.8923696</v>
      </c>
      <c r="N633" s="271">
        <f t="shared" si="28"/>
        <v>18874.49393592</v>
      </c>
      <c r="P633" s="326">
        <f t="shared" si="29"/>
        <v>22838.137662463199</v>
      </c>
    </row>
    <row r="634" spans="1:16">
      <c r="A634" s="206">
        <v>628</v>
      </c>
      <c r="B634" s="175" t="s">
        <v>523</v>
      </c>
      <c r="C634" s="175" t="s">
        <v>2679</v>
      </c>
      <c r="D634" s="3" t="s">
        <v>930</v>
      </c>
      <c r="E634" s="179" t="s">
        <v>931</v>
      </c>
      <c r="F634" s="221">
        <v>7794334006212</v>
      </c>
      <c r="G634" s="216">
        <v>2</v>
      </c>
      <c r="H634" s="5" t="s">
        <v>1191</v>
      </c>
      <c r="I634" s="204">
        <v>30.23</v>
      </c>
      <c r="J634" s="260">
        <v>0.1</v>
      </c>
      <c r="L634" s="217">
        <f t="shared" si="27"/>
        <v>14298.715709775001</v>
      </c>
      <c r="N634" s="271">
        <f t="shared" si="28"/>
        <v>20733.13777917375</v>
      </c>
      <c r="P634" s="326">
        <f t="shared" si="29"/>
        <v>25087.096712800238</v>
      </c>
    </row>
    <row r="635" spans="1:16">
      <c r="A635" s="206">
        <v>629</v>
      </c>
      <c r="B635" s="175" t="s">
        <v>523</v>
      </c>
      <c r="C635" s="175" t="s">
        <v>2679</v>
      </c>
      <c r="D635" s="3" t="s">
        <v>932</v>
      </c>
      <c r="E635" s="179" t="s">
        <v>933</v>
      </c>
      <c r="F635" s="221">
        <v>7794334006229</v>
      </c>
      <c r="G635" s="216">
        <v>2</v>
      </c>
      <c r="H635" s="5" t="s">
        <v>1191</v>
      </c>
      <c r="I635" s="204">
        <v>32.270000000000003</v>
      </c>
      <c r="J635" s="260">
        <v>0.1</v>
      </c>
      <c r="L635" s="217">
        <f t="shared" si="27"/>
        <v>15263.630696475004</v>
      </c>
      <c r="N635" s="271">
        <f t="shared" si="28"/>
        <v>22132.264509888755</v>
      </c>
      <c r="P635" s="326">
        <f t="shared" si="29"/>
        <v>26780.040056965394</v>
      </c>
    </row>
    <row r="636" spans="1:16">
      <c r="A636" s="206">
        <v>630</v>
      </c>
      <c r="B636" s="175" t="s">
        <v>523</v>
      </c>
      <c r="C636" s="175" t="s">
        <v>2679</v>
      </c>
      <c r="D636" s="3" t="s">
        <v>934</v>
      </c>
      <c r="E636" s="179" t="s">
        <v>935</v>
      </c>
      <c r="F636" s="221">
        <v>7794334006236</v>
      </c>
      <c r="G636" s="216">
        <v>2</v>
      </c>
      <c r="H636" s="5" t="s">
        <v>1191</v>
      </c>
      <c r="I636" s="204">
        <v>36.74</v>
      </c>
      <c r="J636" s="260">
        <v>0.1</v>
      </c>
      <c r="L636" s="217">
        <f t="shared" si="27"/>
        <v>17377.92971145</v>
      </c>
      <c r="N636" s="271">
        <f t="shared" si="28"/>
        <v>25197.998081602498</v>
      </c>
      <c r="P636" s="326">
        <f t="shared" si="29"/>
        <v>30489.57767873902</v>
      </c>
    </row>
    <row r="637" spans="1:16">
      <c r="A637" s="206">
        <v>631</v>
      </c>
      <c r="B637" s="175" t="s">
        <v>523</v>
      </c>
      <c r="C637" s="175" t="s">
        <v>2679</v>
      </c>
      <c r="D637" s="3" t="s">
        <v>936</v>
      </c>
      <c r="E637" s="179" t="s">
        <v>937</v>
      </c>
      <c r="F637" s="221">
        <v>7794334006243</v>
      </c>
      <c r="G637" s="216">
        <v>2</v>
      </c>
      <c r="H637" s="5" t="s">
        <v>1191</v>
      </c>
      <c r="I637" s="204">
        <v>43.11</v>
      </c>
      <c r="J637" s="260">
        <v>0.1</v>
      </c>
      <c r="L637" s="217">
        <f t="shared" si="27"/>
        <v>20390.924057174998</v>
      </c>
      <c r="N637" s="271">
        <f t="shared" si="28"/>
        <v>29566.839882903747</v>
      </c>
      <c r="P637" s="326">
        <f t="shared" si="29"/>
        <v>35775.876258313532</v>
      </c>
    </row>
    <row r="638" spans="1:16">
      <c r="A638" s="206">
        <v>632</v>
      </c>
      <c r="B638" s="175" t="s">
        <v>523</v>
      </c>
      <c r="C638" s="175" t="s">
        <v>2679</v>
      </c>
      <c r="D638" s="3" t="s">
        <v>938</v>
      </c>
      <c r="E638" s="179" t="s">
        <v>939</v>
      </c>
      <c r="F638" s="221">
        <v>7794334006250</v>
      </c>
      <c r="G638" s="216">
        <v>2</v>
      </c>
      <c r="H638" s="5" t="s">
        <v>1191</v>
      </c>
      <c r="I638" s="204">
        <v>60.71</v>
      </c>
      <c r="J638" s="260">
        <v>0.1</v>
      </c>
      <c r="L638" s="217">
        <f t="shared" si="27"/>
        <v>28715.680805175001</v>
      </c>
      <c r="N638" s="271">
        <f t="shared" si="28"/>
        <v>41637.73716750375</v>
      </c>
      <c r="P638" s="326">
        <f t="shared" si="29"/>
        <v>50381.66197267954</v>
      </c>
    </row>
    <row r="639" spans="1:16">
      <c r="A639" s="206">
        <v>633</v>
      </c>
      <c r="B639" s="175" t="s">
        <v>523</v>
      </c>
      <c r="C639" s="175" t="s">
        <v>2679</v>
      </c>
      <c r="D639" s="3" t="s">
        <v>940</v>
      </c>
      <c r="E639" s="179" t="s">
        <v>941</v>
      </c>
      <c r="F639" s="221">
        <v>7794334006267</v>
      </c>
      <c r="G639" s="216">
        <v>2</v>
      </c>
      <c r="H639" s="5" t="s">
        <v>1191</v>
      </c>
      <c r="I639" s="204">
        <v>75.22</v>
      </c>
      <c r="J639" s="260">
        <v>0.1</v>
      </c>
      <c r="L639" s="217">
        <f t="shared" si="27"/>
        <v>35578.875146849998</v>
      </c>
      <c r="N639" s="271">
        <f t="shared" si="28"/>
        <v>51589.368962932494</v>
      </c>
      <c r="P639" s="326">
        <f t="shared" si="29"/>
        <v>62423.136445148317</v>
      </c>
    </row>
    <row r="640" spans="1:16">
      <c r="A640" s="206">
        <v>634</v>
      </c>
      <c r="B640" s="175" t="s">
        <v>523</v>
      </c>
      <c r="C640" s="175" t="s">
        <v>2679</v>
      </c>
      <c r="D640" s="3" t="s">
        <v>942</v>
      </c>
      <c r="E640" s="179" t="s">
        <v>943</v>
      </c>
      <c r="F640" s="221">
        <v>7794334006274</v>
      </c>
      <c r="G640" s="216">
        <v>2</v>
      </c>
      <c r="H640" s="5" t="s">
        <v>1191</v>
      </c>
      <c r="I640" s="204">
        <v>92.26</v>
      </c>
      <c r="J640" s="260">
        <v>0.1</v>
      </c>
      <c r="L640" s="217">
        <f t="shared" si="27"/>
        <v>43638.753271050002</v>
      </c>
      <c r="N640" s="271">
        <f t="shared" si="28"/>
        <v>63276.192243022502</v>
      </c>
      <c r="P640" s="326">
        <f t="shared" si="29"/>
        <v>76564.192614057232</v>
      </c>
    </row>
    <row r="641" spans="1:16">
      <c r="A641" s="206">
        <v>635</v>
      </c>
      <c r="B641" s="175" t="s">
        <v>523</v>
      </c>
      <c r="C641" s="175" t="s">
        <v>2679</v>
      </c>
      <c r="D641" s="3" t="s">
        <v>944</v>
      </c>
      <c r="E641" s="179" t="s">
        <v>945</v>
      </c>
      <c r="F641" s="221">
        <v>7794334006281</v>
      </c>
      <c r="G641" s="216">
        <v>2</v>
      </c>
      <c r="H641" s="5" t="s">
        <v>1191</v>
      </c>
      <c r="I641" s="204">
        <v>103.2</v>
      </c>
      <c r="J641" s="260">
        <v>0.1</v>
      </c>
      <c r="L641" s="217">
        <f t="shared" si="27"/>
        <v>48813.346386000005</v>
      </c>
      <c r="N641" s="271">
        <f t="shared" si="28"/>
        <v>70779.352259700012</v>
      </c>
      <c r="P641" s="326">
        <f t="shared" si="29"/>
        <v>85643.016234237017</v>
      </c>
    </row>
    <row r="642" spans="1:16">
      <c r="A642" s="206">
        <v>636</v>
      </c>
      <c r="B642" s="175" t="s">
        <v>523</v>
      </c>
      <c r="C642" s="175" t="s">
        <v>2679</v>
      </c>
      <c r="D642" s="3" t="s">
        <v>946</v>
      </c>
      <c r="E642" s="179" t="s">
        <v>947</v>
      </c>
      <c r="F642" s="221">
        <v>7794334006304</v>
      </c>
      <c r="G642" s="216">
        <v>2</v>
      </c>
      <c r="H642" s="5" t="s">
        <v>1191</v>
      </c>
      <c r="I642" s="204">
        <v>30.23</v>
      </c>
      <c r="J642" s="260">
        <v>0.1</v>
      </c>
      <c r="L642" s="217">
        <f t="shared" si="27"/>
        <v>14298.715709775001</v>
      </c>
      <c r="N642" s="271">
        <f t="shared" si="28"/>
        <v>20733.13777917375</v>
      </c>
      <c r="P642" s="326">
        <f t="shared" si="29"/>
        <v>25087.096712800238</v>
      </c>
    </row>
    <row r="643" spans="1:16">
      <c r="A643" s="206">
        <v>637</v>
      </c>
      <c r="B643" s="175" t="s">
        <v>523</v>
      </c>
      <c r="C643" s="175" t="s">
        <v>2679</v>
      </c>
      <c r="D643" s="3" t="s">
        <v>948</v>
      </c>
      <c r="E643" s="179" t="s">
        <v>949</v>
      </c>
      <c r="F643" s="221">
        <v>7794334006311</v>
      </c>
      <c r="G643" s="216">
        <v>2</v>
      </c>
      <c r="H643" s="5" t="s">
        <v>1191</v>
      </c>
      <c r="I643" s="204">
        <v>32.31</v>
      </c>
      <c r="J643" s="260">
        <v>0.1</v>
      </c>
      <c r="L643" s="217">
        <f t="shared" si="27"/>
        <v>15282.550598174999</v>
      </c>
      <c r="N643" s="271">
        <f t="shared" si="28"/>
        <v>22159.698367353747</v>
      </c>
      <c r="P643" s="326">
        <f t="shared" si="29"/>
        <v>26813.235024498033</v>
      </c>
    </row>
    <row r="644" spans="1:16">
      <c r="A644" s="206">
        <v>638</v>
      </c>
      <c r="B644" s="175" t="s">
        <v>523</v>
      </c>
      <c r="C644" s="175" t="s">
        <v>2679</v>
      </c>
      <c r="D644" s="3" t="s">
        <v>950</v>
      </c>
      <c r="E644" s="179" t="s">
        <v>951</v>
      </c>
      <c r="F644" s="221">
        <v>7794334006328</v>
      </c>
      <c r="G644" s="216">
        <v>2</v>
      </c>
      <c r="H644" s="5" t="s">
        <v>1191</v>
      </c>
      <c r="I644" s="204">
        <v>37.83</v>
      </c>
      <c r="J644" s="260">
        <v>0.1</v>
      </c>
      <c r="L644" s="217">
        <f t="shared" si="27"/>
        <v>17893.497032774994</v>
      </c>
      <c r="N644" s="271">
        <f t="shared" si="28"/>
        <v>25945.570697523741</v>
      </c>
      <c r="P644" s="326">
        <f t="shared" si="29"/>
        <v>31394.140544003727</v>
      </c>
    </row>
    <row r="645" spans="1:16">
      <c r="A645" s="206">
        <v>639</v>
      </c>
      <c r="B645" s="175" t="s">
        <v>523</v>
      </c>
      <c r="C645" s="175" t="s">
        <v>2679</v>
      </c>
      <c r="D645" s="3" t="s">
        <v>952</v>
      </c>
      <c r="E645" s="179" t="s">
        <v>953</v>
      </c>
      <c r="F645" s="221">
        <v>7794334006335</v>
      </c>
      <c r="G645" s="216">
        <v>2</v>
      </c>
      <c r="H645" s="5" t="s">
        <v>1191</v>
      </c>
      <c r="I645" s="204">
        <v>41.12</v>
      </c>
      <c r="J645" s="260">
        <v>0.1</v>
      </c>
      <c r="L645" s="217">
        <f t="shared" si="27"/>
        <v>19449.658947599997</v>
      </c>
      <c r="N645" s="271">
        <f t="shared" si="28"/>
        <v>28202.005474019996</v>
      </c>
      <c r="P645" s="326">
        <f t="shared" si="29"/>
        <v>34124.426623564192</v>
      </c>
    </row>
    <row r="646" spans="1:16">
      <c r="A646" s="206">
        <v>640</v>
      </c>
      <c r="B646" s="175" t="s">
        <v>523</v>
      </c>
      <c r="C646" s="175" t="s">
        <v>2679</v>
      </c>
      <c r="D646" s="3" t="s">
        <v>954</v>
      </c>
      <c r="E646" s="179" t="s">
        <v>955</v>
      </c>
      <c r="F646" s="221">
        <v>7794334006342</v>
      </c>
      <c r="G646" s="216">
        <v>2</v>
      </c>
      <c r="H646" s="5" t="s">
        <v>1191</v>
      </c>
      <c r="I646" s="204">
        <v>43.11</v>
      </c>
      <c r="J646" s="260">
        <v>0.1</v>
      </c>
      <c r="L646" s="217">
        <f t="shared" si="27"/>
        <v>20390.924057174998</v>
      </c>
      <c r="N646" s="271">
        <f t="shared" si="28"/>
        <v>29566.839882903747</v>
      </c>
      <c r="P646" s="326">
        <f t="shared" si="29"/>
        <v>35775.876258313532</v>
      </c>
    </row>
    <row r="647" spans="1:16">
      <c r="A647" s="206">
        <v>641</v>
      </c>
      <c r="B647" s="175" t="s">
        <v>523</v>
      </c>
      <c r="C647" s="175" t="s">
        <v>2679</v>
      </c>
      <c r="D647" s="3" t="s">
        <v>956</v>
      </c>
      <c r="E647" s="179" t="s">
        <v>957</v>
      </c>
      <c r="F647" s="221">
        <v>7794334006359</v>
      </c>
      <c r="G647" s="216">
        <v>2</v>
      </c>
      <c r="H647" s="5" t="s">
        <v>1191</v>
      </c>
      <c r="I647" s="204">
        <v>57.1</v>
      </c>
      <c r="J647" s="260">
        <v>0.1</v>
      </c>
      <c r="L647" s="217">
        <f t="shared" si="27"/>
        <v>27008.159676749998</v>
      </c>
      <c r="N647" s="271">
        <f t="shared" si="28"/>
        <v>39161.831531287498</v>
      </c>
      <c r="P647" s="326">
        <f t="shared" si="29"/>
        <v>47385.816152857871</v>
      </c>
    </row>
    <row r="648" spans="1:16">
      <c r="A648" s="206">
        <v>642</v>
      </c>
      <c r="B648" s="175" t="s">
        <v>523</v>
      </c>
      <c r="C648" s="175" t="s">
        <v>2679</v>
      </c>
      <c r="D648" s="3" t="s">
        <v>958</v>
      </c>
      <c r="E648" s="179" t="s">
        <v>959</v>
      </c>
      <c r="F648" s="221">
        <v>7794334006366</v>
      </c>
      <c r="G648" s="216">
        <v>2</v>
      </c>
      <c r="H648" s="5" t="s">
        <v>1191</v>
      </c>
      <c r="I648" s="204">
        <v>70.430000000000007</v>
      </c>
      <c r="J648" s="260">
        <v>0.1</v>
      </c>
      <c r="L648" s="217">
        <f t="shared" ref="L648:L711" si="30">+I648*$F$2*$F$3*$F$4*$F$5</f>
        <v>33313.216918275</v>
      </c>
      <c r="N648" s="271">
        <f t="shared" si="28"/>
        <v>48304.164531498747</v>
      </c>
      <c r="P648" s="326">
        <f t="shared" si="29"/>
        <v>58448.039083113479</v>
      </c>
    </row>
    <row r="649" spans="1:16">
      <c r="A649" s="206">
        <v>643</v>
      </c>
      <c r="B649" s="175" t="s">
        <v>523</v>
      </c>
      <c r="C649" s="175" t="s">
        <v>2679</v>
      </c>
      <c r="D649" s="3" t="s">
        <v>960</v>
      </c>
      <c r="E649" s="179" t="s">
        <v>961</v>
      </c>
      <c r="F649" s="221">
        <v>7794334006373</v>
      </c>
      <c r="G649" s="216">
        <v>2</v>
      </c>
      <c r="H649" s="5" t="s">
        <v>1191</v>
      </c>
      <c r="I649" s="204">
        <v>77.75</v>
      </c>
      <c r="J649" s="260">
        <v>0.1</v>
      </c>
      <c r="L649" s="217">
        <f t="shared" si="30"/>
        <v>36775.558929375002</v>
      </c>
      <c r="N649" s="271">
        <f t="shared" ref="N649:N712" si="31">+L649*1.45</f>
        <v>53324.560447593751</v>
      </c>
      <c r="P649" s="326">
        <f t="shared" ref="P649:P712" si="32">+N649*1.21</f>
        <v>64522.718141588433</v>
      </c>
    </row>
    <row r="650" spans="1:16">
      <c r="A650" s="206">
        <v>644</v>
      </c>
      <c r="B650" s="175" t="s">
        <v>523</v>
      </c>
      <c r="C650" s="175" t="s">
        <v>2679</v>
      </c>
      <c r="D650" s="3" t="s">
        <v>962</v>
      </c>
      <c r="E650" s="179" t="s">
        <v>963</v>
      </c>
      <c r="F650" s="221">
        <v>7794334006380</v>
      </c>
      <c r="G650" s="216">
        <v>2</v>
      </c>
      <c r="H650" s="5" t="s">
        <v>1191</v>
      </c>
      <c r="I650" s="204">
        <v>99.5</v>
      </c>
      <c r="J650" s="260">
        <v>0.1</v>
      </c>
      <c r="L650" s="217">
        <f t="shared" si="30"/>
        <v>47063.255478749998</v>
      </c>
      <c r="N650" s="271">
        <f t="shared" si="31"/>
        <v>68241.720444187493</v>
      </c>
      <c r="P650" s="326">
        <f t="shared" si="32"/>
        <v>82572.481737466864</v>
      </c>
    </row>
    <row r="651" spans="1:16">
      <c r="A651" s="206">
        <v>645</v>
      </c>
      <c r="B651" s="175" t="s">
        <v>523</v>
      </c>
      <c r="C651" s="175" t="s">
        <v>2679</v>
      </c>
      <c r="D651" s="3" t="s">
        <v>964</v>
      </c>
      <c r="E651" s="179" t="s">
        <v>965</v>
      </c>
      <c r="F651" s="221">
        <v>7794334006397</v>
      </c>
      <c r="G651" s="216">
        <v>2</v>
      </c>
      <c r="H651" s="5" t="s">
        <v>1191</v>
      </c>
      <c r="I651" s="204">
        <v>121.39</v>
      </c>
      <c r="J651" s="260">
        <v>0.1</v>
      </c>
      <c r="L651" s="217">
        <f t="shared" si="30"/>
        <v>57417.171684075001</v>
      </c>
      <c r="N651" s="271">
        <f t="shared" si="31"/>
        <v>83254.898941908745</v>
      </c>
      <c r="P651" s="326">
        <f t="shared" si="32"/>
        <v>100738.42771970958</v>
      </c>
    </row>
    <row r="652" spans="1:16">
      <c r="A652" s="206">
        <v>646</v>
      </c>
      <c r="B652" s="175" t="s">
        <v>523</v>
      </c>
      <c r="C652" s="175" t="s">
        <v>2679</v>
      </c>
      <c r="D652" s="3" t="s">
        <v>966</v>
      </c>
      <c r="E652" s="179" t="s">
        <v>967</v>
      </c>
      <c r="F652" s="221">
        <v>7794334006403</v>
      </c>
      <c r="G652" s="216">
        <v>2</v>
      </c>
      <c r="H652" s="5" t="s">
        <v>1191</v>
      </c>
      <c r="I652" s="204">
        <v>133.44999999999999</v>
      </c>
      <c r="J652" s="260">
        <v>0.1</v>
      </c>
      <c r="L652" s="217">
        <f t="shared" si="30"/>
        <v>63121.522046624981</v>
      </c>
      <c r="N652" s="271">
        <f t="shared" si="31"/>
        <v>91526.206967606224</v>
      </c>
      <c r="P652" s="326">
        <f t="shared" si="32"/>
        <v>110746.71043080353</v>
      </c>
    </row>
    <row r="653" spans="1:16">
      <c r="A653" s="206">
        <v>647</v>
      </c>
      <c r="B653" s="175" t="s">
        <v>523</v>
      </c>
      <c r="C653" s="175" t="s">
        <v>2680</v>
      </c>
      <c r="D653" s="4" t="s">
        <v>968</v>
      </c>
      <c r="E653" s="180" t="s">
        <v>969</v>
      </c>
      <c r="F653" s="222">
        <v>7794334006090</v>
      </c>
      <c r="G653" s="216">
        <v>2</v>
      </c>
      <c r="H653" s="5" t="s">
        <v>1191</v>
      </c>
      <c r="I653" s="204">
        <v>10.43</v>
      </c>
      <c r="J653" s="260">
        <v>0.1</v>
      </c>
      <c r="L653" s="217">
        <f t="shared" si="30"/>
        <v>4933.3643682749998</v>
      </c>
      <c r="N653" s="271">
        <f t="shared" si="31"/>
        <v>7153.3783339987494</v>
      </c>
      <c r="P653" s="326">
        <f t="shared" si="32"/>
        <v>8655.5877841384863</v>
      </c>
    </row>
    <row r="654" spans="1:16">
      <c r="A654" s="206">
        <v>648</v>
      </c>
      <c r="B654" s="175" t="s">
        <v>523</v>
      </c>
      <c r="C654" s="175" t="s">
        <v>2680</v>
      </c>
      <c r="D654" s="4" t="s">
        <v>970</v>
      </c>
      <c r="E654" s="180" t="s">
        <v>971</v>
      </c>
      <c r="F654" s="222">
        <v>7794334006106</v>
      </c>
      <c r="G654" s="216">
        <v>2</v>
      </c>
      <c r="H654" s="5" t="s">
        <v>1191</v>
      </c>
      <c r="I654" s="204">
        <v>13.98</v>
      </c>
      <c r="J654" s="260">
        <v>0.1</v>
      </c>
      <c r="L654" s="217">
        <f t="shared" si="30"/>
        <v>6612.5056441500001</v>
      </c>
      <c r="N654" s="271">
        <f t="shared" si="31"/>
        <v>9588.1331840174989</v>
      </c>
      <c r="P654" s="326">
        <f t="shared" si="32"/>
        <v>11601.641152661174</v>
      </c>
    </row>
    <row r="655" spans="1:16">
      <c r="A655" s="206">
        <v>649</v>
      </c>
      <c r="B655" s="175" t="s">
        <v>523</v>
      </c>
      <c r="C655" s="175" t="s">
        <v>2680</v>
      </c>
      <c r="D655" s="4" t="s">
        <v>972</v>
      </c>
      <c r="E655" s="180" t="s">
        <v>973</v>
      </c>
      <c r="F655" s="222">
        <v>7794334006113</v>
      </c>
      <c r="G655" s="216">
        <v>2</v>
      </c>
      <c r="H655" s="5" t="s">
        <v>1191</v>
      </c>
      <c r="I655" s="204">
        <v>18.649999999999999</v>
      </c>
      <c r="J655" s="260">
        <v>0.1</v>
      </c>
      <c r="L655" s="217">
        <f t="shared" si="30"/>
        <v>8821.4041676249999</v>
      </c>
      <c r="N655" s="271">
        <f t="shared" si="31"/>
        <v>12791.036043056249</v>
      </c>
      <c r="P655" s="326">
        <f t="shared" si="32"/>
        <v>15477.15361209806</v>
      </c>
    </row>
    <row r="656" spans="1:16">
      <c r="A656" s="206">
        <v>650</v>
      </c>
      <c r="B656" s="175" t="s">
        <v>523</v>
      </c>
      <c r="C656" s="175" t="s">
        <v>2680</v>
      </c>
      <c r="D656" s="4" t="s">
        <v>974</v>
      </c>
      <c r="E656" s="180" t="s">
        <v>975</v>
      </c>
      <c r="F656" s="222">
        <v>7794334006120</v>
      </c>
      <c r="G656" s="216">
        <v>2</v>
      </c>
      <c r="H656" s="5" t="s">
        <v>1191</v>
      </c>
      <c r="I656" s="204">
        <v>10.43</v>
      </c>
      <c r="J656" s="260">
        <v>0.1</v>
      </c>
      <c r="L656" s="217">
        <f t="shared" si="30"/>
        <v>4933.3643682749998</v>
      </c>
      <c r="N656" s="271">
        <f t="shared" si="31"/>
        <v>7153.3783339987494</v>
      </c>
      <c r="P656" s="326">
        <f t="shared" si="32"/>
        <v>8655.5877841384863</v>
      </c>
    </row>
    <row r="657" spans="1:16">
      <c r="A657" s="206">
        <v>651</v>
      </c>
      <c r="B657" s="175" t="s">
        <v>523</v>
      </c>
      <c r="C657" s="175" t="s">
        <v>2680</v>
      </c>
      <c r="D657" s="4" t="s">
        <v>976</v>
      </c>
      <c r="E657" s="180" t="s">
        <v>977</v>
      </c>
      <c r="F657" s="222">
        <v>7794334006137</v>
      </c>
      <c r="G657" s="216">
        <v>2</v>
      </c>
      <c r="H657" s="5" t="s">
        <v>1191</v>
      </c>
      <c r="I657" s="204">
        <v>13.98</v>
      </c>
      <c r="J657" s="260">
        <v>0.1</v>
      </c>
      <c r="L657" s="217">
        <f t="shared" si="30"/>
        <v>6612.5056441500001</v>
      </c>
      <c r="N657" s="271">
        <f t="shared" si="31"/>
        <v>9588.1331840174989</v>
      </c>
      <c r="P657" s="326">
        <f t="shared" si="32"/>
        <v>11601.641152661174</v>
      </c>
    </row>
    <row r="658" spans="1:16">
      <c r="A658" s="206">
        <v>652</v>
      </c>
      <c r="B658" s="175" t="s">
        <v>523</v>
      </c>
      <c r="C658" s="175" t="s">
        <v>2680</v>
      </c>
      <c r="D658" s="4" t="s">
        <v>978</v>
      </c>
      <c r="E658" s="180" t="s">
        <v>979</v>
      </c>
      <c r="F658" s="222">
        <v>7794334006144</v>
      </c>
      <c r="G658" s="216">
        <v>2</v>
      </c>
      <c r="H658" s="5" t="s">
        <v>1191</v>
      </c>
      <c r="I658" s="204">
        <v>18.649999999999999</v>
      </c>
      <c r="J658" s="260">
        <v>0.1</v>
      </c>
      <c r="L658" s="217">
        <f t="shared" si="30"/>
        <v>8821.4041676249999</v>
      </c>
      <c r="N658" s="271">
        <f t="shared" si="31"/>
        <v>12791.036043056249</v>
      </c>
      <c r="P658" s="326">
        <f t="shared" si="32"/>
        <v>15477.15361209806</v>
      </c>
    </row>
    <row r="659" spans="1:16">
      <c r="A659" s="206">
        <v>653</v>
      </c>
      <c r="B659" s="175" t="s">
        <v>523</v>
      </c>
      <c r="C659" s="175" t="s">
        <v>2680</v>
      </c>
      <c r="D659" s="4" t="s">
        <v>980</v>
      </c>
      <c r="E659" s="180" t="s">
        <v>981</v>
      </c>
      <c r="F659" s="222">
        <v>7794334006151</v>
      </c>
      <c r="G659" s="216">
        <v>2</v>
      </c>
      <c r="H659" s="5" t="s">
        <v>1191</v>
      </c>
      <c r="I659" s="204">
        <v>15.49</v>
      </c>
      <c r="J659" s="260">
        <v>0.1</v>
      </c>
      <c r="L659" s="217">
        <f t="shared" si="30"/>
        <v>7326.7319333249989</v>
      </c>
      <c r="N659" s="271">
        <f t="shared" si="31"/>
        <v>10623.761303321247</v>
      </c>
      <c r="P659" s="326">
        <f t="shared" si="32"/>
        <v>12854.751177018708</v>
      </c>
    </row>
    <row r="660" spans="1:16">
      <c r="A660" s="206">
        <v>654</v>
      </c>
      <c r="B660" s="175" t="s">
        <v>523</v>
      </c>
      <c r="C660" s="175" t="s">
        <v>2680</v>
      </c>
      <c r="D660" s="4" t="s">
        <v>982</v>
      </c>
      <c r="E660" s="180" t="s">
        <v>983</v>
      </c>
      <c r="F660" s="222">
        <v>7794334006168</v>
      </c>
      <c r="G660" s="216">
        <v>2</v>
      </c>
      <c r="H660" s="5" t="s">
        <v>1191</v>
      </c>
      <c r="I660" s="204">
        <v>15.34</v>
      </c>
      <c r="J660" s="260">
        <v>0.1</v>
      </c>
      <c r="L660" s="217">
        <f t="shared" si="30"/>
        <v>7255.7823019500001</v>
      </c>
      <c r="N660" s="271">
        <f t="shared" si="31"/>
        <v>10520.8843378275</v>
      </c>
      <c r="P660" s="326">
        <f t="shared" si="32"/>
        <v>12730.270048771274</v>
      </c>
    </row>
    <row r="661" spans="1:16" ht="15" customHeight="1">
      <c r="A661" s="206">
        <v>655</v>
      </c>
      <c r="B661" s="175" t="s">
        <v>523</v>
      </c>
      <c r="C661" s="175" t="s">
        <v>2680</v>
      </c>
      <c r="D661" s="3" t="s">
        <v>4018</v>
      </c>
      <c r="E661" s="179" t="s">
        <v>984</v>
      </c>
      <c r="F661" s="221">
        <v>7794334011896</v>
      </c>
      <c r="G661" s="216">
        <v>2</v>
      </c>
      <c r="H661" s="5" t="s">
        <v>1191</v>
      </c>
      <c r="I661" s="204">
        <v>34.630000000000003</v>
      </c>
      <c r="J661" s="260">
        <v>0.1</v>
      </c>
      <c r="L661" s="217">
        <f t="shared" si="30"/>
        <v>16379.904896775002</v>
      </c>
      <c r="N661" s="271">
        <f t="shared" si="31"/>
        <v>23750.862100323753</v>
      </c>
      <c r="P661" s="326">
        <f t="shared" si="32"/>
        <v>28738.543141391739</v>
      </c>
    </row>
    <row r="662" spans="1:16">
      <c r="A662" s="206">
        <v>656</v>
      </c>
      <c r="B662" s="175" t="s">
        <v>523</v>
      </c>
      <c r="C662" s="175" t="s">
        <v>2681</v>
      </c>
      <c r="D662" s="4" t="s">
        <v>985</v>
      </c>
      <c r="E662" s="180" t="s">
        <v>986</v>
      </c>
      <c r="F662" s="222">
        <v>7794334011902</v>
      </c>
      <c r="G662" s="216">
        <v>2</v>
      </c>
      <c r="H662" s="5" t="s">
        <v>1191</v>
      </c>
      <c r="I662" s="204">
        <v>6.93</v>
      </c>
      <c r="J662" s="260">
        <v>0.1</v>
      </c>
      <c r="L662" s="217">
        <f t="shared" si="30"/>
        <v>3277.8729695249999</v>
      </c>
      <c r="N662" s="271">
        <f t="shared" si="31"/>
        <v>4752.9158058112498</v>
      </c>
      <c r="P662" s="326">
        <f t="shared" si="32"/>
        <v>5751.028125031612</v>
      </c>
    </row>
    <row r="663" spans="1:16">
      <c r="A663" s="206">
        <v>657</v>
      </c>
      <c r="B663" s="175" t="s">
        <v>523</v>
      </c>
      <c r="C663" s="175" t="s">
        <v>2681</v>
      </c>
      <c r="D663" s="4" t="s">
        <v>987</v>
      </c>
      <c r="E663" s="180" t="s">
        <v>988</v>
      </c>
      <c r="F663" s="222">
        <v>7794334011919</v>
      </c>
      <c r="G663" s="216">
        <v>2</v>
      </c>
      <c r="H663" s="5" t="s">
        <v>1191</v>
      </c>
      <c r="I663" s="204">
        <v>12.05</v>
      </c>
      <c r="J663" s="260">
        <v>0.1</v>
      </c>
      <c r="L663" s="217">
        <f t="shared" si="30"/>
        <v>5699.620387125</v>
      </c>
      <c r="N663" s="271">
        <f t="shared" si="31"/>
        <v>8264.4495613312502</v>
      </c>
      <c r="P663" s="326">
        <f t="shared" si="32"/>
        <v>9999.9839692108126</v>
      </c>
    </row>
    <row r="664" spans="1:16">
      <c r="A664" s="206">
        <v>658</v>
      </c>
      <c r="B664" s="175" t="s">
        <v>523</v>
      </c>
      <c r="C664" s="175" t="s">
        <v>2681</v>
      </c>
      <c r="D664" s="4" t="s">
        <v>989</v>
      </c>
      <c r="E664" s="180" t="s">
        <v>990</v>
      </c>
      <c r="F664" s="222">
        <v>7794334011926</v>
      </c>
      <c r="G664" s="216">
        <v>2</v>
      </c>
      <c r="H664" s="5" t="s">
        <v>1191</v>
      </c>
      <c r="I664" s="204">
        <v>6.93</v>
      </c>
      <c r="J664" s="260">
        <v>0.1</v>
      </c>
      <c r="L664" s="217">
        <f t="shared" si="30"/>
        <v>3277.8729695249999</v>
      </c>
      <c r="N664" s="271">
        <f t="shared" si="31"/>
        <v>4752.9158058112498</v>
      </c>
      <c r="P664" s="326">
        <f t="shared" si="32"/>
        <v>5751.028125031612</v>
      </c>
    </row>
    <row r="665" spans="1:16">
      <c r="A665" s="206">
        <v>659</v>
      </c>
      <c r="B665" s="175" t="s">
        <v>523</v>
      </c>
      <c r="C665" s="175" t="s">
        <v>2681</v>
      </c>
      <c r="D665" s="4" t="s">
        <v>991</v>
      </c>
      <c r="E665" s="180" t="s">
        <v>992</v>
      </c>
      <c r="F665" s="222">
        <v>7794334011933</v>
      </c>
      <c r="G665" s="216">
        <v>2</v>
      </c>
      <c r="H665" s="5" t="s">
        <v>1191</v>
      </c>
      <c r="I665" s="204">
        <v>12.05</v>
      </c>
      <c r="J665" s="260">
        <v>0.1</v>
      </c>
      <c r="L665" s="217">
        <f t="shared" si="30"/>
        <v>5699.620387125</v>
      </c>
      <c r="N665" s="271">
        <f t="shared" si="31"/>
        <v>8264.4495613312502</v>
      </c>
      <c r="P665" s="326">
        <f t="shared" si="32"/>
        <v>9999.9839692108126</v>
      </c>
    </row>
    <row r="666" spans="1:16">
      <c r="A666" s="206">
        <v>660</v>
      </c>
      <c r="B666" s="175" t="s">
        <v>523</v>
      </c>
      <c r="C666" s="175" t="s">
        <v>2681</v>
      </c>
      <c r="D666" s="4" t="s">
        <v>993</v>
      </c>
      <c r="E666" s="180" t="s">
        <v>994</v>
      </c>
      <c r="F666" s="263">
        <v>7794334242009</v>
      </c>
      <c r="G666" s="216">
        <v>2</v>
      </c>
      <c r="H666" s="5" t="s">
        <v>1191</v>
      </c>
      <c r="I666" s="204">
        <v>10.18</v>
      </c>
      <c r="J666" s="260">
        <v>0.1</v>
      </c>
      <c r="L666" s="217">
        <f t="shared" si="30"/>
        <v>4815.1149826499986</v>
      </c>
      <c r="N666" s="271">
        <f t="shared" si="31"/>
        <v>6981.9167248424974</v>
      </c>
      <c r="P666" s="326">
        <f t="shared" si="32"/>
        <v>8448.1192370594217</v>
      </c>
    </row>
    <row r="667" spans="1:16">
      <c r="A667" s="206">
        <v>661</v>
      </c>
      <c r="B667" s="175" t="s">
        <v>523</v>
      </c>
      <c r="C667" s="175" t="s">
        <v>2681</v>
      </c>
      <c r="D667" s="4" t="s">
        <v>995</v>
      </c>
      <c r="E667" s="180" t="s">
        <v>996</v>
      </c>
      <c r="F667" s="263">
        <v>7794334242016</v>
      </c>
      <c r="G667" s="216">
        <v>2</v>
      </c>
      <c r="H667" s="5" t="s">
        <v>1191</v>
      </c>
      <c r="I667" s="204">
        <v>14.76</v>
      </c>
      <c r="J667" s="260">
        <v>0.1</v>
      </c>
      <c r="L667" s="217">
        <f t="shared" si="30"/>
        <v>6981.4437272999994</v>
      </c>
      <c r="N667" s="271">
        <f t="shared" si="31"/>
        <v>10123.093404584999</v>
      </c>
      <c r="P667" s="326">
        <f t="shared" si="32"/>
        <v>12248.943019547849</v>
      </c>
    </row>
    <row r="668" spans="1:16">
      <c r="A668" s="206">
        <v>662</v>
      </c>
      <c r="B668" s="175" t="s">
        <v>523</v>
      </c>
      <c r="C668" s="175" t="s">
        <v>2681</v>
      </c>
      <c r="D668" s="4" t="s">
        <v>997</v>
      </c>
      <c r="E668" s="180" t="s">
        <v>998</v>
      </c>
      <c r="F668" s="222">
        <v>7794334011940</v>
      </c>
      <c r="G668" s="216">
        <v>2</v>
      </c>
      <c r="H668" s="5" t="s">
        <v>1191</v>
      </c>
      <c r="I668" s="204">
        <v>12.94</v>
      </c>
      <c r="J668" s="260">
        <v>0.1</v>
      </c>
      <c r="L668" s="217">
        <f t="shared" si="30"/>
        <v>6120.5881999499998</v>
      </c>
      <c r="N668" s="271">
        <f t="shared" si="31"/>
        <v>8874.8528899274988</v>
      </c>
      <c r="P668" s="326">
        <f t="shared" si="32"/>
        <v>10738.571996812274</v>
      </c>
    </row>
    <row r="669" spans="1:16">
      <c r="A669" s="206">
        <v>663</v>
      </c>
      <c r="B669" s="175" t="s">
        <v>523</v>
      </c>
      <c r="C669" s="175" t="s">
        <v>2681</v>
      </c>
      <c r="D669" s="4" t="s">
        <v>999</v>
      </c>
      <c r="E669" s="180" t="s">
        <v>1000</v>
      </c>
      <c r="F669" s="222">
        <v>7794334011957</v>
      </c>
      <c r="G669" s="216">
        <v>2</v>
      </c>
      <c r="H669" s="5" t="s">
        <v>1191</v>
      </c>
      <c r="I669" s="204">
        <v>14.76</v>
      </c>
      <c r="J669" s="260">
        <v>0.1</v>
      </c>
      <c r="L669" s="217">
        <f t="shared" si="30"/>
        <v>6981.4437272999994</v>
      </c>
      <c r="N669" s="271">
        <f t="shared" si="31"/>
        <v>10123.093404584999</v>
      </c>
      <c r="P669" s="326">
        <f t="shared" si="32"/>
        <v>12248.943019547849</v>
      </c>
    </row>
    <row r="670" spans="1:16">
      <c r="A670" s="206">
        <v>664</v>
      </c>
      <c r="B670" s="175" t="s">
        <v>523</v>
      </c>
      <c r="C670" s="175" t="s">
        <v>2681</v>
      </c>
      <c r="D670" s="4" t="s">
        <v>1001</v>
      </c>
      <c r="E670" s="180" t="s">
        <v>1002</v>
      </c>
      <c r="F670" s="222">
        <v>7794334011964</v>
      </c>
      <c r="G670" s="216">
        <v>2</v>
      </c>
      <c r="H670" s="5" t="s">
        <v>1191</v>
      </c>
      <c r="I670" s="204">
        <v>12.94</v>
      </c>
      <c r="J670" s="260">
        <v>0.1</v>
      </c>
      <c r="L670" s="217">
        <f t="shared" si="30"/>
        <v>6120.5881999499998</v>
      </c>
      <c r="N670" s="271">
        <f t="shared" si="31"/>
        <v>8874.8528899274988</v>
      </c>
      <c r="P670" s="326">
        <f t="shared" si="32"/>
        <v>10738.571996812274</v>
      </c>
    </row>
    <row r="671" spans="1:16">
      <c r="A671" s="206">
        <v>665</v>
      </c>
      <c r="B671" s="175" t="s">
        <v>523</v>
      </c>
      <c r="C671" s="175" t="s">
        <v>2681</v>
      </c>
      <c r="D671" s="4" t="s">
        <v>1003</v>
      </c>
      <c r="E671" s="180" t="s">
        <v>1004</v>
      </c>
      <c r="F671" s="222">
        <v>7794334011971</v>
      </c>
      <c r="G671" s="216">
        <v>2</v>
      </c>
      <c r="H671" s="5" t="s">
        <v>1191</v>
      </c>
      <c r="I671" s="204">
        <v>14.76</v>
      </c>
      <c r="J671" s="260">
        <v>0.1</v>
      </c>
      <c r="L671" s="217">
        <f t="shared" si="30"/>
        <v>6981.4437272999994</v>
      </c>
      <c r="N671" s="271">
        <f t="shared" si="31"/>
        <v>10123.093404584999</v>
      </c>
      <c r="P671" s="326">
        <f t="shared" si="32"/>
        <v>12248.943019547849</v>
      </c>
    </row>
    <row r="672" spans="1:16">
      <c r="A672" s="206">
        <v>666</v>
      </c>
      <c r="B672" s="175" t="s">
        <v>523</v>
      </c>
      <c r="C672" s="175" t="s">
        <v>2681</v>
      </c>
      <c r="D672" s="4" t="s">
        <v>1005</v>
      </c>
      <c r="E672" s="180" t="s">
        <v>1006</v>
      </c>
      <c r="F672" s="222">
        <v>7794334012039</v>
      </c>
      <c r="G672" s="216">
        <v>2</v>
      </c>
      <c r="H672" s="5" t="s">
        <v>1191</v>
      </c>
      <c r="I672" s="204">
        <v>32.229999999999997</v>
      </c>
      <c r="J672" s="260">
        <v>0.1</v>
      </c>
      <c r="L672" s="217">
        <f t="shared" si="30"/>
        <v>15244.710794774996</v>
      </c>
      <c r="N672" s="271">
        <f t="shared" si="31"/>
        <v>22104.830652423741</v>
      </c>
      <c r="P672" s="326">
        <f t="shared" si="32"/>
        <v>26746.845089432725</v>
      </c>
    </row>
    <row r="673" spans="1:16">
      <c r="A673" s="206">
        <v>667</v>
      </c>
      <c r="B673" s="175" t="s">
        <v>523</v>
      </c>
      <c r="C673" s="175" t="s">
        <v>2681</v>
      </c>
      <c r="D673" s="4" t="s">
        <v>1007</v>
      </c>
      <c r="E673" s="180" t="s">
        <v>1008</v>
      </c>
      <c r="F673" s="222">
        <v>7794334012046</v>
      </c>
      <c r="G673" s="216">
        <v>2</v>
      </c>
      <c r="H673" s="5" t="s">
        <v>1191</v>
      </c>
      <c r="I673" s="204">
        <v>43.27</v>
      </c>
      <c r="J673" s="260">
        <v>0.1</v>
      </c>
      <c r="L673" s="217">
        <f t="shared" si="30"/>
        <v>20466.603663974998</v>
      </c>
      <c r="N673" s="271">
        <f t="shared" si="31"/>
        <v>29676.575312763747</v>
      </c>
      <c r="P673" s="326">
        <f t="shared" si="32"/>
        <v>35908.656128444134</v>
      </c>
    </row>
    <row r="674" spans="1:16">
      <c r="A674" s="206">
        <v>668</v>
      </c>
      <c r="B674" s="175" t="s">
        <v>523</v>
      </c>
      <c r="C674" s="175" t="s">
        <v>2681</v>
      </c>
      <c r="D674" s="4" t="s">
        <v>1009</v>
      </c>
      <c r="E674" s="180" t="s">
        <v>1010</v>
      </c>
      <c r="F674" s="222">
        <v>7794334012053</v>
      </c>
      <c r="G674" s="216">
        <v>2</v>
      </c>
      <c r="H674" s="5" t="s">
        <v>1191</v>
      </c>
      <c r="I674" s="204">
        <v>32.229999999999997</v>
      </c>
      <c r="J674" s="260">
        <v>0.1</v>
      </c>
      <c r="L674" s="217">
        <f t="shared" si="30"/>
        <v>15244.710794774996</v>
      </c>
      <c r="N674" s="271">
        <f t="shared" si="31"/>
        <v>22104.830652423741</v>
      </c>
      <c r="P674" s="326">
        <f t="shared" si="32"/>
        <v>26746.845089432725</v>
      </c>
    </row>
    <row r="675" spans="1:16">
      <c r="A675" s="206">
        <v>669</v>
      </c>
      <c r="B675" s="175" t="s">
        <v>523</v>
      </c>
      <c r="C675" s="175" t="s">
        <v>2681</v>
      </c>
      <c r="D675" s="4" t="s">
        <v>1011</v>
      </c>
      <c r="E675" s="180" t="s">
        <v>1012</v>
      </c>
      <c r="F675" s="222">
        <v>7794334012060</v>
      </c>
      <c r="G675" s="216">
        <v>2</v>
      </c>
      <c r="H675" s="5" t="s">
        <v>1191</v>
      </c>
      <c r="I675" s="204">
        <v>43.27</v>
      </c>
      <c r="J675" s="260">
        <v>0.1</v>
      </c>
      <c r="L675" s="217">
        <f t="shared" si="30"/>
        <v>20466.603663974998</v>
      </c>
      <c r="N675" s="271">
        <f t="shared" si="31"/>
        <v>29676.575312763747</v>
      </c>
      <c r="P675" s="326">
        <f t="shared" si="32"/>
        <v>35908.656128444134</v>
      </c>
    </row>
    <row r="676" spans="1:16">
      <c r="A676" s="206">
        <v>670</v>
      </c>
      <c r="B676" s="175" t="s">
        <v>523</v>
      </c>
      <c r="C676" s="175" t="s">
        <v>2681</v>
      </c>
      <c r="D676" s="4" t="s">
        <v>1013</v>
      </c>
      <c r="E676" s="180" t="s">
        <v>1014</v>
      </c>
      <c r="F676" s="222">
        <v>7794334011988</v>
      </c>
      <c r="G676" s="216">
        <v>2</v>
      </c>
      <c r="H676" s="5" t="s">
        <v>1191</v>
      </c>
      <c r="I676" s="204">
        <v>51.61</v>
      </c>
      <c r="J676" s="260">
        <v>0.1</v>
      </c>
      <c r="L676" s="217">
        <f t="shared" si="30"/>
        <v>24411.403168424997</v>
      </c>
      <c r="N676" s="271">
        <f t="shared" si="31"/>
        <v>35396.534594216246</v>
      </c>
      <c r="P676" s="326">
        <f t="shared" si="32"/>
        <v>42829.806859001656</v>
      </c>
    </row>
    <row r="677" spans="1:16">
      <c r="A677" s="206">
        <v>671</v>
      </c>
      <c r="B677" s="175" t="s">
        <v>523</v>
      </c>
      <c r="C677" s="175" t="s">
        <v>2681</v>
      </c>
      <c r="D677" s="4" t="s">
        <v>1015</v>
      </c>
      <c r="E677" s="180" t="s">
        <v>1016</v>
      </c>
      <c r="F677" s="222">
        <v>7794334012008</v>
      </c>
      <c r="G677" s="216">
        <v>2</v>
      </c>
      <c r="H677" s="5" t="s">
        <v>1191</v>
      </c>
      <c r="I677" s="204">
        <v>51.61</v>
      </c>
      <c r="J677" s="260">
        <v>0.1</v>
      </c>
      <c r="L677" s="217">
        <f t="shared" si="30"/>
        <v>24411.403168424997</v>
      </c>
      <c r="N677" s="271">
        <f t="shared" si="31"/>
        <v>35396.534594216246</v>
      </c>
      <c r="P677" s="326">
        <f t="shared" si="32"/>
        <v>42829.806859001656</v>
      </c>
    </row>
    <row r="678" spans="1:16">
      <c r="A678" s="206">
        <v>672</v>
      </c>
      <c r="B678" s="175" t="s">
        <v>523</v>
      </c>
      <c r="C678" s="175" t="s">
        <v>2681</v>
      </c>
      <c r="D678" s="4" t="s">
        <v>1017</v>
      </c>
      <c r="E678" s="180" t="s">
        <v>1018</v>
      </c>
      <c r="F678" s="222">
        <v>7794334012015</v>
      </c>
      <c r="G678" s="216">
        <v>2</v>
      </c>
      <c r="H678" s="5" t="s">
        <v>1191</v>
      </c>
      <c r="I678" s="204">
        <v>28.57</v>
      </c>
      <c r="J678" s="260">
        <v>0.1</v>
      </c>
      <c r="L678" s="217">
        <f t="shared" si="30"/>
        <v>13513.539789225</v>
      </c>
      <c r="N678" s="271">
        <f t="shared" si="31"/>
        <v>19594.632694376251</v>
      </c>
      <c r="P678" s="326">
        <f t="shared" si="32"/>
        <v>23709.505560195263</v>
      </c>
    </row>
    <row r="679" spans="1:16">
      <c r="A679" s="206">
        <v>673</v>
      </c>
      <c r="B679" s="175" t="s">
        <v>523</v>
      </c>
      <c r="C679" s="175" t="s">
        <v>2681</v>
      </c>
      <c r="D679" s="4" t="s">
        <v>1019</v>
      </c>
      <c r="E679" s="180" t="s">
        <v>1020</v>
      </c>
      <c r="F679" s="222">
        <v>7794334012022</v>
      </c>
      <c r="G679" s="216">
        <v>2</v>
      </c>
      <c r="H679" s="5" t="s">
        <v>1191</v>
      </c>
      <c r="I679" s="204">
        <v>28.57</v>
      </c>
      <c r="J679" s="260">
        <v>0.1</v>
      </c>
      <c r="L679" s="217">
        <f t="shared" si="30"/>
        <v>13513.539789225</v>
      </c>
      <c r="N679" s="271">
        <f t="shared" si="31"/>
        <v>19594.632694376251</v>
      </c>
      <c r="P679" s="326">
        <f t="shared" si="32"/>
        <v>23709.505560195263</v>
      </c>
    </row>
    <row r="680" spans="1:16">
      <c r="A680" s="206">
        <v>674</v>
      </c>
      <c r="B680" s="175" t="s">
        <v>523</v>
      </c>
      <c r="C680" s="175" t="s">
        <v>2681</v>
      </c>
      <c r="D680" s="4" t="s">
        <v>1021</v>
      </c>
      <c r="E680" s="180" t="s">
        <v>1022</v>
      </c>
      <c r="F680" s="222">
        <v>7794334011995</v>
      </c>
      <c r="G680" s="216">
        <v>2</v>
      </c>
      <c r="H680" s="5" t="s">
        <v>1191</v>
      </c>
      <c r="I680" s="204">
        <v>64.459999999999994</v>
      </c>
      <c r="J680" s="260">
        <v>0.1</v>
      </c>
      <c r="L680" s="217">
        <f t="shared" si="30"/>
        <v>30489.421589549991</v>
      </c>
      <c r="N680" s="271">
        <f t="shared" si="31"/>
        <v>44209.661304847483</v>
      </c>
      <c r="P680" s="326">
        <f t="shared" si="32"/>
        <v>53493.69017886545</v>
      </c>
    </row>
    <row r="681" spans="1:16" ht="15" customHeight="1">
      <c r="A681" s="206">
        <v>675</v>
      </c>
      <c r="B681" s="175" t="s">
        <v>523</v>
      </c>
      <c r="C681" s="175" t="s">
        <v>2681</v>
      </c>
      <c r="D681" s="4" t="s">
        <v>1023</v>
      </c>
      <c r="E681" s="180" t="s">
        <v>1024</v>
      </c>
      <c r="F681" s="222">
        <v>7794334242023</v>
      </c>
      <c r="G681" s="216">
        <v>2</v>
      </c>
      <c r="H681" s="5" t="s">
        <v>1191</v>
      </c>
      <c r="I681" s="204">
        <v>64.459999999999994</v>
      </c>
      <c r="J681" s="260">
        <v>0.1</v>
      </c>
      <c r="L681" s="217">
        <f t="shared" si="30"/>
        <v>30489.421589549991</v>
      </c>
      <c r="N681" s="271">
        <f t="shared" si="31"/>
        <v>44209.661304847483</v>
      </c>
      <c r="P681" s="326">
        <f t="shared" si="32"/>
        <v>53493.69017886545</v>
      </c>
    </row>
    <row r="682" spans="1:16">
      <c r="A682" s="206">
        <v>676</v>
      </c>
      <c r="B682" s="175" t="s">
        <v>1198</v>
      </c>
      <c r="C682" s="175" t="s">
        <v>2687</v>
      </c>
      <c r="D682" s="3" t="s">
        <v>1132</v>
      </c>
      <c r="E682" s="179" t="s">
        <v>1133</v>
      </c>
      <c r="F682" s="221">
        <v>7794334011599</v>
      </c>
      <c r="G682" s="221">
        <v>25</v>
      </c>
      <c r="H682" s="5" t="s">
        <v>1191</v>
      </c>
      <c r="I682" s="204">
        <v>0.73</v>
      </c>
      <c r="J682" s="260">
        <v>0.1</v>
      </c>
      <c r="L682" s="217">
        <f t="shared" si="30"/>
        <v>345.28820602500002</v>
      </c>
      <c r="N682" s="271">
        <f t="shared" si="31"/>
        <v>500.66789873625004</v>
      </c>
      <c r="P682" s="326">
        <f t="shared" si="32"/>
        <v>605.80815747086251</v>
      </c>
    </row>
    <row r="683" spans="1:16">
      <c r="A683" s="206">
        <v>677</v>
      </c>
      <c r="B683" s="175" t="s">
        <v>1198</v>
      </c>
      <c r="C683" s="175" t="s">
        <v>2687</v>
      </c>
      <c r="D683" s="3" t="s">
        <v>1134</v>
      </c>
      <c r="E683" s="179" t="s">
        <v>3190</v>
      </c>
      <c r="F683" s="221">
        <v>7794334011582</v>
      </c>
      <c r="G683" s="221">
        <v>25</v>
      </c>
      <c r="H683" s="5" t="s">
        <v>1191</v>
      </c>
      <c r="I683" s="204">
        <v>0.77</v>
      </c>
      <c r="J683" s="260">
        <v>0.1</v>
      </c>
      <c r="L683" s="217">
        <f t="shared" si="30"/>
        <v>364.20810772499999</v>
      </c>
      <c r="N683" s="271">
        <f t="shared" si="31"/>
        <v>528.10175620124994</v>
      </c>
      <c r="P683" s="326">
        <f t="shared" si="32"/>
        <v>639.00312500351242</v>
      </c>
    </row>
    <row r="684" spans="1:16">
      <c r="A684" s="206">
        <v>678</v>
      </c>
      <c r="B684" s="175" t="s">
        <v>1198</v>
      </c>
      <c r="C684" s="175" t="s">
        <v>2687</v>
      </c>
      <c r="D684" s="3" t="s">
        <v>1135</v>
      </c>
      <c r="E684" s="179" t="s">
        <v>1136</v>
      </c>
      <c r="F684" s="221">
        <v>7794334011605</v>
      </c>
      <c r="G684" s="221">
        <v>25</v>
      </c>
      <c r="H684" s="5" t="s">
        <v>1191</v>
      </c>
      <c r="I684" s="204">
        <v>1.94</v>
      </c>
      <c r="J684" s="260">
        <v>0.1</v>
      </c>
      <c r="L684" s="217">
        <f t="shared" si="30"/>
        <v>917.61523244999989</v>
      </c>
      <c r="N684" s="271">
        <f t="shared" si="31"/>
        <v>1330.5420870524997</v>
      </c>
      <c r="P684" s="326">
        <f t="shared" si="32"/>
        <v>1609.9559253335246</v>
      </c>
    </row>
    <row r="685" spans="1:16">
      <c r="A685" s="206">
        <v>679</v>
      </c>
      <c r="B685" s="175" t="s">
        <v>1198</v>
      </c>
      <c r="C685" s="175" t="s">
        <v>2687</v>
      </c>
      <c r="D685" s="3" t="s">
        <v>1137</v>
      </c>
      <c r="E685" s="179" t="s">
        <v>1138</v>
      </c>
      <c r="F685" s="221">
        <v>7794334011612</v>
      </c>
      <c r="G685" s="221">
        <v>25</v>
      </c>
      <c r="H685" s="5" t="s">
        <v>1191</v>
      </c>
      <c r="I685" s="204">
        <v>2.82</v>
      </c>
      <c r="J685" s="260">
        <v>0.1</v>
      </c>
      <c r="L685" s="217">
        <f t="shared" si="30"/>
        <v>1333.8530698499997</v>
      </c>
      <c r="N685" s="271">
        <f t="shared" si="31"/>
        <v>1934.0869512824995</v>
      </c>
      <c r="P685" s="326">
        <f t="shared" si="32"/>
        <v>2340.2452110518243</v>
      </c>
    </row>
    <row r="686" spans="1:16">
      <c r="A686" s="206">
        <v>680</v>
      </c>
      <c r="B686" s="175" t="s">
        <v>1198</v>
      </c>
      <c r="C686" s="175" t="s">
        <v>2688</v>
      </c>
      <c r="D686" s="3" t="s">
        <v>1139</v>
      </c>
      <c r="E686" s="180" t="s">
        <v>1140</v>
      </c>
      <c r="F686" s="221">
        <v>7794334012107</v>
      </c>
      <c r="G686" s="221">
        <v>25</v>
      </c>
      <c r="H686" s="5" t="s">
        <v>1191</v>
      </c>
      <c r="I686" s="204">
        <v>0.99</v>
      </c>
      <c r="J686" s="260">
        <v>0.1</v>
      </c>
      <c r="L686" s="217">
        <f t="shared" si="30"/>
        <v>468.26756707499993</v>
      </c>
      <c r="N686" s="271">
        <f t="shared" si="31"/>
        <v>678.98797225874989</v>
      </c>
      <c r="P686" s="326">
        <f t="shared" si="32"/>
        <v>821.57544643308734</v>
      </c>
    </row>
    <row r="687" spans="1:16">
      <c r="A687" s="206">
        <v>681</v>
      </c>
      <c r="B687" s="175" t="s">
        <v>1198</v>
      </c>
      <c r="C687" s="175" t="s">
        <v>2688</v>
      </c>
      <c r="D687" s="3" t="s">
        <v>1141</v>
      </c>
      <c r="E687" s="180" t="s">
        <v>1142</v>
      </c>
      <c r="F687" s="221">
        <v>7794334012114</v>
      </c>
      <c r="G687" s="221">
        <v>25</v>
      </c>
      <c r="H687" s="5" t="s">
        <v>1191</v>
      </c>
      <c r="I687" s="204">
        <v>2.2799999999999998</v>
      </c>
      <c r="J687" s="260">
        <v>0.1</v>
      </c>
      <c r="L687" s="217">
        <f t="shared" si="30"/>
        <v>1078.4343968999999</v>
      </c>
      <c r="N687" s="271">
        <f t="shared" si="31"/>
        <v>1563.7298755049999</v>
      </c>
      <c r="P687" s="326">
        <f t="shared" si="32"/>
        <v>1892.1131493610499</v>
      </c>
    </row>
    <row r="688" spans="1:16">
      <c r="A688" s="206">
        <v>682</v>
      </c>
      <c r="B688" s="175" t="s">
        <v>1198</v>
      </c>
      <c r="C688" s="175" t="s">
        <v>2688</v>
      </c>
      <c r="D688" s="3" t="s">
        <v>1143</v>
      </c>
      <c r="E688" s="180" t="s">
        <v>1144</v>
      </c>
      <c r="F688" s="221">
        <v>7794334012121</v>
      </c>
      <c r="G688" s="221">
        <v>25</v>
      </c>
      <c r="H688" s="5" t="s">
        <v>1191</v>
      </c>
      <c r="I688" s="204">
        <v>2.98</v>
      </c>
      <c r="J688" s="260">
        <v>0.1</v>
      </c>
      <c r="L688" s="217">
        <f t="shared" si="30"/>
        <v>1409.5326766500002</v>
      </c>
      <c r="N688" s="271">
        <f t="shared" si="31"/>
        <v>2043.8223811425003</v>
      </c>
      <c r="P688" s="326">
        <f t="shared" si="32"/>
        <v>2473.0250811824253</v>
      </c>
    </row>
    <row r="689" spans="1:16">
      <c r="A689" s="206">
        <v>683</v>
      </c>
      <c r="B689" s="175" t="s">
        <v>1198</v>
      </c>
      <c r="C689" s="175" t="s">
        <v>2688</v>
      </c>
      <c r="D689" s="3" t="s">
        <v>1145</v>
      </c>
      <c r="E689" s="180" t="s">
        <v>1146</v>
      </c>
      <c r="F689" s="221">
        <v>7794334241897</v>
      </c>
      <c r="G689" s="221">
        <v>10</v>
      </c>
      <c r="H689" s="5" t="s">
        <v>1191</v>
      </c>
      <c r="I689" s="204">
        <v>4.99</v>
      </c>
      <c r="J689" s="260">
        <v>0.1</v>
      </c>
      <c r="L689" s="217">
        <f t="shared" si="30"/>
        <v>2360.257737075</v>
      </c>
      <c r="N689" s="271">
        <f t="shared" si="31"/>
        <v>3422.3737187587499</v>
      </c>
      <c r="P689" s="326">
        <f t="shared" si="32"/>
        <v>4141.0721996980874</v>
      </c>
    </row>
    <row r="690" spans="1:16">
      <c r="A690" s="206">
        <v>684</v>
      </c>
      <c r="B690" s="175" t="s">
        <v>1198</v>
      </c>
      <c r="C690" s="175" t="s">
        <v>2688</v>
      </c>
      <c r="D690" s="3" t="s">
        <v>1147</v>
      </c>
      <c r="E690" s="180" t="s">
        <v>1148</v>
      </c>
      <c r="F690" s="221">
        <v>7794334241903</v>
      </c>
      <c r="G690" s="221">
        <v>10</v>
      </c>
      <c r="H690" s="5" t="s">
        <v>1191</v>
      </c>
      <c r="I690" s="204">
        <v>6.5299999999999994</v>
      </c>
      <c r="J690" s="260">
        <v>0.1</v>
      </c>
      <c r="L690" s="217">
        <f t="shared" si="30"/>
        <v>3088.6739525249995</v>
      </c>
      <c r="N690" s="271">
        <f t="shared" si="31"/>
        <v>4478.5772311612491</v>
      </c>
      <c r="P690" s="326">
        <f t="shared" si="32"/>
        <v>5419.0784497051109</v>
      </c>
    </row>
    <row r="691" spans="1:16">
      <c r="A691" s="206">
        <v>685</v>
      </c>
      <c r="B691" s="175" t="s">
        <v>1198</v>
      </c>
      <c r="C691" s="175" t="s">
        <v>2688</v>
      </c>
      <c r="D691" s="3" t="s">
        <v>1149</v>
      </c>
      <c r="E691" s="180" t="s">
        <v>1150</v>
      </c>
      <c r="F691" s="221">
        <v>7794334241910</v>
      </c>
      <c r="G691" s="221">
        <v>10</v>
      </c>
      <c r="H691" s="5" t="s">
        <v>1191</v>
      </c>
      <c r="I691" s="204">
        <v>7.38</v>
      </c>
      <c r="J691" s="260">
        <v>0.1</v>
      </c>
      <c r="L691" s="217">
        <f t="shared" si="30"/>
        <v>3490.7218636499997</v>
      </c>
      <c r="N691" s="271">
        <f t="shared" si="31"/>
        <v>5061.5467022924995</v>
      </c>
      <c r="P691" s="326">
        <f t="shared" si="32"/>
        <v>6124.4715097739245</v>
      </c>
    </row>
    <row r="692" spans="1:16">
      <c r="A692" s="206">
        <v>686</v>
      </c>
      <c r="B692" s="175" t="s">
        <v>1198</v>
      </c>
      <c r="C692" s="175" t="s">
        <v>2688</v>
      </c>
      <c r="D692" s="189" t="s">
        <v>1151</v>
      </c>
      <c r="E692" s="180" t="s">
        <v>1152</v>
      </c>
      <c r="F692" s="221">
        <v>7794334012077</v>
      </c>
      <c r="G692" s="221">
        <v>25</v>
      </c>
      <c r="H692" s="5" t="s">
        <v>1191</v>
      </c>
      <c r="I692" s="204">
        <v>0.99</v>
      </c>
      <c r="J692" s="260">
        <v>0.1</v>
      </c>
      <c r="L692" s="217">
        <f t="shared" si="30"/>
        <v>468.26756707499993</v>
      </c>
      <c r="N692" s="271">
        <f t="shared" si="31"/>
        <v>678.98797225874989</v>
      </c>
      <c r="P692" s="326">
        <f t="shared" si="32"/>
        <v>821.57544643308734</v>
      </c>
    </row>
    <row r="693" spans="1:16">
      <c r="A693" s="206">
        <v>687</v>
      </c>
      <c r="B693" s="175" t="s">
        <v>1198</v>
      </c>
      <c r="C693" s="175" t="s">
        <v>2688</v>
      </c>
      <c r="D693" s="190" t="s">
        <v>1153</v>
      </c>
      <c r="E693" s="180" t="s">
        <v>1154</v>
      </c>
      <c r="F693" s="221">
        <v>7794334012084</v>
      </c>
      <c r="G693" s="221">
        <v>25</v>
      </c>
      <c r="H693" s="5" t="s">
        <v>1191</v>
      </c>
      <c r="I693" s="204">
        <v>2.2799999999999998</v>
      </c>
      <c r="J693" s="260">
        <v>0.1</v>
      </c>
      <c r="L693" s="217">
        <f t="shared" si="30"/>
        <v>1078.4343968999999</v>
      </c>
      <c r="N693" s="271">
        <f t="shared" si="31"/>
        <v>1563.7298755049999</v>
      </c>
      <c r="P693" s="326">
        <f t="shared" si="32"/>
        <v>1892.1131493610499</v>
      </c>
    </row>
    <row r="694" spans="1:16">
      <c r="A694" s="206">
        <v>688</v>
      </c>
      <c r="B694" s="175" t="s">
        <v>1198</v>
      </c>
      <c r="C694" s="175" t="s">
        <v>2688</v>
      </c>
      <c r="D694" s="190" t="s">
        <v>1155</v>
      </c>
      <c r="E694" s="180" t="s">
        <v>1156</v>
      </c>
      <c r="F694" s="221">
        <v>7794334012091</v>
      </c>
      <c r="G694" s="221">
        <v>25</v>
      </c>
      <c r="H694" s="5" t="s">
        <v>1191</v>
      </c>
      <c r="I694" s="204">
        <v>2.98</v>
      </c>
      <c r="J694" s="260">
        <v>0.1</v>
      </c>
      <c r="L694" s="217">
        <f t="shared" si="30"/>
        <v>1409.5326766500002</v>
      </c>
      <c r="N694" s="271">
        <f t="shared" si="31"/>
        <v>2043.8223811425003</v>
      </c>
      <c r="P694" s="326">
        <f t="shared" si="32"/>
        <v>2473.0250811824253</v>
      </c>
    </row>
    <row r="695" spans="1:16">
      <c r="A695" s="206">
        <v>689</v>
      </c>
      <c r="B695" s="175" t="s">
        <v>1198</v>
      </c>
      <c r="C695" s="175" t="s">
        <v>2688</v>
      </c>
      <c r="D695" s="190" t="s">
        <v>1157</v>
      </c>
      <c r="E695" s="180" t="s">
        <v>1158</v>
      </c>
      <c r="F695" s="221">
        <v>7794334012138</v>
      </c>
      <c r="G695" s="221">
        <v>10</v>
      </c>
      <c r="H695" s="5" t="s">
        <v>1191</v>
      </c>
      <c r="I695" s="204">
        <v>1.85</v>
      </c>
      <c r="J695" s="260">
        <v>0.1</v>
      </c>
      <c r="L695" s="217">
        <f t="shared" si="30"/>
        <v>875.04545362499994</v>
      </c>
      <c r="N695" s="271">
        <f t="shared" si="31"/>
        <v>1268.8159077562498</v>
      </c>
      <c r="P695" s="326">
        <f t="shared" si="32"/>
        <v>1535.2672483850622</v>
      </c>
    </row>
    <row r="696" spans="1:16">
      <c r="A696" s="206">
        <v>690</v>
      </c>
      <c r="B696" s="175" t="s">
        <v>1198</v>
      </c>
      <c r="C696" s="175" t="s">
        <v>2688</v>
      </c>
      <c r="D696" s="190" t="s">
        <v>1159</v>
      </c>
      <c r="E696" s="180" t="s">
        <v>1160</v>
      </c>
      <c r="F696" s="221">
        <v>7794334012145</v>
      </c>
      <c r="G696" s="221">
        <v>5</v>
      </c>
      <c r="H696" s="5" t="s">
        <v>1191</v>
      </c>
      <c r="I696" s="204">
        <v>3.4699999999999998</v>
      </c>
      <c r="J696" s="260">
        <v>0.1</v>
      </c>
      <c r="L696" s="217">
        <f t="shared" si="30"/>
        <v>1641.3014724749996</v>
      </c>
      <c r="N696" s="271">
        <f t="shared" si="31"/>
        <v>2379.8871350887493</v>
      </c>
      <c r="P696" s="326">
        <f t="shared" si="32"/>
        <v>2879.6634334573864</v>
      </c>
    </row>
    <row r="697" spans="1:16">
      <c r="A697" s="206">
        <v>691</v>
      </c>
      <c r="B697" s="175" t="s">
        <v>1198</v>
      </c>
      <c r="C697" s="175" t="s">
        <v>2688</v>
      </c>
      <c r="D697" s="190" t="s">
        <v>1161</v>
      </c>
      <c r="E697" s="180" t="s">
        <v>1162</v>
      </c>
      <c r="F697" s="221">
        <v>7794334012152</v>
      </c>
      <c r="G697" s="221">
        <v>5</v>
      </c>
      <c r="H697" s="5" t="s">
        <v>1191</v>
      </c>
      <c r="I697" s="204">
        <v>5.3999999999999995</v>
      </c>
      <c r="J697" s="260">
        <v>0.1</v>
      </c>
      <c r="L697" s="217">
        <f t="shared" si="30"/>
        <v>2554.1867294999993</v>
      </c>
      <c r="N697" s="271">
        <f t="shared" si="31"/>
        <v>3703.570757774999</v>
      </c>
      <c r="P697" s="326">
        <f t="shared" si="32"/>
        <v>4481.3206169077484</v>
      </c>
    </row>
    <row r="698" spans="1:16">
      <c r="A698" s="206">
        <v>692</v>
      </c>
      <c r="B698" s="175" t="s">
        <v>1198</v>
      </c>
      <c r="C698" s="175" t="s">
        <v>2689</v>
      </c>
      <c r="D698" s="3" t="s">
        <v>1163</v>
      </c>
      <c r="E698" s="180" t="s">
        <v>1164</v>
      </c>
      <c r="F698" s="221">
        <v>7794334011667</v>
      </c>
      <c r="G698" s="221">
        <v>10</v>
      </c>
      <c r="H698" s="5" t="s">
        <v>1191</v>
      </c>
      <c r="I698" s="204">
        <v>1.89</v>
      </c>
      <c r="J698" s="260">
        <v>0.1</v>
      </c>
      <c r="L698" s="217">
        <f t="shared" si="30"/>
        <v>893.9653553249999</v>
      </c>
      <c r="N698" s="271">
        <f t="shared" si="31"/>
        <v>1296.2497652212498</v>
      </c>
      <c r="P698" s="326">
        <f t="shared" si="32"/>
        <v>1568.4622159177122</v>
      </c>
    </row>
    <row r="699" spans="1:16">
      <c r="A699" s="206">
        <v>693</v>
      </c>
      <c r="B699" s="175" t="s">
        <v>1198</v>
      </c>
      <c r="C699" s="175" t="s">
        <v>2689</v>
      </c>
      <c r="D699" s="3" t="s">
        <v>1165</v>
      </c>
      <c r="E699" s="180" t="s">
        <v>1166</v>
      </c>
      <c r="F699" s="221">
        <v>7794334011674</v>
      </c>
      <c r="G699" s="221">
        <v>10</v>
      </c>
      <c r="H699" s="5" t="s">
        <v>1191</v>
      </c>
      <c r="I699" s="204">
        <v>1.89</v>
      </c>
      <c r="J699" s="260">
        <v>0.1</v>
      </c>
      <c r="L699" s="217">
        <f t="shared" si="30"/>
        <v>893.9653553249999</v>
      </c>
      <c r="N699" s="271">
        <f t="shared" si="31"/>
        <v>1296.2497652212498</v>
      </c>
      <c r="P699" s="326">
        <f t="shared" si="32"/>
        <v>1568.4622159177122</v>
      </c>
    </row>
    <row r="700" spans="1:16">
      <c r="A700" s="206">
        <v>694</v>
      </c>
      <c r="B700" s="175" t="s">
        <v>1198</v>
      </c>
      <c r="C700" s="175" t="s">
        <v>2689</v>
      </c>
      <c r="D700" s="3" t="s">
        <v>1167</v>
      </c>
      <c r="E700" s="180" t="s">
        <v>1168</v>
      </c>
      <c r="F700" s="221">
        <v>7794334011681</v>
      </c>
      <c r="G700" s="221">
        <v>10</v>
      </c>
      <c r="H700" s="5" t="s">
        <v>1191</v>
      </c>
      <c r="I700" s="204">
        <v>1.89</v>
      </c>
      <c r="J700" s="260">
        <v>0.1</v>
      </c>
      <c r="L700" s="217">
        <f t="shared" si="30"/>
        <v>893.9653553249999</v>
      </c>
      <c r="N700" s="271">
        <f t="shared" si="31"/>
        <v>1296.2497652212498</v>
      </c>
      <c r="P700" s="326">
        <f t="shared" si="32"/>
        <v>1568.4622159177122</v>
      </c>
    </row>
    <row r="701" spans="1:16">
      <c r="A701" s="206">
        <v>695</v>
      </c>
      <c r="B701" s="175" t="s">
        <v>1198</v>
      </c>
      <c r="C701" s="175" t="s">
        <v>2689</v>
      </c>
      <c r="D701" s="3" t="s">
        <v>1169</v>
      </c>
      <c r="E701" s="180" t="s">
        <v>1170</v>
      </c>
      <c r="F701" s="221">
        <v>7794334011698</v>
      </c>
      <c r="G701" s="221">
        <v>10</v>
      </c>
      <c r="H701" s="5" t="s">
        <v>1191</v>
      </c>
      <c r="I701" s="204">
        <v>1.89</v>
      </c>
      <c r="J701" s="260">
        <v>0.1</v>
      </c>
      <c r="L701" s="217">
        <f t="shared" si="30"/>
        <v>893.9653553249999</v>
      </c>
      <c r="N701" s="271">
        <f t="shared" si="31"/>
        <v>1296.2497652212498</v>
      </c>
      <c r="P701" s="326">
        <f t="shared" si="32"/>
        <v>1568.4622159177122</v>
      </c>
    </row>
    <row r="702" spans="1:16">
      <c r="A702" s="206">
        <v>696</v>
      </c>
      <c r="B702" s="175" t="s">
        <v>1198</v>
      </c>
      <c r="C702" s="175" t="s">
        <v>2689</v>
      </c>
      <c r="D702" s="3" t="s">
        <v>1171</v>
      </c>
      <c r="E702" s="180" t="s">
        <v>1172</v>
      </c>
      <c r="F702" s="221">
        <v>7794334242047</v>
      </c>
      <c r="G702" s="221">
        <v>5</v>
      </c>
      <c r="H702" s="5" t="s">
        <v>1191</v>
      </c>
      <c r="I702" s="204">
        <v>4.63</v>
      </c>
      <c r="J702" s="260">
        <v>0.1</v>
      </c>
      <c r="L702" s="217">
        <f t="shared" si="30"/>
        <v>2189.9786217749997</v>
      </c>
      <c r="N702" s="271">
        <f t="shared" si="31"/>
        <v>3175.4690015737497</v>
      </c>
      <c r="P702" s="326">
        <f t="shared" si="32"/>
        <v>3842.3174919042372</v>
      </c>
    </row>
    <row r="703" spans="1:16">
      <c r="A703" s="206">
        <v>697</v>
      </c>
      <c r="B703" s="175" t="s">
        <v>1198</v>
      </c>
      <c r="C703" s="175" t="s">
        <v>2689</v>
      </c>
      <c r="D703" s="3" t="s">
        <v>1173</v>
      </c>
      <c r="E703" s="180" t="s">
        <v>1174</v>
      </c>
      <c r="F703" s="221">
        <v>7794334242054</v>
      </c>
      <c r="G703" s="221">
        <v>5</v>
      </c>
      <c r="H703" s="5" t="s">
        <v>1191</v>
      </c>
      <c r="I703" s="204">
        <v>4.63</v>
      </c>
      <c r="J703" s="260">
        <v>0.1</v>
      </c>
      <c r="L703" s="217">
        <f t="shared" si="30"/>
        <v>2189.9786217749997</v>
      </c>
      <c r="N703" s="271">
        <f t="shared" si="31"/>
        <v>3175.4690015737497</v>
      </c>
      <c r="P703" s="326">
        <f t="shared" si="32"/>
        <v>3842.3174919042372</v>
      </c>
    </row>
    <row r="704" spans="1:16">
      <c r="A704" s="206">
        <v>698</v>
      </c>
      <c r="B704" s="175" t="s">
        <v>1198</v>
      </c>
      <c r="C704" s="175" t="s">
        <v>2689</v>
      </c>
      <c r="D704" s="3" t="s">
        <v>1175</v>
      </c>
      <c r="E704" s="180" t="s">
        <v>1176</v>
      </c>
      <c r="F704" s="221">
        <v>7794334242061</v>
      </c>
      <c r="G704" s="221">
        <v>5</v>
      </c>
      <c r="H704" s="5" t="s">
        <v>1191</v>
      </c>
      <c r="I704" s="204">
        <v>4.63</v>
      </c>
      <c r="J704" s="260">
        <v>0.1</v>
      </c>
      <c r="L704" s="217">
        <f t="shared" si="30"/>
        <v>2189.9786217749997</v>
      </c>
      <c r="N704" s="271">
        <f t="shared" si="31"/>
        <v>3175.4690015737497</v>
      </c>
      <c r="P704" s="326">
        <f t="shared" si="32"/>
        <v>3842.3174919042372</v>
      </c>
    </row>
    <row r="705" spans="1:16">
      <c r="A705" s="206">
        <v>699</v>
      </c>
      <c r="B705" s="175" t="s">
        <v>1198</v>
      </c>
      <c r="C705" s="175" t="s">
        <v>2689</v>
      </c>
      <c r="D705" s="3" t="s">
        <v>1177</v>
      </c>
      <c r="E705" s="180" t="s">
        <v>1178</v>
      </c>
      <c r="F705" s="221">
        <v>7794334242078</v>
      </c>
      <c r="G705" s="221">
        <v>5</v>
      </c>
      <c r="H705" s="5" t="s">
        <v>1191</v>
      </c>
      <c r="I705" s="204">
        <v>4.63</v>
      </c>
      <c r="J705" s="260">
        <v>0.1</v>
      </c>
      <c r="L705" s="217">
        <f t="shared" si="30"/>
        <v>2189.9786217749997</v>
      </c>
      <c r="N705" s="271">
        <f t="shared" si="31"/>
        <v>3175.4690015737497</v>
      </c>
      <c r="P705" s="326">
        <f t="shared" si="32"/>
        <v>3842.3174919042372</v>
      </c>
    </row>
    <row r="706" spans="1:16">
      <c r="A706" s="206">
        <v>700</v>
      </c>
      <c r="B706" s="175" t="s">
        <v>1198</v>
      </c>
      <c r="C706" s="175" t="s">
        <v>2690</v>
      </c>
      <c r="D706" s="3" t="s">
        <v>2691</v>
      </c>
      <c r="E706" s="180" t="s">
        <v>2692</v>
      </c>
      <c r="F706" s="221">
        <v>7794334243167</v>
      </c>
      <c r="G706" s="221">
        <v>10</v>
      </c>
      <c r="H706" s="5" t="s">
        <v>1191</v>
      </c>
      <c r="I706" s="204">
        <v>2.29</v>
      </c>
      <c r="J706" s="260">
        <v>0.1</v>
      </c>
      <c r="L706" s="217">
        <f t="shared" si="30"/>
        <v>1083.1643723249999</v>
      </c>
      <c r="N706" s="271">
        <f t="shared" si="31"/>
        <v>1570.5883398712499</v>
      </c>
      <c r="P706" s="326">
        <f t="shared" si="32"/>
        <v>1900.4118912442123</v>
      </c>
    </row>
    <row r="707" spans="1:16">
      <c r="A707" s="206">
        <v>701</v>
      </c>
      <c r="B707" s="175" t="s">
        <v>1198</v>
      </c>
      <c r="C707" s="175" t="s">
        <v>2690</v>
      </c>
      <c r="D707" s="3" t="s">
        <v>2693</v>
      </c>
      <c r="E707" s="180" t="s">
        <v>2694</v>
      </c>
      <c r="F707" s="221">
        <v>7794334243174</v>
      </c>
      <c r="G707" s="221">
        <v>10</v>
      </c>
      <c r="H707" s="5" t="s">
        <v>1191</v>
      </c>
      <c r="I707" s="204">
        <v>2.29</v>
      </c>
      <c r="J707" s="260">
        <v>0.1</v>
      </c>
      <c r="L707" s="217">
        <f t="shared" si="30"/>
        <v>1083.1643723249999</v>
      </c>
      <c r="N707" s="271">
        <f t="shared" si="31"/>
        <v>1570.5883398712499</v>
      </c>
      <c r="P707" s="326">
        <f t="shared" si="32"/>
        <v>1900.4118912442123</v>
      </c>
    </row>
    <row r="708" spans="1:16">
      <c r="A708" s="206">
        <v>702</v>
      </c>
      <c r="B708" s="175" t="s">
        <v>1198</v>
      </c>
      <c r="C708" s="175" t="s">
        <v>2690</v>
      </c>
      <c r="D708" s="3" t="s">
        <v>2695</v>
      </c>
      <c r="E708" s="180" t="s">
        <v>2696</v>
      </c>
      <c r="F708" s="221">
        <v>7794334243181</v>
      </c>
      <c r="G708" s="221">
        <v>10</v>
      </c>
      <c r="H708" s="5" t="s">
        <v>1191</v>
      </c>
      <c r="I708" s="204">
        <v>2.29</v>
      </c>
      <c r="J708" s="260">
        <v>0.1</v>
      </c>
      <c r="L708" s="217">
        <f t="shared" si="30"/>
        <v>1083.1643723249999</v>
      </c>
      <c r="N708" s="271">
        <f t="shared" si="31"/>
        <v>1570.5883398712499</v>
      </c>
      <c r="P708" s="326">
        <f t="shared" si="32"/>
        <v>1900.4118912442123</v>
      </c>
    </row>
    <row r="709" spans="1:16">
      <c r="A709" s="206">
        <v>703</v>
      </c>
      <c r="B709" s="175" t="s">
        <v>1198</v>
      </c>
      <c r="C709" s="175" t="s">
        <v>2690</v>
      </c>
      <c r="D709" s="3" t="s">
        <v>2697</v>
      </c>
      <c r="E709" s="180" t="s">
        <v>2698</v>
      </c>
      <c r="F709" s="221">
        <v>7794334243198</v>
      </c>
      <c r="G709" s="221">
        <v>10</v>
      </c>
      <c r="H709" s="5" t="s">
        <v>1191</v>
      </c>
      <c r="I709" s="204">
        <v>2.29</v>
      </c>
      <c r="J709" s="260">
        <v>0.1</v>
      </c>
      <c r="L709" s="217">
        <f t="shared" si="30"/>
        <v>1083.1643723249999</v>
      </c>
      <c r="N709" s="271">
        <f t="shared" si="31"/>
        <v>1570.5883398712499</v>
      </c>
      <c r="P709" s="326">
        <f t="shared" si="32"/>
        <v>1900.4118912442123</v>
      </c>
    </row>
    <row r="710" spans="1:16">
      <c r="A710" s="206">
        <v>704</v>
      </c>
      <c r="B710" s="175" t="s">
        <v>1198</v>
      </c>
      <c r="C710" s="175" t="s">
        <v>2690</v>
      </c>
      <c r="D710" s="3" t="s">
        <v>2699</v>
      </c>
      <c r="E710" s="180" t="s">
        <v>2700</v>
      </c>
      <c r="F710" s="221">
        <v>7794334243204</v>
      </c>
      <c r="G710" s="221">
        <v>5</v>
      </c>
      <c r="H710" s="5" t="s">
        <v>1191</v>
      </c>
      <c r="I710" s="204">
        <v>5.4</v>
      </c>
      <c r="J710" s="260">
        <v>0.1</v>
      </c>
      <c r="L710" s="217">
        <f t="shared" si="30"/>
        <v>2554.1867295000002</v>
      </c>
      <c r="N710" s="271">
        <f t="shared" si="31"/>
        <v>3703.5707577749999</v>
      </c>
      <c r="P710" s="326">
        <f t="shared" si="32"/>
        <v>4481.3206169077494</v>
      </c>
    </row>
    <row r="711" spans="1:16">
      <c r="A711" s="206">
        <v>705</v>
      </c>
      <c r="B711" s="175" t="s">
        <v>1198</v>
      </c>
      <c r="C711" s="175" t="s">
        <v>2690</v>
      </c>
      <c r="D711" s="3" t="s">
        <v>2701</v>
      </c>
      <c r="E711" s="180" t="s">
        <v>2702</v>
      </c>
      <c r="F711" s="221">
        <v>7794334243211</v>
      </c>
      <c r="G711" s="221">
        <v>5</v>
      </c>
      <c r="H711" s="5" t="s">
        <v>1191</v>
      </c>
      <c r="I711" s="204">
        <v>5.4</v>
      </c>
      <c r="J711" s="260">
        <v>0.1</v>
      </c>
      <c r="L711" s="217">
        <f t="shared" si="30"/>
        <v>2554.1867295000002</v>
      </c>
      <c r="N711" s="271">
        <f t="shared" si="31"/>
        <v>3703.5707577749999</v>
      </c>
      <c r="P711" s="326">
        <f t="shared" si="32"/>
        <v>4481.3206169077494</v>
      </c>
    </row>
    <row r="712" spans="1:16">
      <c r="A712" s="206">
        <v>706</v>
      </c>
      <c r="B712" s="175" t="s">
        <v>1198</v>
      </c>
      <c r="C712" s="175" t="s">
        <v>2690</v>
      </c>
      <c r="D712" s="3" t="s">
        <v>2703</v>
      </c>
      <c r="E712" s="180" t="s">
        <v>2704</v>
      </c>
      <c r="F712" s="221">
        <v>7794334243228</v>
      </c>
      <c r="G712" s="221">
        <v>5</v>
      </c>
      <c r="H712" s="5" t="s">
        <v>1191</v>
      </c>
      <c r="I712" s="204">
        <v>5.4</v>
      </c>
      <c r="J712" s="260">
        <v>0.1</v>
      </c>
      <c r="L712" s="217">
        <f t="shared" ref="L712:L775" si="33">+I712*$F$2*$F$3*$F$4*$F$5</f>
        <v>2554.1867295000002</v>
      </c>
      <c r="N712" s="271">
        <f t="shared" si="31"/>
        <v>3703.5707577749999</v>
      </c>
      <c r="P712" s="326">
        <f t="shared" si="32"/>
        <v>4481.3206169077494</v>
      </c>
    </row>
    <row r="713" spans="1:16">
      <c r="A713" s="206">
        <v>707</v>
      </c>
      <c r="B713" s="175" t="s">
        <v>1198</v>
      </c>
      <c r="C713" s="175" t="s">
        <v>2690</v>
      </c>
      <c r="D713" s="3" t="s">
        <v>2705</v>
      </c>
      <c r="E713" s="180" t="s">
        <v>2706</v>
      </c>
      <c r="F713" s="221">
        <v>7794334243235</v>
      </c>
      <c r="G713" s="221">
        <v>5</v>
      </c>
      <c r="H713" s="5" t="s">
        <v>1191</v>
      </c>
      <c r="I713" s="204">
        <v>5.4</v>
      </c>
      <c r="J713" s="260">
        <v>0.1</v>
      </c>
      <c r="L713" s="217">
        <f t="shared" si="33"/>
        <v>2554.1867295000002</v>
      </c>
      <c r="N713" s="271">
        <f t="shared" ref="N713:N776" si="34">+L713*1.45</f>
        <v>3703.5707577749999</v>
      </c>
      <c r="P713" s="326">
        <f t="shared" ref="P713:P776" si="35">+N713*1.21</f>
        <v>4481.3206169077494</v>
      </c>
    </row>
    <row r="714" spans="1:16">
      <c r="A714" s="206">
        <v>708</v>
      </c>
      <c r="B714" s="184" t="s">
        <v>3192</v>
      </c>
      <c r="C714" s="184" t="s">
        <v>2684</v>
      </c>
      <c r="D714" s="4" t="s">
        <v>1088</v>
      </c>
      <c r="E714" s="180" t="s">
        <v>1089</v>
      </c>
      <c r="F714" s="222">
        <v>7794334008292</v>
      </c>
      <c r="G714" s="222">
        <v>5</v>
      </c>
      <c r="H714" s="229" t="s">
        <v>1191</v>
      </c>
      <c r="I714" s="204">
        <v>10.199999999999999</v>
      </c>
      <c r="J714" s="260">
        <v>0.1</v>
      </c>
      <c r="L714" s="217">
        <f t="shared" si="33"/>
        <v>4824.5749335</v>
      </c>
      <c r="N714" s="271">
        <f t="shared" si="34"/>
        <v>6995.6336535749997</v>
      </c>
      <c r="P714" s="326">
        <f t="shared" si="35"/>
        <v>8464.7167208257488</v>
      </c>
    </row>
    <row r="715" spans="1:16">
      <c r="A715" s="206">
        <v>709</v>
      </c>
      <c r="B715" s="184" t="s">
        <v>3192</v>
      </c>
      <c r="C715" s="184" t="s">
        <v>2684</v>
      </c>
      <c r="D715" s="4" t="s">
        <v>1090</v>
      </c>
      <c r="E715" s="180" t="s">
        <v>1091</v>
      </c>
      <c r="F715" s="222">
        <v>7794334008308</v>
      </c>
      <c r="G715" s="222">
        <v>5</v>
      </c>
      <c r="H715" s="229" t="s">
        <v>1191</v>
      </c>
      <c r="I715" s="204">
        <v>10.199999999999999</v>
      </c>
      <c r="J715" s="260">
        <v>0.1</v>
      </c>
      <c r="L715" s="217">
        <f t="shared" si="33"/>
        <v>4824.5749335</v>
      </c>
      <c r="N715" s="271">
        <f t="shared" si="34"/>
        <v>6995.6336535749997</v>
      </c>
      <c r="P715" s="326">
        <f t="shared" si="35"/>
        <v>8464.7167208257488</v>
      </c>
    </row>
    <row r="716" spans="1:16">
      <c r="A716" s="206">
        <v>710</v>
      </c>
      <c r="B716" s="184" t="s">
        <v>3192</v>
      </c>
      <c r="C716" s="184" t="s">
        <v>2684</v>
      </c>
      <c r="D716" s="4" t="s">
        <v>1092</v>
      </c>
      <c r="E716" s="180" t="s">
        <v>1093</v>
      </c>
      <c r="F716" s="222">
        <v>7794334008315</v>
      </c>
      <c r="G716" s="222">
        <v>5</v>
      </c>
      <c r="H716" s="229" t="s">
        <v>1191</v>
      </c>
      <c r="I716" s="204">
        <v>10.199999999999999</v>
      </c>
      <c r="J716" s="260">
        <v>0.1</v>
      </c>
      <c r="L716" s="217">
        <f t="shared" si="33"/>
        <v>4824.5749335</v>
      </c>
      <c r="N716" s="271">
        <f t="shared" si="34"/>
        <v>6995.6336535749997</v>
      </c>
      <c r="P716" s="326">
        <f t="shared" si="35"/>
        <v>8464.7167208257488</v>
      </c>
    </row>
    <row r="717" spans="1:16">
      <c r="A717" s="206">
        <v>711</v>
      </c>
      <c r="B717" s="224" t="s">
        <v>3191</v>
      </c>
      <c r="C717" s="224" t="s">
        <v>2684</v>
      </c>
      <c r="D717" s="225" t="s">
        <v>1094</v>
      </c>
      <c r="E717" s="228" t="s">
        <v>1095</v>
      </c>
      <c r="F717" s="226">
        <v>7794334008322</v>
      </c>
      <c r="G717" s="226">
        <v>5</v>
      </c>
      <c r="H717" s="227" t="s">
        <v>1191</v>
      </c>
      <c r="I717" s="204">
        <v>10.199999999999999</v>
      </c>
      <c r="J717" s="260">
        <v>0.1</v>
      </c>
      <c r="L717" s="217">
        <f t="shared" si="33"/>
        <v>4824.5749335</v>
      </c>
      <c r="N717" s="271">
        <f t="shared" si="34"/>
        <v>6995.6336535749997</v>
      </c>
      <c r="P717" s="326">
        <f t="shared" si="35"/>
        <v>8464.7167208257488</v>
      </c>
    </row>
    <row r="718" spans="1:16">
      <c r="A718" s="206">
        <v>712</v>
      </c>
      <c r="B718" s="224" t="s">
        <v>3191</v>
      </c>
      <c r="C718" s="224" t="s">
        <v>2684</v>
      </c>
      <c r="D718" s="225" t="s">
        <v>1096</v>
      </c>
      <c r="E718" s="228" t="s">
        <v>1097</v>
      </c>
      <c r="F718" s="226">
        <v>7794334008339</v>
      </c>
      <c r="G718" s="226">
        <v>5</v>
      </c>
      <c r="H718" s="227" t="s">
        <v>1191</v>
      </c>
      <c r="I718" s="204">
        <v>10.199999999999999</v>
      </c>
      <c r="J718" s="260">
        <v>0.1</v>
      </c>
      <c r="L718" s="217">
        <f t="shared" si="33"/>
        <v>4824.5749335</v>
      </c>
      <c r="N718" s="271">
        <f t="shared" si="34"/>
        <v>6995.6336535749997</v>
      </c>
      <c r="P718" s="326">
        <f t="shared" si="35"/>
        <v>8464.7167208257488</v>
      </c>
    </row>
    <row r="719" spans="1:16">
      <c r="A719" s="206">
        <v>713</v>
      </c>
      <c r="B719" s="175" t="s">
        <v>1198</v>
      </c>
      <c r="C719" s="175" t="s">
        <v>3193</v>
      </c>
      <c r="D719" s="3" t="s">
        <v>1179</v>
      </c>
      <c r="E719" s="180" t="s">
        <v>1180</v>
      </c>
      <c r="F719" s="221">
        <v>7794334242337</v>
      </c>
      <c r="G719" s="221">
        <v>10</v>
      </c>
      <c r="H719" s="5" t="s">
        <v>1191</v>
      </c>
      <c r="I719" s="204">
        <v>2.85</v>
      </c>
      <c r="J719" s="260">
        <v>0.1</v>
      </c>
      <c r="L719" s="217">
        <f t="shared" si="33"/>
        <v>1348.0429961249999</v>
      </c>
      <c r="N719" s="271">
        <f t="shared" si="34"/>
        <v>1954.6623443812498</v>
      </c>
      <c r="P719" s="326">
        <f t="shared" si="35"/>
        <v>2365.1414367013122</v>
      </c>
    </row>
    <row r="720" spans="1:16">
      <c r="A720" s="206">
        <v>714</v>
      </c>
      <c r="B720" s="175" t="s">
        <v>1198</v>
      </c>
      <c r="C720" s="175" t="s">
        <v>3193</v>
      </c>
      <c r="D720" s="3" t="s">
        <v>1181</v>
      </c>
      <c r="E720" s="180" t="s">
        <v>1182</v>
      </c>
      <c r="F720" s="221">
        <v>7794334242344</v>
      </c>
      <c r="G720" s="221">
        <v>10</v>
      </c>
      <c r="H720" s="5" t="s">
        <v>1191</v>
      </c>
      <c r="I720" s="204">
        <v>2.85</v>
      </c>
      <c r="J720" s="260">
        <v>0.1</v>
      </c>
      <c r="L720" s="217">
        <f t="shared" si="33"/>
        <v>1348.0429961249999</v>
      </c>
      <c r="N720" s="271">
        <f t="shared" si="34"/>
        <v>1954.6623443812498</v>
      </c>
      <c r="P720" s="326">
        <f t="shared" si="35"/>
        <v>2365.1414367013122</v>
      </c>
    </row>
    <row r="721" spans="1:16">
      <c r="A721" s="206">
        <v>715</v>
      </c>
      <c r="B721" s="175" t="s">
        <v>1198</v>
      </c>
      <c r="C721" s="175" t="s">
        <v>3193</v>
      </c>
      <c r="D721" s="3" t="s">
        <v>1183</v>
      </c>
      <c r="E721" s="180" t="s">
        <v>1184</v>
      </c>
      <c r="F721" s="221">
        <v>7794334242351</v>
      </c>
      <c r="G721" s="221">
        <v>10</v>
      </c>
      <c r="H721" s="5" t="s">
        <v>1191</v>
      </c>
      <c r="I721" s="204">
        <v>2.85</v>
      </c>
      <c r="J721" s="260">
        <v>0.1</v>
      </c>
      <c r="L721" s="217">
        <f t="shared" si="33"/>
        <v>1348.0429961249999</v>
      </c>
      <c r="N721" s="271">
        <f t="shared" si="34"/>
        <v>1954.6623443812498</v>
      </c>
      <c r="P721" s="326">
        <f t="shared" si="35"/>
        <v>2365.1414367013122</v>
      </c>
    </row>
    <row r="722" spans="1:16">
      <c r="A722" s="206">
        <v>716</v>
      </c>
      <c r="B722" s="175" t="s">
        <v>1198</v>
      </c>
      <c r="C722" s="175" t="s">
        <v>3193</v>
      </c>
      <c r="D722" s="3" t="s">
        <v>1185</v>
      </c>
      <c r="E722" s="180" t="s">
        <v>1186</v>
      </c>
      <c r="F722" s="221">
        <v>7794334242368</v>
      </c>
      <c r="G722" s="221">
        <v>10</v>
      </c>
      <c r="H722" s="5" t="s">
        <v>1191</v>
      </c>
      <c r="I722" s="204">
        <v>2.85</v>
      </c>
      <c r="J722" s="260">
        <v>0.1</v>
      </c>
      <c r="L722" s="217">
        <f t="shared" si="33"/>
        <v>1348.0429961249999</v>
      </c>
      <c r="N722" s="271">
        <f t="shared" si="34"/>
        <v>1954.6623443812498</v>
      </c>
      <c r="P722" s="326">
        <f t="shared" si="35"/>
        <v>2365.1414367013122</v>
      </c>
    </row>
    <row r="723" spans="1:16">
      <c r="A723" s="206">
        <v>717</v>
      </c>
      <c r="B723" s="175" t="s">
        <v>1198</v>
      </c>
      <c r="C723" s="175" t="s">
        <v>3193</v>
      </c>
      <c r="D723" s="3" t="s">
        <v>3571</v>
      </c>
      <c r="E723" s="180" t="s">
        <v>3572</v>
      </c>
      <c r="F723" s="221">
        <v>7794334244430</v>
      </c>
      <c r="G723" s="221">
        <v>10</v>
      </c>
      <c r="H723" s="5" t="s">
        <v>1191</v>
      </c>
      <c r="I723" s="204">
        <v>2.85</v>
      </c>
      <c r="J723" s="260">
        <v>0.1</v>
      </c>
      <c r="L723" s="217">
        <f t="shared" si="33"/>
        <v>1348.0429961249999</v>
      </c>
      <c r="N723" s="271">
        <f t="shared" si="34"/>
        <v>1954.6623443812498</v>
      </c>
      <c r="P723" s="326">
        <f t="shared" si="35"/>
        <v>2365.1414367013122</v>
      </c>
    </row>
    <row r="724" spans="1:16">
      <c r="A724" s="206">
        <v>718</v>
      </c>
      <c r="B724" s="175" t="s">
        <v>1198</v>
      </c>
      <c r="C724" s="175" t="s">
        <v>3193</v>
      </c>
      <c r="D724" s="3" t="s">
        <v>3573</v>
      </c>
      <c r="E724" s="180" t="s">
        <v>3574</v>
      </c>
      <c r="F724" s="221">
        <v>7794334244447</v>
      </c>
      <c r="G724" s="221">
        <v>10</v>
      </c>
      <c r="H724" s="5" t="s">
        <v>1191</v>
      </c>
      <c r="I724" s="204">
        <v>2.85</v>
      </c>
      <c r="J724" s="260">
        <v>0.1</v>
      </c>
      <c r="L724" s="217">
        <f t="shared" si="33"/>
        <v>1348.0429961249999</v>
      </c>
      <c r="N724" s="271">
        <f t="shared" si="34"/>
        <v>1954.6623443812498</v>
      </c>
      <c r="P724" s="326">
        <f t="shared" si="35"/>
        <v>2365.1414367013122</v>
      </c>
    </row>
    <row r="725" spans="1:16">
      <c r="A725" s="206">
        <v>719</v>
      </c>
      <c r="B725" s="175" t="s">
        <v>1198</v>
      </c>
      <c r="C725" s="175" t="s">
        <v>3193</v>
      </c>
      <c r="D725" s="3" t="s">
        <v>3575</v>
      </c>
      <c r="E725" s="180" t="s">
        <v>3576</v>
      </c>
      <c r="F725" s="221">
        <v>7794334244454</v>
      </c>
      <c r="G725" s="221">
        <v>10</v>
      </c>
      <c r="H725" s="5" t="s">
        <v>1191</v>
      </c>
      <c r="I725" s="204">
        <v>2.85</v>
      </c>
      <c r="J725" s="260">
        <v>0.1</v>
      </c>
      <c r="L725" s="217">
        <f t="shared" si="33"/>
        <v>1348.0429961249999</v>
      </c>
      <c r="N725" s="271">
        <f t="shared" si="34"/>
        <v>1954.6623443812498</v>
      </c>
      <c r="P725" s="326">
        <f t="shared" si="35"/>
        <v>2365.1414367013122</v>
      </c>
    </row>
    <row r="726" spans="1:16">
      <c r="A726" s="206">
        <v>720</v>
      </c>
      <c r="B726" s="175" t="s">
        <v>1198</v>
      </c>
      <c r="C726" s="175" t="s">
        <v>3193</v>
      </c>
      <c r="D726" s="3" t="s">
        <v>3577</v>
      </c>
      <c r="E726" s="180" t="s">
        <v>3578</v>
      </c>
      <c r="F726" s="221">
        <v>7794334244461</v>
      </c>
      <c r="G726" s="221">
        <v>10</v>
      </c>
      <c r="H726" s="5" t="s">
        <v>1191</v>
      </c>
      <c r="I726" s="204">
        <v>2.85</v>
      </c>
      <c r="J726" s="260">
        <v>0.1</v>
      </c>
      <c r="L726" s="217">
        <f t="shared" si="33"/>
        <v>1348.0429961249999</v>
      </c>
      <c r="N726" s="271">
        <f t="shared" si="34"/>
        <v>1954.6623443812498</v>
      </c>
      <c r="P726" s="326">
        <f t="shared" si="35"/>
        <v>2365.1414367013122</v>
      </c>
    </row>
    <row r="727" spans="1:16">
      <c r="A727" s="206">
        <v>721</v>
      </c>
      <c r="B727" s="224" t="s">
        <v>3191</v>
      </c>
      <c r="C727" s="224" t="s">
        <v>3194</v>
      </c>
      <c r="D727" s="225" t="s">
        <v>3195</v>
      </c>
      <c r="E727" s="228" t="s">
        <v>3196</v>
      </c>
      <c r="F727" s="226">
        <v>0</v>
      </c>
      <c r="G727" s="226">
        <v>5</v>
      </c>
      <c r="H727" s="227" t="s">
        <v>1191</v>
      </c>
      <c r="I727" s="321">
        <v>3.1</v>
      </c>
      <c r="J727" s="260">
        <v>0.1</v>
      </c>
      <c r="L727" s="217">
        <f t="shared" si="33"/>
        <v>1466.2923817499998</v>
      </c>
      <c r="N727" s="271">
        <f t="shared" si="34"/>
        <v>2126.1239535374998</v>
      </c>
      <c r="P727" s="326">
        <f t="shared" si="35"/>
        <v>2572.6099837803745</v>
      </c>
    </row>
    <row r="728" spans="1:16">
      <c r="A728" s="206">
        <v>722</v>
      </c>
      <c r="B728" s="224" t="s">
        <v>3191</v>
      </c>
      <c r="C728" s="224" t="s">
        <v>3194</v>
      </c>
      <c r="D728" s="225" t="s">
        <v>3197</v>
      </c>
      <c r="E728" s="228" t="s">
        <v>3198</v>
      </c>
      <c r="F728" s="226">
        <v>0</v>
      </c>
      <c r="G728" s="226">
        <v>5</v>
      </c>
      <c r="H728" s="227" t="s">
        <v>1191</v>
      </c>
      <c r="I728" s="321">
        <v>3.1</v>
      </c>
      <c r="J728" s="260">
        <v>0.1</v>
      </c>
      <c r="L728" s="217">
        <f t="shared" si="33"/>
        <v>1466.2923817499998</v>
      </c>
      <c r="N728" s="271">
        <f t="shared" si="34"/>
        <v>2126.1239535374998</v>
      </c>
      <c r="P728" s="326">
        <f t="shared" si="35"/>
        <v>2572.6099837803745</v>
      </c>
    </row>
    <row r="729" spans="1:16">
      <c r="A729" s="206">
        <v>723</v>
      </c>
      <c r="B729" s="224" t="s">
        <v>3191</v>
      </c>
      <c r="C729" s="224" t="s">
        <v>3194</v>
      </c>
      <c r="D729" s="225" t="s">
        <v>3199</v>
      </c>
      <c r="E729" s="228" t="s">
        <v>3200</v>
      </c>
      <c r="F729" s="226">
        <v>0</v>
      </c>
      <c r="G729" s="226">
        <v>5</v>
      </c>
      <c r="H729" s="227" t="s">
        <v>1191</v>
      </c>
      <c r="I729" s="321">
        <v>3.1</v>
      </c>
      <c r="J729" s="260">
        <v>0.1</v>
      </c>
      <c r="L729" s="217">
        <f t="shared" si="33"/>
        <v>1466.2923817499998</v>
      </c>
      <c r="N729" s="271">
        <f t="shared" si="34"/>
        <v>2126.1239535374998</v>
      </c>
      <c r="P729" s="326">
        <f t="shared" si="35"/>
        <v>2572.6099837803745</v>
      </c>
    </row>
    <row r="730" spans="1:16">
      <c r="A730" s="206">
        <v>724</v>
      </c>
      <c r="B730" s="224" t="s">
        <v>3191</v>
      </c>
      <c r="C730" s="224" t="s">
        <v>2682</v>
      </c>
      <c r="D730" s="225" t="s">
        <v>1038</v>
      </c>
      <c r="E730" s="228" t="s">
        <v>1039</v>
      </c>
      <c r="F730" s="226">
        <v>7794334008148</v>
      </c>
      <c r="G730" s="226">
        <v>5</v>
      </c>
      <c r="H730" s="227" t="s">
        <v>1191</v>
      </c>
      <c r="I730" s="321">
        <v>3.45</v>
      </c>
      <c r="J730" s="260">
        <v>0.1</v>
      </c>
      <c r="L730" s="217">
        <f t="shared" si="33"/>
        <v>1631.841521625</v>
      </c>
      <c r="N730" s="271">
        <f t="shared" si="34"/>
        <v>2366.1702063562498</v>
      </c>
      <c r="P730" s="326">
        <f t="shared" si="35"/>
        <v>2863.0659496910621</v>
      </c>
    </row>
    <row r="731" spans="1:16">
      <c r="A731" s="206">
        <v>725</v>
      </c>
      <c r="B731" s="224" t="s">
        <v>3191</v>
      </c>
      <c r="C731" s="224" t="s">
        <v>2682</v>
      </c>
      <c r="D731" s="225" t="s">
        <v>1040</v>
      </c>
      <c r="E731" s="228" t="s">
        <v>1041</v>
      </c>
      <c r="F731" s="226">
        <v>7794334008162</v>
      </c>
      <c r="G731" s="226">
        <v>5</v>
      </c>
      <c r="H731" s="227" t="s">
        <v>1191</v>
      </c>
      <c r="I731" s="321">
        <v>3.45</v>
      </c>
      <c r="J731" s="260">
        <v>0.1</v>
      </c>
      <c r="L731" s="217">
        <f t="shared" si="33"/>
        <v>1631.841521625</v>
      </c>
      <c r="N731" s="271">
        <f t="shared" si="34"/>
        <v>2366.1702063562498</v>
      </c>
      <c r="P731" s="326">
        <f t="shared" si="35"/>
        <v>2863.0659496910621</v>
      </c>
    </row>
    <row r="732" spans="1:16">
      <c r="A732" s="206">
        <v>726</v>
      </c>
      <c r="B732" s="224" t="s">
        <v>3191</v>
      </c>
      <c r="C732" s="224" t="s">
        <v>2682</v>
      </c>
      <c r="D732" s="225" t="s">
        <v>1026</v>
      </c>
      <c r="E732" s="228" t="s">
        <v>1027</v>
      </c>
      <c r="F732" s="226">
        <v>7794334008063</v>
      </c>
      <c r="G732" s="226">
        <v>5</v>
      </c>
      <c r="H732" s="227" t="s">
        <v>1191</v>
      </c>
      <c r="I732" s="321">
        <v>3.45</v>
      </c>
      <c r="J732" s="260">
        <v>0.1</v>
      </c>
      <c r="L732" s="217">
        <f t="shared" si="33"/>
        <v>1631.841521625</v>
      </c>
      <c r="N732" s="271">
        <f t="shared" si="34"/>
        <v>2366.1702063562498</v>
      </c>
      <c r="P732" s="326">
        <f t="shared" si="35"/>
        <v>2863.0659496910621</v>
      </c>
    </row>
    <row r="733" spans="1:16">
      <c r="A733" s="206">
        <v>727</v>
      </c>
      <c r="B733" s="224" t="s">
        <v>3191</v>
      </c>
      <c r="C733" s="224" t="s">
        <v>2682</v>
      </c>
      <c r="D733" s="225" t="s">
        <v>1028</v>
      </c>
      <c r="E733" s="228" t="s">
        <v>1029</v>
      </c>
      <c r="F733" s="226">
        <v>7794334008070</v>
      </c>
      <c r="G733" s="226">
        <v>5</v>
      </c>
      <c r="H733" s="227" t="s">
        <v>1191</v>
      </c>
      <c r="I733" s="321">
        <v>3.45</v>
      </c>
      <c r="J733" s="260">
        <v>0.1</v>
      </c>
      <c r="L733" s="217">
        <f t="shared" si="33"/>
        <v>1631.841521625</v>
      </c>
      <c r="N733" s="271">
        <f t="shared" si="34"/>
        <v>2366.1702063562498</v>
      </c>
      <c r="P733" s="326">
        <f t="shared" si="35"/>
        <v>2863.0659496910621</v>
      </c>
    </row>
    <row r="734" spans="1:16">
      <c r="A734" s="206">
        <v>728</v>
      </c>
      <c r="B734" s="224" t="s">
        <v>3191</v>
      </c>
      <c r="C734" s="224" t="s">
        <v>2682</v>
      </c>
      <c r="D734" s="225" t="s">
        <v>1030</v>
      </c>
      <c r="E734" s="228" t="s">
        <v>1031</v>
      </c>
      <c r="F734" s="226">
        <v>7794334008087</v>
      </c>
      <c r="G734" s="226">
        <v>5</v>
      </c>
      <c r="H734" s="227" t="s">
        <v>1191</v>
      </c>
      <c r="I734" s="321">
        <v>3.45</v>
      </c>
      <c r="J734" s="260">
        <v>0.1</v>
      </c>
      <c r="L734" s="217">
        <f t="shared" si="33"/>
        <v>1631.841521625</v>
      </c>
      <c r="N734" s="271">
        <f t="shared" si="34"/>
        <v>2366.1702063562498</v>
      </c>
      <c r="P734" s="326">
        <f t="shared" si="35"/>
        <v>2863.0659496910621</v>
      </c>
    </row>
    <row r="735" spans="1:16">
      <c r="A735" s="206">
        <v>729</v>
      </c>
      <c r="B735" s="224" t="s">
        <v>3191</v>
      </c>
      <c r="C735" s="224" t="s">
        <v>2683</v>
      </c>
      <c r="D735" s="225" t="s">
        <v>1072</v>
      </c>
      <c r="E735" s="228" t="s">
        <v>1073</v>
      </c>
      <c r="F735" s="226">
        <v>7794334008254</v>
      </c>
      <c r="G735" s="226">
        <v>5</v>
      </c>
      <c r="H735" s="227" t="s">
        <v>1191</v>
      </c>
      <c r="I735" s="321">
        <v>4.3499999999999996</v>
      </c>
      <c r="J735" s="260">
        <v>0.1</v>
      </c>
      <c r="L735" s="217">
        <f t="shared" si="33"/>
        <v>2057.5393098749996</v>
      </c>
      <c r="N735" s="271">
        <f t="shared" si="34"/>
        <v>2983.4319993187491</v>
      </c>
      <c r="P735" s="326">
        <f t="shared" si="35"/>
        <v>3609.9527191756865</v>
      </c>
    </row>
    <row r="736" spans="1:16">
      <c r="A736" s="206">
        <v>730</v>
      </c>
      <c r="B736" s="224" t="s">
        <v>3191</v>
      </c>
      <c r="C736" s="224" t="s">
        <v>2683</v>
      </c>
      <c r="D736" s="225" t="s">
        <v>1074</v>
      </c>
      <c r="E736" s="228" t="s">
        <v>1075</v>
      </c>
      <c r="F736" s="226">
        <v>7794334008261</v>
      </c>
      <c r="G736" s="226">
        <v>5</v>
      </c>
      <c r="H736" s="227" t="s">
        <v>1191</v>
      </c>
      <c r="I736" s="321">
        <v>4.3499999999999996</v>
      </c>
      <c r="J736" s="260">
        <v>0.1</v>
      </c>
      <c r="L736" s="217">
        <f t="shared" si="33"/>
        <v>2057.5393098749996</v>
      </c>
      <c r="N736" s="271">
        <f t="shared" si="34"/>
        <v>2983.4319993187491</v>
      </c>
      <c r="P736" s="326">
        <f t="shared" si="35"/>
        <v>3609.9527191756865</v>
      </c>
    </row>
    <row r="737" spans="1:16">
      <c r="A737" s="206">
        <v>731</v>
      </c>
      <c r="B737" s="224" t="s">
        <v>3191</v>
      </c>
      <c r="C737" s="224" t="s">
        <v>2683</v>
      </c>
      <c r="D737" s="225" t="s">
        <v>1076</v>
      </c>
      <c r="E737" s="228" t="s">
        <v>1077</v>
      </c>
      <c r="F737" s="226">
        <v>7794334008278</v>
      </c>
      <c r="G737" s="226">
        <v>5</v>
      </c>
      <c r="H737" s="227" t="s">
        <v>1191</v>
      </c>
      <c r="I737" s="321">
        <v>4.3499999999999996</v>
      </c>
      <c r="J737" s="260">
        <v>0.1</v>
      </c>
      <c r="L737" s="217">
        <f t="shared" si="33"/>
        <v>2057.5393098749996</v>
      </c>
      <c r="N737" s="271">
        <f t="shared" si="34"/>
        <v>2983.4319993187491</v>
      </c>
      <c r="P737" s="326">
        <f t="shared" si="35"/>
        <v>3609.9527191756865</v>
      </c>
    </row>
    <row r="738" spans="1:16">
      <c r="A738" s="206">
        <v>732</v>
      </c>
      <c r="B738" s="224" t="s">
        <v>3191</v>
      </c>
      <c r="C738" s="224" t="s">
        <v>2683</v>
      </c>
      <c r="D738" s="225" t="s">
        <v>1078</v>
      </c>
      <c r="E738" s="228" t="s">
        <v>1079</v>
      </c>
      <c r="F738" s="226">
        <v>7794334008285</v>
      </c>
      <c r="G738" s="226">
        <v>5</v>
      </c>
      <c r="H738" s="227" t="s">
        <v>1191</v>
      </c>
      <c r="I738" s="321">
        <v>4.3499999999999996</v>
      </c>
      <c r="J738" s="260">
        <v>0.1</v>
      </c>
      <c r="L738" s="217">
        <f t="shared" si="33"/>
        <v>2057.5393098749996</v>
      </c>
      <c r="N738" s="271">
        <f t="shared" si="34"/>
        <v>2983.4319993187491</v>
      </c>
      <c r="P738" s="326">
        <f t="shared" si="35"/>
        <v>3609.9527191756865</v>
      </c>
    </row>
    <row r="739" spans="1:16">
      <c r="A739" s="206">
        <v>733</v>
      </c>
      <c r="B739" s="224" t="s">
        <v>3191</v>
      </c>
      <c r="C739" s="224" t="s">
        <v>2683</v>
      </c>
      <c r="D739" s="225" t="s">
        <v>1058</v>
      </c>
      <c r="E739" s="228" t="s">
        <v>1059</v>
      </c>
      <c r="F739" s="226">
        <v>7794334008186</v>
      </c>
      <c r="G739" s="226">
        <v>5</v>
      </c>
      <c r="H739" s="227" t="s">
        <v>1191</v>
      </c>
      <c r="I739" s="321">
        <v>4.3499999999999996</v>
      </c>
      <c r="J739" s="260">
        <v>0.1</v>
      </c>
      <c r="L739" s="217">
        <f t="shared" si="33"/>
        <v>2057.5393098749996</v>
      </c>
      <c r="N739" s="271">
        <f t="shared" si="34"/>
        <v>2983.4319993187491</v>
      </c>
      <c r="P739" s="326">
        <f t="shared" si="35"/>
        <v>3609.9527191756865</v>
      </c>
    </row>
    <row r="740" spans="1:16">
      <c r="A740" s="206">
        <v>734</v>
      </c>
      <c r="B740" s="224" t="s">
        <v>3191</v>
      </c>
      <c r="C740" s="224" t="s">
        <v>2683</v>
      </c>
      <c r="D740" s="225" t="s">
        <v>1060</v>
      </c>
      <c r="E740" s="228" t="s">
        <v>1061</v>
      </c>
      <c r="F740" s="226">
        <v>7794334008193</v>
      </c>
      <c r="G740" s="226">
        <v>5</v>
      </c>
      <c r="H740" s="227" t="s">
        <v>1191</v>
      </c>
      <c r="I740" s="321">
        <v>4.3499999999999996</v>
      </c>
      <c r="J740" s="260">
        <v>0.1</v>
      </c>
      <c r="L740" s="217">
        <f t="shared" si="33"/>
        <v>2057.5393098749996</v>
      </c>
      <c r="N740" s="271">
        <f t="shared" si="34"/>
        <v>2983.4319993187491</v>
      </c>
      <c r="P740" s="326">
        <f t="shared" si="35"/>
        <v>3609.9527191756865</v>
      </c>
    </row>
    <row r="741" spans="1:16">
      <c r="A741" s="206">
        <v>735</v>
      </c>
      <c r="B741" s="224" t="s">
        <v>3191</v>
      </c>
      <c r="C741" s="224" t="s">
        <v>2683</v>
      </c>
      <c r="D741" s="225" t="s">
        <v>1062</v>
      </c>
      <c r="E741" s="228" t="s">
        <v>1063</v>
      </c>
      <c r="F741" s="226">
        <v>7794334008209</v>
      </c>
      <c r="G741" s="226">
        <v>5</v>
      </c>
      <c r="H741" s="227" t="s">
        <v>1191</v>
      </c>
      <c r="I741" s="321">
        <v>4.3499999999999996</v>
      </c>
      <c r="J741" s="260">
        <v>0.1</v>
      </c>
      <c r="L741" s="217">
        <f t="shared" si="33"/>
        <v>2057.5393098749996</v>
      </c>
      <c r="N741" s="271">
        <f t="shared" si="34"/>
        <v>2983.4319993187491</v>
      </c>
      <c r="P741" s="326">
        <f t="shared" si="35"/>
        <v>3609.9527191756865</v>
      </c>
    </row>
    <row r="742" spans="1:16">
      <c r="A742" s="206">
        <v>736</v>
      </c>
      <c r="B742" s="175" t="s">
        <v>1198</v>
      </c>
      <c r="C742" s="175" t="s">
        <v>3193</v>
      </c>
      <c r="D742" s="3" t="s">
        <v>1187</v>
      </c>
      <c r="E742" s="180" t="s">
        <v>1043</v>
      </c>
      <c r="F742" s="221">
        <v>7794334242375</v>
      </c>
      <c r="G742" s="221">
        <v>5</v>
      </c>
      <c r="H742" s="5" t="s">
        <v>1191</v>
      </c>
      <c r="I742" s="204">
        <v>6.64</v>
      </c>
      <c r="J742" s="260">
        <v>0.1</v>
      </c>
      <c r="L742" s="217">
        <f t="shared" si="33"/>
        <v>3140.7036821999995</v>
      </c>
      <c r="N742" s="271">
        <f t="shared" si="34"/>
        <v>4554.0203391899995</v>
      </c>
      <c r="P742" s="326">
        <f t="shared" si="35"/>
        <v>5510.3646104198997</v>
      </c>
    </row>
    <row r="743" spans="1:16">
      <c r="A743" s="206">
        <v>737</v>
      </c>
      <c r="B743" s="175" t="s">
        <v>1198</v>
      </c>
      <c r="C743" s="175" t="s">
        <v>3193</v>
      </c>
      <c r="D743" s="3" t="s">
        <v>1188</v>
      </c>
      <c r="E743" s="180" t="s">
        <v>1045</v>
      </c>
      <c r="F743" s="221">
        <v>7794334242382</v>
      </c>
      <c r="G743" s="221">
        <v>5</v>
      </c>
      <c r="H743" s="5" t="s">
        <v>1191</v>
      </c>
      <c r="I743" s="204">
        <v>6.64</v>
      </c>
      <c r="J743" s="260">
        <v>0.1</v>
      </c>
      <c r="L743" s="217">
        <f t="shared" si="33"/>
        <v>3140.7036821999995</v>
      </c>
      <c r="N743" s="271">
        <f t="shared" si="34"/>
        <v>4554.0203391899995</v>
      </c>
      <c r="P743" s="326">
        <f t="shared" si="35"/>
        <v>5510.3646104198997</v>
      </c>
    </row>
    <row r="744" spans="1:16">
      <c r="A744" s="206">
        <v>738</v>
      </c>
      <c r="B744" s="175" t="s">
        <v>1198</v>
      </c>
      <c r="C744" s="175" t="s">
        <v>3193</v>
      </c>
      <c r="D744" s="3" t="s">
        <v>1189</v>
      </c>
      <c r="E744" s="180" t="s">
        <v>1047</v>
      </c>
      <c r="F744" s="221">
        <v>7794334242399</v>
      </c>
      <c r="G744" s="221">
        <v>5</v>
      </c>
      <c r="H744" s="5" t="s">
        <v>1191</v>
      </c>
      <c r="I744" s="204">
        <v>6.64</v>
      </c>
      <c r="J744" s="260">
        <v>0.1</v>
      </c>
      <c r="L744" s="217">
        <f t="shared" si="33"/>
        <v>3140.7036821999995</v>
      </c>
      <c r="N744" s="271">
        <f t="shared" si="34"/>
        <v>4554.0203391899995</v>
      </c>
      <c r="P744" s="326">
        <f t="shared" si="35"/>
        <v>5510.3646104198997</v>
      </c>
    </row>
    <row r="745" spans="1:16">
      <c r="A745" s="206">
        <v>739</v>
      </c>
      <c r="B745" s="175" t="s">
        <v>1198</v>
      </c>
      <c r="C745" s="175" t="s">
        <v>3193</v>
      </c>
      <c r="D745" s="3" t="s">
        <v>1190</v>
      </c>
      <c r="E745" s="180" t="s">
        <v>1049</v>
      </c>
      <c r="F745" s="221">
        <v>7794334242405</v>
      </c>
      <c r="G745" s="221">
        <v>5</v>
      </c>
      <c r="H745" s="5" t="s">
        <v>1191</v>
      </c>
      <c r="I745" s="204">
        <v>6.64</v>
      </c>
      <c r="J745" s="260">
        <v>0.1</v>
      </c>
      <c r="L745" s="217">
        <f t="shared" si="33"/>
        <v>3140.7036821999995</v>
      </c>
      <c r="N745" s="271">
        <f t="shared" si="34"/>
        <v>4554.0203391899995</v>
      </c>
      <c r="P745" s="326">
        <f t="shared" si="35"/>
        <v>5510.3646104198997</v>
      </c>
    </row>
    <row r="746" spans="1:16">
      <c r="A746" s="206">
        <v>740</v>
      </c>
      <c r="B746" s="224" t="s">
        <v>3191</v>
      </c>
      <c r="C746" s="224" t="s">
        <v>2682</v>
      </c>
      <c r="D746" s="225" t="s">
        <v>1042</v>
      </c>
      <c r="E746" s="228" t="s">
        <v>1043</v>
      </c>
      <c r="F746" s="226">
        <v>7794334004942</v>
      </c>
      <c r="G746" s="226">
        <v>5</v>
      </c>
      <c r="H746" s="227" t="s">
        <v>1191</v>
      </c>
      <c r="I746" s="321">
        <v>5.4</v>
      </c>
      <c r="J746" s="260">
        <v>0.1</v>
      </c>
      <c r="L746" s="217">
        <f t="shared" si="33"/>
        <v>2554.1867295000002</v>
      </c>
      <c r="N746" s="271">
        <f t="shared" si="34"/>
        <v>3703.5707577749999</v>
      </c>
      <c r="P746" s="326">
        <f t="shared" si="35"/>
        <v>4481.3206169077494</v>
      </c>
    </row>
    <row r="747" spans="1:16">
      <c r="A747" s="206">
        <v>741</v>
      </c>
      <c r="B747" s="224" t="s">
        <v>3191</v>
      </c>
      <c r="C747" s="224" t="s">
        <v>2682</v>
      </c>
      <c r="D747" s="225" t="s">
        <v>1044</v>
      </c>
      <c r="E747" s="228" t="s">
        <v>1045</v>
      </c>
      <c r="F747" s="226">
        <v>7794334004959</v>
      </c>
      <c r="G747" s="226">
        <v>5</v>
      </c>
      <c r="H747" s="227" t="s">
        <v>1191</v>
      </c>
      <c r="I747" s="321">
        <v>5.4</v>
      </c>
      <c r="J747" s="260">
        <v>0.1</v>
      </c>
      <c r="L747" s="217">
        <f t="shared" si="33"/>
        <v>2554.1867295000002</v>
      </c>
      <c r="N747" s="271">
        <f t="shared" si="34"/>
        <v>3703.5707577749999</v>
      </c>
      <c r="P747" s="326">
        <f t="shared" si="35"/>
        <v>4481.3206169077494</v>
      </c>
    </row>
    <row r="748" spans="1:16">
      <c r="A748" s="206">
        <v>742</v>
      </c>
      <c r="B748" s="224" t="s">
        <v>3191</v>
      </c>
      <c r="C748" s="224" t="s">
        <v>2682</v>
      </c>
      <c r="D748" s="225" t="s">
        <v>1046</v>
      </c>
      <c r="E748" s="228" t="s">
        <v>1047</v>
      </c>
      <c r="F748" s="226">
        <v>7794334004966</v>
      </c>
      <c r="G748" s="226">
        <v>5</v>
      </c>
      <c r="H748" s="227" t="s">
        <v>1191</v>
      </c>
      <c r="I748" s="321">
        <v>5.4</v>
      </c>
      <c r="J748" s="260">
        <v>0.1</v>
      </c>
      <c r="L748" s="217">
        <f t="shared" si="33"/>
        <v>2554.1867295000002</v>
      </c>
      <c r="N748" s="271">
        <f t="shared" si="34"/>
        <v>3703.5707577749999</v>
      </c>
      <c r="P748" s="326">
        <f t="shared" si="35"/>
        <v>4481.3206169077494</v>
      </c>
    </row>
    <row r="749" spans="1:16">
      <c r="A749" s="206">
        <v>743</v>
      </c>
      <c r="B749" s="224" t="s">
        <v>3191</v>
      </c>
      <c r="C749" s="224" t="s">
        <v>2682</v>
      </c>
      <c r="D749" s="225" t="s">
        <v>1048</v>
      </c>
      <c r="E749" s="228" t="s">
        <v>1049</v>
      </c>
      <c r="F749" s="226">
        <v>7794334004973</v>
      </c>
      <c r="G749" s="226">
        <v>5</v>
      </c>
      <c r="H749" s="227" t="s">
        <v>1191</v>
      </c>
      <c r="I749" s="321">
        <v>5.4</v>
      </c>
      <c r="J749" s="260">
        <v>0.1</v>
      </c>
      <c r="L749" s="217">
        <f t="shared" si="33"/>
        <v>2554.1867295000002</v>
      </c>
      <c r="N749" s="271">
        <f t="shared" si="34"/>
        <v>3703.5707577749999</v>
      </c>
      <c r="P749" s="326">
        <f t="shared" si="35"/>
        <v>4481.3206169077494</v>
      </c>
    </row>
    <row r="750" spans="1:16">
      <c r="A750" s="206">
        <v>744</v>
      </c>
      <c r="B750" s="224" t="s">
        <v>3191</v>
      </c>
      <c r="C750" s="224" t="s">
        <v>2682</v>
      </c>
      <c r="D750" s="225" t="s">
        <v>1032</v>
      </c>
      <c r="E750" s="228" t="s">
        <v>1033</v>
      </c>
      <c r="F750" s="226">
        <v>7794334008094</v>
      </c>
      <c r="G750" s="226">
        <v>5</v>
      </c>
      <c r="H750" s="227" t="s">
        <v>1191</v>
      </c>
      <c r="I750" s="321">
        <v>5.4</v>
      </c>
      <c r="J750" s="260">
        <v>0.1</v>
      </c>
      <c r="L750" s="217">
        <f t="shared" si="33"/>
        <v>2554.1867295000002</v>
      </c>
      <c r="N750" s="271">
        <f t="shared" si="34"/>
        <v>3703.5707577749999</v>
      </c>
      <c r="P750" s="326">
        <f t="shared" si="35"/>
        <v>4481.3206169077494</v>
      </c>
    </row>
    <row r="751" spans="1:16">
      <c r="A751" s="206">
        <v>745</v>
      </c>
      <c r="B751" s="224" t="s">
        <v>3191</v>
      </c>
      <c r="C751" s="224" t="s">
        <v>2682</v>
      </c>
      <c r="D751" s="225" t="s">
        <v>1034</v>
      </c>
      <c r="E751" s="228" t="s">
        <v>1035</v>
      </c>
      <c r="F751" s="226">
        <v>7794334008117</v>
      </c>
      <c r="G751" s="226">
        <v>5</v>
      </c>
      <c r="H751" s="227" t="s">
        <v>1191</v>
      </c>
      <c r="I751" s="321">
        <v>5.4</v>
      </c>
      <c r="J751" s="260">
        <v>0.1</v>
      </c>
      <c r="L751" s="217">
        <f t="shared" si="33"/>
        <v>2554.1867295000002</v>
      </c>
      <c r="N751" s="271">
        <f t="shared" si="34"/>
        <v>3703.5707577749999</v>
      </c>
      <c r="P751" s="326">
        <f t="shared" si="35"/>
        <v>4481.3206169077494</v>
      </c>
    </row>
    <row r="752" spans="1:16">
      <c r="A752" s="206">
        <v>746</v>
      </c>
      <c r="B752" s="224" t="s">
        <v>3191</v>
      </c>
      <c r="C752" s="224" t="s">
        <v>2682</v>
      </c>
      <c r="D752" s="225" t="s">
        <v>1036</v>
      </c>
      <c r="E752" s="228" t="s">
        <v>1037</v>
      </c>
      <c r="F752" s="226">
        <v>7794334008124</v>
      </c>
      <c r="G752" s="226">
        <v>5</v>
      </c>
      <c r="H752" s="227" t="s">
        <v>1191</v>
      </c>
      <c r="I752" s="321">
        <v>5.4</v>
      </c>
      <c r="J752" s="260">
        <v>0.1</v>
      </c>
      <c r="L752" s="217">
        <f t="shared" si="33"/>
        <v>2554.1867295000002</v>
      </c>
      <c r="N752" s="271">
        <f t="shared" si="34"/>
        <v>3703.5707577749999</v>
      </c>
      <c r="P752" s="326">
        <f t="shared" si="35"/>
        <v>4481.3206169077494</v>
      </c>
    </row>
    <row r="753" spans="1:16">
      <c r="A753" s="206">
        <v>747</v>
      </c>
      <c r="B753" s="175" t="s">
        <v>1198</v>
      </c>
      <c r="C753" s="175" t="s">
        <v>2690</v>
      </c>
      <c r="D753" s="3" t="s">
        <v>2707</v>
      </c>
      <c r="E753" s="180" t="s">
        <v>2708</v>
      </c>
      <c r="F753" s="221">
        <v>7794334243150</v>
      </c>
      <c r="G753" s="221">
        <v>10</v>
      </c>
      <c r="H753" s="5" t="s">
        <v>1191</v>
      </c>
      <c r="I753" s="204">
        <v>3.25</v>
      </c>
      <c r="J753" s="260">
        <v>0.1</v>
      </c>
      <c r="L753" s="217">
        <f t="shared" si="33"/>
        <v>1537.2420131250001</v>
      </c>
      <c r="N753" s="271">
        <f t="shared" si="34"/>
        <v>2229.0009190312499</v>
      </c>
      <c r="P753" s="326">
        <f t="shared" si="35"/>
        <v>2697.0911120278124</v>
      </c>
    </row>
    <row r="754" spans="1:16">
      <c r="A754" s="206">
        <v>748</v>
      </c>
      <c r="B754" s="175" t="s">
        <v>1198</v>
      </c>
      <c r="C754" s="175" t="s">
        <v>2690</v>
      </c>
      <c r="D754" s="3" t="s">
        <v>2709</v>
      </c>
      <c r="E754" s="180" t="s">
        <v>2710</v>
      </c>
      <c r="F754" s="221">
        <v>7794334243143</v>
      </c>
      <c r="G754" s="221">
        <v>10</v>
      </c>
      <c r="H754" s="5" t="s">
        <v>1191</v>
      </c>
      <c r="I754" s="204">
        <v>3.25</v>
      </c>
      <c r="J754" s="260">
        <v>0.1</v>
      </c>
      <c r="L754" s="217">
        <f t="shared" si="33"/>
        <v>1537.2420131250001</v>
      </c>
      <c r="N754" s="271">
        <f t="shared" si="34"/>
        <v>2229.0009190312499</v>
      </c>
      <c r="P754" s="326">
        <f t="shared" si="35"/>
        <v>2697.0911120278124</v>
      </c>
    </row>
    <row r="755" spans="1:16">
      <c r="A755" s="206">
        <v>749</v>
      </c>
      <c r="B755" s="175" t="s">
        <v>1198</v>
      </c>
      <c r="C755" s="175" t="s">
        <v>2690</v>
      </c>
      <c r="D755" s="3" t="s">
        <v>2711</v>
      </c>
      <c r="E755" s="180" t="s">
        <v>2712</v>
      </c>
      <c r="F755" s="221">
        <v>7794334243136</v>
      </c>
      <c r="G755" s="221">
        <v>10</v>
      </c>
      <c r="H755" s="5" t="s">
        <v>1191</v>
      </c>
      <c r="I755" s="204">
        <v>3.25</v>
      </c>
      <c r="J755" s="260">
        <v>0.1</v>
      </c>
      <c r="L755" s="217">
        <f t="shared" si="33"/>
        <v>1537.2420131250001</v>
      </c>
      <c r="N755" s="271">
        <f t="shared" si="34"/>
        <v>2229.0009190312499</v>
      </c>
      <c r="P755" s="326">
        <f t="shared" si="35"/>
        <v>2697.0911120278124</v>
      </c>
    </row>
    <row r="756" spans="1:16">
      <c r="A756" s="206">
        <v>750</v>
      </c>
      <c r="B756" s="175" t="s">
        <v>1198</v>
      </c>
      <c r="C756" s="175" t="s">
        <v>2690</v>
      </c>
      <c r="D756" s="3" t="s">
        <v>2713</v>
      </c>
      <c r="E756" s="180" t="s">
        <v>2714</v>
      </c>
      <c r="F756" s="221">
        <v>7794334243129</v>
      </c>
      <c r="G756" s="221">
        <v>10</v>
      </c>
      <c r="H756" s="5" t="s">
        <v>1191</v>
      </c>
      <c r="I756" s="204">
        <v>3.25</v>
      </c>
      <c r="J756" s="260">
        <v>0.1</v>
      </c>
      <c r="L756" s="217">
        <f t="shared" si="33"/>
        <v>1537.2420131250001</v>
      </c>
      <c r="N756" s="271">
        <f t="shared" si="34"/>
        <v>2229.0009190312499</v>
      </c>
      <c r="P756" s="326">
        <f t="shared" si="35"/>
        <v>2697.0911120278124</v>
      </c>
    </row>
    <row r="757" spans="1:16">
      <c r="A757" s="206">
        <v>751</v>
      </c>
      <c r="B757" s="175" t="s">
        <v>1198</v>
      </c>
      <c r="C757" s="175" t="s">
        <v>2690</v>
      </c>
      <c r="D757" s="3" t="s">
        <v>2715</v>
      </c>
      <c r="E757" s="180" t="s">
        <v>2716</v>
      </c>
      <c r="F757" s="221">
        <v>7794334243327</v>
      </c>
      <c r="G757" s="221">
        <v>5</v>
      </c>
      <c r="H757" s="5" t="s">
        <v>1191</v>
      </c>
      <c r="I757" s="204">
        <v>7.15</v>
      </c>
      <c r="J757" s="260">
        <v>0.1</v>
      </c>
      <c r="L757" s="217">
        <f t="shared" si="33"/>
        <v>3381.9324288749995</v>
      </c>
      <c r="N757" s="271">
        <f t="shared" si="34"/>
        <v>4903.8020218687489</v>
      </c>
      <c r="P757" s="326">
        <f t="shared" si="35"/>
        <v>5933.600446461186</v>
      </c>
    </row>
    <row r="758" spans="1:16">
      <c r="A758" s="206">
        <v>752</v>
      </c>
      <c r="B758" s="175" t="s">
        <v>1198</v>
      </c>
      <c r="C758" s="175" t="s">
        <v>2690</v>
      </c>
      <c r="D758" s="3" t="s">
        <v>2717</v>
      </c>
      <c r="E758" s="180" t="s">
        <v>2718</v>
      </c>
      <c r="F758" s="221">
        <v>7794334243334</v>
      </c>
      <c r="G758" s="221">
        <v>5</v>
      </c>
      <c r="H758" s="5" t="s">
        <v>1191</v>
      </c>
      <c r="I758" s="204">
        <v>7.15</v>
      </c>
      <c r="J758" s="260">
        <v>0.1</v>
      </c>
      <c r="L758" s="217">
        <f t="shared" si="33"/>
        <v>3381.9324288749995</v>
      </c>
      <c r="N758" s="271">
        <f t="shared" si="34"/>
        <v>4903.8020218687489</v>
      </c>
      <c r="P758" s="326">
        <f t="shared" si="35"/>
        <v>5933.600446461186</v>
      </c>
    </row>
    <row r="759" spans="1:16">
      <c r="A759" s="206">
        <v>753</v>
      </c>
      <c r="B759" s="175" t="s">
        <v>1198</v>
      </c>
      <c r="C759" s="175" t="s">
        <v>2690</v>
      </c>
      <c r="D759" s="3" t="s">
        <v>2719</v>
      </c>
      <c r="E759" s="180" t="s">
        <v>2720</v>
      </c>
      <c r="F759" s="221">
        <v>7794334243341</v>
      </c>
      <c r="G759" s="221">
        <v>5</v>
      </c>
      <c r="H759" s="5" t="s">
        <v>1191</v>
      </c>
      <c r="I759" s="204">
        <v>7.15</v>
      </c>
      <c r="J759" s="260">
        <v>0.1</v>
      </c>
      <c r="L759" s="217">
        <f t="shared" si="33"/>
        <v>3381.9324288749995</v>
      </c>
      <c r="N759" s="271">
        <f t="shared" si="34"/>
        <v>4903.8020218687489</v>
      </c>
      <c r="P759" s="326">
        <f t="shared" si="35"/>
        <v>5933.600446461186</v>
      </c>
    </row>
    <row r="760" spans="1:16">
      <c r="A760" s="206">
        <v>754</v>
      </c>
      <c r="B760" s="175" t="s">
        <v>1198</v>
      </c>
      <c r="C760" s="175" t="s">
        <v>2690</v>
      </c>
      <c r="D760" s="3" t="s">
        <v>2721</v>
      </c>
      <c r="E760" s="180" t="s">
        <v>2722</v>
      </c>
      <c r="F760" s="221">
        <v>7794334243358</v>
      </c>
      <c r="G760" s="221">
        <v>5</v>
      </c>
      <c r="H760" s="5" t="s">
        <v>1191</v>
      </c>
      <c r="I760" s="204">
        <v>7.15</v>
      </c>
      <c r="J760" s="260">
        <v>0.1</v>
      </c>
      <c r="L760" s="217">
        <f t="shared" si="33"/>
        <v>3381.9324288749995</v>
      </c>
      <c r="N760" s="271">
        <f t="shared" si="34"/>
        <v>4903.8020218687489</v>
      </c>
      <c r="P760" s="326">
        <f t="shared" si="35"/>
        <v>5933.600446461186</v>
      </c>
    </row>
    <row r="761" spans="1:16">
      <c r="A761" s="206">
        <v>755</v>
      </c>
      <c r="B761" s="224" t="s">
        <v>3191</v>
      </c>
      <c r="C761" s="224" t="s">
        <v>2682</v>
      </c>
      <c r="D761" s="225" t="s">
        <v>1050</v>
      </c>
      <c r="E761" s="228" t="s">
        <v>1051</v>
      </c>
      <c r="F761" s="226">
        <v>7794334005109</v>
      </c>
      <c r="G761" s="226">
        <v>5</v>
      </c>
      <c r="H761" s="227" t="s">
        <v>1191</v>
      </c>
      <c r="I761" s="321">
        <v>5.3</v>
      </c>
      <c r="J761" s="260">
        <v>0.1</v>
      </c>
      <c r="L761" s="217">
        <f t="shared" si="33"/>
        <v>2506.88697525</v>
      </c>
      <c r="N761" s="271">
        <f t="shared" si="34"/>
        <v>3634.9861141124998</v>
      </c>
      <c r="P761" s="326">
        <f t="shared" si="35"/>
        <v>4398.333198076125</v>
      </c>
    </row>
    <row r="762" spans="1:16">
      <c r="A762" s="206">
        <v>756</v>
      </c>
      <c r="B762" s="224" t="s">
        <v>3191</v>
      </c>
      <c r="C762" s="224" t="s">
        <v>2682</v>
      </c>
      <c r="D762" s="225" t="s">
        <v>1052</v>
      </c>
      <c r="E762" s="228" t="s">
        <v>1053</v>
      </c>
      <c r="F762" s="226">
        <v>7794334005116</v>
      </c>
      <c r="G762" s="226">
        <v>5</v>
      </c>
      <c r="H762" s="227" t="s">
        <v>1191</v>
      </c>
      <c r="I762" s="321">
        <v>5.3</v>
      </c>
      <c r="J762" s="260">
        <v>0.1</v>
      </c>
      <c r="L762" s="217">
        <f t="shared" si="33"/>
        <v>2506.88697525</v>
      </c>
      <c r="N762" s="271">
        <f t="shared" si="34"/>
        <v>3634.9861141124998</v>
      </c>
      <c r="P762" s="326">
        <f t="shared" si="35"/>
        <v>4398.333198076125</v>
      </c>
    </row>
    <row r="763" spans="1:16">
      <c r="A763" s="206">
        <v>757</v>
      </c>
      <c r="B763" s="224" t="s">
        <v>3191</v>
      </c>
      <c r="C763" s="224" t="s">
        <v>2682</v>
      </c>
      <c r="D763" s="225" t="s">
        <v>1054</v>
      </c>
      <c r="E763" s="228" t="s">
        <v>1055</v>
      </c>
      <c r="F763" s="226">
        <v>7794334005123</v>
      </c>
      <c r="G763" s="226">
        <v>5</v>
      </c>
      <c r="H763" s="227" t="s">
        <v>1191</v>
      </c>
      <c r="I763" s="321">
        <v>5.3</v>
      </c>
      <c r="J763" s="260">
        <v>0.1</v>
      </c>
      <c r="L763" s="217">
        <f t="shared" si="33"/>
        <v>2506.88697525</v>
      </c>
      <c r="N763" s="271">
        <f t="shared" si="34"/>
        <v>3634.9861141124998</v>
      </c>
      <c r="P763" s="326">
        <f t="shared" si="35"/>
        <v>4398.333198076125</v>
      </c>
    </row>
    <row r="764" spans="1:16">
      <c r="A764" s="206">
        <v>758</v>
      </c>
      <c r="B764" s="224" t="s">
        <v>3191</v>
      </c>
      <c r="C764" s="224" t="s">
        <v>2682</v>
      </c>
      <c r="D764" s="225" t="s">
        <v>1056</v>
      </c>
      <c r="E764" s="228" t="s">
        <v>1057</v>
      </c>
      <c r="F764" s="226">
        <v>7794334005130</v>
      </c>
      <c r="G764" s="226">
        <v>5</v>
      </c>
      <c r="H764" s="227" t="s">
        <v>1191</v>
      </c>
      <c r="I764" s="321">
        <v>5.3</v>
      </c>
      <c r="J764" s="260">
        <v>0.1</v>
      </c>
      <c r="L764" s="217">
        <f t="shared" si="33"/>
        <v>2506.88697525</v>
      </c>
      <c r="N764" s="271">
        <f t="shared" si="34"/>
        <v>3634.9861141124998</v>
      </c>
      <c r="P764" s="326">
        <f t="shared" si="35"/>
        <v>4398.333198076125</v>
      </c>
    </row>
    <row r="765" spans="1:16">
      <c r="A765" s="206">
        <v>759</v>
      </c>
      <c r="B765" s="224" t="s">
        <v>3191</v>
      </c>
      <c r="C765" s="224" t="s">
        <v>2683</v>
      </c>
      <c r="D765" s="225" t="s">
        <v>1080</v>
      </c>
      <c r="E765" s="228" t="s">
        <v>1081</v>
      </c>
      <c r="F765" s="226">
        <v>7794334005062</v>
      </c>
      <c r="G765" s="226">
        <v>5</v>
      </c>
      <c r="H765" s="227" t="s">
        <v>1191</v>
      </c>
      <c r="I765" s="321">
        <v>7.6</v>
      </c>
      <c r="J765" s="260">
        <v>0.1</v>
      </c>
      <c r="L765" s="217">
        <f t="shared" si="33"/>
        <v>3594.7813229999997</v>
      </c>
      <c r="N765" s="271">
        <f t="shared" si="34"/>
        <v>5212.4329183499995</v>
      </c>
      <c r="P765" s="326">
        <f t="shared" si="35"/>
        <v>6307.0438312034994</v>
      </c>
    </row>
    <row r="766" spans="1:16">
      <c r="A766" s="206">
        <v>760</v>
      </c>
      <c r="B766" s="224" t="s">
        <v>3191</v>
      </c>
      <c r="C766" s="224" t="s">
        <v>2683</v>
      </c>
      <c r="D766" s="225" t="s">
        <v>1082</v>
      </c>
      <c r="E766" s="228" t="s">
        <v>1083</v>
      </c>
      <c r="F766" s="226">
        <v>7794334005079</v>
      </c>
      <c r="G766" s="226">
        <v>5</v>
      </c>
      <c r="H766" s="227" t="s">
        <v>1191</v>
      </c>
      <c r="I766" s="321">
        <v>7.6</v>
      </c>
      <c r="J766" s="260">
        <v>0.1</v>
      </c>
      <c r="L766" s="217">
        <f t="shared" si="33"/>
        <v>3594.7813229999997</v>
      </c>
      <c r="N766" s="271">
        <f t="shared" si="34"/>
        <v>5212.4329183499995</v>
      </c>
      <c r="P766" s="326">
        <f t="shared" si="35"/>
        <v>6307.0438312034994</v>
      </c>
    </row>
    <row r="767" spans="1:16">
      <c r="A767" s="206">
        <v>761</v>
      </c>
      <c r="B767" s="224" t="s">
        <v>3191</v>
      </c>
      <c r="C767" s="224" t="s">
        <v>2683</v>
      </c>
      <c r="D767" s="225" t="s">
        <v>1084</v>
      </c>
      <c r="E767" s="228" t="s">
        <v>1085</v>
      </c>
      <c r="F767" s="226">
        <v>7794334005086</v>
      </c>
      <c r="G767" s="226">
        <v>5</v>
      </c>
      <c r="H767" s="227" t="s">
        <v>1191</v>
      </c>
      <c r="I767" s="321">
        <v>7.6</v>
      </c>
      <c r="J767" s="260">
        <v>0.1</v>
      </c>
      <c r="L767" s="217">
        <f t="shared" si="33"/>
        <v>3594.7813229999997</v>
      </c>
      <c r="N767" s="271">
        <f t="shared" si="34"/>
        <v>5212.4329183499995</v>
      </c>
      <c r="P767" s="326">
        <f t="shared" si="35"/>
        <v>6307.0438312034994</v>
      </c>
    </row>
    <row r="768" spans="1:16">
      <c r="A768" s="206">
        <v>762</v>
      </c>
      <c r="B768" s="224" t="s">
        <v>3191</v>
      </c>
      <c r="C768" s="224" t="s">
        <v>2683</v>
      </c>
      <c r="D768" s="225" t="s">
        <v>1086</v>
      </c>
      <c r="E768" s="228" t="s">
        <v>1087</v>
      </c>
      <c r="F768" s="226">
        <v>7794334005093</v>
      </c>
      <c r="G768" s="226">
        <v>5</v>
      </c>
      <c r="H768" s="227" t="s">
        <v>1191</v>
      </c>
      <c r="I768" s="321">
        <v>7.6</v>
      </c>
      <c r="J768" s="260">
        <v>0.1</v>
      </c>
      <c r="L768" s="217">
        <f t="shared" si="33"/>
        <v>3594.7813229999997</v>
      </c>
      <c r="N768" s="271">
        <f t="shared" si="34"/>
        <v>5212.4329183499995</v>
      </c>
      <c r="P768" s="326">
        <f t="shared" si="35"/>
        <v>6307.0438312034994</v>
      </c>
    </row>
    <row r="769" spans="1:16">
      <c r="A769" s="206">
        <v>763</v>
      </c>
      <c r="B769" s="224" t="s">
        <v>3191</v>
      </c>
      <c r="C769" s="224" t="s">
        <v>2683</v>
      </c>
      <c r="D769" s="225" t="s">
        <v>1064</v>
      </c>
      <c r="E769" s="228" t="s">
        <v>1065</v>
      </c>
      <c r="F769" s="226">
        <v>7794334008216</v>
      </c>
      <c r="G769" s="226">
        <v>5</v>
      </c>
      <c r="H769" s="227" t="s">
        <v>1191</v>
      </c>
      <c r="I769" s="321">
        <v>7.6</v>
      </c>
      <c r="J769" s="260">
        <v>0.1</v>
      </c>
      <c r="L769" s="217">
        <f t="shared" si="33"/>
        <v>3594.7813229999997</v>
      </c>
      <c r="N769" s="271">
        <f t="shared" si="34"/>
        <v>5212.4329183499995</v>
      </c>
      <c r="P769" s="326">
        <f t="shared" si="35"/>
        <v>6307.0438312034994</v>
      </c>
    </row>
    <row r="770" spans="1:16">
      <c r="A770" s="206">
        <v>764</v>
      </c>
      <c r="B770" s="224" t="s">
        <v>3191</v>
      </c>
      <c r="C770" s="224" t="s">
        <v>2683</v>
      </c>
      <c r="D770" s="225" t="s">
        <v>1066</v>
      </c>
      <c r="E770" s="228" t="s">
        <v>1067</v>
      </c>
      <c r="F770" s="226">
        <v>7794334008223</v>
      </c>
      <c r="G770" s="226">
        <v>5</v>
      </c>
      <c r="H770" s="227" t="s">
        <v>1191</v>
      </c>
      <c r="I770" s="321">
        <v>7.6</v>
      </c>
      <c r="J770" s="260">
        <v>0.1</v>
      </c>
      <c r="L770" s="217">
        <f t="shared" si="33"/>
        <v>3594.7813229999997</v>
      </c>
      <c r="N770" s="271">
        <f t="shared" si="34"/>
        <v>5212.4329183499995</v>
      </c>
      <c r="P770" s="326">
        <f t="shared" si="35"/>
        <v>6307.0438312034994</v>
      </c>
    </row>
    <row r="771" spans="1:16">
      <c r="A771" s="206">
        <v>765</v>
      </c>
      <c r="B771" s="224" t="s">
        <v>3191</v>
      </c>
      <c r="C771" s="224" t="s">
        <v>2683</v>
      </c>
      <c r="D771" s="225" t="s">
        <v>1068</v>
      </c>
      <c r="E771" s="228" t="s">
        <v>1069</v>
      </c>
      <c r="F771" s="226">
        <v>7794334008230</v>
      </c>
      <c r="G771" s="226">
        <v>5</v>
      </c>
      <c r="H771" s="227" t="s">
        <v>1191</v>
      </c>
      <c r="I771" s="321">
        <v>7.6</v>
      </c>
      <c r="J771" s="260">
        <v>0.1</v>
      </c>
      <c r="L771" s="217">
        <f t="shared" si="33"/>
        <v>3594.7813229999997</v>
      </c>
      <c r="N771" s="271">
        <f t="shared" si="34"/>
        <v>5212.4329183499995</v>
      </c>
      <c r="P771" s="326">
        <f t="shared" si="35"/>
        <v>6307.0438312034994</v>
      </c>
    </row>
    <row r="772" spans="1:16">
      <c r="A772" s="206">
        <v>766</v>
      </c>
      <c r="B772" s="224" t="s">
        <v>3191</v>
      </c>
      <c r="C772" s="224" t="s">
        <v>2683</v>
      </c>
      <c r="D772" s="225" t="s">
        <v>1070</v>
      </c>
      <c r="E772" s="228" t="s">
        <v>1071</v>
      </c>
      <c r="F772" s="226">
        <v>7794334008247</v>
      </c>
      <c r="G772" s="226">
        <v>5</v>
      </c>
      <c r="H772" s="227" t="s">
        <v>1191</v>
      </c>
      <c r="I772" s="321">
        <v>7.6</v>
      </c>
      <c r="J772" s="260">
        <v>0.1</v>
      </c>
      <c r="L772" s="217">
        <f t="shared" si="33"/>
        <v>3594.7813229999997</v>
      </c>
      <c r="N772" s="271">
        <f t="shared" si="34"/>
        <v>5212.4329183499995</v>
      </c>
      <c r="P772" s="326">
        <f t="shared" si="35"/>
        <v>6307.0438312034994</v>
      </c>
    </row>
    <row r="773" spans="1:16">
      <c r="A773" s="206">
        <v>767</v>
      </c>
      <c r="B773" s="224" t="s">
        <v>3191</v>
      </c>
      <c r="C773" s="224" t="s">
        <v>2685</v>
      </c>
      <c r="D773" s="225" t="s">
        <v>1098</v>
      </c>
      <c r="E773" s="228" t="s">
        <v>1099</v>
      </c>
      <c r="F773" s="226">
        <v>7794334242320</v>
      </c>
      <c r="G773" s="226">
        <v>5</v>
      </c>
      <c r="H773" s="227" t="s">
        <v>1191</v>
      </c>
      <c r="I773" s="321">
        <v>3.4</v>
      </c>
      <c r="J773" s="260">
        <v>0.1</v>
      </c>
      <c r="L773" s="217">
        <f t="shared" si="33"/>
        <v>1608.1916444999999</v>
      </c>
      <c r="N773" s="271">
        <f t="shared" si="34"/>
        <v>2331.8778845249999</v>
      </c>
      <c r="P773" s="326">
        <f t="shared" si="35"/>
        <v>2821.5722402752499</v>
      </c>
    </row>
    <row r="774" spans="1:16">
      <c r="A774" s="206">
        <v>768</v>
      </c>
      <c r="B774" s="175" t="s">
        <v>1198</v>
      </c>
      <c r="C774" s="175" t="s">
        <v>2690</v>
      </c>
      <c r="D774" s="3" t="s">
        <v>2729</v>
      </c>
      <c r="E774" s="191" t="s">
        <v>2723</v>
      </c>
      <c r="F774" s="221">
        <v>7794334243112</v>
      </c>
      <c r="G774" s="221">
        <v>10</v>
      </c>
      <c r="H774" s="5" t="s">
        <v>1191</v>
      </c>
      <c r="I774" s="204">
        <v>3.42</v>
      </c>
      <c r="J774" s="260">
        <v>0.1</v>
      </c>
      <c r="L774" s="217">
        <f t="shared" si="33"/>
        <v>1617.6515953499998</v>
      </c>
      <c r="N774" s="271">
        <f t="shared" si="34"/>
        <v>2345.5948132574995</v>
      </c>
      <c r="P774" s="326">
        <f t="shared" si="35"/>
        <v>2838.1697240415742</v>
      </c>
    </row>
    <row r="775" spans="1:16">
      <c r="A775" s="206">
        <v>769</v>
      </c>
      <c r="B775" s="175" t="s">
        <v>1198</v>
      </c>
      <c r="C775" s="175" t="s">
        <v>2690</v>
      </c>
      <c r="D775" s="3" t="s">
        <v>2730</v>
      </c>
      <c r="E775" s="191" t="s">
        <v>2724</v>
      </c>
      <c r="F775" s="221">
        <v>7794334243105</v>
      </c>
      <c r="G775" s="221">
        <v>10</v>
      </c>
      <c r="H775" s="5" t="s">
        <v>1191</v>
      </c>
      <c r="I775" s="204">
        <v>3.42</v>
      </c>
      <c r="J775" s="260">
        <v>0.1</v>
      </c>
      <c r="L775" s="217">
        <f t="shared" si="33"/>
        <v>1617.6515953499998</v>
      </c>
      <c r="N775" s="271">
        <f t="shared" si="34"/>
        <v>2345.5948132574995</v>
      </c>
      <c r="P775" s="326">
        <f t="shared" si="35"/>
        <v>2838.1697240415742</v>
      </c>
    </row>
    <row r="776" spans="1:16">
      <c r="A776" s="206">
        <v>770</v>
      </c>
      <c r="B776" s="175" t="s">
        <v>1198</v>
      </c>
      <c r="C776" s="175" t="s">
        <v>2690</v>
      </c>
      <c r="D776" s="3" t="s">
        <v>2731</v>
      </c>
      <c r="E776" s="191" t="s">
        <v>2725</v>
      </c>
      <c r="F776" s="221">
        <v>7794334243099</v>
      </c>
      <c r="G776" s="221">
        <v>10</v>
      </c>
      <c r="H776" s="5" t="s">
        <v>1191</v>
      </c>
      <c r="I776" s="204">
        <v>3.42</v>
      </c>
      <c r="J776" s="260">
        <v>0.1</v>
      </c>
      <c r="L776" s="217">
        <f t="shared" ref="L776:L839" si="36">+I776*$F$2*$F$3*$F$4*$F$5</f>
        <v>1617.6515953499998</v>
      </c>
      <c r="N776" s="271">
        <f t="shared" si="34"/>
        <v>2345.5948132574995</v>
      </c>
      <c r="P776" s="326">
        <f t="shared" si="35"/>
        <v>2838.1697240415742</v>
      </c>
    </row>
    <row r="777" spans="1:16">
      <c r="A777" s="206">
        <v>771</v>
      </c>
      <c r="B777" s="175" t="s">
        <v>1198</v>
      </c>
      <c r="C777" s="175" t="s">
        <v>2690</v>
      </c>
      <c r="D777" s="3" t="s">
        <v>2732</v>
      </c>
      <c r="E777" s="191" t="s">
        <v>2726</v>
      </c>
      <c r="F777" s="221">
        <v>7794334243082</v>
      </c>
      <c r="G777" s="221">
        <v>10</v>
      </c>
      <c r="H777" s="5" t="s">
        <v>1191</v>
      </c>
      <c r="I777" s="204">
        <v>3.42</v>
      </c>
      <c r="J777" s="260">
        <v>0.1</v>
      </c>
      <c r="L777" s="217">
        <f t="shared" si="36"/>
        <v>1617.6515953499998</v>
      </c>
      <c r="N777" s="271">
        <f t="shared" ref="N777:N840" si="37">+L777*1.45</f>
        <v>2345.5948132574995</v>
      </c>
      <c r="P777" s="326">
        <f t="shared" ref="P777:P840" si="38">+N777*1.21</f>
        <v>2838.1697240415742</v>
      </c>
    </row>
    <row r="778" spans="1:16">
      <c r="A778" s="206">
        <v>772</v>
      </c>
      <c r="B778" s="175" t="s">
        <v>1198</v>
      </c>
      <c r="C778" s="175" t="s">
        <v>2690</v>
      </c>
      <c r="D778" s="3" t="s">
        <v>2733</v>
      </c>
      <c r="E778" s="191" t="s">
        <v>2727</v>
      </c>
      <c r="F778" s="221">
        <v>7794334243075</v>
      </c>
      <c r="G778" s="221">
        <v>10</v>
      </c>
      <c r="H778" s="5" t="s">
        <v>1191</v>
      </c>
      <c r="I778" s="204">
        <v>3.42</v>
      </c>
      <c r="J778" s="260">
        <v>0.1</v>
      </c>
      <c r="L778" s="217">
        <f t="shared" si="36"/>
        <v>1617.6515953499998</v>
      </c>
      <c r="N778" s="271">
        <f t="shared" si="37"/>
        <v>2345.5948132574995</v>
      </c>
      <c r="P778" s="326">
        <f t="shared" si="38"/>
        <v>2838.1697240415742</v>
      </c>
    </row>
    <row r="779" spans="1:16">
      <c r="A779" s="206">
        <v>773</v>
      </c>
      <c r="B779" s="175" t="s">
        <v>1198</v>
      </c>
      <c r="C779" s="175" t="s">
        <v>2690</v>
      </c>
      <c r="D779" s="3" t="s">
        <v>2734</v>
      </c>
      <c r="E779" s="191" t="s">
        <v>2728</v>
      </c>
      <c r="F779" s="221">
        <v>7794334243068</v>
      </c>
      <c r="G779" s="221">
        <v>10</v>
      </c>
      <c r="H779" s="5" t="s">
        <v>1191</v>
      </c>
      <c r="I779" s="204">
        <v>3.42</v>
      </c>
      <c r="J779" s="260">
        <v>0.1</v>
      </c>
      <c r="L779" s="217">
        <f t="shared" si="36"/>
        <v>1617.6515953499998</v>
      </c>
      <c r="N779" s="271">
        <f t="shared" si="37"/>
        <v>2345.5948132574995</v>
      </c>
      <c r="P779" s="326">
        <f t="shared" si="38"/>
        <v>2838.1697240415742</v>
      </c>
    </row>
    <row r="780" spans="1:16">
      <c r="A780" s="206">
        <v>774</v>
      </c>
      <c r="B780" s="175" t="s">
        <v>1198</v>
      </c>
      <c r="C780" s="175" t="s">
        <v>2690</v>
      </c>
      <c r="D780" s="3" t="s">
        <v>2735</v>
      </c>
      <c r="E780" s="191" t="s">
        <v>2736</v>
      </c>
      <c r="F780" s="221">
        <v>7794334243402</v>
      </c>
      <c r="G780" s="221">
        <v>5</v>
      </c>
      <c r="H780" s="5" t="s">
        <v>1191</v>
      </c>
      <c r="I780" s="204">
        <v>7.65</v>
      </c>
      <c r="J780" s="260">
        <v>0.1</v>
      </c>
      <c r="L780" s="217">
        <f t="shared" si="36"/>
        <v>3618.4312001249996</v>
      </c>
      <c r="N780" s="271">
        <f t="shared" si="37"/>
        <v>5246.7252401812493</v>
      </c>
      <c r="P780" s="326">
        <f t="shared" si="38"/>
        <v>6348.5375406193116</v>
      </c>
    </row>
    <row r="781" spans="1:16">
      <c r="A781" s="206">
        <v>775</v>
      </c>
      <c r="B781" s="175" t="s">
        <v>1198</v>
      </c>
      <c r="C781" s="175" t="s">
        <v>2690</v>
      </c>
      <c r="D781" s="3" t="s">
        <v>2737</v>
      </c>
      <c r="E781" s="191" t="s">
        <v>2738</v>
      </c>
      <c r="F781" s="221">
        <v>7794334243419</v>
      </c>
      <c r="G781" s="221">
        <v>5</v>
      </c>
      <c r="H781" s="5" t="s">
        <v>1191</v>
      </c>
      <c r="I781" s="204">
        <v>7.65</v>
      </c>
      <c r="J781" s="260">
        <v>0.1</v>
      </c>
      <c r="L781" s="217">
        <f t="shared" si="36"/>
        <v>3618.4312001249996</v>
      </c>
      <c r="N781" s="271">
        <f t="shared" si="37"/>
        <v>5246.7252401812493</v>
      </c>
      <c r="P781" s="326">
        <f t="shared" si="38"/>
        <v>6348.5375406193116</v>
      </c>
    </row>
    <row r="782" spans="1:16">
      <c r="A782" s="206">
        <v>776</v>
      </c>
      <c r="B782" s="224" t="s">
        <v>3191</v>
      </c>
      <c r="C782" s="224" t="s">
        <v>2685</v>
      </c>
      <c r="D782" s="225" t="s">
        <v>1100</v>
      </c>
      <c r="E782" s="228" t="s">
        <v>1101</v>
      </c>
      <c r="F782" s="226">
        <v>7794334005154</v>
      </c>
      <c r="G782" s="226">
        <v>5</v>
      </c>
      <c r="H782" s="227" t="s">
        <v>1191</v>
      </c>
      <c r="I782" s="321">
        <v>6</v>
      </c>
      <c r="J782" s="260">
        <v>0.1</v>
      </c>
      <c r="L782" s="217">
        <f t="shared" si="36"/>
        <v>2837.9852550000001</v>
      </c>
      <c r="N782" s="271">
        <f t="shared" si="37"/>
        <v>4115.0786197500001</v>
      </c>
      <c r="P782" s="326">
        <f t="shared" si="38"/>
        <v>4979.2451298975002</v>
      </c>
    </row>
    <row r="783" spans="1:16">
      <c r="A783" s="206">
        <v>777</v>
      </c>
      <c r="B783" s="175" t="s">
        <v>1198</v>
      </c>
      <c r="C783" s="175" t="s">
        <v>2690</v>
      </c>
      <c r="D783" s="3" t="s">
        <v>2739</v>
      </c>
      <c r="E783" s="191" t="s">
        <v>2740</v>
      </c>
      <c r="F783" s="221">
        <v>7794334243426</v>
      </c>
      <c r="G783" s="221">
        <v>5</v>
      </c>
      <c r="H783" s="5" t="s">
        <v>1191</v>
      </c>
      <c r="I783" s="204">
        <v>7.65</v>
      </c>
      <c r="J783" s="260">
        <v>0.1</v>
      </c>
      <c r="L783" s="217">
        <f t="shared" si="36"/>
        <v>3618.4312001249996</v>
      </c>
      <c r="N783" s="271">
        <f t="shared" si="37"/>
        <v>5246.7252401812493</v>
      </c>
      <c r="P783" s="326">
        <f t="shared" si="38"/>
        <v>6348.5375406193116</v>
      </c>
    </row>
    <row r="784" spans="1:16">
      <c r="A784" s="206">
        <v>778</v>
      </c>
      <c r="B784" s="175" t="s">
        <v>1198</v>
      </c>
      <c r="C784" s="175" t="s">
        <v>2690</v>
      </c>
      <c r="D784" s="3" t="s">
        <v>2741</v>
      </c>
      <c r="E784" s="191" t="s">
        <v>2742</v>
      </c>
      <c r="F784" s="221">
        <v>7794334243433</v>
      </c>
      <c r="G784" s="221">
        <v>5</v>
      </c>
      <c r="H784" s="5" t="s">
        <v>1191</v>
      </c>
      <c r="I784" s="204">
        <v>7.65</v>
      </c>
      <c r="J784" s="260">
        <v>0.1</v>
      </c>
      <c r="L784" s="217">
        <f t="shared" si="36"/>
        <v>3618.4312001249996</v>
      </c>
      <c r="N784" s="271">
        <f t="shared" si="37"/>
        <v>5246.7252401812493</v>
      </c>
      <c r="P784" s="326">
        <f t="shared" si="38"/>
        <v>6348.5375406193116</v>
      </c>
    </row>
    <row r="785" spans="1:16">
      <c r="A785" s="206">
        <v>779</v>
      </c>
      <c r="B785" s="175" t="s">
        <v>1198</v>
      </c>
      <c r="C785" s="175" t="s">
        <v>2690</v>
      </c>
      <c r="D785" s="3" t="s">
        <v>2743</v>
      </c>
      <c r="E785" s="191" t="s">
        <v>2744</v>
      </c>
      <c r="F785" s="221">
        <v>7794334243440</v>
      </c>
      <c r="G785" s="221">
        <v>5</v>
      </c>
      <c r="H785" s="5" t="s">
        <v>1191</v>
      </c>
      <c r="I785" s="204">
        <v>7.65</v>
      </c>
      <c r="J785" s="260">
        <v>0.1</v>
      </c>
      <c r="L785" s="217">
        <f t="shared" si="36"/>
        <v>3618.4312001249996</v>
      </c>
      <c r="N785" s="271">
        <f t="shared" si="37"/>
        <v>5246.7252401812493</v>
      </c>
      <c r="P785" s="326">
        <f t="shared" si="38"/>
        <v>6348.5375406193116</v>
      </c>
    </row>
    <row r="786" spans="1:16">
      <c r="A786" s="206">
        <v>780</v>
      </c>
      <c r="B786" s="175" t="s">
        <v>1198</v>
      </c>
      <c r="C786" s="175" t="s">
        <v>2690</v>
      </c>
      <c r="D786" s="3" t="s">
        <v>2745</v>
      </c>
      <c r="E786" s="191" t="s">
        <v>2746</v>
      </c>
      <c r="F786" s="221">
        <v>7794334243457</v>
      </c>
      <c r="G786" s="221">
        <v>5</v>
      </c>
      <c r="H786" s="5" t="s">
        <v>1191</v>
      </c>
      <c r="I786" s="204">
        <v>7.65</v>
      </c>
      <c r="J786" s="260">
        <v>0.1</v>
      </c>
      <c r="L786" s="217">
        <f t="shared" si="36"/>
        <v>3618.4312001249996</v>
      </c>
      <c r="N786" s="271">
        <f t="shared" si="37"/>
        <v>5246.7252401812493</v>
      </c>
      <c r="P786" s="326">
        <f t="shared" si="38"/>
        <v>6348.5375406193116</v>
      </c>
    </row>
    <row r="787" spans="1:16">
      <c r="A787" s="206">
        <v>781</v>
      </c>
      <c r="B787" s="175" t="s">
        <v>3201</v>
      </c>
      <c r="C787" s="175" t="s">
        <v>3202</v>
      </c>
      <c r="D787" s="3" t="s">
        <v>3579</v>
      </c>
      <c r="E787" s="191" t="s">
        <v>3580</v>
      </c>
      <c r="F787" s="221">
        <v>7798184155410</v>
      </c>
      <c r="G787" s="221">
        <v>12</v>
      </c>
      <c r="H787" s="5" t="s">
        <v>1191</v>
      </c>
      <c r="I787" s="204">
        <v>1.25</v>
      </c>
      <c r="J787" s="260">
        <v>0.1</v>
      </c>
      <c r="L787" s="217">
        <f t="shared" si="36"/>
        <v>591.24692812500007</v>
      </c>
      <c r="N787" s="271">
        <f t="shared" si="37"/>
        <v>857.30804578125003</v>
      </c>
      <c r="P787" s="326">
        <f t="shared" si="38"/>
        <v>1037.3427353953125</v>
      </c>
    </row>
    <row r="788" spans="1:16">
      <c r="A788" s="206">
        <v>782</v>
      </c>
      <c r="B788" s="175" t="s">
        <v>3201</v>
      </c>
      <c r="C788" s="175" t="s">
        <v>3202</v>
      </c>
      <c r="D788" s="3" t="s">
        <v>3581</v>
      </c>
      <c r="E788" s="191" t="s">
        <v>3582</v>
      </c>
      <c r="F788" s="221">
        <v>7798184155427</v>
      </c>
      <c r="G788" s="221">
        <v>12</v>
      </c>
      <c r="H788" s="5" t="s">
        <v>1191</v>
      </c>
      <c r="I788" s="204">
        <v>1.66</v>
      </c>
      <c r="J788" s="260">
        <v>0.1</v>
      </c>
      <c r="L788" s="217">
        <f t="shared" si="36"/>
        <v>785.17592054999989</v>
      </c>
      <c r="N788" s="271">
        <f t="shared" si="37"/>
        <v>1138.5050847974999</v>
      </c>
      <c r="P788" s="326">
        <f t="shared" si="38"/>
        <v>1377.5911526049749</v>
      </c>
    </row>
    <row r="789" spans="1:16">
      <c r="A789" s="206">
        <v>783</v>
      </c>
      <c r="B789" s="175" t="s">
        <v>3201</v>
      </c>
      <c r="C789" s="175" t="s">
        <v>3202</v>
      </c>
      <c r="D789" s="3" t="s">
        <v>3583</v>
      </c>
      <c r="E789" s="191" t="s">
        <v>3584</v>
      </c>
      <c r="F789" s="221">
        <v>7798184155434</v>
      </c>
      <c r="G789" s="221">
        <v>12</v>
      </c>
      <c r="H789" s="5" t="s">
        <v>1191</v>
      </c>
      <c r="I789" s="204">
        <v>2.02</v>
      </c>
      <c r="J789" s="260">
        <v>0.1</v>
      </c>
      <c r="L789" s="217">
        <f t="shared" si="36"/>
        <v>955.45503585000006</v>
      </c>
      <c r="N789" s="271">
        <f t="shared" si="37"/>
        <v>1385.4098019825001</v>
      </c>
      <c r="P789" s="326">
        <f t="shared" si="38"/>
        <v>1676.3458603988252</v>
      </c>
    </row>
    <row r="790" spans="1:16">
      <c r="A790" s="206">
        <v>784</v>
      </c>
      <c r="B790" s="175" t="s">
        <v>3201</v>
      </c>
      <c r="C790" s="175" t="s">
        <v>3202</v>
      </c>
      <c r="D790" s="3" t="s">
        <v>3585</v>
      </c>
      <c r="E790" s="191" t="s">
        <v>3586</v>
      </c>
      <c r="F790" s="221">
        <v>7798184155441</v>
      </c>
      <c r="G790" s="221">
        <v>12</v>
      </c>
      <c r="H790" s="5" t="s">
        <v>1191</v>
      </c>
      <c r="I790" s="204">
        <v>2.75</v>
      </c>
      <c r="J790" s="260">
        <v>0.1</v>
      </c>
      <c r="L790" s="217">
        <f t="shared" si="36"/>
        <v>1300.743241875</v>
      </c>
      <c r="N790" s="271">
        <f t="shared" si="37"/>
        <v>1886.0777007187498</v>
      </c>
      <c r="P790" s="326">
        <f t="shared" si="38"/>
        <v>2282.1540178696873</v>
      </c>
    </row>
    <row r="791" spans="1:16">
      <c r="A791" s="206">
        <v>785</v>
      </c>
      <c r="B791" s="175" t="s">
        <v>3201</v>
      </c>
      <c r="C791" s="175" t="s">
        <v>3202</v>
      </c>
      <c r="D791" s="3" t="s">
        <v>3587</v>
      </c>
      <c r="E791" s="191" t="s">
        <v>3588</v>
      </c>
      <c r="F791" s="221">
        <v>7798184155458</v>
      </c>
      <c r="G791" s="221">
        <v>12</v>
      </c>
      <c r="H791" s="5" t="s">
        <v>1191</v>
      </c>
      <c r="I791" s="204">
        <v>3.3</v>
      </c>
      <c r="J791" s="260">
        <v>0.1</v>
      </c>
      <c r="L791" s="217">
        <f t="shared" si="36"/>
        <v>1560.89189025</v>
      </c>
      <c r="N791" s="271">
        <f t="shared" si="37"/>
        <v>2263.2932408624997</v>
      </c>
      <c r="P791" s="326">
        <f t="shared" si="38"/>
        <v>2738.5848214436246</v>
      </c>
    </row>
    <row r="792" spans="1:16">
      <c r="A792" s="206">
        <v>786</v>
      </c>
      <c r="B792" s="175" t="s">
        <v>3201</v>
      </c>
      <c r="C792" s="175" t="s">
        <v>3202</v>
      </c>
      <c r="D792" s="3" t="s">
        <v>3203</v>
      </c>
      <c r="E792" s="191" t="s">
        <v>3204</v>
      </c>
      <c r="F792" s="264">
        <v>7799110000040</v>
      </c>
      <c r="G792" s="221">
        <v>12</v>
      </c>
      <c r="H792" s="5" t="s">
        <v>1191</v>
      </c>
      <c r="I792" s="204">
        <v>1.29</v>
      </c>
      <c r="J792" s="260">
        <v>0.1</v>
      </c>
      <c r="L792" s="217">
        <f t="shared" si="36"/>
        <v>610.16682982499992</v>
      </c>
      <c r="N792" s="271">
        <f t="shared" si="37"/>
        <v>884.74190324624988</v>
      </c>
      <c r="P792" s="326">
        <f t="shared" si="38"/>
        <v>1070.5377029279623</v>
      </c>
    </row>
    <row r="793" spans="1:16">
      <c r="A793" s="206">
        <v>787</v>
      </c>
      <c r="B793" s="175" t="s">
        <v>3201</v>
      </c>
      <c r="C793" s="175" t="s">
        <v>3202</v>
      </c>
      <c r="D793" s="3" t="s">
        <v>3205</v>
      </c>
      <c r="E793" s="191" t="s">
        <v>3206</v>
      </c>
      <c r="F793" s="264">
        <v>7799110000057</v>
      </c>
      <c r="G793" s="221">
        <v>12</v>
      </c>
      <c r="H793" s="5" t="s">
        <v>1191</v>
      </c>
      <c r="I793" s="204">
        <v>1.72</v>
      </c>
      <c r="J793" s="260">
        <v>0.1</v>
      </c>
      <c r="L793" s="217">
        <f t="shared" si="36"/>
        <v>813.55577310000001</v>
      </c>
      <c r="N793" s="271">
        <f t="shared" si="37"/>
        <v>1179.655870995</v>
      </c>
      <c r="P793" s="326">
        <f t="shared" si="38"/>
        <v>1427.38360390395</v>
      </c>
    </row>
    <row r="794" spans="1:16">
      <c r="A794" s="206">
        <v>788</v>
      </c>
      <c r="B794" s="175" t="s">
        <v>3201</v>
      </c>
      <c r="C794" s="175" t="s">
        <v>3202</v>
      </c>
      <c r="D794" s="3" t="s">
        <v>3207</v>
      </c>
      <c r="E794" s="191" t="s">
        <v>3208</v>
      </c>
      <c r="F794" s="264">
        <v>7799110000064</v>
      </c>
      <c r="G794" s="221">
        <v>6</v>
      </c>
      <c r="H794" s="5" t="s">
        <v>1191</v>
      </c>
      <c r="I794" s="204">
        <v>2.1</v>
      </c>
      <c r="J794" s="260">
        <v>0.1</v>
      </c>
      <c r="L794" s="217">
        <f t="shared" si="36"/>
        <v>993.29483924999977</v>
      </c>
      <c r="N794" s="271">
        <f t="shared" si="37"/>
        <v>1440.2775169124996</v>
      </c>
      <c r="P794" s="326">
        <f t="shared" si="38"/>
        <v>1742.7357954641243</v>
      </c>
    </row>
    <row r="795" spans="1:16">
      <c r="A795" s="206">
        <v>789</v>
      </c>
      <c r="B795" s="175" t="s">
        <v>3201</v>
      </c>
      <c r="C795" s="175" t="s">
        <v>3202</v>
      </c>
      <c r="D795" s="3" t="s">
        <v>3209</v>
      </c>
      <c r="E795" s="191" t="s">
        <v>3210</v>
      </c>
      <c r="F795" s="264">
        <v>7799110000071</v>
      </c>
      <c r="G795" s="221">
        <v>6</v>
      </c>
      <c r="H795" s="5" t="s">
        <v>1191</v>
      </c>
      <c r="I795" s="204">
        <v>2.8</v>
      </c>
      <c r="J795" s="260">
        <v>0.1</v>
      </c>
      <c r="L795" s="217">
        <f t="shared" si="36"/>
        <v>1324.3931189999998</v>
      </c>
      <c r="N795" s="271">
        <f t="shared" si="37"/>
        <v>1920.3700225499997</v>
      </c>
      <c r="P795" s="326">
        <f t="shared" si="38"/>
        <v>2323.6477272854995</v>
      </c>
    </row>
    <row r="796" spans="1:16">
      <c r="A796" s="206">
        <v>790</v>
      </c>
      <c r="B796" s="175" t="s">
        <v>3201</v>
      </c>
      <c r="C796" s="175" t="s">
        <v>3202</v>
      </c>
      <c r="D796" s="3" t="s">
        <v>3211</v>
      </c>
      <c r="E796" s="191" t="s">
        <v>3212</v>
      </c>
      <c r="F796" s="264">
        <v>7799110000088</v>
      </c>
      <c r="G796" s="221">
        <v>6</v>
      </c>
      <c r="H796" s="5" t="s">
        <v>1191</v>
      </c>
      <c r="I796" s="204">
        <v>3.38</v>
      </c>
      <c r="J796" s="260">
        <v>0.1</v>
      </c>
      <c r="L796" s="217">
        <f t="shared" si="36"/>
        <v>1598.7316936499997</v>
      </c>
      <c r="N796" s="271">
        <f t="shared" si="37"/>
        <v>2318.1609557924994</v>
      </c>
      <c r="P796" s="326">
        <f t="shared" si="38"/>
        <v>2804.9747565089242</v>
      </c>
    </row>
    <row r="797" spans="1:16">
      <c r="A797" s="206">
        <v>791</v>
      </c>
      <c r="B797" s="175" t="s">
        <v>3201</v>
      </c>
      <c r="C797" s="175" t="s">
        <v>3202</v>
      </c>
      <c r="D797" s="3" t="s">
        <v>3213</v>
      </c>
      <c r="E797" s="191" t="s">
        <v>3214</v>
      </c>
      <c r="F797" s="264">
        <v>7799110000101</v>
      </c>
      <c r="G797" s="221">
        <v>12</v>
      </c>
      <c r="H797" s="5" t="s">
        <v>1191</v>
      </c>
      <c r="I797" s="204">
        <v>1.6</v>
      </c>
      <c r="J797" s="260">
        <v>0.1</v>
      </c>
      <c r="L797" s="217">
        <f t="shared" si="36"/>
        <v>756.79606799999999</v>
      </c>
      <c r="N797" s="271">
        <f t="shared" si="37"/>
        <v>1097.3542986</v>
      </c>
      <c r="P797" s="326">
        <f t="shared" si="38"/>
        <v>1327.7987013059999</v>
      </c>
    </row>
    <row r="798" spans="1:16">
      <c r="A798" s="206">
        <v>792</v>
      </c>
      <c r="B798" s="175" t="s">
        <v>3201</v>
      </c>
      <c r="C798" s="175" t="s">
        <v>3202</v>
      </c>
      <c r="D798" s="3" t="s">
        <v>3215</v>
      </c>
      <c r="E798" s="191" t="s">
        <v>3216</v>
      </c>
      <c r="F798" s="264">
        <v>7799110000118</v>
      </c>
      <c r="G798" s="221">
        <v>12</v>
      </c>
      <c r="H798" s="5" t="s">
        <v>1191</v>
      </c>
      <c r="I798" s="204">
        <v>2.36</v>
      </c>
      <c r="J798" s="260">
        <v>0.1</v>
      </c>
      <c r="L798" s="217">
        <f t="shared" si="36"/>
        <v>1116.2742003000001</v>
      </c>
      <c r="N798" s="271">
        <f t="shared" si="37"/>
        <v>1618.597590435</v>
      </c>
      <c r="P798" s="326">
        <f t="shared" si="38"/>
        <v>1958.5030844263499</v>
      </c>
    </row>
    <row r="799" spans="1:16">
      <c r="A799" s="206">
        <v>793</v>
      </c>
      <c r="B799" s="175" t="s">
        <v>3201</v>
      </c>
      <c r="C799" s="175" t="s">
        <v>3202</v>
      </c>
      <c r="D799" s="3" t="s">
        <v>3217</v>
      </c>
      <c r="E799" s="191" t="s">
        <v>3218</v>
      </c>
      <c r="F799" s="264">
        <v>7799110000125</v>
      </c>
      <c r="G799" s="221">
        <v>6</v>
      </c>
      <c r="H799" s="5" t="s">
        <v>1191</v>
      </c>
      <c r="I799" s="204">
        <v>3.05</v>
      </c>
      <c r="J799" s="260">
        <v>0.1</v>
      </c>
      <c r="L799" s="217">
        <f t="shared" si="36"/>
        <v>1442.6425046249997</v>
      </c>
      <c r="N799" s="271">
        <f t="shared" si="37"/>
        <v>2091.8316317062495</v>
      </c>
      <c r="P799" s="326">
        <f t="shared" si="38"/>
        <v>2531.1162743645618</v>
      </c>
    </row>
    <row r="800" spans="1:16">
      <c r="A800" s="206">
        <v>794</v>
      </c>
      <c r="B800" s="175" t="s">
        <v>3201</v>
      </c>
      <c r="C800" s="175" t="s">
        <v>3202</v>
      </c>
      <c r="D800" s="3" t="s">
        <v>3219</v>
      </c>
      <c r="E800" s="191" t="s">
        <v>3220</v>
      </c>
      <c r="F800" s="264">
        <v>7799110000149</v>
      </c>
      <c r="G800" s="221">
        <v>6</v>
      </c>
      <c r="H800" s="5" t="s">
        <v>1191</v>
      </c>
      <c r="I800" s="204">
        <v>4.05</v>
      </c>
      <c r="J800" s="260">
        <v>0.1</v>
      </c>
      <c r="L800" s="217">
        <f t="shared" si="36"/>
        <v>1915.6400471249997</v>
      </c>
      <c r="N800" s="271">
        <f t="shared" si="37"/>
        <v>2777.6780683312495</v>
      </c>
      <c r="P800" s="326">
        <f t="shared" si="38"/>
        <v>3360.990462680812</v>
      </c>
    </row>
    <row r="801" spans="1:16">
      <c r="A801" s="206">
        <v>795</v>
      </c>
      <c r="B801" s="175" t="s">
        <v>3201</v>
      </c>
      <c r="C801" s="175" t="s">
        <v>3202</v>
      </c>
      <c r="D801" s="3" t="s">
        <v>3221</v>
      </c>
      <c r="E801" s="191" t="s">
        <v>3222</v>
      </c>
      <c r="F801" s="264">
        <v>7799110000156</v>
      </c>
      <c r="G801" s="221">
        <v>6</v>
      </c>
      <c r="H801" s="5" t="s">
        <v>1191</v>
      </c>
      <c r="I801" s="204">
        <v>4.8899999999999997</v>
      </c>
      <c r="J801" s="260">
        <v>0.1</v>
      </c>
      <c r="L801" s="217">
        <f t="shared" si="36"/>
        <v>2312.9579828249998</v>
      </c>
      <c r="N801" s="271">
        <f t="shared" si="37"/>
        <v>3353.7890750962497</v>
      </c>
      <c r="P801" s="326">
        <f t="shared" si="38"/>
        <v>4058.0847808664621</v>
      </c>
    </row>
    <row r="802" spans="1:16">
      <c r="A802" s="206">
        <v>796</v>
      </c>
      <c r="B802" s="175" t="s">
        <v>3201</v>
      </c>
      <c r="C802" s="175" t="s">
        <v>3202</v>
      </c>
      <c r="D802" s="3" t="s">
        <v>3223</v>
      </c>
      <c r="E802" s="191" t="s">
        <v>3224</v>
      </c>
      <c r="F802" s="264">
        <v>7799110000163</v>
      </c>
      <c r="G802" s="221">
        <v>12</v>
      </c>
      <c r="H802" s="5" t="s">
        <v>1191</v>
      </c>
      <c r="I802" s="204">
        <v>4.37</v>
      </c>
      <c r="J802" s="260">
        <v>0.1</v>
      </c>
      <c r="L802" s="217">
        <f t="shared" si="36"/>
        <v>2066.9992607249997</v>
      </c>
      <c r="N802" s="271">
        <f t="shared" si="37"/>
        <v>2997.1489280512492</v>
      </c>
      <c r="P802" s="326">
        <f t="shared" si="38"/>
        <v>3626.5502029420113</v>
      </c>
    </row>
    <row r="803" spans="1:16">
      <c r="A803" s="206">
        <v>797</v>
      </c>
      <c r="B803" s="175" t="s">
        <v>3201</v>
      </c>
      <c r="C803" s="175" t="s">
        <v>3202</v>
      </c>
      <c r="D803" s="3" t="s">
        <v>3225</v>
      </c>
      <c r="E803" s="191" t="s">
        <v>3226</v>
      </c>
      <c r="F803" s="264">
        <v>7799110000170</v>
      </c>
      <c r="G803" s="221">
        <v>12</v>
      </c>
      <c r="H803" s="5" t="s">
        <v>1191</v>
      </c>
      <c r="I803" s="204">
        <v>5.8140000000000001</v>
      </c>
      <c r="J803" s="260">
        <v>0.1</v>
      </c>
      <c r="L803" s="217">
        <f t="shared" si="36"/>
        <v>2750.007712095</v>
      </c>
      <c r="N803" s="271">
        <f t="shared" si="37"/>
        <v>3987.5111825377498</v>
      </c>
      <c r="P803" s="326">
        <f t="shared" si="38"/>
        <v>4824.8885308706767</v>
      </c>
    </row>
    <row r="804" spans="1:16">
      <c r="A804" s="206">
        <v>798</v>
      </c>
      <c r="B804" s="175" t="s">
        <v>3201</v>
      </c>
      <c r="C804" s="175" t="s">
        <v>3202</v>
      </c>
      <c r="D804" s="3" t="s">
        <v>3227</v>
      </c>
      <c r="E804" s="191" t="s">
        <v>3228</v>
      </c>
      <c r="F804" s="264">
        <v>7799110000194</v>
      </c>
      <c r="G804" s="221">
        <v>6</v>
      </c>
      <c r="H804" s="5" t="s">
        <v>1191</v>
      </c>
      <c r="I804" s="204">
        <v>7.16</v>
      </c>
      <c r="J804" s="260">
        <v>0.1</v>
      </c>
      <c r="L804" s="217">
        <f t="shared" si="36"/>
        <v>3386.6624043000002</v>
      </c>
      <c r="N804" s="271">
        <f t="shared" si="37"/>
        <v>4910.6604862350005</v>
      </c>
      <c r="P804" s="326">
        <f t="shared" si="38"/>
        <v>5941.8991883443505</v>
      </c>
    </row>
    <row r="805" spans="1:16">
      <c r="A805" s="206">
        <v>799</v>
      </c>
      <c r="B805" s="175" t="s">
        <v>3201</v>
      </c>
      <c r="C805" s="175" t="s">
        <v>3202</v>
      </c>
      <c r="D805" s="3" t="s">
        <v>3229</v>
      </c>
      <c r="E805" s="191" t="s">
        <v>3230</v>
      </c>
      <c r="F805" s="264">
        <v>7799110000200</v>
      </c>
      <c r="G805" s="221">
        <v>6</v>
      </c>
      <c r="H805" s="5" t="s">
        <v>1191</v>
      </c>
      <c r="I805" s="204">
        <v>10.15</v>
      </c>
      <c r="J805" s="260">
        <v>0.1</v>
      </c>
      <c r="L805" s="217">
        <f t="shared" si="36"/>
        <v>4800.9250563749993</v>
      </c>
      <c r="N805" s="271">
        <f t="shared" si="37"/>
        <v>6961.3413317437489</v>
      </c>
      <c r="P805" s="326">
        <f t="shared" si="38"/>
        <v>8423.2230114099366</v>
      </c>
    </row>
    <row r="806" spans="1:16">
      <c r="A806" s="206">
        <v>800</v>
      </c>
      <c r="B806" s="175" t="s">
        <v>3201</v>
      </c>
      <c r="C806" s="175" t="s">
        <v>3202</v>
      </c>
      <c r="D806" s="3" t="s">
        <v>3231</v>
      </c>
      <c r="E806" s="191" t="s">
        <v>3232</v>
      </c>
      <c r="F806" s="264">
        <v>7799110000217</v>
      </c>
      <c r="G806" s="221">
        <v>6</v>
      </c>
      <c r="H806" s="5" t="s">
        <v>1191</v>
      </c>
      <c r="I806" s="204">
        <v>13.7</v>
      </c>
      <c r="J806" s="260">
        <v>0.1</v>
      </c>
      <c r="L806" s="217">
        <f t="shared" si="36"/>
        <v>6480.0663322499995</v>
      </c>
      <c r="N806" s="271">
        <f t="shared" si="37"/>
        <v>9396.0961817624993</v>
      </c>
      <c r="P806" s="326">
        <f t="shared" si="38"/>
        <v>11369.276379932624</v>
      </c>
    </row>
    <row r="807" spans="1:16">
      <c r="A807" s="206">
        <v>801</v>
      </c>
      <c r="B807" s="175" t="s">
        <v>3201</v>
      </c>
      <c r="C807" s="175" t="s">
        <v>3202</v>
      </c>
      <c r="D807" s="3" t="s">
        <v>3233</v>
      </c>
      <c r="E807" s="191" t="s">
        <v>3234</v>
      </c>
      <c r="F807" s="264">
        <v>7799110000224</v>
      </c>
      <c r="G807" s="221">
        <v>12</v>
      </c>
      <c r="H807" s="5" t="s">
        <v>1191</v>
      </c>
      <c r="I807" s="204">
        <v>4.59</v>
      </c>
      <c r="J807" s="260">
        <v>0.1</v>
      </c>
      <c r="L807" s="217">
        <f t="shared" si="36"/>
        <v>2171.0587200750001</v>
      </c>
      <c r="N807" s="271">
        <f t="shared" si="37"/>
        <v>3148.03514410875</v>
      </c>
      <c r="P807" s="326">
        <f t="shared" si="38"/>
        <v>3809.1225243715876</v>
      </c>
    </row>
    <row r="808" spans="1:16">
      <c r="A808" s="206">
        <v>802</v>
      </c>
      <c r="B808" s="175" t="s">
        <v>3201</v>
      </c>
      <c r="C808" s="175" t="s">
        <v>3202</v>
      </c>
      <c r="D808" s="3" t="s">
        <v>3235</v>
      </c>
      <c r="E808" s="191" t="s">
        <v>3236</v>
      </c>
      <c r="F808" s="264">
        <v>7799110000231</v>
      </c>
      <c r="G808" s="221">
        <v>12</v>
      </c>
      <c r="H808" s="5" t="s">
        <v>1191</v>
      </c>
      <c r="I808" s="204">
        <v>5.0999999999999996</v>
      </c>
      <c r="J808" s="260">
        <v>0.1</v>
      </c>
      <c r="L808" s="217">
        <f t="shared" si="36"/>
        <v>2412.28746675</v>
      </c>
      <c r="N808" s="271">
        <f t="shared" si="37"/>
        <v>3497.8168267874998</v>
      </c>
      <c r="P808" s="326">
        <f t="shared" si="38"/>
        <v>4232.3583604128744</v>
      </c>
    </row>
    <row r="809" spans="1:16">
      <c r="A809" s="206">
        <v>803</v>
      </c>
      <c r="B809" s="175" t="s">
        <v>3201</v>
      </c>
      <c r="C809" s="175" t="s">
        <v>3237</v>
      </c>
      <c r="D809" s="3" t="s">
        <v>3238</v>
      </c>
      <c r="E809" s="191" t="s">
        <v>3239</v>
      </c>
      <c r="F809" s="264">
        <v>7799110000095</v>
      </c>
      <c r="G809" s="221">
        <v>12</v>
      </c>
      <c r="H809" s="5" t="s">
        <v>1191</v>
      </c>
      <c r="I809" s="204">
        <v>5.15</v>
      </c>
      <c r="J809" s="260">
        <v>0.1</v>
      </c>
      <c r="L809" s="217">
        <f t="shared" si="36"/>
        <v>2435.9373438749999</v>
      </c>
      <c r="N809" s="271">
        <f t="shared" si="37"/>
        <v>3532.1091486187497</v>
      </c>
      <c r="P809" s="326">
        <f t="shared" si="38"/>
        <v>4273.8520698286866</v>
      </c>
    </row>
    <row r="810" spans="1:16">
      <c r="A810" s="206">
        <v>804</v>
      </c>
      <c r="B810" s="175" t="s">
        <v>3201</v>
      </c>
      <c r="C810" s="175" t="s">
        <v>3237</v>
      </c>
      <c r="D810" s="3" t="s">
        <v>3240</v>
      </c>
      <c r="E810" s="191" t="s">
        <v>3241</v>
      </c>
      <c r="F810" s="264">
        <v>7799110000132</v>
      </c>
      <c r="G810" s="221">
        <v>12</v>
      </c>
      <c r="H810" s="5" t="s">
        <v>1191</v>
      </c>
      <c r="I810" s="204">
        <v>4.83</v>
      </c>
      <c r="J810" s="260">
        <v>0.1</v>
      </c>
      <c r="L810" s="217">
        <f t="shared" si="36"/>
        <v>2284.5781302750001</v>
      </c>
      <c r="N810" s="271">
        <f t="shared" si="37"/>
        <v>3312.63828889875</v>
      </c>
      <c r="P810" s="326">
        <f t="shared" si="38"/>
        <v>4008.2923295674873</v>
      </c>
    </row>
    <row r="811" spans="1:16">
      <c r="A811" s="206">
        <v>805</v>
      </c>
      <c r="B811" s="175" t="s">
        <v>3201</v>
      </c>
      <c r="C811" s="175" t="s">
        <v>3237</v>
      </c>
      <c r="D811" s="3" t="s">
        <v>3242</v>
      </c>
      <c r="E811" s="191" t="s">
        <v>3243</v>
      </c>
      <c r="F811" s="264">
        <v>7799110000187</v>
      </c>
      <c r="G811" s="221">
        <v>12</v>
      </c>
      <c r="H811" s="5" t="s">
        <v>1191</v>
      </c>
      <c r="I811" s="204">
        <v>4.8600000000000003</v>
      </c>
      <c r="J811" s="260">
        <v>0.1</v>
      </c>
      <c r="L811" s="217">
        <f t="shared" si="36"/>
        <v>2298.76805655</v>
      </c>
      <c r="N811" s="271">
        <f t="shared" si="37"/>
        <v>3333.2136819974999</v>
      </c>
      <c r="P811" s="326">
        <f t="shared" si="38"/>
        <v>4033.1885552169747</v>
      </c>
    </row>
    <row r="812" spans="1:16">
      <c r="A812" s="206">
        <v>806</v>
      </c>
      <c r="B812" s="175" t="s">
        <v>3201</v>
      </c>
      <c r="C812" s="175" t="s">
        <v>3237</v>
      </c>
      <c r="D812" s="3" t="s">
        <v>3244</v>
      </c>
      <c r="E812" s="191" t="s">
        <v>3245</v>
      </c>
      <c r="F812" s="264">
        <v>7799110000323</v>
      </c>
      <c r="G812" s="221">
        <v>12</v>
      </c>
      <c r="H812" s="5" t="s">
        <v>1191</v>
      </c>
      <c r="I812" s="204">
        <v>3.12</v>
      </c>
      <c r="J812" s="260">
        <v>0.1</v>
      </c>
      <c r="L812" s="217">
        <f t="shared" si="36"/>
        <v>1475.7523326</v>
      </c>
      <c r="N812" s="271">
        <f t="shared" si="37"/>
        <v>2139.8408822699998</v>
      </c>
      <c r="P812" s="326">
        <f t="shared" si="38"/>
        <v>2589.2074675466997</v>
      </c>
    </row>
    <row r="813" spans="1:16">
      <c r="A813" s="206">
        <v>807</v>
      </c>
      <c r="B813" s="175" t="s">
        <v>3201</v>
      </c>
      <c r="C813" s="175" t="s">
        <v>3237</v>
      </c>
      <c r="D813" s="3" t="s">
        <v>3246</v>
      </c>
      <c r="E813" s="191" t="s">
        <v>3247</v>
      </c>
      <c r="F813" s="264">
        <v>7799110000309</v>
      </c>
      <c r="G813" s="221">
        <v>12</v>
      </c>
      <c r="H813" s="5" t="s">
        <v>1191</v>
      </c>
      <c r="I813" s="204">
        <v>3.89</v>
      </c>
      <c r="J813" s="260">
        <v>0.1</v>
      </c>
      <c r="L813" s="217">
        <f t="shared" si="36"/>
        <v>1839.9604403249998</v>
      </c>
      <c r="N813" s="271">
        <f t="shared" si="37"/>
        <v>2667.9426384712497</v>
      </c>
      <c r="P813" s="326">
        <f t="shared" si="38"/>
        <v>3228.2105925502119</v>
      </c>
    </row>
    <row r="814" spans="1:16">
      <c r="A814" s="206">
        <v>808</v>
      </c>
      <c r="B814" s="175" t="s">
        <v>3201</v>
      </c>
      <c r="C814" s="175" t="s">
        <v>3237</v>
      </c>
      <c r="D814" s="3" t="s">
        <v>3248</v>
      </c>
      <c r="E814" s="191" t="s">
        <v>3249</v>
      </c>
      <c r="F814" s="264">
        <v>7799110000316</v>
      </c>
      <c r="G814" s="221">
        <v>12</v>
      </c>
      <c r="H814" s="5" t="s">
        <v>1191</v>
      </c>
      <c r="I814" s="204">
        <v>4.9400000000000004</v>
      </c>
      <c r="J814" s="260">
        <v>0.1</v>
      </c>
      <c r="L814" s="217">
        <f t="shared" si="36"/>
        <v>2336.6078599500006</v>
      </c>
      <c r="N814" s="271">
        <f t="shared" si="37"/>
        <v>3388.0813969275009</v>
      </c>
      <c r="P814" s="326">
        <f t="shared" si="38"/>
        <v>4099.5784902822761</v>
      </c>
    </row>
    <row r="815" spans="1:16">
      <c r="A815" s="206">
        <v>809</v>
      </c>
      <c r="B815" s="175" t="s">
        <v>3201</v>
      </c>
      <c r="C815" s="175" t="s">
        <v>3237</v>
      </c>
      <c r="D815" s="3" t="s">
        <v>3250</v>
      </c>
      <c r="E815" s="191" t="s">
        <v>3251</v>
      </c>
      <c r="F815" s="264">
        <v>7799110000354</v>
      </c>
      <c r="G815" s="221">
        <v>12</v>
      </c>
      <c r="H815" s="5" t="s">
        <v>1191</v>
      </c>
      <c r="I815" s="204">
        <v>3.07</v>
      </c>
      <c r="J815" s="260">
        <v>0.1</v>
      </c>
      <c r="L815" s="217">
        <f t="shared" si="36"/>
        <v>1452.1024554749999</v>
      </c>
      <c r="N815" s="271">
        <f t="shared" si="37"/>
        <v>2105.54856043875</v>
      </c>
      <c r="P815" s="326">
        <f t="shared" si="38"/>
        <v>2547.7137581308875</v>
      </c>
    </row>
    <row r="816" spans="1:16">
      <c r="A816" s="206">
        <v>810</v>
      </c>
      <c r="B816" s="175" t="s">
        <v>3201</v>
      </c>
      <c r="C816" s="175" t="s">
        <v>3237</v>
      </c>
      <c r="D816" s="3" t="s">
        <v>3252</v>
      </c>
      <c r="E816" s="191" t="s">
        <v>3253</v>
      </c>
      <c r="F816" s="264">
        <v>7799110000330</v>
      </c>
      <c r="G816" s="221">
        <v>12</v>
      </c>
      <c r="H816" s="5" t="s">
        <v>1191</v>
      </c>
      <c r="I816" s="204">
        <v>3.58</v>
      </c>
      <c r="J816" s="260">
        <v>0.1</v>
      </c>
      <c r="L816" s="217">
        <f t="shared" si="36"/>
        <v>1693.3312021500001</v>
      </c>
      <c r="N816" s="271">
        <f t="shared" si="37"/>
        <v>2455.3302431175002</v>
      </c>
      <c r="P816" s="326">
        <f t="shared" si="38"/>
        <v>2970.9495941721752</v>
      </c>
    </row>
    <row r="817" spans="1:16">
      <c r="A817" s="206">
        <v>811</v>
      </c>
      <c r="B817" s="175" t="s">
        <v>3201</v>
      </c>
      <c r="C817" s="175" t="s">
        <v>3237</v>
      </c>
      <c r="D817" s="3" t="s">
        <v>3254</v>
      </c>
      <c r="E817" s="191" t="s">
        <v>3255</v>
      </c>
      <c r="F817" s="264">
        <v>7799110000347</v>
      </c>
      <c r="G817" s="221">
        <v>12</v>
      </c>
      <c r="H817" s="5" t="s">
        <v>1191</v>
      </c>
      <c r="I817" s="204">
        <v>4.57</v>
      </c>
      <c r="J817" s="260">
        <v>0.1</v>
      </c>
      <c r="L817" s="217">
        <f t="shared" si="36"/>
        <v>2161.5987692250001</v>
      </c>
      <c r="N817" s="271">
        <f t="shared" si="37"/>
        <v>3134.31821537625</v>
      </c>
      <c r="P817" s="326">
        <f t="shared" si="38"/>
        <v>3792.5250406052623</v>
      </c>
    </row>
    <row r="818" spans="1:16">
      <c r="A818" s="206">
        <v>812</v>
      </c>
      <c r="B818" s="175" t="s">
        <v>3201</v>
      </c>
      <c r="C818" s="175" t="s">
        <v>3237</v>
      </c>
      <c r="D818" s="3" t="s">
        <v>3256</v>
      </c>
      <c r="E818" s="191" t="s">
        <v>3257</v>
      </c>
      <c r="F818" s="264">
        <v>7799110000286</v>
      </c>
      <c r="G818" s="221">
        <v>12</v>
      </c>
      <c r="H818" s="5" t="s">
        <v>1191</v>
      </c>
      <c r="I818" s="204">
        <v>1.22</v>
      </c>
      <c r="J818" s="260">
        <v>0.1</v>
      </c>
      <c r="L818" s="217">
        <f t="shared" si="36"/>
        <v>577.05700184999989</v>
      </c>
      <c r="N818" s="271">
        <f t="shared" si="37"/>
        <v>836.73265268249986</v>
      </c>
      <c r="P818" s="326">
        <f t="shared" si="38"/>
        <v>1012.4465097458248</v>
      </c>
    </row>
    <row r="819" spans="1:16">
      <c r="A819" s="206">
        <v>813</v>
      </c>
      <c r="B819" s="175" t="s">
        <v>3201</v>
      </c>
      <c r="C819" s="175" t="s">
        <v>3237</v>
      </c>
      <c r="D819" s="3" t="s">
        <v>3258</v>
      </c>
      <c r="E819" s="191" t="s">
        <v>3259</v>
      </c>
      <c r="F819" s="264">
        <v>7799110000293</v>
      </c>
      <c r="G819" s="221">
        <v>12</v>
      </c>
      <c r="H819" s="5" t="s">
        <v>1191</v>
      </c>
      <c r="I819" s="204">
        <v>1.43</v>
      </c>
      <c r="J819" s="260">
        <v>0.1</v>
      </c>
      <c r="L819" s="217">
        <f t="shared" si="36"/>
        <v>676.38648577499998</v>
      </c>
      <c r="N819" s="271">
        <f t="shared" si="37"/>
        <v>980.76040437374991</v>
      </c>
      <c r="P819" s="326">
        <f t="shared" si="38"/>
        <v>1186.7200892922374</v>
      </c>
    </row>
    <row r="820" spans="1:16">
      <c r="A820" s="206">
        <v>814</v>
      </c>
      <c r="B820" s="175" t="s">
        <v>3201</v>
      </c>
      <c r="C820" s="175" t="s">
        <v>3237</v>
      </c>
      <c r="D820" s="3" t="s">
        <v>3260</v>
      </c>
      <c r="E820" s="191" t="s">
        <v>3261</v>
      </c>
      <c r="F820" s="264">
        <v>7799110000279</v>
      </c>
      <c r="G820" s="221">
        <v>12</v>
      </c>
      <c r="H820" s="5" t="s">
        <v>1191</v>
      </c>
      <c r="I820" s="204">
        <v>1.62</v>
      </c>
      <c r="J820" s="260">
        <v>0.1</v>
      </c>
      <c r="L820" s="217">
        <f t="shared" si="36"/>
        <v>766.25601884999992</v>
      </c>
      <c r="N820" s="271">
        <f t="shared" si="37"/>
        <v>1111.0712273324998</v>
      </c>
      <c r="P820" s="326">
        <f t="shared" si="38"/>
        <v>1344.3961850723247</v>
      </c>
    </row>
    <row r="821" spans="1:16">
      <c r="A821" s="206">
        <v>815</v>
      </c>
      <c r="B821" s="175" t="s">
        <v>3201</v>
      </c>
      <c r="C821" s="175" t="s">
        <v>3237</v>
      </c>
      <c r="D821" s="3" t="s">
        <v>3262</v>
      </c>
      <c r="E821" s="191" t="s">
        <v>3263</v>
      </c>
      <c r="F821" s="264">
        <v>7799110000248</v>
      </c>
      <c r="G821" s="221">
        <v>12</v>
      </c>
      <c r="H821" s="5" t="s">
        <v>1191</v>
      </c>
      <c r="I821" s="204">
        <v>1.67</v>
      </c>
      <c r="J821" s="260">
        <v>0.1</v>
      </c>
      <c r="L821" s="217">
        <f t="shared" si="36"/>
        <v>789.90589597500002</v>
      </c>
      <c r="N821" s="271">
        <f t="shared" si="37"/>
        <v>1145.3635491637499</v>
      </c>
      <c r="P821" s="326">
        <f t="shared" si="38"/>
        <v>1385.8898944881373</v>
      </c>
    </row>
    <row r="822" spans="1:16">
      <c r="A822" s="206">
        <v>816</v>
      </c>
      <c r="B822" s="175" t="s">
        <v>3201</v>
      </c>
      <c r="C822" s="175" t="s">
        <v>3237</v>
      </c>
      <c r="D822" s="3" t="s">
        <v>3264</v>
      </c>
      <c r="E822" s="191" t="s">
        <v>3265</v>
      </c>
      <c r="F822" s="264">
        <v>7799110000255</v>
      </c>
      <c r="G822" s="221">
        <v>12</v>
      </c>
      <c r="H822" s="5" t="s">
        <v>1191</v>
      </c>
      <c r="I822" s="204">
        <v>2.08</v>
      </c>
      <c r="J822" s="260">
        <v>0.1</v>
      </c>
      <c r="L822" s="217">
        <f t="shared" si="36"/>
        <v>983.83488840000007</v>
      </c>
      <c r="N822" s="271">
        <f t="shared" si="37"/>
        <v>1426.56058818</v>
      </c>
      <c r="P822" s="326">
        <f t="shared" si="38"/>
        <v>1726.1383116978</v>
      </c>
    </row>
    <row r="823" spans="1:16">
      <c r="A823" s="206">
        <v>817</v>
      </c>
      <c r="B823" s="175" t="s">
        <v>3201</v>
      </c>
      <c r="C823" s="175" t="s">
        <v>3237</v>
      </c>
      <c r="D823" s="3" t="s">
        <v>3266</v>
      </c>
      <c r="E823" s="191" t="s">
        <v>3267</v>
      </c>
      <c r="F823" s="264">
        <v>7799110000262</v>
      </c>
      <c r="G823" s="221">
        <v>12</v>
      </c>
      <c r="H823" s="5" t="s">
        <v>1191</v>
      </c>
      <c r="I823" s="204">
        <v>2.46</v>
      </c>
      <c r="J823" s="260">
        <v>0.1</v>
      </c>
      <c r="L823" s="217">
        <f t="shared" si="36"/>
        <v>1163.5739545499998</v>
      </c>
      <c r="N823" s="271">
        <f t="shared" si="37"/>
        <v>1687.1822340974998</v>
      </c>
      <c r="P823" s="326">
        <f t="shared" si="38"/>
        <v>2041.4905032579748</v>
      </c>
    </row>
    <row r="824" spans="1:16">
      <c r="A824" s="206">
        <v>818</v>
      </c>
      <c r="B824" s="175" t="s">
        <v>3201</v>
      </c>
      <c r="C824" s="175" t="s">
        <v>2665</v>
      </c>
      <c r="D824" s="3" t="s">
        <v>3268</v>
      </c>
      <c r="E824" s="191" t="s">
        <v>3269</v>
      </c>
      <c r="F824" s="264">
        <v>7799110000026</v>
      </c>
      <c r="G824" s="221">
        <v>6</v>
      </c>
      <c r="H824" s="5" t="s">
        <v>1191</v>
      </c>
      <c r="I824" s="204">
        <v>5.75</v>
      </c>
      <c r="J824" s="260">
        <v>0.1</v>
      </c>
      <c r="L824" s="217">
        <f t="shared" si="36"/>
        <v>2719.7358693749998</v>
      </c>
      <c r="N824" s="271">
        <f t="shared" si="37"/>
        <v>3943.6170105937495</v>
      </c>
      <c r="P824" s="326">
        <f t="shared" si="38"/>
        <v>4771.7765828184365</v>
      </c>
    </row>
    <row r="825" spans="1:16">
      <c r="A825" s="206">
        <v>819</v>
      </c>
      <c r="B825" s="175" t="s">
        <v>3201</v>
      </c>
      <c r="C825" s="175" t="s">
        <v>2665</v>
      </c>
      <c r="D825" s="3" t="s">
        <v>3270</v>
      </c>
      <c r="E825" s="191" t="s">
        <v>3271</v>
      </c>
      <c r="F825" s="264">
        <v>7799110000019</v>
      </c>
      <c r="G825" s="221">
        <v>6</v>
      </c>
      <c r="H825" s="5" t="s">
        <v>1191</v>
      </c>
      <c r="I825" s="204">
        <v>5.75</v>
      </c>
      <c r="J825" s="260">
        <v>0.1</v>
      </c>
      <c r="L825" s="217">
        <f t="shared" si="36"/>
        <v>2719.7358693749998</v>
      </c>
      <c r="N825" s="271">
        <f t="shared" si="37"/>
        <v>3943.6170105937495</v>
      </c>
      <c r="P825" s="326">
        <f t="shared" si="38"/>
        <v>4771.7765828184365</v>
      </c>
    </row>
    <row r="826" spans="1:16">
      <c r="A826" s="206">
        <v>820</v>
      </c>
      <c r="B826" s="175" t="s">
        <v>3201</v>
      </c>
      <c r="C826" s="175" t="s">
        <v>2665</v>
      </c>
      <c r="D826" s="3" t="s">
        <v>3272</v>
      </c>
      <c r="E826" s="191" t="s">
        <v>3273</v>
      </c>
      <c r="F826" s="264">
        <v>7799110000033</v>
      </c>
      <c r="G826" s="221">
        <v>6</v>
      </c>
      <c r="H826" s="5" t="s">
        <v>1191</v>
      </c>
      <c r="I826" s="204">
        <v>1.1599999999999999</v>
      </c>
      <c r="J826" s="260">
        <v>0.1</v>
      </c>
      <c r="L826" s="217">
        <f t="shared" si="36"/>
        <v>548.67714929999988</v>
      </c>
      <c r="N826" s="271">
        <f t="shared" si="37"/>
        <v>795.58186648499975</v>
      </c>
      <c r="P826" s="326">
        <f t="shared" si="38"/>
        <v>962.65405844684972</v>
      </c>
    </row>
    <row r="827" spans="1:16">
      <c r="A827" s="206">
        <v>821</v>
      </c>
      <c r="B827" s="175" t="s">
        <v>3201</v>
      </c>
      <c r="C827" s="175" t="s">
        <v>2665</v>
      </c>
      <c r="D827" s="190" t="s">
        <v>3274</v>
      </c>
      <c r="E827" s="230" t="s">
        <v>3275</v>
      </c>
      <c r="F827" s="264">
        <v>7798184159838</v>
      </c>
      <c r="G827" s="221">
        <v>6</v>
      </c>
      <c r="H827" s="5" t="s">
        <v>1191</v>
      </c>
      <c r="I827" s="204">
        <v>4.66</v>
      </c>
      <c r="J827" s="260">
        <v>0.1</v>
      </c>
      <c r="L827" s="217">
        <f t="shared" si="36"/>
        <v>2204.1685480500005</v>
      </c>
      <c r="N827" s="271">
        <f t="shared" si="37"/>
        <v>3196.0443946725004</v>
      </c>
      <c r="P827" s="326">
        <f t="shared" si="38"/>
        <v>3867.2137175537255</v>
      </c>
    </row>
    <row r="828" spans="1:16">
      <c r="A828" s="206">
        <v>822</v>
      </c>
      <c r="B828" s="175" t="s">
        <v>3201</v>
      </c>
      <c r="C828" s="175" t="s">
        <v>2665</v>
      </c>
      <c r="D828" s="190" t="s">
        <v>3276</v>
      </c>
      <c r="E828" s="230" t="s">
        <v>3277</v>
      </c>
      <c r="F828" s="264">
        <v>7798184159845</v>
      </c>
      <c r="G828" s="221">
        <v>6</v>
      </c>
      <c r="H828" s="5" t="s">
        <v>1191</v>
      </c>
      <c r="I828" s="204">
        <v>4.91</v>
      </c>
      <c r="J828" s="260">
        <v>0.1</v>
      </c>
      <c r="L828" s="217">
        <f t="shared" si="36"/>
        <v>2322.4179336749999</v>
      </c>
      <c r="N828" s="271">
        <f t="shared" si="37"/>
        <v>3367.5060038287497</v>
      </c>
      <c r="P828" s="326">
        <f t="shared" si="38"/>
        <v>4074.6822646327869</v>
      </c>
    </row>
    <row r="829" spans="1:16">
      <c r="A829" s="206">
        <v>823</v>
      </c>
      <c r="B829" s="175" t="s">
        <v>3201</v>
      </c>
      <c r="C829" s="175" t="s">
        <v>2665</v>
      </c>
      <c r="D829" s="190" t="s">
        <v>3278</v>
      </c>
      <c r="E829" s="230" t="s">
        <v>3279</v>
      </c>
      <c r="F829" s="264">
        <v>7798184159852</v>
      </c>
      <c r="G829" s="221">
        <v>6</v>
      </c>
      <c r="H829" s="5" t="s">
        <v>1191</v>
      </c>
      <c r="I829" s="204">
        <v>5.2</v>
      </c>
      <c r="J829" s="260">
        <v>0.1</v>
      </c>
      <c r="L829" s="217">
        <f t="shared" si="36"/>
        <v>2459.5872209999998</v>
      </c>
      <c r="N829" s="271">
        <f t="shared" si="37"/>
        <v>3566.4014704499996</v>
      </c>
      <c r="P829" s="326">
        <f t="shared" si="38"/>
        <v>4315.3457792444997</v>
      </c>
    </row>
    <row r="830" spans="1:16">
      <c r="A830" s="206">
        <v>824</v>
      </c>
      <c r="B830" s="175" t="s">
        <v>3201</v>
      </c>
      <c r="C830" s="175" t="s">
        <v>2665</v>
      </c>
      <c r="D830" s="190" t="s">
        <v>3280</v>
      </c>
      <c r="E830" s="230" t="s">
        <v>3281</v>
      </c>
      <c r="F830" s="264">
        <v>7798184159869</v>
      </c>
      <c r="G830" s="221">
        <v>6</v>
      </c>
      <c r="H830" s="5" t="s">
        <v>1191</v>
      </c>
      <c r="I830" s="204">
        <v>5.54</v>
      </c>
      <c r="J830" s="260">
        <v>0.1</v>
      </c>
      <c r="L830" s="217">
        <f t="shared" si="36"/>
        <v>2620.4063854499991</v>
      </c>
      <c r="N830" s="271">
        <f t="shared" si="37"/>
        <v>3799.5892589024984</v>
      </c>
      <c r="P830" s="326">
        <f t="shared" si="38"/>
        <v>4597.5030032720233</v>
      </c>
    </row>
    <row r="831" spans="1:16">
      <c r="A831" s="206">
        <v>825</v>
      </c>
      <c r="B831" s="175" t="s">
        <v>3201</v>
      </c>
      <c r="C831" s="175" t="s">
        <v>2665</v>
      </c>
      <c r="D831" s="190" t="s">
        <v>3282</v>
      </c>
      <c r="E831" s="230" t="s">
        <v>3283</v>
      </c>
      <c r="F831" s="264">
        <v>7798184159876</v>
      </c>
      <c r="G831" s="221">
        <v>6</v>
      </c>
      <c r="H831" s="5" t="s">
        <v>1191</v>
      </c>
      <c r="I831" s="204">
        <v>5.72</v>
      </c>
      <c r="J831" s="260">
        <v>0.1</v>
      </c>
      <c r="L831" s="217">
        <f t="shared" si="36"/>
        <v>2705.5459430999999</v>
      </c>
      <c r="N831" s="271">
        <f t="shared" si="37"/>
        <v>3923.0416174949996</v>
      </c>
      <c r="P831" s="326">
        <f t="shared" si="38"/>
        <v>4746.8803571689496</v>
      </c>
    </row>
    <row r="832" spans="1:16">
      <c r="A832" s="206">
        <v>826</v>
      </c>
      <c r="B832" s="175" t="s">
        <v>3201</v>
      </c>
      <c r="C832" s="175" t="s">
        <v>2665</v>
      </c>
      <c r="D832" s="190" t="s">
        <v>3284</v>
      </c>
      <c r="E832" s="230" t="s">
        <v>3285</v>
      </c>
      <c r="F832" s="264">
        <v>7798184159883</v>
      </c>
      <c r="G832" s="221">
        <v>6</v>
      </c>
      <c r="H832" s="5" t="s">
        <v>1191</v>
      </c>
      <c r="I832" s="204">
        <v>6</v>
      </c>
      <c r="J832" s="260">
        <v>0.1</v>
      </c>
      <c r="L832" s="217">
        <f t="shared" si="36"/>
        <v>2837.9852550000001</v>
      </c>
      <c r="N832" s="271">
        <f t="shared" si="37"/>
        <v>4115.0786197500001</v>
      </c>
      <c r="P832" s="326">
        <f t="shared" si="38"/>
        <v>4979.2451298975002</v>
      </c>
    </row>
    <row r="833" spans="1:16">
      <c r="A833" s="206">
        <v>827</v>
      </c>
      <c r="B833" s="175" t="s">
        <v>3201</v>
      </c>
      <c r="C833" s="175" t="s">
        <v>2665</v>
      </c>
      <c r="D833" s="190" t="s">
        <v>3286</v>
      </c>
      <c r="E833" s="230" t="s">
        <v>3287</v>
      </c>
      <c r="F833" s="264">
        <v>7798184159890</v>
      </c>
      <c r="G833" s="221">
        <v>6</v>
      </c>
      <c r="H833" s="5" t="s">
        <v>1191</v>
      </c>
      <c r="I833" s="204">
        <v>6.35</v>
      </c>
      <c r="J833" s="260">
        <v>0.1</v>
      </c>
      <c r="L833" s="217">
        <f t="shared" si="36"/>
        <v>3003.5343948750001</v>
      </c>
      <c r="N833" s="271">
        <f t="shared" si="37"/>
        <v>4355.1248725687501</v>
      </c>
      <c r="P833" s="326">
        <f t="shared" si="38"/>
        <v>5269.7010958081873</v>
      </c>
    </row>
    <row r="834" spans="1:16">
      <c r="A834" s="206">
        <v>828</v>
      </c>
      <c r="B834" s="175" t="s">
        <v>3201</v>
      </c>
      <c r="C834" s="175" t="s">
        <v>2665</v>
      </c>
      <c r="D834" s="190" t="s">
        <v>3288</v>
      </c>
      <c r="E834" s="230" t="s">
        <v>3289</v>
      </c>
      <c r="F834" s="264">
        <v>7798184159906</v>
      </c>
      <c r="G834" s="221">
        <v>6</v>
      </c>
      <c r="H834" s="5" t="s">
        <v>1191</v>
      </c>
      <c r="I834" s="204">
        <v>6.78</v>
      </c>
      <c r="J834" s="260">
        <v>0.1</v>
      </c>
      <c r="L834" s="217">
        <f t="shared" si="36"/>
        <v>3206.9233381500003</v>
      </c>
      <c r="N834" s="271">
        <f t="shared" si="37"/>
        <v>4650.0388403175002</v>
      </c>
      <c r="P834" s="326">
        <f t="shared" si="38"/>
        <v>5626.5469967841755</v>
      </c>
    </row>
    <row r="835" spans="1:16">
      <c r="A835" s="206">
        <v>829</v>
      </c>
      <c r="B835" s="175" t="s">
        <v>3201</v>
      </c>
      <c r="C835" s="175" t="s">
        <v>2665</v>
      </c>
      <c r="D835" s="190" t="s">
        <v>3290</v>
      </c>
      <c r="E835" s="230" t="s">
        <v>3291</v>
      </c>
      <c r="F835" s="264">
        <v>7798184159913</v>
      </c>
      <c r="G835" s="221">
        <v>6</v>
      </c>
      <c r="H835" s="5" t="s">
        <v>1191</v>
      </c>
      <c r="I835" s="204">
        <v>7.05</v>
      </c>
      <c r="J835" s="260">
        <v>0.1</v>
      </c>
      <c r="L835" s="217">
        <f t="shared" si="36"/>
        <v>3334.6326746249997</v>
      </c>
      <c r="N835" s="271">
        <f t="shared" si="37"/>
        <v>4835.2173782062491</v>
      </c>
      <c r="P835" s="326">
        <f t="shared" si="38"/>
        <v>5850.6130276295617</v>
      </c>
    </row>
    <row r="836" spans="1:16">
      <c r="A836" s="206">
        <v>830</v>
      </c>
      <c r="B836" s="175" t="s">
        <v>3201</v>
      </c>
      <c r="C836" s="175" t="s">
        <v>2665</v>
      </c>
      <c r="D836" s="190" t="s">
        <v>3292</v>
      </c>
      <c r="E836" s="230" t="s">
        <v>3293</v>
      </c>
      <c r="F836" s="264">
        <v>7798184159920</v>
      </c>
      <c r="G836" s="221">
        <v>6</v>
      </c>
      <c r="H836" s="5" t="s">
        <v>1191</v>
      </c>
      <c r="I836" s="204">
        <v>7.3</v>
      </c>
      <c r="J836" s="260">
        <v>0.1</v>
      </c>
      <c r="L836" s="217">
        <f t="shared" si="36"/>
        <v>3452.88206025</v>
      </c>
      <c r="N836" s="271">
        <f t="shared" si="37"/>
        <v>5006.6789873625003</v>
      </c>
      <c r="P836" s="326">
        <f t="shared" si="38"/>
        <v>6058.0815747086253</v>
      </c>
    </row>
    <row r="837" spans="1:16">
      <c r="A837" s="206">
        <v>831</v>
      </c>
      <c r="B837" s="175" t="s">
        <v>3201</v>
      </c>
      <c r="C837" s="175" t="s">
        <v>2665</v>
      </c>
      <c r="D837" s="190" t="s">
        <v>3294</v>
      </c>
      <c r="E837" s="230" t="s">
        <v>3295</v>
      </c>
      <c r="F837" s="264">
        <v>7798184159937</v>
      </c>
      <c r="G837" s="221">
        <v>6</v>
      </c>
      <c r="H837" s="5" t="s">
        <v>1191</v>
      </c>
      <c r="I837" s="204">
        <v>9.3000000000000007</v>
      </c>
      <c r="J837" s="260">
        <v>0.1</v>
      </c>
      <c r="L837" s="217">
        <f t="shared" si="36"/>
        <v>4398.8771452499996</v>
      </c>
      <c r="N837" s="271">
        <f t="shared" si="37"/>
        <v>6378.3718606124994</v>
      </c>
      <c r="P837" s="326">
        <f t="shared" si="38"/>
        <v>7717.8299513411239</v>
      </c>
    </row>
    <row r="838" spans="1:16">
      <c r="A838" s="206">
        <v>832</v>
      </c>
      <c r="B838" s="175" t="s">
        <v>3201</v>
      </c>
      <c r="C838" s="175" t="s">
        <v>2665</v>
      </c>
      <c r="D838" s="190" t="s">
        <v>3296</v>
      </c>
      <c r="E838" s="230" t="s">
        <v>3297</v>
      </c>
      <c r="F838" s="264">
        <v>7798184159944</v>
      </c>
      <c r="G838" s="221">
        <v>6</v>
      </c>
      <c r="H838" s="5" t="s">
        <v>1191</v>
      </c>
      <c r="I838" s="204">
        <v>9.5500000000000007</v>
      </c>
      <c r="J838" s="260">
        <v>0.1</v>
      </c>
      <c r="L838" s="217">
        <f t="shared" si="36"/>
        <v>4517.1265308749998</v>
      </c>
      <c r="N838" s="271">
        <f t="shared" si="37"/>
        <v>6549.8334697687496</v>
      </c>
      <c r="P838" s="326">
        <f t="shared" si="38"/>
        <v>7925.2984984201867</v>
      </c>
    </row>
    <row r="839" spans="1:16">
      <c r="A839" s="206">
        <v>833</v>
      </c>
      <c r="B839" s="175" t="s">
        <v>3201</v>
      </c>
      <c r="C839" s="175" t="s">
        <v>2665</v>
      </c>
      <c r="D839" s="190" t="s">
        <v>3298</v>
      </c>
      <c r="E839" s="230" t="s">
        <v>3299</v>
      </c>
      <c r="F839" s="264">
        <v>7798184159951</v>
      </c>
      <c r="G839" s="221">
        <v>6</v>
      </c>
      <c r="H839" s="5" t="s">
        <v>1191</v>
      </c>
      <c r="I839" s="204">
        <v>12.7</v>
      </c>
      <c r="J839" s="260">
        <v>0.1</v>
      </c>
      <c r="L839" s="217">
        <f t="shared" si="36"/>
        <v>6007.0687897500002</v>
      </c>
      <c r="N839" s="271">
        <f t="shared" si="37"/>
        <v>8710.2497451375002</v>
      </c>
      <c r="P839" s="326">
        <f t="shared" si="38"/>
        <v>10539.402191616375</v>
      </c>
    </row>
    <row r="840" spans="1:16">
      <c r="A840" s="206">
        <v>834</v>
      </c>
      <c r="B840" s="175" t="s">
        <v>3201</v>
      </c>
      <c r="C840" s="175" t="s">
        <v>2665</v>
      </c>
      <c r="D840" s="190" t="s">
        <v>3300</v>
      </c>
      <c r="E840" s="230" t="s">
        <v>3301</v>
      </c>
      <c r="F840" s="264">
        <v>7798184159968</v>
      </c>
      <c r="G840" s="221">
        <v>6</v>
      </c>
      <c r="H840" s="5" t="s">
        <v>1191</v>
      </c>
      <c r="I840" s="204">
        <v>13.9</v>
      </c>
      <c r="J840" s="260">
        <v>0.1</v>
      </c>
      <c r="L840" s="217">
        <f t="shared" ref="L840:L903" si="39">+I840*$F$2*$F$3*$F$4*$F$5</f>
        <v>6574.6658407499999</v>
      </c>
      <c r="N840" s="271">
        <f t="shared" si="37"/>
        <v>9533.2654690874988</v>
      </c>
      <c r="P840" s="326">
        <f t="shared" si="38"/>
        <v>11535.251217595873</v>
      </c>
    </row>
    <row r="841" spans="1:16">
      <c r="A841" s="206">
        <v>835</v>
      </c>
      <c r="B841" s="175" t="s">
        <v>3201</v>
      </c>
      <c r="C841" s="175" t="s">
        <v>2665</v>
      </c>
      <c r="D841" s="190" t="s">
        <v>3302</v>
      </c>
      <c r="E841" s="230" t="s">
        <v>3303</v>
      </c>
      <c r="F841" s="264">
        <v>7798184159975</v>
      </c>
      <c r="G841" s="221">
        <v>6</v>
      </c>
      <c r="H841" s="5" t="s">
        <v>1191</v>
      </c>
      <c r="I841" s="204">
        <v>14.3</v>
      </c>
      <c r="J841" s="260">
        <v>0.1</v>
      </c>
      <c r="L841" s="217">
        <f t="shared" si="39"/>
        <v>6763.8648577499989</v>
      </c>
      <c r="N841" s="271">
        <f t="shared" ref="N841:N904" si="40">+L841*1.45</f>
        <v>9807.6040437374977</v>
      </c>
      <c r="P841" s="326">
        <f t="shared" ref="P841:P904" si="41">+N841*1.21</f>
        <v>11867.200892922372</v>
      </c>
    </row>
    <row r="842" spans="1:16">
      <c r="A842" s="206">
        <v>836</v>
      </c>
      <c r="B842" s="175" t="s">
        <v>3201</v>
      </c>
      <c r="C842" s="175" t="s">
        <v>3304</v>
      </c>
      <c r="D842" s="190" t="s">
        <v>3305</v>
      </c>
      <c r="E842" s="230" t="s">
        <v>3306</v>
      </c>
      <c r="F842" s="264">
        <v>7799110000439</v>
      </c>
      <c r="G842" s="221">
        <v>12</v>
      </c>
      <c r="H842" s="5" t="s">
        <v>1191</v>
      </c>
      <c r="I842" s="204">
        <v>3.89</v>
      </c>
      <c r="J842" s="260">
        <v>0.1</v>
      </c>
      <c r="L842" s="217">
        <f t="shared" si="39"/>
        <v>1839.9604403249998</v>
      </c>
      <c r="N842" s="271">
        <f t="shared" si="40"/>
        <v>2667.9426384712497</v>
      </c>
      <c r="P842" s="326">
        <f t="shared" si="41"/>
        <v>3228.2105925502119</v>
      </c>
    </row>
    <row r="843" spans="1:16">
      <c r="A843" s="206">
        <v>837</v>
      </c>
      <c r="B843" s="175" t="s">
        <v>3201</v>
      </c>
      <c r="C843" s="175" t="s">
        <v>3304</v>
      </c>
      <c r="D843" s="190" t="s">
        <v>3307</v>
      </c>
      <c r="E843" s="230" t="s">
        <v>3308</v>
      </c>
      <c r="F843" s="264">
        <v>7799110000446</v>
      </c>
      <c r="G843" s="221">
        <v>12</v>
      </c>
      <c r="H843" s="5" t="s">
        <v>1191</v>
      </c>
      <c r="I843" s="204">
        <v>4.58</v>
      </c>
      <c r="J843" s="260">
        <v>0.1</v>
      </c>
      <c r="L843" s="217">
        <f t="shared" si="39"/>
        <v>2166.3287446499999</v>
      </c>
      <c r="N843" s="271">
        <f t="shared" si="40"/>
        <v>3141.1766797424998</v>
      </c>
      <c r="P843" s="326">
        <f t="shared" si="41"/>
        <v>3800.8237824884245</v>
      </c>
    </row>
    <row r="844" spans="1:16">
      <c r="A844" s="206">
        <v>838</v>
      </c>
      <c r="B844" s="175" t="s">
        <v>3201</v>
      </c>
      <c r="C844" s="175" t="s">
        <v>3304</v>
      </c>
      <c r="D844" s="190" t="s">
        <v>3309</v>
      </c>
      <c r="E844" s="230" t="s">
        <v>3310</v>
      </c>
      <c r="F844" s="264">
        <v>7799110000453</v>
      </c>
      <c r="G844" s="221">
        <v>12</v>
      </c>
      <c r="H844" s="5" t="s">
        <v>1191</v>
      </c>
      <c r="I844" s="204">
        <v>6.85</v>
      </c>
      <c r="J844" s="260">
        <v>0.1</v>
      </c>
      <c r="L844" s="217">
        <f t="shared" si="39"/>
        <v>3240.0331661249998</v>
      </c>
      <c r="N844" s="271">
        <f t="shared" si="40"/>
        <v>4698.0480908812497</v>
      </c>
      <c r="P844" s="326">
        <f t="shared" si="41"/>
        <v>5684.638189966312</v>
      </c>
    </row>
    <row r="845" spans="1:16">
      <c r="A845" s="206">
        <v>839</v>
      </c>
      <c r="B845" s="175" t="s">
        <v>3201</v>
      </c>
      <c r="C845" s="175" t="s">
        <v>3304</v>
      </c>
      <c r="D845" s="190" t="s">
        <v>3311</v>
      </c>
      <c r="E845" s="230" t="s">
        <v>3312</v>
      </c>
      <c r="F845" s="264">
        <v>7799110000460</v>
      </c>
      <c r="G845" s="221">
        <v>12</v>
      </c>
      <c r="H845" s="5" t="s">
        <v>1191</v>
      </c>
      <c r="I845" s="204">
        <v>3.7</v>
      </c>
      <c r="J845" s="260">
        <v>0.1</v>
      </c>
      <c r="L845" s="217">
        <f t="shared" si="39"/>
        <v>1750.0909072499999</v>
      </c>
      <c r="N845" s="271">
        <f t="shared" si="40"/>
        <v>2537.6318155124995</v>
      </c>
      <c r="P845" s="326">
        <f t="shared" si="41"/>
        <v>3070.5344967701244</v>
      </c>
    </row>
    <row r="846" spans="1:16">
      <c r="A846" s="206">
        <v>840</v>
      </c>
      <c r="B846" s="175" t="s">
        <v>3201</v>
      </c>
      <c r="C846" s="175" t="s">
        <v>3304</v>
      </c>
      <c r="D846" s="190" t="s">
        <v>3313</v>
      </c>
      <c r="E846" s="230" t="s">
        <v>3314</v>
      </c>
      <c r="F846" s="264">
        <v>7799110000477</v>
      </c>
      <c r="G846" s="221">
        <v>12</v>
      </c>
      <c r="H846" s="5" t="s">
        <v>1191</v>
      </c>
      <c r="I846" s="204">
        <v>4.2</v>
      </c>
      <c r="J846" s="260">
        <v>0.1</v>
      </c>
      <c r="L846" s="217">
        <f t="shared" si="39"/>
        <v>1986.5896784999995</v>
      </c>
      <c r="N846" s="271">
        <f t="shared" si="40"/>
        <v>2880.5550338249991</v>
      </c>
      <c r="P846" s="326">
        <f t="shared" si="41"/>
        <v>3485.4715909282486</v>
      </c>
    </row>
    <row r="847" spans="1:16">
      <c r="A847" s="206">
        <v>841</v>
      </c>
      <c r="B847" s="175" t="s">
        <v>3201</v>
      </c>
      <c r="C847" s="175" t="s">
        <v>3304</v>
      </c>
      <c r="D847" s="190" t="s">
        <v>3315</v>
      </c>
      <c r="E847" s="230" t="s">
        <v>3316</v>
      </c>
      <c r="F847" s="264">
        <v>7799110000484</v>
      </c>
      <c r="G847" s="221">
        <v>12</v>
      </c>
      <c r="H847" s="5" t="s">
        <v>1191</v>
      </c>
      <c r="I847" s="204">
        <v>5.07</v>
      </c>
      <c r="J847" s="260">
        <v>0.1</v>
      </c>
      <c r="L847" s="217">
        <f t="shared" si="39"/>
        <v>2398.0975404749997</v>
      </c>
      <c r="N847" s="271">
        <f t="shared" si="40"/>
        <v>3477.2414336887496</v>
      </c>
      <c r="P847" s="326">
        <f t="shared" si="41"/>
        <v>4207.4621347633865</v>
      </c>
    </row>
    <row r="848" spans="1:16">
      <c r="A848" s="206">
        <v>842</v>
      </c>
      <c r="B848" s="175" t="s">
        <v>1025</v>
      </c>
      <c r="C848" s="175" t="s">
        <v>2686</v>
      </c>
      <c r="D848" s="3" t="s">
        <v>1102</v>
      </c>
      <c r="E848" s="179" t="s">
        <v>1103</v>
      </c>
      <c r="F848" s="221">
        <v>7794334000951</v>
      </c>
      <c r="G848" s="221">
        <v>6</v>
      </c>
      <c r="H848" s="5" t="s">
        <v>1191</v>
      </c>
      <c r="I848" s="204">
        <v>10.4</v>
      </c>
      <c r="J848" s="260">
        <v>0.1</v>
      </c>
      <c r="L848" s="217">
        <f t="shared" si="39"/>
        <v>4919.1744419999995</v>
      </c>
      <c r="N848" s="271">
        <f t="shared" si="40"/>
        <v>7132.8029408999992</v>
      </c>
      <c r="P848" s="326">
        <f t="shared" si="41"/>
        <v>8630.6915584889994</v>
      </c>
    </row>
    <row r="849" spans="1:16">
      <c r="A849" s="206">
        <v>843</v>
      </c>
      <c r="B849" s="175" t="s">
        <v>1025</v>
      </c>
      <c r="C849" s="175" t="s">
        <v>2686</v>
      </c>
      <c r="D849" s="3" t="s">
        <v>1104</v>
      </c>
      <c r="E849" s="179" t="s">
        <v>1105</v>
      </c>
      <c r="F849" s="221">
        <v>7794334000968</v>
      </c>
      <c r="G849" s="221">
        <v>6</v>
      </c>
      <c r="H849" s="5" t="s">
        <v>1191</v>
      </c>
      <c r="I849" s="204">
        <v>23.81</v>
      </c>
      <c r="J849" s="260">
        <v>0.1</v>
      </c>
      <c r="L849" s="217">
        <f t="shared" si="39"/>
        <v>11262.071486924999</v>
      </c>
      <c r="N849" s="271">
        <f t="shared" si="40"/>
        <v>16330.003656041248</v>
      </c>
      <c r="P849" s="326">
        <f t="shared" si="41"/>
        <v>19759.30442380991</v>
      </c>
    </row>
    <row r="850" spans="1:16">
      <c r="A850" s="206">
        <v>844</v>
      </c>
      <c r="B850" s="175" t="s">
        <v>1025</v>
      </c>
      <c r="C850" s="175" t="s">
        <v>2686</v>
      </c>
      <c r="D850" s="3" t="s">
        <v>1106</v>
      </c>
      <c r="E850" s="180" t="s">
        <v>1107</v>
      </c>
      <c r="F850" s="221">
        <v>7794334008353</v>
      </c>
      <c r="G850" s="221">
        <v>5</v>
      </c>
      <c r="H850" s="5" t="s">
        <v>1191</v>
      </c>
      <c r="I850" s="204">
        <v>11.9</v>
      </c>
      <c r="J850" s="260">
        <v>0.1</v>
      </c>
      <c r="L850" s="217">
        <f t="shared" si="39"/>
        <v>5628.6707557499994</v>
      </c>
      <c r="N850" s="271">
        <f t="shared" si="40"/>
        <v>8161.5725958374987</v>
      </c>
      <c r="P850" s="326">
        <f t="shared" si="41"/>
        <v>9875.5028409633724</v>
      </c>
    </row>
    <row r="851" spans="1:16">
      <c r="A851" s="206">
        <v>845</v>
      </c>
      <c r="B851" s="175" t="s">
        <v>1025</v>
      </c>
      <c r="C851" s="175" t="s">
        <v>2686</v>
      </c>
      <c r="D851" s="3" t="s">
        <v>1108</v>
      </c>
      <c r="E851" s="180" t="s">
        <v>1109</v>
      </c>
      <c r="F851" s="221">
        <v>7794334008360</v>
      </c>
      <c r="G851" s="221">
        <v>5</v>
      </c>
      <c r="H851" s="5" t="s">
        <v>1191</v>
      </c>
      <c r="I851" s="204">
        <v>11.9</v>
      </c>
      <c r="J851" s="260">
        <v>0.1</v>
      </c>
      <c r="L851" s="217">
        <f t="shared" si="39"/>
        <v>5628.6707557499994</v>
      </c>
      <c r="N851" s="271">
        <f t="shared" si="40"/>
        <v>8161.5725958374987</v>
      </c>
      <c r="P851" s="326">
        <f t="shared" si="41"/>
        <v>9875.5028409633724</v>
      </c>
    </row>
    <row r="852" spans="1:16">
      <c r="A852" s="206">
        <v>846</v>
      </c>
      <c r="B852" s="175" t="s">
        <v>1025</v>
      </c>
      <c r="C852" s="175" t="s">
        <v>2686</v>
      </c>
      <c r="D852" s="3" t="s">
        <v>1110</v>
      </c>
      <c r="E852" s="180" t="s">
        <v>1111</v>
      </c>
      <c r="F852" s="221">
        <v>7794334008377</v>
      </c>
      <c r="G852" s="221">
        <v>5</v>
      </c>
      <c r="H852" s="5" t="s">
        <v>1191</v>
      </c>
      <c r="I852" s="204">
        <v>11.9</v>
      </c>
      <c r="J852" s="260">
        <v>0.1</v>
      </c>
      <c r="L852" s="217">
        <f t="shared" si="39"/>
        <v>5628.6707557499994</v>
      </c>
      <c r="N852" s="271">
        <f t="shared" si="40"/>
        <v>8161.5725958374987</v>
      </c>
      <c r="P852" s="326">
        <f t="shared" si="41"/>
        <v>9875.5028409633724</v>
      </c>
    </row>
    <row r="853" spans="1:16">
      <c r="A853" s="206">
        <v>847</v>
      </c>
      <c r="B853" s="175" t="s">
        <v>1025</v>
      </c>
      <c r="C853" s="175" t="s">
        <v>2686</v>
      </c>
      <c r="D853" s="3" t="s">
        <v>1112</v>
      </c>
      <c r="E853" s="180" t="s">
        <v>1113</v>
      </c>
      <c r="F853" s="221">
        <v>7794334008384</v>
      </c>
      <c r="G853" s="221">
        <v>5</v>
      </c>
      <c r="H853" s="5" t="s">
        <v>1191</v>
      </c>
      <c r="I853" s="204">
        <v>11.9</v>
      </c>
      <c r="J853" s="260">
        <v>0.1</v>
      </c>
      <c r="L853" s="217">
        <f t="shared" si="39"/>
        <v>5628.6707557499994</v>
      </c>
      <c r="N853" s="271">
        <f t="shared" si="40"/>
        <v>8161.5725958374987</v>
      </c>
      <c r="P853" s="326">
        <f t="shared" si="41"/>
        <v>9875.5028409633724</v>
      </c>
    </row>
    <row r="854" spans="1:16">
      <c r="A854" s="206">
        <v>848</v>
      </c>
      <c r="B854" s="175" t="s">
        <v>1025</v>
      </c>
      <c r="C854" s="175" t="s">
        <v>2686</v>
      </c>
      <c r="D854" s="3" t="s">
        <v>1114</v>
      </c>
      <c r="E854" s="179" t="s">
        <v>1115</v>
      </c>
      <c r="F854" s="221">
        <v>7794334001002</v>
      </c>
      <c r="G854" s="221">
        <v>6</v>
      </c>
      <c r="H854" s="5" t="s">
        <v>1191</v>
      </c>
      <c r="I854" s="204">
        <v>4.28</v>
      </c>
      <c r="J854" s="260">
        <v>0.1</v>
      </c>
      <c r="L854" s="217">
        <f t="shared" si="39"/>
        <v>2024.4294819000002</v>
      </c>
      <c r="N854" s="271">
        <f t="shared" si="40"/>
        <v>2935.4227487550002</v>
      </c>
      <c r="P854" s="326">
        <f t="shared" si="41"/>
        <v>3551.86152599355</v>
      </c>
    </row>
    <row r="855" spans="1:16">
      <c r="A855" s="206">
        <v>849</v>
      </c>
      <c r="B855" s="175" t="s">
        <v>1025</v>
      </c>
      <c r="C855" s="175" t="s">
        <v>2686</v>
      </c>
      <c r="D855" s="3" t="s">
        <v>1116</v>
      </c>
      <c r="E855" s="179" t="s">
        <v>1117</v>
      </c>
      <c r="F855" s="221">
        <v>7794334000937</v>
      </c>
      <c r="G855" s="221">
        <v>6</v>
      </c>
      <c r="H855" s="5" t="s">
        <v>1191</v>
      </c>
      <c r="I855" s="204">
        <v>6.58</v>
      </c>
      <c r="J855" s="260">
        <v>0.1</v>
      </c>
      <c r="L855" s="217">
        <f t="shared" si="39"/>
        <v>3112.3238296499999</v>
      </c>
      <c r="N855" s="271">
        <f t="shared" si="40"/>
        <v>4512.8695529924998</v>
      </c>
      <c r="P855" s="326">
        <f t="shared" si="41"/>
        <v>5460.5721591209249</v>
      </c>
    </row>
    <row r="856" spans="1:16">
      <c r="A856" s="206">
        <v>850</v>
      </c>
      <c r="B856" s="175" t="s">
        <v>1025</v>
      </c>
      <c r="C856" s="175" t="s">
        <v>2686</v>
      </c>
      <c r="D856" s="3" t="s">
        <v>1118</v>
      </c>
      <c r="E856" s="179" t="s">
        <v>1119</v>
      </c>
      <c r="F856" s="221">
        <v>7794334000944</v>
      </c>
      <c r="G856" s="221">
        <v>6</v>
      </c>
      <c r="H856" s="5" t="s">
        <v>1191</v>
      </c>
      <c r="I856" s="204">
        <v>14.74</v>
      </c>
      <c r="J856" s="260">
        <v>0.1</v>
      </c>
      <c r="L856" s="217">
        <f t="shared" si="39"/>
        <v>6971.9837764499989</v>
      </c>
      <c r="N856" s="271">
        <f t="shared" si="40"/>
        <v>10109.376475852498</v>
      </c>
      <c r="P856" s="326">
        <f t="shared" si="41"/>
        <v>12232.345535781522</v>
      </c>
    </row>
    <row r="857" spans="1:16">
      <c r="A857" s="206">
        <v>851</v>
      </c>
      <c r="B857" s="175" t="s">
        <v>1025</v>
      </c>
      <c r="C857" s="175" t="s">
        <v>2686</v>
      </c>
      <c r="D857" s="3" t="s">
        <v>1120</v>
      </c>
      <c r="E857" s="179" t="s">
        <v>1121</v>
      </c>
      <c r="F857" s="221">
        <v>7794334242139</v>
      </c>
      <c r="G857" s="221">
        <v>6</v>
      </c>
      <c r="H857" s="5" t="s">
        <v>1191</v>
      </c>
      <c r="I857" s="204">
        <v>2.02</v>
      </c>
      <c r="J857" s="260">
        <v>0.1</v>
      </c>
      <c r="L857" s="217">
        <f t="shared" si="39"/>
        <v>955.45503585000006</v>
      </c>
      <c r="N857" s="271">
        <f t="shared" si="40"/>
        <v>1385.4098019825001</v>
      </c>
      <c r="P857" s="326">
        <f t="shared" si="41"/>
        <v>1676.3458603988252</v>
      </c>
    </row>
    <row r="858" spans="1:16">
      <c r="A858" s="206">
        <v>852</v>
      </c>
      <c r="B858" s="175" t="s">
        <v>1025</v>
      </c>
      <c r="C858" s="175" t="s">
        <v>2686</v>
      </c>
      <c r="D858" s="3" t="s">
        <v>1122</v>
      </c>
      <c r="E858" s="179" t="s">
        <v>1123</v>
      </c>
      <c r="F858" s="221">
        <v>7794334242146</v>
      </c>
      <c r="G858" s="221">
        <v>6</v>
      </c>
      <c r="H858" s="5" t="s">
        <v>1191</v>
      </c>
      <c r="I858" s="204">
        <v>4.6900000000000004</v>
      </c>
      <c r="J858" s="260">
        <v>0.1</v>
      </c>
      <c r="L858" s="217">
        <f t="shared" si="39"/>
        <v>2218.3584743250003</v>
      </c>
      <c r="N858" s="271">
        <f t="shared" si="40"/>
        <v>3216.6197877712502</v>
      </c>
      <c r="P858" s="326">
        <f t="shared" si="41"/>
        <v>3892.1099432032129</v>
      </c>
    </row>
    <row r="859" spans="1:16">
      <c r="A859" s="206">
        <v>853</v>
      </c>
      <c r="B859" s="175" t="s">
        <v>1025</v>
      </c>
      <c r="C859" s="175" t="s">
        <v>2686</v>
      </c>
      <c r="D859" s="231" t="s">
        <v>3317</v>
      </c>
      <c r="E859" s="232" t="s">
        <v>3318</v>
      </c>
      <c r="F859" s="221">
        <v>7794334243655</v>
      </c>
      <c r="G859" s="221">
        <v>6</v>
      </c>
      <c r="H859" s="5" t="s">
        <v>1191</v>
      </c>
      <c r="I859" s="204">
        <v>1.17</v>
      </c>
      <c r="J859" s="260">
        <v>0.1</v>
      </c>
      <c r="L859" s="217">
        <f t="shared" si="39"/>
        <v>553.40712472500002</v>
      </c>
      <c r="N859" s="271">
        <f t="shared" si="40"/>
        <v>802.44033085125</v>
      </c>
      <c r="P859" s="326">
        <f t="shared" si="41"/>
        <v>970.95280033001245</v>
      </c>
    </row>
    <row r="860" spans="1:16">
      <c r="A860" s="206">
        <v>854</v>
      </c>
      <c r="B860" s="175" t="s">
        <v>1025</v>
      </c>
      <c r="C860" s="175" t="s">
        <v>2686</v>
      </c>
      <c r="D860" s="231" t="s">
        <v>3319</v>
      </c>
      <c r="E860" s="232" t="s">
        <v>3320</v>
      </c>
      <c r="F860" s="221">
        <v>7794334243662</v>
      </c>
      <c r="G860" s="221">
        <v>6</v>
      </c>
      <c r="H860" s="5" t="s">
        <v>1191</v>
      </c>
      <c r="I860" s="204">
        <v>2.5</v>
      </c>
      <c r="J860" s="260">
        <v>0.1</v>
      </c>
      <c r="L860" s="217">
        <f t="shared" si="39"/>
        <v>1182.4938562500001</v>
      </c>
      <c r="N860" s="271">
        <f t="shared" si="40"/>
        <v>1714.6160915625001</v>
      </c>
      <c r="P860" s="326">
        <f t="shared" si="41"/>
        <v>2074.685470790625</v>
      </c>
    </row>
    <row r="861" spans="1:16">
      <c r="A861" s="206">
        <v>855</v>
      </c>
      <c r="B861" s="175" t="s">
        <v>1025</v>
      </c>
      <c r="C861" s="175" t="s">
        <v>2686</v>
      </c>
      <c r="D861" s="231" t="s">
        <v>3321</v>
      </c>
      <c r="E861" s="232" t="s">
        <v>3322</v>
      </c>
      <c r="F861" s="221">
        <v>7794334243679</v>
      </c>
      <c r="G861" s="221">
        <v>6</v>
      </c>
      <c r="H861" s="5" t="s">
        <v>1191</v>
      </c>
      <c r="I861" s="204">
        <v>1.17</v>
      </c>
      <c r="J861" s="260">
        <v>0.1</v>
      </c>
      <c r="L861" s="217">
        <f t="shared" si="39"/>
        <v>553.40712472500002</v>
      </c>
      <c r="N861" s="271">
        <f t="shared" si="40"/>
        <v>802.44033085125</v>
      </c>
      <c r="P861" s="326">
        <f t="shared" si="41"/>
        <v>970.95280033001245</v>
      </c>
    </row>
    <row r="862" spans="1:16">
      <c r="A862" s="206">
        <v>856</v>
      </c>
      <c r="B862" s="175" t="s">
        <v>1025</v>
      </c>
      <c r="C862" s="175" t="s">
        <v>2686</v>
      </c>
      <c r="D862" s="231" t="s">
        <v>3323</v>
      </c>
      <c r="E862" s="232" t="s">
        <v>3324</v>
      </c>
      <c r="F862" s="221">
        <v>7794334243686</v>
      </c>
      <c r="G862" s="221">
        <v>6</v>
      </c>
      <c r="H862" s="5" t="s">
        <v>1191</v>
      </c>
      <c r="I862" s="204">
        <v>2.5</v>
      </c>
      <c r="J862" s="260">
        <v>0.1</v>
      </c>
      <c r="L862" s="217">
        <f t="shared" si="39"/>
        <v>1182.4938562500001</v>
      </c>
      <c r="N862" s="271">
        <f t="shared" si="40"/>
        <v>1714.6160915625001</v>
      </c>
      <c r="P862" s="326">
        <f t="shared" si="41"/>
        <v>2074.685470790625</v>
      </c>
    </row>
    <row r="863" spans="1:16">
      <c r="A863" s="206">
        <v>857</v>
      </c>
      <c r="B863" s="175" t="s">
        <v>1025</v>
      </c>
      <c r="C863" s="175" t="s">
        <v>2686</v>
      </c>
      <c r="D863" s="231" t="s">
        <v>3325</v>
      </c>
      <c r="E863" s="232" t="s">
        <v>3326</v>
      </c>
      <c r="F863" s="221">
        <v>7794334243693</v>
      </c>
      <c r="G863" s="221">
        <v>6</v>
      </c>
      <c r="H863" s="5" t="s">
        <v>1191</v>
      </c>
      <c r="I863" s="204">
        <v>1.17</v>
      </c>
      <c r="J863" s="260">
        <v>0.1</v>
      </c>
      <c r="L863" s="217">
        <f t="shared" si="39"/>
        <v>553.40712472500002</v>
      </c>
      <c r="N863" s="271">
        <f t="shared" si="40"/>
        <v>802.44033085125</v>
      </c>
      <c r="P863" s="326">
        <f t="shared" si="41"/>
        <v>970.95280033001245</v>
      </c>
    </row>
    <row r="864" spans="1:16">
      <c r="A864" s="206">
        <v>858</v>
      </c>
      <c r="B864" s="175" t="s">
        <v>1025</v>
      </c>
      <c r="C864" s="175" t="s">
        <v>2686</v>
      </c>
      <c r="D864" s="231" t="s">
        <v>3327</v>
      </c>
      <c r="E864" s="232" t="s">
        <v>3328</v>
      </c>
      <c r="F864" s="221">
        <v>7794334243709</v>
      </c>
      <c r="G864" s="221">
        <v>6</v>
      </c>
      <c r="H864" s="5" t="s">
        <v>1191</v>
      </c>
      <c r="I864" s="204">
        <v>2.5</v>
      </c>
      <c r="J864" s="260">
        <v>0.1</v>
      </c>
      <c r="L864" s="217">
        <f t="shared" si="39"/>
        <v>1182.4938562500001</v>
      </c>
      <c r="N864" s="271">
        <f t="shared" si="40"/>
        <v>1714.6160915625001</v>
      </c>
      <c r="P864" s="326">
        <f t="shared" si="41"/>
        <v>2074.685470790625</v>
      </c>
    </row>
    <row r="865" spans="1:16">
      <c r="A865" s="206">
        <v>859</v>
      </c>
      <c r="B865" s="175" t="s">
        <v>1025</v>
      </c>
      <c r="C865" s="175" t="s">
        <v>2686</v>
      </c>
      <c r="D865" s="3" t="s">
        <v>1124</v>
      </c>
      <c r="E865" s="179" t="s">
        <v>1125</v>
      </c>
      <c r="F865" s="221">
        <v>7794334242153</v>
      </c>
      <c r="G865" s="221">
        <v>6</v>
      </c>
      <c r="H865" s="5" t="s">
        <v>1191</v>
      </c>
      <c r="I865" s="204">
        <v>6.38</v>
      </c>
      <c r="J865" s="260">
        <v>0.1</v>
      </c>
      <c r="L865" s="217">
        <f t="shared" si="39"/>
        <v>3017.7243211499995</v>
      </c>
      <c r="N865" s="271">
        <f t="shared" si="40"/>
        <v>4375.7002656674995</v>
      </c>
      <c r="P865" s="326">
        <f t="shared" si="41"/>
        <v>5294.5973214576743</v>
      </c>
    </row>
    <row r="866" spans="1:16">
      <c r="A866" s="206">
        <v>860</v>
      </c>
      <c r="B866" s="175" t="s">
        <v>1025</v>
      </c>
      <c r="C866" s="175" t="s">
        <v>2686</v>
      </c>
      <c r="D866" s="3" t="s">
        <v>1126</v>
      </c>
      <c r="E866" s="179" t="s">
        <v>1127</v>
      </c>
      <c r="F866" s="221">
        <v>7794334242160</v>
      </c>
      <c r="G866" s="221">
        <v>6</v>
      </c>
      <c r="H866" s="5" t="s">
        <v>1191</v>
      </c>
      <c r="I866" s="204">
        <v>8.09</v>
      </c>
      <c r="J866" s="260">
        <v>0.1</v>
      </c>
      <c r="L866" s="217">
        <f t="shared" si="39"/>
        <v>3826.5501188249991</v>
      </c>
      <c r="N866" s="271">
        <f t="shared" si="40"/>
        <v>5548.4976722962483</v>
      </c>
      <c r="P866" s="326">
        <f t="shared" si="41"/>
        <v>6713.6821834784605</v>
      </c>
    </row>
    <row r="867" spans="1:16">
      <c r="A867" s="206">
        <v>861</v>
      </c>
      <c r="B867" s="175" t="s">
        <v>1025</v>
      </c>
      <c r="C867" s="175" t="s">
        <v>2686</v>
      </c>
      <c r="D867" s="3" t="s">
        <v>1128</v>
      </c>
      <c r="E867" s="179" t="s">
        <v>1129</v>
      </c>
      <c r="F867" s="221">
        <v>7794334001019</v>
      </c>
      <c r="G867" s="221">
        <v>2</v>
      </c>
      <c r="H867" s="5" t="s">
        <v>1191</v>
      </c>
      <c r="I867" s="204">
        <v>11.9</v>
      </c>
      <c r="J867" s="260">
        <v>0.1</v>
      </c>
      <c r="L867" s="217">
        <f t="shared" si="39"/>
        <v>5628.6707557499994</v>
      </c>
      <c r="N867" s="271">
        <f t="shared" si="40"/>
        <v>8161.5725958374987</v>
      </c>
      <c r="P867" s="326">
        <f t="shared" si="41"/>
        <v>9875.5028409633724</v>
      </c>
    </row>
    <row r="868" spans="1:16">
      <c r="A868" s="206">
        <v>862</v>
      </c>
      <c r="B868" s="175" t="s">
        <v>1025</v>
      </c>
      <c r="C868" s="175" t="s">
        <v>2686</v>
      </c>
      <c r="D868" s="3" t="s">
        <v>1130</v>
      </c>
      <c r="E868" s="188" t="s">
        <v>1131</v>
      </c>
      <c r="F868" s="221">
        <v>7794334242177</v>
      </c>
      <c r="G868" s="221">
        <v>2</v>
      </c>
      <c r="H868" s="5" t="s">
        <v>1191</v>
      </c>
      <c r="I868" s="204">
        <v>5.9</v>
      </c>
      <c r="J868" s="260">
        <v>0.1</v>
      </c>
      <c r="L868" s="217">
        <f t="shared" si="39"/>
        <v>2790.6855007499998</v>
      </c>
      <c r="N868" s="271">
        <f t="shared" si="40"/>
        <v>4046.4939760874995</v>
      </c>
      <c r="P868" s="326">
        <f t="shared" si="41"/>
        <v>4896.257711065874</v>
      </c>
    </row>
    <row r="869" spans="1:16">
      <c r="A869" s="206">
        <v>863</v>
      </c>
      <c r="B869" s="175" t="s">
        <v>1025</v>
      </c>
      <c r="C869" s="175" t="s">
        <v>3329</v>
      </c>
      <c r="D869" s="233" t="s">
        <v>3330</v>
      </c>
      <c r="E869" s="188" t="s">
        <v>3331</v>
      </c>
      <c r="F869" s="221">
        <v>7794334243808</v>
      </c>
      <c r="G869" s="221">
        <v>12</v>
      </c>
      <c r="H869" s="5" t="s">
        <v>1191</v>
      </c>
      <c r="I869" s="204">
        <v>3.45</v>
      </c>
      <c r="J869" s="260">
        <v>0.1</v>
      </c>
      <c r="L869" s="217">
        <f t="shared" si="39"/>
        <v>1631.841521625</v>
      </c>
      <c r="N869" s="271">
        <f t="shared" si="40"/>
        <v>2366.1702063562498</v>
      </c>
      <c r="P869" s="326">
        <f t="shared" si="41"/>
        <v>2863.0659496910621</v>
      </c>
    </row>
    <row r="870" spans="1:16">
      <c r="A870" s="206">
        <v>864</v>
      </c>
      <c r="B870" s="175" t="s">
        <v>1025</v>
      </c>
      <c r="C870" s="175" t="s">
        <v>3329</v>
      </c>
      <c r="D870" s="233" t="s">
        <v>3332</v>
      </c>
      <c r="E870" s="188" t="s">
        <v>3333</v>
      </c>
      <c r="F870" s="221">
        <v>7794334243815</v>
      </c>
      <c r="G870" s="221">
        <v>12</v>
      </c>
      <c r="H870" s="5" t="s">
        <v>1191</v>
      </c>
      <c r="I870" s="204">
        <v>3.78</v>
      </c>
      <c r="J870" s="260">
        <v>0.1</v>
      </c>
      <c r="L870" s="217">
        <f t="shared" si="39"/>
        <v>1787.9307106499998</v>
      </c>
      <c r="N870" s="271">
        <f t="shared" si="40"/>
        <v>2592.4995304424997</v>
      </c>
      <c r="P870" s="326">
        <f t="shared" si="41"/>
        <v>3136.9244318354245</v>
      </c>
    </row>
    <row r="871" spans="1:16">
      <c r="A871" s="206">
        <v>865</v>
      </c>
      <c r="B871" s="175" t="s">
        <v>1025</v>
      </c>
      <c r="C871" s="175" t="s">
        <v>3329</v>
      </c>
      <c r="D871" s="233" t="s">
        <v>3334</v>
      </c>
      <c r="E871" s="188" t="s">
        <v>3335</v>
      </c>
      <c r="F871" s="221">
        <v>7794334243822</v>
      </c>
      <c r="G871" s="221">
        <v>12</v>
      </c>
      <c r="H871" s="5" t="s">
        <v>1191</v>
      </c>
      <c r="I871" s="204">
        <v>4.2699999999999996</v>
      </c>
      <c r="J871" s="260">
        <v>0.1</v>
      </c>
      <c r="L871" s="217">
        <f t="shared" si="39"/>
        <v>2019.6995064749999</v>
      </c>
      <c r="N871" s="271">
        <f t="shared" si="40"/>
        <v>2928.5642843887499</v>
      </c>
      <c r="P871" s="326">
        <f t="shared" si="41"/>
        <v>3543.5627841103874</v>
      </c>
    </row>
    <row r="872" spans="1:16">
      <c r="A872" s="206">
        <v>866</v>
      </c>
      <c r="B872" s="175" t="s">
        <v>1025</v>
      </c>
      <c r="C872" s="175" t="s">
        <v>3329</v>
      </c>
      <c r="D872" s="233" t="s">
        <v>3336</v>
      </c>
      <c r="E872" s="188" t="s">
        <v>3337</v>
      </c>
      <c r="F872" s="221">
        <v>7794334243839</v>
      </c>
      <c r="G872" s="221">
        <v>12</v>
      </c>
      <c r="H872" s="5" t="s">
        <v>1191</v>
      </c>
      <c r="I872" s="204">
        <v>5.36</v>
      </c>
      <c r="J872" s="260">
        <v>0.1</v>
      </c>
      <c r="L872" s="217">
        <f t="shared" si="39"/>
        <v>2535.2668277999996</v>
      </c>
      <c r="N872" s="271">
        <f t="shared" si="40"/>
        <v>3676.1369003099994</v>
      </c>
      <c r="P872" s="326">
        <f t="shared" si="41"/>
        <v>4448.1256493750989</v>
      </c>
    </row>
    <row r="873" spans="1:16">
      <c r="A873" s="206">
        <v>867</v>
      </c>
      <c r="B873" s="175" t="s">
        <v>1025</v>
      </c>
      <c r="C873" s="175" t="s">
        <v>3329</v>
      </c>
      <c r="D873" s="234" t="s">
        <v>3338</v>
      </c>
      <c r="E873" s="188" t="s">
        <v>3339</v>
      </c>
      <c r="F873" s="221">
        <v>7794334243853</v>
      </c>
      <c r="G873" s="221">
        <v>10</v>
      </c>
      <c r="H873" s="5" t="s">
        <v>1191</v>
      </c>
      <c r="I873" s="204">
        <v>3.36</v>
      </c>
      <c r="J873" s="260">
        <v>0.1</v>
      </c>
      <c r="L873" s="217">
        <f t="shared" si="39"/>
        <v>1589.2717427999999</v>
      </c>
      <c r="N873" s="271">
        <f t="shared" si="40"/>
        <v>2304.4440270599998</v>
      </c>
      <c r="P873" s="326">
        <f t="shared" si="41"/>
        <v>2788.3772727425999</v>
      </c>
    </row>
    <row r="874" spans="1:16">
      <c r="A874" s="206">
        <v>868</v>
      </c>
      <c r="B874" s="175" t="s">
        <v>1025</v>
      </c>
      <c r="C874" s="175" t="s">
        <v>3329</v>
      </c>
      <c r="D874" s="234" t="s">
        <v>3340</v>
      </c>
      <c r="E874" s="188" t="s">
        <v>3341</v>
      </c>
      <c r="F874" s="221">
        <v>7794334243860</v>
      </c>
      <c r="G874" s="221">
        <v>10</v>
      </c>
      <c r="H874" s="5" t="s">
        <v>1191</v>
      </c>
      <c r="I874" s="204">
        <v>3.95</v>
      </c>
      <c r="J874" s="260">
        <v>0.1</v>
      </c>
      <c r="L874" s="217">
        <f t="shared" si="39"/>
        <v>1868.3402928750002</v>
      </c>
      <c r="N874" s="271">
        <f t="shared" si="40"/>
        <v>2709.0934246687502</v>
      </c>
      <c r="P874" s="326">
        <f t="shared" si="41"/>
        <v>3278.0030438491876</v>
      </c>
    </row>
    <row r="875" spans="1:16">
      <c r="A875" s="206">
        <v>869</v>
      </c>
      <c r="B875" s="175" t="s">
        <v>1025</v>
      </c>
      <c r="C875" s="175" t="s">
        <v>3329</v>
      </c>
      <c r="D875" s="233" t="s">
        <v>3342</v>
      </c>
      <c r="E875" s="188" t="s">
        <v>3343</v>
      </c>
      <c r="F875" s="221">
        <v>7794334243884</v>
      </c>
      <c r="G875" s="221">
        <v>12</v>
      </c>
      <c r="H875" s="5" t="s">
        <v>1191</v>
      </c>
      <c r="I875" s="204">
        <v>4.2699999999999996</v>
      </c>
      <c r="J875" s="260">
        <v>0.1</v>
      </c>
      <c r="L875" s="217">
        <f t="shared" si="39"/>
        <v>2019.6995064749999</v>
      </c>
      <c r="N875" s="271">
        <f t="shared" si="40"/>
        <v>2928.5642843887499</v>
      </c>
      <c r="P875" s="326">
        <f t="shared" si="41"/>
        <v>3543.5627841103874</v>
      </c>
    </row>
    <row r="876" spans="1:16">
      <c r="A876" s="206">
        <v>870</v>
      </c>
      <c r="B876" s="175" t="s">
        <v>1025</v>
      </c>
      <c r="C876" s="175" t="s">
        <v>3329</v>
      </c>
      <c r="D876" s="233" t="s">
        <v>3344</v>
      </c>
      <c r="E876" s="188" t="s">
        <v>3345</v>
      </c>
      <c r="F876" s="221">
        <v>7794334243891</v>
      </c>
      <c r="G876" s="221">
        <v>12</v>
      </c>
      <c r="H876" s="5" t="s">
        <v>1191</v>
      </c>
      <c r="I876" s="204">
        <v>5.59</v>
      </c>
      <c r="J876" s="260">
        <v>0.1</v>
      </c>
      <c r="L876" s="217">
        <f t="shared" si="39"/>
        <v>2644.0562625749994</v>
      </c>
      <c r="N876" s="271">
        <f t="shared" si="40"/>
        <v>3833.8815807337492</v>
      </c>
      <c r="P876" s="326">
        <f t="shared" si="41"/>
        <v>4638.9967126878364</v>
      </c>
    </row>
    <row r="877" spans="1:16">
      <c r="A877" s="206">
        <v>871</v>
      </c>
      <c r="B877" s="175" t="s">
        <v>1025</v>
      </c>
      <c r="C877" s="175" t="s">
        <v>4019</v>
      </c>
      <c r="D877" s="233" t="s">
        <v>4020</v>
      </c>
      <c r="E877" s="188" t="s">
        <v>4021</v>
      </c>
      <c r="F877" s="221">
        <v>7794334244652</v>
      </c>
      <c r="G877" s="221">
        <v>2</v>
      </c>
      <c r="H877" s="5" t="s">
        <v>1191</v>
      </c>
      <c r="I877" s="204">
        <v>7.93</v>
      </c>
      <c r="J877" s="260">
        <v>0.1</v>
      </c>
      <c r="L877" s="217">
        <f t="shared" si="39"/>
        <v>3750.8705120249997</v>
      </c>
      <c r="N877" s="271">
        <f t="shared" si="40"/>
        <v>5438.7622424362498</v>
      </c>
      <c r="P877" s="326">
        <f t="shared" si="41"/>
        <v>6580.9023133478622</v>
      </c>
    </row>
    <row r="878" spans="1:16">
      <c r="A878" s="206">
        <v>872</v>
      </c>
      <c r="B878" s="175" t="s">
        <v>1025</v>
      </c>
      <c r="C878" s="175" t="s">
        <v>4019</v>
      </c>
      <c r="D878" s="233" t="s">
        <v>4022</v>
      </c>
      <c r="E878" s="188" t="s">
        <v>4023</v>
      </c>
      <c r="F878" s="221">
        <v>7794334244669</v>
      </c>
      <c r="G878" s="221">
        <v>2</v>
      </c>
      <c r="H878" s="5" t="s">
        <v>1191</v>
      </c>
      <c r="I878" s="204">
        <v>9.9</v>
      </c>
      <c r="J878" s="260">
        <v>0.1</v>
      </c>
      <c r="L878" s="217">
        <f t="shared" si="39"/>
        <v>4682.6756707500008</v>
      </c>
      <c r="N878" s="271">
        <f t="shared" si="40"/>
        <v>6789.8797225875005</v>
      </c>
      <c r="P878" s="326">
        <f t="shared" si="41"/>
        <v>8215.7544643308756</v>
      </c>
    </row>
    <row r="879" spans="1:16">
      <c r="A879" s="206">
        <v>873</v>
      </c>
      <c r="B879" s="175" t="s">
        <v>1025</v>
      </c>
      <c r="C879" s="175" t="s">
        <v>3329</v>
      </c>
      <c r="D879" s="234" t="s">
        <v>3346</v>
      </c>
      <c r="E879" s="188" t="s">
        <v>3347</v>
      </c>
      <c r="F879" s="221">
        <v>7794334243907</v>
      </c>
      <c r="G879" s="221">
        <v>2</v>
      </c>
      <c r="H879" s="5" t="s">
        <v>1191</v>
      </c>
      <c r="I879" s="204">
        <v>7.93</v>
      </c>
      <c r="J879" s="260">
        <v>0.1</v>
      </c>
      <c r="L879" s="217">
        <f t="shared" si="39"/>
        <v>3750.8705120249997</v>
      </c>
      <c r="N879" s="271">
        <f t="shared" si="40"/>
        <v>5438.7622424362498</v>
      </c>
      <c r="P879" s="326">
        <f t="shared" si="41"/>
        <v>6580.9023133478622</v>
      </c>
    </row>
    <row r="880" spans="1:16">
      <c r="A880" s="206">
        <v>874</v>
      </c>
      <c r="B880" s="175" t="s">
        <v>1025</v>
      </c>
      <c r="C880" s="175" t="s">
        <v>3329</v>
      </c>
      <c r="D880" s="235" t="s">
        <v>3348</v>
      </c>
      <c r="E880" s="188" t="s">
        <v>3349</v>
      </c>
      <c r="F880" s="221">
        <v>7794334243914</v>
      </c>
      <c r="G880" s="221">
        <v>2</v>
      </c>
      <c r="H880" s="5" t="s">
        <v>1191</v>
      </c>
      <c r="I880" s="204">
        <v>9.9</v>
      </c>
      <c r="J880" s="260">
        <v>0.1</v>
      </c>
      <c r="L880" s="217">
        <f t="shared" si="39"/>
        <v>4682.6756707500008</v>
      </c>
      <c r="N880" s="271">
        <f t="shared" si="40"/>
        <v>6789.8797225875005</v>
      </c>
      <c r="P880" s="326">
        <f t="shared" si="41"/>
        <v>8215.7544643308756</v>
      </c>
    </row>
    <row r="881" spans="1:16">
      <c r="A881" s="206">
        <v>875</v>
      </c>
      <c r="B881" s="175" t="s">
        <v>1025</v>
      </c>
      <c r="C881" s="175" t="s">
        <v>3329</v>
      </c>
      <c r="D881" s="233" t="s">
        <v>3350</v>
      </c>
      <c r="E881" s="188" t="s">
        <v>3351</v>
      </c>
      <c r="F881" s="221">
        <v>7794334243921</v>
      </c>
      <c r="G881" s="221">
        <v>2</v>
      </c>
      <c r="H881" s="5" t="s">
        <v>1191</v>
      </c>
      <c r="I881" s="204">
        <v>7.93</v>
      </c>
      <c r="J881" s="260">
        <v>0.1</v>
      </c>
      <c r="L881" s="217">
        <f t="shared" si="39"/>
        <v>3750.8705120249997</v>
      </c>
      <c r="N881" s="271">
        <f t="shared" si="40"/>
        <v>5438.7622424362498</v>
      </c>
      <c r="P881" s="326">
        <f t="shared" si="41"/>
        <v>6580.9023133478622</v>
      </c>
    </row>
    <row r="882" spans="1:16">
      <c r="A882" s="206">
        <v>876</v>
      </c>
      <c r="B882" s="175" t="s">
        <v>1025</v>
      </c>
      <c r="C882" s="175" t="s">
        <v>3329</v>
      </c>
      <c r="D882" s="233" t="s">
        <v>3352</v>
      </c>
      <c r="E882" s="188" t="s">
        <v>3353</v>
      </c>
      <c r="F882" s="221">
        <v>7794334243938</v>
      </c>
      <c r="G882" s="221">
        <v>2</v>
      </c>
      <c r="H882" s="5" t="s">
        <v>1191</v>
      </c>
      <c r="I882" s="204">
        <v>9.82</v>
      </c>
      <c r="J882" s="260">
        <v>0.1</v>
      </c>
      <c r="L882" s="217">
        <f t="shared" si="39"/>
        <v>4644.8358673499997</v>
      </c>
      <c r="N882" s="271">
        <f t="shared" si="40"/>
        <v>6735.0120076574995</v>
      </c>
      <c r="P882" s="326">
        <f t="shared" si="41"/>
        <v>8149.3645292655738</v>
      </c>
    </row>
    <row r="883" spans="1:16">
      <c r="A883" s="206">
        <v>877</v>
      </c>
      <c r="B883" s="175" t="s">
        <v>1025</v>
      </c>
      <c r="C883" s="175" t="s">
        <v>4019</v>
      </c>
      <c r="D883" s="233" t="s">
        <v>4024</v>
      </c>
      <c r="E883" s="188" t="s">
        <v>4025</v>
      </c>
      <c r="F883" s="221">
        <v>7794334244645</v>
      </c>
      <c r="G883" s="221">
        <v>2</v>
      </c>
      <c r="H883" s="5" t="s">
        <v>1191</v>
      </c>
      <c r="I883" s="204">
        <v>21.33</v>
      </c>
      <c r="J883" s="260">
        <v>0.1</v>
      </c>
      <c r="L883" s="217">
        <f t="shared" si="39"/>
        <v>10089.037581525001</v>
      </c>
      <c r="N883" s="271">
        <f t="shared" si="40"/>
        <v>14629.104493211251</v>
      </c>
      <c r="P883" s="326">
        <f t="shared" si="41"/>
        <v>17701.216436785613</v>
      </c>
    </row>
    <row r="884" spans="1:16">
      <c r="A884" s="206">
        <v>878</v>
      </c>
      <c r="B884" s="175" t="s">
        <v>1025</v>
      </c>
      <c r="C884" s="175" t="s">
        <v>3329</v>
      </c>
      <c r="D884" s="233" t="s">
        <v>3354</v>
      </c>
      <c r="E884" s="188" t="s">
        <v>3355</v>
      </c>
      <c r="F884" s="221">
        <v>7794334243945</v>
      </c>
      <c r="G884" s="221">
        <v>2</v>
      </c>
      <c r="H884" s="5" t="s">
        <v>1191</v>
      </c>
      <c r="I884" s="204">
        <v>8.32</v>
      </c>
      <c r="J884" s="260">
        <v>0.1</v>
      </c>
      <c r="L884" s="217">
        <f t="shared" si="39"/>
        <v>3935.3395536000003</v>
      </c>
      <c r="N884" s="271">
        <f t="shared" si="40"/>
        <v>5706.2423527199999</v>
      </c>
      <c r="P884" s="326">
        <f t="shared" si="41"/>
        <v>6904.5532467911999</v>
      </c>
    </row>
    <row r="885" spans="1:16">
      <c r="A885" s="206">
        <v>879</v>
      </c>
      <c r="B885" s="175" t="s">
        <v>1025</v>
      </c>
      <c r="C885" s="175" t="s">
        <v>3329</v>
      </c>
      <c r="D885" s="233" t="s">
        <v>3356</v>
      </c>
      <c r="E885" s="188" t="s">
        <v>3357</v>
      </c>
      <c r="F885" s="221">
        <v>7794334243952</v>
      </c>
      <c r="G885" s="221">
        <v>2</v>
      </c>
      <c r="H885" s="5" t="s">
        <v>1191</v>
      </c>
      <c r="I885" s="204">
        <v>9.9</v>
      </c>
      <c r="J885" s="260">
        <v>0.1</v>
      </c>
      <c r="L885" s="217">
        <f t="shared" si="39"/>
        <v>4682.6756707500008</v>
      </c>
      <c r="N885" s="271">
        <f t="shared" si="40"/>
        <v>6789.8797225875005</v>
      </c>
      <c r="P885" s="326">
        <f t="shared" si="41"/>
        <v>8215.7544643308756</v>
      </c>
    </row>
    <row r="886" spans="1:16">
      <c r="A886" s="206">
        <v>880</v>
      </c>
      <c r="B886" s="175" t="s">
        <v>1025</v>
      </c>
      <c r="C886" s="175" t="s">
        <v>3329</v>
      </c>
      <c r="D886" s="233" t="s">
        <v>3358</v>
      </c>
      <c r="E886" s="188" t="s">
        <v>3359</v>
      </c>
      <c r="F886" s="221">
        <v>7794334243969</v>
      </c>
      <c r="G886" s="221">
        <v>2</v>
      </c>
      <c r="H886" s="5" t="s">
        <v>1191</v>
      </c>
      <c r="I886" s="204">
        <v>8.5500000000000007</v>
      </c>
      <c r="J886" s="260">
        <v>0.1</v>
      </c>
      <c r="L886" s="217">
        <f t="shared" si="39"/>
        <v>4044.128988375001</v>
      </c>
      <c r="N886" s="271">
        <f t="shared" si="40"/>
        <v>5863.9870331437514</v>
      </c>
      <c r="P886" s="326">
        <f t="shared" si="41"/>
        <v>7095.4243101039392</v>
      </c>
    </row>
    <row r="887" spans="1:16">
      <c r="A887" s="206">
        <v>881</v>
      </c>
      <c r="B887" s="175" t="s">
        <v>1025</v>
      </c>
      <c r="C887" s="175" t="s">
        <v>3329</v>
      </c>
      <c r="D887" s="233" t="s">
        <v>3360</v>
      </c>
      <c r="E887" s="188" t="s">
        <v>3361</v>
      </c>
      <c r="F887" s="221">
        <v>7794334243976</v>
      </c>
      <c r="G887" s="221">
        <v>2</v>
      </c>
      <c r="H887" s="5" t="s">
        <v>1191</v>
      </c>
      <c r="I887" s="204">
        <v>10.69</v>
      </c>
      <c r="J887" s="260">
        <v>0.1</v>
      </c>
      <c r="L887" s="217">
        <f t="shared" si="39"/>
        <v>5056.3437293249999</v>
      </c>
      <c r="N887" s="271">
        <f t="shared" si="40"/>
        <v>7331.6984075212495</v>
      </c>
      <c r="P887" s="326">
        <f t="shared" si="41"/>
        <v>8871.3550731007108</v>
      </c>
    </row>
    <row r="888" spans="1:16">
      <c r="A888" s="206">
        <v>882</v>
      </c>
      <c r="B888" s="175" t="s">
        <v>1025</v>
      </c>
      <c r="C888" s="175" t="s">
        <v>4019</v>
      </c>
      <c r="D888" s="233" t="s">
        <v>4026</v>
      </c>
      <c r="E888" s="188" t="s">
        <v>4027</v>
      </c>
      <c r="F888" s="221">
        <v>7794334243983</v>
      </c>
      <c r="G888" s="221">
        <v>2</v>
      </c>
      <c r="H888" s="5" t="s">
        <v>1191</v>
      </c>
      <c r="I888" s="204">
        <v>16.27</v>
      </c>
      <c r="J888" s="260">
        <v>0.1</v>
      </c>
      <c r="L888" s="217">
        <f t="shared" si="39"/>
        <v>7695.670016475</v>
      </c>
      <c r="N888" s="271">
        <f t="shared" si="40"/>
        <v>11158.721523888749</v>
      </c>
      <c r="P888" s="326">
        <f t="shared" si="41"/>
        <v>13502.053043905385</v>
      </c>
    </row>
    <row r="889" spans="1:16">
      <c r="A889" s="206">
        <v>883</v>
      </c>
      <c r="B889" s="175" t="s">
        <v>1025</v>
      </c>
      <c r="C889" s="175" t="s">
        <v>3329</v>
      </c>
      <c r="D889" s="233" t="s">
        <v>3362</v>
      </c>
      <c r="E889" s="188" t="s">
        <v>3363</v>
      </c>
      <c r="F889" s="221">
        <v>7794334243990</v>
      </c>
      <c r="G889" s="221">
        <v>2</v>
      </c>
      <c r="H889" s="5" t="s">
        <v>1191</v>
      </c>
      <c r="I889" s="204">
        <v>6.16</v>
      </c>
      <c r="J889" s="260">
        <v>0.1</v>
      </c>
      <c r="L889" s="217">
        <f t="shared" si="39"/>
        <v>2913.6648617999999</v>
      </c>
      <c r="N889" s="271">
        <f t="shared" si="40"/>
        <v>4224.8140496099995</v>
      </c>
      <c r="P889" s="326">
        <f t="shared" si="41"/>
        <v>5112.0250000280994</v>
      </c>
    </row>
    <row r="890" spans="1:16">
      <c r="A890" s="206">
        <v>884</v>
      </c>
      <c r="B890" s="175" t="s">
        <v>1025</v>
      </c>
      <c r="C890" s="175" t="s">
        <v>3329</v>
      </c>
      <c r="D890" s="233" t="s">
        <v>3364</v>
      </c>
      <c r="E890" s="188" t="s">
        <v>3365</v>
      </c>
      <c r="F890" s="221">
        <v>7794334244003</v>
      </c>
      <c r="G890" s="221">
        <v>2</v>
      </c>
      <c r="H890" s="5" t="s">
        <v>1191</v>
      </c>
      <c r="I890" s="204">
        <v>7.11</v>
      </c>
      <c r="J890" s="260">
        <v>0.1</v>
      </c>
      <c r="L890" s="217">
        <f t="shared" si="39"/>
        <v>3363.0125271749998</v>
      </c>
      <c r="N890" s="271">
        <f t="shared" si="40"/>
        <v>4876.3681644037497</v>
      </c>
      <c r="P890" s="326">
        <f t="shared" si="41"/>
        <v>5900.4054789285374</v>
      </c>
    </row>
    <row r="891" spans="1:16">
      <c r="A891" s="206">
        <v>885</v>
      </c>
      <c r="B891" s="175" t="s">
        <v>1025</v>
      </c>
      <c r="C891" s="175" t="s">
        <v>4019</v>
      </c>
      <c r="D891" s="233" t="s">
        <v>4028</v>
      </c>
      <c r="E891" s="188" t="s">
        <v>4029</v>
      </c>
      <c r="F891" s="221">
        <v>7794334244010</v>
      </c>
      <c r="G891" s="221">
        <v>2</v>
      </c>
      <c r="H891" s="5" t="s">
        <v>1191</v>
      </c>
      <c r="I891" s="204">
        <v>11.97</v>
      </c>
      <c r="J891" s="260">
        <v>0.1</v>
      </c>
      <c r="L891" s="217">
        <f t="shared" si="39"/>
        <v>5661.7805837249998</v>
      </c>
      <c r="N891" s="271">
        <f t="shared" si="40"/>
        <v>8209.58184640125</v>
      </c>
      <c r="P891" s="326">
        <f t="shared" si="41"/>
        <v>9933.5940341455116</v>
      </c>
    </row>
    <row r="892" spans="1:16">
      <c r="A892" s="206">
        <v>886</v>
      </c>
      <c r="B892" s="175" t="s">
        <v>1025</v>
      </c>
      <c r="C892" s="175" t="s">
        <v>4019</v>
      </c>
      <c r="D892" s="233" t="s">
        <v>4030</v>
      </c>
      <c r="E892" s="188" t="s">
        <v>4031</v>
      </c>
      <c r="F892" s="221">
        <v>7794334244676</v>
      </c>
      <c r="G892" s="221">
        <v>2</v>
      </c>
      <c r="H892" s="5" t="s">
        <v>1191</v>
      </c>
      <c r="I892" s="204">
        <v>13.34</v>
      </c>
      <c r="J892" s="260">
        <v>0.1</v>
      </c>
      <c r="L892" s="217">
        <f t="shared" si="39"/>
        <v>6309.7872169499997</v>
      </c>
      <c r="N892" s="271">
        <f t="shared" si="40"/>
        <v>9149.1914645774996</v>
      </c>
      <c r="P892" s="326">
        <f t="shared" si="41"/>
        <v>11070.521672138773</v>
      </c>
    </row>
    <row r="893" spans="1:16">
      <c r="A893" s="206">
        <v>887</v>
      </c>
      <c r="B893" s="175" t="s">
        <v>1025</v>
      </c>
      <c r="C893" s="175" t="s">
        <v>4019</v>
      </c>
      <c r="D893" s="233" t="s">
        <v>4032</v>
      </c>
      <c r="E893" s="188" t="s">
        <v>4033</v>
      </c>
      <c r="F893" s="221">
        <v>7794334244683</v>
      </c>
      <c r="G893" s="221">
        <v>2</v>
      </c>
      <c r="H893" s="5" t="s">
        <v>1191</v>
      </c>
      <c r="I893" s="204">
        <v>17.7</v>
      </c>
      <c r="J893" s="260">
        <v>0.1</v>
      </c>
      <c r="L893" s="217">
        <f t="shared" si="39"/>
        <v>8372.0565022499995</v>
      </c>
      <c r="N893" s="271">
        <f t="shared" si="40"/>
        <v>12139.481928262499</v>
      </c>
      <c r="P893" s="326">
        <f t="shared" si="41"/>
        <v>14688.773133197625</v>
      </c>
    </row>
    <row r="894" spans="1:16">
      <c r="A894" s="206">
        <v>888</v>
      </c>
      <c r="B894" s="175" t="s">
        <v>1025</v>
      </c>
      <c r="C894" s="175" t="s">
        <v>4019</v>
      </c>
      <c r="D894" s="233" t="s">
        <v>4034</v>
      </c>
      <c r="E894" s="188" t="s">
        <v>4035</v>
      </c>
      <c r="F894" s="221">
        <v>7794334244690</v>
      </c>
      <c r="G894" s="221">
        <v>2</v>
      </c>
      <c r="H894" s="5" t="s">
        <v>1191</v>
      </c>
      <c r="I894" s="204">
        <v>20.38</v>
      </c>
      <c r="J894" s="260">
        <v>0.1</v>
      </c>
      <c r="L894" s="217">
        <f t="shared" si="39"/>
        <v>9639.6899161499987</v>
      </c>
      <c r="N894" s="271">
        <f t="shared" si="40"/>
        <v>13977.550378417498</v>
      </c>
      <c r="P894" s="326">
        <f t="shared" si="41"/>
        <v>16912.835957885171</v>
      </c>
    </row>
    <row r="895" spans="1:16">
      <c r="A895" s="206">
        <v>889</v>
      </c>
      <c r="B895" s="175" t="s">
        <v>1025</v>
      </c>
      <c r="C895" s="175" t="s">
        <v>4019</v>
      </c>
      <c r="D895" s="233" t="s">
        <v>4036</v>
      </c>
      <c r="E895" s="188" t="s">
        <v>4037</v>
      </c>
      <c r="F895" s="221">
        <v>7794334244706</v>
      </c>
      <c r="G895" s="221">
        <v>2</v>
      </c>
      <c r="H895" s="5" t="s">
        <v>1191</v>
      </c>
      <c r="I895" s="204">
        <v>23</v>
      </c>
      <c r="J895" s="260">
        <v>0.1</v>
      </c>
      <c r="L895" s="217">
        <f t="shared" si="39"/>
        <v>10878.943477499999</v>
      </c>
      <c r="N895" s="271">
        <f t="shared" si="40"/>
        <v>15774.468042374998</v>
      </c>
      <c r="P895" s="326">
        <f t="shared" si="41"/>
        <v>19087.106331273746</v>
      </c>
    </row>
    <row r="896" spans="1:16">
      <c r="A896" s="206">
        <v>890</v>
      </c>
      <c r="B896" s="175" t="s">
        <v>1025</v>
      </c>
      <c r="C896" s="175" t="s">
        <v>3329</v>
      </c>
      <c r="D896" s="233" t="s">
        <v>3366</v>
      </c>
      <c r="E896" s="188" t="s">
        <v>3367</v>
      </c>
      <c r="F896" s="221">
        <v>7794334244027</v>
      </c>
      <c r="G896" s="221">
        <v>12</v>
      </c>
      <c r="H896" s="5" t="s">
        <v>1191</v>
      </c>
      <c r="I896" s="204">
        <v>2.73</v>
      </c>
      <c r="J896" s="260">
        <v>0.1</v>
      </c>
      <c r="L896" s="217">
        <f t="shared" si="39"/>
        <v>1291.2832910249999</v>
      </c>
      <c r="N896" s="271">
        <f t="shared" si="40"/>
        <v>1872.3607719862498</v>
      </c>
      <c r="P896" s="326">
        <f t="shared" si="41"/>
        <v>2265.5565341033621</v>
      </c>
    </row>
    <row r="897" spans="1:16">
      <c r="A897" s="206">
        <v>891</v>
      </c>
      <c r="B897" s="175" t="s">
        <v>1025</v>
      </c>
      <c r="C897" s="175" t="s">
        <v>3329</v>
      </c>
      <c r="D897" s="233" t="s">
        <v>3368</v>
      </c>
      <c r="E897" s="188" t="s">
        <v>3369</v>
      </c>
      <c r="F897" s="221">
        <v>7794334244034</v>
      </c>
      <c r="G897" s="221">
        <v>12</v>
      </c>
      <c r="H897" s="5" t="s">
        <v>1191</v>
      </c>
      <c r="I897" s="204">
        <v>5.16</v>
      </c>
      <c r="J897" s="260">
        <v>0.1</v>
      </c>
      <c r="L897" s="217">
        <f t="shared" si="39"/>
        <v>2440.6673192999997</v>
      </c>
      <c r="N897" s="271">
        <f t="shared" si="40"/>
        <v>3538.9676129849995</v>
      </c>
      <c r="P897" s="326">
        <f t="shared" si="41"/>
        <v>4282.1508117118492</v>
      </c>
    </row>
    <row r="898" spans="1:16">
      <c r="A898" s="206">
        <v>892</v>
      </c>
      <c r="B898" s="175" t="s">
        <v>1025</v>
      </c>
      <c r="C898" s="175" t="s">
        <v>3329</v>
      </c>
      <c r="D898" s="233" t="s">
        <v>3370</v>
      </c>
      <c r="E898" s="188" t="s">
        <v>3371</v>
      </c>
      <c r="F898" s="221">
        <v>7794334244041</v>
      </c>
      <c r="G898" s="221">
        <v>12</v>
      </c>
      <c r="H898" s="5" t="s">
        <v>1191</v>
      </c>
      <c r="I898" s="204">
        <v>3.34</v>
      </c>
      <c r="J898" s="260">
        <v>0.1</v>
      </c>
      <c r="L898" s="217">
        <f t="shared" si="39"/>
        <v>1579.81179195</v>
      </c>
      <c r="N898" s="271">
        <f t="shared" si="40"/>
        <v>2290.7270983274998</v>
      </c>
      <c r="P898" s="326">
        <f t="shared" si="41"/>
        <v>2771.7797889762746</v>
      </c>
    </row>
    <row r="899" spans="1:16">
      <c r="A899" s="206">
        <v>893</v>
      </c>
      <c r="B899" s="175" t="s">
        <v>1025</v>
      </c>
      <c r="C899" s="175" t="s">
        <v>3329</v>
      </c>
      <c r="D899" s="233" t="s">
        <v>3372</v>
      </c>
      <c r="E899" s="188" t="s">
        <v>3373</v>
      </c>
      <c r="F899" s="221">
        <v>7794334244058</v>
      </c>
      <c r="G899" s="221">
        <v>12</v>
      </c>
      <c r="H899" s="5" t="s">
        <v>1191</v>
      </c>
      <c r="I899" s="204">
        <v>3.81</v>
      </c>
      <c r="J899" s="260">
        <v>0.1</v>
      </c>
      <c r="L899" s="217">
        <f t="shared" si="39"/>
        <v>1802.1206369250001</v>
      </c>
      <c r="N899" s="271">
        <f t="shared" si="40"/>
        <v>2613.07492354125</v>
      </c>
      <c r="P899" s="326">
        <f t="shared" si="41"/>
        <v>3161.8206574849123</v>
      </c>
    </row>
    <row r="900" spans="1:16">
      <c r="A900" s="206">
        <v>894</v>
      </c>
      <c r="B900" s="175" t="s">
        <v>1025</v>
      </c>
      <c r="C900" s="175" t="s">
        <v>3329</v>
      </c>
      <c r="D900" s="233" t="s">
        <v>3374</v>
      </c>
      <c r="E900" s="188" t="s">
        <v>3375</v>
      </c>
      <c r="F900" s="221">
        <v>7794334244065</v>
      </c>
      <c r="G900" s="221">
        <v>12</v>
      </c>
      <c r="H900" s="5" t="s">
        <v>1191</v>
      </c>
      <c r="I900" s="204">
        <v>4.2699999999999996</v>
      </c>
      <c r="J900" s="260">
        <v>0.1</v>
      </c>
      <c r="L900" s="217">
        <f t="shared" si="39"/>
        <v>2019.6995064749999</v>
      </c>
      <c r="N900" s="271">
        <f t="shared" si="40"/>
        <v>2928.5642843887499</v>
      </c>
      <c r="P900" s="326">
        <f t="shared" si="41"/>
        <v>3543.5627841103874</v>
      </c>
    </row>
    <row r="901" spans="1:16">
      <c r="A901" s="206">
        <v>895</v>
      </c>
      <c r="B901" s="175" t="s">
        <v>1025</v>
      </c>
      <c r="C901" s="175" t="s">
        <v>3329</v>
      </c>
      <c r="D901" s="233" t="s">
        <v>3376</v>
      </c>
      <c r="E901" s="188" t="s">
        <v>3377</v>
      </c>
      <c r="F901" s="221">
        <v>7794334244072</v>
      </c>
      <c r="G901" s="221">
        <v>12</v>
      </c>
      <c r="H901" s="5" t="s">
        <v>1191</v>
      </c>
      <c r="I901" s="204">
        <v>5.71</v>
      </c>
      <c r="J901" s="260">
        <v>0.1</v>
      </c>
      <c r="L901" s="217">
        <f t="shared" si="39"/>
        <v>2700.8159676750001</v>
      </c>
      <c r="N901" s="271">
        <f t="shared" si="40"/>
        <v>3916.1831531287503</v>
      </c>
      <c r="P901" s="326">
        <f t="shared" si="41"/>
        <v>4738.5816152857878</v>
      </c>
    </row>
    <row r="902" spans="1:16">
      <c r="A902" s="206">
        <v>896</v>
      </c>
      <c r="B902" s="175" t="s">
        <v>1025</v>
      </c>
      <c r="C902" s="175" t="s">
        <v>3329</v>
      </c>
      <c r="D902" s="233" t="s">
        <v>3378</v>
      </c>
      <c r="E902" s="188" t="s">
        <v>3379</v>
      </c>
      <c r="F902" s="221">
        <v>7794334244089</v>
      </c>
      <c r="G902" s="221">
        <v>12</v>
      </c>
      <c r="H902" s="5" t="s">
        <v>1191</v>
      </c>
      <c r="I902" s="204">
        <v>6.75</v>
      </c>
      <c r="J902" s="260">
        <v>0.1</v>
      </c>
      <c r="L902" s="217">
        <f t="shared" si="39"/>
        <v>3192.733411875</v>
      </c>
      <c r="N902" s="271">
        <f t="shared" si="40"/>
        <v>4629.4634472187499</v>
      </c>
      <c r="P902" s="326">
        <f t="shared" si="41"/>
        <v>5601.6507711346876</v>
      </c>
    </row>
    <row r="903" spans="1:16">
      <c r="A903" s="206">
        <v>897</v>
      </c>
      <c r="B903" s="175" t="s">
        <v>1025</v>
      </c>
      <c r="C903" s="175" t="s">
        <v>3329</v>
      </c>
      <c r="D903" s="233" t="s">
        <v>3380</v>
      </c>
      <c r="E903" s="188" t="s">
        <v>3381</v>
      </c>
      <c r="F903" s="221">
        <v>7794334244096</v>
      </c>
      <c r="G903" s="221">
        <v>12</v>
      </c>
      <c r="H903" s="5" t="s">
        <v>1191</v>
      </c>
      <c r="I903" s="204">
        <v>7.62</v>
      </c>
      <c r="J903" s="260">
        <v>0.1</v>
      </c>
      <c r="L903" s="217">
        <f t="shared" si="39"/>
        <v>3604.2412738500002</v>
      </c>
      <c r="N903" s="271">
        <f t="shared" si="40"/>
        <v>5226.1498470824999</v>
      </c>
      <c r="P903" s="326">
        <f t="shared" si="41"/>
        <v>6323.6413149698246</v>
      </c>
    </row>
    <row r="904" spans="1:16">
      <c r="A904" s="206">
        <v>898</v>
      </c>
      <c r="B904" s="175" t="s">
        <v>1025</v>
      </c>
      <c r="C904" s="175" t="s">
        <v>3329</v>
      </c>
      <c r="D904" s="233" t="s">
        <v>3382</v>
      </c>
      <c r="E904" s="188" t="s">
        <v>3383</v>
      </c>
      <c r="F904" s="221">
        <v>7794334244102</v>
      </c>
      <c r="G904" s="221">
        <v>10</v>
      </c>
      <c r="H904" s="5" t="s">
        <v>1191</v>
      </c>
      <c r="I904" s="204">
        <v>4.2699999999999996</v>
      </c>
      <c r="J904" s="260">
        <v>0.1</v>
      </c>
      <c r="L904" s="217">
        <f t="shared" ref="L904:L912" si="42">+I904*$F$2*$F$3*$F$4*$F$5</f>
        <v>2019.6995064749999</v>
      </c>
      <c r="N904" s="271">
        <f t="shared" si="40"/>
        <v>2928.5642843887499</v>
      </c>
      <c r="P904" s="326">
        <f t="shared" si="41"/>
        <v>3543.5627841103874</v>
      </c>
    </row>
    <row r="905" spans="1:16">
      <c r="A905" s="206">
        <v>899</v>
      </c>
      <c r="B905" s="175" t="s">
        <v>1025</v>
      </c>
      <c r="C905" s="175" t="s">
        <v>3589</v>
      </c>
      <c r="D905" s="243" t="s">
        <v>3590</v>
      </c>
      <c r="E905" s="188" t="s">
        <v>3591</v>
      </c>
      <c r="F905" s="221">
        <v>7794334245789</v>
      </c>
      <c r="G905" s="221">
        <v>1</v>
      </c>
      <c r="H905" s="5" t="s">
        <v>1191</v>
      </c>
      <c r="I905" s="204">
        <v>205</v>
      </c>
      <c r="J905" s="260">
        <v>0.1</v>
      </c>
      <c r="L905" s="217">
        <f t="shared" si="42"/>
        <v>96964.496212499987</v>
      </c>
      <c r="N905" s="271">
        <f t="shared" ref="N905:N912" si="43">+L905*1.45</f>
        <v>140598.51950812497</v>
      </c>
      <c r="P905" s="326">
        <f t="shared" ref="P905:P912" si="44">+N905*1.21</f>
        <v>170124.20860483122</v>
      </c>
    </row>
    <row r="906" spans="1:16">
      <c r="A906" s="206">
        <v>900</v>
      </c>
      <c r="B906" s="175" t="s">
        <v>1025</v>
      </c>
      <c r="C906" s="175" t="s">
        <v>3589</v>
      </c>
      <c r="D906" s="243" t="s">
        <v>3592</v>
      </c>
      <c r="E906" s="188" t="s">
        <v>3593</v>
      </c>
      <c r="F906" s="221">
        <v>7794334245772</v>
      </c>
      <c r="G906" s="221">
        <v>1</v>
      </c>
      <c r="H906" s="5" t="s">
        <v>1191</v>
      </c>
      <c r="I906" s="204">
        <v>295</v>
      </c>
      <c r="J906" s="260">
        <v>0.1</v>
      </c>
      <c r="L906" s="217">
        <f t="shared" si="42"/>
        <v>139534.27503749999</v>
      </c>
      <c r="N906" s="271">
        <f t="shared" si="43"/>
        <v>202324.69880437499</v>
      </c>
      <c r="P906" s="326">
        <f t="shared" si="44"/>
        <v>244812.88555329372</v>
      </c>
    </row>
    <row r="907" spans="1:16">
      <c r="A907" s="206">
        <v>901</v>
      </c>
      <c r="B907" s="175" t="s">
        <v>1025</v>
      </c>
      <c r="C907" s="175" t="s">
        <v>3589</v>
      </c>
      <c r="D907" s="243" t="s">
        <v>3594</v>
      </c>
      <c r="E907" s="188" t="s">
        <v>3595</v>
      </c>
      <c r="F907" s="221">
        <v>7794334245765</v>
      </c>
      <c r="G907" s="221">
        <v>1</v>
      </c>
      <c r="H907" s="5" t="s">
        <v>1191</v>
      </c>
      <c r="I907" s="204">
        <v>355</v>
      </c>
      <c r="J907" s="260">
        <v>0.1</v>
      </c>
      <c r="L907" s="217">
        <f t="shared" si="42"/>
        <v>167914.1275875</v>
      </c>
      <c r="N907" s="271">
        <f t="shared" si="43"/>
        <v>243475.485001875</v>
      </c>
      <c r="P907" s="326">
        <f t="shared" si="44"/>
        <v>294605.33685226872</v>
      </c>
    </row>
    <row r="908" spans="1:16">
      <c r="A908" s="206">
        <v>902</v>
      </c>
      <c r="B908" s="175" t="s">
        <v>1025</v>
      </c>
      <c r="C908" s="175" t="s">
        <v>3589</v>
      </c>
      <c r="D908" s="243" t="s">
        <v>3596</v>
      </c>
      <c r="E908" s="188" t="s">
        <v>3597</v>
      </c>
      <c r="F908" s="221">
        <v>7794334245758</v>
      </c>
      <c r="G908" s="221">
        <v>1</v>
      </c>
      <c r="H908" s="5" t="s">
        <v>1191</v>
      </c>
      <c r="I908" s="204">
        <v>465</v>
      </c>
      <c r="J908" s="260">
        <v>0.1</v>
      </c>
      <c r="L908" s="217">
        <f t="shared" si="42"/>
        <v>219943.85726250001</v>
      </c>
      <c r="N908" s="271">
        <f t="shared" si="43"/>
        <v>318918.59303062502</v>
      </c>
      <c r="P908" s="326">
        <f t="shared" si="44"/>
        <v>385891.49756705627</v>
      </c>
    </row>
    <row r="909" spans="1:16">
      <c r="A909" s="206">
        <v>903</v>
      </c>
      <c r="B909" s="175" t="s">
        <v>1025</v>
      </c>
      <c r="C909" s="175" t="s">
        <v>3589</v>
      </c>
      <c r="D909" s="243" t="s">
        <v>3598</v>
      </c>
      <c r="E909" s="188" t="s">
        <v>3599</v>
      </c>
      <c r="F909" s="265">
        <v>7794334245802</v>
      </c>
      <c r="G909" s="221">
        <v>1</v>
      </c>
      <c r="H909" s="5" t="s">
        <v>1191</v>
      </c>
      <c r="I909" s="204">
        <v>38</v>
      </c>
      <c r="J909" s="260">
        <v>0.1</v>
      </c>
      <c r="L909" s="217">
        <f t="shared" si="42"/>
        <v>17973.906614999996</v>
      </c>
      <c r="N909" s="271">
        <f t="shared" si="43"/>
        <v>26062.164591749995</v>
      </c>
      <c r="P909" s="326">
        <f t="shared" si="44"/>
        <v>31535.219156017494</v>
      </c>
    </row>
    <row r="910" spans="1:16">
      <c r="A910" s="206">
        <v>904</v>
      </c>
      <c r="B910" s="175" t="s">
        <v>1025</v>
      </c>
      <c r="C910" s="175" t="s">
        <v>3589</v>
      </c>
      <c r="D910" s="243" t="s">
        <v>3600</v>
      </c>
      <c r="E910" s="188" t="s">
        <v>3601</v>
      </c>
      <c r="F910" s="265">
        <v>7794334245819</v>
      </c>
      <c r="G910" s="221">
        <v>1</v>
      </c>
      <c r="H910" s="5" t="s">
        <v>1191</v>
      </c>
      <c r="I910" s="204">
        <v>52.5</v>
      </c>
      <c r="J910" s="260">
        <v>0.1</v>
      </c>
      <c r="L910" s="217">
        <f t="shared" si="42"/>
        <v>24832.370981249998</v>
      </c>
      <c r="N910" s="271">
        <f t="shared" si="43"/>
        <v>36006.937922812496</v>
      </c>
      <c r="P910" s="326">
        <f t="shared" si="44"/>
        <v>43568.394886603121</v>
      </c>
    </row>
    <row r="911" spans="1:16">
      <c r="A911" s="206">
        <v>905</v>
      </c>
      <c r="B911" s="175" t="s">
        <v>1025</v>
      </c>
      <c r="C911" s="175" t="s">
        <v>3589</v>
      </c>
      <c r="D911" s="243" t="s">
        <v>3602</v>
      </c>
      <c r="E911" s="188" t="s">
        <v>3603</v>
      </c>
      <c r="F911" s="265">
        <v>7794334245826</v>
      </c>
      <c r="G911" s="221">
        <v>1</v>
      </c>
      <c r="H911" s="5" t="s">
        <v>1191</v>
      </c>
      <c r="I911" s="204">
        <v>74</v>
      </c>
      <c r="J911" s="260">
        <v>0.1</v>
      </c>
      <c r="L911" s="217">
        <f t="shared" si="42"/>
        <v>35001.818144999997</v>
      </c>
      <c r="N911" s="271">
        <f t="shared" si="43"/>
        <v>50752.636310249996</v>
      </c>
      <c r="P911" s="326">
        <f t="shared" si="44"/>
        <v>61410.689935402494</v>
      </c>
    </row>
    <row r="912" spans="1:16" ht="16" thickBot="1">
      <c r="A912" s="206">
        <v>906</v>
      </c>
      <c r="B912" s="175" t="s">
        <v>1025</v>
      </c>
      <c r="C912" s="175" t="s">
        <v>3589</v>
      </c>
      <c r="D912" s="243" t="s">
        <v>3604</v>
      </c>
      <c r="E912" s="244" t="s">
        <v>3605</v>
      </c>
      <c r="F912" s="265">
        <v>7794334245796</v>
      </c>
      <c r="G912" s="221">
        <v>1</v>
      </c>
      <c r="H912" s="5" t="s">
        <v>1191</v>
      </c>
      <c r="I912" s="204">
        <v>220</v>
      </c>
      <c r="J912" s="260">
        <v>0.1</v>
      </c>
      <c r="L912" s="217">
        <f t="shared" si="42"/>
        <v>104059.45934999999</v>
      </c>
      <c r="N912" s="329">
        <f t="shared" si="43"/>
        <v>150886.21605749999</v>
      </c>
      <c r="P912" s="327">
        <f t="shared" si="44"/>
        <v>182572.32142957498</v>
      </c>
    </row>
  </sheetData>
  <mergeCells count="4">
    <mergeCell ref="B1:D1"/>
    <mergeCell ref="B2:D5"/>
    <mergeCell ref="H5:J5"/>
    <mergeCell ref="L5:N5"/>
  </mergeCells>
  <conditionalFormatting sqref="J7:J912">
    <cfRule type="cellIs" dxfId="9" priority="10" operator="between">
      <formula>-0.001</formula>
      <formula>-0.5</formula>
    </cfRule>
    <cfRule type="cellIs" dxfId="8" priority="11" operator="between">
      <formula>0.075</formula>
      <formula>1</formula>
    </cfRule>
    <cfRule type="cellIs" dxfId="7" priority="12" operator="between">
      <formula>0.066</formula>
      <formula>0.074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L57"/>
  <sheetViews>
    <sheetView showGridLines="0" workbookViewId="0">
      <selection activeCell="B16" sqref="B16"/>
    </sheetView>
  </sheetViews>
  <sheetFormatPr baseColWidth="10" defaultRowHeight="15"/>
  <cols>
    <col min="1" max="1" width="3.5" customWidth="1"/>
    <col min="2" max="2" width="74.6640625" customWidth="1"/>
    <col min="3" max="5" width="13.83203125" bestFit="1" customWidth="1"/>
    <col min="6" max="6" width="1.5" customWidth="1"/>
    <col min="8" max="8" width="13.1640625" bestFit="1" customWidth="1"/>
    <col min="9" max="9" width="11.5" style="11"/>
    <col min="256" max="256" width="3.5" customWidth="1"/>
    <col min="257" max="257" width="57.6640625" bestFit="1" customWidth="1"/>
    <col min="258" max="258" width="13.83203125" bestFit="1" customWidth="1"/>
    <col min="259" max="259" width="11.33203125" bestFit="1" customWidth="1"/>
    <col min="260" max="260" width="12.6640625" customWidth="1"/>
    <col min="261" max="261" width="1.5" customWidth="1"/>
    <col min="512" max="512" width="3.5" customWidth="1"/>
    <col min="513" max="513" width="57.6640625" bestFit="1" customWidth="1"/>
    <col min="514" max="514" width="13.83203125" bestFit="1" customWidth="1"/>
    <col min="515" max="515" width="11.33203125" bestFit="1" customWidth="1"/>
    <col min="516" max="516" width="12.6640625" customWidth="1"/>
    <col min="517" max="517" width="1.5" customWidth="1"/>
    <col min="768" max="768" width="3.5" customWidth="1"/>
    <col min="769" max="769" width="57.6640625" bestFit="1" customWidth="1"/>
    <col min="770" max="770" width="13.83203125" bestFit="1" customWidth="1"/>
    <col min="771" max="771" width="11.33203125" bestFit="1" customWidth="1"/>
    <col min="772" max="772" width="12.6640625" customWidth="1"/>
    <col min="773" max="773" width="1.5" customWidth="1"/>
    <col min="1024" max="1024" width="3.5" customWidth="1"/>
    <col min="1025" max="1025" width="57.6640625" bestFit="1" customWidth="1"/>
    <col min="1026" max="1026" width="13.83203125" bestFit="1" customWidth="1"/>
    <col min="1027" max="1027" width="11.33203125" bestFit="1" customWidth="1"/>
    <col min="1028" max="1028" width="12.6640625" customWidth="1"/>
    <col min="1029" max="1029" width="1.5" customWidth="1"/>
    <col min="1280" max="1280" width="3.5" customWidth="1"/>
    <col min="1281" max="1281" width="57.6640625" bestFit="1" customWidth="1"/>
    <col min="1282" max="1282" width="13.83203125" bestFit="1" customWidth="1"/>
    <col min="1283" max="1283" width="11.33203125" bestFit="1" customWidth="1"/>
    <col min="1284" max="1284" width="12.6640625" customWidth="1"/>
    <col min="1285" max="1285" width="1.5" customWidth="1"/>
    <col min="1536" max="1536" width="3.5" customWidth="1"/>
    <col min="1537" max="1537" width="57.6640625" bestFit="1" customWidth="1"/>
    <col min="1538" max="1538" width="13.83203125" bestFit="1" customWidth="1"/>
    <col min="1539" max="1539" width="11.33203125" bestFit="1" customWidth="1"/>
    <col min="1540" max="1540" width="12.6640625" customWidth="1"/>
    <col min="1541" max="1541" width="1.5" customWidth="1"/>
    <col min="1792" max="1792" width="3.5" customWidth="1"/>
    <col min="1793" max="1793" width="57.6640625" bestFit="1" customWidth="1"/>
    <col min="1794" max="1794" width="13.83203125" bestFit="1" customWidth="1"/>
    <col min="1795" max="1795" width="11.33203125" bestFit="1" customWidth="1"/>
    <col min="1796" max="1796" width="12.6640625" customWidth="1"/>
    <col min="1797" max="1797" width="1.5" customWidth="1"/>
    <col min="2048" max="2048" width="3.5" customWidth="1"/>
    <col min="2049" max="2049" width="57.6640625" bestFit="1" customWidth="1"/>
    <col min="2050" max="2050" width="13.83203125" bestFit="1" customWidth="1"/>
    <col min="2051" max="2051" width="11.33203125" bestFit="1" customWidth="1"/>
    <col min="2052" max="2052" width="12.6640625" customWidth="1"/>
    <col min="2053" max="2053" width="1.5" customWidth="1"/>
    <col min="2304" max="2304" width="3.5" customWidth="1"/>
    <col min="2305" max="2305" width="57.6640625" bestFit="1" customWidth="1"/>
    <col min="2306" max="2306" width="13.83203125" bestFit="1" customWidth="1"/>
    <col min="2307" max="2307" width="11.33203125" bestFit="1" customWidth="1"/>
    <col min="2308" max="2308" width="12.6640625" customWidth="1"/>
    <col min="2309" max="2309" width="1.5" customWidth="1"/>
    <col min="2560" max="2560" width="3.5" customWidth="1"/>
    <col min="2561" max="2561" width="57.6640625" bestFit="1" customWidth="1"/>
    <col min="2562" max="2562" width="13.83203125" bestFit="1" customWidth="1"/>
    <col min="2563" max="2563" width="11.33203125" bestFit="1" customWidth="1"/>
    <col min="2564" max="2564" width="12.6640625" customWidth="1"/>
    <col min="2565" max="2565" width="1.5" customWidth="1"/>
    <col min="2816" max="2816" width="3.5" customWidth="1"/>
    <col min="2817" max="2817" width="57.6640625" bestFit="1" customWidth="1"/>
    <col min="2818" max="2818" width="13.83203125" bestFit="1" customWidth="1"/>
    <col min="2819" max="2819" width="11.33203125" bestFit="1" customWidth="1"/>
    <col min="2820" max="2820" width="12.6640625" customWidth="1"/>
    <col min="2821" max="2821" width="1.5" customWidth="1"/>
    <col min="3072" max="3072" width="3.5" customWidth="1"/>
    <col min="3073" max="3073" width="57.6640625" bestFit="1" customWidth="1"/>
    <col min="3074" max="3074" width="13.83203125" bestFit="1" customWidth="1"/>
    <col min="3075" max="3075" width="11.33203125" bestFit="1" customWidth="1"/>
    <col min="3076" max="3076" width="12.6640625" customWidth="1"/>
    <col min="3077" max="3077" width="1.5" customWidth="1"/>
    <col min="3328" max="3328" width="3.5" customWidth="1"/>
    <col min="3329" max="3329" width="57.6640625" bestFit="1" customWidth="1"/>
    <col min="3330" max="3330" width="13.83203125" bestFit="1" customWidth="1"/>
    <col min="3331" max="3331" width="11.33203125" bestFit="1" customWidth="1"/>
    <col min="3332" max="3332" width="12.6640625" customWidth="1"/>
    <col min="3333" max="3333" width="1.5" customWidth="1"/>
    <col min="3584" max="3584" width="3.5" customWidth="1"/>
    <col min="3585" max="3585" width="57.6640625" bestFit="1" customWidth="1"/>
    <col min="3586" max="3586" width="13.83203125" bestFit="1" customWidth="1"/>
    <col min="3587" max="3587" width="11.33203125" bestFit="1" customWidth="1"/>
    <col min="3588" max="3588" width="12.6640625" customWidth="1"/>
    <col min="3589" max="3589" width="1.5" customWidth="1"/>
    <col min="3840" max="3840" width="3.5" customWidth="1"/>
    <col min="3841" max="3841" width="57.6640625" bestFit="1" customWidth="1"/>
    <col min="3842" max="3842" width="13.83203125" bestFit="1" customWidth="1"/>
    <col min="3843" max="3843" width="11.33203125" bestFit="1" customWidth="1"/>
    <col min="3844" max="3844" width="12.6640625" customWidth="1"/>
    <col min="3845" max="3845" width="1.5" customWidth="1"/>
    <col min="4096" max="4096" width="3.5" customWidth="1"/>
    <col min="4097" max="4097" width="57.6640625" bestFit="1" customWidth="1"/>
    <col min="4098" max="4098" width="13.83203125" bestFit="1" customWidth="1"/>
    <col min="4099" max="4099" width="11.33203125" bestFit="1" customWidth="1"/>
    <col min="4100" max="4100" width="12.6640625" customWidth="1"/>
    <col min="4101" max="4101" width="1.5" customWidth="1"/>
    <col min="4352" max="4352" width="3.5" customWidth="1"/>
    <col min="4353" max="4353" width="57.6640625" bestFit="1" customWidth="1"/>
    <col min="4354" max="4354" width="13.83203125" bestFit="1" customWidth="1"/>
    <col min="4355" max="4355" width="11.33203125" bestFit="1" customWidth="1"/>
    <col min="4356" max="4356" width="12.6640625" customWidth="1"/>
    <col min="4357" max="4357" width="1.5" customWidth="1"/>
    <col min="4608" max="4608" width="3.5" customWidth="1"/>
    <col min="4609" max="4609" width="57.6640625" bestFit="1" customWidth="1"/>
    <col min="4610" max="4610" width="13.83203125" bestFit="1" customWidth="1"/>
    <col min="4611" max="4611" width="11.33203125" bestFit="1" customWidth="1"/>
    <col min="4612" max="4612" width="12.6640625" customWidth="1"/>
    <col min="4613" max="4613" width="1.5" customWidth="1"/>
    <col min="4864" max="4864" width="3.5" customWidth="1"/>
    <col min="4865" max="4865" width="57.6640625" bestFit="1" customWidth="1"/>
    <col min="4866" max="4866" width="13.83203125" bestFit="1" customWidth="1"/>
    <col min="4867" max="4867" width="11.33203125" bestFit="1" customWidth="1"/>
    <col min="4868" max="4868" width="12.6640625" customWidth="1"/>
    <col min="4869" max="4869" width="1.5" customWidth="1"/>
    <col min="5120" max="5120" width="3.5" customWidth="1"/>
    <col min="5121" max="5121" width="57.6640625" bestFit="1" customWidth="1"/>
    <col min="5122" max="5122" width="13.83203125" bestFit="1" customWidth="1"/>
    <col min="5123" max="5123" width="11.33203125" bestFit="1" customWidth="1"/>
    <col min="5124" max="5124" width="12.6640625" customWidth="1"/>
    <col min="5125" max="5125" width="1.5" customWidth="1"/>
    <col min="5376" max="5376" width="3.5" customWidth="1"/>
    <col min="5377" max="5377" width="57.6640625" bestFit="1" customWidth="1"/>
    <col min="5378" max="5378" width="13.83203125" bestFit="1" customWidth="1"/>
    <col min="5379" max="5379" width="11.33203125" bestFit="1" customWidth="1"/>
    <col min="5380" max="5380" width="12.6640625" customWidth="1"/>
    <col min="5381" max="5381" width="1.5" customWidth="1"/>
    <col min="5632" max="5632" width="3.5" customWidth="1"/>
    <col min="5633" max="5633" width="57.6640625" bestFit="1" customWidth="1"/>
    <col min="5634" max="5634" width="13.83203125" bestFit="1" customWidth="1"/>
    <col min="5635" max="5635" width="11.33203125" bestFit="1" customWidth="1"/>
    <col min="5636" max="5636" width="12.6640625" customWidth="1"/>
    <col min="5637" max="5637" width="1.5" customWidth="1"/>
    <col min="5888" max="5888" width="3.5" customWidth="1"/>
    <col min="5889" max="5889" width="57.6640625" bestFit="1" customWidth="1"/>
    <col min="5890" max="5890" width="13.83203125" bestFit="1" customWidth="1"/>
    <col min="5891" max="5891" width="11.33203125" bestFit="1" customWidth="1"/>
    <col min="5892" max="5892" width="12.6640625" customWidth="1"/>
    <col min="5893" max="5893" width="1.5" customWidth="1"/>
    <col min="6144" max="6144" width="3.5" customWidth="1"/>
    <col min="6145" max="6145" width="57.6640625" bestFit="1" customWidth="1"/>
    <col min="6146" max="6146" width="13.83203125" bestFit="1" customWidth="1"/>
    <col min="6147" max="6147" width="11.33203125" bestFit="1" customWidth="1"/>
    <col min="6148" max="6148" width="12.6640625" customWidth="1"/>
    <col min="6149" max="6149" width="1.5" customWidth="1"/>
    <col min="6400" max="6400" width="3.5" customWidth="1"/>
    <col min="6401" max="6401" width="57.6640625" bestFit="1" customWidth="1"/>
    <col min="6402" max="6402" width="13.83203125" bestFit="1" customWidth="1"/>
    <col min="6403" max="6403" width="11.33203125" bestFit="1" customWidth="1"/>
    <col min="6404" max="6404" width="12.6640625" customWidth="1"/>
    <col min="6405" max="6405" width="1.5" customWidth="1"/>
    <col min="6656" max="6656" width="3.5" customWidth="1"/>
    <col min="6657" max="6657" width="57.6640625" bestFit="1" customWidth="1"/>
    <col min="6658" max="6658" width="13.83203125" bestFit="1" customWidth="1"/>
    <col min="6659" max="6659" width="11.33203125" bestFit="1" customWidth="1"/>
    <col min="6660" max="6660" width="12.6640625" customWidth="1"/>
    <col min="6661" max="6661" width="1.5" customWidth="1"/>
    <col min="6912" max="6912" width="3.5" customWidth="1"/>
    <col min="6913" max="6913" width="57.6640625" bestFit="1" customWidth="1"/>
    <col min="6914" max="6914" width="13.83203125" bestFit="1" customWidth="1"/>
    <col min="6915" max="6915" width="11.33203125" bestFit="1" customWidth="1"/>
    <col min="6916" max="6916" width="12.6640625" customWidth="1"/>
    <col min="6917" max="6917" width="1.5" customWidth="1"/>
    <col min="7168" max="7168" width="3.5" customWidth="1"/>
    <col min="7169" max="7169" width="57.6640625" bestFit="1" customWidth="1"/>
    <col min="7170" max="7170" width="13.83203125" bestFit="1" customWidth="1"/>
    <col min="7171" max="7171" width="11.33203125" bestFit="1" customWidth="1"/>
    <col min="7172" max="7172" width="12.6640625" customWidth="1"/>
    <col min="7173" max="7173" width="1.5" customWidth="1"/>
    <col min="7424" max="7424" width="3.5" customWidth="1"/>
    <col min="7425" max="7425" width="57.6640625" bestFit="1" customWidth="1"/>
    <col min="7426" max="7426" width="13.83203125" bestFit="1" customWidth="1"/>
    <col min="7427" max="7427" width="11.33203125" bestFit="1" customWidth="1"/>
    <col min="7428" max="7428" width="12.6640625" customWidth="1"/>
    <col min="7429" max="7429" width="1.5" customWidth="1"/>
    <col min="7680" max="7680" width="3.5" customWidth="1"/>
    <col min="7681" max="7681" width="57.6640625" bestFit="1" customWidth="1"/>
    <col min="7682" max="7682" width="13.83203125" bestFit="1" customWidth="1"/>
    <col min="7683" max="7683" width="11.33203125" bestFit="1" customWidth="1"/>
    <col min="7684" max="7684" width="12.6640625" customWidth="1"/>
    <col min="7685" max="7685" width="1.5" customWidth="1"/>
    <col min="7936" max="7936" width="3.5" customWidth="1"/>
    <col min="7937" max="7937" width="57.6640625" bestFit="1" customWidth="1"/>
    <col min="7938" max="7938" width="13.83203125" bestFit="1" customWidth="1"/>
    <col min="7939" max="7939" width="11.33203125" bestFit="1" customWidth="1"/>
    <col min="7940" max="7940" width="12.6640625" customWidth="1"/>
    <col min="7941" max="7941" width="1.5" customWidth="1"/>
    <col min="8192" max="8192" width="3.5" customWidth="1"/>
    <col min="8193" max="8193" width="57.6640625" bestFit="1" customWidth="1"/>
    <col min="8194" max="8194" width="13.83203125" bestFit="1" customWidth="1"/>
    <col min="8195" max="8195" width="11.33203125" bestFit="1" customWidth="1"/>
    <col min="8196" max="8196" width="12.6640625" customWidth="1"/>
    <col min="8197" max="8197" width="1.5" customWidth="1"/>
    <col min="8448" max="8448" width="3.5" customWidth="1"/>
    <col min="8449" max="8449" width="57.6640625" bestFit="1" customWidth="1"/>
    <col min="8450" max="8450" width="13.83203125" bestFit="1" customWidth="1"/>
    <col min="8451" max="8451" width="11.33203125" bestFit="1" customWidth="1"/>
    <col min="8452" max="8452" width="12.6640625" customWidth="1"/>
    <col min="8453" max="8453" width="1.5" customWidth="1"/>
    <col min="8704" max="8704" width="3.5" customWidth="1"/>
    <col min="8705" max="8705" width="57.6640625" bestFit="1" customWidth="1"/>
    <col min="8706" max="8706" width="13.83203125" bestFit="1" customWidth="1"/>
    <col min="8707" max="8707" width="11.33203125" bestFit="1" customWidth="1"/>
    <col min="8708" max="8708" width="12.6640625" customWidth="1"/>
    <col min="8709" max="8709" width="1.5" customWidth="1"/>
    <col min="8960" max="8960" width="3.5" customWidth="1"/>
    <col min="8961" max="8961" width="57.6640625" bestFit="1" customWidth="1"/>
    <col min="8962" max="8962" width="13.83203125" bestFit="1" customWidth="1"/>
    <col min="8963" max="8963" width="11.33203125" bestFit="1" customWidth="1"/>
    <col min="8964" max="8964" width="12.6640625" customWidth="1"/>
    <col min="8965" max="8965" width="1.5" customWidth="1"/>
    <col min="9216" max="9216" width="3.5" customWidth="1"/>
    <col min="9217" max="9217" width="57.6640625" bestFit="1" customWidth="1"/>
    <col min="9218" max="9218" width="13.83203125" bestFit="1" customWidth="1"/>
    <col min="9219" max="9219" width="11.33203125" bestFit="1" customWidth="1"/>
    <col min="9220" max="9220" width="12.6640625" customWidth="1"/>
    <col min="9221" max="9221" width="1.5" customWidth="1"/>
    <col min="9472" max="9472" width="3.5" customWidth="1"/>
    <col min="9473" max="9473" width="57.6640625" bestFit="1" customWidth="1"/>
    <col min="9474" max="9474" width="13.83203125" bestFit="1" customWidth="1"/>
    <col min="9475" max="9475" width="11.33203125" bestFit="1" customWidth="1"/>
    <col min="9476" max="9476" width="12.6640625" customWidth="1"/>
    <col min="9477" max="9477" width="1.5" customWidth="1"/>
    <col min="9728" max="9728" width="3.5" customWidth="1"/>
    <col min="9729" max="9729" width="57.6640625" bestFit="1" customWidth="1"/>
    <col min="9730" max="9730" width="13.83203125" bestFit="1" customWidth="1"/>
    <col min="9731" max="9731" width="11.33203125" bestFit="1" customWidth="1"/>
    <col min="9732" max="9732" width="12.6640625" customWidth="1"/>
    <col min="9733" max="9733" width="1.5" customWidth="1"/>
    <col min="9984" max="9984" width="3.5" customWidth="1"/>
    <col min="9985" max="9985" width="57.6640625" bestFit="1" customWidth="1"/>
    <col min="9986" max="9986" width="13.83203125" bestFit="1" customWidth="1"/>
    <col min="9987" max="9987" width="11.33203125" bestFit="1" customWidth="1"/>
    <col min="9988" max="9988" width="12.6640625" customWidth="1"/>
    <col min="9989" max="9989" width="1.5" customWidth="1"/>
    <col min="10240" max="10240" width="3.5" customWidth="1"/>
    <col min="10241" max="10241" width="57.6640625" bestFit="1" customWidth="1"/>
    <col min="10242" max="10242" width="13.83203125" bestFit="1" customWidth="1"/>
    <col min="10243" max="10243" width="11.33203125" bestFit="1" customWidth="1"/>
    <col min="10244" max="10244" width="12.6640625" customWidth="1"/>
    <col min="10245" max="10245" width="1.5" customWidth="1"/>
    <col min="10496" max="10496" width="3.5" customWidth="1"/>
    <col min="10497" max="10497" width="57.6640625" bestFit="1" customWidth="1"/>
    <col min="10498" max="10498" width="13.83203125" bestFit="1" customWidth="1"/>
    <col min="10499" max="10499" width="11.33203125" bestFit="1" customWidth="1"/>
    <col min="10500" max="10500" width="12.6640625" customWidth="1"/>
    <col min="10501" max="10501" width="1.5" customWidth="1"/>
    <col min="10752" max="10752" width="3.5" customWidth="1"/>
    <col min="10753" max="10753" width="57.6640625" bestFit="1" customWidth="1"/>
    <col min="10754" max="10754" width="13.83203125" bestFit="1" customWidth="1"/>
    <col min="10755" max="10755" width="11.33203125" bestFit="1" customWidth="1"/>
    <col min="10756" max="10756" width="12.6640625" customWidth="1"/>
    <col min="10757" max="10757" width="1.5" customWidth="1"/>
    <col min="11008" max="11008" width="3.5" customWidth="1"/>
    <col min="11009" max="11009" width="57.6640625" bestFit="1" customWidth="1"/>
    <col min="11010" max="11010" width="13.83203125" bestFit="1" customWidth="1"/>
    <col min="11011" max="11011" width="11.33203125" bestFit="1" customWidth="1"/>
    <col min="11012" max="11012" width="12.6640625" customWidth="1"/>
    <col min="11013" max="11013" width="1.5" customWidth="1"/>
    <col min="11264" max="11264" width="3.5" customWidth="1"/>
    <col min="11265" max="11265" width="57.6640625" bestFit="1" customWidth="1"/>
    <col min="11266" max="11266" width="13.83203125" bestFit="1" customWidth="1"/>
    <col min="11267" max="11267" width="11.33203125" bestFit="1" customWidth="1"/>
    <col min="11268" max="11268" width="12.6640625" customWidth="1"/>
    <col min="11269" max="11269" width="1.5" customWidth="1"/>
    <col min="11520" max="11520" width="3.5" customWidth="1"/>
    <col min="11521" max="11521" width="57.6640625" bestFit="1" customWidth="1"/>
    <col min="11522" max="11522" width="13.83203125" bestFit="1" customWidth="1"/>
    <col min="11523" max="11523" width="11.33203125" bestFit="1" customWidth="1"/>
    <col min="11524" max="11524" width="12.6640625" customWidth="1"/>
    <col min="11525" max="11525" width="1.5" customWidth="1"/>
    <col min="11776" max="11776" width="3.5" customWidth="1"/>
    <col min="11777" max="11777" width="57.6640625" bestFit="1" customWidth="1"/>
    <col min="11778" max="11778" width="13.83203125" bestFit="1" customWidth="1"/>
    <col min="11779" max="11779" width="11.33203125" bestFit="1" customWidth="1"/>
    <col min="11780" max="11780" width="12.6640625" customWidth="1"/>
    <col min="11781" max="11781" width="1.5" customWidth="1"/>
    <col min="12032" max="12032" width="3.5" customWidth="1"/>
    <col min="12033" max="12033" width="57.6640625" bestFit="1" customWidth="1"/>
    <col min="12034" max="12034" width="13.83203125" bestFit="1" customWidth="1"/>
    <col min="12035" max="12035" width="11.33203125" bestFit="1" customWidth="1"/>
    <col min="12036" max="12036" width="12.6640625" customWidth="1"/>
    <col min="12037" max="12037" width="1.5" customWidth="1"/>
    <col min="12288" max="12288" width="3.5" customWidth="1"/>
    <col min="12289" max="12289" width="57.6640625" bestFit="1" customWidth="1"/>
    <col min="12290" max="12290" width="13.83203125" bestFit="1" customWidth="1"/>
    <col min="12291" max="12291" width="11.33203125" bestFit="1" customWidth="1"/>
    <col min="12292" max="12292" width="12.6640625" customWidth="1"/>
    <col min="12293" max="12293" width="1.5" customWidth="1"/>
    <col min="12544" max="12544" width="3.5" customWidth="1"/>
    <col min="12545" max="12545" width="57.6640625" bestFit="1" customWidth="1"/>
    <col min="12546" max="12546" width="13.83203125" bestFit="1" customWidth="1"/>
    <col min="12547" max="12547" width="11.33203125" bestFit="1" customWidth="1"/>
    <col min="12548" max="12548" width="12.6640625" customWidth="1"/>
    <col min="12549" max="12549" width="1.5" customWidth="1"/>
    <col min="12800" max="12800" width="3.5" customWidth="1"/>
    <col min="12801" max="12801" width="57.6640625" bestFit="1" customWidth="1"/>
    <col min="12802" max="12802" width="13.83203125" bestFit="1" customWidth="1"/>
    <col min="12803" max="12803" width="11.33203125" bestFit="1" customWidth="1"/>
    <col min="12804" max="12804" width="12.6640625" customWidth="1"/>
    <col min="12805" max="12805" width="1.5" customWidth="1"/>
    <col min="13056" max="13056" width="3.5" customWidth="1"/>
    <col min="13057" max="13057" width="57.6640625" bestFit="1" customWidth="1"/>
    <col min="13058" max="13058" width="13.83203125" bestFit="1" customWidth="1"/>
    <col min="13059" max="13059" width="11.33203125" bestFit="1" customWidth="1"/>
    <col min="13060" max="13060" width="12.6640625" customWidth="1"/>
    <col min="13061" max="13061" width="1.5" customWidth="1"/>
    <col min="13312" max="13312" width="3.5" customWidth="1"/>
    <col min="13313" max="13313" width="57.6640625" bestFit="1" customWidth="1"/>
    <col min="13314" max="13314" width="13.83203125" bestFit="1" customWidth="1"/>
    <col min="13315" max="13315" width="11.33203125" bestFit="1" customWidth="1"/>
    <col min="13316" max="13316" width="12.6640625" customWidth="1"/>
    <col min="13317" max="13317" width="1.5" customWidth="1"/>
    <col min="13568" max="13568" width="3.5" customWidth="1"/>
    <col min="13569" max="13569" width="57.6640625" bestFit="1" customWidth="1"/>
    <col min="13570" max="13570" width="13.83203125" bestFit="1" customWidth="1"/>
    <col min="13571" max="13571" width="11.33203125" bestFit="1" customWidth="1"/>
    <col min="13572" max="13572" width="12.6640625" customWidth="1"/>
    <col min="13573" max="13573" width="1.5" customWidth="1"/>
    <col min="13824" max="13824" width="3.5" customWidth="1"/>
    <col min="13825" max="13825" width="57.6640625" bestFit="1" customWidth="1"/>
    <col min="13826" max="13826" width="13.83203125" bestFit="1" customWidth="1"/>
    <col min="13827" max="13827" width="11.33203125" bestFit="1" customWidth="1"/>
    <col min="13828" max="13828" width="12.6640625" customWidth="1"/>
    <col min="13829" max="13829" width="1.5" customWidth="1"/>
    <col min="14080" max="14080" width="3.5" customWidth="1"/>
    <col min="14081" max="14081" width="57.6640625" bestFit="1" customWidth="1"/>
    <col min="14082" max="14082" width="13.83203125" bestFit="1" customWidth="1"/>
    <col min="14083" max="14083" width="11.33203125" bestFit="1" customWidth="1"/>
    <col min="14084" max="14084" width="12.6640625" customWidth="1"/>
    <col min="14085" max="14085" width="1.5" customWidth="1"/>
    <col min="14336" max="14336" width="3.5" customWidth="1"/>
    <col min="14337" max="14337" width="57.6640625" bestFit="1" customWidth="1"/>
    <col min="14338" max="14338" width="13.83203125" bestFit="1" customWidth="1"/>
    <col min="14339" max="14339" width="11.33203125" bestFit="1" customWidth="1"/>
    <col min="14340" max="14340" width="12.6640625" customWidth="1"/>
    <col min="14341" max="14341" width="1.5" customWidth="1"/>
    <col min="14592" max="14592" width="3.5" customWidth="1"/>
    <col min="14593" max="14593" width="57.6640625" bestFit="1" customWidth="1"/>
    <col min="14594" max="14594" width="13.83203125" bestFit="1" customWidth="1"/>
    <col min="14595" max="14595" width="11.33203125" bestFit="1" customWidth="1"/>
    <col min="14596" max="14596" width="12.6640625" customWidth="1"/>
    <col min="14597" max="14597" width="1.5" customWidth="1"/>
    <col min="14848" max="14848" width="3.5" customWidth="1"/>
    <col min="14849" max="14849" width="57.6640625" bestFit="1" customWidth="1"/>
    <col min="14850" max="14850" width="13.83203125" bestFit="1" customWidth="1"/>
    <col min="14851" max="14851" width="11.33203125" bestFit="1" customWidth="1"/>
    <col min="14852" max="14852" width="12.6640625" customWidth="1"/>
    <col min="14853" max="14853" width="1.5" customWidth="1"/>
    <col min="15104" max="15104" width="3.5" customWidth="1"/>
    <col min="15105" max="15105" width="57.6640625" bestFit="1" customWidth="1"/>
    <col min="15106" max="15106" width="13.83203125" bestFit="1" customWidth="1"/>
    <col min="15107" max="15107" width="11.33203125" bestFit="1" customWidth="1"/>
    <col min="15108" max="15108" width="12.6640625" customWidth="1"/>
    <col min="15109" max="15109" width="1.5" customWidth="1"/>
    <col min="15360" max="15360" width="3.5" customWidth="1"/>
    <col min="15361" max="15361" width="57.6640625" bestFit="1" customWidth="1"/>
    <col min="15362" max="15362" width="13.83203125" bestFit="1" customWidth="1"/>
    <col min="15363" max="15363" width="11.33203125" bestFit="1" customWidth="1"/>
    <col min="15364" max="15364" width="12.6640625" customWidth="1"/>
    <col min="15365" max="15365" width="1.5" customWidth="1"/>
    <col min="15616" max="15616" width="3.5" customWidth="1"/>
    <col min="15617" max="15617" width="57.6640625" bestFit="1" customWidth="1"/>
    <col min="15618" max="15618" width="13.83203125" bestFit="1" customWidth="1"/>
    <col min="15619" max="15619" width="11.33203125" bestFit="1" customWidth="1"/>
    <col min="15620" max="15620" width="12.6640625" customWidth="1"/>
    <col min="15621" max="15621" width="1.5" customWidth="1"/>
    <col min="15872" max="15872" width="3.5" customWidth="1"/>
    <col min="15873" max="15873" width="57.6640625" bestFit="1" customWidth="1"/>
    <col min="15874" max="15874" width="13.83203125" bestFit="1" customWidth="1"/>
    <col min="15875" max="15875" width="11.33203125" bestFit="1" customWidth="1"/>
    <col min="15876" max="15876" width="12.6640625" customWidth="1"/>
    <col min="15877" max="15877" width="1.5" customWidth="1"/>
    <col min="16128" max="16128" width="3.5" customWidth="1"/>
    <col min="16129" max="16129" width="57.6640625" bestFit="1" customWidth="1"/>
    <col min="16130" max="16130" width="13.83203125" bestFit="1" customWidth="1"/>
    <col min="16131" max="16131" width="11.33203125" bestFit="1" customWidth="1"/>
    <col min="16132" max="16132" width="12.6640625" customWidth="1"/>
    <col min="16133" max="16133" width="1.5" customWidth="1"/>
  </cols>
  <sheetData>
    <row r="1" spans="2:12" ht="16" thickBot="1"/>
    <row r="2" spans="2:12" ht="16" thickBot="1">
      <c r="B2" s="344" t="s">
        <v>62659</v>
      </c>
      <c r="C2" s="344"/>
      <c r="D2" s="345"/>
      <c r="E2" s="83" t="s">
        <v>2057</v>
      </c>
      <c r="F2" s="84"/>
    </row>
    <row r="3" spans="2:12">
      <c r="B3" s="6"/>
      <c r="C3" s="7"/>
      <c r="D3" s="8"/>
      <c r="E3" s="8"/>
      <c r="F3" s="86"/>
      <c r="G3" s="9"/>
    </row>
    <row r="4" spans="2:12">
      <c r="B4" s="12" t="s">
        <v>1199</v>
      </c>
      <c r="C4" s="13"/>
      <c r="D4" s="14"/>
      <c r="E4" s="15"/>
      <c r="F4" s="87"/>
      <c r="G4" s="16"/>
    </row>
    <row r="5" spans="2:12">
      <c r="B5" s="12" t="s">
        <v>1201</v>
      </c>
      <c r="C5" s="88" t="s">
        <v>2058</v>
      </c>
      <c r="D5" s="18" t="s">
        <v>1202</v>
      </c>
      <c r="E5" s="19" t="s">
        <v>1203</v>
      </c>
      <c r="F5" s="89"/>
      <c r="G5" s="90" t="s">
        <v>1200</v>
      </c>
      <c r="H5" t="s">
        <v>2059</v>
      </c>
      <c r="I5" s="11" t="s">
        <v>2294</v>
      </c>
      <c r="J5" s="303" t="s">
        <v>4498</v>
      </c>
    </row>
    <row r="6" spans="2:12" ht="16">
      <c r="B6" s="20" t="s">
        <v>62660</v>
      </c>
      <c r="C6" s="91">
        <f>+ROUNDUP(I6,-1)</f>
        <v>30130</v>
      </c>
      <c r="D6" s="21">
        <f t="shared" ref="D6:D56" si="0">+C6*1.21</f>
        <v>36457.299999999996</v>
      </c>
      <c r="E6" s="92"/>
      <c r="F6" s="93"/>
      <c r="G6" s="95">
        <v>45365</v>
      </c>
      <c r="H6" s="11">
        <f>0.9*22314</f>
        <v>20082.600000000002</v>
      </c>
      <c r="I6" s="11">
        <f>+H6*1.5</f>
        <v>30123.9</v>
      </c>
    </row>
    <row r="7" spans="2:12" ht="16">
      <c r="B7" s="20" t="s">
        <v>62661</v>
      </c>
      <c r="C7" s="91">
        <f t="shared" ref="C7:C56" si="1">+ROUNDUP(I7,-1)</f>
        <v>243450</v>
      </c>
      <c r="D7" s="21">
        <f t="shared" si="0"/>
        <v>294574.5</v>
      </c>
      <c r="E7" s="92"/>
      <c r="F7" s="93"/>
      <c r="G7" s="95"/>
      <c r="H7" s="11">
        <f>0.9*180331</f>
        <v>162297.9</v>
      </c>
      <c r="I7" s="11">
        <f t="shared" ref="I7:I56" si="2">+H7*1.5</f>
        <v>243446.84999999998</v>
      </c>
    </row>
    <row r="8" spans="2:12" ht="16">
      <c r="B8" s="20" t="s">
        <v>62662</v>
      </c>
      <c r="C8" s="91">
        <f t="shared" si="1"/>
        <v>109340</v>
      </c>
      <c r="D8" s="21">
        <f t="shared" si="0"/>
        <v>132301.4</v>
      </c>
      <c r="E8" s="92"/>
      <c r="F8" s="93"/>
      <c r="G8" s="95"/>
      <c r="H8" s="11">
        <f>0.9*80992</f>
        <v>72892.800000000003</v>
      </c>
      <c r="I8" s="11">
        <f t="shared" si="2"/>
        <v>109339.20000000001</v>
      </c>
    </row>
    <row r="9" spans="2:12" ht="16">
      <c r="B9" s="20" t="s">
        <v>62663</v>
      </c>
      <c r="C9" s="91">
        <f t="shared" si="1"/>
        <v>56740</v>
      </c>
      <c r="D9" s="21">
        <f t="shared" si="0"/>
        <v>68655.399999999994</v>
      </c>
      <c r="E9" s="92"/>
      <c r="F9" s="93"/>
      <c r="G9" s="95"/>
      <c r="H9" s="11">
        <f>0.9*42029</f>
        <v>37826.1</v>
      </c>
      <c r="I9" s="11">
        <f t="shared" si="2"/>
        <v>56739.149999999994</v>
      </c>
    </row>
    <row r="10" spans="2:12" ht="16">
      <c r="B10" s="20" t="s">
        <v>62664</v>
      </c>
      <c r="C10" s="91">
        <f t="shared" si="1"/>
        <v>15740</v>
      </c>
      <c r="D10" s="21">
        <f t="shared" si="0"/>
        <v>19045.399999999998</v>
      </c>
      <c r="E10" s="92"/>
      <c r="F10" s="93"/>
      <c r="G10" s="95"/>
      <c r="H10" s="11">
        <f>0.9*11653</f>
        <v>10487.7</v>
      </c>
      <c r="I10" s="11">
        <f t="shared" si="2"/>
        <v>15731.550000000001</v>
      </c>
      <c r="J10" s="254"/>
      <c r="K10" s="254"/>
      <c r="L10" s="255"/>
    </row>
    <row r="11" spans="2:12" ht="16">
      <c r="B11" s="20" t="s">
        <v>62665</v>
      </c>
      <c r="C11" s="91">
        <f t="shared" si="1"/>
        <v>20650</v>
      </c>
      <c r="D11" s="21">
        <f t="shared" si="0"/>
        <v>24986.5</v>
      </c>
      <c r="E11" s="22"/>
      <c r="F11" s="93"/>
      <c r="G11" s="95"/>
      <c r="H11" s="11">
        <f>0.9*15290</f>
        <v>13761</v>
      </c>
      <c r="I11" s="11">
        <f t="shared" si="2"/>
        <v>20641.5</v>
      </c>
    </row>
    <row r="12" spans="2:12" ht="16">
      <c r="B12" s="20" t="s">
        <v>62666</v>
      </c>
      <c r="C12" s="91">
        <f t="shared" si="1"/>
        <v>32700</v>
      </c>
      <c r="D12" s="21">
        <f t="shared" si="0"/>
        <v>39567</v>
      </c>
      <c r="E12" s="22"/>
      <c r="F12" s="93"/>
      <c r="G12" s="95"/>
      <c r="H12" s="11">
        <f>0.9*24215</f>
        <v>21793.5</v>
      </c>
      <c r="I12" s="11">
        <f t="shared" si="2"/>
        <v>32690.25</v>
      </c>
    </row>
    <row r="13" spans="2:12" ht="16">
      <c r="B13" s="20" t="s">
        <v>62667</v>
      </c>
      <c r="C13" s="91">
        <f t="shared" si="1"/>
        <v>25060</v>
      </c>
      <c r="D13" s="21">
        <f t="shared" si="0"/>
        <v>30322.6</v>
      </c>
      <c r="E13" s="22"/>
      <c r="F13" s="93"/>
      <c r="G13" s="95"/>
      <c r="H13" s="11">
        <f>0.9*18560</f>
        <v>16704</v>
      </c>
      <c r="I13" s="11">
        <f t="shared" si="2"/>
        <v>25056</v>
      </c>
    </row>
    <row r="14" spans="2:12" ht="16">
      <c r="B14" s="20" t="s">
        <v>62668</v>
      </c>
      <c r="C14" s="91">
        <f t="shared" si="1"/>
        <v>132100</v>
      </c>
      <c r="D14" s="21">
        <f t="shared" si="0"/>
        <v>159841</v>
      </c>
      <c r="E14" s="22"/>
      <c r="F14" s="93"/>
      <c r="G14" s="95"/>
      <c r="H14" s="11">
        <f>0.9*97851</f>
        <v>88065.900000000009</v>
      </c>
      <c r="I14" s="11">
        <f t="shared" si="2"/>
        <v>132098.85</v>
      </c>
    </row>
    <row r="15" spans="2:12" ht="16">
      <c r="B15" s="20" t="s">
        <v>62669</v>
      </c>
      <c r="C15" s="91">
        <f t="shared" si="1"/>
        <v>43500</v>
      </c>
      <c r="D15" s="21">
        <f t="shared" si="0"/>
        <v>52635</v>
      </c>
      <c r="E15" s="22"/>
      <c r="F15" s="93"/>
      <c r="G15" s="95"/>
      <c r="H15" s="11">
        <f>0.9*32220</f>
        <v>28998</v>
      </c>
      <c r="I15" s="11">
        <f t="shared" si="2"/>
        <v>43497</v>
      </c>
    </row>
    <row r="16" spans="2:12" ht="16">
      <c r="B16" s="20"/>
      <c r="C16" s="91">
        <f t="shared" si="1"/>
        <v>0</v>
      </c>
      <c r="D16" s="21">
        <f t="shared" si="0"/>
        <v>0</v>
      </c>
      <c r="E16" s="22"/>
      <c r="F16" s="93"/>
      <c r="G16" s="95"/>
      <c r="H16" s="11"/>
      <c r="I16" s="11">
        <f t="shared" si="2"/>
        <v>0</v>
      </c>
    </row>
    <row r="17" spans="2:10" ht="16">
      <c r="B17" s="20"/>
      <c r="C17" s="91">
        <f t="shared" si="1"/>
        <v>0</v>
      </c>
      <c r="D17" s="21">
        <f t="shared" si="0"/>
        <v>0</v>
      </c>
      <c r="E17" s="92"/>
      <c r="F17" s="93"/>
      <c r="G17" s="95"/>
      <c r="H17" s="171"/>
      <c r="I17" s="11">
        <f t="shared" si="2"/>
        <v>0</v>
      </c>
    </row>
    <row r="18" spans="2:10" ht="16">
      <c r="B18" s="20"/>
      <c r="C18" s="91">
        <f t="shared" si="1"/>
        <v>0</v>
      </c>
      <c r="D18" s="21">
        <f t="shared" si="0"/>
        <v>0</v>
      </c>
      <c r="E18" s="92"/>
      <c r="F18" s="93"/>
      <c r="G18" s="95"/>
      <c r="H18" s="171"/>
      <c r="I18" s="11">
        <f t="shared" si="2"/>
        <v>0</v>
      </c>
    </row>
    <row r="19" spans="2:10" ht="16">
      <c r="B19" s="20"/>
      <c r="C19" s="91">
        <f t="shared" si="1"/>
        <v>0</v>
      </c>
      <c r="D19" s="21">
        <f t="shared" si="0"/>
        <v>0</v>
      </c>
      <c r="E19" s="92"/>
      <c r="F19" s="93"/>
      <c r="G19" s="95"/>
      <c r="H19" s="171"/>
      <c r="I19" s="11">
        <f t="shared" si="2"/>
        <v>0</v>
      </c>
    </row>
    <row r="20" spans="2:10" ht="16">
      <c r="B20" s="20"/>
      <c r="C20" s="91">
        <f t="shared" si="1"/>
        <v>0</v>
      </c>
      <c r="D20" s="21">
        <f t="shared" si="0"/>
        <v>0</v>
      </c>
      <c r="E20" s="92"/>
      <c r="F20" s="93"/>
      <c r="G20" s="95"/>
      <c r="H20" s="171"/>
      <c r="I20" s="11">
        <f t="shared" si="2"/>
        <v>0</v>
      </c>
    </row>
    <row r="21" spans="2:10" ht="16">
      <c r="B21" s="20"/>
      <c r="C21" s="91">
        <f t="shared" si="1"/>
        <v>0</v>
      </c>
      <c r="D21" s="21">
        <f t="shared" si="0"/>
        <v>0</v>
      </c>
      <c r="E21" s="92"/>
      <c r="F21" s="93"/>
      <c r="G21" s="95"/>
      <c r="H21" s="171"/>
      <c r="I21" s="11">
        <f t="shared" si="2"/>
        <v>0</v>
      </c>
    </row>
    <row r="22" spans="2:10" ht="16">
      <c r="B22" s="20"/>
      <c r="C22" s="91">
        <f t="shared" si="1"/>
        <v>0</v>
      </c>
      <c r="D22" s="21">
        <f t="shared" si="0"/>
        <v>0</v>
      </c>
      <c r="E22" s="92"/>
      <c r="F22" s="93"/>
      <c r="G22" s="95"/>
      <c r="H22" s="171"/>
      <c r="I22" s="11">
        <f t="shared" si="2"/>
        <v>0</v>
      </c>
    </row>
    <row r="23" spans="2:10" ht="16">
      <c r="B23" s="20"/>
      <c r="C23" s="91">
        <f t="shared" si="1"/>
        <v>0</v>
      </c>
      <c r="D23" s="21">
        <f t="shared" si="0"/>
        <v>0</v>
      </c>
      <c r="E23" s="92"/>
      <c r="F23" s="93"/>
      <c r="G23" s="95"/>
      <c r="H23" s="171"/>
      <c r="I23" s="11">
        <f t="shared" si="2"/>
        <v>0</v>
      </c>
    </row>
    <row r="24" spans="2:10" ht="16">
      <c r="B24" s="20"/>
      <c r="C24" s="91">
        <f t="shared" si="1"/>
        <v>0</v>
      </c>
      <c r="D24" s="21">
        <f t="shared" si="0"/>
        <v>0</v>
      </c>
      <c r="E24" s="92"/>
      <c r="F24" s="93"/>
      <c r="G24" s="95"/>
      <c r="H24" s="171"/>
      <c r="I24" s="11">
        <f t="shared" si="2"/>
        <v>0</v>
      </c>
    </row>
    <row r="25" spans="2:10" ht="16">
      <c r="B25" s="20"/>
      <c r="C25" s="91">
        <f t="shared" si="1"/>
        <v>0</v>
      </c>
      <c r="D25" s="21">
        <f t="shared" si="0"/>
        <v>0</v>
      </c>
      <c r="E25" s="92"/>
      <c r="F25" s="93"/>
      <c r="G25" s="95"/>
      <c r="H25" s="171"/>
      <c r="I25" s="11">
        <f t="shared" si="2"/>
        <v>0</v>
      </c>
    </row>
    <row r="26" spans="2:10" ht="16">
      <c r="B26" s="20"/>
      <c r="C26" s="91">
        <f t="shared" si="1"/>
        <v>0</v>
      </c>
      <c r="D26" s="21">
        <f t="shared" si="0"/>
        <v>0</v>
      </c>
      <c r="E26" s="92"/>
      <c r="F26" s="93"/>
      <c r="G26" s="95"/>
      <c r="H26" s="171"/>
      <c r="I26" s="11">
        <f t="shared" si="2"/>
        <v>0</v>
      </c>
    </row>
    <row r="27" spans="2:10" ht="16">
      <c r="B27" s="20"/>
      <c r="C27" s="91">
        <f t="shared" si="1"/>
        <v>0</v>
      </c>
      <c r="D27" s="21">
        <f t="shared" si="0"/>
        <v>0</v>
      </c>
      <c r="E27" s="92"/>
      <c r="F27" s="93"/>
      <c r="G27" s="95"/>
      <c r="H27" s="11"/>
      <c r="I27" s="11">
        <f t="shared" si="2"/>
        <v>0</v>
      </c>
    </row>
    <row r="28" spans="2:10" ht="16">
      <c r="B28" s="20"/>
      <c r="C28" s="91">
        <f t="shared" si="1"/>
        <v>0</v>
      </c>
      <c r="D28" s="21">
        <f t="shared" si="0"/>
        <v>0</v>
      </c>
      <c r="E28" s="92"/>
      <c r="F28" s="93"/>
      <c r="G28" s="95"/>
      <c r="H28" s="11"/>
      <c r="I28" s="11">
        <f t="shared" si="2"/>
        <v>0</v>
      </c>
    </row>
    <row r="29" spans="2:10" ht="16">
      <c r="B29" s="20"/>
      <c r="C29" s="91">
        <f t="shared" si="1"/>
        <v>0</v>
      </c>
      <c r="D29" s="21">
        <f t="shared" si="0"/>
        <v>0</v>
      </c>
      <c r="E29" s="92"/>
      <c r="F29" s="93"/>
      <c r="G29" s="95"/>
      <c r="H29" s="11"/>
      <c r="I29" s="11">
        <f t="shared" si="2"/>
        <v>0</v>
      </c>
    </row>
    <row r="30" spans="2:10" ht="16">
      <c r="B30" s="20"/>
      <c r="C30" s="91">
        <f t="shared" si="1"/>
        <v>0</v>
      </c>
      <c r="D30" s="21">
        <f t="shared" si="0"/>
        <v>0</v>
      </c>
      <c r="E30" s="22"/>
      <c r="F30" s="93"/>
      <c r="G30" s="95"/>
      <c r="H30" s="11"/>
      <c r="I30" s="11">
        <f t="shared" si="2"/>
        <v>0</v>
      </c>
      <c r="J30" s="11"/>
    </row>
    <row r="31" spans="2:10" ht="16">
      <c r="B31" s="20"/>
      <c r="C31" s="91">
        <f t="shared" si="1"/>
        <v>0</v>
      </c>
      <c r="D31" s="21">
        <f t="shared" si="0"/>
        <v>0</v>
      </c>
      <c r="E31" s="22"/>
      <c r="F31" s="93"/>
      <c r="G31" s="95"/>
      <c r="H31" s="11"/>
      <c r="I31" s="11">
        <f t="shared" si="2"/>
        <v>0</v>
      </c>
      <c r="J31" s="11"/>
    </row>
    <row r="32" spans="2:10" ht="16">
      <c r="B32" s="20"/>
      <c r="C32" s="91">
        <f t="shared" si="1"/>
        <v>0</v>
      </c>
      <c r="D32" s="21">
        <f t="shared" si="0"/>
        <v>0</v>
      </c>
      <c r="E32" s="22"/>
      <c r="F32" s="93"/>
      <c r="G32" s="95"/>
      <c r="H32" s="11"/>
      <c r="I32" s="11">
        <f t="shared" si="2"/>
        <v>0</v>
      </c>
      <c r="J32" s="11"/>
    </row>
    <row r="33" spans="2:10" ht="16">
      <c r="B33" s="20"/>
      <c r="C33" s="91">
        <f t="shared" si="1"/>
        <v>0</v>
      </c>
      <c r="D33" s="21">
        <f t="shared" si="0"/>
        <v>0</v>
      </c>
      <c r="E33" s="22"/>
      <c r="F33" s="93"/>
      <c r="G33" s="95"/>
      <c r="H33" s="11"/>
      <c r="I33" s="11">
        <f t="shared" si="2"/>
        <v>0</v>
      </c>
      <c r="J33" s="11"/>
    </row>
    <row r="34" spans="2:10" ht="16">
      <c r="B34" s="20"/>
      <c r="C34" s="91">
        <f t="shared" si="1"/>
        <v>0</v>
      </c>
      <c r="D34" s="21">
        <f t="shared" si="0"/>
        <v>0</v>
      </c>
      <c r="E34" s="22"/>
      <c r="F34" s="93"/>
      <c r="G34" s="95"/>
      <c r="H34" s="11"/>
      <c r="I34" s="11">
        <f t="shared" si="2"/>
        <v>0</v>
      </c>
    </row>
    <row r="35" spans="2:10" ht="16">
      <c r="B35" s="20"/>
      <c r="C35" s="91">
        <f t="shared" si="1"/>
        <v>0</v>
      </c>
      <c r="D35" s="21">
        <f t="shared" si="0"/>
        <v>0</v>
      </c>
      <c r="E35" s="22"/>
      <c r="F35" s="93"/>
      <c r="G35" s="95"/>
      <c r="H35" s="11"/>
      <c r="I35" s="11">
        <f t="shared" si="2"/>
        <v>0</v>
      </c>
    </row>
    <row r="36" spans="2:10" ht="16">
      <c r="B36" s="20"/>
      <c r="C36" s="91">
        <f t="shared" si="1"/>
        <v>0</v>
      </c>
      <c r="D36" s="21">
        <f t="shared" si="0"/>
        <v>0</v>
      </c>
      <c r="E36" s="92"/>
      <c r="F36" s="93"/>
      <c r="G36" s="95"/>
      <c r="H36" s="11"/>
      <c r="I36" s="11">
        <f t="shared" si="2"/>
        <v>0</v>
      </c>
    </row>
    <row r="37" spans="2:10" ht="16">
      <c r="B37" s="20"/>
      <c r="C37" s="91">
        <f t="shared" si="1"/>
        <v>0</v>
      </c>
      <c r="D37" s="21">
        <f t="shared" si="0"/>
        <v>0</v>
      </c>
      <c r="E37" s="22"/>
      <c r="F37" s="93">
        <v>3.8</v>
      </c>
      <c r="G37" s="95"/>
      <c r="H37" s="11"/>
      <c r="I37" s="11">
        <f t="shared" si="2"/>
        <v>0</v>
      </c>
    </row>
    <row r="38" spans="2:10" ht="16">
      <c r="B38" s="20"/>
      <c r="C38" s="91">
        <f t="shared" si="1"/>
        <v>0</v>
      </c>
      <c r="D38" s="21">
        <f t="shared" si="0"/>
        <v>0</v>
      </c>
      <c r="E38" s="22"/>
      <c r="F38" s="93">
        <v>3.8</v>
      </c>
      <c r="G38" s="95"/>
      <c r="H38" s="11"/>
      <c r="I38" s="11">
        <f t="shared" si="2"/>
        <v>0</v>
      </c>
    </row>
    <row r="39" spans="2:10" ht="16">
      <c r="B39" s="20"/>
      <c r="C39" s="91">
        <f t="shared" si="1"/>
        <v>0</v>
      </c>
      <c r="D39" s="21">
        <f t="shared" si="0"/>
        <v>0</v>
      </c>
      <c r="E39" s="22"/>
      <c r="F39" s="93">
        <v>3.8</v>
      </c>
      <c r="G39" s="95"/>
      <c r="H39" s="11"/>
      <c r="I39" s="11">
        <f t="shared" si="2"/>
        <v>0</v>
      </c>
    </row>
    <row r="40" spans="2:10" ht="16">
      <c r="B40" s="20"/>
      <c r="C40" s="91">
        <f t="shared" si="1"/>
        <v>0</v>
      </c>
      <c r="D40" s="21">
        <f t="shared" si="0"/>
        <v>0</v>
      </c>
      <c r="E40" s="22"/>
      <c r="F40" s="93">
        <v>3.8</v>
      </c>
      <c r="G40" s="95"/>
      <c r="H40" s="11"/>
      <c r="I40" s="11">
        <f t="shared" si="2"/>
        <v>0</v>
      </c>
    </row>
    <row r="41" spans="2:10" ht="16">
      <c r="B41" s="20"/>
      <c r="C41" s="91">
        <f t="shared" si="1"/>
        <v>0</v>
      </c>
      <c r="D41" s="21">
        <f t="shared" si="0"/>
        <v>0</v>
      </c>
      <c r="E41" s="22"/>
      <c r="F41" s="93"/>
      <c r="G41" s="95"/>
      <c r="H41" s="11"/>
      <c r="I41" s="11">
        <f t="shared" si="2"/>
        <v>0</v>
      </c>
    </row>
    <row r="42" spans="2:10" ht="16">
      <c r="B42" s="20"/>
      <c r="C42" s="91">
        <f t="shared" si="1"/>
        <v>0</v>
      </c>
      <c r="D42" s="21">
        <f t="shared" si="0"/>
        <v>0</v>
      </c>
      <c r="E42" s="22"/>
      <c r="F42" s="93"/>
      <c r="G42" s="95"/>
      <c r="H42" s="11"/>
      <c r="I42" s="11">
        <f t="shared" si="2"/>
        <v>0</v>
      </c>
    </row>
    <row r="43" spans="2:10" ht="16">
      <c r="B43" s="20"/>
      <c r="C43" s="91">
        <f t="shared" si="1"/>
        <v>0</v>
      </c>
      <c r="D43" s="21">
        <f t="shared" si="0"/>
        <v>0</v>
      </c>
      <c r="E43" s="92"/>
      <c r="F43" s="93"/>
      <c r="G43" s="95"/>
      <c r="H43" s="11"/>
      <c r="I43" s="11">
        <f t="shared" si="2"/>
        <v>0</v>
      </c>
    </row>
    <row r="44" spans="2:10" ht="16">
      <c r="B44" s="20"/>
      <c r="C44" s="91">
        <f t="shared" si="1"/>
        <v>0</v>
      </c>
      <c r="D44" s="21">
        <f t="shared" si="0"/>
        <v>0</v>
      </c>
      <c r="E44" s="22"/>
      <c r="F44" s="93"/>
      <c r="G44" s="95"/>
      <c r="H44" s="11"/>
      <c r="I44" s="11">
        <f t="shared" si="2"/>
        <v>0</v>
      </c>
    </row>
    <row r="45" spans="2:10" ht="16">
      <c r="B45" s="20"/>
      <c r="C45" s="91">
        <f t="shared" si="1"/>
        <v>0</v>
      </c>
      <c r="D45" s="21">
        <f t="shared" si="0"/>
        <v>0</v>
      </c>
      <c r="E45" s="22"/>
      <c r="F45" s="93"/>
      <c r="G45" s="95"/>
      <c r="H45" s="11"/>
      <c r="I45" s="11">
        <f t="shared" si="2"/>
        <v>0</v>
      </c>
    </row>
    <row r="46" spans="2:10" ht="16">
      <c r="B46" s="20"/>
      <c r="C46" s="91">
        <f t="shared" si="1"/>
        <v>0</v>
      </c>
      <c r="D46" s="21">
        <f t="shared" si="0"/>
        <v>0</v>
      </c>
      <c r="E46" s="22"/>
      <c r="F46" s="93"/>
      <c r="G46" s="95"/>
      <c r="H46" s="11"/>
      <c r="I46" s="11">
        <f t="shared" si="2"/>
        <v>0</v>
      </c>
    </row>
    <row r="47" spans="2:10" ht="16">
      <c r="B47" s="20"/>
      <c r="C47" s="91">
        <f t="shared" si="1"/>
        <v>0</v>
      </c>
      <c r="D47" s="21">
        <f t="shared" si="0"/>
        <v>0</v>
      </c>
      <c r="E47" s="92"/>
      <c r="F47" s="93"/>
      <c r="G47" s="95"/>
      <c r="H47" s="11"/>
      <c r="I47" s="11">
        <f t="shared" si="2"/>
        <v>0</v>
      </c>
    </row>
    <row r="48" spans="2:10" ht="16">
      <c r="B48" s="20"/>
      <c r="C48" s="91">
        <f t="shared" si="1"/>
        <v>0</v>
      </c>
      <c r="D48" s="21">
        <f t="shared" si="0"/>
        <v>0</v>
      </c>
      <c r="E48" s="92"/>
      <c r="F48" s="93"/>
      <c r="G48" s="95"/>
      <c r="H48" s="11"/>
      <c r="I48" s="11">
        <f t="shared" si="2"/>
        <v>0</v>
      </c>
    </row>
    <row r="49" spans="2:9" ht="16">
      <c r="B49" s="20"/>
      <c r="C49" s="91">
        <f t="shared" si="1"/>
        <v>0</v>
      </c>
      <c r="D49" s="21">
        <f t="shared" si="0"/>
        <v>0</v>
      </c>
      <c r="E49" s="92"/>
      <c r="F49" s="93"/>
      <c r="G49" s="95"/>
      <c r="H49" s="11"/>
      <c r="I49" s="11">
        <f t="shared" si="2"/>
        <v>0</v>
      </c>
    </row>
    <row r="50" spans="2:9" ht="16">
      <c r="B50" s="20"/>
      <c r="C50" s="91">
        <f t="shared" si="1"/>
        <v>0</v>
      </c>
      <c r="D50" s="21">
        <f t="shared" si="0"/>
        <v>0</v>
      </c>
      <c r="E50" s="22"/>
      <c r="F50" s="93"/>
      <c r="G50" s="95"/>
      <c r="H50" s="11"/>
      <c r="I50" s="11">
        <f t="shared" si="2"/>
        <v>0</v>
      </c>
    </row>
    <row r="51" spans="2:9" ht="16">
      <c r="B51" s="20"/>
      <c r="C51" s="91">
        <f t="shared" si="1"/>
        <v>0</v>
      </c>
      <c r="D51" s="21">
        <f t="shared" si="0"/>
        <v>0</v>
      </c>
      <c r="E51" s="22"/>
      <c r="F51" s="93"/>
      <c r="G51" s="95"/>
      <c r="H51" s="11"/>
      <c r="I51" s="11">
        <f t="shared" si="2"/>
        <v>0</v>
      </c>
    </row>
    <row r="52" spans="2:9" ht="16">
      <c r="B52" s="20"/>
      <c r="C52" s="91">
        <f t="shared" si="1"/>
        <v>0</v>
      </c>
      <c r="D52" s="21">
        <f t="shared" si="0"/>
        <v>0</v>
      </c>
      <c r="E52" s="22"/>
      <c r="F52" s="93"/>
      <c r="G52" s="95"/>
      <c r="H52" s="11"/>
      <c r="I52" s="11">
        <f t="shared" si="2"/>
        <v>0</v>
      </c>
    </row>
    <row r="53" spans="2:9" ht="16">
      <c r="B53" s="20"/>
      <c r="C53" s="91">
        <f t="shared" si="1"/>
        <v>0</v>
      </c>
      <c r="D53" s="21">
        <f t="shared" si="0"/>
        <v>0</v>
      </c>
      <c r="E53" s="22"/>
      <c r="F53" s="93"/>
      <c r="G53" s="95"/>
      <c r="H53" s="11"/>
      <c r="I53" s="11">
        <f t="shared" si="2"/>
        <v>0</v>
      </c>
    </row>
    <row r="54" spans="2:9" ht="16">
      <c r="B54" s="20"/>
      <c r="C54" s="91">
        <f t="shared" si="1"/>
        <v>0</v>
      </c>
      <c r="D54" s="21">
        <f t="shared" si="0"/>
        <v>0</v>
      </c>
      <c r="E54" s="22"/>
      <c r="F54" s="93"/>
      <c r="G54" s="95"/>
      <c r="H54" s="11"/>
      <c r="I54" s="11">
        <f t="shared" si="2"/>
        <v>0</v>
      </c>
    </row>
    <row r="55" spans="2:9" ht="16">
      <c r="B55" s="20"/>
      <c r="C55" s="91">
        <f t="shared" si="1"/>
        <v>0</v>
      </c>
      <c r="D55" s="21">
        <f t="shared" si="0"/>
        <v>0</v>
      </c>
      <c r="E55" s="22"/>
      <c r="F55" s="93"/>
      <c r="G55" s="95"/>
      <c r="H55" s="11"/>
      <c r="I55" s="11">
        <f t="shared" si="2"/>
        <v>0</v>
      </c>
    </row>
    <row r="56" spans="2:9" ht="16">
      <c r="B56" s="20"/>
      <c r="C56" s="91">
        <f t="shared" si="1"/>
        <v>0</v>
      </c>
      <c r="D56" s="21">
        <f t="shared" si="0"/>
        <v>0</v>
      </c>
      <c r="E56" s="92"/>
      <c r="F56" s="93"/>
      <c r="G56" s="95"/>
      <c r="H56" s="11"/>
      <c r="I56" s="11">
        <f t="shared" si="2"/>
        <v>0</v>
      </c>
    </row>
    <row r="57" spans="2:9" ht="16">
      <c r="B57" s="20"/>
      <c r="C57" s="96"/>
      <c r="D57" s="21"/>
      <c r="E57" s="22"/>
      <c r="F57" s="93"/>
      <c r="G57" s="95"/>
      <c r="H57" s="11"/>
    </row>
  </sheetData>
  <mergeCells count="1">
    <mergeCell ref="B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8245"/>
  <sheetViews>
    <sheetView topLeftCell="A1064" workbookViewId="0">
      <selection activeCell="D1082" sqref="D1082"/>
    </sheetView>
  </sheetViews>
  <sheetFormatPr baseColWidth="10" defaultColWidth="10.83203125" defaultRowHeight="15"/>
  <cols>
    <col min="1" max="1" width="15.33203125" style="317" bestFit="1" customWidth="1"/>
    <col min="2" max="2" width="16.5" style="314" bestFit="1" customWidth="1"/>
    <col min="3" max="3" width="17.33203125" style="314" bestFit="1" customWidth="1"/>
    <col min="4" max="4" width="43.5" style="314" bestFit="1" customWidth="1"/>
    <col min="5" max="5" width="17.5" style="314" bestFit="1" customWidth="1"/>
    <col min="6" max="6" width="4.6640625" style="314" customWidth="1"/>
    <col min="7" max="7" width="15.5" style="314" hidden="1" customWidth="1"/>
    <col min="8" max="8" width="17.5" style="314" bestFit="1" customWidth="1"/>
    <col min="9" max="16384" width="10.83203125" style="314"/>
  </cols>
  <sheetData>
    <row r="1" spans="1:9">
      <c r="A1" s="310"/>
      <c r="B1" s="311"/>
      <c r="C1" s="311"/>
      <c r="D1" s="312"/>
      <c r="E1" s="312"/>
      <c r="F1" s="312"/>
      <c r="G1" s="312"/>
      <c r="H1" s="313" t="s">
        <v>44372</v>
      </c>
    </row>
    <row r="2" spans="1:9" ht="58.25" customHeight="1">
      <c r="A2" s="310"/>
      <c r="B2" s="312"/>
      <c r="C2" s="312"/>
      <c r="D2" s="337" t="s">
        <v>37121</v>
      </c>
      <c r="E2" s="312"/>
      <c r="F2" s="312"/>
      <c r="G2" s="312"/>
      <c r="H2" s="312"/>
    </row>
    <row r="3" spans="1:9" ht="28">
      <c r="A3" s="315" t="s">
        <v>37283</v>
      </c>
      <c r="B3" s="315" t="s">
        <v>44373</v>
      </c>
      <c r="C3" s="315" t="s">
        <v>4584</v>
      </c>
      <c r="D3" s="315" t="s">
        <v>4585</v>
      </c>
      <c r="E3" s="315" t="s">
        <v>4586</v>
      </c>
      <c r="F3" s="315" t="s">
        <v>4587</v>
      </c>
      <c r="G3" s="316" t="s">
        <v>4588</v>
      </c>
      <c r="H3" s="316" t="s">
        <v>44296</v>
      </c>
    </row>
    <row r="4" spans="1:9">
      <c r="A4" s="317">
        <v>1600119011</v>
      </c>
      <c r="B4" s="317" t="s">
        <v>44374</v>
      </c>
      <c r="C4" s="330" t="s">
        <v>4589</v>
      </c>
      <c r="D4" s="330" t="s">
        <v>4590</v>
      </c>
      <c r="E4" s="330" t="s">
        <v>37248</v>
      </c>
      <c r="F4" s="331">
        <v>0.21</v>
      </c>
      <c r="G4" s="332">
        <v>2417</v>
      </c>
      <c r="H4" s="333">
        <v>2925</v>
      </c>
      <c r="I4" s="334"/>
    </row>
    <row r="5" spans="1:9">
      <c r="A5" s="317">
        <v>1600190020</v>
      </c>
      <c r="B5" s="317" t="s">
        <v>44375</v>
      </c>
      <c r="C5" s="330" t="s">
        <v>4591</v>
      </c>
      <c r="D5" s="330" t="s">
        <v>4592</v>
      </c>
      <c r="E5" s="330" t="s">
        <v>37248</v>
      </c>
      <c r="F5" s="331">
        <v>0.21</v>
      </c>
      <c r="G5" s="332">
        <v>1695</v>
      </c>
      <c r="H5" s="333">
        <v>2051</v>
      </c>
    </row>
    <row r="6" spans="1:9">
      <c r="A6" s="317">
        <v>1600190021</v>
      </c>
      <c r="B6" s="317" t="s">
        <v>44376</v>
      </c>
      <c r="C6" s="330" t="s">
        <v>4593</v>
      </c>
      <c r="D6" s="330" t="s">
        <v>4594</v>
      </c>
      <c r="E6" s="330" t="s">
        <v>37248</v>
      </c>
      <c r="F6" s="331">
        <v>0.21</v>
      </c>
      <c r="G6" s="332">
        <v>2891</v>
      </c>
      <c r="H6" s="333">
        <v>3499</v>
      </c>
    </row>
    <row r="7" spans="1:9">
      <c r="A7" s="317">
        <v>1600200029</v>
      </c>
      <c r="B7" s="317" t="s">
        <v>44377</v>
      </c>
      <c r="C7" s="330" t="s">
        <v>4595</v>
      </c>
      <c r="D7" s="330" t="s">
        <v>4596</v>
      </c>
      <c r="E7" s="330" t="s">
        <v>37248</v>
      </c>
      <c r="F7" s="331">
        <v>0.21</v>
      </c>
      <c r="G7" s="332">
        <v>1871</v>
      </c>
      <c r="H7" s="333">
        <v>2264</v>
      </c>
    </row>
    <row r="8" spans="1:9">
      <c r="A8" s="317">
        <v>1600206025</v>
      </c>
      <c r="B8" s="317" t="s">
        <v>44378</v>
      </c>
      <c r="C8" s="330" t="s">
        <v>4597</v>
      </c>
      <c r="D8" s="330" t="s">
        <v>4598</v>
      </c>
      <c r="E8" s="330" t="s">
        <v>37248</v>
      </c>
      <c r="F8" s="331">
        <v>0.21</v>
      </c>
      <c r="G8" s="332">
        <v>2891</v>
      </c>
      <c r="H8" s="333">
        <v>3499</v>
      </c>
    </row>
    <row r="9" spans="1:9">
      <c r="A9" s="317">
        <v>1600206036</v>
      </c>
      <c r="B9" s="317" t="s">
        <v>44379</v>
      </c>
      <c r="C9" s="330" t="s">
        <v>4599</v>
      </c>
      <c r="D9" s="330" t="s">
        <v>4600</v>
      </c>
      <c r="E9" s="330" t="s">
        <v>37248</v>
      </c>
      <c r="F9" s="331">
        <v>0.21</v>
      </c>
      <c r="G9" s="332">
        <v>1679</v>
      </c>
      <c r="H9" s="333">
        <v>2032</v>
      </c>
    </row>
    <row r="10" spans="1:9">
      <c r="A10" s="317">
        <v>1600210080</v>
      </c>
      <c r="B10" s="317" t="s">
        <v>44380</v>
      </c>
      <c r="C10" s="330" t="s">
        <v>4601</v>
      </c>
      <c r="D10" s="330" t="s">
        <v>4602</v>
      </c>
      <c r="E10" s="330" t="s">
        <v>37248</v>
      </c>
      <c r="F10" s="331">
        <v>0.21</v>
      </c>
      <c r="G10" s="332">
        <v>2130</v>
      </c>
      <c r="H10" s="333">
        <v>2578</v>
      </c>
    </row>
    <row r="11" spans="1:9">
      <c r="A11" s="317">
        <v>1600290036</v>
      </c>
      <c r="B11" s="317" t="s">
        <v>44381</v>
      </c>
      <c r="C11" s="330" t="s">
        <v>4603</v>
      </c>
      <c r="D11" s="330" t="s">
        <v>4604</v>
      </c>
      <c r="E11" s="330" t="s">
        <v>37248</v>
      </c>
      <c r="F11" s="331">
        <v>0.21</v>
      </c>
      <c r="G11" s="332">
        <v>1762</v>
      </c>
      <c r="H11" s="333">
        <v>2133</v>
      </c>
    </row>
    <row r="12" spans="1:9">
      <c r="A12" s="317">
        <v>1600591025</v>
      </c>
      <c r="B12" s="317" t="s">
        <v>44382</v>
      </c>
      <c r="C12" s="330" t="s">
        <v>4605</v>
      </c>
      <c r="D12" s="330" t="s">
        <v>4606</v>
      </c>
      <c r="E12" s="330" t="s">
        <v>37248</v>
      </c>
      <c r="F12" s="331">
        <v>0.21</v>
      </c>
      <c r="G12" s="332">
        <v>3596</v>
      </c>
      <c r="H12" s="333">
        <v>4352</v>
      </c>
    </row>
    <row r="13" spans="1:9">
      <c r="A13" s="317">
        <v>1600703031</v>
      </c>
      <c r="B13" s="317" t="s">
        <v>44383</v>
      </c>
      <c r="C13" s="330" t="s">
        <v>4607</v>
      </c>
      <c r="D13" s="330" t="s">
        <v>4608</v>
      </c>
      <c r="E13" s="330" t="s">
        <v>37248</v>
      </c>
      <c r="F13" s="331">
        <v>0.21</v>
      </c>
      <c r="G13" s="332">
        <v>3979</v>
      </c>
      <c r="H13" s="333">
        <v>4815</v>
      </c>
    </row>
    <row r="14" spans="1:9">
      <c r="A14" s="317" t="s">
        <v>37284</v>
      </c>
      <c r="B14" s="317" t="s">
        <v>44384</v>
      </c>
      <c r="C14" s="330" t="s">
        <v>4609</v>
      </c>
      <c r="D14" s="330" t="s">
        <v>4610</v>
      </c>
      <c r="E14" s="330" t="s">
        <v>37248</v>
      </c>
      <c r="F14" s="331">
        <v>0.21</v>
      </c>
      <c r="G14" s="332">
        <v>1806</v>
      </c>
      <c r="H14" s="333">
        <v>2186</v>
      </c>
    </row>
    <row r="15" spans="1:9">
      <c r="A15" s="317" t="s">
        <v>37285</v>
      </c>
      <c r="B15" s="317" t="s">
        <v>44385</v>
      </c>
      <c r="C15" s="330" t="s">
        <v>4611</v>
      </c>
      <c r="D15" s="330" t="s">
        <v>4612</v>
      </c>
      <c r="E15" s="330" t="s">
        <v>37248</v>
      </c>
      <c r="F15" s="331">
        <v>0.21</v>
      </c>
      <c r="G15" s="332">
        <v>2491</v>
      </c>
      <c r="H15" s="333">
        <v>3015</v>
      </c>
    </row>
    <row r="16" spans="1:9">
      <c r="A16" s="317" t="s">
        <v>37286</v>
      </c>
      <c r="B16" s="317" t="s">
        <v>44386</v>
      </c>
      <c r="C16" s="330" t="s">
        <v>4613</v>
      </c>
      <c r="D16" s="330" t="s">
        <v>4614</v>
      </c>
      <c r="E16" s="330" t="s">
        <v>37248</v>
      </c>
      <c r="F16" s="331">
        <v>0.21</v>
      </c>
      <c r="G16" s="332">
        <v>1806</v>
      </c>
      <c r="H16" s="333">
        <v>2186</v>
      </c>
    </row>
    <row r="17" spans="1:8">
      <c r="A17" s="317">
        <v>1600905023</v>
      </c>
      <c r="B17" s="317" t="s">
        <v>44387</v>
      </c>
      <c r="C17" s="330" t="s">
        <v>4615</v>
      </c>
      <c r="D17" s="330" t="s">
        <v>4616</v>
      </c>
      <c r="E17" s="330" t="s">
        <v>37248</v>
      </c>
      <c r="F17" s="331">
        <v>0.21</v>
      </c>
      <c r="G17" s="332">
        <v>3259</v>
      </c>
      <c r="H17" s="333">
        <v>3944</v>
      </c>
    </row>
    <row r="18" spans="1:8">
      <c r="A18" s="317" t="s">
        <v>37287</v>
      </c>
      <c r="B18" s="317" t="s">
        <v>44388</v>
      </c>
      <c r="C18" s="330" t="s">
        <v>4617</v>
      </c>
      <c r="D18" s="330" t="s">
        <v>4618</v>
      </c>
      <c r="E18" s="330" t="s">
        <v>37248</v>
      </c>
      <c r="F18" s="331">
        <v>0.21</v>
      </c>
      <c r="G18" s="332">
        <v>2264</v>
      </c>
      <c r="H18" s="333">
        <v>2740</v>
      </c>
    </row>
    <row r="19" spans="1:8">
      <c r="A19" s="317" t="s">
        <v>37288</v>
      </c>
      <c r="B19" s="317" t="s">
        <v>44389</v>
      </c>
      <c r="C19" s="330" t="s">
        <v>4619</v>
      </c>
      <c r="D19" s="330" t="s">
        <v>4620</v>
      </c>
      <c r="E19" s="330" t="s">
        <v>37248</v>
      </c>
      <c r="F19" s="331">
        <v>0.21</v>
      </c>
      <c r="G19" s="332">
        <v>17964</v>
      </c>
      <c r="H19" s="333">
        <v>21737</v>
      </c>
    </row>
    <row r="20" spans="1:8">
      <c r="A20" s="317" t="s">
        <v>37289</v>
      </c>
      <c r="B20" s="317" t="s">
        <v>44390</v>
      </c>
      <c r="C20" s="330" t="s">
        <v>4621</v>
      </c>
      <c r="D20" s="330" t="s">
        <v>4622</v>
      </c>
      <c r="E20" s="330" t="s">
        <v>4623</v>
      </c>
      <c r="F20" s="331">
        <v>0.21</v>
      </c>
      <c r="G20" s="332">
        <v>28422</v>
      </c>
      <c r="H20" s="333">
        <v>34391</v>
      </c>
    </row>
    <row r="21" spans="1:8">
      <c r="A21" s="317" t="s">
        <v>37290</v>
      </c>
      <c r="B21" s="317" t="s">
        <v>44391</v>
      </c>
      <c r="C21" s="330" t="s">
        <v>4624</v>
      </c>
      <c r="D21" s="330" t="s">
        <v>4625</v>
      </c>
      <c r="E21" s="330" t="s">
        <v>37248</v>
      </c>
      <c r="F21" s="331">
        <v>0.21</v>
      </c>
      <c r="G21" s="332">
        <v>8318</v>
      </c>
      <c r="H21" s="333">
        <v>10065</v>
      </c>
    </row>
    <row r="22" spans="1:8">
      <c r="A22" s="317" t="s">
        <v>37291</v>
      </c>
      <c r="B22" s="317" t="s">
        <v>44392</v>
      </c>
      <c r="C22" s="330" t="s">
        <v>4626</v>
      </c>
      <c r="D22" s="330" t="s">
        <v>4627</v>
      </c>
      <c r="E22" s="330" t="s">
        <v>37248</v>
      </c>
      <c r="F22" s="331">
        <v>0.21</v>
      </c>
      <c r="G22" s="332">
        <v>923</v>
      </c>
      <c r="H22" s="333">
        <v>1117</v>
      </c>
    </row>
    <row r="23" spans="1:8">
      <c r="A23" s="317" t="s">
        <v>37292</v>
      </c>
      <c r="B23" s="317" t="s">
        <v>44393</v>
      </c>
      <c r="C23" s="330" t="s">
        <v>4628</v>
      </c>
      <c r="D23" s="330" t="s">
        <v>4629</v>
      </c>
      <c r="E23" s="330" t="s">
        <v>37248</v>
      </c>
      <c r="F23" s="331">
        <v>0.21</v>
      </c>
      <c r="G23" s="332">
        <v>1822</v>
      </c>
      <c r="H23" s="333">
        <v>2205</v>
      </c>
    </row>
    <row r="24" spans="1:8">
      <c r="A24" s="317" t="s">
        <v>37293</v>
      </c>
      <c r="B24" s="317" t="s">
        <v>44394</v>
      </c>
      <c r="C24" s="330" t="s">
        <v>4630</v>
      </c>
      <c r="D24" s="330" t="s">
        <v>4631</v>
      </c>
      <c r="E24" s="330" t="s">
        <v>37248</v>
      </c>
      <c r="F24" s="331">
        <v>0.21</v>
      </c>
      <c r="G24" s="332">
        <v>8702</v>
      </c>
      <c r="H24" s="333">
        <v>10530</v>
      </c>
    </row>
    <row r="25" spans="1:8">
      <c r="A25" s="317" t="s">
        <v>37294</v>
      </c>
      <c r="B25" s="317" t="s">
        <v>44395</v>
      </c>
      <c r="C25" s="330" t="s">
        <v>4632</v>
      </c>
      <c r="D25" s="330" t="s">
        <v>4633</v>
      </c>
      <c r="E25" s="330" t="s">
        <v>4634</v>
      </c>
      <c r="F25" s="331">
        <v>0.21</v>
      </c>
      <c r="G25" s="332">
        <v>35509</v>
      </c>
      <c r="H25" s="333">
        <v>42966</v>
      </c>
    </row>
    <row r="26" spans="1:8">
      <c r="A26" s="317" t="s">
        <v>37295</v>
      </c>
      <c r="B26" s="317" t="s">
        <v>44396</v>
      </c>
      <c r="C26" s="330" t="s">
        <v>4635</v>
      </c>
      <c r="D26" s="330" t="s">
        <v>4636</v>
      </c>
      <c r="E26" s="330" t="s">
        <v>37248</v>
      </c>
      <c r="F26" s="331">
        <v>0.21</v>
      </c>
      <c r="G26" s="332">
        <v>1543</v>
      </c>
      <c r="H26" s="333">
        <v>1868</v>
      </c>
    </row>
    <row r="27" spans="1:8">
      <c r="A27" s="317" t="s">
        <v>37296</v>
      </c>
      <c r="B27" s="317" t="s">
        <v>44397</v>
      </c>
      <c r="C27" s="330" t="s">
        <v>4637</v>
      </c>
      <c r="D27" s="330" t="s">
        <v>4638</v>
      </c>
      <c r="E27" s="330" t="s">
        <v>37248</v>
      </c>
      <c r="F27" s="331">
        <v>0.21</v>
      </c>
      <c r="G27" s="332">
        <v>4479</v>
      </c>
      <c r="H27" s="333">
        <v>5420</v>
      </c>
    </row>
    <row r="28" spans="1:8">
      <c r="A28" s="317" t="s">
        <v>37297</v>
      </c>
      <c r="B28" s="317" t="s">
        <v>44398</v>
      </c>
      <c r="C28" s="330" t="s">
        <v>4639</v>
      </c>
      <c r="D28" s="330" t="s">
        <v>4640</v>
      </c>
      <c r="E28" s="330" t="s">
        <v>37248</v>
      </c>
      <c r="F28" s="331">
        <v>0.21</v>
      </c>
      <c r="G28" s="332">
        <v>6308</v>
      </c>
      <c r="H28" s="333">
        <v>7633</v>
      </c>
    </row>
    <row r="29" spans="1:8">
      <c r="A29" s="317" t="s">
        <v>37298</v>
      </c>
      <c r="B29" s="317" t="s">
        <v>44399</v>
      </c>
      <c r="C29" s="330" t="s">
        <v>4641</v>
      </c>
      <c r="D29" s="330" t="s">
        <v>4642</v>
      </c>
      <c r="E29" s="330" t="s">
        <v>37248</v>
      </c>
      <c r="F29" s="331">
        <v>0.21</v>
      </c>
      <c r="G29" s="332">
        <v>74688</v>
      </c>
      <c r="H29" s="333">
        <v>90373</v>
      </c>
    </row>
    <row r="30" spans="1:8">
      <c r="A30" s="317" t="s">
        <v>37299</v>
      </c>
      <c r="B30" s="317" t="s">
        <v>44400</v>
      </c>
      <c r="C30" s="330" t="s">
        <v>4643</v>
      </c>
      <c r="D30" s="330" t="s">
        <v>4644</v>
      </c>
      <c r="E30" s="330" t="s">
        <v>37248</v>
      </c>
      <c r="F30" s="331">
        <v>0.21</v>
      </c>
      <c r="G30" s="332">
        <v>1189</v>
      </c>
      <c r="H30" s="333">
        <v>1439</v>
      </c>
    </row>
    <row r="31" spans="1:8">
      <c r="A31" s="317" t="s">
        <v>37300</v>
      </c>
      <c r="B31" s="317" t="s">
        <v>44401</v>
      </c>
      <c r="C31" s="330" t="s">
        <v>4645</v>
      </c>
      <c r="D31" s="330" t="s">
        <v>4646</v>
      </c>
      <c r="E31" s="330" t="s">
        <v>37248</v>
      </c>
      <c r="F31" s="331">
        <v>0.21</v>
      </c>
      <c r="G31" s="332">
        <v>13070</v>
      </c>
      <c r="H31" s="333">
        <v>15815</v>
      </c>
    </row>
    <row r="32" spans="1:8">
      <c r="A32" s="317" t="s">
        <v>37301</v>
      </c>
      <c r="B32" s="317" t="s">
        <v>44402</v>
      </c>
      <c r="C32" s="330" t="s">
        <v>4647</v>
      </c>
      <c r="D32" s="330" t="s">
        <v>4648</v>
      </c>
      <c r="E32" s="330" t="s">
        <v>37248</v>
      </c>
      <c r="F32" s="331">
        <v>0.21</v>
      </c>
      <c r="G32" s="332">
        <v>12668</v>
      </c>
      <c r="H32" s="333">
        <v>15329</v>
      </c>
    </row>
    <row r="33" spans="1:8">
      <c r="A33" s="317" t="s">
        <v>37302</v>
      </c>
      <c r="B33" s="317" t="s">
        <v>44403</v>
      </c>
      <c r="C33" s="330" t="s">
        <v>4649</v>
      </c>
      <c r="D33" s="330" t="s">
        <v>4650</v>
      </c>
      <c r="E33" s="330" t="s">
        <v>37248</v>
      </c>
      <c r="F33" s="331">
        <v>0.21</v>
      </c>
      <c r="G33" s="332">
        <v>13442</v>
      </c>
      <c r="H33" s="333">
        <v>16265</v>
      </c>
    </row>
    <row r="34" spans="1:8">
      <c r="A34" s="317">
        <v>1602026091</v>
      </c>
      <c r="B34" s="317" t="s">
        <v>44404</v>
      </c>
      <c r="C34" s="330" t="s">
        <v>4651</v>
      </c>
      <c r="D34" s="330" t="s">
        <v>4652</v>
      </c>
      <c r="E34" s="330" t="s">
        <v>37248</v>
      </c>
      <c r="F34" s="331">
        <v>0.21</v>
      </c>
      <c r="G34" s="332">
        <v>1329</v>
      </c>
      <c r="H34" s="333">
        <v>1609</v>
      </c>
    </row>
    <row r="35" spans="1:8">
      <c r="A35" s="317">
        <v>1603300016</v>
      </c>
      <c r="B35" s="317" t="s">
        <v>44405</v>
      </c>
      <c r="C35" s="330" t="s">
        <v>4653</v>
      </c>
      <c r="D35" s="330" t="s">
        <v>4654</v>
      </c>
      <c r="E35" s="330" t="s">
        <v>37248</v>
      </c>
      <c r="F35" s="331">
        <v>0.21</v>
      </c>
      <c r="G35" s="332">
        <v>2832</v>
      </c>
      <c r="H35" s="333">
        <v>3427</v>
      </c>
    </row>
    <row r="36" spans="1:8">
      <c r="A36" s="317">
        <v>1603345043</v>
      </c>
      <c r="B36" s="317" t="s">
        <v>44406</v>
      </c>
      <c r="C36" s="330" t="s">
        <v>4655</v>
      </c>
      <c r="D36" s="330" t="s">
        <v>4656</v>
      </c>
      <c r="E36" s="330" t="s">
        <v>37248</v>
      </c>
      <c r="F36" s="331">
        <v>0.21</v>
      </c>
      <c r="G36" s="332">
        <v>4494</v>
      </c>
      <c r="H36" s="333">
        <v>5438</v>
      </c>
    </row>
    <row r="37" spans="1:8">
      <c r="A37" s="317">
        <v>1603435078</v>
      </c>
      <c r="B37" s="317" t="s">
        <v>44407</v>
      </c>
      <c r="C37" s="330" t="s">
        <v>4657</v>
      </c>
      <c r="D37" s="330" t="s">
        <v>4658</v>
      </c>
      <c r="E37" s="330" t="s">
        <v>37248</v>
      </c>
      <c r="F37" s="331">
        <v>0.21</v>
      </c>
      <c r="G37" s="332">
        <v>928</v>
      </c>
      <c r="H37" s="333">
        <v>1123</v>
      </c>
    </row>
    <row r="38" spans="1:8">
      <c r="A38" s="317">
        <v>1604010626</v>
      </c>
      <c r="B38" s="317" t="s">
        <v>44408</v>
      </c>
      <c r="C38" s="330" t="s">
        <v>4659</v>
      </c>
      <c r="D38" s="330" t="s">
        <v>4660</v>
      </c>
      <c r="E38" s="330" t="s">
        <v>37248</v>
      </c>
      <c r="F38" s="331">
        <v>0.21</v>
      </c>
      <c r="G38" s="332">
        <v>26351</v>
      </c>
      <c r="H38" s="333">
        <v>31885</v>
      </c>
    </row>
    <row r="39" spans="1:8">
      <c r="A39" s="317" t="s">
        <v>37303</v>
      </c>
      <c r="B39" s="317" t="s">
        <v>44409</v>
      </c>
      <c r="C39" s="330" t="s">
        <v>4661</v>
      </c>
      <c r="D39" s="330" t="s">
        <v>4662</v>
      </c>
      <c r="E39" s="330" t="s">
        <v>37248</v>
      </c>
      <c r="F39" s="331">
        <v>0.21</v>
      </c>
      <c r="G39" s="332">
        <v>57705</v>
      </c>
      <c r="H39" s="333">
        <v>69824</v>
      </c>
    </row>
    <row r="40" spans="1:8">
      <c r="A40" s="317" t="s">
        <v>37304</v>
      </c>
      <c r="B40" s="317" t="s">
        <v>44410</v>
      </c>
      <c r="C40" s="330" t="s">
        <v>4663</v>
      </c>
      <c r="D40" s="330" t="s">
        <v>4664</v>
      </c>
      <c r="E40" s="330" t="s">
        <v>37248</v>
      </c>
      <c r="F40" s="331">
        <v>0.21</v>
      </c>
      <c r="G40" s="332">
        <v>36158</v>
      </c>
      <c r="H40" s="333">
        <v>43752</v>
      </c>
    </row>
    <row r="41" spans="1:8">
      <c r="A41" s="317" t="s">
        <v>37305</v>
      </c>
      <c r="B41" s="317" t="s">
        <v>44411</v>
      </c>
      <c r="C41" s="330" t="s">
        <v>4665</v>
      </c>
      <c r="D41" s="330" t="s">
        <v>4666</v>
      </c>
      <c r="E41" s="330" t="s">
        <v>37248</v>
      </c>
      <c r="F41" s="331">
        <v>0.21</v>
      </c>
      <c r="G41" s="332">
        <v>39219</v>
      </c>
      <c r="H41" s="333">
        <v>47455</v>
      </c>
    </row>
    <row r="42" spans="1:8">
      <c r="A42" s="317" t="s">
        <v>37306</v>
      </c>
      <c r="B42" s="317" t="s">
        <v>44412</v>
      </c>
      <c r="C42" s="330" t="s">
        <v>4667</v>
      </c>
      <c r="D42" s="330" t="s">
        <v>4668</v>
      </c>
      <c r="E42" s="330" t="s">
        <v>37248</v>
      </c>
      <c r="F42" s="331">
        <v>0.21</v>
      </c>
      <c r="G42" s="332">
        <v>47988</v>
      </c>
      <c r="H42" s="333">
        <v>58066</v>
      </c>
    </row>
    <row r="43" spans="1:8">
      <c r="A43" s="317" t="s">
        <v>37307</v>
      </c>
      <c r="B43" s="317" t="s">
        <v>44413</v>
      </c>
      <c r="C43" s="330" t="s">
        <v>4669</v>
      </c>
      <c r="D43" s="330" t="s">
        <v>4670</v>
      </c>
      <c r="E43" s="330" t="s">
        <v>37248</v>
      </c>
      <c r="F43" s="331">
        <v>0.21</v>
      </c>
      <c r="G43" s="332">
        <v>27018</v>
      </c>
      <c r="H43" s="333">
        <v>32692</v>
      </c>
    </row>
    <row r="44" spans="1:8">
      <c r="A44" s="317" t="s">
        <v>37308</v>
      </c>
      <c r="B44" s="317" t="s">
        <v>44414</v>
      </c>
      <c r="C44" s="330" t="s">
        <v>4671</v>
      </c>
      <c r="D44" s="330" t="s">
        <v>4672</v>
      </c>
      <c r="E44" s="330" t="s">
        <v>37248</v>
      </c>
      <c r="F44" s="331">
        <v>0.21</v>
      </c>
      <c r="G44" s="332">
        <v>28810</v>
      </c>
      <c r="H44" s="333">
        <v>34861</v>
      </c>
    </row>
    <row r="45" spans="1:8">
      <c r="A45" s="317" t="s">
        <v>37309</v>
      </c>
      <c r="B45" s="317" t="s">
        <v>44415</v>
      </c>
      <c r="C45" s="330" t="s">
        <v>4673</v>
      </c>
      <c r="D45" s="330" t="s">
        <v>4674</v>
      </c>
      <c r="E45" s="330" t="s">
        <v>37248</v>
      </c>
      <c r="F45" s="331">
        <v>0.21</v>
      </c>
      <c r="G45" s="332">
        <v>16451</v>
      </c>
      <c r="H45" s="333">
        <v>19906</v>
      </c>
    </row>
    <row r="46" spans="1:8">
      <c r="A46" s="317" t="s">
        <v>37310</v>
      </c>
      <c r="B46" s="317" t="s">
        <v>44416</v>
      </c>
      <c r="C46" s="330" t="s">
        <v>4675</v>
      </c>
      <c r="D46" s="330" t="s">
        <v>4676</v>
      </c>
      <c r="E46" s="330" t="s">
        <v>37248</v>
      </c>
      <c r="F46" s="331">
        <v>0.21</v>
      </c>
      <c r="G46" s="332">
        <v>31194</v>
      </c>
      <c r="H46" s="333">
        <v>37745</v>
      </c>
    </row>
    <row r="47" spans="1:8">
      <c r="A47" s="317" t="s">
        <v>37311</v>
      </c>
      <c r="B47" s="317" t="s">
        <v>44417</v>
      </c>
      <c r="C47" s="330" t="s">
        <v>4677</v>
      </c>
      <c r="D47" s="330" t="s">
        <v>4678</v>
      </c>
      <c r="E47" s="330" t="s">
        <v>37248</v>
      </c>
      <c r="F47" s="331">
        <v>0.21</v>
      </c>
      <c r="G47" s="332">
        <v>43553</v>
      </c>
      <c r="H47" s="333">
        <v>52700</v>
      </c>
    </row>
    <row r="48" spans="1:8">
      <c r="A48" s="317">
        <v>1604220328</v>
      </c>
      <c r="B48" s="317" t="s">
        <v>44418</v>
      </c>
      <c r="C48" s="330" t="s">
        <v>4679</v>
      </c>
      <c r="D48" s="330" t="s">
        <v>4680</v>
      </c>
      <c r="E48" s="330" t="s">
        <v>37248</v>
      </c>
      <c r="F48" s="331">
        <v>0.21</v>
      </c>
      <c r="G48" s="332">
        <v>21578</v>
      </c>
      <c r="H48" s="333">
        <v>26110</v>
      </c>
    </row>
    <row r="49" spans="1:8">
      <c r="A49" s="317">
        <v>1604220472</v>
      </c>
      <c r="B49" s="317" t="s">
        <v>44419</v>
      </c>
      <c r="C49" s="330" t="s">
        <v>4681</v>
      </c>
      <c r="D49" s="330" t="s">
        <v>4682</v>
      </c>
      <c r="E49" s="330" t="s">
        <v>37248</v>
      </c>
      <c r="F49" s="331">
        <v>0.21</v>
      </c>
      <c r="G49" s="332">
        <v>27926</v>
      </c>
      <c r="H49" s="333">
        <v>33791</v>
      </c>
    </row>
    <row r="50" spans="1:8">
      <c r="A50" s="317">
        <v>1604220542</v>
      </c>
      <c r="B50" s="317" t="s">
        <v>44420</v>
      </c>
      <c r="C50" s="330" t="s">
        <v>4683</v>
      </c>
      <c r="D50" s="330" t="s">
        <v>4684</v>
      </c>
      <c r="E50" s="330" t="s">
        <v>37248</v>
      </c>
      <c r="F50" s="331">
        <v>0.21</v>
      </c>
      <c r="G50" s="332">
        <v>15762</v>
      </c>
      <c r="H50" s="333">
        <v>19073</v>
      </c>
    </row>
    <row r="51" spans="1:8">
      <c r="A51" s="317">
        <v>1604220545</v>
      </c>
      <c r="B51" s="317" t="s">
        <v>44421</v>
      </c>
      <c r="C51" s="330" t="s">
        <v>4685</v>
      </c>
      <c r="D51" s="330" t="s">
        <v>4686</v>
      </c>
      <c r="E51" s="330" t="s">
        <v>37248</v>
      </c>
      <c r="F51" s="331">
        <v>0.21</v>
      </c>
      <c r="G51" s="332">
        <v>18227</v>
      </c>
      <c r="H51" s="333">
        <v>22055</v>
      </c>
    </row>
    <row r="52" spans="1:8">
      <c r="A52" s="317">
        <v>1604220548</v>
      </c>
      <c r="B52" s="317" t="s">
        <v>44422</v>
      </c>
      <c r="C52" s="330" t="s">
        <v>4687</v>
      </c>
      <c r="D52" s="330" t="s">
        <v>4688</v>
      </c>
      <c r="E52" s="330" t="s">
        <v>37248</v>
      </c>
      <c r="F52" s="331">
        <v>0.21</v>
      </c>
      <c r="G52" s="332">
        <v>18214</v>
      </c>
      <c r="H52" s="333">
        <v>22039</v>
      </c>
    </row>
    <row r="53" spans="1:8">
      <c r="A53" s="317" t="s">
        <v>37312</v>
      </c>
      <c r="B53" s="317" t="s">
        <v>44423</v>
      </c>
      <c r="C53" s="330" t="s">
        <v>4689</v>
      </c>
      <c r="D53" s="330" t="s">
        <v>4690</v>
      </c>
      <c r="E53" s="330" t="s">
        <v>37248</v>
      </c>
      <c r="F53" s="331">
        <v>0.21</v>
      </c>
      <c r="G53" s="332">
        <v>15383</v>
      </c>
      <c r="H53" s="333">
        <v>18614</v>
      </c>
    </row>
    <row r="54" spans="1:8">
      <c r="A54" s="317" t="s">
        <v>37313</v>
      </c>
      <c r="B54" s="317" t="s">
        <v>44424</v>
      </c>
      <c r="C54" s="330" t="s">
        <v>4691</v>
      </c>
      <c r="D54" s="330" t="s">
        <v>4692</v>
      </c>
      <c r="E54" s="330" t="s">
        <v>37248</v>
      </c>
      <c r="F54" s="331">
        <v>0.21</v>
      </c>
      <c r="G54" s="332">
        <v>4104</v>
      </c>
      <c r="H54" s="333">
        <v>4966</v>
      </c>
    </row>
    <row r="55" spans="1:8">
      <c r="A55" s="317" t="s">
        <v>37314</v>
      </c>
      <c r="B55" s="317" t="s">
        <v>44425</v>
      </c>
      <c r="C55" s="330" t="s">
        <v>4693</v>
      </c>
      <c r="D55" s="330" t="s">
        <v>4694</v>
      </c>
      <c r="E55" s="330" t="s">
        <v>37248</v>
      </c>
      <c r="F55" s="331">
        <v>0.21</v>
      </c>
      <c r="G55" s="332">
        <v>3720</v>
      </c>
      <c r="H55" s="333">
        <v>4502</v>
      </c>
    </row>
    <row r="56" spans="1:8">
      <c r="A56" s="317" t="s">
        <v>37315</v>
      </c>
      <c r="B56" s="317" t="s">
        <v>44426</v>
      </c>
      <c r="C56" s="330" t="s">
        <v>4695</v>
      </c>
      <c r="D56" s="330" t="s">
        <v>4696</v>
      </c>
      <c r="E56" s="330" t="s">
        <v>37248</v>
      </c>
      <c r="F56" s="331">
        <v>0.21</v>
      </c>
      <c r="G56" s="332">
        <v>5164</v>
      </c>
      <c r="H56" s="333">
        <v>6249</v>
      </c>
    </row>
    <row r="57" spans="1:8">
      <c r="A57" s="317" t="s">
        <v>37316</v>
      </c>
      <c r="B57" s="317" t="s">
        <v>44427</v>
      </c>
      <c r="C57" s="330" t="s">
        <v>4697</v>
      </c>
      <c r="D57" s="330" t="s">
        <v>4698</v>
      </c>
      <c r="E57" s="330" t="s">
        <v>37248</v>
      </c>
      <c r="F57" s="331">
        <v>0.21</v>
      </c>
      <c r="G57" s="332">
        <v>4100</v>
      </c>
      <c r="H57" s="333">
        <v>4961</v>
      </c>
    </row>
    <row r="58" spans="1:8">
      <c r="A58" s="317">
        <v>1604321160</v>
      </c>
      <c r="B58" s="317" t="s">
        <v>44428</v>
      </c>
      <c r="C58" s="330" t="s">
        <v>4699</v>
      </c>
      <c r="D58" s="330" t="s">
        <v>4700</v>
      </c>
      <c r="E58" s="330" t="s">
        <v>37248</v>
      </c>
      <c r="F58" s="331">
        <v>0.21</v>
      </c>
      <c r="G58" s="332">
        <v>5993</v>
      </c>
      <c r="H58" s="333">
        <v>7252</v>
      </c>
    </row>
    <row r="59" spans="1:8">
      <c r="A59" s="317" t="s">
        <v>37317</v>
      </c>
      <c r="B59" s="317" t="s">
        <v>44429</v>
      </c>
      <c r="C59" s="330" t="s">
        <v>4701</v>
      </c>
      <c r="D59" s="330" t="s">
        <v>4702</v>
      </c>
      <c r="E59" s="330" t="s">
        <v>37248</v>
      </c>
      <c r="F59" s="331">
        <v>0.21</v>
      </c>
      <c r="G59" s="332">
        <v>2324</v>
      </c>
      <c r="H59" s="333">
        <v>2813</v>
      </c>
    </row>
    <row r="60" spans="1:8">
      <c r="A60" s="317">
        <v>1604336047</v>
      </c>
      <c r="B60" s="317" t="s">
        <v>44430</v>
      </c>
      <c r="C60" s="330" t="s">
        <v>4703</v>
      </c>
      <c r="D60" s="330" t="s">
        <v>4704</v>
      </c>
      <c r="E60" s="330" t="s">
        <v>37248</v>
      </c>
      <c r="F60" s="331">
        <v>0.21</v>
      </c>
      <c r="G60" s="332">
        <v>4593</v>
      </c>
      <c r="H60" s="333">
        <v>5558</v>
      </c>
    </row>
    <row r="61" spans="1:8">
      <c r="A61" s="317">
        <v>1604336048</v>
      </c>
      <c r="B61" s="317" t="s">
        <v>44431</v>
      </c>
      <c r="C61" s="330" t="s">
        <v>4705</v>
      </c>
      <c r="D61" s="330" t="s">
        <v>4706</v>
      </c>
      <c r="E61" s="330" t="s">
        <v>37248</v>
      </c>
      <c r="F61" s="331">
        <v>0.21</v>
      </c>
      <c r="G61" s="332">
        <v>8061</v>
      </c>
      <c r="H61" s="333">
        <v>9754</v>
      </c>
    </row>
    <row r="62" spans="1:8">
      <c r="A62" s="317">
        <v>1604336056</v>
      </c>
      <c r="B62" s="317" t="s">
        <v>44432</v>
      </c>
      <c r="C62" s="330" t="s">
        <v>4707</v>
      </c>
      <c r="D62" s="330" t="s">
        <v>4708</v>
      </c>
      <c r="E62" s="330" t="s">
        <v>37248</v>
      </c>
      <c r="F62" s="331">
        <v>0.21</v>
      </c>
      <c r="G62" s="332">
        <v>3236</v>
      </c>
      <c r="H62" s="333">
        <v>3916</v>
      </c>
    </row>
    <row r="63" spans="1:8">
      <c r="A63" s="317">
        <v>1604336057</v>
      </c>
      <c r="B63" s="317" t="s">
        <v>44433</v>
      </c>
      <c r="C63" s="330" t="s">
        <v>4709</v>
      </c>
      <c r="D63" s="330" t="s">
        <v>4710</v>
      </c>
      <c r="E63" s="330" t="s">
        <v>37248</v>
      </c>
      <c r="F63" s="331">
        <v>0.21</v>
      </c>
      <c r="G63" s="332">
        <v>2607</v>
      </c>
      <c r="H63" s="333">
        <v>3155</v>
      </c>
    </row>
    <row r="64" spans="1:8">
      <c r="A64" s="317" t="s">
        <v>37318</v>
      </c>
      <c r="B64" s="317" t="s">
        <v>44434</v>
      </c>
      <c r="C64" s="330" t="s">
        <v>4711</v>
      </c>
      <c r="D64" s="330" t="s">
        <v>4712</v>
      </c>
      <c r="E64" s="330" t="s">
        <v>37248</v>
      </c>
      <c r="F64" s="331">
        <v>0.21</v>
      </c>
      <c r="G64" s="332">
        <v>15505</v>
      </c>
      <c r="H64" s="333">
        <v>18762</v>
      </c>
    </row>
    <row r="65" spans="1:8">
      <c r="A65" s="317">
        <v>1604652015</v>
      </c>
      <c r="B65" s="317" t="s">
        <v>44435</v>
      </c>
      <c r="C65" s="330" t="s">
        <v>4713</v>
      </c>
      <c r="D65" s="330" t="s">
        <v>4714</v>
      </c>
      <c r="E65" s="330" t="s">
        <v>37248</v>
      </c>
      <c r="F65" s="331">
        <v>0.21</v>
      </c>
      <c r="G65" s="332">
        <v>3084</v>
      </c>
      <c r="H65" s="333">
        <v>3732</v>
      </c>
    </row>
    <row r="66" spans="1:8">
      <c r="A66" s="317">
        <v>1604652019</v>
      </c>
      <c r="B66" s="317" t="s">
        <v>44436</v>
      </c>
      <c r="C66" s="330" t="s">
        <v>4715</v>
      </c>
      <c r="D66" s="330" t="s">
        <v>4716</v>
      </c>
      <c r="E66" s="330" t="s">
        <v>37248</v>
      </c>
      <c r="F66" s="331">
        <v>0.21</v>
      </c>
      <c r="G66" s="332">
        <v>1918</v>
      </c>
      <c r="H66" s="333">
        <v>2321</v>
      </c>
    </row>
    <row r="67" spans="1:8">
      <c r="A67" s="317" t="s">
        <v>37319</v>
      </c>
      <c r="B67" s="317" t="s">
        <v>44437</v>
      </c>
      <c r="C67" s="330" t="s">
        <v>4717</v>
      </c>
      <c r="D67" s="330" t="s">
        <v>4718</v>
      </c>
      <c r="E67" s="330" t="s">
        <v>37248</v>
      </c>
      <c r="F67" s="331">
        <v>0.21</v>
      </c>
      <c r="G67" s="332">
        <v>32937</v>
      </c>
      <c r="H67" s="333">
        <v>39854</v>
      </c>
    </row>
    <row r="68" spans="1:8">
      <c r="A68" s="317">
        <v>1605805137</v>
      </c>
      <c r="B68" s="317" t="s">
        <v>44438</v>
      </c>
      <c r="C68" s="330" t="s">
        <v>4719</v>
      </c>
      <c r="D68" s="330" t="s">
        <v>4720</v>
      </c>
      <c r="E68" s="330" t="s">
        <v>4623</v>
      </c>
      <c r="F68" s="331">
        <v>0.21</v>
      </c>
      <c r="G68" s="332">
        <v>20339</v>
      </c>
      <c r="H68" s="333">
        <v>24611</v>
      </c>
    </row>
    <row r="69" spans="1:8">
      <c r="A69" s="317" t="s">
        <v>37320</v>
      </c>
      <c r="B69" s="317" t="s">
        <v>44439</v>
      </c>
      <c r="C69" s="330" t="s">
        <v>4721</v>
      </c>
      <c r="D69" s="330" t="s">
        <v>4722</v>
      </c>
      <c r="E69" s="330" t="s">
        <v>37248</v>
      </c>
      <c r="F69" s="331">
        <v>0.21</v>
      </c>
      <c r="G69" s="332">
        <v>7626</v>
      </c>
      <c r="H69" s="333">
        <v>9228</v>
      </c>
    </row>
    <row r="70" spans="1:8">
      <c r="A70" s="317" t="s">
        <v>37321</v>
      </c>
      <c r="B70" s="317" t="s">
        <v>44440</v>
      </c>
      <c r="C70" s="330" t="s">
        <v>4723</v>
      </c>
      <c r="D70" s="330" t="s">
        <v>4724</v>
      </c>
      <c r="E70" s="330" t="s">
        <v>37248</v>
      </c>
      <c r="F70" s="331">
        <v>0.21</v>
      </c>
      <c r="G70" s="332">
        <v>8603</v>
      </c>
      <c r="H70" s="333">
        <v>10410</v>
      </c>
    </row>
    <row r="71" spans="1:8">
      <c r="A71" s="317" t="s">
        <v>37322</v>
      </c>
      <c r="B71" s="317" t="s">
        <v>44441</v>
      </c>
      <c r="C71" s="330" t="s">
        <v>4725</v>
      </c>
      <c r="D71" s="330" t="s">
        <v>4726</v>
      </c>
      <c r="E71" s="330" t="s">
        <v>37248</v>
      </c>
      <c r="F71" s="331">
        <v>0.21</v>
      </c>
      <c r="G71" s="332">
        <v>17961</v>
      </c>
      <c r="H71" s="333">
        <v>21733</v>
      </c>
    </row>
    <row r="72" spans="1:8">
      <c r="A72" s="317" t="s">
        <v>37323</v>
      </c>
      <c r="B72" s="317" t="s">
        <v>44442</v>
      </c>
      <c r="C72" s="330" t="s">
        <v>4727</v>
      </c>
      <c r="D72" s="330" t="s">
        <v>4728</v>
      </c>
      <c r="E72" s="330" t="s">
        <v>4634</v>
      </c>
      <c r="F72" s="331">
        <v>0.21</v>
      </c>
      <c r="G72" s="332">
        <v>9232</v>
      </c>
      <c r="H72" s="333">
        <v>11171</v>
      </c>
    </row>
    <row r="73" spans="1:8">
      <c r="A73" s="317" t="s">
        <v>37324</v>
      </c>
      <c r="B73" s="317" t="s">
        <v>44443</v>
      </c>
      <c r="C73" s="330" t="s">
        <v>4729</v>
      </c>
      <c r="D73" s="330" t="s">
        <v>4730</v>
      </c>
      <c r="E73" s="330" t="s">
        <v>37248</v>
      </c>
      <c r="F73" s="331">
        <v>0.21</v>
      </c>
      <c r="G73" s="332">
        <v>4044</v>
      </c>
      <c r="H73" s="333">
        <v>4894</v>
      </c>
    </row>
    <row r="74" spans="1:8">
      <c r="A74" s="317">
        <v>1606333605</v>
      </c>
      <c r="B74" s="317" t="s">
        <v>44444</v>
      </c>
      <c r="C74" s="330" t="s">
        <v>4731</v>
      </c>
      <c r="D74" s="330" t="s">
        <v>4732</v>
      </c>
      <c r="E74" s="330" t="s">
        <v>37248</v>
      </c>
      <c r="F74" s="331">
        <v>0.21</v>
      </c>
      <c r="G74" s="332">
        <v>10946</v>
      </c>
      <c r="H74" s="333">
        <v>13245</v>
      </c>
    </row>
    <row r="75" spans="1:8">
      <c r="A75" s="317">
        <v>1606333606</v>
      </c>
      <c r="B75" s="317" t="s">
        <v>44445</v>
      </c>
      <c r="C75" s="330" t="s">
        <v>4733</v>
      </c>
      <c r="D75" s="330" t="s">
        <v>4734</v>
      </c>
      <c r="E75" s="330" t="s">
        <v>37248</v>
      </c>
      <c r="F75" s="331">
        <v>0.21</v>
      </c>
      <c r="G75" s="332">
        <v>14611</v>
      </c>
      <c r="H75" s="333">
        <v>17680</v>
      </c>
    </row>
    <row r="76" spans="1:8">
      <c r="A76" s="317">
        <v>1606333616</v>
      </c>
      <c r="B76" s="317" t="s">
        <v>44446</v>
      </c>
      <c r="C76" s="330" t="s">
        <v>4735</v>
      </c>
      <c r="D76" s="330" t="s">
        <v>4736</v>
      </c>
      <c r="E76" s="330" t="s">
        <v>4634</v>
      </c>
      <c r="F76" s="331">
        <v>0.21</v>
      </c>
      <c r="G76" s="332">
        <v>15619</v>
      </c>
      <c r="H76" s="333">
        <v>18899</v>
      </c>
    </row>
    <row r="77" spans="1:8">
      <c r="A77" s="317">
        <v>1607000347</v>
      </c>
      <c r="B77" s="317" t="s">
        <v>44447</v>
      </c>
      <c r="C77" s="330" t="s">
        <v>4737</v>
      </c>
      <c r="D77" s="330" t="s">
        <v>4738</v>
      </c>
      <c r="E77" s="330" t="s">
        <v>37248</v>
      </c>
      <c r="F77" s="331">
        <v>0.21</v>
      </c>
      <c r="G77" s="332">
        <v>6538</v>
      </c>
      <c r="H77" s="333">
        <v>7911</v>
      </c>
    </row>
    <row r="78" spans="1:8">
      <c r="A78" s="317">
        <v>1607000742</v>
      </c>
      <c r="B78" s="317" t="s">
        <v>44448</v>
      </c>
      <c r="C78" s="330" t="s">
        <v>4739</v>
      </c>
      <c r="D78" s="330" t="s">
        <v>4740</v>
      </c>
      <c r="E78" s="330" t="s">
        <v>37248</v>
      </c>
      <c r="F78" s="331">
        <v>0.21</v>
      </c>
      <c r="G78" s="332">
        <v>10408</v>
      </c>
      <c r="H78" s="333">
        <v>12594</v>
      </c>
    </row>
    <row r="79" spans="1:8">
      <c r="A79" s="317" t="s">
        <v>37325</v>
      </c>
      <c r="B79" s="317" t="s">
        <v>44449</v>
      </c>
      <c r="C79" s="330" t="s">
        <v>4741</v>
      </c>
      <c r="D79" s="330" t="s">
        <v>4742</v>
      </c>
      <c r="E79" s="330" t="s">
        <v>37248</v>
      </c>
      <c r="F79" s="331">
        <v>0.21</v>
      </c>
      <c r="G79" s="332">
        <v>12128</v>
      </c>
      <c r="H79" s="333">
        <v>14675</v>
      </c>
    </row>
    <row r="80" spans="1:8">
      <c r="A80" s="317" t="s">
        <v>37326</v>
      </c>
      <c r="B80" s="317" t="s">
        <v>44450</v>
      </c>
      <c r="C80" s="330" t="s">
        <v>4743</v>
      </c>
      <c r="D80" s="330" t="s">
        <v>4744</v>
      </c>
      <c r="E80" s="330" t="s">
        <v>37248</v>
      </c>
      <c r="F80" s="331">
        <v>0.21</v>
      </c>
      <c r="G80" s="332">
        <v>38888</v>
      </c>
      <c r="H80" s="333">
        <v>47055</v>
      </c>
    </row>
    <row r="81" spans="1:8">
      <c r="A81" s="317" t="s">
        <v>37327</v>
      </c>
      <c r="B81" s="317" t="s">
        <v>44451</v>
      </c>
      <c r="C81" s="330" t="s">
        <v>4745</v>
      </c>
      <c r="D81" s="330" t="s">
        <v>4746</v>
      </c>
      <c r="E81" s="330" t="s">
        <v>37248</v>
      </c>
      <c r="F81" s="331">
        <v>0.21</v>
      </c>
      <c r="G81" s="332">
        <v>35201</v>
      </c>
      <c r="H81" s="333">
        <v>42594</v>
      </c>
    </row>
    <row r="82" spans="1:8">
      <c r="A82" s="317" t="s">
        <v>37328</v>
      </c>
      <c r="B82" s="317" t="s">
        <v>44452</v>
      </c>
      <c r="C82" s="330" t="s">
        <v>4747</v>
      </c>
      <c r="D82" s="330" t="s">
        <v>4748</v>
      </c>
      <c r="E82" s="330" t="s">
        <v>37248</v>
      </c>
      <c r="F82" s="331">
        <v>0.21</v>
      </c>
      <c r="G82" s="332">
        <v>44660</v>
      </c>
      <c r="H82" s="333">
        <v>54039</v>
      </c>
    </row>
    <row r="83" spans="1:8">
      <c r="A83" s="317" t="s">
        <v>37329</v>
      </c>
      <c r="B83" s="317" t="s">
        <v>44453</v>
      </c>
      <c r="C83" s="330" t="s">
        <v>4749</v>
      </c>
      <c r="D83" s="330" t="s">
        <v>4750</v>
      </c>
      <c r="E83" s="330" t="s">
        <v>37248</v>
      </c>
      <c r="F83" s="331">
        <v>0.21</v>
      </c>
      <c r="G83" s="332">
        <v>34590</v>
      </c>
      <c r="H83" s="333">
        <v>41854</v>
      </c>
    </row>
    <row r="84" spans="1:8">
      <c r="A84" s="317" t="s">
        <v>37330</v>
      </c>
      <c r="B84" s="317" t="s">
        <v>44454</v>
      </c>
      <c r="C84" s="330" t="s">
        <v>4751</v>
      </c>
      <c r="D84" s="330" t="s">
        <v>4752</v>
      </c>
      <c r="E84" s="330" t="s">
        <v>37248</v>
      </c>
      <c r="F84" s="331">
        <v>0.21</v>
      </c>
      <c r="G84" s="332">
        <v>9734</v>
      </c>
      <c r="H84" s="333">
        <v>11779</v>
      </c>
    </row>
    <row r="85" spans="1:8">
      <c r="A85" s="317" t="s">
        <v>37331</v>
      </c>
      <c r="B85" s="317" t="s">
        <v>44455</v>
      </c>
      <c r="C85" s="330" t="s">
        <v>4753</v>
      </c>
      <c r="D85" s="330" t="s">
        <v>4754</v>
      </c>
      <c r="E85" s="330" t="s">
        <v>37248</v>
      </c>
      <c r="F85" s="331">
        <v>0.21</v>
      </c>
      <c r="G85" s="332">
        <v>6507</v>
      </c>
      <c r="H85" s="333">
        <v>7874</v>
      </c>
    </row>
    <row r="86" spans="1:8">
      <c r="A86" s="317" t="s">
        <v>37332</v>
      </c>
      <c r="B86" s="317" t="s">
        <v>44456</v>
      </c>
      <c r="C86" s="330" t="s">
        <v>4755</v>
      </c>
      <c r="D86" s="330" t="s">
        <v>4756</v>
      </c>
      <c r="E86" s="330" t="s">
        <v>37248</v>
      </c>
      <c r="F86" s="331">
        <v>0.21</v>
      </c>
      <c r="G86" s="332">
        <v>30382</v>
      </c>
      <c r="H86" s="333">
        <v>36763</v>
      </c>
    </row>
    <row r="87" spans="1:8">
      <c r="A87" s="317" t="s">
        <v>37333</v>
      </c>
      <c r="B87" s="317" t="s">
        <v>44457</v>
      </c>
      <c r="C87" s="330" t="s">
        <v>4757</v>
      </c>
      <c r="D87" s="330" t="s">
        <v>4758</v>
      </c>
      <c r="E87" s="330" t="s">
        <v>37248</v>
      </c>
      <c r="F87" s="331">
        <v>0.21</v>
      </c>
      <c r="G87" s="332">
        <v>6023</v>
      </c>
      <c r="H87" s="333">
        <v>7288</v>
      </c>
    </row>
    <row r="88" spans="1:8">
      <c r="A88" s="317" t="s">
        <v>37334</v>
      </c>
      <c r="B88" s="317" t="s">
        <v>44458</v>
      </c>
      <c r="C88" s="330" t="s">
        <v>4759</v>
      </c>
      <c r="D88" s="330" t="s">
        <v>4760</v>
      </c>
      <c r="E88" s="330" t="s">
        <v>37248</v>
      </c>
      <c r="F88" s="331">
        <v>0.21</v>
      </c>
      <c r="G88" s="332">
        <v>17611</v>
      </c>
      <c r="H88" s="333">
        <v>21310</v>
      </c>
    </row>
    <row r="89" spans="1:8">
      <c r="A89" s="317" t="s">
        <v>37335</v>
      </c>
      <c r="B89" s="317" t="s">
        <v>44459</v>
      </c>
      <c r="C89" s="330" t="s">
        <v>4761</v>
      </c>
      <c r="D89" s="330" t="s">
        <v>4762</v>
      </c>
      <c r="E89" s="330" t="s">
        <v>37248</v>
      </c>
      <c r="F89" s="331">
        <v>0.21</v>
      </c>
      <c r="G89" s="332">
        <v>13759</v>
      </c>
      <c r="H89" s="333">
        <v>16649</v>
      </c>
    </row>
    <row r="90" spans="1:8">
      <c r="A90" s="317" t="s">
        <v>37336</v>
      </c>
      <c r="B90" s="317" t="s">
        <v>44460</v>
      </c>
      <c r="C90" s="330" t="s">
        <v>4763</v>
      </c>
      <c r="D90" s="330" t="s">
        <v>4764</v>
      </c>
      <c r="E90" s="330" t="s">
        <v>37248</v>
      </c>
      <c r="F90" s="331">
        <v>0.21</v>
      </c>
      <c r="G90" s="332">
        <v>34753</v>
      </c>
      <c r="H90" s="333">
        <v>42052</v>
      </c>
    </row>
    <row r="91" spans="1:8">
      <c r="A91" s="317" t="s">
        <v>37337</v>
      </c>
      <c r="B91" s="317" t="s">
        <v>44461</v>
      </c>
      <c r="C91" s="330" t="s">
        <v>4765</v>
      </c>
      <c r="D91" s="330" t="s">
        <v>4766</v>
      </c>
      <c r="E91" s="330" t="s">
        <v>37248</v>
      </c>
      <c r="F91" s="331">
        <v>0.21</v>
      </c>
      <c r="G91" s="332">
        <v>2734</v>
      </c>
      <c r="H91" s="333">
        <v>3309</v>
      </c>
    </row>
    <row r="92" spans="1:8">
      <c r="A92" s="317" t="s">
        <v>37338</v>
      </c>
      <c r="B92" s="317" t="s">
        <v>44462</v>
      </c>
      <c r="C92" s="330" t="s">
        <v>4767</v>
      </c>
      <c r="D92" s="330" t="s">
        <v>4768</v>
      </c>
      <c r="E92" s="330" t="s">
        <v>37248</v>
      </c>
      <c r="F92" s="331">
        <v>0.21</v>
      </c>
      <c r="G92" s="332">
        <v>9889</v>
      </c>
      <c r="H92" s="333">
        <v>11966</v>
      </c>
    </row>
    <row r="93" spans="1:8">
      <c r="A93" s="317" t="s">
        <v>37339</v>
      </c>
      <c r="B93" s="317" t="s">
        <v>44463</v>
      </c>
      <c r="C93" s="330" t="s">
        <v>4769</v>
      </c>
      <c r="D93" s="330" t="s">
        <v>4770</v>
      </c>
      <c r="E93" s="330" t="s">
        <v>37248</v>
      </c>
      <c r="F93" s="331">
        <v>0.21</v>
      </c>
      <c r="G93" s="332">
        <v>11147</v>
      </c>
      <c r="H93" s="333">
        <v>13488</v>
      </c>
    </row>
    <row r="94" spans="1:8">
      <c r="A94" s="317" t="s">
        <v>37340</v>
      </c>
      <c r="B94" s="317" t="s">
        <v>44464</v>
      </c>
      <c r="C94" s="330" t="s">
        <v>4771</v>
      </c>
      <c r="D94" s="330" t="s">
        <v>4772</v>
      </c>
      <c r="E94" s="330" t="s">
        <v>37248</v>
      </c>
      <c r="F94" s="331">
        <v>0.21</v>
      </c>
      <c r="G94" s="332">
        <v>7517</v>
      </c>
      <c r="H94" s="333">
        <v>9096</v>
      </c>
    </row>
    <row r="95" spans="1:8">
      <c r="A95" s="317" t="s">
        <v>37341</v>
      </c>
      <c r="B95" s="317" t="s">
        <v>44465</v>
      </c>
      <c r="C95" s="330" t="s">
        <v>4773</v>
      </c>
      <c r="D95" s="330" t="s">
        <v>4774</v>
      </c>
      <c r="E95" s="330" t="s">
        <v>37248</v>
      </c>
      <c r="F95" s="331">
        <v>0.21</v>
      </c>
      <c r="G95" s="332">
        <v>44376</v>
      </c>
      <c r="H95" s="333">
        <v>53695</v>
      </c>
    </row>
    <row r="96" spans="1:8">
      <c r="A96" s="317" t="s">
        <v>37342</v>
      </c>
      <c r="B96" s="317" t="s">
        <v>44466</v>
      </c>
      <c r="C96" s="330" t="s">
        <v>4775</v>
      </c>
      <c r="D96" s="330" t="s">
        <v>4776</v>
      </c>
      <c r="E96" s="330" t="s">
        <v>37248</v>
      </c>
      <c r="F96" s="331">
        <v>0.21</v>
      </c>
      <c r="G96" s="332">
        <v>5456</v>
      </c>
      <c r="H96" s="333">
        <v>6602</v>
      </c>
    </row>
    <row r="97" spans="1:8">
      <c r="A97" s="317">
        <v>1607014117</v>
      </c>
      <c r="B97" s="317" t="s">
        <v>44467</v>
      </c>
      <c r="C97" s="330" t="s">
        <v>4777</v>
      </c>
      <c r="D97" s="330" t="s">
        <v>4778</v>
      </c>
      <c r="E97" s="330" t="s">
        <v>37248</v>
      </c>
      <c r="F97" s="331">
        <v>0.21</v>
      </c>
      <c r="G97" s="332">
        <v>4929</v>
      </c>
      <c r="H97" s="333">
        <v>5965</v>
      </c>
    </row>
    <row r="98" spans="1:8">
      <c r="A98" s="317">
        <v>1607014145</v>
      </c>
      <c r="B98" s="317" t="s">
        <v>44468</v>
      </c>
      <c r="C98" s="330" t="s">
        <v>4779</v>
      </c>
      <c r="D98" s="330" t="s">
        <v>4780</v>
      </c>
      <c r="E98" s="330" t="s">
        <v>37248</v>
      </c>
      <c r="F98" s="331">
        <v>0.21</v>
      </c>
      <c r="G98" s="332">
        <v>6312</v>
      </c>
      <c r="H98" s="333">
        <v>7638</v>
      </c>
    </row>
    <row r="99" spans="1:8">
      <c r="A99" s="317">
        <v>1607014176</v>
      </c>
      <c r="B99" s="317" t="s">
        <v>44469</v>
      </c>
      <c r="C99" s="330" t="s">
        <v>4781</v>
      </c>
      <c r="D99" s="330" t="s">
        <v>4782</v>
      </c>
      <c r="E99" s="330" t="s">
        <v>37248</v>
      </c>
      <c r="F99" s="331">
        <v>0.21</v>
      </c>
      <c r="G99" s="332">
        <v>4836</v>
      </c>
      <c r="H99" s="333">
        <v>5852</v>
      </c>
    </row>
    <row r="100" spans="1:8">
      <c r="A100" s="317" t="s">
        <v>37343</v>
      </c>
      <c r="B100" s="317" t="s">
        <v>44470</v>
      </c>
      <c r="C100" s="330" t="s">
        <v>4783</v>
      </c>
      <c r="D100" s="330" t="s">
        <v>4784</v>
      </c>
      <c r="E100" s="330" t="s">
        <v>37248</v>
      </c>
      <c r="F100" s="331">
        <v>0.21</v>
      </c>
      <c r="G100" s="332">
        <v>15046</v>
      </c>
      <c r="H100" s="333">
        <v>18206</v>
      </c>
    </row>
    <row r="101" spans="1:8">
      <c r="A101" s="317" t="s">
        <v>37344</v>
      </c>
      <c r="B101" s="317" t="s">
        <v>44471</v>
      </c>
      <c r="C101" s="330" t="s">
        <v>4785</v>
      </c>
      <c r="D101" s="330" t="s">
        <v>4786</v>
      </c>
      <c r="E101" s="330" t="s">
        <v>37248</v>
      </c>
      <c r="F101" s="331">
        <v>0.21</v>
      </c>
      <c r="G101" s="332">
        <v>5840</v>
      </c>
      <c r="H101" s="333">
        <v>7067</v>
      </c>
    </row>
    <row r="102" spans="1:8">
      <c r="A102" s="317" t="s">
        <v>37345</v>
      </c>
      <c r="B102" s="317" t="s">
        <v>44472</v>
      </c>
      <c r="C102" s="330" t="s">
        <v>4787</v>
      </c>
      <c r="D102" s="330" t="s">
        <v>4788</v>
      </c>
      <c r="E102" s="330" t="s">
        <v>37248</v>
      </c>
      <c r="F102" s="331">
        <v>0.21</v>
      </c>
      <c r="G102" s="332">
        <v>21546</v>
      </c>
      <c r="H102" s="333">
        <v>26071</v>
      </c>
    </row>
    <row r="103" spans="1:8">
      <c r="A103" s="317">
        <v>1607200086</v>
      </c>
      <c r="B103" s="317" t="s">
        <v>44473</v>
      </c>
      <c r="C103" s="330" t="s">
        <v>4789</v>
      </c>
      <c r="D103" s="330" t="s">
        <v>4790</v>
      </c>
      <c r="E103" s="330" t="s">
        <v>37248</v>
      </c>
      <c r="F103" s="331">
        <v>0.21</v>
      </c>
      <c r="G103" s="332">
        <v>7390</v>
      </c>
      <c r="H103" s="333">
        <v>8942</v>
      </c>
    </row>
    <row r="104" spans="1:8">
      <c r="A104" s="317">
        <v>1607200270</v>
      </c>
      <c r="B104" s="317" t="s">
        <v>44474</v>
      </c>
      <c r="C104" s="330" t="s">
        <v>4791</v>
      </c>
      <c r="D104" s="330" t="s">
        <v>4792</v>
      </c>
      <c r="E104" s="330" t="s">
        <v>37248</v>
      </c>
      <c r="F104" s="331">
        <v>0.21</v>
      </c>
      <c r="G104" s="332">
        <v>17054</v>
      </c>
      <c r="H104" s="333">
        <v>20636</v>
      </c>
    </row>
    <row r="105" spans="1:8">
      <c r="A105" s="317" t="s">
        <v>37346</v>
      </c>
      <c r="B105" s="317" t="s">
        <v>44475</v>
      </c>
      <c r="C105" s="330" t="s">
        <v>4793</v>
      </c>
      <c r="D105" s="330" t="s">
        <v>4794</v>
      </c>
      <c r="E105" s="330" t="s">
        <v>4634</v>
      </c>
      <c r="F105" s="331">
        <v>0.21</v>
      </c>
      <c r="G105" s="332">
        <v>21292</v>
      </c>
      <c r="H105" s="333">
        <v>25764</v>
      </c>
    </row>
    <row r="106" spans="1:8">
      <c r="A106" s="317" t="s">
        <v>37347</v>
      </c>
      <c r="B106" s="317" t="s">
        <v>44476</v>
      </c>
      <c r="C106" s="330" t="s">
        <v>4795</v>
      </c>
      <c r="D106" s="330" t="s">
        <v>4796</v>
      </c>
      <c r="E106" s="330" t="s">
        <v>37248</v>
      </c>
      <c r="F106" s="331">
        <v>0.21</v>
      </c>
      <c r="G106" s="332">
        <v>5021</v>
      </c>
      <c r="H106" s="333">
        <v>6076</v>
      </c>
    </row>
    <row r="107" spans="1:8">
      <c r="A107" s="317" t="s">
        <v>37348</v>
      </c>
      <c r="B107" s="317" t="s">
        <v>44477</v>
      </c>
      <c r="C107" s="330" t="s">
        <v>4797</v>
      </c>
      <c r="D107" s="330" t="s">
        <v>4798</v>
      </c>
      <c r="E107" s="330" t="s">
        <v>37248</v>
      </c>
      <c r="F107" s="331">
        <v>0.21</v>
      </c>
      <c r="G107" s="332">
        <v>4544</v>
      </c>
      <c r="H107" s="333">
        <v>5499</v>
      </c>
    </row>
    <row r="108" spans="1:8">
      <c r="A108" s="317" t="s">
        <v>37349</v>
      </c>
      <c r="B108" s="317" t="s">
        <v>44478</v>
      </c>
      <c r="C108" s="330" t="s">
        <v>4799</v>
      </c>
      <c r="D108" s="330" t="s">
        <v>4800</v>
      </c>
      <c r="E108" s="330" t="s">
        <v>37248</v>
      </c>
      <c r="F108" s="331">
        <v>0.21</v>
      </c>
      <c r="G108" s="332">
        <v>4057</v>
      </c>
      <c r="H108" s="333">
        <v>4909</v>
      </c>
    </row>
    <row r="109" spans="1:8">
      <c r="A109" s="317" t="s">
        <v>37350</v>
      </c>
      <c r="B109" s="317" t="s">
        <v>44479</v>
      </c>
      <c r="C109" s="330" t="s">
        <v>4801</v>
      </c>
      <c r="D109" s="330" t="s">
        <v>4802</v>
      </c>
      <c r="E109" s="330" t="s">
        <v>37248</v>
      </c>
      <c r="F109" s="331">
        <v>0.21</v>
      </c>
      <c r="G109" s="332">
        <v>22921</v>
      </c>
      <c r="H109" s="333">
        <v>27735</v>
      </c>
    </row>
    <row r="110" spans="1:8">
      <c r="A110" s="317">
        <v>1607233444</v>
      </c>
      <c r="B110" s="317" t="s">
        <v>44480</v>
      </c>
      <c r="C110" s="330" t="s">
        <v>4803</v>
      </c>
      <c r="D110" s="330" t="s">
        <v>4804</v>
      </c>
      <c r="E110" s="330" t="s">
        <v>37248</v>
      </c>
      <c r="F110" s="331">
        <v>0.21</v>
      </c>
      <c r="G110" s="332">
        <v>47845</v>
      </c>
      <c r="H110" s="333">
        <v>57893</v>
      </c>
    </row>
    <row r="111" spans="1:8">
      <c r="A111" s="317">
        <v>1607233552</v>
      </c>
      <c r="B111" s="317" t="s">
        <v>44481</v>
      </c>
      <c r="C111" s="330" t="s">
        <v>4805</v>
      </c>
      <c r="D111" s="330" t="s">
        <v>4806</v>
      </c>
      <c r="E111" s="330" t="s">
        <v>37248</v>
      </c>
      <c r="F111" s="331">
        <v>0.21</v>
      </c>
      <c r="G111" s="332">
        <v>45193</v>
      </c>
      <c r="H111" s="333">
        <v>54684</v>
      </c>
    </row>
    <row r="112" spans="1:8">
      <c r="A112" s="317" t="s">
        <v>37351</v>
      </c>
      <c r="B112" s="317" t="s">
        <v>44482</v>
      </c>
      <c r="C112" s="330" t="s">
        <v>4807</v>
      </c>
      <c r="D112" s="330" t="s">
        <v>4808</v>
      </c>
      <c r="E112" s="330" t="s">
        <v>37248</v>
      </c>
      <c r="F112" s="331">
        <v>0.21</v>
      </c>
      <c r="G112" s="332">
        <v>63329</v>
      </c>
      <c r="H112" s="333">
        <v>76629</v>
      </c>
    </row>
    <row r="113" spans="1:8">
      <c r="A113" s="317">
        <v>1608571080</v>
      </c>
      <c r="B113" s="317" t="s">
        <v>44483</v>
      </c>
      <c r="C113" s="330" t="s">
        <v>4809</v>
      </c>
      <c r="D113" s="330" t="s">
        <v>4810</v>
      </c>
      <c r="E113" s="330" t="s">
        <v>37248</v>
      </c>
      <c r="F113" s="331">
        <v>0.21</v>
      </c>
      <c r="G113" s="332">
        <v>14466</v>
      </c>
      <c r="H113" s="333">
        <v>17504</v>
      </c>
    </row>
    <row r="114" spans="1:8">
      <c r="A114" s="317">
        <v>1610210033</v>
      </c>
      <c r="B114" s="317" t="s">
        <v>44484</v>
      </c>
      <c r="C114" s="330" t="s">
        <v>4811</v>
      </c>
      <c r="D114" s="330" t="s">
        <v>4812</v>
      </c>
      <c r="E114" s="330" t="s">
        <v>37248</v>
      </c>
      <c r="F114" s="331">
        <v>0.21</v>
      </c>
      <c r="G114" s="332">
        <v>6090</v>
      </c>
      <c r="H114" s="333">
        <v>7369</v>
      </c>
    </row>
    <row r="115" spans="1:8">
      <c r="A115" s="317">
        <v>1610210070</v>
      </c>
      <c r="B115" s="317" t="s">
        <v>44485</v>
      </c>
      <c r="C115" s="330" t="s">
        <v>4813</v>
      </c>
      <c r="D115" s="330" t="s">
        <v>4814</v>
      </c>
      <c r="E115" s="330" t="s">
        <v>37248</v>
      </c>
      <c r="F115" s="331">
        <v>0.21</v>
      </c>
      <c r="G115" s="332">
        <v>3917</v>
      </c>
      <c r="H115" s="333">
        <v>4740</v>
      </c>
    </row>
    <row r="116" spans="1:8">
      <c r="A116" s="317">
        <v>1610210079</v>
      </c>
      <c r="B116" s="317" t="s">
        <v>44486</v>
      </c>
      <c r="C116" s="330" t="s">
        <v>4815</v>
      </c>
      <c r="D116" s="330" t="s">
        <v>4816</v>
      </c>
      <c r="E116" s="330" t="s">
        <v>37248</v>
      </c>
      <c r="F116" s="331">
        <v>0.21</v>
      </c>
      <c r="G116" s="332">
        <v>4379</v>
      </c>
      <c r="H116" s="333">
        <v>5299</v>
      </c>
    </row>
    <row r="117" spans="1:8">
      <c r="A117" s="317">
        <v>1610210095</v>
      </c>
      <c r="B117" s="317" t="s">
        <v>44487</v>
      </c>
      <c r="C117" s="330" t="s">
        <v>4817</v>
      </c>
      <c r="D117" s="330" t="s">
        <v>4818</v>
      </c>
      <c r="E117" s="330" t="s">
        <v>4819</v>
      </c>
      <c r="F117" s="331">
        <v>0.21</v>
      </c>
      <c r="G117" s="332">
        <v>2630</v>
      </c>
      <c r="H117" s="333">
        <v>3183</v>
      </c>
    </row>
    <row r="118" spans="1:8">
      <c r="A118" s="317">
        <v>1610210104</v>
      </c>
      <c r="B118" s="317" t="s">
        <v>44488</v>
      </c>
      <c r="C118" s="330" t="s">
        <v>4820</v>
      </c>
      <c r="D118" s="330" t="s">
        <v>4821</v>
      </c>
      <c r="E118" s="330" t="s">
        <v>37248</v>
      </c>
      <c r="F118" s="331">
        <v>0.21</v>
      </c>
      <c r="G118" s="332">
        <v>3424</v>
      </c>
      <c r="H118" s="333">
        <v>4144</v>
      </c>
    </row>
    <row r="119" spans="1:8">
      <c r="A119" s="317">
        <v>1610210121</v>
      </c>
      <c r="B119" s="317" t="s">
        <v>44489</v>
      </c>
      <c r="C119" s="330" t="s">
        <v>4822</v>
      </c>
      <c r="D119" s="330" t="s">
        <v>4823</v>
      </c>
      <c r="E119" s="330" t="s">
        <v>37248</v>
      </c>
      <c r="F119" s="331">
        <v>0.21</v>
      </c>
      <c r="G119" s="332">
        <v>3596</v>
      </c>
      <c r="H119" s="333">
        <v>4352</v>
      </c>
    </row>
    <row r="120" spans="1:8">
      <c r="A120" s="317">
        <v>1610210122</v>
      </c>
      <c r="B120" s="317" t="s">
        <v>44490</v>
      </c>
      <c r="C120" s="330" t="s">
        <v>4824</v>
      </c>
      <c r="D120" s="330" t="s">
        <v>4825</v>
      </c>
      <c r="E120" s="330" t="s">
        <v>37248</v>
      </c>
      <c r="F120" s="331">
        <v>0.21</v>
      </c>
      <c r="G120" s="332">
        <v>5973</v>
      </c>
      <c r="H120" s="333">
        <v>7228</v>
      </c>
    </row>
    <row r="121" spans="1:8">
      <c r="A121" s="317">
        <v>1610210128</v>
      </c>
      <c r="B121" s="317" t="s">
        <v>44491</v>
      </c>
      <c r="C121" s="330" t="s">
        <v>4826</v>
      </c>
      <c r="D121" s="330" t="s">
        <v>4825</v>
      </c>
      <c r="E121" s="330" t="s">
        <v>37248</v>
      </c>
      <c r="F121" s="331">
        <v>0.21</v>
      </c>
      <c r="G121" s="332">
        <v>3689</v>
      </c>
      <c r="H121" s="333">
        <v>4464</v>
      </c>
    </row>
    <row r="122" spans="1:8">
      <c r="A122" s="317">
        <v>1610210153</v>
      </c>
      <c r="B122" s="317" t="s">
        <v>44492</v>
      </c>
      <c r="C122" s="330" t="s">
        <v>4827</v>
      </c>
      <c r="D122" s="330" t="s">
        <v>4828</v>
      </c>
      <c r="E122" s="330" t="s">
        <v>37248</v>
      </c>
      <c r="F122" s="331">
        <v>0.21</v>
      </c>
      <c r="G122" s="332">
        <v>5456</v>
      </c>
      <c r="H122" s="333">
        <v>6602</v>
      </c>
    </row>
    <row r="123" spans="1:8">
      <c r="A123" s="317">
        <v>1610210187</v>
      </c>
      <c r="B123" s="317" t="s">
        <v>44493</v>
      </c>
      <c r="C123" s="330" t="s">
        <v>4829</v>
      </c>
      <c r="D123" s="330" t="s">
        <v>4830</v>
      </c>
      <c r="E123" s="330" t="s">
        <v>37248</v>
      </c>
      <c r="F123" s="331">
        <v>0.21</v>
      </c>
      <c r="G123" s="332">
        <v>3279</v>
      </c>
      <c r="H123" s="333">
        <v>3968</v>
      </c>
    </row>
    <row r="124" spans="1:8">
      <c r="A124" s="317">
        <v>1610210203</v>
      </c>
      <c r="B124" s="317" t="s">
        <v>44494</v>
      </c>
      <c r="C124" s="330" t="s">
        <v>4831</v>
      </c>
      <c r="D124" s="330" t="s">
        <v>4832</v>
      </c>
      <c r="E124" s="330" t="s">
        <v>37248</v>
      </c>
      <c r="F124" s="331">
        <v>0.21</v>
      </c>
      <c r="G124" s="332">
        <v>6433</v>
      </c>
      <c r="H124" s="333">
        <v>7784</v>
      </c>
    </row>
    <row r="125" spans="1:8">
      <c r="A125" s="317">
        <v>1610210204</v>
      </c>
      <c r="B125" s="317" t="s">
        <v>44495</v>
      </c>
      <c r="C125" s="330" t="s">
        <v>4833</v>
      </c>
      <c r="D125" s="330" t="s">
        <v>4834</v>
      </c>
      <c r="E125" s="330" t="s">
        <v>37248</v>
      </c>
      <c r="F125" s="331">
        <v>0.21</v>
      </c>
      <c r="G125" s="332">
        <v>4340</v>
      </c>
      <c r="H125" s="333">
        <v>5252</v>
      </c>
    </row>
    <row r="126" spans="1:8">
      <c r="A126" s="317">
        <v>1610210210</v>
      </c>
      <c r="B126" s="317" t="s">
        <v>44496</v>
      </c>
      <c r="C126" s="330" t="s">
        <v>4835</v>
      </c>
      <c r="D126" s="330" t="s">
        <v>4836</v>
      </c>
      <c r="E126" s="330" t="s">
        <v>37248</v>
      </c>
      <c r="F126" s="331">
        <v>0.21</v>
      </c>
      <c r="G126" s="332">
        <v>9906</v>
      </c>
      <c r="H126" s="333">
        <v>11987</v>
      </c>
    </row>
    <row r="127" spans="1:8">
      <c r="A127" s="317">
        <v>1610210213</v>
      </c>
      <c r="B127" s="317" t="s">
        <v>44497</v>
      </c>
      <c r="C127" s="330" t="s">
        <v>4837</v>
      </c>
      <c r="D127" s="330" t="s">
        <v>4836</v>
      </c>
      <c r="E127" s="330" t="s">
        <v>37248</v>
      </c>
      <c r="F127" s="331">
        <v>0.21</v>
      </c>
      <c r="G127" s="332">
        <v>5456</v>
      </c>
      <c r="H127" s="333">
        <v>6602</v>
      </c>
    </row>
    <row r="128" spans="1:8">
      <c r="A128" s="317">
        <v>1610290028</v>
      </c>
      <c r="B128" s="317" t="s">
        <v>44498</v>
      </c>
      <c r="C128" s="330" t="s">
        <v>4838</v>
      </c>
      <c r="D128" s="330" t="s">
        <v>4839</v>
      </c>
      <c r="E128" s="330" t="s">
        <v>37248</v>
      </c>
      <c r="F128" s="331">
        <v>0.21</v>
      </c>
      <c r="G128" s="332">
        <v>4593</v>
      </c>
      <c r="H128" s="333">
        <v>5558</v>
      </c>
    </row>
    <row r="129" spans="1:8">
      <c r="A129" s="317">
        <v>1610290029</v>
      </c>
      <c r="B129" s="317" t="s">
        <v>44499</v>
      </c>
      <c r="C129" s="330" t="s">
        <v>4840</v>
      </c>
      <c r="D129" s="330" t="s">
        <v>4841</v>
      </c>
      <c r="E129" s="330" t="s">
        <v>37248</v>
      </c>
      <c r="F129" s="331">
        <v>0.21</v>
      </c>
      <c r="G129" s="332">
        <v>3774</v>
      </c>
      <c r="H129" s="333">
        <v>4567</v>
      </c>
    </row>
    <row r="130" spans="1:8">
      <c r="A130" s="317">
        <v>1610290065</v>
      </c>
      <c r="B130" s="317" t="s">
        <v>44500</v>
      </c>
      <c r="C130" s="330" t="s">
        <v>4842</v>
      </c>
      <c r="D130" s="330" t="s">
        <v>4843</v>
      </c>
      <c r="E130" s="330" t="s">
        <v>37248</v>
      </c>
      <c r="F130" s="331">
        <v>0.21</v>
      </c>
      <c r="G130" s="332">
        <v>8159</v>
      </c>
      <c r="H130" s="333">
        <v>9873</v>
      </c>
    </row>
    <row r="131" spans="1:8">
      <c r="A131" s="317">
        <v>1610290076</v>
      </c>
      <c r="B131" s="317" t="s">
        <v>44501</v>
      </c>
      <c r="C131" s="330" t="s">
        <v>4844</v>
      </c>
      <c r="D131" s="330" t="s">
        <v>4845</v>
      </c>
      <c r="E131" s="330" t="s">
        <v>37248</v>
      </c>
      <c r="F131" s="331">
        <v>0.21</v>
      </c>
      <c r="G131" s="332">
        <v>8882</v>
      </c>
      <c r="H131" s="333">
        <v>10748</v>
      </c>
    </row>
    <row r="132" spans="1:8">
      <c r="A132" s="317">
        <v>1610390051</v>
      </c>
      <c r="B132" s="317" t="s">
        <v>44502</v>
      </c>
      <c r="C132" s="330" t="s">
        <v>4846</v>
      </c>
      <c r="D132" s="330" t="s">
        <v>4847</v>
      </c>
      <c r="E132" s="330" t="s">
        <v>37248</v>
      </c>
      <c r="F132" s="331">
        <v>0.21</v>
      </c>
      <c r="G132" s="332">
        <v>8062</v>
      </c>
      <c r="H132" s="333">
        <v>9756</v>
      </c>
    </row>
    <row r="133" spans="1:8">
      <c r="A133" s="317">
        <v>1610499055</v>
      </c>
      <c r="B133" s="317" t="s">
        <v>44503</v>
      </c>
      <c r="C133" s="330" t="s">
        <v>4848</v>
      </c>
      <c r="D133" s="330" t="s">
        <v>4849</v>
      </c>
      <c r="E133" s="330" t="s">
        <v>37248</v>
      </c>
      <c r="F133" s="331">
        <v>0.21</v>
      </c>
      <c r="G133" s="332">
        <v>10426</v>
      </c>
      <c r="H133" s="333">
        <v>12616</v>
      </c>
    </row>
    <row r="134" spans="1:8">
      <c r="A134" s="317">
        <v>1610502016</v>
      </c>
      <c r="B134" s="317" t="s">
        <v>44504</v>
      </c>
      <c r="C134" s="330" t="s">
        <v>4850</v>
      </c>
      <c r="D134" s="330" t="s">
        <v>4851</v>
      </c>
      <c r="E134" s="330" t="s">
        <v>37248</v>
      </c>
      <c r="F134" s="331">
        <v>0.21</v>
      </c>
      <c r="G134" s="332">
        <v>1015</v>
      </c>
      <c r="H134" s="333">
        <v>1229</v>
      </c>
    </row>
    <row r="135" spans="1:8">
      <c r="A135" s="317">
        <v>1610508025</v>
      </c>
      <c r="B135" s="317" t="s">
        <v>44505</v>
      </c>
      <c r="C135" s="330" t="s">
        <v>4852</v>
      </c>
      <c r="D135" s="330" t="s">
        <v>4853</v>
      </c>
      <c r="E135" s="330" t="s">
        <v>37248</v>
      </c>
      <c r="F135" s="331">
        <v>0.21</v>
      </c>
      <c r="G135" s="332">
        <v>6622</v>
      </c>
      <c r="H135" s="333">
        <v>8013</v>
      </c>
    </row>
    <row r="136" spans="1:8">
      <c r="A136" s="317">
        <v>1610508047</v>
      </c>
      <c r="B136" s="317" t="s">
        <v>44506</v>
      </c>
      <c r="C136" s="330" t="s">
        <v>4854</v>
      </c>
      <c r="D136" s="330" t="s">
        <v>4855</v>
      </c>
      <c r="E136" s="330" t="s">
        <v>37248</v>
      </c>
      <c r="F136" s="331">
        <v>0.21</v>
      </c>
      <c r="G136" s="332">
        <v>3635</v>
      </c>
      <c r="H136" s="333">
        <v>4399</v>
      </c>
    </row>
    <row r="137" spans="1:8">
      <c r="A137" s="317">
        <v>1610703053</v>
      </c>
      <c r="B137" s="317" t="s">
        <v>44507</v>
      </c>
      <c r="C137" s="330" t="s">
        <v>4856</v>
      </c>
      <c r="D137" s="330" t="s">
        <v>4857</v>
      </c>
      <c r="E137" s="330" t="s">
        <v>37248</v>
      </c>
      <c r="F137" s="331">
        <v>0.21</v>
      </c>
      <c r="G137" s="332">
        <v>3549</v>
      </c>
      <c r="H137" s="333">
        <v>4295</v>
      </c>
    </row>
    <row r="138" spans="1:8">
      <c r="A138" s="317">
        <v>1610905016</v>
      </c>
      <c r="B138" s="317" t="s">
        <v>44508</v>
      </c>
      <c r="C138" s="330" t="s">
        <v>4858</v>
      </c>
      <c r="D138" s="330" t="s">
        <v>4859</v>
      </c>
      <c r="E138" s="330" t="s">
        <v>37248</v>
      </c>
      <c r="F138" s="331">
        <v>0.21</v>
      </c>
      <c r="G138" s="332">
        <v>11242</v>
      </c>
      <c r="H138" s="333">
        <v>13603</v>
      </c>
    </row>
    <row r="139" spans="1:8">
      <c r="A139" s="317">
        <v>1610910089</v>
      </c>
      <c r="B139" s="317" t="s">
        <v>44509</v>
      </c>
      <c r="C139" s="330" t="s">
        <v>4860</v>
      </c>
      <c r="D139" s="330" t="s">
        <v>4861</v>
      </c>
      <c r="E139" s="330" t="s">
        <v>4634</v>
      </c>
      <c r="F139" s="331">
        <v>0.21</v>
      </c>
      <c r="G139" s="332">
        <v>10857</v>
      </c>
      <c r="H139" s="333">
        <v>13137</v>
      </c>
    </row>
    <row r="140" spans="1:8">
      <c r="A140" s="317">
        <v>1610910091</v>
      </c>
      <c r="B140" s="317" t="s">
        <v>44510</v>
      </c>
      <c r="C140" s="330" t="s">
        <v>4862</v>
      </c>
      <c r="D140" s="330" t="s">
        <v>4863</v>
      </c>
      <c r="E140" s="330" t="s">
        <v>37248</v>
      </c>
      <c r="F140" s="331">
        <v>0.21</v>
      </c>
      <c r="G140" s="332">
        <v>43604</v>
      </c>
      <c r="H140" s="333">
        <v>52761</v>
      </c>
    </row>
    <row r="141" spans="1:8">
      <c r="A141" s="317">
        <v>1610913021</v>
      </c>
      <c r="B141" s="317" t="s">
        <v>44511</v>
      </c>
      <c r="C141" s="330" t="s">
        <v>4864</v>
      </c>
      <c r="D141" s="330" t="s">
        <v>4865</v>
      </c>
      <c r="E141" s="330" t="s">
        <v>4819</v>
      </c>
      <c r="F141" s="331">
        <v>0.21</v>
      </c>
      <c r="G141" s="332">
        <v>3297</v>
      </c>
      <c r="H141" s="333">
        <v>3990</v>
      </c>
    </row>
    <row r="142" spans="1:8">
      <c r="A142" s="317">
        <v>1611016003</v>
      </c>
      <c r="B142" s="317" t="s">
        <v>44512</v>
      </c>
      <c r="C142" s="330" t="s">
        <v>4866</v>
      </c>
      <c r="D142" s="330" t="s">
        <v>4867</v>
      </c>
      <c r="E142" s="330" t="s">
        <v>37248</v>
      </c>
      <c r="F142" s="331">
        <v>0.21</v>
      </c>
      <c r="G142" s="332">
        <v>2339</v>
      </c>
      <c r="H142" s="333">
        <v>2831</v>
      </c>
    </row>
    <row r="143" spans="1:8">
      <c r="A143" s="317">
        <v>1611098008</v>
      </c>
      <c r="B143" s="317" t="s">
        <v>44513</v>
      </c>
      <c r="C143" s="330" t="s">
        <v>4868</v>
      </c>
      <c r="D143" s="330" t="s">
        <v>4869</v>
      </c>
      <c r="E143" s="330" t="s">
        <v>37248</v>
      </c>
      <c r="F143" s="331">
        <v>0.21</v>
      </c>
      <c r="G143" s="332">
        <v>3393</v>
      </c>
      <c r="H143" s="333">
        <v>4106</v>
      </c>
    </row>
    <row r="144" spans="1:8">
      <c r="A144" s="317">
        <v>1611329024</v>
      </c>
      <c r="B144" s="317" t="s">
        <v>44514</v>
      </c>
      <c r="C144" s="330" t="s">
        <v>4870</v>
      </c>
      <c r="D144" s="330" t="s">
        <v>4871</v>
      </c>
      <c r="E144" s="330" t="s">
        <v>37248</v>
      </c>
      <c r="F144" s="331">
        <v>0.21</v>
      </c>
      <c r="G144" s="332">
        <v>2417</v>
      </c>
      <c r="H144" s="333">
        <v>2925</v>
      </c>
    </row>
    <row r="145" spans="1:8">
      <c r="A145" s="317">
        <v>1612026037</v>
      </c>
      <c r="B145" s="317" t="s">
        <v>44515</v>
      </c>
      <c r="C145" s="330" t="s">
        <v>4872</v>
      </c>
      <c r="D145" s="330" t="s">
        <v>4873</v>
      </c>
      <c r="E145" s="330" t="s">
        <v>37248</v>
      </c>
      <c r="F145" s="331">
        <v>0.21</v>
      </c>
      <c r="G145" s="332">
        <v>12766</v>
      </c>
      <c r="H145" s="333">
        <v>15447</v>
      </c>
    </row>
    <row r="146" spans="1:8">
      <c r="A146" s="317">
        <v>1612026048</v>
      </c>
      <c r="B146" s="317" t="s">
        <v>44516</v>
      </c>
      <c r="C146" s="330" t="s">
        <v>4874</v>
      </c>
      <c r="D146" s="330" t="s">
        <v>4875</v>
      </c>
      <c r="E146" s="330" t="s">
        <v>37248</v>
      </c>
      <c r="F146" s="331">
        <v>0.21</v>
      </c>
      <c r="G146" s="332">
        <v>18769</v>
      </c>
      <c r="H146" s="333">
        <v>22711</v>
      </c>
    </row>
    <row r="147" spans="1:8">
      <c r="A147" s="317">
        <v>1612300036</v>
      </c>
      <c r="B147" s="317" t="s">
        <v>44517</v>
      </c>
      <c r="C147" s="330" t="s">
        <v>4876</v>
      </c>
      <c r="D147" s="330" t="s">
        <v>4877</v>
      </c>
      <c r="E147" s="330" t="s">
        <v>37248</v>
      </c>
      <c r="F147" s="331">
        <v>0.21</v>
      </c>
      <c r="G147" s="332">
        <v>11967</v>
      </c>
      <c r="H147" s="333">
        <v>14481</v>
      </c>
    </row>
    <row r="148" spans="1:8">
      <c r="A148" s="317">
        <v>1613100019</v>
      </c>
      <c r="B148" s="317" t="s">
        <v>44518</v>
      </c>
      <c r="C148" s="330" t="s">
        <v>4878</v>
      </c>
      <c r="D148" s="330" t="s">
        <v>4879</v>
      </c>
      <c r="E148" s="330" t="s">
        <v>37248</v>
      </c>
      <c r="F148" s="331">
        <v>0.21</v>
      </c>
      <c r="G148" s="332">
        <v>1329</v>
      </c>
      <c r="H148" s="333">
        <v>1609</v>
      </c>
    </row>
    <row r="149" spans="1:8">
      <c r="A149" s="317">
        <v>1613103004</v>
      </c>
      <c r="B149" s="317" t="s">
        <v>44519</v>
      </c>
      <c r="C149" s="330" t="s">
        <v>4880</v>
      </c>
      <c r="D149" s="330" t="s">
        <v>4881</v>
      </c>
      <c r="E149" s="330" t="s">
        <v>37248</v>
      </c>
      <c r="F149" s="331">
        <v>0.21</v>
      </c>
      <c r="G149" s="332">
        <v>33240</v>
      </c>
      <c r="H149" s="333">
        <v>40221</v>
      </c>
    </row>
    <row r="150" spans="1:8">
      <c r="A150" s="317">
        <v>1613124098</v>
      </c>
      <c r="B150" s="317" t="s">
        <v>44520</v>
      </c>
      <c r="C150" s="330" t="s">
        <v>4882</v>
      </c>
      <c r="D150" s="330" t="s">
        <v>4883</v>
      </c>
      <c r="E150" s="330" t="s">
        <v>37248</v>
      </c>
      <c r="F150" s="331">
        <v>0.21</v>
      </c>
      <c r="G150" s="332">
        <v>19099</v>
      </c>
      <c r="H150" s="333">
        <v>23110</v>
      </c>
    </row>
    <row r="151" spans="1:8">
      <c r="A151" s="317">
        <v>1613414022</v>
      </c>
      <c r="B151" s="317" t="s">
        <v>44521</v>
      </c>
      <c r="C151" s="330" t="s">
        <v>4884</v>
      </c>
      <c r="D151" s="330" t="s">
        <v>4885</v>
      </c>
      <c r="E151" s="330" t="s">
        <v>37248</v>
      </c>
      <c r="F151" s="331">
        <v>0.21</v>
      </c>
      <c r="G151" s="332">
        <v>5552</v>
      </c>
      <c r="H151" s="333">
        <v>6718</v>
      </c>
    </row>
    <row r="152" spans="1:8">
      <c r="A152" s="317">
        <v>1613414024</v>
      </c>
      <c r="B152" s="317" t="s">
        <v>44522</v>
      </c>
      <c r="C152" s="330" t="s">
        <v>4886</v>
      </c>
      <c r="D152" s="330" t="s">
        <v>4887</v>
      </c>
      <c r="E152" s="330" t="s">
        <v>37248</v>
      </c>
      <c r="F152" s="331">
        <v>0.21</v>
      </c>
      <c r="G152" s="332">
        <v>7142</v>
      </c>
      <c r="H152" s="333">
        <v>8642</v>
      </c>
    </row>
    <row r="153" spans="1:8">
      <c r="A153" s="317">
        <v>1613490029</v>
      </c>
      <c r="B153" s="317" t="s">
        <v>44523</v>
      </c>
      <c r="C153" s="330" t="s">
        <v>4888</v>
      </c>
      <c r="D153" s="330" t="s">
        <v>4889</v>
      </c>
      <c r="E153" s="330" t="s">
        <v>37248</v>
      </c>
      <c r="F153" s="331">
        <v>0.21</v>
      </c>
      <c r="G153" s="332">
        <v>454</v>
      </c>
      <c r="H153" s="333">
        <v>550</v>
      </c>
    </row>
    <row r="154" spans="1:8">
      <c r="A154" s="317">
        <v>1614010252</v>
      </c>
      <c r="B154" s="317" t="s">
        <v>44524</v>
      </c>
      <c r="C154" s="330" t="s">
        <v>4890</v>
      </c>
      <c r="D154" s="330" t="s">
        <v>4891</v>
      </c>
      <c r="E154" s="330" t="s">
        <v>37248</v>
      </c>
      <c r="F154" s="331">
        <v>0.21</v>
      </c>
      <c r="G154" s="332">
        <v>147228</v>
      </c>
      <c r="H154" s="333">
        <v>178146</v>
      </c>
    </row>
    <row r="155" spans="1:8">
      <c r="A155" s="317">
        <v>1614010270</v>
      </c>
      <c r="B155" s="317" t="s">
        <v>44525</v>
      </c>
      <c r="C155" s="330" t="s">
        <v>4892</v>
      </c>
      <c r="D155" s="330" t="s">
        <v>4893</v>
      </c>
      <c r="E155" s="330" t="s">
        <v>37248</v>
      </c>
      <c r="F155" s="331">
        <v>0.21</v>
      </c>
      <c r="G155" s="332">
        <v>39560</v>
      </c>
      <c r="H155" s="333">
        <v>47868</v>
      </c>
    </row>
    <row r="156" spans="1:8">
      <c r="A156" s="317">
        <v>1614010276</v>
      </c>
      <c r="B156" s="317" t="s">
        <v>44526</v>
      </c>
      <c r="C156" s="330" t="s">
        <v>4894</v>
      </c>
      <c r="D156" s="330" t="s">
        <v>4895</v>
      </c>
      <c r="E156" s="330" t="s">
        <v>37248</v>
      </c>
      <c r="F156" s="331">
        <v>0.21</v>
      </c>
      <c r="G156" s="332">
        <v>45851</v>
      </c>
      <c r="H156" s="333">
        <v>55480</v>
      </c>
    </row>
    <row r="157" spans="1:8">
      <c r="A157" s="317">
        <v>1614010709</v>
      </c>
      <c r="B157" s="317" t="s">
        <v>44527</v>
      </c>
      <c r="C157" s="330" t="s">
        <v>4896</v>
      </c>
      <c r="D157" s="330" t="s">
        <v>4897</v>
      </c>
      <c r="E157" s="330" t="s">
        <v>37248</v>
      </c>
      <c r="F157" s="331">
        <v>0.21</v>
      </c>
      <c r="G157" s="332">
        <v>39522</v>
      </c>
      <c r="H157" s="333">
        <v>47822</v>
      </c>
    </row>
    <row r="158" spans="1:8">
      <c r="A158" s="317">
        <v>1614011072</v>
      </c>
      <c r="B158" s="317" t="s">
        <v>44528</v>
      </c>
      <c r="C158" s="330" t="s">
        <v>4898</v>
      </c>
      <c r="D158" s="330" t="s">
        <v>4899</v>
      </c>
      <c r="E158" s="330" t="s">
        <v>37248</v>
      </c>
      <c r="F158" s="331">
        <v>0.21</v>
      </c>
      <c r="G158" s="332">
        <v>128581</v>
      </c>
      <c r="H158" s="333">
        <v>155584</v>
      </c>
    </row>
    <row r="159" spans="1:8">
      <c r="A159" s="317">
        <v>1614011098</v>
      </c>
      <c r="B159" s="317" t="s">
        <v>44529</v>
      </c>
      <c r="C159" s="330" t="s">
        <v>4900</v>
      </c>
      <c r="D159" s="330" t="s">
        <v>4901</v>
      </c>
      <c r="E159" s="330" t="s">
        <v>37248</v>
      </c>
      <c r="F159" s="331">
        <v>0.21</v>
      </c>
      <c r="G159" s="332">
        <v>105577</v>
      </c>
      <c r="H159" s="333">
        <v>127749</v>
      </c>
    </row>
    <row r="160" spans="1:8">
      <c r="A160" s="317">
        <v>1614011139</v>
      </c>
      <c r="B160" s="317" t="s">
        <v>44530</v>
      </c>
      <c r="C160" s="330" t="s">
        <v>4902</v>
      </c>
      <c r="D160" s="330" t="s">
        <v>4903</v>
      </c>
      <c r="E160" s="330" t="s">
        <v>37248</v>
      </c>
      <c r="F160" s="331">
        <v>0.21</v>
      </c>
      <c r="G160" s="332">
        <v>183299</v>
      </c>
      <c r="H160" s="333">
        <v>221792</v>
      </c>
    </row>
    <row r="161" spans="1:8">
      <c r="A161" s="317">
        <v>1614321079</v>
      </c>
      <c r="B161" s="317" t="s">
        <v>44531</v>
      </c>
      <c r="C161" s="330" t="s">
        <v>4904</v>
      </c>
      <c r="D161" s="330" t="s">
        <v>4905</v>
      </c>
      <c r="E161" s="330" t="s">
        <v>37248</v>
      </c>
      <c r="F161" s="331">
        <v>0.21</v>
      </c>
      <c r="G161" s="332">
        <v>16804</v>
      </c>
      <c r="H161" s="333">
        <v>20333</v>
      </c>
    </row>
    <row r="162" spans="1:8">
      <c r="A162" s="317">
        <v>1614336061</v>
      </c>
      <c r="B162" s="317" t="s">
        <v>44532</v>
      </c>
      <c r="C162" s="330" t="s">
        <v>4906</v>
      </c>
      <c r="D162" s="330" t="s">
        <v>4907</v>
      </c>
      <c r="E162" s="330" t="s">
        <v>37248</v>
      </c>
      <c r="F162" s="331">
        <v>0.21</v>
      </c>
      <c r="G162" s="332">
        <v>26595</v>
      </c>
      <c r="H162" s="333">
        <v>32180</v>
      </c>
    </row>
    <row r="163" spans="1:8">
      <c r="A163" s="317">
        <v>1614601012</v>
      </c>
      <c r="B163" s="317" t="s">
        <v>44533</v>
      </c>
      <c r="C163" s="330" t="s">
        <v>4908</v>
      </c>
      <c r="D163" s="330" t="s">
        <v>4909</v>
      </c>
      <c r="E163" s="330" t="s">
        <v>37248</v>
      </c>
      <c r="F163" s="331">
        <v>0.21</v>
      </c>
      <c r="G163" s="332">
        <v>898</v>
      </c>
      <c r="H163" s="333">
        <v>1087</v>
      </c>
    </row>
    <row r="164" spans="1:8">
      <c r="A164" s="317">
        <v>1614601041</v>
      </c>
      <c r="B164" s="317" t="s">
        <v>44534</v>
      </c>
      <c r="C164" s="330" t="s">
        <v>4910</v>
      </c>
      <c r="D164" s="330" t="s">
        <v>4911</v>
      </c>
      <c r="E164" s="330" t="s">
        <v>4819</v>
      </c>
      <c r="F164" s="331">
        <v>0.21</v>
      </c>
      <c r="G164" s="332">
        <v>2426</v>
      </c>
      <c r="H164" s="333">
        <v>2936</v>
      </c>
    </row>
    <row r="165" spans="1:8">
      <c r="A165" s="317">
        <v>1614614006</v>
      </c>
      <c r="B165" s="317" t="s">
        <v>44535</v>
      </c>
      <c r="C165" s="330" t="s">
        <v>4912</v>
      </c>
      <c r="D165" s="330" t="s">
        <v>4913</v>
      </c>
      <c r="E165" s="330" t="s">
        <v>37248</v>
      </c>
      <c r="F165" s="331">
        <v>0.21</v>
      </c>
      <c r="G165" s="332">
        <v>9253</v>
      </c>
      <c r="H165" s="333">
        <v>11197</v>
      </c>
    </row>
    <row r="166" spans="1:8">
      <c r="A166" s="317">
        <v>1614614009</v>
      </c>
      <c r="B166" s="317" t="s">
        <v>44536</v>
      </c>
      <c r="C166" s="330" t="s">
        <v>4914</v>
      </c>
      <c r="D166" s="330" t="s">
        <v>4915</v>
      </c>
      <c r="E166" s="330" t="s">
        <v>37248</v>
      </c>
      <c r="F166" s="331">
        <v>0.21</v>
      </c>
      <c r="G166" s="332">
        <v>10025</v>
      </c>
      <c r="H166" s="333">
        <v>12131</v>
      </c>
    </row>
    <row r="167" spans="1:8">
      <c r="A167" s="317">
        <v>1615430001</v>
      </c>
      <c r="B167" s="317" t="s">
        <v>44537</v>
      </c>
      <c r="C167" s="330" t="s">
        <v>4916</v>
      </c>
      <c r="D167" s="330" t="s">
        <v>4917</v>
      </c>
      <c r="E167" s="330" t="s">
        <v>37248</v>
      </c>
      <c r="F167" s="331">
        <v>0.21</v>
      </c>
      <c r="G167" s="332">
        <v>14832</v>
      </c>
      <c r="H167" s="333">
        <v>17947</v>
      </c>
    </row>
    <row r="168" spans="1:8">
      <c r="A168" s="317">
        <v>1615430005</v>
      </c>
      <c r="B168" s="317" t="s">
        <v>44538</v>
      </c>
      <c r="C168" s="330" t="s">
        <v>4918</v>
      </c>
      <c r="D168" s="330" t="s">
        <v>4919</v>
      </c>
      <c r="E168" s="330" t="s">
        <v>37248</v>
      </c>
      <c r="F168" s="331">
        <v>0.21</v>
      </c>
      <c r="G168" s="332">
        <v>7098</v>
      </c>
      <c r="H168" s="333">
        <v>8589</v>
      </c>
    </row>
    <row r="169" spans="1:8">
      <c r="A169" s="317">
        <v>1615430010</v>
      </c>
      <c r="B169" s="317" t="s">
        <v>44539</v>
      </c>
      <c r="C169" s="330" t="s">
        <v>4920</v>
      </c>
      <c r="D169" s="330" t="s">
        <v>4921</v>
      </c>
      <c r="E169" s="330" t="s">
        <v>37248</v>
      </c>
      <c r="F169" s="331">
        <v>0.21</v>
      </c>
      <c r="G169" s="332">
        <v>3577</v>
      </c>
      <c r="H169" s="333">
        <v>4329</v>
      </c>
    </row>
    <row r="170" spans="1:8">
      <c r="A170" s="317">
        <v>1615430014</v>
      </c>
      <c r="B170" s="317" t="s">
        <v>44540</v>
      </c>
      <c r="C170" s="330" t="s">
        <v>4922</v>
      </c>
      <c r="D170" s="330" t="s">
        <v>4923</v>
      </c>
      <c r="E170" s="330" t="s">
        <v>37248</v>
      </c>
      <c r="F170" s="331">
        <v>0.21</v>
      </c>
      <c r="G170" s="332">
        <v>7084</v>
      </c>
      <c r="H170" s="333">
        <v>8572</v>
      </c>
    </row>
    <row r="171" spans="1:8">
      <c r="A171" s="317">
        <v>1615808083</v>
      </c>
      <c r="B171" s="317" t="s">
        <v>44541</v>
      </c>
      <c r="C171" s="330" t="s">
        <v>4924</v>
      </c>
      <c r="D171" s="330" t="s">
        <v>4925</v>
      </c>
      <c r="E171" s="330" t="s">
        <v>37248</v>
      </c>
      <c r="F171" s="331">
        <v>0.21</v>
      </c>
      <c r="G171" s="332">
        <v>38065</v>
      </c>
      <c r="H171" s="333">
        <v>46059</v>
      </c>
    </row>
    <row r="172" spans="1:8">
      <c r="A172" s="317">
        <v>1615819028</v>
      </c>
      <c r="B172" s="317" t="s">
        <v>44542</v>
      </c>
      <c r="C172" s="330" t="s">
        <v>4926</v>
      </c>
      <c r="D172" s="330" t="s">
        <v>4927</v>
      </c>
      <c r="E172" s="330" t="s">
        <v>37248</v>
      </c>
      <c r="F172" s="331">
        <v>0.21</v>
      </c>
      <c r="G172" s="332">
        <v>23315</v>
      </c>
      <c r="H172" s="333">
        <v>28212</v>
      </c>
    </row>
    <row r="173" spans="1:8">
      <c r="A173" s="317">
        <v>1616328042</v>
      </c>
      <c r="B173" s="317" t="s">
        <v>44543</v>
      </c>
      <c r="C173" s="330" t="s">
        <v>4928</v>
      </c>
      <c r="D173" s="330" t="s">
        <v>4929</v>
      </c>
      <c r="E173" s="330" t="s">
        <v>37248</v>
      </c>
      <c r="F173" s="331">
        <v>0.21</v>
      </c>
      <c r="G173" s="332">
        <v>18943</v>
      </c>
      <c r="H173" s="333">
        <v>22922</v>
      </c>
    </row>
    <row r="174" spans="1:8">
      <c r="A174" s="317">
        <v>1617000163</v>
      </c>
      <c r="B174" s="317" t="s">
        <v>44544</v>
      </c>
      <c r="C174" s="330" t="s">
        <v>4930</v>
      </c>
      <c r="D174" s="330" t="s">
        <v>4931</v>
      </c>
      <c r="E174" s="330" t="s">
        <v>37248</v>
      </c>
      <c r="F174" s="331">
        <v>0.21</v>
      </c>
      <c r="G174" s="332">
        <v>15883</v>
      </c>
      <c r="H174" s="333">
        <v>19219</v>
      </c>
    </row>
    <row r="175" spans="1:8">
      <c r="A175" s="317">
        <v>1617000190</v>
      </c>
      <c r="B175" s="317" t="s">
        <v>44545</v>
      </c>
      <c r="C175" s="330" t="s">
        <v>4932</v>
      </c>
      <c r="D175" s="330" t="s">
        <v>4933</v>
      </c>
      <c r="E175" s="330" t="s">
        <v>37248</v>
      </c>
      <c r="F175" s="331">
        <v>0.21</v>
      </c>
      <c r="G175" s="332">
        <v>77499</v>
      </c>
      <c r="H175" s="333">
        <v>93774</v>
      </c>
    </row>
    <row r="176" spans="1:8">
      <c r="A176" s="317">
        <v>1617000327</v>
      </c>
      <c r="B176" s="317" t="s">
        <v>44546</v>
      </c>
      <c r="C176" s="330" t="s">
        <v>4934</v>
      </c>
      <c r="D176" s="330" t="s">
        <v>4935</v>
      </c>
      <c r="E176" s="330" t="s">
        <v>37248</v>
      </c>
      <c r="F176" s="331">
        <v>0.21</v>
      </c>
      <c r="G176" s="332">
        <v>36301</v>
      </c>
      <c r="H176" s="333">
        <v>43925</v>
      </c>
    </row>
    <row r="177" spans="1:8">
      <c r="A177" s="317">
        <v>1617000518</v>
      </c>
      <c r="B177" s="317" t="s">
        <v>44547</v>
      </c>
      <c r="C177" s="330" t="s">
        <v>4936</v>
      </c>
      <c r="D177" s="330" t="s">
        <v>4937</v>
      </c>
      <c r="E177" s="330" t="s">
        <v>37248</v>
      </c>
      <c r="F177" s="331">
        <v>0.21</v>
      </c>
      <c r="G177" s="332">
        <v>45373</v>
      </c>
      <c r="H177" s="333">
        <v>54902</v>
      </c>
    </row>
    <row r="178" spans="1:8">
      <c r="A178" s="317">
        <v>1617000525</v>
      </c>
      <c r="B178" s="317" t="s">
        <v>44548</v>
      </c>
      <c r="C178" s="330" t="s">
        <v>4938</v>
      </c>
      <c r="D178" s="330" t="s">
        <v>4939</v>
      </c>
      <c r="E178" s="330" t="s">
        <v>37248</v>
      </c>
      <c r="F178" s="331">
        <v>0.21</v>
      </c>
      <c r="G178" s="332">
        <v>5275</v>
      </c>
      <c r="H178" s="333">
        <v>6383</v>
      </c>
    </row>
    <row r="179" spans="1:8">
      <c r="A179" s="317">
        <v>1617000579</v>
      </c>
      <c r="B179" s="317" t="s">
        <v>44549</v>
      </c>
      <c r="C179" s="330" t="s">
        <v>4940</v>
      </c>
      <c r="D179" s="330" t="s">
        <v>4941</v>
      </c>
      <c r="E179" s="330" t="s">
        <v>37248</v>
      </c>
      <c r="F179" s="331">
        <v>0.21</v>
      </c>
      <c r="G179" s="332">
        <v>28301</v>
      </c>
      <c r="H179" s="333">
        <v>34245</v>
      </c>
    </row>
    <row r="180" spans="1:8">
      <c r="A180" s="317">
        <v>1617000582</v>
      </c>
      <c r="B180" s="317" t="s">
        <v>44550</v>
      </c>
      <c r="C180" s="330" t="s">
        <v>4942</v>
      </c>
      <c r="D180" s="330" t="s">
        <v>4943</v>
      </c>
      <c r="E180" s="330" t="s">
        <v>37248</v>
      </c>
      <c r="F180" s="331">
        <v>0.21</v>
      </c>
      <c r="G180" s="332">
        <v>14165</v>
      </c>
      <c r="H180" s="333">
        <v>17140</v>
      </c>
    </row>
    <row r="181" spans="1:8">
      <c r="A181" s="317">
        <v>1617000598</v>
      </c>
      <c r="B181" s="317" t="s">
        <v>44551</v>
      </c>
      <c r="C181" s="330" t="s">
        <v>4944</v>
      </c>
      <c r="D181" s="330" t="s">
        <v>4945</v>
      </c>
      <c r="E181" s="330" t="s">
        <v>37248</v>
      </c>
      <c r="F181" s="331">
        <v>0.21</v>
      </c>
      <c r="G181" s="332">
        <v>32134</v>
      </c>
      <c r="H181" s="333">
        <v>38883</v>
      </c>
    </row>
    <row r="182" spans="1:8">
      <c r="A182" s="317" t="s">
        <v>37352</v>
      </c>
      <c r="B182" s="317" t="s">
        <v>44552</v>
      </c>
      <c r="C182" s="330" t="s">
        <v>4946</v>
      </c>
      <c r="D182" s="330" t="s">
        <v>4947</v>
      </c>
      <c r="E182" s="330" t="s">
        <v>37248</v>
      </c>
      <c r="F182" s="331">
        <v>0.21</v>
      </c>
      <c r="G182" s="332">
        <v>11564</v>
      </c>
      <c r="H182" s="333">
        <v>13993</v>
      </c>
    </row>
    <row r="183" spans="1:8">
      <c r="A183" s="317" t="s">
        <v>37353</v>
      </c>
      <c r="B183" s="317" t="s">
        <v>44553</v>
      </c>
      <c r="C183" s="330" t="s">
        <v>4948</v>
      </c>
      <c r="D183" s="330" t="s">
        <v>4949</v>
      </c>
      <c r="E183" s="330" t="s">
        <v>37248</v>
      </c>
      <c r="F183" s="331">
        <v>0.21</v>
      </c>
      <c r="G183" s="332">
        <v>12204</v>
      </c>
      <c r="H183" s="333">
        <v>14767</v>
      </c>
    </row>
    <row r="184" spans="1:8">
      <c r="A184" s="317" t="s">
        <v>37354</v>
      </c>
      <c r="B184" s="317" t="s">
        <v>44554</v>
      </c>
      <c r="C184" s="330" t="s">
        <v>4950</v>
      </c>
      <c r="D184" s="330" t="s">
        <v>4951</v>
      </c>
      <c r="E184" s="330" t="s">
        <v>37248</v>
      </c>
      <c r="F184" s="331">
        <v>0.21</v>
      </c>
      <c r="G184" s="332">
        <v>34469</v>
      </c>
      <c r="H184" s="333">
        <v>41708</v>
      </c>
    </row>
    <row r="185" spans="1:8">
      <c r="A185" s="317">
        <v>1617014126</v>
      </c>
      <c r="B185" s="317" t="s">
        <v>44555</v>
      </c>
      <c r="C185" s="330" t="s">
        <v>4952</v>
      </c>
      <c r="D185" s="330" t="s">
        <v>4953</v>
      </c>
      <c r="E185" s="330" t="s">
        <v>37248</v>
      </c>
      <c r="F185" s="331">
        <v>0.21</v>
      </c>
      <c r="G185" s="332">
        <v>12403</v>
      </c>
      <c r="H185" s="333">
        <v>15008</v>
      </c>
    </row>
    <row r="186" spans="1:8">
      <c r="A186" s="317">
        <v>1617014135</v>
      </c>
      <c r="B186" s="317" t="s">
        <v>44556</v>
      </c>
      <c r="C186" s="330" t="s">
        <v>4954</v>
      </c>
      <c r="D186" s="330" t="s">
        <v>4955</v>
      </c>
      <c r="E186" s="330" t="s">
        <v>37248</v>
      </c>
      <c r="F186" s="331">
        <v>0.21</v>
      </c>
      <c r="G186" s="332">
        <v>13893</v>
      </c>
      <c r="H186" s="333">
        <v>16811</v>
      </c>
    </row>
    <row r="187" spans="1:8">
      <c r="A187" s="317">
        <v>1617014138</v>
      </c>
      <c r="B187" s="317" t="s">
        <v>44557</v>
      </c>
      <c r="C187" s="330" t="s">
        <v>4956</v>
      </c>
      <c r="D187" s="330" t="s">
        <v>4957</v>
      </c>
      <c r="E187" s="330" t="s">
        <v>37248</v>
      </c>
      <c r="F187" s="331">
        <v>0.21</v>
      </c>
      <c r="G187" s="332">
        <v>16326</v>
      </c>
      <c r="H187" s="333">
        <v>19755</v>
      </c>
    </row>
    <row r="188" spans="1:8">
      <c r="A188" s="317">
        <v>1617014144</v>
      </c>
      <c r="B188" s="317" t="s">
        <v>44558</v>
      </c>
      <c r="C188" s="330" t="s">
        <v>4958</v>
      </c>
      <c r="D188" s="330" t="s">
        <v>4959</v>
      </c>
      <c r="E188" s="330" t="s">
        <v>37248</v>
      </c>
      <c r="F188" s="331">
        <v>0.21</v>
      </c>
      <c r="G188" s="332">
        <v>10696</v>
      </c>
      <c r="H188" s="333">
        <v>12943</v>
      </c>
    </row>
    <row r="189" spans="1:8">
      <c r="A189" s="317">
        <v>1617014145</v>
      </c>
      <c r="B189" s="317" t="s">
        <v>44559</v>
      </c>
      <c r="C189" s="330" t="s">
        <v>4960</v>
      </c>
      <c r="D189" s="330" t="s">
        <v>4961</v>
      </c>
      <c r="E189" s="330" t="s">
        <v>37248</v>
      </c>
      <c r="F189" s="331">
        <v>0.21</v>
      </c>
      <c r="G189" s="332">
        <v>18256</v>
      </c>
      <c r="H189" s="333">
        <v>22090</v>
      </c>
    </row>
    <row r="190" spans="1:8">
      <c r="A190" s="317">
        <v>1617200048</v>
      </c>
      <c r="B190" s="317" t="s">
        <v>44560</v>
      </c>
      <c r="C190" s="330" t="s">
        <v>4962</v>
      </c>
      <c r="D190" s="330" t="s">
        <v>4963</v>
      </c>
      <c r="E190" s="330" t="s">
        <v>37248</v>
      </c>
      <c r="F190" s="331">
        <v>0.21</v>
      </c>
      <c r="G190" s="332">
        <v>27389</v>
      </c>
      <c r="H190" s="333">
        <v>33141</v>
      </c>
    </row>
    <row r="191" spans="1:8">
      <c r="A191" s="317">
        <v>1617200124</v>
      </c>
      <c r="B191" s="317" t="s">
        <v>44561</v>
      </c>
      <c r="C191" s="330" t="s">
        <v>4964</v>
      </c>
      <c r="D191" s="330" t="s">
        <v>4965</v>
      </c>
      <c r="E191" s="330" t="s">
        <v>37248</v>
      </c>
      <c r="F191" s="331">
        <v>0.21</v>
      </c>
      <c r="G191" s="332">
        <v>43827</v>
      </c>
      <c r="H191" s="333">
        <v>53031</v>
      </c>
    </row>
    <row r="192" spans="1:8">
      <c r="A192" s="317">
        <v>1617200136</v>
      </c>
      <c r="B192" s="317" t="s">
        <v>44562</v>
      </c>
      <c r="C192" s="330" t="s">
        <v>4966</v>
      </c>
      <c r="D192" s="330" t="s">
        <v>4967</v>
      </c>
      <c r="E192" s="330" t="s">
        <v>37248</v>
      </c>
      <c r="F192" s="331">
        <v>0.21</v>
      </c>
      <c r="G192" s="332">
        <v>23061</v>
      </c>
      <c r="H192" s="333">
        <v>27904</v>
      </c>
    </row>
    <row r="193" spans="1:8">
      <c r="A193" s="317">
        <v>1618700062</v>
      </c>
      <c r="B193" s="317" t="s">
        <v>44563</v>
      </c>
      <c r="C193" s="330" t="s">
        <v>4968</v>
      </c>
      <c r="D193" s="330" t="s">
        <v>4969</v>
      </c>
      <c r="E193" s="330" t="s">
        <v>4634</v>
      </c>
      <c r="F193" s="331">
        <v>0.21</v>
      </c>
      <c r="G193" s="332">
        <v>18327</v>
      </c>
      <c r="H193" s="333">
        <v>22176</v>
      </c>
    </row>
    <row r="194" spans="1:8">
      <c r="A194" s="317" t="s">
        <v>37355</v>
      </c>
      <c r="B194" s="317" t="s">
        <v>44564</v>
      </c>
      <c r="C194" s="330" t="s">
        <v>4970</v>
      </c>
      <c r="D194" s="330" t="s">
        <v>4971</v>
      </c>
      <c r="E194" s="330" t="s">
        <v>37248</v>
      </c>
      <c r="F194" s="331">
        <v>0.21</v>
      </c>
      <c r="G194" s="332">
        <v>2520</v>
      </c>
      <c r="H194" s="333">
        <v>3050</v>
      </c>
    </row>
    <row r="195" spans="1:8">
      <c r="A195" s="317" t="s">
        <v>37356</v>
      </c>
      <c r="B195" s="317" t="s">
        <v>44565</v>
      </c>
      <c r="C195" s="330" t="s">
        <v>4972</v>
      </c>
      <c r="D195" s="330" t="s">
        <v>4973</v>
      </c>
      <c r="E195" s="330" t="s">
        <v>37248</v>
      </c>
      <c r="F195" s="331">
        <v>0.21</v>
      </c>
      <c r="G195" s="332">
        <v>13926</v>
      </c>
      <c r="H195" s="333">
        <v>16851</v>
      </c>
    </row>
    <row r="196" spans="1:8">
      <c r="A196" s="317" t="s">
        <v>37357</v>
      </c>
      <c r="B196" s="317" t="s">
        <v>44566</v>
      </c>
      <c r="C196" s="330" t="s">
        <v>4974</v>
      </c>
      <c r="D196" s="330" t="s">
        <v>4975</v>
      </c>
      <c r="E196" s="330" t="s">
        <v>37248</v>
      </c>
      <c r="F196" s="331">
        <v>0.21</v>
      </c>
      <c r="G196" s="332">
        <v>13154</v>
      </c>
      <c r="H196" s="333">
        <v>15917</v>
      </c>
    </row>
    <row r="197" spans="1:8">
      <c r="A197" s="317" t="s">
        <v>37358</v>
      </c>
      <c r="B197" s="317" t="s">
        <v>44567</v>
      </c>
      <c r="C197" s="330" t="s">
        <v>4976</v>
      </c>
      <c r="D197" s="330" t="s">
        <v>4977</v>
      </c>
      <c r="E197" s="330" t="s">
        <v>37248</v>
      </c>
      <c r="F197" s="331">
        <v>0.21</v>
      </c>
      <c r="G197" s="332">
        <v>3080</v>
      </c>
      <c r="H197" s="333">
        <v>3727</v>
      </c>
    </row>
    <row r="198" spans="1:8">
      <c r="A198" s="317" t="s">
        <v>37359</v>
      </c>
      <c r="B198" s="317" t="s">
        <v>44568</v>
      </c>
      <c r="C198" s="330" t="s">
        <v>4978</v>
      </c>
      <c r="D198" s="330" t="s">
        <v>4979</v>
      </c>
      <c r="E198" s="330" t="s">
        <v>37248</v>
      </c>
      <c r="F198" s="331">
        <v>0.21</v>
      </c>
      <c r="G198" s="332">
        <v>4128</v>
      </c>
      <c r="H198" s="333">
        <v>4995</v>
      </c>
    </row>
    <row r="199" spans="1:8">
      <c r="A199" s="317" t="s">
        <v>37360</v>
      </c>
      <c r="B199" s="317" t="s">
        <v>44569</v>
      </c>
      <c r="C199" s="330" t="s">
        <v>4980</v>
      </c>
      <c r="D199" s="330" t="s">
        <v>4981</v>
      </c>
      <c r="E199" s="330" t="s">
        <v>37248</v>
      </c>
      <c r="F199" s="331">
        <v>0.21</v>
      </c>
      <c r="G199" s="332">
        <v>3935</v>
      </c>
      <c r="H199" s="333">
        <v>4762</v>
      </c>
    </row>
    <row r="200" spans="1:8">
      <c r="A200" s="317" t="s">
        <v>37361</v>
      </c>
      <c r="B200" s="317" t="s">
        <v>44570</v>
      </c>
      <c r="C200" s="330" t="s">
        <v>4982</v>
      </c>
      <c r="D200" s="330" t="s">
        <v>4983</v>
      </c>
      <c r="E200" s="330" t="s">
        <v>37248</v>
      </c>
      <c r="F200" s="331">
        <v>0.21</v>
      </c>
      <c r="G200" s="332">
        <v>17027</v>
      </c>
      <c r="H200" s="333">
        <v>20603</v>
      </c>
    </row>
    <row r="201" spans="1:8">
      <c r="A201" s="317" t="s">
        <v>37362</v>
      </c>
      <c r="B201" s="317" t="s">
        <v>44571</v>
      </c>
      <c r="C201" s="330" t="s">
        <v>4984</v>
      </c>
      <c r="D201" s="330" t="s">
        <v>4985</v>
      </c>
      <c r="E201" s="330" t="s">
        <v>37248</v>
      </c>
      <c r="F201" s="331">
        <v>0.21</v>
      </c>
      <c r="G201" s="332">
        <v>1657</v>
      </c>
      <c r="H201" s="333">
        <v>2005</v>
      </c>
    </row>
    <row r="202" spans="1:8">
      <c r="A202" s="317" t="s">
        <v>37363</v>
      </c>
      <c r="B202" s="317" t="s">
        <v>44572</v>
      </c>
      <c r="C202" s="330" t="s">
        <v>4986</v>
      </c>
      <c r="D202" s="330" t="s">
        <v>4987</v>
      </c>
      <c r="E202" s="330" t="s">
        <v>37248</v>
      </c>
      <c r="F202" s="331">
        <v>0.21</v>
      </c>
      <c r="G202" s="332">
        <v>5771</v>
      </c>
      <c r="H202" s="333">
        <v>6983</v>
      </c>
    </row>
    <row r="203" spans="1:8">
      <c r="A203" s="317" t="s">
        <v>37364</v>
      </c>
      <c r="B203" s="317" t="s">
        <v>44573</v>
      </c>
      <c r="C203" s="330" t="s">
        <v>4988</v>
      </c>
      <c r="D203" s="330" t="s">
        <v>4989</v>
      </c>
      <c r="E203" s="330" t="s">
        <v>37248</v>
      </c>
      <c r="F203" s="331">
        <v>0.21</v>
      </c>
      <c r="G203" s="332">
        <v>29959</v>
      </c>
      <c r="H203" s="333">
        <v>36251</v>
      </c>
    </row>
    <row r="204" spans="1:8">
      <c r="A204" s="317" t="s">
        <v>37365</v>
      </c>
      <c r="B204" s="317" t="s">
        <v>44574</v>
      </c>
      <c r="C204" s="330" t="s">
        <v>4990</v>
      </c>
      <c r="D204" s="330" t="s">
        <v>4991</v>
      </c>
      <c r="E204" s="330" t="s">
        <v>37248</v>
      </c>
      <c r="F204" s="331">
        <v>0.21</v>
      </c>
      <c r="G204" s="332">
        <v>466</v>
      </c>
      <c r="H204" s="333">
        <v>564</v>
      </c>
    </row>
    <row r="205" spans="1:8">
      <c r="A205" s="317" t="s">
        <v>37366</v>
      </c>
      <c r="B205" s="317" t="s">
        <v>44575</v>
      </c>
      <c r="C205" s="330" t="s">
        <v>4992</v>
      </c>
      <c r="D205" s="330" t="s">
        <v>4993</v>
      </c>
      <c r="E205" s="330" t="s">
        <v>37248</v>
      </c>
      <c r="F205" s="331">
        <v>0.21</v>
      </c>
      <c r="G205" s="332">
        <v>1601</v>
      </c>
      <c r="H205" s="333">
        <v>1938</v>
      </c>
    </row>
    <row r="206" spans="1:8">
      <c r="A206" s="317" t="s">
        <v>37367</v>
      </c>
      <c r="B206" s="317" t="s">
        <v>44576</v>
      </c>
      <c r="C206" s="330" t="s">
        <v>4994</v>
      </c>
      <c r="D206" s="330" t="s">
        <v>4995</v>
      </c>
      <c r="E206" s="330" t="s">
        <v>37248</v>
      </c>
      <c r="F206" s="331">
        <v>0.21</v>
      </c>
      <c r="G206" s="332">
        <v>4171</v>
      </c>
      <c r="H206" s="333">
        <v>5047</v>
      </c>
    </row>
    <row r="207" spans="1:8">
      <c r="A207" s="317" t="s">
        <v>37368</v>
      </c>
      <c r="B207" s="317" t="s">
        <v>44577</v>
      </c>
      <c r="C207" s="330" t="s">
        <v>4996</v>
      </c>
      <c r="D207" s="330" t="s">
        <v>4997</v>
      </c>
      <c r="E207" s="330" t="s">
        <v>37248</v>
      </c>
      <c r="F207" s="331">
        <v>0.21</v>
      </c>
      <c r="G207" s="332">
        <v>1914</v>
      </c>
      <c r="H207" s="333">
        <v>2316</v>
      </c>
    </row>
    <row r="208" spans="1:8">
      <c r="A208" s="317" t="s">
        <v>37369</v>
      </c>
      <c r="B208" s="317" t="s">
        <v>44578</v>
      </c>
      <c r="C208" s="330" t="s">
        <v>4998</v>
      </c>
      <c r="D208" s="330" t="s">
        <v>4999</v>
      </c>
      <c r="E208" s="330" t="s">
        <v>37248</v>
      </c>
      <c r="F208" s="331">
        <v>0.21</v>
      </c>
      <c r="G208" s="332">
        <v>45170</v>
      </c>
      <c r="H208" s="333">
        <v>54656</v>
      </c>
    </row>
    <row r="209" spans="1:8">
      <c r="A209" s="317" t="s">
        <v>37370</v>
      </c>
      <c r="B209" s="317" t="s">
        <v>44579</v>
      </c>
      <c r="C209" s="330" t="s">
        <v>5000</v>
      </c>
      <c r="D209" s="330" t="s">
        <v>5001</v>
      </c>
      <c r="E209" s="330" t="s">
        <v>37248</v>
      </c>
      <c r="F209" s="331">
        <v>0.21</v>
      </c>
      <c r="G209" s="332">
        <v>99626</v>
      </c>
      <c r="H209" s="333">
        <v>120548</v>
      </c>
    </row>
    <row r="210" spans="1:8">
      <c r="A210" s="317" t="s">
        <v>37371</v>
      </c>
      <c r="B210" s="317" t="s">
        <v>44580</v>
      </c>
      <c r="C210" s="330" t="s">
        <v>5002</v>
      </c>
      <c r="D210" s="330" t="s">
        <v>5003</v>
      </c>
      <c r="E210" s="330" t="s">
        <v>4634</v>
      </c>
      <c r="F210" s="331">
        <v>0.21</v>
      </c>
      <c r="G210" s="332">
        <v>24968</v>
      </c>
      <c r="H210" s="333">
        <v>30212</v>
      </c>
    </row>
    <row r="211" spans="1:8">
      <c r="A211" s="317" t="s">
        <v>37372</v>
      </c>
      <c r="B211" s="317" t="s">
        <v>44581</v>
      </c>
      <c r="C211" s="330" t="s">
        <v>5004</v>
      </c>
      <c r="D211" s="330" t="s">
        <v>5005</v>
      </c>
      <c r="E211" s="330" t="s">
        <v>37248</v>
      </c>
      <c r="F211" s="331">
        <v>0.21</v>
      </c>
      <c r="G211" s="332">
        <v>4479</v>
      </c>
      <c r="H211" s="333">
        <v>5420</v>
      </c>
    </row>
    <row r="212" spans="1:8">
      <c r="A212" s="317">
        <v>1903230010</v>
      </c>
      <c r="B212" s="317" t="s">
        <v>44582</v>
      </c>
      <c r="C212" s="330" t="s">
        <v>5006</v>
      </c>
      <c r="D212" s="330" t="s">
        <v>5007</v>
      </c>
      <c r="E212" s="330" t="s">
        <v>37248</v>
      </c>
      <c r="F212" s="331">
        <v>0.21</v>
      </c>
      <c r="G212" s="332">
        <v>1608</v>
      </c>
      <c r="H212" s="333">
        <v>1946</v>
      </c>
    </row>
    <row r="213" spans="1:8">
      <c r="A213" s="317">
        <v>2600100695</v>
      </c>
      <c r="B213" s="317" t="s">
        <v>44583</v>
      </c>
      <c r="C213" s="330" t="s">
        <v>5008</v>
      </c>
      <c r="D213" s="330" t="s">
        <v>5009</v>
      </c>
      <c r="E213" s="330" t="s">
        <v>4819</v>
      </c>
      <c r="F213" s="331">
        <v>0.21</v>
      </c>
      <c r="G213" s="332">
        <v>2150</v>
      </c>
      <c r="H213" s="333">
        <v>2602</v>
      </c>
    </row>
    <row r="214" spans="1:8">
      <c r="A214" s="317">
        <v>2600120052</v>
      </c>
      <c r="B214" s="317" t="s">
        <v>44584</v>
      </c>
      <c r="C214" s="330" t="s">
        <v>5010</v>
      </c>
      <c r="D214" s="330" t="s">
        <v>5011</v>
      </c>
      <c r="E214" s="330" t="s">
        <v>37248</v>
      </c>
      <c r="F214" s="331">
        <v>0.21</v>
      </c>
      <c r="G214" s="332">
        <v>14689</v>
      </c>
      <c r="H214" s="333">
        <v>17774</v>
      </c>
    </row>
    <row r="215" spans="1:8">
      <c r="A215" s="317">
        <v>2600301089</v>
      </c>
      <c r="B215" s="317" t="s">
        <v>44585</v>
      </c>
      <c r="C215" s="330" t="s">
        <v>5012</v>
      </c>
      <c r="D215" s="330" t="s">
        <v>5013</v>
      </c>
      <c r="E215" s="330" t="s">
        <v>37248</v>
      </c>
      <c r="F215" s="331">
        <v>0.21</v>
      </c>
      <c r="G215" s="332">
        <v>1806</v>
      </c>
      <c r="H215" s="333">
        <v>2186</v>
      </c>
    </row>
    <row r="216" spans="1:8">
      <c r="A216" s="317">
        <v>2600500002</v>
      </c>
      <c r="B216" s="317" t="s">
        <v>44586</v>
      </c>
      <c r="C216" s="330" t="s">
        <v>5014</v>
      </c>
      <c r="D216" s="330" t="s">
        <v>5015</v>
      </c>
      <c r="E216" s="330" t="s">
        <v>37248</v>
      </c>
      <c r="F216" s="331">
        <v>0.21</v>
      </c>
      <c r="G216" s="332">
        <v>1019</v>
      </c>
      <c r="H216" s="333">
        <v>1233</v>
      </c>
    </row>
    <row r="217" spans="1:8">
      <c r="A217" s="317">
        <v>2600703013</v>
      </c>
      <c r="B217" s="317" t="s">
        <v>44587</v>
      </c>
      <c r="C217" s="330" t="s">
        <v>5016</v>
      </c>
      <c r="D217" s="330" t="s">
        <v>5017</v>
      </c>
      <c r="E217" s="330" t="s">
        <v>37248</v>
      </c>
      <c r="F217" s="331">
        <v>0.21</v>
      </c>
      <c r="G217" s="332">
        <v>2038</v>
      </c>
      <c r="H217" s="333">
        <v>2466</v>
      </c>
    </row>
    <row r="218" spans="1:8">
      <c r="A218" s="317">
        <v>2600707059</v>
      </c>
      <c r="B218" s="317" t="s">
        <v>44588</v>
      </c>
      <c r="C218" s="330" t="s">
        <v>5018</v>
      </c>
      <c r="D218" s="330" t="s">
        <v>5019</v>
      </c>
      <c r="E218" s="330" t="s">
        <v>37248</v>
      </c>
      <c r="F218" s="331">
        <v>0.21</v>
      </c>
      <c r="G218" s="332">
        <v>3167</v>
      </c>
      <c r="H218" s="333">
        <v>3833</v>
      </c>
    </row>
    <row r="219" spans="1:8">
      <c r="A219" s="317">
        <v>2600905017</v>
      </c>
      <c r="B219" s="317" t="s">
        <v>44589</v>
      </c>
      <c r="C219" s="330" t="s">
        <v>5020</v>
      </c>
      <c r="D219" s="330" t="s">
        <v>5021</v>
      </c>
      <c r="E219" s="330" t="s">
        <v>37248</v>
      </c>
      <c r="F219" s="331">
        <v>0.21</v>
      </c>
      <c r="G219" s="332">
        <v>13375</v>
      </c>
      <c r="H219" s="333">
        <v>16184</v>
      </c>
    </row>
    <row r="220" spans="1:8">
      <c r="A220" s="317">
        <v>2600905095</v>
      </c>
      <c r="B220" s="317" t="s">
        <v>44590</v>
      </c>
      <c r="C220" s="330" t="s">
        <v>5022</v>
      </c>
      <c r="D220" s="330" t="s">
        <v>5023</v>
      </c>
      <c r="E220" s="330" t="s">
        <v>37248</v>
      </c>
      <c r="F220" s="331">
        <v>0.21</v>
      </c>
      <c r="G220" s="332">
        <v>14807</v>
      </c>
      <c r="H220" s="333">
        <v>17917</v>
      </c>
    </row>
    <row r="221" spans="1:8">
      <c r="A221" s="317">
        <v>2600910001</v>
      </c>
      <c r="B221" s="317" t="s">
        <v>44591</v>
      </c>
      <c r="C221" s="330" t="s">
        <v>5024</v>
      </c>
      <c r="D221" s="330" t="s">
        <v>5025</v>
      </c>
      <c r="E221" s="330" t="s">
        <v>37248</v>
      </c>
      <c r="F221" s="331">
        <v>0.21</v>
      </c>
      <c r="G221" s="332">
        <v>6147</v>
      </c>
      <c r="H221" s="333">
        <v>7438</v>
      </c>
    </row>
    <row r="222" spans="1:8">
      <c r="A222" s="317">
        <v>2600910006</v>
      </c>
      <c r="B222" s="317" t="s">
        <v>44592</v>
      </c>
      <c r="C222" s="330" t="s">
        <v>5026</v>
      </c>
      <c r="D222" s="330" t="s">
        <v>5027</v>
      </c>
      <c r="E222" s="330" t="s">
        <v>37248</v>
      </c>
      <c r="F222" s="331">
        <v>0.21</v>
      </c>
      <c r="G222" s="332">
        <v>4814</v>
      </c>
      <c r="H222" s="333">
        <v>5825</v>
      </c>
    </row>
    <row r="223" spans="1:8">
      <c r="A223" s="317">
        <v>2601015047</v>
      </c>
      <c r="B223" s="317" t="s">
        <v>44593</v>
      </c>
      <c r="C223" s="330" t="s">
        <v>5028</v>
      </c>
      <c r="D223" s="330" t="s">
        <v>5029</v>
      </c>
      <c r="E223" s="330" t="s">
        <v>37248</v>
      </c>
      <c r="F223" s="331">
        <v>0.21</v>
      </c>
      <c r="G223" s="332">
        <v>889</v>
      </c>
      <c r="H223" s="333">
        <v>1076</v>
      </c>
    </row>
    <row r="224" spans="1:8">
      <c r="A224" s="317">
        <v>2601098037</v>
      </c>
      <c r="B224" s="317" t="s">
        <v>44594</v>
      </c>
      <c r="C224" s="330" t="s">
        <v>5030</v>
      </c>
      <c r="D224" s="330" t="s">
        <v>5031</v>
      </c>
      <c r="E224" s="330" t="s">
        <v>37248</v>
      </c>
      <c r="F224" s="331">
        <v>0.21</v>
      </c>
      <c r="G224" s="332">
        <v>6181</v>
      </c>
      <c r="H224" s="333">
        <v>7480</v>
      </c>
    </row>
    <row r="225" spans="1:8">
      <c r="A225" s="317">
        <v>2602033006</v>
      </c>
      <c r="B225" s="317" t="s">
        <v>44595</v>
      </c>
      <c r="C225" s="330" t="s">
        <v>5032</v>
      </c>
      <c r="D225" s="330" t="s">
        <v>5033</v>
      </c>
      <c r="E225" s="330" t="s">
        <v>37248</v>
      </c>
      <c r="F225" s="331">
        <v>0.21</v>
      </c>
      <c r="G225" s="332">
        <v>5371</v>
      </c>
      <c r="H225" s="333">
        <v>6499</v>
      </c>
    </row>
    <row r="226" spans="1:8">
      <c r="A226" s="317">
        <v>2603490018</v>
      </c>
      <c r="B226" s="317" t="s">
        <v>44596</v>
      </c>
      <c r="C226" s="330" t="s">
        <v>5034</v>
      </c>
      <c r="D226" s="330" t="s">
        <v>4658</v>
      </c>
      <c r="E226" s="330" t="s">
        <v>4819</v>
      </c>
      <c r="F226" s="331">
        <v>0.21</v>
      </c>
      <c r="G226" s="332">
        <v>1827</v>
      </c>
      <c r="H226" s="333">
        <v>2211</v>
      </c>
    </row>
    <row r="227" spans="1:8">
      <c r="A227" s="317">
        <v>2604321943</v>
      </c>
      <c r="B227" s="317" t="s">
        <v>44597</v>
      </c>
      <c r="C227" s="330" t="s">
        <v>5035</v>
      </c>
      <c r="D227" s="330" t="s">
        <v>5036</v>
      </c>
      <c r="E227" s="330" t="s">
        <v>37248</v>
      </c>
      <c r="F227" s="331">
        <v>0.21</v>
      </c>
      <c r="G227" s="332">
        <v>11557</v>
      </c>
      <c r="H227" s="333">
        <v>13984</v>
      </c>
    </row>
    <row r="228" spans="1:8">
      <c r="A228" s="317">
        <v>2604736010</v>
      </c>
      <c r="B228" s="317" t="s">
        <v>44598</v>
      </c>
      <c r="C228" s="330" t="s">
        <v>5037</v>
      </c>
      <c r="D228" s="330" t="s">
        <v>5038</v>
      </c>
      <c r="E228" s="330" t="s">
        <v>37248</v>
      </c>
      <c r="F228" s="331">
        <v>0.21</v>
      </c>
      <c r="G228" s="332">
        <v>12220</v>
      </c>
      <c r="H228" s="333">
        <v>14787</v>
      </c>
    </row>
    <row r="229" spans="1:8">
      <c r="A229" s="317">
        <v>2605703014</v>
      </c>
      <c r="B229" s="317" t="s">
        <v>44599</v>
      </c>
      <c r="C229" s="330" t="s">
        <v>5039</v>
      </c>
      <c r="D229" s="330" t="s">
        <v>5040</v>
      </c>
      <c r="E229" s="330" t="s">
        <v>37248</v>
      </c>
      <c r="F229" s="331">
        <v>0.21</v>
      </c>
      <c r="G229" s="332">
        <v>4030</v>
      </c>
      <c r="H229" s="333">
        <v>4877</v>
      </c>
    </row>
    <row r="230" spans="1:8">
      <c r="A230" s="317">
        <v>2607014013</v>
      </c>
      <c r="B230" s="317" t="s">
        <v>44600</v>
      </c>
      <c r="C230" s="330" t="s">
        <v>5041</v>
      </c>
      <c r="D230" s="330" t="s">
        <v>5042</v>
      </c>
      <c r="E230" s="330" t="s">
        <v>37248</v>
      </c>
      <c r="F230" s="331">
        <v>0.21</v>
      </c>
      <c r="G230" s="332">
        <v>5657</v>
      </c>
      <c r="H230" s="333">
        <v>6845</v>
      </c>
    </row>
    <row r="231" spans="1:8">
      <c r="A231" s="317">
        <v>2607200231</v>
      </c>
      <c r="B231" s="317" t="s">
        <v>44601</v>
      </c>
      <c r="C231" s="330" t="s">
        <v>5043</v>
      </c>
      <c r="D231" s="330" t="s">
        <v>5044</v>
      </c>
      <c r="E231" s="330" t="s">
        <v>37248</v>
      </c>
      <c r="F231" s="331">
        <v>0.21</v>
      </c>
      <c r="G231" s="332">
        <v>14198</v>
      </c>
      <c r="H231" s="333">
        <v>17180</v>
      </c>
    </row>
    <row r="232" spans="1:8">
      <c r="A232" s="317">
        <v>2607200586</v>
      </c>
      <c r="B232" s="317" t="s">
        <v>44602</v>
      </c>
      <c r="C232" s="330" t="s">
        <v>5045</v>
      </c>
      <c r="D232" s="330" t="s">
        <v>5046</v>
      </c>
      <c r="E232" s="330" t="s">
        <v>37248</v>
      </c>
      <c r="F232" s="331">
        <v>0.21</v>
      </c>
      <c r="G232" s="332">
        <v>23871</v>
      </c>
      <c r="H232" s="333">
        <v>28884</v>
      </c>
    </row>
    <row r="233" spans="1:8">
      <c r="A233" s="317">
        <v>2607200623</v>
      </c>
      <c r="B233" s="317" t="s">
        <v>44603</v>
      </c>
      <c r="C233" s="330" t="s">
        <v>5047</v>
      </c>
      <c r="D233" s="330" t="s">
        <v>5048</v>
      </c>
      <c r="E233" s="330" t="s">
        <v>37248</v>
      </c>
      <c r="F233" s="331">
        <v>0.21</v>
      </c>
      <c r="G233" s="332">
        <v>15340</v>
      </c>
      <c r="H233" s="333">
        <v>18562</v>
      </c>
    </row>
    <row r="234" spans="1:8">
      <c r="A234" s="317">
        <v>2607202330</v>
      </c>
      <c r="B234" s="317" t="s">
        <v>44604</v>
      </c>
      <c r="C234" s="330" t="s">
        <v>5049</v>
      </c>
      <c r="D234" s="330" t="s">
        <v>5050</v>
      </c>
      <c r="E234" s="330" t="s">
        <v>37248</v>
      </c>
      <c r="F234" s="331">
        <v>0.21</v>
      </c>
      <c r="G234" s="332">
        <v>27353</v>
      </c>
      <c r="H234" s="333">
        <v>33098</v>
      </c>
    </row>
    <row r="235" spans="1:8">
      <c r="A235" s="317">
        <v>2607225941</v>
      </c>
      <c r="B235" s="317" t="s">
        <v>44605</v>
      </c>
      <c r="C235" s="330" t="s">
        <v>5051</v>
      </c>
      <c r="D235" s="330" t="s">
        <v>5052</v>
      </c>
      <c r="E235" s="330" t="s">
        <v>37248</v>
      </c>
      <c r="F235" s="331">
        <v>0.21</v>
      </c>
      <c r="G235" s="332">
        <v>78590</v>
      </c>
      <c r="H235" s="333">
        <v>95094</v>
      </c>
    </row>
    <row r="236" spans="1:8">
      <c r="A236" s="317">
        <v>2607226205</v>
      </c>
      <c r="B236" s="317" t="s">
        <v>44606</v>
      </c>
      <c r="C236" s="330" t="s">
        <v>5053</v>
      </c>
      <c r="D236" s="330" t="s">
        <v>5054</v>
      </c>
      <c r="E236" s="330" t="s">
        <v>37248</v>
      </c>
      <c r="F236" s="331">
        <v>0.21</v>
      </c>
      <c r="G236" s="332">
        <v>40459</v>
      </c>
      <c r="H236" s="333">
        <v>48956</v>
      </c>
    </row>
    <row r="237" spans="1:8">
      <c r="A237" s="317">
        <v>2607226299</v>
      </c>
      <c r="B237" s="317" t="s">
        <v>44607</v>
      </c>
      <c r="C237" s="330" t="s">
        <v>5055</v>
      </c>
      <c r="D237" s="330" t="s">
        <v>5054</v>
      </c>
      <c r="E237" s="330" t="s">
        <v>4623</v>
      </c>
      <c r="F237" s="331">
        <v>0.21</v>
      </c>
      <c r="G237" s="332">
        <v>57056</v>
      </c>
      <c r="H237" s="333">
        <v>69038</v>
      </c>
    </row>
    <row r="238" spans="1:8">
      <c r="A238" s="317">
        <v>2608601106</v>
      </c>
      <c r="B238" s="317" t="s">
        <v>44608</v>
      </c>
      <c r="C238" s="330" t="s">
        <v>5056</v>
      </c>
      <c r="D238" s="330" t="s">
        <v>5057</v>
      </c>
      <c r="E238" s="330" t="s">
        <v>37248</v>
      </c>
      <c r="F238" s="331">
        <v>0.21</v>
      </c>
      <c r="G238" s="332">
        <v>12079</v>
      </c>
      <c r="H238" s="333">
        <v>14616</v>
      </c>
    </row>
    <row r="239" spans="1:8">
      <c r="A239" s="317">
        <v>2609000116</v>
      </c>
      <c r="B239" s="317" t="s">
        <v>44609</v>
      </c>
      <c r="C239" s="330" t="s">
        <v>5058</v>
      </c>
      <c r="D239" s="330" t="s">
        <v>5059</v>
      </c>
      <c r="E239" s="330" t="s">
        <v>37248</v>
      </c>
      <c r="F239" s="331">
        <v>0.21</v>
      </c>
      <c r="G239" s="332">
        <v>4463</v>
      </c>
      <c r="H239" s="333">
        <v>5401</v>
      </c>
    </row>
    <row r="240" spans="1:8">
      <c r="A240" s="317">
        <v>2609003138</v>
      </c>
      <c r="B240" s="317" t="s">
        <v>44610</v>
      </c>
      <c r="C240" s="330" t="s">
        <v>5060</v>
      </c>
      <c r="D240" s="330" t="s">
        <v>5061</v>
      </c>
      <c r="E240" s="330" t="s">
        <v>37248</v>
      </c>
      <c r="F240" s="331">
        <v>0.21</v>
      </c>
      <c r="G240" s="332">
        <v>53618</v>
      </c>
      <c r="H240" s="333">
        <v>64878</v>
      </c>
    </row>
    <row r="241" spans="1:8">
      <c r="A241" s="317">
        <v>2609110149</v>
      </c>
      <c r="B241" s="317" t="s">
        <v>44611</v>
      </c>
      <c r="C241" s="330" t="s">
        <v>5062</v>
      </c>
      <c r="D241" s="330" t="s">
        <v>5063</v>
      </c>
      <c r="E241" s="330" t="s">
        <v>37248</v>
      </c>
      <c r="F241" s="331">
        <v>0.21</v>
      </c>
      <c r="G241" s="332">
        <v>7829</v>
      </c>
      <c r="H241" s="333">
        <v>9474</v>
      </c>
    </row>
    <row r="242" spans="1:8">
      <c r="A242" s="317">
        <v>2609110150</v>
      </c>
      <c r="B242" s="317" t="s">
        <v>44612</v>
      </c>
      <c r="C242" s="330" t="s">
        <v>5064</v>
      </c>
      <c r="D242" s="330" t="s">
        <v>5065</v>
      </c>
      <c r="E242" s="330" t="s">
        <v>37248</v>
      </c>
      <c r="F242" s="331">
        <v>0.21</v>
      </c>
      <c r="G242" s="332">
        <v>11684</v>
      </c>
      <c r="H242" s="333">
        <v>14138</v>
      </c>
    </row>
    <row r="243" spans="1:8">
      <c r="A243" s="317">
        <v>2609110491</v>
      </c>
      <c r="B243" s="317" t="s">
        <v>44613</v>
      </c>
      <c r="C243" s="330" t="s">
        <v>5066</v>
      </c>
      <c r="D243" s="330" t="s">
        <v>5067</v>
      </c>
      <c r="E243" s="330" t="s">
        <v>37248</v>
      </c>
      <c r="F243" s="331">
        <v>0.21</v>
      </c>
      <c r="G243" s="332">
        <v>4216</v>
      </c>
      <c r="H243" s="333">
        <v>5102</v>
      </c>
    </row>
    <row r="244" spans="1:8">
      <c r="A244" s="317">
        <v>2609111225</v>
      </c>
      <c r="B244" s="317" t="s">
        <v>44614</v>
      </c>
      <c r="C244" s="330" t="s">
        <v>5068</v>
      </c>
      <c r="D244" s="330" t="s">
        <v>5069</v>
      </c>
      <c r="E244" s="330" t="s">
        <v>37248</v>
      </c>
      <c r="F244" s="331">
        <v>0.21</v>
      </c>
      <c r="G244" s="332">
        <v>35022</v>
      </c>
      <c r="H244" s="333">
        <v>42377</v>
      </c>
    </row>
    <row r="245" spans="1:8">
      <c r="A245" s="317">
        <v>2609120199</v>
      </c>
      <c r="B245" s="317" t="s">
        <v>44615</v>
      </c>
      <c r="C245" s="330" t="s">
        <v>5070</v>
      </c>
      <c r="D245" s="330" t="s">
        <v>5071</v>
      </c>
      <c r="E245" s="330" t="s">
        <v>37248</v>
      </c>
      <c r="F245" s="331">
        <v>0.21</v>
      </c>
      <c r="G245" s="332">
        <v>10950</v>
      </c>
      <c r="H245" s="333">
        <v>13250</v>
      </c>
    </row>
    <row r="246" spans="1:8">
      <c r="A246" s="317">
        <v>2609199295</v>
      </c>
      <c r="B246" s="317" t="s">
        <v>44616</v>
      </c>
      <c r="C246" s="330" t="s">
        <v>5072</v>
      </c>
      <c r="D246" s="330" t="s">
        <v>5073</v>
      </c>
      <c r="E246" s="330" t="s">
        <v>37248</v>
      </c>
      <c r="F246" s="331">
        <v>0.21</v>
      </c>
      <c r="G246" s="332">
        <v>87455</v>
      </c>
      <c r="H246" s="333">
        <v>105821</v>
      </c>
    </row>
    <row r="247" spans="1:8">
      <c r="A247" s="317">
        <v>2609199428</v>
      </c>
      <c r="B247" s="317" t="s">
        <v>44617</v>
      </c>
      <c r="C247" s="330" t="s">
        <v>5074</v>
      </c>
      <c r="D247" s="330" t="s">
        <v>5075</v>
      </c>
      <c r="E247" s="330" t="s">
        <v>37248</v>
      </c>
      <c r="F247" s="331">
        <v>0.21</v>
      </c>
      <c r="G247" s="332">
        <v>15641</v>
      </c>
      <c r="H247" s="333">
        <v>18926</v>
      </c>
    </row>
    <row r="248" spans="1:8">
      <c r="A248" s="317">
        <v>2610003445</v>
      </c>
      <c r="B248" s="317" t="s">
        <v>44618</v>
      </c>
      <c r="C248" s="330" t="s">
        <v>5076</v>
      </c>
      <c r="D248" s="330" t="s">
        <v>5077</v>
      </c>
      <c r="E248" s="330" t="s">
        <v>37248</v>
      </c>
      <c r="F248" s="331">
        <v>0.21</v>
      </c>
      <c r="G248" s="332">
        <v>37677</v>
      </c>
      <c r="H248" s="333">
        <v>45590</v>
      </c>
    </row>
    <row r="249" spans="1:8">
      <c r="A249" s="317">
        <v>2610005646</v>
      </c>
      <c r="B249" s="317" t="s">
        <v>44619</v>
      </c>
      <c r="C249" s="330" t="s">
        <v>5078</v>
      </c>
      <c r="D249" s="330" t="s">
        <v>5079</v>
      </c>
      <c r="E249" s="330" t="s">
        <v>37248</v>
      </c>
      <c r="F249" s="331">
        <v>0.21</v>
      </c>
      <c r="G249" s="332">
        <v>8882</v>
      </c>
      <c r="H249" s="333">
        <v>10748</v>
      </c>
    </row>
    <row r="250" spans="1:8">
      <c r="A250" s="317">
        <v>2610009839</v>
      </c>
      <c r="B250" s="317" t="s">
        <v>44620</v>
      </c>
      <c r="C250" s="330" t="s">
        <v>5080</v>
      </c>
      <c r="D250" s="330" t="s">
        <v>5081</v>
      </c>
      <c r="E250" s="330" t="s">
        <v>37248</v>
      </c>
      <c r="F250" s="331">
        <v>0.21</v>
      </c>
      <c r="G250" s="332">
        <v>6866</v>
      </c>
      <c r="H250" s="333">
        <v>8308</v>
      </c>
    </row>
    <row r="251" spans="1:8">
      <c r="A251" s="317">
        <v>2610009848</v>
      </c>
      <c r="B251" s="317" t="s">
        <v>44621</v>
      </c>
      <c r="C251" s="330" t="s">
        <v>5082</v>
      </c>
      <c r="D251" s="330" t="s">
        <v>5083</v>
      </c>
      <c r="E251" s="330" t="s">
        <v>37248</v>
      </c>
      <c r="F251" s="331">
        <v>0.21</v>
      </c>
      <c r="G251" s="332">
        <v>24482</v>
      </c>
      <c r="H251" s="333">
        <v>29624</v>
      </c>
    </row>
    <row r="252" spans="1:8">
      <c r="A252" s="317">
        <v>2610021214</v>
      </c>
      <c r="B252" s="317" t="s">
        <v>44622</v>
      </c>
      <c r="C252" s="330" t="s">
        <v>5084</v>
      </c>
      <c r="D252" s="330" t="s">
        <v>5085</v>
      </c>
      <c r="E252" s="330" t="s">
        <v>37248</v>
      </c>
      <c r="F252" s="331">
        <v>0.21</v>
      </c>
      <c r="G252" s="332">
        <v>12110</v>
      </c>
      <c r="H252" s="333">
        <v>14654</v>
      </c>
    </row>
    <row r="253" spans="1:8">
      <c r="A253" s="317">
        <v>2610391290</v>
      </c>
      <c r="B253" s="317" t="s">
        <v>44623</v>
      </c>
      <c r="C253" s="330" t="s">
        <v>5086</v>
      </c>
      <c r="D253" s="330" t="s">
        <v>5087</v>
      </c>
      <c r="E253" s="330" t="s">
        <v>37248</v>
      </c>
      <c r="F253" s="331">
        <v>0.21</v>
      </c>
      <c r="G253" s="332">
        <v>7539</v>
      </c>
      <c r="H253" s="333">
        <v>9123</v>
      </c>
    </row>
    <row r="254" spans="1:8">
      <c r="A254" s="317">
        <v>2610394629</v>
      </c>
      <c r="B254" s="317" t="s">
        <v>44624</v>
      </c>
      <c r="C254" s="330" t="s">
        <v>5088</v>
      </c>
      <c r="D254" s="330" t="s">
        <v>5089</v>
      </c>
      <c r="E254" s="330" t="s">
        <v>37248</v>
      </c>
      <c r="F254" s="331">
        <v>0.21</v>
      </c>
      <c r="G254" s="332">
        <v>9801</v>
      </c>
      <c r="H254" s="333">
        <v>11860</v>
      </c>
    </row>
    <row r="255" spans="1:8">
      <c r="A255" s="317">
        <v>2610395437</v>
      </c>
      <c r="B255" s="317" t="s">
        <v>44625</v>
      </c>
      <c r="C255" s="330" t="s">
        <v>5090</v>
      </c>
      <c r="D255" s="330" t="s">
        <v>5091</v>
      </c>
      <c r="E255" s="330" t="s">
        <v>37248</v>
      </c>
      <c r="F255" s="331">
        <v>0.21</v>
      </c>
      <c r="G255" s="332">
        <v>3725</v>
      </c>
      <c r="H255" s="333">
        <v>4508</v>
      </c>
    </row>
    <row r="256" spans="1:8">
      <c r="A256" s="317">
        <v>2610395443</v>
      </c>
      <c r="B256" s="317" t="s">
        <v>44626</v>
      </c>
      <c r="C256" s="330" t="s">
        <v>5092</v>
      </c>
      <c r="D256" s="330" t="s">
        <v>5093</v>
      </c>
      <c r="E256" s="330" t="s">
        <v>37248</v>
      </c>
      <c r="F256" s="331">
        <v>0.21</v>
      </c>
      <c r="G256" s="332">
        <v>4220</v>
      </c>
      <c r="H256" s="333">
        <v>5107</v>
      </c>
    </row>
    <row r="257" spans="1:8">
      <c r="A257" s="317">
        <v>2610395787</v>
      </c>
      <c r="B257" s="317" t="s">
        <v>44627</v>
      </c>
      <c r="C257" s="330" t="s">
        <v>5094</v>
      </c>
      <c r="D257" s="330" t="s">
        <v>5095</v>
      </c>
      <c r="E257" s="330" t="s">
        <v>37248</v>
      </c>
      <c r="F257" s="331">
        <v>0.21</v>
      </c>
      <c r="G257" s="332">
        <v>11504</v>
      </c>
      <c r="H257" s="333">
        <v>13920</v>
      </c>
    </row>
    <row r="258" spans="1:8">
      <c r="A258" s="317">
        <v>2610395790</v>
      </c>
      <c r="B258" s="317" t="s">
        <v>44628</v>
      </c>
      <c r="C258" s="330" t="s">
        <v>5096</v>
      </c>
      <c r="D258" s="330" t="s">
        <v>5097</v>
      </c>
      <c r="E258" s="330" t="s">
        <v>37248</v>
      </c>
      <c r="F258" s="331">
        <v>0.21</v>
      </c>
      <c r="G258" s="332">
        <v>5514</v>
      </c>
      <c r="H258" s="333">
        <v>6672</v>
      </c>
    </row>
    <row r="259" spans="1:8">
      <c r="A259" s="317">
        <v>2610395801</v>
      </c>
      <c r="B259" s="317" t="s">
        <v>44629</v>
      </c>
      <c r="C259" s="330" t="s">
        <v>5098</v>
      </c>
      <c r="D259" s="330" t="s">
        <v>5099</v>
      </c>
      <c r="E259" s="330" t="s">
        <v>37248</v>
      </c>
      <c r="F259" s="331">
        <v>0.21</v>
      </c>
      <c r="G259" s="332">
        <v>20552</v>
      </c>
      <c r="H259" s="333">
        <v>24868</v>
      </c>
    </row>
    <row r="260" spans="1:8">
      <c r="A260" s="317">
        <v>2610398582</v>
      </c>
      <c r="B260" s="317" t="s">
        <v>44630</v>
      </c>
      <c r="C260" s="330" t="s">
        <v>5100</v>
      </c>
      <c r="D260" s="330" t="s">
        <v>5101</v>
      </c>
      <c r="E260" s="330" t="s">
        <v>37248</v>
      </c>
      <c r="F260" s="331">
        <v>0.21</v>
      </c>
      <c r="G260" s="332">
        <v>3841</v>
      </c>
      <c r="H260" s="333">
        <v>4648</v>
      </c>
    </row>
    <row r="261" spans="1:8">
      <c r="A261" s="317">
        <v>2610398584</v>
      </c>
      <c r="B261" s="317" t="s">
        <v>44631</v>
      </c>
      <c r="C261" s="330" t="s">
        <v>5102</v>
      </c>
      <c r="D261" s="330" t="s">
        <v>5103</v>
      </c>
      <c r="E261" s="330" t="s">
        <v>37248</v>
      </c>
      <c r="F261" s="331">
        <v>0.21</v>
      </c>
      <c r="G261" s="332">
        <v>6984</v>
      </c>
      <c r="H261" s="333">
        <v>8451</v>
      </c>
    </row>
    <row r="262" spans="1:8">
      <c r="A262" s="317">
        <v>2610399703</v>
      </c>
      <c r="B262" s="317" t="s">
        <v>44632</v>
      </c>
      <c r="C262" s="330" t="s">
        <v>5104</v>
      </c>
      <c r="D262" s="330" t="s">
        <v>5105</v>
      </c>
      <c r="E262" s="330" t="s">
        <v>37248</v>
      </c>
      <c r="F262" s="331">
        <v>0.21</v>
      </c>
      <c r="G262" s="332">
        <v>4300</v>
      </c>
      <c r="H262" s="333">
        <v>5203</v>
      </c>
    </row>
    <row r="263" spans="1:8">
      <c r="A263" s="317">
        <v>2610912847</v>
      </c>
      <c r="B263" s="317" t="s">
        <v>44633</v>
      </c>
      <c r="C263" s="330" t="s">
        <v>5106</v>
      </c>
      <c r="D263" s="330" t="s">
        <v>5107</v>
      </c>
      <c r="E263" s="330" t="s">
        <v>37248</v>
      </c>
      <c r="F263" s="331">
        <v>0.21</v>
      </c>
      <c r="G263" s="332">
        <v>15285</v>
      </c>
      <c r="H263" s="333">
        <v>18495</v>
      </c>
    </row>
    <row r="264" spans="1:8">
      <c r="A264" s="317">
        <v>2610924701</v>
      </c>
      <c r="B264" s="317" t="s">
        <v>44634</v>
      </c>
      <c r="C264" s="330" t="s">
        <v>5108</v>
      </c>
      <c r="D264" s="330" t="s">
        <v>5109</v>
      </c>
      <c r="E264" s="330" t="s">
        <v>37248</v>
      </c>
      <c r="F264" s="331">
        <v>0.21</v>
      </c>
      <c r="G264" s="332">
        <v>10116</v>
      </c>
      <c r="H264" s="333">
        <v>12241</v>
      </c>
    </row>
    <row r="265" spans="1:8">
      <c r="A265" s="317">
        <v>2610924724</v>
      </c>
      <c r="B265" s="317" t="s">
        <v>44635</v>
      </c>
      <c r="C265" s="330" t="s">
        <v>5110</v>
      </c>
      <c r="D265" s="330" t="s">
        <v>5111</v>
      </c>
      <c r="E265" s="330" t="s">
        <v>37248</v>
      </c>
      <c r="F265" s="331">
        <v>0.21</v>
      </c>
      <c r="G265" s="332">
        <v>21827</v>
      </c>
      <c r="H265" s="333">
        <v>26411</v>
      </c>
    </row>
    <row r="266" spans="1:8">
      <c r="A266" s="317">
        <v>2610941201</v>
      </c>
      <c r="B266" s="317" t="s">
        <v>44636</v>
      </c>
      <c r="C266" s="330" t="s">
        <v>5112</v>
      </c>
      <c r="D266" s="330" t="s">
        <v>5113</v>
      </c>
      <c r="E266" s="330" t="s">
        <v>37248</v>
      </c>
      <c r="F266" s="331">
        <v>0.21</v>
      </c>
      <c r="G266" s="332">
        <v>26390</v>
      </c>
      <c r="H266" s="333">
        <v>31932</v>
      </c>
    </row>
    <row r="267" spans="1:8">
      <c r="A267" s="317">
        <v>2610956917</v>
      </c>
      <c r="B267" s="317" t="s">
        <v>44637</v>
      </c>
      <c r="C267" s="330" t="s">
        <v>5114</v>
      </c>
      <c r="D267" s="330" t="s">
        <v>5115</v>
      </c>
      <c r="E267" s="330" t="s">
        <v>37248</v>
      </c>
      <c r="F267" s="331">
        <v>0.21</v>
      </c>
      <c r="G267" s="332">
        <v>4771</v>
      </c>
      <c r="H267" s="333">
        <v>5773</v>
      </c>
    </row>
    <row r="268" spans="1:8">
      <c r="A268" s="317" t="s">
        <v>37373</v>
      </c>
      <c r="B268" s="317" t="s">
        <v>44638</v>
      </c>
      <c r="C268" s="330" t="s">
        <v>5116</v>
      </c>
      <c r="D268" s="330" t="s">
        <v>5117</v>
      </c>
      <c r="E268" s="330" t="s">
        <v>4634</v>
      </c>
      <c r="F268" s="331">
        <v>0.21</v>
      </c>
      <c r="G268" s="332">
        <v>3368</v>
      </c>
      <c r="H268" s="333">
        <v>4076</v>
      </c>
    </row>
    <row r="269" spans="1:8">
      <c r="A269" s="317">
        <v>2615298790</v>
      </c>
      <c r="B269" s="317" t="s">
        <v>44639</v>
      </c>
      <c r="C269" s="330" t="s">
        <v>5118</v>
      </c>
      <c r="D269" s="330" t="s">
        <v>5119</v>
      </c>
      <c r="E269" s="330" t="s">
        <v>37248</v>
      </c>
      <c r="F269" s="331">
        <v>0.21</v>
      </c>
      <c r="G269" s="332">
        <v>5164</v>
      </c>
      <c r="H269" s="333">
        <v>6249</v>
      </c>
    </row>
    <row r="270" spans="1:8">
      <c r="A270" s="317">
        <v>2615298792</v>
      </c>
      <c r="B270" s="317" t="s">
        <v>44640</v>
      </c>
      <c r="C270" s="330" t="s">
        <v>5120</v>
      </c>
      <c r="D270" s="330" t="s">
        <v>5121</v>
      </c>
      <c r="E270" s="330" t="s">
        <v>37248</v>
      </c>
      <c r="F270" s="331">
        <v>0.21</v>
      </c>
      <c r="G270" s="332">
        <v>18394</v>
      </c>
      <c r="H270" s="333">
        <v>22257</v>
      </c>
    </row>
    <row r="271" spans="1:8">
      <c r="A271" s="317">
        <v>2914550034</v>
      </c>
      <c r="B271" s="317" t="s">
        <v>44641</v>
      </c>
      <c r="C271" s="330" t="s">
        <v>5122</v>
      </c>
      <c r="D271" s="330" t="s">
        <v>5123</v>
      </c>
      <c r="E271" s="330" t="s">
        <v>37248</v>
      </c>
      <c r="F271" s="331">
        <v>0.21</v>
      </c>
      <c r="G271" s="332">
        <v>6482</v>
      </c>
      <c r="H271" s="333">
        <v>7844</v>
      </c>
    </row>
    <row r="272" spans="1:8">
      <c r="A272" s="317">
        <v>2916160010</v>
      </c>
      <c r="B272" s="317" t="s">
        <v>44642</v>
      </c>
      <c r="C272" s="330" t="s">
        <v>5124</v>
      </c>
      <c r="D272" s="330" t="s">
        <v>5125</v>
      </c>
      <c r="E272" s="330" t="s">
        <v>37248</v>
      </c>
      <c r="F272" s="331">
        <v>0.21</v>
      </c>
      <c r="G272" s="332">
        <v>4118</v>
      </c>
      <c r="H272" s="333">
        <v>4983</v>
      </c>
    </row>
    <row r="273" spans="1:8">
      <c r="A273" s="317">
        <v>2916540017</v>
      </c>
      <c r="B273" s="317" t="s">
        <v>44643</v>
      </c>
      <c r="C273" s="330" t="s">
        <v>5126</v>
      </c>
      <c r="D273" s="330" t="s">
        <v>5127</v>
      </c>
      <c r="E273" s="330" t="s">
        <v>37248</v>
      </c>
      <c r="F273" s="331">
        <v>0.21</v>
      </c>
      <c r="G273" s="332">
        <v>2159</v>
      </c>
      <c r="H273" s="333">
        <v>2613</v>
      </c>
    </row>
    <row r="274" spans="1:8">
      <c r="A274" s="317">
        <v>3606337242</v>
      </c>
      <c r="B274" s="317" t="s">
        <v>44644</v>
      </c>
      <c r="C274" s="330" t="s">
        <v>5128</v>
      </c>
      <c r="D274" s="330" t="s">
        <v>5129</v>
      </c>
      <c r="E274" s="330" t="s">
        <v>37248</v>
      </c>
      <c r="F274" s="331">
        <v>0.21</v>
      </c>
      <c r="G274" s="332">
        <v>6181</v>
      </c>
      <c r="H274" s="333">
        <v>7480</v>
      </c>
    </row>
    <row r="275" spans="1:8">
      <c r="A275" s="317">
        <v>3606445047</v>
      </c>
      <c r="B275" s="317" t="s">
        <v>44645</v>
      </c>
      <c r="C275" s="330" t="s">
        <v>5130</v>
      </c>
      <c r="D275" s="330" t="s">
        <v>5131</v>
      </c>
      <c r="E275" s="330" t="s">
        <v>37248</v>
      </c>
      <c r="F275" s="331">
        <v>0.21</v>
      </c>
      <c r="G275" s="332">
        <v>19532</v>
      </c>
      <c r="H275" s="333">
        <v>23634</v>
      </c>
    </row>
    <row r="276" spans="1:8">
      <c r="A276" s="317">
        <v>9618086698</v>
      </c>
      <c r="B276" s="317" t="s">
        <v>44646</v>
      </c>
      <c r="C276" s="330" t="s">
        <v>5132</v>
      </c>
      <c r="D276" s="330" t="s">
        <v>5133</v>
      </c>
      <c r="E276" s="330" t="s">
        <v>37248</v>
      </c>
      <c r="F276" s="331">
        <v>0.21</v>
      </c>
      <c r="G276" s="332">
        <v>2007</v>
      </c>
      <c r="H276" s="333">
        <v>2429</v>
      </c>
    </row>
    <row r="277" spans="1:8">
      <c r="A277" s="317">
        <v>9618086703</v>
      </c>
      <c r="B277" s="317" t="s">
        <v>44647</v>
      </c>
      <c r="C277" s="330" t="s">
        <v>5134</v>
      </c>
      <c r="D277" s="330" t="s">
        <v>5135</v>
      </c>
      <c r="E277" s="330" t="s">
        <v>37248</v>
      </c>
      <c r="F277" s="331">
        <v>0.21</v>
      </c>
      <c r="G277" s="332">
        <v>10218</v>
      </c>
      <c r="H277" s="333">
        <v>12364</v>
      </c>
    </row>
    <row r="278" spans="1:8">
      <c r="A278" s="317">
        <v>9618086834</v>
      </c>
      <c r="B278" s="317" t="s">
        <v>44648</v>
      </c>
      <c r="C278" s="330" t="s">
        <v>5136</v>
      </c>
      <c r="D278" s="330" t="s">
        <v>5137</v>
      </c>
      <c r="E278" s="330" t="s">
        <v>37248</v>
      </c>
      <c r="F278" s="331">
        <v>0.21</v>
      </c>
      <c r="G278" s="332">
        <v>8182</v>
      </c>
      <c r="H278" s="333">
        <v>9901</v>
      </c>
    </row>
    <row r="279" spans="1:8">
      <c r="A279" s="317" t="s">
        <v>37374</v>
      </c>
      <c r="B279" s="317" t="s">
        <v>44649</v>
      </c>
      <c r="C279" s="330" t="s">
        <v>5138</v>
      </c>
      <c r="D279" s="330" t="s">
        <v>5139</v>
      </c>
      <c r="E279" s="330" t="s">
        <v>37248</v>
      </c>
      <c r="F279" s="331">
        <v>0.21</v>
      </c>
      <c r="G279" s="332">
        <v>10946</v>
      </c>
      <c r="H279" s="333">
        <v>13245</v>
      </c>
    </row>
    <row r="280" spans="1:8">
      <c r="A280" s="317" t="s">
        <v>37375</v>
      </c>
      <c r="B280" s="317" t="s">
        <v>44650</v>
      </c>
      <c r="C280" s="330" t="s">
        <v>5140</v>
      </c>
      <c r="D280" s="330" t="s">
        <v>5141</v>
      </c>
      <c r="E280" s="330" t="s">
        <v>4634</v>
      </c>
      <c r="F280" s="331">
        <v>0.21</v>
      </c>
      <c r="G280" s="332">
        <v>12117</v>
      </c>
      <c r="H280" s="333">
        <v>14662</v>
      </c>
    </row>
    <row r="281" spans="1:8">
      <c r="A281" s="317" t="s">
        <v>37376</v>
      </c>
      <c r="B281" s="317" t="s">
        <v>44651</v>
      </c>
      <c r="C281" s="330" t="s">
        <v>5142</v>
      </c>
      <c r="D281" s="330" t="s">
        <v>5143</v>
      </c>
      <c r="E281" s="330" t="s">
        <v>37248</v>
      </c>
      <c r="F281" s="331">
        <v>0.21</v>
      </c>
      <c r="G281" s="332">
        <v>18588</v>
      </c>
      <c r="H281" s="333">
        <v>22492</v>
      </c>
    </row>
    <row r="282" spans="1:8">
      <c r="A282" s="317" t="s">
        <v>37377</v>
      </c>
      <c r="B282" s="317" t="s">
        <v>44652</v>
      </c>
      <c r="C282" s="330" t="s">
        <v>5144</v>
      </c>
      <c r="D282" s="330" t="s">
        <v>5145</v>
      </c>
      <c r="E282" s="330" t="s">
        <v>37248</v>
      </c>
      <c r="F282" s="331">
        <v>0.21</v>
      </c>
      <c r="G282" s="332">
        <v>1657</v>
      </c>
      <c r="H282" s="333">
        <v>2005</v>
      </c>
    </row>
    <row r="283" spans="1:8">
      <c r="A283" s="317" t="s">
        <v>37378</v>
      </c>
      <c r="B283" s="317" t="s">
        <v>44653</v>
      </c>
      <c r="C283" s="330" t="s">
        <v>5146</v>
      </c>
      <c r="D283" s="330" t="s">
        <v>5147</v>
      </c>
      <c r="E283" s="330" t="s">
        <v>37248</v>
      </c>
      <c r="F283" s="331">
        <v>0.21</v>
      </c>
      <c r="G283" s="332">
        <v>1684</v>
      </c>
      <c r="H283" s="333">
        <v>2038</v>
      </c>
    </row>
    <row r="284" spans="1:8">
      <c r="A284" s="317" t="s">
        <v>37379</v>
      </c>
      <c r="B284" s="317" t="s">
        <v>44654</v>
      </c>
      <c r="C284" s="330" t="s">
        <v>5148</v>
      </c>
      <c r="D284" s="330" t="s">
        <v>5149</v>
      </c>
      <c r="E284" s="330" t="s">
        <v>37248</v>
      </c>
      <c r="F284" s="331">
        <v>0.21</v>
      </c>
      <c r="G284" s="332">
        <v>4327</v>
      </c>
      <c r="H284" s="333">
        <v>5236</v>
      </c>
    </row>
    <row r="285" spans="1:8">
      <c r="A285" s="317" t="s">
        <v>37380</v>
      </c>
      <c r="B285" s="317" t="s">
        <v>44655</v>
      </c>
      <c r="C285" s="330" t="s">
        <v>5150</v>
      </c>
      <c r="D285" s="330" t="s">
        <v>5151</v>
      </c>
      <c r="E285" s="330" t="s">
        <v>37248</v>
      </c>
      <c r="F285" s="331">
        <v>0.21</v>
      </c>
      <c r="G285" s="332">
        <v>35299</v>
      </c>
      <c r="H285" s="333">
        <v>42712</v>
      </c>
    </row>
    <row r="286" spans="1:8">
      <c r="A286" s="317" t="s">
        <v>37381</v>
      </c>
      <c r="B286" s="317" t="s">
        <v>44656</v>
      </c>
      <c r="C286" s="330" t="s">
        <v>5152</v>
      </c>
      <c r="D286" s="330" t="s">
        <v>5153</v>
      </c>
      <c r="E286" s="330" t="s">
        <v>37248</v>
      </c>
      <c r="F286" s="331">
        <v>0.21</v>
      </c>
      <c r="G286" s="332">
        <v>50580</v>
      </c>
      <c r="H286" s="333">
        <v>61202</v>
      </c>
    </row>
    <row r="287" spans="1:8">
      <c r="A287" s="317" t="s">
        <v>37382</v>
      </c>
      <c r="B287" s="317" t="s">
        <v>44657</v>
      </c>
      <c r="C287" s="330" t="s">
        <v>5154</v>
      </c>
      <c r="D287" s="330" t="s">
        <v>5155</v>
      </c>
      <c r="E287" s="330" t="s">
        <v>37248</v>
      </c>
      <c r="F287" s="331">
        <v>0.21</v>
      </c>
      <c r="G287" s="332">
        <v>23762</v>
      </c>
      <c r="H287" s="333">
        <v>28753</v>
      </c>
    </row>
    <row r="288" spans="1:8">
      <c r="A288" s="317" t="s">
        <v>37383</v>
      </c>
      <c r="B288" s="317" t="s">
        <v>44658</v>
      </c>
      <c r="C288" s="330" t="s">
        <v>5156</v>
      </c>
      <c r="D288" s="330" t="s">
        <v>5157</v>
      </c>
      <c r="E288" s="330" t="s">
        <v>37248</v>
      </c>
      <c r="F288" s="331">
        <v>0.21</v>
      </c>
      <c r="G288" s="332">
        <v>50520</v>
      </c>
      <c r="H288" s="333">
        <v>61130</v>
      </c>
    </row>
    <row r="289" spans="1:8">
      <c r="A289" s="317" t="s">
        <v>37384</v>
      </c>
      <c r="B289" s="317" t="s">
        <v>44659</v>
      </c>
      <c r="C289" s="330" t="s">
        <v>5158</v>
      </c>
      <c r="D289" s="330" t="s">
        <v>5159</v>
      </c>
      <c r="E289" s="330" t="s">
        <v>37248</v>
      </c>
      <c r="F289" s="331">
        <v>0.21</v>
      </c>
      <c r="G289" s="332">
        <v>55258</v>
      </c>
      <c r="H289" s="333">
        <v>66863</v>
      </c>
    </row>
    <row r="290" spans="1:8">
      <c r="A290" s="317" t="s">
        <v>37385</v>
      </c>
      <c r="B290" s="317" t="s">
        <v>44660</v>
      </c>
      <c r="C290" s="330" t="s">
        <v>5160</v>
      </c>
      <c r="D290" s="330" t="s">
        <v>5161</v>
      </c>
      <c r="E290" s="330" t="s">
        <v>37248</v>
      </c>
      <c r="F290" s="331">
        <v>0.21</v>
      </c>
      <c r="G290" s="332">
        <v>49277</v>
      </c>
      <c r="H290" s="333">
        <v>59626</v>
      </c>
    </row>
    <row r="291" spans="1:8">
      <c r="A291" s="317" t="s">
        <v>37386</v>
      </c>
      <c r="B291" s="317" t="s">
        <v>44661</v>
      </c>
      <c r="C291" s="330" t="s">
        <v>5162</v>
      </c>
      <c r="D291" s="330" t="s">
        <v>5163</v>
      </c>
      <c r="E291" s="330" t="s">
        <v>37248</v>
      </c>
      <c r="F291" s="331">
        <v>0.21</v>
      </c>
      <c r="G291" s="332">
        <v>69950</v>
      </c>
      <c r="H291" s="333">
        <v>84640</v>
      </c>
    </row>
    <row r="292" spans="1:8">
      <c r="A292" s="317" t="s">
        <v>37387</v>
      </c>
      <c r="B292" s="317" t="s">
        <v>44662</v>
      </c>
      <c r="C292" s="330" t="s">
        <v>5164</v>
      </c>
      <c r="D292" s="330" t="s">
        <v>5165</v>
      </c>
      <c r="E292" s="330" t="s">
        <v>37248</v>
      </c>
      <c r="F292" s="331">
        <v>0.21</v>
      </c>
      <c r="G292" s="332">
        <v>31676</v>
      </c>
      <c r="H292" s="333">
        <v>38328</v>
      </c>
    </row>
    <row r="293" spans="1:8">
      <c r="A293" s="317" t="s">
        <v>37388</v>
      </c>
      <c r="B293" s="317" t="s">
        <v>44663</v>
      </c>
      <c r="C293" s="330" t="s">
        <v>5166</v>
      </c>
      <c r="D293" s="330" t="s">
        <v>5167</v>
      </c>
      <c r="E293" s="330" t="s">
        <v>37248</v>
      </c>
      <c r="F293" s="331">
        <v>0.21</v>
      </c>
      <c r="G293" s="332">
        <v>113325</v>
      </c>
      <c r="H293" s="333">
        <v>137124</v>
      </c>
    </row>
    <row r="294" spans="1:8">
      <c r="A294" s="317" t="s">
        <v>37389</v>
      </c>
      <c r="B294" s="317" t="s">
        <v>44664</v>
      </c>
      <c r="C294" s="330" t="s">
        <v>5168</v>
      </c>
      <c r="D294" s="330" t="s">
        <v>5169</v>
      </c>
      <c r="E294" s="330" t="s">
        <v>37248</v>
      </c>
      <c r="F294" s="331">
        <v>0.21</v>
      </c>
      <c r="G294" s="332">
        <v>60369</v>
      </c>
      <c r="H294" s="333">
        <v>73047</v>
      </c>
    </row>
    <row r="295" spans="1:8">
      <c r="A295" s="317" t="s">
        <v>37390</v>
      </c>
      <c r="B295" s="317" t="s">
        <v>44665</v>
      </c>
      <c r="C295" s="330" t="s">
        <v>5170</v>
      </c>
      <c r="D295" s="330" t="s">
        <v>5171</v>
      </c>
      <c r="E295" s="330" t="s">
        <v>37248</v>
      </c>
      <c r="F295" s="331">
        <v>0.21</v>
      </c>
      <c r="G295" s="332">
        <v>32375</v>
      </c>
      <c r="H295" s="333">
        <v>39174</v>
      </c>
    </row>
    <row r="296" spans="1:8">
      <c r="A296" s="317" t="s">
        <v>37391</v>
      </c>
      <c r="B296" s="317" t="s">
        <v>44666</v>
      </c>
      <c r="C296" s="330" t="s">
        <v>5172</v>
      </c>
      <c r="D296" s="330" t="s">
        <v>5173</v>
      </c>
      <c r="E296" s="330" t="s">
        <v>37248</v>
      </c>
      <c r="F296" s="331">
        <v>0.21</v>
      </c>
      <c r="G296" s="332">
        <v>11793</v>
      </c>
      <c r="H296" s="333">
        <v>14270</v>
      </c>
    </row>
    <row r="297" spans="1:8">
      <c r="A297" s="317" t="s">
        <v>37392</v>
      </c>
      <c r="B297" s="317" t="s">
        <v>44667</v>
      </c>
      <c r="C297" s="330" t="s">
        <v>5174</v>
      </c>
      <c r="D297" s="330" t="s">
        <v>5175</v>
      </c>
      <c r="E297" s="330" t="s">
        <v>37248</v>
      </c>
      <c r="F297" s="331">
        <v>0.21</v>
      </c>
      <c r="G297" s="332">
        <v>19885</v>
      </c>
      <c r="H297" s="333">
        <v>24061</v>
      </c>
    </row>
    <row r="298" spans="1:8">
      <c r="A298" s="317" t="s">
        <v>37393</v>
      </c>
      <c r="B298" s="317" t="s">
        <v>44668</v>
      </c>
      <c r="C298" s="330" t="s">
        <v>5176</v>
      </c>
      <c r="D298" s="330" t="s">
        <v>5177</v>
      </c>
      <c r="E298" s="330" t="s">
        <v>37248</v>
      </c>
      <c r="F298" s="331">
        <v>0.21</v>
      </c>
      <c r="G298" s="332">
        <v>10335</v>
      </c>
      <c r="H298" s="333">
        <v>12506</v>
      </c>
    </row>
    <row r="299" spans="1:8">
      <c r="A299" s="317" t="s">
        <v>37394</v>
      </c>
      <c r="B299" s="317" t="s">
        <v>44669</v>
      </c>
      <c r="C299" s="330" t="s">
        <v>5178</v>
      </c>
      <c r="D299" s="330" t="s">
        <v>5179</v>
      </c>
      <c r="E299" s="330" t="s">
        <v>37248</v>
      </c>
      <c r="F299" s="331">
        <v>0.21</v>
      </c>
      <c r="G299" s="332">
        <v>24815</v>
      </c>
      <c r="H299" s="333">
        <v>30027</v>
      </c>
    </row>
    <row r="300" spans="1:8">
      <c r="A300" s="317" t="s">
        <v>37395</v>
      </c>
      <c r="B300" s="317" t="s">
        <v>44670</v>
      </c>
      <c r="C300" s="330" t="s">
        <v>5180</v>
      </c>
      <c r="D300" s="330" t="s">
        <v>5181</v>
      </c>
      <c r="E300" s="330" t="s">
        <v>37248</v>
      </c>
      <c r="F300" s="331">
        <v>0.21</v>
      </c>
      <c r="G300" s="332">
        <v>1180</v>
      </c>
      <c r="H300" s="333">
        <v>1428</v>
      </c>
    </row>
    <row r="301" spans="1:8">
      <c r="A301" s="317" t="s">
        <v>37396</v>
      </c>
      <c r="B301" s="317" t="s">
        <v>44671</v>
      </c>
      <c r="C301" s="330" t="s">
        <v>5182</v>
      </c>
      <c r="D301" s="330" t="s">
        <v>5183</v>
      </c>
      <c r="E301" s="330" t="s">
        <v>37248</v>
      </c>
      <c r="F301" s="331">
        <v>0.21</v>
      </c>
      <c r="G301" s="332">
        <v>13837</v>
      </c>
      <c r="H301" s="333">
        <v>16743</v>
      </c>
    </row>
    <row r="302" spans="1:8">
      <c r="A302" s="317" t="s">
        <v>37397</v>
      </c>
      <c r="B302" s="317" t="s">
        <v>44672</v>
      </c>
      <c r="C302" s="330" t="s">
        <v>5184</v>
      </c>
      <c r="D302" s="330" t="s">
        <v>5185</v>
      </c>
      <c r="E302" s="330" t="s">
        <v>37248</v>
      </c>
      <c r="F302" s="331">
        <v>0.21</v>
      </c>
      <c r="G302" s="332">
        <v>2687</v>
      </c>
      <c r="H302" s="333">
        <v>3252</v>
      </c>
    </row>
    <row r="303" spans="1:8">
      <c r="A303" s="317" t="s">
        <v>37398</v>
      </c>
      <c r="B303" s="317" t="s">
        <v>44673</v>
      </c>
      <c r="C303" s="330" t="s">
        <v>5186</v>
      </c>
      <c r="D303" s="330" t="s">
        <v>5187</v>
      </c>
      <c r="E303" s="330" t="s">
        <v>37248</v>
      </c>
      <c r="F303" s="331">
        <v>0.21</v>
      </c>
      <c r="G303" s="332">
        <v>2417</v>
      </c>
      <c r="H303" s="333">
        <v>2925</v>
      </c>
    </row>
    <row r="304" spans="1:8">
      <c r="A304" s="317" t="s">
        <v>37399</v>
      </c>
      <c r="B304" s="317" t="s">
        <v>44674</v>
      </c>
      <c r="C304" s="330" t="s">
        <v>5188</v>
      </c>
      <c r="D304" s="330" t="s">
        <v>5189</v>
      </c>
      <c r="E304" s="330" t="s">
        <v>37248</v>
      </c>
      <c r="F304" s="331">
        <v>0.21</v>
      </c>
      <c r="G304" s="332">
        <v>5217</v>
      </c>
      <c r="H304" s="333">
        <v>6313</v>
      </c>
    </row>
    <row r="305" spans="1:8">
      <c r="A305" s="317" t="s">
        <v>37400</v>
      </c>
      <c r="B305" s="317" t="s">
        <v>44675</v>
      </c>
      <c r="C305" s="330" t="s">
        <v>5190</v>
      </c>
      <c r="D305" s="330" t="s">
        <v>5191</v>
      </c>
      <c r="E305" s="330" t="s">
        <v>37248</v>
      </c>
      <c r="F305" s="331">
        <v>0.21</v>
      </c>
      <c r="G305" s="332">
        <v>7629</v>
      </c>
      <c r="H305" s="333">
        <v>9232</v>
      </c>
    </row>
    <row r="306" spans="1:8">
      <c r="A306" s="317" t="s">
        <v>37401</v>
      </c>
      <c r="B306" s="317" t="s">
        <v>44676</v>
      </c>
      <c r="C306" s="330" t="s">
        <v>5192</v>
      </c>
      <c r="D306" s="330" t="s">
        <v>5193</v>
      </c>
      <c r="E306" s="330" t="s">
        <v>37248</v>
      </c>
      <c r="F306" s="331">
        <v>0.21</v>
      </c>
      <c r="G306" s="332">
        <v>9251</v>
      </c>
      <c r="H306" s="333">
        <v>11194</v>
      </c>
    </row>
    <row r="307" spans="1:8">
      <c r="A307" s="317" t="s">
        <v>37402</v>
      </c>
      <c r="B307" s="317" t="s">
        <v>44677</v>
      </c>
      <c r="C307" s="330" t="s">
        <v>5194</v>
      </c>
      <c r="D307" s="330" t="s">
        <v>5195</v>
      </c>
      <c r="E307" s="330" t="s">
        <v>37248</v>
      </c>
      <c r="F307" s="331">
        <v>0.21</v>
      </c>
      <c r="G307" s="332">
        <v>4559</v>
      </c>
      <c r="H307" s="333">
        <v>5517</v>
      </c>
    </row>
    <row r="308" spans="1:8">
      <c r="A308" s="317" t="s">
        <v>37403</v>
      </c>
      <c r="B308" s="317" t="s">
        <v>44678</v>
      </c>
      <c r="C308" s="330" t="s">
        <v>5196</v>
      </c>
      <c r="D308" s="330" t="s">
        <v>5197</v>
      </c>
      <c r="E308" s="330" t="s">
        <v>4634</v>
      </c>
      <c r="F308" s="331">
        <v>0.21</v>
      </c>
      <c r="G308" s="332">
        <v>9009</v>
      </c>
      <c r="H308" s="333">
        <v>10901</v>
      </c>
    </row>
    <row r="309" spans="1:8">
      <c r="A309" s="317" t="s">
        <v>37404</v>
      </c>
      <c r="B309" s="317" t="s">
        <v>44679</v>
      </c>
      <c r="C309" s="330" t="s">
        <v>5198</v>
      </c>
      <c r="D309" s="330" t="s">
        <v>5199</v>
      </c>
      <c r="E309" s="330" t="s">
        <v>37248</v>
      </c>
      <c r="F309" s="331">
        <v>0.21</v>
      </c>
      <c r="G309" s="332">
        <v>8267</v>
      </c>
      <c r="H309" s="333">
        <v>10004</v>
      </c>
    </row>
    <row r="310" spans="1:8">
      <c r="A310" s="317" t="s">
        <v>37405</v>
      </c>
      <c r="B310" s="317" t="s">
        <v>44680</v>
      </c>
      <c r="C310" s="330" t="s">
        <v>5200</v>
      </c>
      <c r="D310" s="330" t="s">
        <v>5201</v>
      </c>
      <c r="E310" s="330" t="s">
        <v>37248</v>
      </c>
      <c r="F310" s="331">
        <v>0.21</v>
      </c>
      <c r="G310" s="332">
        <v>5592</v>
      </c>
      <c r="H310" s="333">
        <v>6767</v>
      </c>
    </row>
    <row r="311" spans="1:8">
      <c r="A311" s="317" t="s">
        <v>37406</v>
      </c>
      <c r="B311" s="317" t="s">
        <v>44681</v>
      </c>
      <c r="C311" s="330" t="s">
        <v>5202</v>
      </c>
      <c r="D311" s="330" t="s">
        <v>5203</v>
      </c>
      <c r="E311" s="330" t="s">
        <v>37248</v>
      </c>
      <c r="F311" s="331">
        <v>0.21</v>
      </c>
      <c r="G311" s="332">
        <v>9775</v>
      </c>
      <c r="H311" s="333">
        <v>11828</v>
      </c>
    </row>
    <row r="312" spans="1:8">
      <c r="A312" s="317" t="s">
        <v>37407</v>
      </c>
      <c r="B312" s="317" t="s">
        <v>44682</v>
      </c>
      <c r="C312" s="330" t="s">
        <v>5204</v>
      </c>
      <c r="D312" s="330" t="s">
        <v>5205</v>
      </c>
      <c r="E312" s="330" t="s">
        <v>37248</v>
      </c>
      <c r="F312" s="331">
        <v>0.21</v>
      </c>
      <c r="G312" s="332">
        <v>11155</v>
      </c>
      <c r="H312" s="333">
        <v>13498</v>
      </c>
    </row>
    <row r="313" spans="1:8">
      <c r="A313" s="317" t="s">
        <v>37408</v>
      </c>
      <c r="B313" s="317" t="s">
        <v>44683</v>
      </c>
      <c r="C313" s="330" t="s">
        <v>5206</v>
      </c>
      <c r="D313" s="330" t="s">
        <v>5207</v>
      </c>
      <c r="E313" s="330" t="s">
        <v>37248</v>
      </c>
      <c r="F313" s="331">
        <v>0.21</v>
      </c>
      <c r="G313" s="332">
        <v>7651</v>
      </c>
      <c r="H313" s="333">
        <v>9258</v>
      </c>
    </row>
    <row r="314" spans="1:8">
      <c r="A314" s="317" t="s">
        <v>37409</v>
      </c>
      <c r="B314" s="317" t="s">
        <v>44684</v>
      </c>
      <c r="C314" s="330" t="s">
        <v>5208</v>
      </c>
      <c r="D314" s="330" t="s">
        <v>5209</v>
      </c>
      <c r="E314" s="330" t="s">
        <v>37248</v>
      </c>
      <c r="F314" s="331">
        <v>0.21</v>
      </c>
      <c r="G314" s="332">
        <v>4204</v>
      </c>
      <c r="H314" s="333">
        <v>5087</v>
      </c>
    </row>
    <row r="315" spans="1:8">
      <c r="A315" s="317" t="s">
        <v>37410</v>
      </c>
      <c r="B315" s="317" t="s">
        <v>44685</v>
      </c>
      <c r="C315" s="330" t="s">
        <v>5210</v>
      </c>
      <c r="D315" s="330" t="s">
        <v>5211</v>
      </c>
      <c r="E315" s="330" t="s">
        <v>37248</v>
      </c>
      <c r="F315" s="331">
        <v>0.21</v>
      </c>
      <c r="G315" s="332">
        <v>4419</v>
      </c>
      <c r="H315" s="333">
        <v>5347</v>
      </c>
    </row>
    <row r="316" spans="1:8">
      <c r="A316" s="317" t="s">
        <v>37411</v>
      </c>
      <c r="B316" s="317" t="s">
        <v>44686</v>
      </c>
      <c r="C316" s="330" t="s">
        <v>5212</v>
      </c>
      <c r="D316" s="330" t="s">
        <v>5213</v>
      </c>
      <c r="E316" s="330" t="s">
        <v>37248</v>
      </c>
      <c r="F316" s="331">
        <v>0.21</v>
      </c>
      <c r="G316" s="332">
        <v>9059</v>
      </c>
      <c r="H316" s="333">
        <v>10962</v>
      </c>
    </row>
    <row r="317" spans="1:8">
      <c r="A317" s="317" t="s">
        <v>37412</v>
      </c>
      <c r="B317" s="317" t="s">
        <v>44687</v>
      </c>
      <c r="C317" s="330" t="s">
        <v>5214</v>
      </c>
      <c r="D317" s="330" t="s">
        <v>5215</v>
      </c>
      <c r="E317" s="330" t="s">
        <v>37248</v>
      </c>
      <c r="F317" s="331">
        <v>0.21</v>
      </c>
      <c r="G317" s="332">
        <v>19305</v>
      </c>
      <c r="H317" s="333">
        <v>23360</v>
      </c>
    </row>
    <row r="318" spans="1:8">
      <c r="A318" s="317" t="s">
        <v>37413</v>
      </c>
      <c r="B318" s="317" t="s">
        <v>44688</v>
      </c>
      <c r="C318" s="330" t="s">
        <v>5216</v>
      </c>
      <c r="D318" s="330" t="s">
        <v>5217</v>
      </c>
      <c r="E318" s="330" t="s">
        <v>37248</v>
      </c>
      <c r="F318" s="331">
        <v>0.21</v>
      </c>
      <c r="G318" s="332">
        <v>15309</v>
      </c>
      <c r="H318" s="333">
        <v>18524</v>
      </c>
    </row>
    <row r="319" spans="1:8">
      <c r="A319" s="317" t="s">
        <v>37414</v>
      </c>
      <c r="B319" s="317" t="s">
        <v>44689</v>
      </c>
      <c r="C319" s="330" t="s">
        <v>5218</v>
      </c>
      <c r="D319" s="330" t="s">
        <v>5219</v>
      </c>
      <c r="E319" s="330" t="s">
        <v>37248</v>
      </c>
      <c r="F319" s="331">
        <v>0.21</v>
      </c>
      <c r="G319" s="332">
        <v>4265</v>
      </c>
      <c r="H319" s="333">
        <v>5161</v>
      </c>
    </row>
    <row r="320" spans="1:8">
      <c r="A320" s="317" t="s">
        <v>37415</v>
      </c>
      <c r="B320" s="317" t="s">
        <v>44690</v>
      </c>
      <c r="C320" s="330" t="s">
        <v>5220</v>
      </c>
      <c r="D320" s="330" t="s">
        <v>5221</v>
      </c>
      <c r="E320" s="330" t="s">
        <v>37248</v>
      </c>
      <c r="F320" s="331">
        <v>0.21</v>
      </c>
      <c r="G320" s="332">
        <v>3475</v>
      </c>
      <c r="H320" s="333">
        <v>4205</v>
      </c>
    </row>
    <row r="321" spans="1:8">
      <c r="A321" s="317" t="s">
        <v>37416</v>
      </c>
      <c r="B321" s="317" t="s">
        <v>44691</v>
      </c>
      <c r="C321" s="330" t="s">
        <v>5222</v>
      </c>
      <c r="D321" s="330" t="s">
        <v>5223</v>
      </c>
      <c r="E321" s="330" t="s">
        <v>37248</v>
      </c>
      <c r="F321" s="331">
        <v>0.21</v>
      </c>
      <c r="G321" s="332">
        <v>4149</v>
      </c>
      <c r="H321" s="333">
        <v>5021</v>
      </c>
    </row>
    <row r="322" spans="1:8">
      <c r="A322" s="317" t="s">
        <v>37417</v>
      </c>
      <c r="B322" s="317" t="s">
        <v>44692</v>
      </c>
      <c r="C322" s="330" t="s">
        <v>5224</v>
      </c>
      <c r="D322" s="330" t="s">
        <v>5225</v>
      </c>
      <c r="E322" s="330" t="s">
        <v>37248</v>
      </c>
      <c r="F322" s="331">
        <v>0.21</v>
      </c>
      <c r="G322" s="332">
        <v>10827</v>
      </c>
      <c r="H322" s="333">
        <v>13101</v>
      </c>
    </row>
    <row r="323" spans="1:8">
      <c r="A323" s="317" t="s">
        <v>37418</v>
      </c>
      <c r="B323" s="317" t="s">
        <v>44693</v>
      </c>
      <c r="C323" s="330" t="s">
        <v>5226</v>
      </c>
      <c r="D323" s="330" t="s">
        <v>5227</v>
      </c>
      <c r="E323" s="330" t="s">
        <v>37248</v>
      </c>
      <c r="F323" s="331">
        <v>0.21</v>
      </c>
      <c r="G323" s="332">
        <v>37768</v>
      </c>
      <c r="H323" s="333">
        <v>45700</v>
      </c>
    </row>
    <row r="324" spans="1:8">
      <c r="A324" s="317" t="s">
        <v>37419</v>
      </c>
      <c r="B324" s="317" t="s">
        <v>44694</v>
      </c>
      <c r="C324" s="330" t="s">
        <v>5228</v>
      </c>
      <c r="D324" s="330" t="s">
        <v>5229</v>
      </c>
      <c r="E324" s="330" t="s">
        <v>37248</v>
      </c>
      <c r="F324" s="331">
        <v>0.21</v>
      </c>
      <c r="G324" s="332">
        <v>1630</v>
      </c>
      <c r="H324" s="333">
        <v>1973</v>
      </c>
    </row>
    <row r="325" spans="1:8">
      <c r="A325" s="317" t="s">
        <v>37420</v>
      </c>
      <c r="B325" s="317" t="s">
        <v>44695</v>
      </c>
      <c r="C325" s="330" t="s">
        <v>5230</v>
      </c>
      <c r="D325" s="330" t="s">
        <v>5231</v>
      </c>
      <c r="E325" s="330" t="s">
        <v>37248</v>
      </c>
      <c r="F325" s="331">
        <v>0.21</v>
      </c>
      <c r="G325" s="332">
        <v>10622</v>
      </c>
      <c r="H325" s="333">
        <v>12853</v>
      </c>
    </row>
    <row r="326" spans="1:8">
      <c r="A326" s="317">
        <v>1600136013</v>
      </c>
      <c r="B326" s="317" t="s">
        <v>44696</v>
      </c>
      <c r="C326" s="330" t="s">
        <v>5232</v>
      </c>
      <c r="D326" s="330" t="s">
        <v>5233</v>
      </c>
      <c r="E326" s="330" t="s">
        <v>37248</v>
      </c>
      <c r="F326" s="331">
        <v>0.21</v>
      </c>
      <c r="G326" s="332">
        <v>3645</v>
      </c>
      <c r="H326" s="333">
        <v>4411</v>
      </c>
    </row>
    <row r="327" spans="1:8">
      <c r="A327" s="317">
        <v>1600136014</v>
      </c>
      <c r="B327" s="317" t="s">
        <v>44697</v>
      </c>
      <c r="C327" s="330" t="s">
        <v>5234</v>
      </c>
      <c r="D327" s="330" t="s">
        <v>5233</v>
      </c>
      <c r="E327" s="330" t="s">
        <v>37248</v>
      </c>
      <c r="F327" s="331">
        <v>0.21</v>
      </c>
      <c r="G327" s="332">
        <v>3629</v>
      </c>
      <c r="H327" s="333">
        <v>4392</v>
      </c>
    </row>
    <row r="328" spans="1:8">
      <c r="A328" s="317">
        <v>1600190022</v>
      </c>
      <c r="B328" s="317" t="s">
        <v>44698</v>
      </c>
      <c r="C328" s="330" t="s">
        <v>5235</v>
      </c>
      <c r="D328" s="330" t="s">
        <v>5236</v>
      </c>
      <c r="E328" s="330" t="s">
        <v>37248</v>
      </c>
      <c r="F328" s="331">
        <v>0.21</v>
      </c>
      <c r="G328" s="332">
        <v>2172</v>
      </c>
      <c r="H328" s="333">
        <v>2629</v>
      </c>
    </row>
    <row r="329" spans="1:8">
      <c r="A329" s="317">
        <v>1600206020</v>
      </c>
      <c r="B329" s="317" t="s">
        <v>44699</v>
      </c>
      <c r="C329" s="330" t="s">
        <v>5237</v>
      </c>
      <c r="D329" s="330" t="s">
        <v>5238</v>
      </c>
      <c r="E329" s="330" t="s">
        <v>37248</v>
      </c>
      <c r="F329" s="331">
        <v>0.21</v>
      </c>
      <c r="G329" s="332">
        <v>2891</v>
      </c>
      <c r="H329" s="333">
        <v>3499</v>
      </c>
    </row>
    <row r="330" spans="1:8">
      <c r="A330" s="317" t="s">
        <v>37421</v>
      </c>
      <c r="B330" s="317" t="s">
        <v>44700</v>
      </c>
      <c r="C330" s="330" t="s">
        <v>5239</v>
      </c>
      <c r="D330" s="330" t="s">
        <v>5240</v>
      </c>
      <c r="E330" s="330" t="s">
        <v>37248</v>
      </c>
      <c r="F330" s="331">
        <v>0.21</v>
      </c>
      <c r="G330" s="332">
        <v>1856</v>
      </c>
      <c r="H330" s="333">
        <v>2246</v>
      </c>
    </row>
    <row r="331" spans="1:8">
      <c r="A331" s="317" t="s">
        <v>37422</v>
      </c>
      <c r="B331" s="317" t="s">
        <v>44701</v>
      </c>
      <c r="C331" s="330" t="s">
        <v>5241</v>
      </c>
      <c r="D331" s="330" t="s">
        <v>5242</v>
      </c>
      <c r="E331" s="330" t="s">
        <v>37248</v>
      </c>
      <c r="F331" s="331">
        <v>0.21</v>
      </c>
      <c r="G331" s="332">
        <v>2529</v>
      </c>
      <c r="H331" s="333">
        <v>3061</v>
      </c>
    </row>
    <row r="332" spans="1:8">
      <c r="A332" s="317">
        <v>1600703042</v>
      </c>
      <c r="B332" s="317" t="s">
        <v>44702</v>
      </c>
      <c r="C332" s="330" t="s">
        <v>5243</v>
      </c>
      <c r="D332" s="330" t="s">
        <v>5244</v>
      </c>
      <c r="E332" s="330" t="s">
        <v>37248</v>
      </c>
      <c r="F332" s="331">
        <v>0.21</v>
      </c>
      <c r="G332" s="332">
        <v>2609</v>
      </c>
      <c r="H332" s="333">
        <v>3157</v>
      </c>
    </row>
    <row r="333" spans="1:8">
      <c r="A333" s="317">
        <v>1600900052</v>
      </c>
      <c r="B333" s="317" t="s">
        <v>44703</v>
      </c>
      <c r="C333" s="330" t="s">
        <v>5245</v>
      </c>
      <c r="D333" s="330" t="s">
        <v>5246</v>
      </c>
      <c r="E333" s="330" t="s">
        <v>37248</v>
      </c>
      <c r="F333" s="331">
        <v>0.21</v>
      </c>
      <c r="G333" s="332">
        <v>2134</v>
      </c>
      <c r="H333" s="333">
        <v>2583</v>
      </c>
    </row>
    <row r="334" spans="1:8">
      <c r="A334" s="317" t="s">
        <v>37423</v>
      </c>
      <c r="B334" s="317" t="s">
        <v>44704</v>
      </c>
      <c r="C334" s="330" t="s">
        <v>5247</v>
      </c>
      <c r="D334" s="330" t="s">
        <v>5248</v>
      </c>
      <c r="E334" s="330" t="s">
        <v>37248</v>
      </c>
      <c r="F334" s="331">
        <v>0.21</v>
      </c>
      <c r="G334" s="332">
        <v>59246</v>
      </c>
      <c r="H334" s="333">
        <v>71688</v>
      </c>
    </row>
    <row r="335" spans="1:8">
      <c r="A335" s="317" t="s">
        <v>37424</v>
      </c>
      <c r="B335" s="317" t="s">
        <v>44705</v>
      </c>
      <c r="C335" s="330" t="s">
        <v>5249</v>
      </c>
      <c r="D335" s="330" t="s">
        <v>5250</v>
      </c>
      <c r="E335" s="330" t="s">
        <v>37248</v>
      </c>
      <c r="F335" s="331">
        <v>0.21</v>
      </c>
      <c r="G335" s="332">
        <v>3236</v>
      </c>
      <c r="H335" s="333">
        <v>3916</v>
      </c>
    </row>
    <row r="336" spans="1:8">
      <c r="A336" s="317" t="s">
        <v>37425</v>
      </c>
      <c r="B336" s="317" t="s">
        <v>44706</v>
      </c>
      <c r="C336" s="330" t="s">
        <v>5251</v>
      </c>
      <c r="D336" s="330" t="s">
        <v>5252</v>
      </c>
      <c r="E336" s="330" t="s">
        <v>37248</v>
      </c>
      <c r="F336" s="331">
        <v>0.21</v>
      </c>
      <c r="G336" s="332">
        <v>7086</v>
      </c>
      <c r="H336" s="333">
        <v>8575</v>
      </c>
    </row>
    <row r="337" spans="1:8">
      <c r="A337" s="317" t="s">
        <v>37426</v>
      </c>
      <c r="B337" s="317" t="s">
        <v>44707</v>
      </c>
      <c r="C337" s="330" t="s">
        <v>5253</v>
      </c>
      <c r="D337" s="330" t="s">
        <v>5254</v>
      </c>
      <c r="E337" s="330" t="s">
        <v>4634</v>
      </c>
      <c r="F337" s="331">
        <v>0.21</v>
      </c>
      <c r="G337" s="332">
        <v>1469</v>
      </c>
      <c r="H337" s="333">
        <v>1778</v>
      </c>
    </row>
    <row r="338" spans="1:8">
      <c r="A338" s="317" t="s">
        <v>37427</v>
      </c>
      <c r="B338" s="317" t="s">
        <v>44708</v>
      </c>
      <c r="C338" s="330" t="s">
        <v>5255</v>
      </c>
      <c r="D338" s="330" t="s">
        <v>5256</v>
      </c>
      <c r="E338" s="330" t="s">
        <v>37248</v>
      </c>
      <c r="F338" s="331">
        <v>0.21</v>
      </c>
      <c r="G338" s="332">
        <v>46031</v>
      </c>
      <c r="H338" s="333">
        <v>55698</v>
      </c>
    </row>
    <row r="339" spans="1:8">
      <c r="A339" s="317" t="s">
        <v>37428</v>
      </c>
      <c r="B339" s="317" t="s">
        <v>44709</v>
      </c>
      <c r="C339" s="330" t="s">
        <v>5257</v>
      </c>
      <c r="D339" s="330" t="s">
        <v>5258</v>
      </c>
      <c r="E339" s="330" t="s">
        <v>37248</v>
      </c>
      <c r="F339" s="331">
        <v>0.21</v>
      </c>
      <c r="G339" s="332">
        <v>34819</v>
      </c>
      <c r="H339" s="333">
        <v>42131</v>
      </c>
    </row>
    <row r="340" spans="1:8">
      <c r="A340" s="317" t="s">
        <v>37429</v>
      </c>
      <c r="B340" s="317" t="s">
        <v>44710</v>
      </c>
      <c r="C340" s="330" t="s">
        <v>5259</v>
      </c>
      <c r="D340" s="330" t="s">
        <v>5260</v>
      </c>
      <c r="E340" s="330" t="s">
        <v>37248</v>
      </c>
      <c r="F340" s="331">
        <v>0.21</v>
      </c>
      <c r="G340" s="332">
        <v>4271</v>
      </c>
      <c r="H340" s="333">
        <v>5168</v>
      </c>
    </row>
    <row r="341" spans="1:8">
      <c r="A341" s="317" t="s">
        <v>37430</v>
      </c>
      <c r="B341" s="317" t="s">
        <v>44711</v>
      </c>
      <c r="C341" s="330" t="s">
        <v>5261</v>
      </c>
      <c r="D341" s="330" t="s">
        <v>5262</v>
      </c>
      <c r="E341" s="330" t="s">
        <v>4819</v>
      </c>
      <c r="F341" s="331">
        <v>0.21</v>
      </c>
      <c r="G341" s="332">
        <v>1095</v>
      </c>
      <c r="H341" s="333">
        <v>1325</v>
      </c>
    </row>
    <row r="342" spans="1:8">
      <c r="A342" s="317" t="s">
        <v>37431</v>
      </c>
      <c r="B342" s="317" t="s">
        <v>44712</v>
      </c>
      <c r="C342" s="330" t="s">
        <v>5263</v>
      </c>
      <c r="D342" s="330" t="s">
        <v>5264</v>
      </c>
      <c r="E342" s="330" t="s">
        <v>37248</v>
      </c>
      <c r="F342" s="331">
        <v>0.21</v>
      </c>
      <c r="G342" s="332">
        <v>3270</v>
      </c>
      <c r="H342" s="333">
        <v>3957</v>
      </c>
    </row>
    <row r="343" spans="1:8">
      <c r="A343" s="317" t="s">
        <v>37432</v>
      </c>
      <c r="B343" s="317" t="s">
        <v>44713</v>
      </c>
      <c r="C343" s="330" t="s">
        <v>5265</v>
      </c>
      <c r="D343" s="330" t="s">
        <v>5266</v>
      </c>
      <c r="E343" s="330" t="s">
        <v>37248</v>
      </c>
      <c r="F343" s="331">
        <v>0.21</v>
      </c>
      <c r="G343" s="332">
        <v>593</v>
      </c>
      <c r="H343" s="333">
        <v>718</v>
      </c>
    </row>
    <row r="344" spans="1:8">
      <c r="A344" s="317" t="s">
        <v>37433</v>
      </c>
      <c r="B344" s="317" t="s">
        <v>44714</v>
      </c>
      <c r="C344" s="330" t="s">
        <v>5267</v>
      </c>
      <c r="D344" s="330" t="s">
        <v>5268</v>
      </c>
      <c r="E344" s="330" t="s">
        <v>37248</v>
      </c>
      <c r="F344" s="331">
        <v>0.21</v>
      </c>
      <c r="G344" s="332">
        <v>6797</v>
      </c>
      <c r="H344" s="333">
        <v>8225</v>
      </c>
    </row>
    <row r="345" spans="1:8">
      <c r="A345" s="317" t="s">
        <v>37434</v>
      </c>
      <c r="B345" s="317" t="s">
        <v>44715</v>
      </c>
      <c r="C345" s="330" t="s">
        <v>5269</v>
      </c>
      <c r="D345" s="330" t="s">
        <v>5270</v>
      </c>
      <c r="E345" s="330" t="s">
        <v>37248</v>
      </c>
      <c r="F345" s="331">
        <v>0.21</v>
      </c>
      <c r="G345" s="332">
        <v>3174</v>
      </c>
      <c r="H345" s="333">
        <v>3841</v>
      </c>
    </row>
    <row r="346" spans="1:8">
      <c r="A346" s="317" t="s">
        <v>37435</v>
      </c>
      <c r="B346" s="317" t="s">
        <v>44716</v>
      </c>
      <c r="C346" s="330" t="s">
        <v>5271</v>
      </c>
      <c r="D346" s="330" t="s">
        <v>5272</v>
      </c>
      <c r="E346" s="330" t="s">
        <v>37248</v>
      </c>
      <c r="F346" s="331">
        <v>0.21</v>
      </c>
      <c r="G346" s="332">
        <v>1534</v>
      </c>
      <c r="H346" s="333">
        <v>1857</v>
      </c>
    </row>
    <row r="347" spans="1:8">
      <c r="A347" s="317" t="s">
        <v>37436</v>
      </c>
      <c r="B347" s="317" t="s">
        <v>44717</v>
      </c>
      <c r="C347" s="330" t="s">
        <v>5273</v>
      </c>
      <c r="D347" s="330" t="s">
        <v>5274</v>
      </c>
      <c r="E347" s="330" t="s">
        <v>37248</v>
      </c>
      <c r="F347" s="331">
        <v>0.21</v>
      </c>
      <c r="G347" s="332">
        <v>3825</v>
      </c>
      <c r="H347" s="333">
        <v>4629</v>
      </c>
    </row>
    <row r="348" spans="1:8">
      <c r="A348" s="317" t="s">
        <v>37437</v>
      </c>
      <c r="B348" s="317" t="s">
        <v>44718</v>
      </c>
      <c r="C348" s="330" t="s">
        <v>5275</v>
      </c>
      <c r="D348" s="330" t="s">
        <v>5276</v>
      </c>
      <c r="E348" s="330" t="s">
        <v>37248</v>
      </c>
      <c r="F348" s="331">
        <v>0.21</v>
      </c>
      <c r="G348" s="332">
        <v>22006</v>
      </c>
      <c r="H348" s="333">
        <v>26628</v>
      </c>
    </row>
    <row r="349" spans="1:8">
      <c r="A349" s="317" t="s">
        <v>37438</v>
      </c>
      <c r="B349" s="317" t="s">
        <v>44719</v>
      </c>
      <c r="C349" s="330" t="s">
        <v>5277</v>
      </c>
      <c r="D349" s="330" t="s">
        <v>5278</v>
      </c>
      <c r="E349" s="330" t="s">
        <v>37248</v>
      </c>
      <c r="F349" s="331">
        <v>0.21</v>
      </c>
      <c r="G349" s="332">
        <v>602</v>
      </c>
      <c r="H349" s="333">
        <v>729</v>
      </c>
    </row>
    <row r="350" spans="1:8">
      <c r="A350" s="317" t="s">
        <v>37439</v>
      </c>
      <c r="B350" s="317" t="s">
        <v>44720</v>
      </c>
      <c r="C350" s="330" t="s">
        <v>5279</v>
      </c>
      <c r="D350" s="330" t="s">
        <v>5280</v>
      </c>
      <c r="E350" s="330" t="s">
        <v>37248</v>
      </c>
      <c r="F350" s="331">
        <v>0.21</v>
      </c>
      <c r="G350" s="332">
        <v>5862</v>
      </c>
      <c r="H350" s="333">
        <v>7094</v>
      </c>
    </row>
    <row r="351" spans="1:8">
      <c r="A351" s="317" t="s">
        <v>37440</v>
      </c>
      <c r="B351" s="317" t="s">
        <v>44721</v>
      </c>
      <c r="C351" s="330" t="s">
        <v>5281</v>
      </c>
      <c r="D351" s="330" t="s">
        <v>5282</v>
      </c>
      <c r="E351" s="330" t="s">
        <v>4819</v>
      </c>
      <c r="F351" s="331">
        <v>0.21</v>
      </c>
      <c r="G351" s="332">
        <v>2067</v>
      </c>
      <c r="H351" s="333">
        <v>2502</v>
      </c>
    </row>
    <row r="352" spans="1:8">
      <c r="A352" s="317" t="s">
        <v>37441</v>
      </c>
      <c r="B352" s="317" t="s">
        <v>44722</v>
      </c>
      <c r="C352" s="330" t="s">
        <v>5283</v>
      </c>
      <c r="D352" s="330" t="s">
        <v>5284</v>
      </c>
      <c r="E352" s="330" t="s">
        <v>4819</v>
      </c>
      <c r="F352" s="331">
        <v>0.21</v>
      </c>
      <c r="G352" s="332">
        <v>9989</v>
      </c>
      <c r="H352" s="333">
        <v>12087</v>
      </c>
    </row>
    <row r="353" spans="1:8">
      <c r="A353" s="317" t="s">
        <v>37442</v>
      </c>
      <c r="B353" s="317" t="s">
        <v>44723</v>
      </c>
      <c r="C353" s="330" t="s">
        <v>5285</v>
      </c>
      <c r="D353" s="330" t="s">
        <v>5286</v>
      </c>
      <c r="E353" s="330" t="s">
        <v>37248</v>
      </c>
      <c r="F353" s="331">
        <v>0.21</v>
      </c>
      <c r="G353" s="332">
        <v>1168</v>
      </c>
      <c r="H353" s="333">
        <v>1414</v>
      </c>
    </row>
    <row r="354" spans="1:8">
      <c r="A354" s="317" t="s">
        <v>37443</v>
      </c>
      <c r="B354" s="317" t="s">
        <v>44724</v>
      </c>
      <c r="C354" s="330" t="s">
        <v>5287</v>
      </c>
      <c r="D354" s="330" t="s">
        <v>5288</v>
      </c>
      <c r="E354" s="330" t="s">
        <v>37248</v>
      </c>
      <c r="F354" s="331">
        <v>0.21</v>
      </c>
      <c r="G354" s="332">
        <v>34547</v>
      </c>
      <c r="H354" s="333">
        <v>41802</v>
      </c>
    </row>
    <row r="355" spans="1:8">
      <c r="A355" s="317" t="s">
        <v>37444</v>
      </c>
      <c r="B355" s="317" t="s">
        <v>44725</v>
      </c>
      <c r="C355" s="330" t="s">
        <v>5289</v>
      </c>
      <c r="D355" s="330" t="s">
        <v>5290</v>
      </c>
      <c r="E355" s="330" t="s">
        <v>37248</v>
      </c>
      <c r="F355" s="331">
        <v>0.21</v>
      </c>
      <c r="G355" s="332">
        <v>22093</v>
      </c>
      <c r="H355" s="333">
        <v>26733</v>
      </c>
    </row>
    <row r="356" spans="1:8">
      <c r="A356" s="317" t="s">
        <v>37445</v>
      </c>
      <c r="B356" s="317" t="s">
        <v>44726</v>
      </c>
      <c r="C356" s="330" t="s">
        <v>5291</v>
      </c>
      <c r="D356" s="330" t="s">
        <v>5292</v>
      </c>
      <c r="E356" s="330" t="s">
        <v>37248</v>
      </c>
      <c r="F356" s="331">
        <v>0.21</v>
      </c>
      <c r="G356" s="332">
        <v>31406</v>
      </c>
      <c r="H356" s="333">
        <v>38002</v>
      </c>
    </row>
    <row r="357" spans="1:8">
      <c r="A357" s="317" t="s">
        <v>37446</v>
      </c>
      <c r="B357" s="317" t="s">
        <v>44727</v>
      </c>
      <c r="C357" s="330" t="s">
        <v>5293</v>
      </c>
      <c r="D357" s="330" t="s">
        <v>5294</v>
      </c>
      <c r="E357" s="330" t="s">
        <v>37248</v>
      </c>
      <c r="F357" s="331">
        <v>0.21</v>
      </c>
      <c r="G357" s="332">
        <v>2188</v>
      </c>
      <c r="H357" s="333">
        <v>2648</v>
      </c>
    </row>
    <row r="358" spans="1:8">
      <c r="A358" s="317" t="s">
        <v>37447</v>
      </c>
      <c r="B358" s="317" t="s">
        <v>44728</v>
      </c>
      <c r="C358" s="330" t="s">
        <v>5295</v>
      </c>
      <c r="D358" s="330" t="s">
        <v>5296</v>
      </c>
      <c r="E358" s="330" t="s">
        <v>4634</v>
      </c>
      <c r="F358" s="331">
        <v>0.21</v>
      </c>
      <c r="G358" s="332">
        <v>9672</v>
      </c>
      <c r="H358" s="333">
        <v>11704</v>
      </c>
    </row>
    <row r="359" spans="1:8">
      <c r="A359" s="317" t="s">
        <v>37448</v>
      </c>
      <c r="B359" s="317" t="s">
        <v>44729</v>
      </c>
      <c r="C359" s="330" t="s">
        <v>5297</v>
      </c>
      <c r="D359" s="330" t="s">
        <v>5298</v>
      </c>
      <c r="E359" s="330" t="s">
        <v>37248</v>
      </c>
      <c r="F359" s="331">
        <v>0.21</v>
      </c>
      <c r="G359" s="332">
        <v>5549</v>
      </c>
      <c r="H359" s="333">
        <v>6715</v>
      </c>
    </row>
    <row r="360" spans="1:8">
      <c r="A360" s="317" t="s">
        <v>37449</v>
      </c>
      <c r="B360" s="317" t="s">
        <v>44730</v>
      </c>
      <c r="C360" s="330" t="s">
        <v>5299</v>
      </c>
      <c r="D360" s="330" t="s">
        <v>5300</v>
      </c>
      <c r="E360" s="330" t="s">
        <v>37248</v>
      </c>
      <c r="F360" s="331">
        <v>0.21</v>
      </c>
      <c r="G360" s="332">
        <v>1487</v>
      </c>
      <c r="H360" s="333">
        <v>1800</v>
      </c>
    </row>
    <row r="361" spans="1:8">
      <c r="A361" s="317" t="s">
        <v>37450</v>
      </c>
      <c r="B361" s="317" t="s">
        <v>44731</v>
      </c>
      <c r="C361" s="330" t="s">
        <v>5301</v>
      </c>
      <c r="D361" s="330" t="s">
        <v>5302</v>
      </c>
      <c r="E361" s="330" t="s">
        <v>37248</v>
      </c>
      <c r="F361" s="331">
        <v>0.21</v>
      </c>
      <c r="G361" s="332">
        <v>4147</v>
      </c>
      <c r="H361" s="333">
        <v>5018</v>
      </c>
    </row>
    <row r="362" spans="1:8">
      <c r="A362" s="317" t="s">
        <v>37451</v>
      </c>
      <c r="B362" s="317" t="s">
        <v>44732</v>
      </c>
      <c r="C362" s="330" t="s">
        <v>5303</v>
      </c>
      <c r="D362" s="330" t="s">
        <v>5304</v>
      </c>
      <c r="E362" s="330" t="s">
        <v>37248</v>
      </c>
      <c r="F362" s="331">
        <v>0.21</v>
      </c>
      <c r="G362" s="332">
        <v>1536</v>
      </c>
      <c r="H362" s="333">
        <v>1859</v>
      </c>
    </row>
    <row r="363" spans="1:8">
      <c r="A363" s="317" t="s">
        <v>37452</v>
      </c>
      <c r="B363" s="317" t="s">
        <v>44733</v>
      </c>
      <c r="C363" s="330" t="s">
        <v>5305</v>
      </c>
      <c r="D363" s="330" t="s">
        <v>5306</v>
      </c>
      <c r="E363" s="330" t="s">
        <v>37248</v>
      </c>
      <c r="F363" s="331">
        <v>0.21</v>
      </c>
      <c r="G363" s="332">
        <v>14326</v>
      </c>
      <c r="H363" s="333">
        <v>17335</v>
      </c>
    </row>
    <row r="364" spans="1:8">
      <c r="A364" s="317" t="s">
        <v>37453</v>
      </c>
      <c r="B364" s="317" t="s">
        <v>44734</v>
      </c>
      <c r="C364" s="330" t="s">
        <v>5307</v>
      </c>
      <c r="D364" s="330" t="s">
        <v>5308</v>
      </c>
      <c r="E364" s="330" t="s">
        <v>37248</v>
      </c>
      <c r="F364" s="331">
        <v>0.21</v>
      </c>
      <c r="G364" s="332">
        <v>3664</v>
      </c>
      <c r="H364" s="333">
        <v>4434</v>
      </c>
    </row>
    <row r="365" spans="1:8">
      <c r="A365" s="317" t="s">
        <v>37454</v>
      </c>
      <c r="B365" s="317" t="s">
        <v>44735</v>
      </c>
      <c r="C365" s="330" t="s">
        <v>5309</v>
      </c>
      <c r="D365" s="330" t="s">
        <v>5310</v>
      </c>
      <c r="E365" s="330" t="s">
        <v>37248</v>
      </c>
      <c r="F365" s="331">
        <v>0.21</v>
      </c>
      <c r="G365" s="332">
        <v>6100</v>
      </c>
      <c r="H365" s="333">
        <v>7381</v>
      </c>
    </row>
    <row r="366" spans="1:8">
      <c r="A366" s="317" t="s">
        <v>37455</v>
      </c>
      <c r="B366" s="317" t="s">
        <v>44736</v>
      </c>
      <c r="C366" s="330" t="s">
        <v>5311</v>
      </c>
      <c r="D366" s="330" t="s">
        <v>5312</v>
      </c>
      <c r="E366" s="330" t="s">
        <v>37248</v>
      </c>
      <c r="F366" s="331">
        <v>0.21</v>
      </c>
      <c r="G366" s="332">
        <v>36952</v>
      </c>
      <c r="H366" s="333">
        <v>44712</v>
      </c>
    </row>
    <row r="367" spans="1:8">
      <c r="A367" s="317" t="s">
        <v>37456</v>
      </c>
      <c r="B367" s="317" t="s">
        <v>44737</v>
      </c>
      <c r="C367" s="330" t="s">
        <v>5313</v>
      </c>
      <c r="D367" s="330" t="s">
        <v>5314</v>
      </c>
      <c r="E367" s="330" t="s">
        <v>37248</v>
      </c>
      <c r="F367" s="331">
        <v>0.21</v>
      </c>
      <c r="G367" s="332">
        <v>56824</v>
      </c>
      <c r="H367" s="333">
        <v>68758</v>
      </c>
    </row>
    <row r="368" spans="1:8">
      <c r="A368" s="317" t="s">
        <v>37457</v>
      </c>
      <c r="B368" s="317" t="s">
        <v>44738</v>
      </c>
      <c r="C368" s="330" t="s">
        <v>5315</v>
      </c>
      <c r="D368" s="330" t="s">
        <v>5316</v>
      </c>
      <c r="E368" s="330" t="s">
        <v>37248</v>
      </c>
      <c r="F368" s="331">
        <v>0.21</v>
      </c>
      <c r="G368" s="332">
        <v>3865</v>
      </c>
      <c r="H368" s="333">
        <v>4677</v>
      </c>
    </row>
    <row r="369" spans="1:8">
      <c r="A369" s="317" t="s">
        <v>37458</v>
      </c>
      <c r="B369" s="317" t="s">
        <v>44739</v>
      </c>
      <c r="C369" s="330" t="s">
        <v>5317</v>
      </c>
      <c r="D369" s="330" t="s">
        <v>5318</v>
      </c>
      <c r="E369" s="330" t="s">
        <v>37248</v>
      </c>
      <c r="F369" s="331">
        <v>0.21</v>
      </c>
      <c r="G369" s="332">
        <v>26744</v>
      </c>
      <c r="H369" s="333">
        <v>32361</v>
      </c>
    </row>
    <row r="370" spans="1:8">
      <c r="A370" s="317" t="s">
        <v>37459</v>
      </c>
      <c r="B370" s="317" t="s">
        <v>44740</v>
      </c>
      <c r="C370" s="330" t="s">
        <v>5319</v>
      </c>
      <c r="D370" s="330" t="s">
        <v>5320</v>
      </c>
      <c r="E370" s="330" t="s">
        <v>37248</v>
      </c>
      <c r="F370" s="331">
        <v>0.21</v>
      </c>
      <c r="G370" s="332">
        <v>34215</v>
      </c>
      <c r="H370" s="333">
        <v>41401</v>
      </c>
    </row>
    <row r="371" spans="1:8">
      <c r="A371" s="317" t="s">
        <v>37460</v>
      </c>
      <c r="B371" s="317" t="s">
        <v>44741</v>
      </c>
      <c r="C371" s="330" t="s">
        <v>5321</v>
      </c>
      <c r="D371" s="330" t="s">
        <v>5322</v>
      </c>
      <c r="E371" s="330" t="s">
        <v>4634</v>
      </c>
      <c r="F371" s="331">
        <v>0.21</v>
      </c>
      <c r="G371" s="332">
        <v>11843</v>
      </c>
      <c r="H371" s="333">
        <v>14331</v>
      </c>
    </row>
    <row r="372" spans="1:8">
      <c r="A372" s="317">
        <v>1601302013</v>
      </c>
      <c r="B372" s="317" t="s">
        <v>44742</v>
      </c>
      <c r="C372" s="330" t="s">
        <v>5323</v>
      </c>
      <c r="D372" s="330" t="s">
        <v>5324</v>
      </c>
      <c r="E372" s="330" t="s">
        <v>37248</v>
      </c>
      <c r="F372" s="331">
        <v>0.21</v>
      </c>
      <c r="G372" s="332">
        <v>2259</v>
      </c>
      <c r="H372" s="333">
        <v>2734</v>
      </c>
    </row>
    <row r="373" spans="1:8">
      <c r="A373" s="317">
        <v>1602026057</v>
      </c>
      <c r="B373" s="317" t="s">
        <v>44743</v>
      </c>
      <c r="C373" s="330" t="s">
        <v>5325</v>
      </c>
      <c r="D373" s="330" t="s">
        <v>5326</v>
      </c>
      <c r="E373" s="330" t="s">
        <v>37248</v>
      </c>
      <c r="F373" s="331">
        <v>0.21</v>
      </c>
      <c r="G373" s="332">
        <v>1902</v>
      </c>
      <c r="H373" s="333">
        <v>2302</v>
      </c>
    </row>
    <row r="374" spans="1:8">
      <c r="A374" s="317">
        <v>1602026088</v>
      </c>
      <c r="B374" s="317" t="s">
        <v>44744</v>
      </c>
      <c r="C374" s="330" t="s">
        <v>5327</v>
      </c>
      <c r="D374" s="330" t="s">
        <v>5328</v>
      </c>
      <c r="E374" s="330" t="s">
        <v>37248</v>
      </c>
      <c r="F374" s="331">
        <v>0.21</v>
      </c>
      <c r="G374" s="332">
        <v>1329</v>
      </c>
      <c r="H374" s="333">
        <v>1609</v>
      </c>
    </row>
    <row r="375" spans="1:8">
      <c r="A375" s="317">
        <v>1602319026</v>
      </c>
      <c r="B375" s="317" t="s">
        <v>44745</v>
      </c>
      <c r="C375" s="330" t="s">
        <v>5329</v>
      </c>
      <c r="D375" s="330" t="s">
        <v>5330</v>
      </c>
      <c r="E375" s="330" t="s">
        <v>37248</v>
      </c>
      <c r="F375" s="331">
        <v>0.21</v>
      </c>
      <c r="G375" s="332">
        <v>1539</v>
      </c>
      <c r="H375" s="333">
        <v>1863</v>
      </c>
    </row>
    <row r="376" spans="1:8">
      <c r="A376" s="317" t="s">
        <v>37461</v>
      </c>
      <c r="B376" s="317" t="s">
        <v>44746</v>
      </c>
      <c r="C376" s="330" t="s">
        <v>5331</v>
      </c>
      <c r="D376" s="330" t="s">
        <v>5332</v>
      </c>
      <c r="E376" s="330" t="s">
        <v>37248</v>
      </c>
      <c r="F376" s="331">
        <v>0.21</v>
      </c>
      <c r="G376" s="332">
        <v>2212</v>
      </c>
      <c r="H376" s="333">
        <v>2677</v>
      </c>
    </row>
    <row r="377" spans="1:8">
      <c r="A377" s="317" t="s">
        <v>37462</v>
      </c>
      <c r="B377" s="317" t="s">
        <v>44747</v>
      </c>
      <c r="C377" s="330" t="s">
        <v>5333</v>
      </c>
      <c r="D377" s="330" t="s">
        <v>5334</v>
      </c>
      <c r="E377" s="330" t="s">
        <v>37248</v>
      </c>
      <c r="F377" s="331">
        <v>0.21</v>
      </c>
      <c r="G377" s="332">
        <v>3861</v>
      </c>
      <c r="H377" s="333">
        <v>4672</v>
      </c>
    </row>
    <row r="378" spans="1:8">
      <c r="A378" s="317">
        <v>1603231032</v>
      </c>
      <c r="B378" s="317" t="s">
        <v>44748</v>
      </c>
      <c r="C378" s="330" t="s">
        <v>5335</v>
      </c>
      <c r="D378" s="330" t="s">
        <v>5336</v>
      </c>
      <c r="E378" s="330" t="s">
        <v>37248</v>
      </c>
      <c r="F378" s="331">
        <v>0.21</v>
      </c>
      <c r="G378" s="332">
        <v>3629</v>
      </c>
      <c r="H378" s="333">
        <v>4392</v>
      </c>
    </row>
    <row r="379" spans="1:8">
      <c r="A379" s="317">
        <v>1603300019</v>
      </c>
      <c r="B379" s="317" t="s">
        <v>44749</v>
      </c>
      <c r="C379" s="330" t="s">
        <v>5337</v>
      </c>
      <c r="D379" s="330" t="s">
        <v>5338</v>
      </c>
      <c r="E379" s="330" t="s">
        <v>37248</v>
      </c>
      <c r="F379" s="331">
        <v>0.21</v>
      </c>
      <c r="G379" s="332">
        <v>2919</v>
      </c>
      <c r="H379" s="333">
        <v>3532</v>
      </c>
    </row>
    <row r="380" spans="1:8">
      <c r="A380" s="317">
        <v>1603414007</v>
      </c>
      <c r="B380" s="317" t="s">
        <v>44750</v>
      </c>
      <c r="C380" s="330" t="s">
        <v>5339</v>
      </c>
      <c r="D380" s="330" t="s">
        <v>5340</v>
      </c>
      <c r="E380" s="330" t="s">
        <v>37248</v>
      </c>
      <c r="F380" s="331">
        <v>0.21</v>
      </c>
      <c r="G380" s="332">
        <v>2714</v>
      </c>
      <c r="H380" s="333">
        <v>3284</v>
      </c>
    </row>
    <row r="381" spans="1:8">
      <c r="A381" s="317" t="s">
        <v>37463</v>
      </c>
      <c r="B381" s="317" t="s">
        <v>44751</v>
      </c>
      <c r="C381" s="330" t="s">
        <v>5341</v>
      </c>
      <c r="D381" s="330" t="s">
        <v>5342</v>
      </c>
      <c r="E381" s="330" t="s">
        <v>37248</v>
      </c>
      <c r="F381" s="331">
        <v>0.21</v>
      </c>
      <c r="G381" s="332">
        <v>832</v>
      </c>
      <c r="H381" s="333">
        <v>1007</v>
      </c>
    </row>
    <row r="382" spans="1:8">
      <c r="A382" s="317">
        <v>1603521027</v>
      </c>
      <c r="B382" s="317" t="s">
        <v>44752</v>
      </c>
      <c r="C382" s="330" t="s">
        <v>5343</v>
      </c>
      <c r="D382" s="330" t="s">
        <v>5344</v>
      </c>
      <c r="E382" s="330" t="s">
        <v>37248</v>
      </c>
      <c r="F382" s="331">
        <v>0.21</v>
      </c>
      <c r="G382" s="332">
        <v>11372</v>
      </c>
      <c r="H382" s="333">
        <v>13761</v>
      </c>
    </row>
    <row r="383" spans="1:8">
      <c r="A383" s="317" t="s">
        <v>37464</v>
      </c>
      <c r="B383" s="317" t="s">
        <v>44753</v>
      </c>
      <c r="C383" s="330" t="s">
        <v>5345</v>
      </c>
      <c r="D383" s="330" t="s">
        <v>5346</v>
      </c>
      <c r="E383" s="330" t="s">
        <v>37248</v>
      </c>
      <c r="F383" s="331">
        <v>0.21</v>
      </c>
      <c r="G383" s="332">
        <v>59302</v>
      </c>
      <c r="H383" s="333">
        <v>71756</v>
      </c>
    </row>
    <row r="384" spans="1:8">
      <c r="A384" s="317" t="s">
        <v>37465</v>
      </c>
      <c r="B384" s="317" t="s">
        <v>44754</v>
      </c>
      <c r="C384" s="330" t="s">
        <v>5347</v>
      </c>
      <c r="D384" s="330" t="s">
        <v>5348</v>
      </c>
      <c r="E384" s="330" t="s">
        <v>37248</v>
      </c>
      <c r="F384" s="331">
        <v>0.21</v>
      </c>
      <c r="G384" s="332">
        <v>49050</v>
      </c>
      <c r="H384" s="333">
        <v>59351</v>
      </c>
    </row>
    <row r="385" spans="1:8">
      <c r="A385" s="317" t="s">
        <v>37466</v>
      </c>
      <c r="B385" s="317" t="s">
        <v>44755</v>
      </c>
      <c r="C385" s="330" t="s">
        <v>5349</v>
      </c>
      <c r="D385" s="330" t="s">
        <v>5350</v>
      </c>
      <c r="E385" s="330" t="s">
        <v>37248</v>
      </c>
      <c r="F385" s="331">
        <v>0.21</v>
      </c>
      <c r="G385" s="332">
        <v>32196</v>
      </c>
      <c r="H385" s="333">
        <v>38958</v>
      </c>
    </row>
    <row r="386" spans="1:8">
      <c r="A386" s="317" t="s">
        <v>37467</v>
      </c>
      <c r="B386" s="317" t="s">
        <v>44756</v>
      </c>
      <c r="C386" s="330" t="s">
        <v>5351</v>
      </c>
      <c r="D386" s="330" t="s">
        <v>5352</v>
      </c>
      <c r="E386" s="330" t="s">
        <v>37248</v>
      </c>
      <c r="F386" s="331">
        <v>0.21</v>
      </c>
      <c r="G386" s="332">
        <v>25896</v>
      </c>
      <c r="H386" s="333">
        <v>31335</v>
      </c>
    </row>
    <row r="387" spans="1:8">
      <c r="A387" s="317">
        <v>1604011252</v>
      </c>
      <c r="B387" s="317" t="s">
        <v>44757</v>
      </c>
      <c r="C387" s="330" t="s">
        <v>5353</v>
      </c>
      <c r="D387" s="330" t="s">
        <v>5354</v>
      </c>
      <c r="E387" s="330" t="s">
        <v>37248</v>
      </c>
      <c r="F387" s="331">
        <v>0.21</v>
      </c>
      <c r="G387" s="332">
        <v>71966</v>
      </c>
      <c r="H387" s="333">
        <v>87079</v>
      </c>
    </row>
    <row r="388" spans="1:8">
      <c r="A388" s="317">
        <v>1604220458</v>
      </c>
      <c r="B388" s="317" t="s">
        <v>44758</v>
      </c>
      <c r="C388" s="330" t="s">
        <v>5355</v>
      </c>
      <c r="D388" s="330" t="s">
        <v>5356</v>
      </c>
      <c r="E388" s="330" t="s">
        <v>37248</v>
      </c>
      <c r="F388" s="331">
        <v>0.21</v>
      </c>
      <c r="G388" s="332">
        <v>11552</v>
      </c>
      <c r="H388" s="333">
        <v>13978</v>
      </c>
    </row>
    <row r="389" spans="1:8">
      <c r="A389" s="317">
        <v>1604220475</v>
      </c>
      <c r="B389" s="317" t="s">
        <v>44759</v>
      </c>
      <c r="C389" s="330" t="s">
        <v>5357</v>
      </c>
      <c r="D389" s="330" t="s">
        <v>5358</v>
      </c>
      <c r="E389" s="330" t="s">
        <v>4819</v>
      </c>
      <c r="F389" s="331">
        <v>0.21</v>
      </c>
      <c r="G389" s="332">
        <v>24605</v>
      </c>
      <c r="H389" s="333">
        <v>29773</v>
      </c>
    </row>
    <row r="390" spans="1:8">
      <c r="A390" s="317">
        <v>1604220522</v>
      </c>
      <c r="B390" s="317" t="s">
        <v>44760</v>
      </c>
      <c r="C390" s="330" t="s">
        <v>5359</v>
      </c>
      <c r="D390" s="330" t="s">
        <v>5175</v>
      </c>
      <c r="E390" s="330" t="s">
        <v>37248</v>
      </c>
      <c r="F390" s="331">
        <v>0.21</v>
      </c>
      <c r="G390" s="332">
        <v>15818</v>
      </c>
      <c r="H390" s="333">
        <v>19140</v>
      </c>
    </row>
    <row r="391" spans="1:8">
      <c r="A391" s="317">
        <v>1604220572</v>
      </c>
      <c r="B391" s="317" t="s">
        <v>44761</v>
      </c>
      <c r="C391" s="330" t="s">
        <v>5360</v>
      </c>
      <c r="D391" s="330" t="s">
        <v>5361</v>
      </c>
      <c r="E391" s="330" t="s">
        <v>37248</v>
      </c>
      <c r="F391" s="331">
        <v>0.21</v>
      </c>
      <c r="G391" s="332">
        <v>20119</v>
      </c>
      <c r="H391" s="333">
        <v>24344</v>
      </c>
    </row>
    <row r="392" spans="1:8">
      <c r="A392" s="317">
        <v>1604321169</v>
      </c>
      <c r="B392" s="317" t="s">
        <v>44762</v>
      </c>
      <c r="C392" s="330" t="s">
        <v>5362</v>
      </c>
      <c r="D392" s="330" t="s">
        <v>5363</v>
      </c>
      <c r="E392" s="330" t="s">
        <v>37248</v>
      </c>
      <c r="F392" s="331">
        <v>0.21</v>
      </c>
      <c r="G392" s="332">
        <v>6058</v>
      </c>
      <c r="H392" s="333">
        <v>7331</v>
      </c>
    </row>
    <row r="393" spans="1:8">
      <c r="A393" s="317">
        <v>1604336055</v>
      </c>
      <c r="B393" s="317" t="s">
        <v>44763</v>
      </c>
      <c r="C393" s="330" t="s">
        <v>5364</v>
      </c>
      <c r="D393" s="330" t="s">
        <v>5365</v>
      </c>
      <c r="E393" s="330" t="s">
        <v>37248</v>
      </c>
      <c r="F393" s="331">
        <v>0.21</v>
      </c>
      <c r="G393" s="332">
        <v>3062</v>
      </c>
      <c r="H393" s="333">
        <v>3706</v>
      </c>
    </row>
    <row r="394" spans="1:8">
      <c r="A394" s="317">
        <v>1604601027</v>
      </c>
      <c r="B394" s="317" t="s">
        <v>44764</v>
      </c>
      <c r="C394" s="330" t="s">
        <v>5366</v>
      </c>
      <c r="D394" s="330" t="s">
        <v>4909</v>
      </c>
      <c r="E394" s="330" t="s">
        <v>4819</v>
      </c>
      <c r="F394" s="331">
        <v>0.21</v>
      </c>
      <c r="G394" s="332">
        <v>1469</v>
      </c>
      <c r="H394" s="333">
        <v>1778</v>
      </c>
    </row>
    <row r="395" spans="1:8">
      <c r="A395" s="317" t="s">
        <v>37468</v>
      </c>
      <c r="B395" s="317" t="s">
        <v>44765</v>
      </c>
      <c r="C395" s="330" t="s">
        <v>5367</v>
      </c>
      <c r="D395" s="330" t="s">
        <v>5368</v>
      </c>
      <c r="E395" s="330" t="s">
        <v>37248</v>
      </c>
      <c r="F395" s="331">
        <v>0.21</v>
      </c>
      <c r="G395" s="332">
        <v>352</v>
      </c>
      <c r="H395" s="333">
        <v>426</v>
      </c>
    </row>
    <row r="396" spans="1:8">
      <c r="A396" s="317">
        <v>1604611031</v>
      </c>
      <c r="B396" s="317" t="s">
        <v>44766</v>
      </c>
      <c r="C396" s="330" t="s">
        <v>5369</v>
      </c>
      <c r="D396" s="330" t="s">
        <v>5370</v>
      </c>
      <c r="E396" s="330" t="s">
        <v>37248</v>
      </c>
      <c r="F396" s="331">
        <v>0.21</v>
      </c>
      <c r="G396" s="332">
        <v>3807</v>
      </c>
      <c r="H396" s="333">
        <v>4607</v>
      </c>
    </row>
    <row r="397" spans="1:8">
      <c r="A397" s="317">
        <v>1605108255</v>
      </c>
      <c r="B397" s="317" t="s">
        <v>44767</v>
      </c>
      <c r="C397" s="330" t="s">
        <v>5371</v>
      </c>
      <c r="D397" s="330" t="s">
        <v>5372</v>
      </c>
      <c r="E397" s="330" t="s">
        <v>37248</v>
      </c>
      <c r="F397" s="331">
        <v>0.21</v>
      </c>
      <c r="G397" s="332">
        <v>14397</v>
      </c>
      <c r="H397" s="333">
        <v>17421</v>
      </c>
    </row>
    <row r="398" spans="1:8">
      <c r="A398" s="317">
        <v>1605108285</v>
      </c>
      <c r="B398" s="317" t="s">
        <v>44768</v>
      </c>
      <c r="C398" s="330" t="s">
        <v>5373</v>
      </c>
      <c r="D398" s="330" t="s">
        <v>5374</v>
      </c>
      <c r="E398" s="330" t="s">
        <v>37248</v>
      </c>
      <c r="F398" s="331">
        <v>0.21</v>
      </c>
      <c r="G398" s="332">
        <v>10444</v>
      </c>
      <c r="H398" s="333">
        <v>12638</v>
      </c>
    </row>
    <row r="399" spans="1:8">
      <c r="A399" s="317">
        <v>1605108288</v>
      </c>
      <c r="B399" s="317" t="s">
        <v>44769</v>
      </c>
      <c r="C399" s="330" t="s">
        <v>5375</v>
      </c>
      <c r="D399" s="330" t="s">
        <v>5376</v>
      </c>
      <c r="E399" s="330" t="s">
        <v>37248</v>
      </c>
      <c r="F399" s="331">
        <v>0.21</v>
      </c>
      <c r="G399" s="332">
        <v>11031</v>
      </c>
      <c r="H399" s="333">
        <v>13348</v>
      </c>
    </row>
    <row r="400" spans="1:8">
      <c r="A400" s="317" t="s">
        <v>37469</v>
      </c>
      <c r="B400" s="317" t="s">
        <v>44770</v>
      </c>
      <c r="C400" s="330" t="s">
        <v>5377</v>
      </c>
      <c r="D400" s="330" t="s">
        <v>5378</v>
      </c>
      <c r="E400" s="330" t="s">
        <v>37248</v>
      </c>
      <c r="F400" s="331">
        <v>0.21</v>
      </c>
      <c r="G400" s="332">
        <v>5574</v>
      </c>
      <c r="H400" s="333">
        <v>6745</v>
      </c>
    </row>
    <row r="401" spans="1:8">
      <c r="A401" s="317">
        <v>1605132117</v>
      </c>
      <c r="B401" s="317" t="s">
        <v>44771</v>
      </c>
      <c r="C401" s="330" t="s">
        <v>5379</v>
      </c>
      <c r="D401" s="330" t="s">
        <v>5380</v>
      </c>
      <c r="E401" s="330" t="s">
        <v>37248</v>
      </c>
      <c r="F401" s="331">
        <v>0.21</v>
      </c>
      <c r="G401" s="332">
        <v>14022</v>
      </c>
      <c r="H401" s="333">
        <v>16967</v>
      </c>
    </row>
    <row r="402" spans="1:8">
      <c r="A402" s="317">
        <v>1605132119</v>
      </c>
      <c r="B402" s="317" t="s">
        <v>44772</v>
      </c>
      <c r="C402" s="330" t="s">
        <v>5381</v>
      </c>
      <c r="D402" s="330" t="s">
        <v>5382</v>
      </c>
      <c r="E402" s="330" t="s">
        <v>37248</v>
      </c>
      <c r="F402" s="331">
        <v>0.21</v>
      </c>
      <c r="G402" s="332">
        <v>12280</v>
      </c>
      <c r="H402" s="333">
        <v>14859</v>
      </c>
    </row>
    <row r="403" spans="1:8">
      <c r="A403" s="317">
        <v>1605500274</v>
      </c>
      <c r="B403" s="317" t="s">
        <v>44773</v>
      </c>
      <c r="C403" s="330" t="s">
        <v>5383</v>
      </c>
      <c r="D403" s="330" t="s">
        <v>5384</v>
      </c>
      <c r="E403" s="330" t="s">
        <v>37248</v>
      </c>
      <c r="F403" s="331">
        <v>0.21</v>
      </c>
      <c r="G403" s="332">
        <v>2250</v>
      </c>
      <c r="H403" s="333">
        <v>2723</v>
      </c>
    </row>
    <row r="404" spans="1:8">
      <c r="A404" s="317" t="s">
        <v>37470</v>
      </c>
      <c r="B404" s="317" t="s">
        <v>44774</v>
      </c>
      <c r="C404" s="330" t="s">
        <v>5385</v>
      </c>
      <c r="D404" s="330" t="s">
        <v>5386</v>
      </c>
      <c r="E404" s="330" t="s">
        <v>4819</v>
      </c>
      <c r="F404" s="331">
        <v>0.21</v>
      </c>
      <c r="G404" s="332">
        <v>7236</v>
      </c>
      <c r="H404" s="333">
        <v>8756</v>
      </c>
    </row>
    <row r="405" spans="1:8">
      <c r="A405" s="317">
        <v>1605510150</v>
      </c>
      <c r="B405" s="317" t="s">
        <v>44775</v>
      </c>
      <c r="C405" s="330" t="s">
        <v>5387</v>
      </c>
      <c r="D405" s="330" t="s">
        <v>5388</v>
      </c>
      <c r="E405" s="330" t="s">
        <v>37248</v>
      </c>
      <c r="F405" s="331">
        <v>0.21</v>
      </c>
      <c r="G405" s="332">
        <v>4990</v>
      </c>
      <c r="H405" s="333">
        <v>6038</v>
      </c>
    </row>
    <row r="406" spans="1:8">
      <c r="A406" s="317">
        <v>1605805138</v>
      </c>
      <c r="B406" s="317" t="s">
        <v>44776</v>
      </c>
      <c r="C406" s="330" t="s">
        <v>5389</v>
      </c>
      <c r="D406" s="330" t="s">
        <v>5390</v>
      </c>
      <c r="E406" s="330" t="s">
        <v>4623</v>
      </c>
      <c r="F406" s="331">
        <v>0.21</v>
      </c>
      <c r="G406" s="332">
        <v>15129</v>
      </c>
      <c r="H406" s="333">
        <v>18307</v>
      </c>
    </row>
    <row r="407" spans="1:8">
      <c r="A407" s="317" t="s">
        <v>37471</v>
      </c>
      <c r="B407" s="317" t="s">
        <v>44777</v>
      </c>
      <c r="C407" s="330" t="s">
        <v>5391</v>
      </c>
      <c r="D407" s="330" t="s">
        <v>5392</v>
      </c>
      <c r="E407" s="330" t="s">
        <v>37248</v>
      </c>
      <c r="F407" s="331">
        <v>0.21</v>
      </c>
      <c r="G407" s="332">
        <v>23065</v>
      </c>
      <c r="H407" s="333">
        <v>27909</v>
      </c>
    </row>
    <row r="408" spans="1:8">
      <c r="A408" s="317" t="s">
        <v>37472</v>
      </c>
      <c r="B408" s="317" t="s">
        <v>44778</v>
      </c>
      <c r="C408" s="330" t="s">
        <v>5393</v>
      </c>
      <c r="D408" s="330" t="s">
        <v>4762</v>
      </c>
      <c r="E408" s="330" t="s">
        <v>37248</v>
      </c>
      <c r="F408" s="331">
        <v>0.21</v>
      </c>
      <c r="G408" s="332">
        <v>6460</v>
      </c>
      <c r="H408" s="333">
        <v>7817</v>
      </c>
    </row>
    <row r="409" spans="1:8">
      <c r="A409" s="317">
        <v>1606333624</v>
      </c>
      <c r="B409" s="317" t="s">
        <v>44779</v>
      </c>
      <c r="C409" s="330" t="s">
        <v>5394</v>
      </c>
      <c r="D409" s="330" t="s">
        <v>5395</v>
      </c>
      <c r="E409" s="330" t="s">
        <v>37248</v>
      </c>
      <c r="F409" s="331">
        <v>0.21</v>
      </c>
      <c r="G409" s="332">
        <v>7086</v>
      </c>
      <c r="H409" s="333">
        <v>8575</v>
      </c>
    </row>
    <row r="410" spans="1:8">
      <c r="A410" s="317">
        <v>1607000162</v>
      </c>
      <c r="B410" s="317" t="s">
        <v>44780</v>
      </c>
      <c r="C410" s="330" t="s">
        <v>5396</v>
      </c>
      <c r="D410" s="330" t="s">
        <v>5397</v>
      </c>
      <c r="E410" s="330" t="s">
        <v>4623</v>
      </c>
      <c r="F410" s="331">
        <v>0.21</v>
      </c>
      <c r="G410" s="332">
        <v>6631</v>
      </c>
      <c r="H410" s="333">
        <v>8024</v>
      </c>
    </row>
    <row r="411" spans="1:8">
      <c r="A411" s="317">
        <v>1607000298</v>
      </c>
      <c r="B411" s="317" t="s">
        <v>44781</v>
      </c>
      <c r="C411" s="330" t="s">
        <v>5398</v>
      </c>
      <c r="D411" s="330" t="s">
        <v>5399</v>
      </c>
      <c r="E411" s="330" t="s">
        <v>37248</v>
      </c>
      <c r="F411" s="331">
        <v>0.21</v>
      </c>
      <c r="G411" s="332">
        <v>5579</v>
      </c>
      <c r="H411" s="333">
        <v>6751</v>
      </c>
    </row>
    <row r="412" spans="1:8">
      <c r="A412" s="317">
        <v>1607000354</v>
      </c>
      <c r="B412" s="317" t="s">
        <v>44782</v>
      </c>
      <c r="C412" s="330" t="s">
        <v>5400</v>
      </c>
      <c r="D412" s="330" t="s">
        <v>5401</v>
      </c>
      <c r="E412" s="330" t="s">
        <v>37248</v>
      </c>
      <c r="F412" s="331">
        <v>0.21</v>
      </c>
      <c r="G412" s="332">
        <v>7812</v>
      </c>
      <c r="H412" s="333">
        <v>9453</v>
      </c>
    </row>
    <row r="413" spans="1:8">
      <c r="A413" s="317">
        <v>1607000378</v>
      </c>
      <c r="B413" s="317" t="s">
        <v>44783</v>
      </c>
      <c r="C413" s="330" t="s">
        <v>5402</v>
      </c>
      <c r="D413" s="330" t="s">
        <v>5403</v>
      </c>
      <c r="E413" s="330" t="s">
        <v>37248</v>
      </c>
      <c r="F413" s="331">
        <v>0.21</v>
      </c>
      <c r="G413" s="332">
        <v>7952</v>
      </c>
      <c r="H413" s="333">
        <v>9622</v>
      </c>
    </row>
    <row r="414" spans="1:8">
      <c r="A414" s="317">
        <v>1607000480</v>
      </c>
      <c r="B414" s="317" t="s">
        <v>44784</v>
      </c>
      <c r="C414" s="330" t="s">
        <v>5404</v>
      </c>
      <c r="D414" s="330" t="s">
        <v>5405</v>
      </c>
      <c r="E414" s="330" t="s">
        <v>37248</v>
      </c>
      <c r="F414" s="331">
        <v>0.21</v>
      </c>
      <c r="G414" s="332">
        <v>137712</v>
      </c>
      <c r="H414" s="333">
        <v>166632</v>
      </c>
    </row>
    <row r="415" spans="1:8">
      <c r="A415" s="317">
        <v>1607000967</v>
      </c>
      <c r="B415" s="317" t="s">
        <v>44785</v>
      </c>
      <c r="C415" s="330" t="s">
        <v>5406</v>
      </c>
      <c r="D415" s="330" t="s">
        <v>5407</v>
      </c>
      <c r="E415" s="330" t="s">
        <v>37248</v>
      </c>
      <c r="F415" s="331">
        <v>0.21</v>
      </c>
      <c r="G415" s="332">
        <v>37041</v>
      </c>
      <c r="H415" s="333">
        <v>44820</v>
      </c>
    </row>
    <row r="416" spans="1:8">
      <c r="A416" s="317" t="s">
        <v>37473</v>
      </c>
      <c r="B416" s="317" t="s">
        <v>44786</v>
      </c>
      <c r="C416" s="330" t="s">
        <v>5408</v>
      </c>
      <c r="D416" s="330" t="s">
        <v>5409</v>
      </c>
      <c r="E416" s="330" t="s">
        <v>37248</v>
      </c>
      <c r="F416" s="331">
        <v>0.21</v>
      </c>
      <c r="G416" s="332">
        <v>39774</v>
      </c>
      <c r="H416" s="333">
        <v>48127</v>
      </c>
    </row>
    <row r="417" spans="1:8">
      <c r="A417" s="317" t="s">
        <v>37474</v>
      </c>
      <c r="B417" s="317" t="s">
        <v>44787</v>
      </c>
      <c r="C417" s="330" t="s">
        <v>5410</v>
      </c>
      <c r="D417" s="330" t="s">
        <v>5411</v>
      </c>
      <c r="E417" s="330" t="s">
        <v>37248</v>
      </c>
      <c r="F417" s="331">
        <v>0.21</v>
      </c>
      <c r="G417" s="332">
        <v>3964</v>
      </c>
      <c r="H417" s="333">
        <v>4797</v>
      </c>
    </row>
    <row r="418" spans="1:8">
      <c r="A418" s="317" t="s">
        <v>37475</v>
      </c>
      <c r="B418" s="317" t="s">
        <v>44788</v>
      </c>
      <c r="C418" s="330" t="s">
        <v>5412</v>
      </c>
      <c r="D418" s="330" t="s">
        <v>5413</v>
      </c>
      <c r="E418" s="330" t="s">
        <v>37248</v>
      </c>
      <c r="F418" s="331">
        <v>0.21</v>
      </c>
      <c r="G418" s="332">
        <v>2351</v>
      </c>
      <c r="H418" s="333">
        <v>2845</v>
      </c>
    </row>
    <row r="419" spans="1:8">
      <c r="A419" s="317" t="s">
        <v>37476</v>
      </c>
      <c r="B419" s="317" t="s">
        <v>44789</v>
      </c>
      <c r="C419" s="330" t="s">
        <v>5414</v>
      </c>
      <c r="D419" s="330" t="s">
        <v>5415</v>
      </c>
      <c r="E419" s="330" t="s">
        <v>37248</v>
      </c>
      <c r="F419" s="331">
        <v>0.21</v>
      </c>
      <c r="G419" s="332">
        <v>29403</v>
      </c>
      <c r="H419" s="333">
        <v>35578</v>
      </c>
    </row>
    <row r="420" spans="1:8">
      <c r="A420" s="317" t="s">
        <v>37477</v>
      </c>
      <c r="B420" s="317" t="s">
        <v>44790</v>
      </c>
      <c r="C420" s="330" t="s">
        <v>5416</v>
      </c>
      <c r="D420" s="330" t="s">
        <v>5417</v>
      </c>
      <c r="E420" s="330" t="s">
        <v>37248</v>
      </c>
      <c r="F420" s="331">
        <v>0.21</v>
      </c>
      <c r="G420" s="332">
        <v>1440</v>
      </c>
      <c r="H420" s="333">
        <v>1743</v>
      </c>
    </row>
    <row r="421" spans="1:8">
      <c r="A421" s="317" t="s">
        <v>37478</v>
      </c>
      <c r="B421" s="317" t="s">
        <v>44791</v>
      </c>
      <c r="C421" s="330" t="s">
        <v>5418</v>
      </c>
      <c r="D421" s="330" t="s">
        <v>5419</v>
      </c>
      <c r="E421" s="330" t="s">
        <v>37248</v>
      </c>
      <c r="F421" s="331">
        <v>0.21</v>
      </c>
      <c r="G421" s="332">
        <v>57431</v>
      </c>
      <c r="H421" s="333">
        <v>69492</v>
      </c>
    </row>
    <row r="422" spans="1:8">
      <c r="A422" s="317" t="s">
        <v>37479</v>
      </c>
      <c r="B422" s="317" t="s">
        <v>44792</v>
      </c>
      <c r="C422" s="330" t="s">
        <v>5420</v>
      </c>
      <c r="D422" s="330" t="s">
        <v>5421</v>
      </c>
      <c r="E422" s="330" t="s">
        <v>37248</v>
      </c>
      <c r="F422" s="331">
        <v>0.21</v>
      </c>
      <c r="G422" s="332">
        <v>45931</v>
      </c>
      <c r="H422" s="333">
        <v>55577</v>
      </c>
    </row>
    <row r="423" spans="1:8">
      <c r="A423" s="317" t="s">
        <v>37480</v>
      </c>
      <c r="B423" s="317" t="s">
        <v>44793</v>
      </c>
      <c r="C423" s="330" t="s">
        <v>5422</v>
      </c>
      <c r="D423" s="330" t="s">
        <v>5423</v>
      </c>
      <c r="E423" s="330" t="s">
        <v>37248</v>
      </c>
      <c r="F423" s="331">
        <v>0.21</v>
      </c>
      <c r="G423" s="332">
        <v>49050</v>
      </c>
      <c r="H423" s="333">
        <v>59351</v>
      </c>
    </row>
    <row r="424" spans="1:8">
      <c r="A424" s="317" t="s">
        <v>37481</v>
      </c>
      <c r="B424" s="317" t="s">
        <v>44794</v>
      </c>
      <c r="C424" s="330" t="s">
        <v>5424</v>
      </c>
      <c r="D424" s="330" t="s">
        <v>5425</v>
      </c>
      <c r="E424" s="330" t="s">
        <v>37248</v>
      </c>
      <c r="F424" s="331">
        <v>0.21</v>
      </c>
      <c r="G424" s="332">
        <v>27860</v>
      </c>
      <c r="H424" s="333">
        <v>33711</v>
      </c>
    </row>
    <row r="425" spans="1:8">
      <c r="A425" s="317" t="s">
        <v>37482</v>
      </c>
      <c r="B425" s="317" t="s">
        <v>44795</v>
      </c>
      <c r="C425" s="330" t="s">
        <v>5426</v>
      </c>
      <c r="D425" s="330" t="s">
        <v>5427</v>
      </c>
      <c r="E425" s="330" t="s">
        <v>37248</v>
      </c>
      <c r="F425" s="331">
        <v>0.21</v>
      </c>
      <c r="G425" s="332">
        <v>4633</v>
      </c>
      <c r="H425" s="333">
        <v>5606</v>
      </c>
    </row>
    <row r="426" spans="1:8">
      <c r="A426" s="317" t="s">
        <v>37483</v>
      </c>
      <c r="B426" s="317" t="s">
        <v>44796</v>
      </c>
      <c r="C426" s="330" t="s">
        <v>5428</v>
      </c>
      <c r="D426" s="330" t="s">
        <v>5429</v>
      </c>
      <c r="E426" s="330" t="s">
        <v>37248</v>
      </c>
      <c r="F426" s="331">
        <v>0.21</v>
      </c>
      <c r="G426" s="332">
        <v>3377</v>
      </c>
      <c r="H426" s="333">
        <v>4087</v>
      </c>
    </row>
    <row r="427" spans="1:8">
      <c r="A427" s="317">
        <v>1607001007</v>
      </c>
      <c r="B427" s="317" t="s">
        <v>44797</v>
      </c>
      <c r="C427" s="330" t="s">
        <v>5430</v>
      </c>
      <c r="D427" s="330" t="s">
        <v>5431</v>
      </c>
      <c r="E427" s="330" t="s">
        <v>37248</v>
      </c>
      <c r="F427" s="331">
        <v>0.21</v>
      </c>
      <c r="G427" s="332">
        <v>7267</v>
      </c>
      <c r="H427" s="333">
        <v>8794</v>
      </c>
    </row>
    <row r="428" spans="1:8">
      <c r="A428" s="317">
        <v>1607014139</v>
      </c>
      <c r="B428" s="317" t="s">
        <v>44798</v>
      </c>
      <c r="C428" s="330" t="s">
        <v>5432</v>
      </c>
      <c r="D428" s="330" t="s">
        <v>5433</v>
      </c>
      <c r="E428" s="330" t="s">
        <v>37248</v>
      </c>
      <c r="F428" s="331">
        <v>0.21</v>
      </c>
      <c r="G428" s="332">
        <v>13409</v>
      </c>
      <c r="H428" s="333">
        <v>16225</v>
      </c>
    </row>
    <row r="429" spans="1:8">
      <c r="A429" s="317" t="s">
        <v>37484</v>
      </c>
      <c r="B429" s="317" t="s">
        <v>44799</v>
      </c>
      <c r="C429" s="330" t="s">
        <v>5434</v>
      </c>
      <c r="D429" s="330" t="s">
        <v>5435</v>
      </c>
      <c r="E429" s="330" t="s">
        <v>37248</v>
      </c>
      <c r="F429" s="331">
        <v>0.21</v>
      </c>
      <c r="G429" s="332">
        <v>7267</v>
      </c>
      <c r="H429" s="333">
        <v>8794</v>
      </c>
    </row>
    <row r="430" spans="1:8">
      <c r="A430" s="317">
        <v>1607022609</v>
      </c>
      <c r="B430" s="317" t="s">
        <v>44800</v>
      </c>
      <c r="C430" s="330" t="s">
        <v>5436</v>
      </c>
      <c r="D430" s="330" t="s">
        <v>5437</v>
      </c>
      <c r="E430" s="330" t="s">
        <v>37248</v>
      </c>
      <c r="F430" s="331">
        <v>0.21</v>
      </c>
      <c r="G430" s="332">
        <v>66222</v>
      </c>
      <c r="H430" s="333">
        <v>80129</v>
      </c>
    </row>
    <row r="431" spans="1:8">
      <c r="A431" s="317">
        <v>1607200244</v>
      </c>
      <c r="B431" s="317" t="s">
        <v>44801</v>
      </c>
      <c r="C431" s="330" t="s">
        <v>5438</v>
      </c>
      <c r="D431" s="330" t="s">
        <v>5439</v>
      </c>
      <c r="E431" s="330" t="s">
        <v>37248</v>
      </c>
      <c r="F431" s="331">
        <v>0.21</v>
      </c>
      <c r="G431" s="332">
        <v>35669</v>
      </c>
      <c r="H431" s="333">
        <v>43160</v>
      </c>
    </row>
    <row r="432" spans="1:8">
      <c r="A432" s="317">
        <v>1607200332</v>
      </c>
      <c r="B432" s="317" t="s">
        <v>44802</v>
      </c>
      <c r="C432" s="330" t="s">
        <v>5440</v>
      </c>
      <c r="D432" s="330" t="s">
        <v>5441</v>
      </c>
      <c r="E432" s="330" t="s">
        <v>37248</v>
      </c>
      <c r="F432" s="331">
        <v>0.21</v>
      </c>
      <c r="G432" s="332">
        <v>92202</v>
      </c>
      <c r="H432" s="333">
        <v>111565</v>
      </c>
    </row>
    <row r="433" spans="1:8">
      <c r="A433" s="317">
        <v>1607200363</v>
      </c>
      <c r="B433" s="317" t="s">
        <v>44803</v>
      </c>
      <c r="C433" s="330" t="s">
        <v>5442</v>
      </c>
      <c r="D433" s="330" t="s">
        <v>5443</v>
      </c>
      <c r="E433" s="330" t="s">
        <v>37248</v>
      </c>
      <c r="F433" s="331">
        <v>0.21</v>
      </c>
      <c r="G433" s="332">
        <v>14758</v>
      </c>
      <c r="H433" s="333">
        <v>17858</v>
      </c>
    </row>
    <row r="434" spans="1:8">
      <c r="A434" s="317">
        <v>1607233234</v>
      </c>
      <c r="B434" s="317" t="s">
        <v>44804</v>
      </c>
      <c r="C434" s="330" t="s">
        <v>5444</v>
      </c>
      <c r="D434" s="330" t="s">
        <v>5445</v>
      </c>
      <c r="E434" s="330" t="s">
        <v>37248</v>
      </c>
      <c r="F434" s="331">
        <v>0.21</v>
      </c>
      <c r="G434" s="332">
        <v>44108</v>
      </c>
      <c r="H434" s="333">
        <v>53371</v>
      </c>
    </row>
    <row r="435" spans="1:8">
      <c r="A435" s="317">
        <v>1607233443</v>
      </c>
      <c r="B435" s="317" t="s">
        <v>44805</v>
      </c>
      <c r="C435" s="330" t="s">
        <v>5446</v>
      </c>
      <c r="D435" s="330" t="s">
        <v>5447</v>
      </c>
      <c r="E435" s="330" t="s">
        <v>37248</v>
      </c>
      <c r="F435" s="331">
        <v>0.21</v>
      </c>
      <c r="G435" s="332">
        <v>66880</v>
      </c>
      <c r="H435" s="333">
        <v>80925</v>
      </c>
    </row>
    <row r="436" spans="1:8">
      <c r="A436" s="317">
        <v>1607233452</v>
      </c>
      <c r="B436" s="317" t="s">
        <v>44806</v>
      </c>
      <c r="C436" s="330" t="s">
        <v>5448</v>
      </c>
      <c r="D436" s="330" t="s">
        <v>5449</v>
      </c>
      <c r="E436" s="330" t="s">
        <v>37248</v>
      </c>
      <c r="F436" s="331">
        <v>0.21</v>
      </c>
      <c r="G436" s="332">
        <v>51720</v>
      </c>
      <c r="H436" s="333">
        <v>62582</v>
      </c>
    </row>
    <row r="437" spans="1:8">
      <c r="A437" s="317">
        <v>1607233475</v>
      </c>
      <c r="B437" s="317" t="s">
        <v>44807</v>
      </c>
      <c r="C437" s="330" t="s">
        <v>5450</v>
      </c>
      <c r="D437" s="330" t="s">
        <v>5451</v>
      </c>
      <c r="E437" s="330" t="s">
        <v>4634</v>
      </c>
      <c r="F437" s="331">
        <v>0.21</v>
      </c>
      <c r="G437" s="332">
        <v>40071</v>
      </c>
      <c r="H437" s="333">
        <v>48486</v>
      </c>
    </row>
    <row r="438" spans="1:8">
      <c r="A438" s="317">
        <v>1607233560</v>
      </c>
      <c r="B438" s="317" t="s">
        <v>44808</v>
      </c>
      <c r="C438" s="330" t="s">
        <v>5452</v>
      </c>
      <c r="D438" s="330" t="s">
        <v>5453</v>
      </c>
      <c r="E438" s="330" t="s">
        <v>37248</v>
      </c>
      <c r="F438" s="331">
        <v>0.21</v>
      </c>
      <c r="G438" s="332">
        <v>48046</v>
      </c>
      <c r="H438" s="333">
        <v>58136</v>
      </c>
    </row>
    <row r="439" spans="1:8">
      <c r="A439" s="317" t="s">
        <v>37485</v>
      </c>
      <c r="B439" s="317" t="s">
        <v>44809</v>
      </c>
      <c r="C439" s="330" t="s">
        <v>5454</v>
      </c>
      <c r="D439" s="330" t="s">
        <v>5455</v>
      </c>
      <c r="E439" s="330" t="s">
        <v>37248</v>
      </c>
      <c r="F439" s="331">
        <v>0.21</v>
      </c>
      <c r="G439" s="332">
        <v>38000</v>
      </c>
      <c r="H439" s="333">
        <v>45980</v>
      </c>
    </row>
    <row r="440" spans="1:8">
      <c r="A440" s="317" t="s">
        <v>37486</v>
      </c>
      <c r="B440" s="317" t="s">
        <v>44810</v>
      </c>
      <c r="C440" s="330" t="s">
        <v>5456</v>
      </c>
      <c r="D440" s="330" t="s">
        <v>5457</v>
      </c>
      <c r="E440" s="330" t="s">
        <v>37248</v>
      </c>
      <c r="F440" s="331">
        <v>0.21</v>
      </c>
      <c r="G440" s="332">
        <v>52034</v>
      </c>
      <c r="H440" s="333">
        <v>62962</v>
      </c>
    </row>
    <row r="441" spans="1:8">
      <c r="A441" s="317" t="s">
        <v>37487</v>
      </c>
      <c r="B441" s="317" t="s">
        <v>44811</v>
      </c>
      <c r="C441" s="330" t="s">
        <v>5458</v>
      </c>
      <c r="D441" s="330" t="s">
        <v>5459</v>
      </c>
      <c r="E441" s="330" t="s">
        <v>4634</v>
      </c>
      <c r="F441" s="331">
        <v>0.21</v>
      </c>
      <c r="G441" s="332">
        <v>69218</v>
      </c>
      <c r="H441" s="333">
        <v>83754</v>
      </c>
    </row>
    <row r="442" spans="1:8">
      <c r="A442" s="317" t="s">
        <v>37488</v>
      </c>
      <c r="B442" s="317" t="s">
        <v>44812</v>
      </c>
      <c r="C442" s="330" t="s">
        <v>5460</v>
      </c>
      <c r="D442" s="330" t="s">
        <v>5461</v>
      </c>
      <c r="E442" s="330" t="s">
        <v>4634</v>
      </c>
      <c r="F442" s="331">
        <v>0.21</v>
      </c>
      <c r="G442" s="332">
        <v>56335</v>
      </c>
      <c r="H442" s="333">
        <v>68166</v>
      </c>
    </row>
    <row r="443" spans="1:8">
      <c r="A443" s="317">
        <v>1608005004</v>
      </c>
      <c r="B443" s="317" t="s">
        <v>44813</v>
      </c>
      <c r="C443" s="330" t="s">
        <v>5462</v>
      </c>
      <c r="D443" s="330" t="s">
        <v>5463</v>
      </c>
      <c r="E443" s="330" t="s">
        <v>4819</v>
      </c>
      <c r="F443" s="331">
        <v>0.21</v>
      </c>
      <c r="G443" s="332">
        <v>16487</v>
      </c>
      <c r="H443" s="333">
        <v>19950</v>
      </c>
    </row>
    <row r="444" spans="1:8">
      <c r="A444" s="317" t="s">
        <v>37489</v>
      </c>
      <c r="B444" s="317" t="s">
        <v>44814</v>
      </c>
      <c r="C444" s="330" t="s">
        <v>5464</v>
      </c>
      <c r="D444" s="330" t="s">
        <v>5465</v>
      </c>
      <c r="E444" s="330" t="s">
        <v>37248</v>
      </c>
      <c r="F444" s="331">
        <v>0.21</v>
      </c>
      <c r="G444" s="332">
        <v>7633</v>
      </c>
      <c r="H444" s="333">
        <v>9236</v>
      </c>
    </row>
    <row r="445" spans="1:8">
      <c r="A445" s="317">
        <v>1610205010</v>
      </c>
      <c r="B445" s="317" t="s">
        <v>44815</v>
      </c>
      <c r="C445" s="330" t="s">
        <v>5466</v>
      </c>
      <c r="D445" s="330" t="s">
        <v>5467</v>
      </c>
      <c r="E445" s="330" t="s">
        <v>4819</v>
      </c>
      <c r="F445" s="331">
        <v>0.21</v>
      </c>
      <c r="G445" s="332">
        <v>1784</v>
      </c>
      <c r="H445" s="333">
        <v>2159</v>
      </c>
    </row>
    <row r="446" spans="1:8">
      <c r="A446" s="317">
        <v>1610210091</v>
      </c>
      <c r="B446" s="317" t="s">
        <v>44816</v>
      </c>
      <c r="C446" s="330" t="s">
        <v>5468</v>
      </c>
      <c r="D446" s="330" t="s">
        <v>5469</v>
      </c>
      <c r="E446" s="330" t="s">
        <v>37248</v>
      </c>
      <c r="F446" s="331">
        <v>0.21</v>
      </c>
      <c r="G446" s="332">
        <v>4524</v>
      </c>
      <c r="H446" s="333">
        <v>5475</v>
      </c>
    </row>
    <row r="447" spans="1:8">
      <c r="A447" s="317">
        <v>1610210105</v>
      </c>
      <c r="B447" s="317" t="s">
        <v>44817</v>
      </c>
      <c r="C447" s="330" t="s">
        <v>5470</v>
      </c>
      <c r="D447" s="330" t="s">
        <v>5471</v>
      </c>
      <c r="E447" s="330" t="s">
        <v>37248</v>
      </c>
      <c r="F447" s="331">
        <v>0.21</v>
      </c>
      <c r="G447" s="332">
        <v>3917</v>
      </c>
      <c r="H447" s="333">
        <v>4740</v>
      </c>
    </row>
    <row r="448" spans="1:8">
      <c r="A448" s="317">
        <v>1610210144</v>
      </c>
      <c r="B448" s="317" t="s">
        <v>44818</v>
      </c>
      <c r="C448" s="330" t="s">
        <v>5472</v>
      </c>
      <c r="D448" s="330" t="s">
        <v>5473</v>
      </c>
      <c r="E448" s="330" t="s">
        <v>37248</v>
      </c>
      <c r="F448" s="331">
        <v>0.21</v>
      </c>
      <c r="G448" s="332">
        <v>4051</v>
      </c>
      <c r="H448" s="333">
        <v>4902</v>
      </c>
    </row>
    <row r="449" spans="1:8">
      <c r="A449" s="317">
        <v>1610210176</v>
      </c>
      <c r="B449" s="317" t="s">
        <v>44819</v>
      </c>
      <c r="C449" s="330" t="s">
        <v>5474</v>
      </c>
      <c r="D449" s="330" t="s">
        <v>4830</v>
      </c>
      <c r="E449" s="330" t="s">
        <v>37248</v>
      </c>
      <c r="F449" s="331">
        <v>0.21</v>
      </c>
      <c r="G449" s="332">
        <v>1643</v>
      </c>
      <c r="H449" s="333">
        <v>1989</v>
      </c>
    </row>
    <row r="450" spans="1:8">
      <c r="A450" s="317">
        <v>1610210178</v>
      </c>
      <c r="B450" s="317" t="s">
        <v>44820</v>
      </c>
      <c r="C450" s="330" t="s">
        <v>5475</v>
      </c>
      <c r="D450" s="330" t="s">
        <v>4830</v>
      </c>
      <c r="E450" s="330" t="s">
        <v>37248</v>
      </c>
      <c r="F450" s="331">
        <v>0.21</v>
      </c>
      <c r="G450" s="332">
        <v>2395</v>
      </c>
      <c r="H450" s="333">
        <v>2898</v>
      </c>
    </row>
    <row r="451" spans="1:8">
      <c r="A451" s="317">
        <v>1610210179</v>
      </c>
      <c r="B451" s="317" t="s">
        <v>44821</v>
      </c>
      <c r="C451" s="330" t="s">
        <v>5476</v>
      </c>
      <c r="D451" s="330" t="s">
        <v>5477</v>
      </c>
      <c r="E451" s="330" t="s">
        <v>37248</v>
      </c>
      <c r="F451" s="331">
        <v>0.21</v>
      </c>
      <c r="G451" s="332">
        <v>2417</v>
      </c>
      <c r="H451" s="333">
        <v>2925</v>
      </c>
    </row>
    <row r="452" spans="1:8">
      <c r="A452" s="317">
        <v>1610210186</v>
      </c>
      <c r="B452" s="317" t="s">
        <v>44822</v>
      </c>
      <c r="C452" s="330" t="s">
        <v>5478</v>
      </c>
      <c r="D452" s="330" t="s">
        <v>5479</v>
      </c>
      <c r="E452" s="330" t="s">
        <v>4634</v>
      </c>
      <c r="F452" s="331">
        <v>0.21</v>
      </c>
      <c r="G452" s="332">
        <v>2656</v>
      </c>
      <c r="H452" s="333">
        <v>3214</v>
      </c>
    </row>
    <row r="453" spans="1:8">
      <c r="A453" s="317">
        <v>1610210195</v>
      </c>
      <c r="B453" s="317" t="s">
        <v>44823</v>
      </c>
      <c r="C453" s="330" t="s">
        <v>5480</v>
      </c>
      <c r="D453" s="330" t="s">
        <v>5481</v>
      </c>
      <c r="E453" s="330" t="s">
        <v>37248</v>
      </c>
      <c r="F453" s="331">
        <v>0.21</v>
      </c>
      <c r="G453" s="332">
        <v>10962</v>
      </c>
      <c r="H453" s="333">
        <v>13265</v>
      </c>
    </row>
    <row r="454" spans="1:8">
      <c r="A454" s="317">
        <v>1610210218</v>
      </c>
      <c r="B454" s="317" t="s">
        <v>44824</v>
      </c>
      <c r="C454" s="330" t="s">
        <v>5482</v>
      </c>
      <c r="D454" s="330" t="s">
        <v>5483</v>
      </c>
      <c r="E454" s="330" t="s">
        <v>37248</v>
      </c>
      <c r="F454" s="331">
        <v>0.21</v>
      </c>
      <c r="G454" s="332">
        <v>6786</v>
      </c>
      <c r="H454" s="333">
        <v>8212</v>
      </c>
    </row>
    <row r="455" spans="1:8">
      <c r="A455" s="317">
        <v>1610241001</v>
      </c>
      <c r="B455" s="317" t="s">
        <v>44825</v>
      </c>
      <c r="C455" s="330" t="s">
        <v>5484</v>
      </c>
      <c r="D455" s="330" t="s">
        <v>5485</v>
      </c>
      <c r="E455" s="330" t="s">
        <v>37248</v>
      </c>
      <c r="F455" s="331">
        <v>0.21</v>
      </c>
      <c r="G455" s="332">
        <v>3841</v>
      </c>
      <c r="H455" s="333">
        <v>4648</v>
      </c>
    </row>
    <row r="456" spans="1:8">
      <c r="A456" s="317">
        <v>1610283016</v>
      </c>
      <c r="B456" s="317" t="s">
        <v>44826</v>
      </c>
      <c r="C456" s="330" t="s">
        <v>5486</v>
      </c>
      <c r="D456" s="330" t="s">
        <v>5487</v>
      </c>
      <c r="E456" s="330" t="s">
        <v>37248</v>
      </c>
      <c r="F456" s="331">
        <v>0.21</v>
      </c>
      <c r="G456" s="332">
        <v>11381</v>
      </c>
      <c r="H456" s="333">
        <v>13772</v>
      </c>
    </row>
    <row r="457" spans="1:8">
      <c r="A457" s="317">
        <v>1610290069</v>
      </c>
      <c r="B457" s="317" t="s">
        <v>44827</v>
      </c>
      <c r="C457" s="330" t="s">
        <v>5488</v>
      </c>
      <c r="D457" s="330" t="s">
        <v>5489</v>
      </c>
      <c r="E457" s="330" t="s">
        <v>37248</v>
      </c>
      <c r="F457" s="331">
        <v>0.21</v>
      </c>
      <c r="G457" s="332">
        <v>6194</v>
      </c>
      <c r="H457" s="333">
        <v>7495</v>
      </c>
    </row>
    <row r="458" spans="1:8">
      <c r="A458" s="317">
        <v>1610390017</v>
      </c>
      <c r="B458" s="317" t="s">
        <v>44828</v>
      </c>
      <c r="C458" s="330" t="s">
        <v>5490</v>
      </c>
      <c r="D458" s="330" t="s">
        <v>5491</v>
      </c>
      <c r="E458" s="330" t="s">
        <v>37248</v>
      </c>
      <c r="F458" s="331">
        <v>0.21</v>
      </c>
      <c r="G458" s="332">
        <v>6631</v>
      </c>
      <c r="H458" s="333">
        <v>8024</v>
      </c>
    </row>
    <row r="459" spans="1:8">
      <c r="A459" s="317">
        <v>1610499023</v>
      </c>
      <c r="B459" s="317" t="s">
        <v>44829</v>
      </c>
      <c r="C459" s="330" t="s">
        <v>5492</v>
      </c>
      <c r="D459" s="330" t="s">
        <v>5493</v>
      </c>
      <c r="E459" s="330" t="s">
        <v>37248</v>
      </c>
      <c r="F459" s="331">
        <v>0.21</v>
      </c>
      <c r="G459" s="332">
        <v>5962</v>
      </c>
      <c r="H459" s="333">
        <v>7215</v>
      </c>
    </row>
    <row r="460" spans="1:8">
      <c r="A460" s="317">
        <v>1610508038</v>
      </c>
      <c r="B460" s="317" t="s">
        <v>44830</v>
      </c>
      <c r="C460" s="330" t="s">
        <v>5494</v>
      </c>
      <c r="D460" s="330" t="s">
        <v>5495</v>
      </c>
      <c r="E460" s="330" t="s">
        <v>37248</v>
      </c>
      <c r="F460" s="331">
        <v>0.21</v>
      </c>
      <c r="G460" s="332">
        <v>5204</v>
      </c>
      <c r="H460" s="333">
        <v>6297</v>
      </c>
    </row>
    <row r="461" spans="1:8">
      <c r="A461" s="317">
        <v>1610551008</v>
      </c>
      <c r="B461" s="317" t="s">
        <v>44831</v>
      </c>
      <c r="C461" s="330" t="s">
        <v>5496</v>
      </c>
      <c r="D461" s="330" t="s">
        <v>4867</v>
      </c>
      <c r="E461" s="330" t="s">
        <v>37248</v>
      </c>
      <c r="F461" s="331">
        <v>0.21</v>
      </c>
      <c r="G461" s="332">
        <v>2079</v>
      </c>
      <c r="H461" s="333">
        <v>2516</v>
      </c>
    </row>
    <row r="462" spans="1:8">
      <c r="A462" s="317">
        <v>1610590014</v>
      </c>
      <c r="B462" s="317" t="s">
        <v>44832</v>
      </c>
      <c r="C462" s="330" t="s">
        <v>5497</v>
      </c>
      <c r="D462" s="330" t="s">
        <v>5498</v>
      </c>
      <c r="E462" s="330" t="s">
        <v>37248</v>
      </c>
      <c r="F462" s="331">
        <v>0.21</v>
      </c>
      <c r="G462" s="332">
        <v>3571</v>
      </c>
      <c r="H462" s="333">
        <v>4321</v>
      </c>
    </row>
    <row r="463" spans="1:8">
      <c r="A463" s="317">
        <v>1610591016</v>
      </c>
      <c r="B463" s="317" t="s">
        <v>44833</v>
      </c>
      <c r="C463" s="330" t="s">
        <v>5499</v>
      </c>
      <c r="D463" s="330" t="s">
        <v>5500</v>
      </c>
      <c r="E463" s="330" t="s">
        <v>4819</v>
      </c>
      <c r="F463" s="331">
        <v>0.21</v>
      </c>
      <c r="G463" s="332">
        <v>4476</v>
      </c>
      <c r="H463" s="333">
        <v>5416</v>
      </c>
    </row>
    <row r="464" spans="1:8">
      <c r="A464" s="317">
        <v>1610591051</v>
      </c>
      <c r="B464" s="317" t="s">
        <v>44834</v>
      </c>
      <c r="C464" s="330" t="s">
        <v>5501</v>
      </c>
      <c r="D464" s="330" t="s">
        <v>5502</v>
      </c>
      <c r="E464" s="330" t="s">
        <v>37248</v>
      </c>
      <c r="F464" s="331">
        <v>0.21</v>
      </c>
      <c r="G464" s="332">
        <v>5802</v>
      </c>
      <c r="H464" s="333">
        <v>7021</v>
      </c>
    </row>
    <row r="465" spans="1:8">
      <c r="A465" s="317">
        <v>1610905047</v>
      </c>
      <c r="B465" s="317" t="s">
        <v>44835</v>
      </c>
      <c r="C465" s="330" t="s">
        <v>5503</v>
      </c>
      <c r="D465" s="330" t="s">
        <v>5504</v>
      </c>
      <c r="E465" s="330" t="s">
        <v>4819</v>
      </c>
      <c r="F465" s="331">
        <v>0.21</v>
      </c>
      <c r="G465" s="332">
        <v>5539</v>
      </c>
      <c r="H465" s="333">
        <v>6703</v>
      </c>
    </row>
    <row r="466" spans="1:8">
      <c r="A466" s="317">
        <v>1610910092</v>
      </c>
      <c r="B466" s="317" t="s">
        <v>44836</v>
      </c>
      <c r="C466" s="330" t="s">
        <v>5505</v>
      </c>
      <c r="D466" s="330" t="s">
        <v>5506</v>
      </c>
      <c r="E466" s="330" t="s">
        <v>37248</v>
      </c>
      <c r="F466" s="331">
        <v>0.21</v>
      </c>
      <c r="G466" s="332">
        <v>16701</v>
      </c>
      <c r="H466" s="333">
        <v>20209</v>
      </c>
    </row>
    <row r="467" spans="1:8">
      <c r="A467" s="317">
        <v>1610913016</v>
      </c>
      <c r="B467" s="317" t="s">
        <v>44837</v>
      </c>
      <c r="C467" s="330" t="s">
        <v>5507</v>
      </c>
      <c r="D467" s="330" t="s">
        <v>5508</v>
      </c>
      <c r="E467" s="330" t="s">
        <v>37248</v>
      </c>
      <c r="F467" s="331">
        <v>0.21</v>
      </c>
      <c r="G467" s="332">
        <v>4220</v>
      </c>
      <c r="H467" s="333">
        <v>5107</v>
      </c>
    </row>
    <row r="468" spans="1:8">
      <c r="A468" s="317">
        <v>1612001033</v>
      </c>
      <c r="B468" s="317" t="s">
        <v>44838</v>
      </c>
      <c r="C468" s="330" t="s">
        <v>5509</v>
      </c>
      <c r="D468" s="330" t="s">
        <v>5510</v>
      </c>
      <c r="E468" s="330" t="s">
        <v>37248</v>
      </c>
      <c r="F468" s="331">
        <v>0.21</v>
      </c>
      <c r="G468" s="332">
        <v>14468</v>
      </c>
      <c r="H468" s="333">
        <v>17507</v>
      </c>
    </row>
    <row r="469" spans="1:8">
      <c r="A469" s="317">
        <v>1612300025</v>
      </c>
      <c r="B469" s="317" t="s">
        <v>44839</v>
      </c>
      <c r="C469" s="330" t="s">
        <v>5511</v>
      </c>
      <c r="D469" s="330" t="s">
        <v>5512</v>
      </c>
      <c r="E469" s="330" t="s">
        <v>37248</v>
      </c>
      <c r="F469" s="331">
        <v>0.21</v>
      </c>
      <c r="G469" s="332">
        <v>12786</v>
      </c>
      <c r="H469" s="333">
        <v>15472</v>
      </c>
    </row>
    <row r="470" spans="1:8">
      <c r="A470" s="317">
        <v>1613101006</v>
      </c>
      <c r="B470" s="317" t="s">
        <v>44840</v>
      </c>
      <c r="C470" s="330" t="s">
        <v>5513</v>
      </c>
      <c r="D470" s="330" t="s">
        <v>5514</v>
      </c>
      <c r="E470" s="330" t="s">
        <v>37248</v>
      </c>
      <c r="F470" s="331">
        <v>0.21</v>
      </c>
      <c r="G470" s="332">
        <v>5112</v>
      </c>
      <c r="H470" s="333">
        <v>6186</v>
      </c>
    </row>
    <row r="471" spans="1:8">
      <c r="A471" s="317">
        <v>1613124040</v>
      </c>
      <c r="B471" s="317" t="s">
        <v>44841</v>
      </c>
      <c r="C471" s="330" t="s">
        <v>5515</v>
      </c>
      <c r="D471" s="330" t="s">
        <v>5516</v>
      </c>
      <c r="E471" s="330" t="s">
        <v>37248</v>
      </c>
      <c r="F471" s="331">
        <v>0.21</v>
      </c>
      <c r="G471" s="332">
        <v>10388</v>
      </c>
      <c r="H471" s="333">
        <v>12570</v>
      </c>
    </row>
    <row r="472" spans="1:8">
      <c r="A472" s="317">
        <v>1613124052</v>
      </c>
      <c r="B472" s="317" t="s">
        <v>44842</v>
      </c>
      <c r="C472" s="330" t="s">
        <v>5517</v>
      </c>
      <c r="D472" s="330" t="s">
        <v>5518</v>
      </c>
      <c r="E472" s="330" t="s">
        <v>37248</v>
      </c>
      <c r="F472" s="331">
        <v>0.21</v>
      </c>
      <c r="G472" s="332">
        <v>11352</v>
      </c>
      <c r="H472" s="333">
        <v>13736</v>
      </c>
    </row>
    <row r="473" spans="1:8">
      <c r="A473" s="317">
        <v>1613124088</v>
      </c>
      <c r="B473" s="317" t="s">
        <v>44843</v>
      </c>
      <c r="C473" s="330" t="s">
        <v>5519</v>
      </c>
      <c r="D473" s="330" t="s">
        <v>5520</v>
      </c>
      <c r="E473" s="330" t="s">
        <v>37248</v>
      </c>
      <c r="F473" s="331">
        <v>0.21</v>
      </c>
      <c r="G473" s="332">
        <v>38246</v>
      </c>
      <c r="H473" s="333">
        <v>46278</v>
      </c>
    </row>
    <row r="474" spans="1:8">
      <c r="A474" s="317">
        <v>1613200020</v>
      </c>
      <c r="B474" s="317" t="s">
        <v>44844</v>
      </c>
      <c r="C474" s="330" t="s">
        <v>5521</v>
      </c>
      <c r="D474" s="330" t="s">
        <v>5522</v>
      </c>
      <c r="E474" s="330" t="s">
        <v>37248</v>
      </c>
      <c r="F474" s="331">
        <v>0.21</v>
      </c>
      <c r="G474" s="332">
        <v>3183</v>
      </c>
      <c r="H474" s="333">
        <v>3852</v>
      </c>
    </row>
    <row r="475" spans="1:8">
      <c r="A475" s="317">
        <v>1614010711</v>
      </c>
      <c r="B475" s="317" t="s">
        <v>44845</v>
      </c>
      <c r="C475" s="330" t="s">
        <v>5523</v>
      </c>
      <c r="D475" s="330" t="s">
        <v>5524</v>
      </c>
      <c r="E475" s="330" t="s">
        <v>37248</v>
      </c>
      <c r="F475" s="331">
        <v>0.21</v>
      </c>
      <c r="G475" s="332">
        <v>44539</v>
      </c>
      <c r="H475" s="333">
        <v>53893</v>
      </c>
    </row>
    <row r="476" spans="1:8">
      <c r="A476" s="317">
        <v>1614011091</v>
      </c>
      <c r="B476" s="317" t="s">
        <v>44846</v>
      </c>
      <c r="C476" s="330" t="s">
        <v>5525</v>
      </c>
      <c r="D476" s="330" t="s">
        <v>5526</v>
      </c>
      <c r="E476" s="330" t="s">
        <v>37248</v>
      </c>
      <c r="F476" s="331">
        <v>0.21</v>
      </c>
      <c r="G476" s="332">
        <v>266130</v>
      </c>
      <c r="H476" s="333">
        <v>322018</v>
      </c>
    </row>
    <row r="477" spans="1:8">
      <c r="A477" s="317">
        <v>1614011120</v>
      </c>
      <c r="B477" s="317" t="s">
        <v>44847</v>
      </c>
      <c r="C477" s="330" t="s">
        <v>5527</v>
      </c>
      <c r="D477" s="330" t="s">
        <v>5528</v>
      </c>
      <c r="E477" s="330" t="s">
        <v>37248</v>
      </c>
      <c r="F477" s="331">
        <v>0.21</v>
      </c>
      <c r="G477" s="332">
        <v>175956</v>
      </c>
      <c r="H477" s="333">
        <v>212907</v>
      </c>
    </row>
    <row r="478" spans="1:8">
      <c r="A478" s="317">
        <v>1614220123</v>
      </c>
      <c r="B478" s="317" t="s">
        <v>44848</v>
      </c>
      <c r="C478" s="330" t="s">
        <v>5529</v>
      </c>
      <c r="D478" s="330" t="s">
        <v>5530</v>
      </c>
      <c r="E478" s="330" t="s">
        <v>37248</v>
      </c>
      <c r="F478" s="331">
        <v>0.21</v>
      </c>
      <c r="G478" s="332">
        <v>51278</v>
      </c>
      <c r="H478" s="333">
        <v>62047</v>
      </c>
    </row>
    <row r="479" spans="1:8">
      <c r="A479" s="317">
        <v>1614220219</v>
      </c>
      <c r="B479" s="317" t="s">
        <v>44849</v>
      </c>
      <c r="C479" s="330" t="s">
        <v>5531</v>
      </c>
      <c r="D479" s="330" t="s">
        <v>5532</v>
      </c>
      <c r="E479" s="330" t="s">
        <v>4634</v>
      </c>
      <c r="F479" s="331">
        <v>0.21</v>
      </c>
      <c r="G479" s="332">
        <v>16398</v>
      </c>
      <c r="H479" s="333">
        <v>19842</v>
      </c>
    </row>
    <row r="480" spans="1:8">
      <c r="A480" s="317">
        <v>1614220227</v>
      </c>
      <c r="B480" s="317" t="s">
        <v>44850</v>
      </c>
      <c r="C480" s="330" t="s">
        <v>5533</v>
      </c>
      <c r="D480" s="330" t="s">
        <v>5534</v>
      </c>
      <c r="E480" s="330" t="s">
        <v>37248</v>
      </c>
      <c r="F480" s="331">
        <v>0.21</v>
      </c>
      <c r="G480" s="332">
        <v>28201</v>
      </c>
      <c r="H480" s="333">
        <v>34124</v>
      </c>
    </row>
    <row r="481" spans="1:8">
      <c r="A481" s="317">
        <v>1614465011</v>
      </c>
      <c r="B481" s="317" t="s">
        <v>44851</v>
      </c>
      <c r="C481" s="330" t="s">
        <v>5535</v>
      </c>
      <c r="D481" s="330" t="s">
        <v>5536</v>
      </c>
      <c r="E481" s="330" t="s">
        <v>4819</v>
      </c>
      <c r="F481" s="331">
        <v>0.21</v>
      </c>
      <c r="G481" s="332">
        <v>7840</v>
      </c>
      <c r="H481" s="333">
        <v>9487</v>
      </c>
    </row>
    <row r="482" spans="1:8">
      <c r="A482" s="317">
        <v>1614601024</v>
      </c>
      <c r="B482" s="317" t="s">
        <v>44852</v>
      </c>
      <c r="C482" s="330" t="s">
        <v>5537</v>
      </c>
      <c r="D482" s="330" t="s">
        <v>5538</v>
      </c>
      <c r="E482" s="330" t="s">
        <v>37248</v>
      </c>
      <c r="F482" s="331">
        <v>0.21</v>
      </c>
      <c r="G482" s="332">
        <v>2417</v>
      </c>
      <c r="H482" s="333">
        <v>2925</v>
      </c>
    </row>
    <row r="483" spans="1:8">
      <c r="A483" s="317">
        <v>1614601026</v>
      </c>
      <c r="B483" s="317" t="s">
        <v>44853</v>
      </c>
      <c r="C483" s="330" t="s">
        <v>5539</v>
      </c>
      <c r="D483" s="330" t="s">
        <v>5540</v>
      </c>
      <c r="E483" s="330" t="s">
        <v>37248</v>
      </c>
      <c r="F483" s="331">
        <v>0.21</v>
      </c>
      <c r="G483" s="332">
        <v>1924</v>
      </c>
      <c r="H483" s="333">
        <v>2329</v>
      </c>
    </row>
    <row r="484" spans="1:8">
      <c r="A484" s="317">
        <v>1614601027</v>
      </c>
      <c r="B484" s="317" t="s">
        <v>44854</v>
      </c>
      <c r="C484" s="330" t="s">
        <v>5541</v>
      </c>
      <c r="D484" s="330" t="s">
        <v>4909</v>
      </c>
      <c r="E484" s="330" t="s">
        <v>37248</v>
      </c>
      <c r="F484" s="331">
        <v>0.21</v>
      </c>
      <c r="G484" s="332">
        <v>1449</v>
      </c>
      <c r="H484" s="333">
        <v>1754</v>
      </c>
    </row>
    <row r="485" spans="1:8">
      <c r="A485" s="317">
        <v>1614601053</v>
      </c>
      <c r="B485" s="317" t="s">
        <v>44855</v>
      </c>
      <c r="C485" s="330" t="s">
        <v>5542</v>
      </c>
      <c r="D485" s="330" t="s">
        <v>5368</v>
      </c>
      <c r="E485" s="330" t="s">
        <v>37248</v>
      </c>
      <c r="F485" s="331">
        <v>0.21</v>
      </c>
      <c r="G485" s="332">
        <v>1539</v>
      </c>
      <c r="H485" s="333">
        <v>1863</v>
      </c>
    </row>
    <row r="486" spans="1:8">
      <c r="A486" s="317">
        <v>1615430007</v>
      </c>
      <c r="B486" s="317" t="s">
        <v>44856</v>
      </c>
      <c r="C486" s="330" t="s">
        <v>5543</v>
      </c>
      <c r="D486" s="330" t="s">
        <v>5544</v>
      </c>
      <c r="E486" s="330" t="s">
        <v>37248</v>
      </c>
      <c r="F486" s="331">
        <v>0.21</v>
      </c>
      <c r="G486" s="332">
        <v>48911</v>
      </c>
      <c r="H486" s="333">
        <v>59183</v>
      </c>
    </row>
    <row r="487" spans="1:8">
      <c r="A487" s="317">
        <v>1615430016</v>
      </c>
      <c r="B487" s="317" t="s">
        <v>44857</v>
      </c>
      <c r="C487" s="330" t="s">
        <v>5545</v>
      </c>
      <c r="D487" s="330" t="s">
        <v>5546</v>
      </c>
      <c r="E487" s="330" t="s">
        <v>37248</v>
      </c>
      <c r="F487" s="331">
        <v>0.21</v>
      </c>
      <c r="G487" s="332">
        <v>99199</v>
      </c>
      <c r="H487" s="333">
        <v>120031</v>
      </c>
    </row>
    <row r="488" spans="1:8">
      <c r="A488" s="317">
        <v>1615430020</v>
      </c>
      <c r="B488" s="317" t="s">
        <v>44858</v>
      </c>
      <c r="C488" s="330" t="s">
        <v>5547</v>
      </c>
      <c r="D488" s="330" t="s">
        <v>4917</v>
      </c>
      <c r="E488" s="330" t="s">
        <v>37248</v>
      </c>
      <c r="F488" s="331">
        <v>0.21</v>
      </c>
      <c r="G488" s="332">
        <v>23759</v>
      </c>
      <c r="H488" s="333">
        <v>28749</v>
      </c>
    </row>
    <row r="489" spans="1:8">
      <c r="A489" s="317">
        <v>1615437511</v>
      </c>
      <c r="B489" s="317" t="s">
        <v>44859</v>
      </c>
      <c r="C489" s="330" t="s">
        <v>5548</v>
      </c>
      <c r="D489" s="330" t="s">
        <v>5549</v>
      </c>
      <c r="E489" s="330" t="s">
        <v>37248</v>
      </c>
      <c r="F489" s="331">
        <v>0.21</v>
      </c>
      <c r="G489" s="332">
        <v>20329</v>
      </c>
      <c r="H489" s="333">
        <v>24599</v>
      </c>
    </row>
    <row r="490" spans="1:8">
      <c r="A490" s="317">
        <v>1615500214</v>
      </c>
      <c r="B490" s="317" t="s">
        <v>44860</v>
      </c>
      <c r="C490" s="330" t="s">
        <v>5550</v>
      </c>
      <c r="D490" s="330" t="s">
        <v>5551</v>
      </c>
      <c r="E490" s="330" t="s">
        <v>37248</v>
      </c>
      <c r="F490" s="331">
        <v>0.21</v>
      </c>
      <c r="G490" s="332">
        <v>29950</v>
      </c>
      <c r="H490" s="333">
        <v>36240</v>
      </c>
    </row>
    <row r="491" spans="1:8">
      <c r="A491" s="317">
        <v>1615510000</v>
      </c>
      <c r="B491" s="317" t="s">
        <v>44861</v>
      </c>
      <c r="C491" s="330" t="s">
        <v>5552</v>
      </c>
      <c r="D491" s="330" t="s">
        <v>5553</v>
      </c>
      <c r="E491" s="330" t="s">
        <v>4634</v>
      </c>
      <c r="F491" s="331">
        <v>0.21</v>
      </c>
      <c r="G491" s="332">
        <v>3248</v>
      </c>
      <c r="H491" s="333">
        <v>3931</v>
      </c>
    </row>
    <row r="492" spans="1:8">
      <c r="A492" s="317">
        <v>1615820092</v>
      </c>
      <c r="B492" s="317" t="s">
        <v>44862</v>
      </c>
      <c r="C492" s="330" t="s">
        <v>5554</v>
      </c>
      <c r="D492" s="330" t="s">
        <v>5555</v>
      </c>
      <c r="E492" s="330" t="s">
        <v>37248</v>
      </c>
      <c r="F492" s="331">
        <v>0.21</v>
      </c>
      <c r="G492" s="332">
        <v>4463</v>
      </c>
      <c r="H492" s="333">
        <v>5401</v>
      </c>
    </row>
    <row r="493" spans="1:8">
      <c r="A493" s="317">
        <v>1615820097</v>
      </c>
      <c r="B493" s="317" t="s">
        <v>44863</v>
      </c>
      <c r="C493" s="330" t="s">
        <v>5556</v>
      </c>
      <c r="D493" s="330" t="s">
        <v>5557</v>
      </c>
      <c r="E493" s="330" t="s">
        <v>37248</v>
      </c>
      <c r="F493" s="331">
        <v>0.21</v>
      </c>
      <c r="G493" s="332">
        <v>4149</v>
      </c>
      <c r="H493" s="333">
        <v>5021</v>
      </c>
    </row>
    <row r="494" spans="1:8">
      <c r="A494" s="317">
        <v>1616110033</v>
      </c>
      <c r="B494" s="317" t="s">
        <v>44864</v>
      </c>
      <c r="C494" s="330" t="s">
        <v>5558</v>
      </c>
      <c r="D494" s="330" t="s">
        <v>5559</v>
      </c>
      <c r="E494" s="330" t="s">
        <v>4634</v>
      </c>
      <c r="F494" s="331">
        <v>0.21</v>
      </c>
      <c r="G494" s="332">
        <v>204175</v>
      </c>
      <c r="H494" s="333">
        <v>247052</v>
      </c>
    </row>
    <row r="495" spans="1:8">
      <c r="A495" s="317">
        <v>1616312004</v>
      </c>
      <c r="B495" s="317" t="s">
        <v>44865</v>
      </c>
      <c r="C495" s="330" t="s">
        <v>5560</v>
      </c>
      <c r="D495" s="330" t="s">
        <v>5561</v>
      </c>
      <c r="E495" s="330" t="s">
        <v>37248</v>
      </c>
      <c r="F495" s="331">
        <v>0.21</v>
      </c>
      <c r="G495" s="332">
        <v>14756</v>
      </c>
      <c r="H495" s="333">
        <v>17855</v>
      </c>
    </row>
    <row r="496" spans="1:8">
      <c r="A496" s="317">
        <v>1616328055</v>
      </c>
      <c r="B496" s="317" t="s">
        <v>44866</v>
      </c>
      <c r="C496" s="330" t="s">
        <v>5562</v>
      </c>
      <c r="D496" s="330" t="s">
        <v>5563</v>
      </c>
      <c r="E496" s="330" t="s">
        <v>4819</v>
      </c>
      <c r="F496" s="331">
        <v>0.21</v>
      </c>
      <c r="G496" s="332">
        <v>12996</v>
      </c>
      <c r="H496" s="333">
        <v>15726</v>
      </c>
    </row>
    <row r="497" spans="1:8">
      <c r="A497" s="317">
        <v>1616334000</v>
      </c>
      <c r="B497" s="317" t="s">
        <v>44867</v>
      </c>
      <c r="C497" s="330" t="s">
        <v>5564</v>
      </c>
      <c r="D497" s="330" t="s">
        <v>5565</v>
      </c>
      <c r="E497" s="330" t="s">
        <v>37248</v>
      </c>
      <c r="F497" s="331">
        <v>0.21</v>
      </c>
      <c r="G497" s="332">
        <v>23083</v>
      </c>
      <c r="H497" s="333">
        <v>27931</v>
      </c>
    </row>
    <row r="498" spans="1:8">
      <c r="A498" s="317">
        <v>1616490058</v>
      </c>
      <c r="B498" s="317" t="s">
        <v>44868</v>
      </c>
      <c r="C498" s="330" t="s">
        <v>5566</v>
      </c>
      <c r="D498" s="330" t="s">
        <v>5567</v>
      </c>
      <c r="E498" s="330" t="s">
        <v>37248</v>
      </c>
      <c r="F498" s="331">
        <v>0.21</v>
      </c>
      <c r="G498" s="332">
        <v>74282</v>
      </c>
      <c r="H498" s="333">
        <v>89882</v>
      </c>
    </row>
    <row r="499" spans="1:8">
      <c r="A499" s="317">
        <v>1616490061</v>
      </c>
      <c r="B499" s="317" t="s">
        <v>44869</v>
      </c>
      <c r="C499" s="330" t="s">
        <v>5568</v>
      </c>
      <c r="D499" s="330" t="s">
        <v>5569</v>
      </c>
      <c r="E499" s="330" t="s">
        <v>37248</v>
      </c>
      <c r="F499" s="331">
        <v>0.21</v>
      </c>
      <c r="G499" s="332">
        <v>59083</v>
      </c>
      <c r="H499" s="333">
        <v>71491</v>
      </c>
    </row>
    <row r="500" spans="1:8">
      <c r="A500" s="317">
        <v>1616610083</v>
      </c>
      <c r="B500" s="317" t="s">
        <v>44870</v>
      </c>
      <c r="C500" s="330" t="s">
        <v>5570</v>
      </c>
      <c r="D500" s="330" t="s">
        <v>5571</v>
      </c>
      <c r="E500" s="330" t="s">
        <v>37248</v>
      </c>
      <c r="F500" s="331">
        <v>0.21</v>
      </c>
      <c r="G500" s="332">
        <v>18660</v>
      </c>
      <c r="H500" s="333">
        <v>22579</v>
      </c>
    </row>
    <row r="501" spans="1:8">
      <c r="A501" s="317">
        <v>1616610102</v>
      </c>
      <c r="B501" s="317" t="s">
        <v>44871</v>
      </c>
      <c r="C501" s="330" t="s">
        <v>5572</v>
      </c>
      <c r="D501" s="330" t="s">
        <v>5573</v>
      </c>
      <c r="E501" s="330" t="s">
        <v>37248</v>
      </c>
      <c r="F501" s="331">
        <v>0.21</v>
      </c>
      <c r="G501" s="332">
        <v>17368</v>
      </c>
      <c r="H501" s="333">
        <v>21016</v>
      </c>
    </row>
    <row r="502" spans="1:8">
      <c r="A502" s="317">
        <v>1617000189</v>
      </c>
      <c r="B502" s="317" t="s">
        <v>44872</v>
      </c>
      <c r="C502" s="330" t="s">
        <v>5574</v>
      </c>
      <c r="D502" s="330" t="s">
        <v>5575</v>
      </c>
      <c r="E502" s="330" t="s">
        <v>37248</v>
      </c>
      <c r="F502" s="331">
        <v>0.21</v>
      </c>
      <c r="G502" s="332">
        <v>18319</v>
      </c>
      <c r="H502" s="333">
        <v>22166</v>
      </c>
    </row>
    <row r="503" spans="1:8">
      <c r="A503" s="317">
        <v>1617000422</v>
      </c>
      <c r="B503" s="317" t="s">
        <v>44873</v>
      </c>
      <c r="C503" s="330" t="s">
        <v>5576</v>
      </c>
      <c r="D503" s="330" t="s">
        <v>5577</v>
      </c>
      <c r="E503" s="330" t="s">
        <v>37248</v>
      </c>
      <c r="F503" s="331">
        <v>0.21</v>
      </c>
      <c r="G503" s="332">
        <v>15539</v>
      </c>
      <c r="H503" s="333">
        <v>18803</v>
      </c>
    </row>
    <row r="504" spans="1:8">
      <c r="A504" s="317">
        <v>1617000425</v>
      </c>
      <c r="B504" s="317" t="s">
        <v>44874</v>
      </c>
      <c r="C504" s="330" t="s">
        <v>5578</v>
      </c>
      <c r="D504" s="330" t="s">
        <v>5579</v>
      </c>
      <c r="E504" s="330" t="s">
        <v>37248</v>
      </c>
      <c r="F504" s="331">
        <v>0.21</v>
      </c>
      <c r="G504" s="332">
        <v>16364</v>
      </c>
      <c r="H504" s="333">
        <v>19801</v>
      </c>
    </row>
    <row r="505" spans="1:8">
      <c r="A505" s="317">
        <v>1617000426</v>
      </c>
      <c r="B505" s="317" t="s">
        <v>44875</v>
      </c>
      <c r="C505" s="330" t="s">
        <v>5580</v>
      </c>
      <c r="D505" s="330" t="s">
        <v>5581</v>
      </c>
      <c r="E505" s="330" t="s">
        <v>37248</v>
      </c>
      <c r="F505" s="331">
        <v>0.21</v>
      </c>
      <c r="G505" s="332">
        <v>83781</v>
      </c>
      <c r="H505" s="333">
        <v>101376</v>
      </c>
    </row>
    <row r="506" spans="1:8">
      <c r="A506" s="317">
        <v>1617000431</v>
      </c>
      <c r="B506" s="317" t="s">
        <v>44876</v>
      </c>
      <c r="C506" s="330" t="s">
        <v>5582</v>
      </c>
      <c r="D506" s="330" t="s">
        <v>5583</v>
      </c>
      <c r="E506" s="330" t="s">
        <v>37248</v>
      </c>
      <c r="F506" s="331">
        <v>0.21</v>
      </c>
      <c r="G506" s="332">
        <v>47212</v>
      </c>
      <c r="H506" s="333">
        <v>57127</v>
      </c>
    </row>
    <row r="507" spans="1:8">
      <c r="A507" s="317">
        <v>1617000482</v>
      </c>
      <c r="B507" s="317" t="s">
        <v>44877</v>
      </c>
      <c r="C507" s="330" t="s">
        <v>5584</v>
      </c>
      <c r="D507" s="330" t="s">
        <v>5585</v>
      </c>
      <c r="E507" s="330" t="s">
        <v>37248</v>
      </c>
      <c r="F507" s="331">
        <v>0.21</v>
      </c>
      <c r="G507" s="332">
        <v>7298</v>
      </c>
      <c r="H507" s="333">
        <v>8831</v>
      </c>
    </row>
    <row r="508" spans="1:8">
      <c r="A508" s="317">
        <v>1617000496</v>
      </c>
      <c r="B508" s="317" t="s">
        <v>44878</v>
      </c>
      <c r="C508" s="330" t="s">
        <v>5586</v>
      </c>
      <c r="D508" s="330" t="s">
        <v>5587</v>
      </c>
      <c r="E508" s="330" t="s">
        <v>37248</v>
      </c>
      <c r="F508" s="331">
        <v>0.21</v>
      </c>
      <c r="G508" s="332">
        <v>66548</v>
      </c>
      <c r="H508" s="333">
        <v>80524</v>
      </c>
    </row>
    <row r="509" spans="1:8">
      <c r="A509" s="317">
        <v>1617000556</v>
      </c>
      <c r="B509" s="317" t="s">
        <v>44879</v>
      </c>
      <c r="C509" s="330" t="s">
        <v>5588</v>
      </c>
      <c r="D509" s="330" t="s">
        <v>5589</v>
      </c>
      <c r="E509" s="330" t="s">
        <v>37248</v>
      </c>
      <c r="F509" s="331">
        <v>0.21</v>
      </c>
      <c r="G509" s="332">
        <v>44976</v>
      </c>
      <c r="H509" s="333">
        <v>54421</v>
      </c>
    </row>
    <row r="510" spans="1:8">
      <c r="A510" s="317">
        <v>1617000558</v>
      </c>
      <c r="B510" s="317" t="s">
        <v>44880</v>
      </c>
      <c r="C510" s="330" t="s">
        <v>5590</v>
      </c>
      <c r="D510" s="330" t="s">
        <v>5591</v>
      </c>
      <c r="E510" s="330" t="s">
        <v>37248</v>
      </c>
      <c r="F510" s="331">
        <v>0.21</v>
      </c>
      <c r="G510" s="332">
        <v>50816</v>
      </c>
      <c r="H510" s="333">
        <v>61488</v>
      </c>
    </row>
    <row r="511" spans="1:8">
      <c r="A511" s="317">
        <v>1617000692</v>
      </c>
      <c r="B511" s="317" t="s">
        <v>44881</v>
      </c>
      <c r="C511" s="330" t="s">
        <v>5592</v>
      </c>
      <c r="D511" s="330" t="s">
        <v>5593</v>
      </c>
      <c r="E511" s="330" t="s">
        <v>37248</v>
      </c>
      <c r="F511" s="331">
        <v>0.21</v>
      </c>
      <c r="G511" s="332">
        <v>43239</v>
      </c>
      <c r="H511" s="333">
        <v>52320</v>
      </c>
    </row>
    <row r="512" spans="1:8">
      <c r="A512" s="317">
        <v>1617000695</v>
      </c>
      <c r="B512" s="317" t="s">
        <v>44882</v>
      </c>
      <c r="C512" s="330" t="s">
        <v>5594</v>
      </c>
      <c r="D512" s="330" t="s">
        <v>5593</v>
      </c>
      <c r="E512" s="330" t="s">
        <v>37248</v>
      </c>
      <c r="F512" s="331">
        <v>0.21</v>
      </c>
      <c r="G512" s="332">
        <v>13156</v>
      </c>
      <c r="H512" s="333">
        <v>15919</v>
      </c>
    </row>
    <row r="513" spans="1:8">
      <c r="A513" s="317" t="s">
        <v>37490</v>
      </c>
      <c r="B513" s="317" t="s">
        <v>44883</v>
      </c>
      <c r="C513" s="330" t="s">
        <v>5595</v>
      </c>
      <c r="D513" s="330" t="s">
        <v>5596</v>
      </c>
      <c r="E513" s="330" t="s">
        <v>37248</v>
      </c>
      <c r="F513" s="331">
        <v>0.21</v>
      </c>
      <c r="G513" s="332">
        <v>13951</v>
      </c>
      <c r="H513" s="333">
        <v>16881</v>
      </c>
    </row>
    <row r="514" spans="1:8">
      <c r="A514" s="317" t="s">
        <v>37491</v>
      </c>
      <c r="B514" s="317" t="s">
        <v>44884</v>
      </c>
      <c r="C514" s="330" t="s">
        <v>5597</v>
      </c>
      <c r="D514" s="330" t="s">
        <v>5598</v>
      </c>
      <c r="E514" s="330" t="s">
        <v>37248</v>
      </c>
      <c r="F514" s="331">
        <v>0.21</v>
      </c>
      <c r="G514" s="332">
        <v>85674</v>
      </c>
      <c r="H514" s="333">
        <v>103666</v>
      </c>
    </row>
    <row r="515" spans="1:8">
      <c r="A515" s="317" t="s">
        <v>37492</v>
      </c>
      <c r="B515" s="317" t="s">
        <v>44885</v>
      </c>
      <c r="C515" s="330" t="s">
        <v>5599</v>
      </c>
      <c r="D515" s="330" t="s">
        <v>5600</v>
      </c>
      <c r="E515" s="330" t="s">
        <v>37248</v>
      </c>
      <c r="F515" s="331">
        <v>0.21</v>
      </c>
      <c r="G515" s="332">
        <v>21450</v>
      </c>
      <c r="H515" s="333">
        <v>25955</v>
      </c>
    </row>
    <row r="516" spans="1:8">
      <c r="A516" s="317" t="s">
        <v>37493</v>
      </c>
      <c r="B516" s="317" t="s">
        <v>44886</v>
      </c>
      <c r="C516" s="330" t="s">
        <v>5601</v>
      </c>
      <c r="D516" s="330" t="s">
        <v>5602</v>
      </c>
      <c r="E516" s="330" t="s">
        <v>37248</v>
      </c>
      <c r="F516" s="331">
        <v>0.21</v>
      </c>
      <c r="G516" s="332">
        <v>38618</v>
      </c>
      <c r="H516" s="333">
        <v>46728</v>
      </c>
    </row>
    <row r="517" spans="1:8">
      <c r="A517" s="317" t="s">
        <v>37494</v>
      </c>
      <c r="B517" s="317" t="s">
        <v>44887</v>
      </c>
      <c r="C517" s="330" t="s">
        <v>5603</v>
      </c>
      <c r="D517" s="330" t="s">
        <v>5604</v>
      </c>
      <c r="E517" s="330" t="s">
        <v>37248</v>
      </c>
      <c r="F517" s="331">
        <v>0.21</v>
      </c>
      <c r="G517" s="332">
        <v>26229</v>
      </c>
      <c r="H517" s="333">
        <v>31738</v>
      </c>
    </row>
    <row r="518" spans="1:8">
      <c r="A518" s="317" t="s">
        <v>37495</v>
      </c>
      <c r="B518" s="317" t="s">
        <v>44888</v>
      </c>
      <c r="C518" s="330" t="s">
        <v>5605</v>
      </c>
      <c r="D518" s="330" t="s">
        <v>5606</v>
      </c>
      <c r="E518" s="330" t="s">
        <v>37248</v>
      </c>
      <c r="F518" s="331">
        <v>0.21</v>
      </c>
      <c r="G518" s="332">
        <v>25352</v>
      </c>
      <c r="H518" s="333">
        <v>30676</v>
      </c>
    </row>
    <row r="519" spans="1:8">
      <c r="A519" s="317" t="s">
        <v>37496</v>
      </c>
      <c r="B519" s="317" t="s">
        <v>44889</v>
      </c>
      <c r="C519" s="330" t="s">
        <v>5607</v>
      </c>
      <c r="D519" s="330" t="s">
        <v>5608</v>
      </c>
      <c r="E519" s="330" t="s">
        <v>37248</v>
      </c>
      <c r="F519" s="331">
        <v>0.21</v>
      </c>
      <c r="G519" s="332">
        <v>37222</v>
      </c>
      <c r="H519" s="333">
        <v>45039</v>
      </c>
    </row>
    <row r="520" spans="1:8">
      <c r="A520" s="317">
        <v>1617000708</v>
      </c>
      <c r="B520" s="317" t="s">
        <v>44890</v>
      </c>
      <c r="C520" s="330" t="s">
        <v>5609</v>
      </c>
      <c r="D520" s="330" t="s">
        <v>5610</v>
      </c>
      <c r="E520" s="330" t="s">
        <v>37248</v>
      </c>
      <c r="F520" s="331">
        <v>0.21</v>
      </c>
      <c r="G520" s="332">
        <v>70155</v>
      </c>
      <c r="H520" s="333">
        <v>84888</v>
      </c>
    </row>
    <row r="521" spans="1:8">
      <c r="A521" s="317">
        <v>1617000727</v>
      </c>
      <c r="B521" s="317" t="s">
        <v>44891</v>
      </c>
      <c r="C521" s="330" t="s">
        <v>5611</v>
      </c>
      <c r="D521" s="330" t="s">
        <v>5612</v>
      </c>
      <c r="E521" s="330" t="s">
        <v>37248</v>
      </c>
      <c r="F521" s="331">
        <v>0.21</v>
      </c>
      <c r="G521" s="332">
        <v>64433</v>
      </c>
      <c r="H521" s="333">
        <v>77964</v>
      </c>
    </row>
    <row r="522" spans="1:8">
      <c r="A522" s="317">
        <v>1617000732</v>
      </c>
      <c r="B522" s="317" t="s">
        <v>44892</v>
      </c>
      <c r="C522" s="330" t="s">
        <v>5613</v>
      </c>
      <c r="D522" s="330" t="s">
        <v>5614</v>
      </c>
      <c r="E522" s="330" t="s">
        <v>37248</v>
      </c>
      <c r="F522" s="331">
        <v>0.21</v>
      </c>
      <c r="G522" s="332">
        <v>96866</v>
      </c>
      <c r="H522" s="333">
        <v>117208</v>
      </c>
    </row>
    <row r="523" spans="1:8">
      <c r="A523" s="317">
        <v>1617000750</v>
      </c>
      <c r="B523" s="317" t="s">
        <v>44893</v>
      </c>
      <c r="C523" s="330" t="s">
        <v>5615</v>
      </c>
      <c r="D523" s="330" t="s">
        <v>5616</v>
      </c>
      <c r="E523" s="330" t="s">
        <v>37248</v>
      </c>
      <c r="F523" s="331">
        <v>0.21</v>
      </c>
      <c r="G523" s="332">
        <v>14729</v>
      </c>
      <c r="H523" s="333">
        <v>17823</v>
      </c>
    </row>
    <row r="524" spans="1:8">
      <c r="A524" s="317">
        <v>1617000751</v>
      </c>
      <c r="B524" s="317" t="s">
        <v>44894</v>
      </c>
      <c r="C524" s="330" t="s">
        <v>5617</v>
      </c>
      <c r="D524" s="330" t="s">
        <v>5618</v>
      </c>
      <c r="E524" s="330" t="s">
        <v>37248</v>
      </c>
      <c r="F524" s="331">
        <v>0.21</v>
      </c>
      <c r="G524" s="332">
        <v>21207</v>
      </c>
      <c r="H524" s="333">
        <v>25661</v>
      </c>
    </row>
    <row r="525" spans="1:8">
      <c r="A525" s="317">
        <v>1617000836</v>
      </c>
      <c r="B525" s="317" t="s">
        <v>44895</v>
      </c>
      <c r="C525" s="330" t="s">
        <v>5619</v>
      </c>
      <c r="D525" s="330" t="s">
        <v>5620</v>
      </c>
      <c r="E525" s="330" t="s">
        <v>37248</v>
      </c>
      <c r="F525" s="331">
        <v>0.21</v>
      </c>
      <c r="G525" s="332">
        <v>33820</v>
      </c>
      <c r="H525" s="333">
        <v>40923</v>
      </c>
    </row>
    <row r="526" spans="1:8">
      <c r="A526" s="317">
        <v>1617014122</v>
      </c>
      <c r="B526" s="317" t="s">
        <v>44896</v>
      </c>
      <c r="C526" s="330" t="s">
        <v>5621</v>
      </c>
      <c r="D526" s="330" t="s">
        <v>5622</v>
      </c>
      <c r="E526" s="330" t="s">
        <v>37248</v>
      </c>
      <c r="F526" s="331">
        <v>0.21</v>
      </c>
      <c r="G526" s="332">
        <v>17346</v>
      </c>
      <c r="H526" s="333">
        <v>20989</v>
      </c>
    </row>
    <row r="527" spans="1:8">
      <c r="A527" s="317">
        <v>1617014134</v>
      </c>
      <c r="B527" s="317" t="s">
        <v>44897</v>
      </c>
      <c r="C527" s="330" t="s">
        <v>5623</v>
      </c>
      <c r="D527" s="330" t="s">
        <v>5624</v>
      </c>
      <c r="E527" s="330" t="s">
        <v>37248</v>
      </c>
      <c r="F527" s="331">
        <v>0.21</v>
      </c>
      <c r="G527" s="332">
        <v>8981</v>
      </c>
      <c r="H527" s="333">
        <v>10868</v>
      </c>
    </row>
    <row r="528" spans="1:8">
      <c r="A528" s="317">
        <v>1617014137</v>
      </c>
      <c r="B528" s="317" t="s">
        <v>44898</v>
      </c>
      <c r="C528" s="330" t="s">
        <v>5625</v>
      </c>
      <c r="D528" s="330" t="s">
        <v>5626</v>
      </c>
      <c r="E528" s="330" t="s">
        <v>37248</v>
      </c>
      <c r="F528" s="331">
        <v>0.21</v>
      </c>
      <c r="G528" s="332">
        <v>14218</v>
      </c>
      <c r="H528" s="333">
        <v>17204</v>
      </c>
    </row>
    <row r="529" spans="1:8">
      <c r="A529" s="317">
        <v>1617014143</v>
      </c>
      <c r="B529" s="317" t="s">
        <v>44899</v>
      </c>
      <c r="C529" s="330" t="s">
        <v>5627</v>
      </c>
      <c r="D529" s="330" t="s">
        <v>5628</v>
      </c>
      <c r="E529" s="330" t="s">
        <v>37248</v>
      </c>
      <c r="F529" s="331">
        <v>0.21</v>
      </c>
      <c r="G529" s="332">
        <v>10602</v>
      </c>
      <c r="H529" s="333">
        <v>12829</v>
      </c>
    </row>
    <row r="530" spans="1:8">
      <c r="A530" s="317">
        <v>1617014146</v>
      </c>
      <c r="B530" s="317" t="s">
        <v>44900</v>
      </c>
      <c r="C530" s="330" t="s">
        <v>5629</v>
      </c>
      <c r="D530" s="330" t="s">
        <v>5630</v>
      </c>
      <c r="E530" s="330" t="s">
        <v>37248</v>
      </c>
      <c r="F530" s="331">
        <v>0.21</v>
      </c>
      <c r="G530" s="332">
        <v>12574</v>
      </c>
      <c r="H530" s="333">
        <v>15215</v>
      </c>
    </row>
    <row r="531" spans="1:8">
      <c r="A531" s="317">
        <v>1617200077</v>
      </c>
      <c r="B531" s="317" t="s">
        <v>44901</v>
      </c>
      <c r="C531" s="330" t="s">
        <v>5631</v>
      </c>
      <c r="D531" s="330" t="s">
        <v>5632</v>
      </c>
      <c r="E531" s="330" t="s">
        <v>37248</v>
      </c>
      <c r="F531" s="331">
        <v>0.21</v>
      </c>
      <c r="G531" s="332">
        <v>44539</v>
      </c>
      <c r="H531" s="333">
        <v>53893</v>
      </c>
    </row>
    <row r="532" spans="1:8">
      <c r="A532" s="317">
        <v>1617200101</v>
      </c>
      <c r="B532" s="317" t="s">
        <v>44902</v>
      </c>
      <c r="C532" s="330" t="s">
        <v>5633</v>
      </c>
      <c r="D532" s="330" t="s">
        <v>5634</v>
      </c>
      <c r="E532" s="330" t="s">
        <v>4819</v>
      </c>
      <c r="F532" s="331">
        <v>0.21</v>
      </c>
      <c r="G532" s="332">
        <v>43647</v>
      </c>
      <c r="H532" s="333">
        <v>52813</v>
      </c>
    </row>
    <row r="533" spans="1:8">
      <c r="A533" s="317">
        <v>1617200127</v>
      </c>
      <c r="B533" s="317" t="s">
        <v>44903</v>
      </c>
      <c r="C533" s="330" t="s">
        <v>5635</v>
      </c>
      <c r="D533" s="330" t="s">
        <v>5636</v>
      </c>
      <c r="E533" s="330" t="s">
        <v>37248</v>
      </c>
      <c r="F533" s="331">
        <v>0.21</v>
      </c>
      <c r="G533" s="332">
        <v>23601</v>
      </c>
      <c r="H533" s="333">
        <v>28558</v>
      </c>
    </row>
    <row r="534" spans="1:8">
      <c r="A534" s="317">
        <v>1617200532</v>
      </c>
      <c r="B534" s="317" t="s">
        <v>44904</v>
      </c>
      <c r="C534" s="330" t="s">
        <v>5637</v>
      </c>
      <c r="D534" s="330" t="s">
        <v>5638</v>
      </c>
      <c r="E534" s="330" t="s">
        <v>37248</v>
      </c>
      <c r="F534" s="331">
        <v>0.21</v>
      </c>
      <c r="G534" s="332">
        <v>32841</v>
      </c>
      <c r="H534" s="333">
        <v>39738</v>
      </c>
    </row>
    <row r="535" spans="1:8">
      <c r="A535" s="317">
        <v>1617200542</v>
      </c>
      <c r="B535" s="317" t="s">
        <v>44905</v>
      </c>
      <c r="C535" s="330" t="s">
        <v>5639</v>
      </c>
      <c r="D535" s="330" t="s">
        <v>5640</v>
      </c>
      <c r="E535" s="330" t="s">
        <v>37248</v>
      </c>
      <c r="F535" s="331">
        <v>0.21</v>
      </c>
      <c r="G535" s="332">
        <v>23951</v>
      </c>
      <c r="H535" s="333">
        <v>28981</v>
      </c>
    </row>
    <row r="536" spans="1:8">
      <c r="A536" s="317">
        <v>1617328026</v>
      </c>
      <c r="B536" s="317" t="s">
        <v>44906</v>
      </c>
      <c r="C536" s="330" t="s">
        <v>5641</v>
      </c>
      <c r="D536" s="330" t="s">
        <v>5642</v>
      </c>
      <c r="E536" s="330" t="s">
        <v>37248</v>
      </c>
      <c r="F536" s="331">
        <v>0.21</v>
      </c>
      <c r="G536" s="332">
        <v>9179</v>
      </c>
      <c r="H536" s="333">
        <v>11107</v>
      </c>
    </row>
    <row r="537" spans="1:8">
      <c r="A537" s="317">
        <v>1618700064</v>
      </c>
      <c r="B537" s="317" t="s">
        <v>44907</v>
      </c>
      <c r="C537" s="330" t="s">
        <v>5643</v>
      </c>
      <c r="D537" s="330" t="s">
        <v>5644</v>
      </c>
      <c r="E537" s="330" t="s">
        <v>37248</v>
      </c>
      <c r="F537" s="331">
        <v>0.21</v>
      </c>
      <c r="G537" s="332">
        <v>21176</v>
      </c>
      <c r="H537" s="333">
        <v>25623</v>
      </c>
    </row>
    <row r="538" spans="1:8">
      <c r="A538" s="317" t="s">
        <v>37497</v>
      </c>
      <c r="B538" s="317" t="s">
        <v>44908</v>
      </c>
      <c r="C538" s="330" t="s">
        <v>5645</v>
      </c>
      <c r="D538" s="330" t="s">
        <v>5646</v>
      </c>
      <c r="E538" s="330" t="s">
        <v>37248</v>
      </c>
      <c r="F538" s="331">
        <v>0.21</v>
      </c>
      <c r="G538" s="332">
        <v>21827</v>
      </c>
      <c r="H538" s="333">
        <v>26411</v>
      </c>
    </row>
    <row r="539" spans="1:8">
      <c r="A539" s="317" t="s">
        <v>37498</v>
      </c>
      <c r="B539" s="317" t="s">
        <v>44909</v>
      </c>
      <c r="C539" s="330" t="s">
        <v>5647</v>
      </c>
      <c r="D539" s="330" t="s">
        <v>5648</v>
      </c>
      <c r="E539" s="330" t="s">
        <v>37248</v>
      </c>
      <c r="F539" s="331">
        <v>0.21</v>
      </c>
      <c r="G539" s="332">
        <v>1577</v>
      </c>
      <c r="H539" s="333">
        <v>1909</v>
      </c>
    </row>
    <row r="540" spans="1:8">
      <c r="A540" s="317" t="s">
        <v>37499</v>
      </c>
      <c r="B540" s="317" t="s">
        <v>44910</v>
      </c>
      <c r="C540" s="330" t="s">
        <v>5649</v>
      </c>
      <c r="D540" s="330" t="s">
        <v>5650</v>
      </c>
      <c r="E540" s="330" t="s">
        <v>37248</v>
      </c>
      <c r="F540" s="331">
        <v>0.21</v>
      </c>
      <c r="G540" s="332">
        <v>78148</v>
      </c>
      <c r="H540" s="333">
        <v>94560</v>
      </c>
    </row>
    <row r="541" spans="1:8">
      <c r="A541" s="317" t="s">
        <v>37500</v>
      </c>
      <c r="B541" s="317" t="s">
        <v>44911</v>
      </c>
      <c r="C541" s="330" t="s">
        <v>5651</v>
      </c>
      <c r="D541" s="330" t="s">
        <v>5652</v>
      </c>
      <c r="E541" s="330" t="s">
        <v>37248</v>
      </c>
      <c r="F541" s="331">
        <v>0.21</v>
      </c>
      <c r="G541" s="332">
        <v>9973</v>
      </c>
      <c r="H541" s="333">
        <v>12068</v>
      </c>
    </row>
    <row r="542" spans="1:8">
      <c r="A542" s="317" t="s">
        <v>37501</v>
      </c>
      <c r="B542" s="317" t="s">
        <v>44912</v>
      </c>
      <c r="C542" s="330" t="s">
        <v>5653</v>
      </c>
      <c r="D542" s="330" t="s">
        <v>5654</v>
      </c>
      <c r="E542" s="330" t="s">
        <v>37248</v>
      </c>
      <c r="F542" s="331">
        <v>0.21</v>
      </c>
      <c r="G542" s="332">
        <v>2072</v>
      </c>
      <c r="H542" s="333">
        <v>2508</v>
      </c>
    </row>
    <row r="543" spans="1:8">
      <c r="A543" s="317" t="s">
        <v>37502</v>
      </c>
      <c r="B543" s="317" t="s">
        <v>44913</v>
      </c>
      <c r="C543" s="330" t="s">
        <v>5655</v>
      </c>
      <c r="D543" s="330" t="s">
        <v>5656</v>
      </c>
      <c r="E543" s="330" t="s">
        <v>37248</v>
      </c>
      <c r="F543" s="331">
        <v>0.21</v>
      </c>
      <c r="G543" s="332">
        <v>2079</v>
      </c>
      <c r="H543" s="333">
        <v>2516</v>
      </c>
    </row>
    <row r="544" spans="1:8">
      <c r="A544" s="317" t="s">
        <v>37503</v>
      </c>
      <c r="B544" s="317" t="s">
        <v>44914</v>
      </c>
      <c r="C544" s="330" t="s">
        <v>5657</v>
      </c>
      <c r="D544" s="330" t="s">
        <v>5656</v>
      </c>
      <c r="E544" s="330" t="s">
        <v>37248</v>
      </c>
      <c r="F544" s="331">
        <v>0.21</v>
      </c>
      <c r="G544" s="332">
        <v>2054</v>
      </c>
      <c r="H544" s="333">
        <v>2486</v>
      </c>
    </row>
    <row r="545" spans="1:8">
      <c r="A545" s="317" t="s">
        <v>37504</v>
      </c>
      <c r="B545" s="317" t="s">
        <v>44915</v>
      </c>
      <c r="C545" s="330" t="s">
        <v>5658</v>
      </c>
      <c r="D545" s="330" t="s">
        <v>5659</v>
      </c>
      <c r="E545" s="330" t="s">
        <v>37248</v>
      </c>
      <c r="F545" s="331">
        <v>0.21</v>
      </c>
      <c r="G545" s="332">
        <v>142581</v>
      </c>
      <c r="H545" s="333">
        <v>172524</v>
      </c>
    </row>
    <row r="546" spans="1:8">
      <c r="A546" s="317" t="s">
        <v>37505</v>
      </c>
      <c r="B546" s="317" t="s">
        <v>44916</v>
      </c>
      <c r="C546" s="330" t="s">
        <v>5660</v>
      </c>
      <c r="D546" s="330" t="s">
        <v>5661</v>
      </c>
      <c r="E546" s="330" t="s">
        <v>37248</v>
      </c>
      <c r="F546" s="331">
        <v>0.21</v>
      </c>
      <c r="G546" s="332">
        <v>23886</v>
      </c>
      <c r="H546" s="333">
        <v>28903</v>
      </c>
    </row>
    <row r="547" spans="1:8">
      <c r="A547" s="317" t="s">
        <v>37506</v>
      </c>
      <c r="B547" s="317" t="s">
        <v>44917</v>
      </c>
      <c r="C547" s="330" t="s">
        <v>5662</v>
      </c>
      <c r="D547" s="330" t="s">
        <v>5663</v>
      </c>
      <c r="E547" s="330" t="s">
        <v>37248</v>
      </c>
      <c r="F547" s="331">
        <v>0.21</v>
      </c>
      <c r="G547" s="332">
        <v>916</v>
      </c>
      <c r="H547" s="333">
        <v>1109</v>
      </c>
    </row>
    <row r="548" spans="1:8">
      <c r="A548" s="317" t="s">
        <v>37507</v>
      </c>
      <c r="B548" s="317" t="s">
        <v>44918</v>
      </c>
      <c r="C548" s="330" t="s">
        <v>5664</v>
      </c>
      <c r="D548" s="330" t="s">
        <v>5665</v>
      </c>
      <c r="E548" s="330" t="s">
        <v>37248</v>
      </c>
      <c r="F548" s="331">
        <v>0.21</v>
      </c>
      <c r="G548" s="332">
        <v>16224</v>
      </c>
      <c r="H548" s="333">
        <v>19632</v>
      </c>
    </row>
    <row r="549" spans="1:8">
      <c r="A549" s="317" t="s">
        <v>37508</v>
      </c>
      <c r="B549" s="317" t="s">
        <v>44919</v>
      </c>
      <c r="C549" s="330" t="s">
        <v>5666</v>
      </c>
      <c r="D549" s="330" t="s">
        <v>5667</v>
      </c>
      <c r="E549" s="330" t="s">
        <v>37248</v>
      </c>
      <c r="F549" s="331">
        <v>0.21</v>
      </c>
      <c r="G549" s="332">
        <v>3729</v>
      </c>
      <c r="H549" s="333">
        <v>4513</v>
      </c>
    </row>
    <row r="550" spans="1:8">
      <c r="A550" s="317" t="s">
        <v>37509</v>
      </c>
      <c r="B550" s="317" t="s">
        <v>44920</v>
      </c>
      <c r="C550" s="330" t="s">
        <v>5668</v>
      </c>
      <c r="D550" s="330" t="s">
        <v>5669</v>
      </c>
      <c r="E550" s="330" t="s">
        <v>37248</v>
      </c>
      <c r="F550" s="331">
        <v>0.21</v>
      </c>
      <c r="G550" s="332">
        <v>2172</v>
      </c>
      <c r="H550" s="333">
        <v>2629</v>
      </c>
    </row>
    <row r="551" spans="1:8">
      <c r="A551" s="317" t="s">
        <v>37510</v>
      </c>
      <c r="B551" s="317" t="s">
        <v>44921</v>
      </c>
      <c r="C551" s="330" t="s">
        <v>5670</v>
      </c>
      <c r="D551" s="330" t="s">
        <v>5671</v>
      </c>
      <c r="E551" s="330" t="s">
        <v>4819</v>
      </c>
      <c r="F551" s="331">
        <v>0.21</v>
      </c>
      <c r="G551" s="332">
        <v>1028</v>
      </c>
      <c r="H551" s="333">
        <v>1244</v>
      </c>
    </row>
    <row r="552" spans="1:8">
      <c r="A552" s="317" t="s">
        <v>37511</v>
      </c>
      <c r="B552" s="317" t="s">
        <v>44922</v>
      </c>
      <c r="C552" s="330" t="s">
        <v>5672</v>
      </c>
      <c r="D552" s="330" t="s">
        <v>5673</v>
      </c>
      <c r="E552" s="330" t="s">
        <v>37248</v>
      </c>
      <c r="F552" s="331">
        <v>0.21</v>
      </c>
      <c r="G552" s="332">
        <v>45253</v>
      </c>
      <c r="H552" s="333">
        <v>54757</v>
      </c>
    </row>
    <row r="553" spans="1:8">
      <c r="A553" s="317" t="s">
        <v>37512</v>
      </c>
      <c r="B553" s="317" t="s">
        <v>44923</v>
      </c>
      <c r="C553" s="330" t="s">
        <v>5674</v>
      </c>
      <c r="D553" s="330" t="s">
        <v>5675</v>
      </c>
      <c r="E553" s="330" t="s">
        <v>37248</v>
      </c>
      <c r="F553" s="331">
        <v>0.21</v>
      </c>
      <c r="G553" s="332">
        <v>6246</v>
      </c>
      <c r="H553" s="333">
        <v>7558</v>
      </c>
    </row>
    <row r="554" spans="1:8">
      <c r="A554" s="317" t="s">
        <v>37513</v>
      </c>
      <c r="B554" s="317" t="s">
        <v>44924</v>
      </c>
      <c r="C554" s="330" t="s">
        <v>5676</v>
      </c>
      <c r="D554" s="330" t="s">
        <v>5677</v>
      </c>
      <c r="E554" s="330" t="s">
        <v>37248</v>
      </c>
      <c r="F554" s="331">
        <v>0.21</v>
      </c>
      <c r="G554" s="332">
        <v>4401</v>
      </c>
      <c r="H554" s="333">
        <v>5326</v>
      </c>
    </row>
    <row r="555" spans="1:8">
      <c r="A555" s="317" t="s">
        <v>37514</v>
      </c>
      <c r="B555" s="317" t="s">
        <v>44925</v>
      </c>
      <c r="C555" s="330" t="s">
        <v>5678</v>
      </c>
      <c r="D555" s="330" t="s">
        <v>5679</v>
      </c>
      <c r="E555" s="330" t="s">
        <v>37248</v>
      </c>
      <c r="F555" s="331">
        <v>0.21</v>
      </c>
      <c r="G555" s="332">
        <v>21294</v>
      </c>
      <c r="H555" s="333">
        <v>25766</v>
      </c>
    </row>
    <row r="556" spans="1:8">
      <c r="A556" s="317" t="s">
        <v>37515</v>
      </c>
      <c r="B556" s="317" t="s">
        <v>44926</v>
      </c>
      <c r="C556" s="330" t="s">
        <v>5680</v>
      </c>
      <c r="D556" s="330" t="s">
        <v>5681</v>
      </c>
      <c r="E556" s="330" t="s">
        <v>37248</v>
      </c>
      <c r="F556" s="331">
        <v>0.21</v>
      </c>
      <c r="G556" s="332">
        <v>10549</v>
      </c>
      <c r="H556" s="333">
        <v>12765</v>
      </c>
    </row>
    <row r="557" spans="1:8">
      <c r="A557" s="317" t="s">
        <v>37516</v>
      </c>
      <c r="B557" s="317" t="s">
        <v>44927</v>
      </c>
      <c r="C557" s="330" t="s">
        <v>5682</v>
      </c>
      <c r="D557" s="330" t="s">
        <v>5683</v>
      </c>
      <c r="E557" s="330" t="s">
        <v>37248</v>
      </c>
      <c r="F557" s="331">
        <v>0.21</v>
      </c>
      <c r="G557" s="332">
        <v>4191</v>
      </c>
      <c r="H557" s="333">
        <v>5072</v>
      </c>
    </row>
    <row r="558" spans="1:8">
      <c r="A558" s="317" t="s">
        <v>37517</v>
      </c>
      <c r="B558" s="317" t="s">
        <v>44928</v>
      </c>
      <c r="C558" s="330" t="s">
        <v>5684</v>
      </c>
      <c r="D558" s="330" t="s">
        <v>5685</v>
      </c>
      <c r="E558" s="330" t="s">
        <v>37248</v>
      </c>
      <c r="F558" s="331">
        <v>0.21</v>
      </c>
      <c r="G558" s="332">
        <v>1889</v>
      </c>
      <c r="H558" s="333">
        <v>2286</v>
      </c>
    </row>
    <row r="559" spans="1:8">
      <c r="A559" s="317" t="s">
        <v>37518</v>
      </c>
      <c r="B559" s="317" t="s">
        <v>44929</v>
      </c>
      <c r="C559" s="330" t="s">
        <v>5686</v>
      </c>
      <c r="D559" s="330" t="s">
        <v>5687</v>
      </c>
      <c r="E559" s="330" t="s">
        <v>37248</v>
      </c>
      <c r="F559" s="331">
        <v>0.21</v>
      </c>
      <c r="G559" s="332">
        <v>3760</v>
      </c>
      <c r="H559" s="333">
        <v>4550</v>
      </c>
    </row>
    <row r="560" spans="1:8">
      <c r="A560" s="317" t="s">
        <v>37519</v>
      </c>
      <c r="B560" s="317" t="s">
        <v>44930</v>
      </c>
      <c r="C560" s="330" t="s">
        <v>5688</v>
      </c>
      <c r="D560" s="330" t="s">
        <v>5689</v>
      </c>
      <c r="E560" s="330" t="s">
        <v>37248</v>
      </c>
      <c r="F560" s="331">
        <v>0.21</v>
      </c>
      <c r="G560" s="332">
        <v>115257</v>
      </c>
      <c r="H560" s="333">
        <v>139461</v>
      </c>
    </row>
    <row r="561" spans="1:8">
      <c r="A561" s="317" t="s">
        <v>37520</v>
      </c>
      <c r="B561" s="317" t="s">
        <v>44931</v>
      </c>
      <c r="C561" s="330" t="s">
        <v>5690</v>
      </c>
      <c r="D561" s="330" t="s">
        <v>5691</v>
      </c>
      <c r="E561" s="330" t="s">
        <v>37248</v>
      </c>
      <c r="F561" s="331">
        <v>0.21</v>
      </c>
      <c r="G561" s="332">
        <v>21696</v>
      </c>
      <c r="H561" s="333">
        <v>26253</v>
      </c>
    </row>
    <row r="562" spans="1:8">
      <c r="A562" s="317" t="s">
        <v>37521</v>
      </c>
      <c r="B562" s="317" t="s">
        <v>44932</v>
      </c>
      <c r="C562" s="330" t="s">
        <v>5692</v>
      </c>
      <c r="D562" s="330" t="s">
        <v>5693</v>
      </c>
      <c r="E562" s="330" t="s">
        <v>37248</v>
      </c>
      <c r="F562" s="331">
        <v>0.21</v>
      </c>
      <c r="G562" s="332">
        <v>36134</v>
      </c>
      <c r="H562" s="333">
        <v>43723</v>
      </c>
    </row>
    <row r="563" spans="1:8">
      <c r="A563" s="317" t="s">
        <v>37522</v>
      </c>
      <c r="B563" s="317" t="s">
        <v>44933</v>
      </c>
      <c r="C563" s="330" t="s">
        <v>5694</v>
      </c>
      <c r="D563" s="330" t="s">
        <v>5695</v>
      </c>
      <c r="E563" s="330" t="s">
        <v>37248</v>
      </c>
      <c r="F563" s="331">
        <v>0.21</v>
      </c>
      <c r="G563" s="332">
        <v>13014</v>
      </c>
      <c r="H563" s="333">
        <v>15747</v>
      </c>
    </row>
    <row r="564" spans="1:8">
      <c r="A564" s="317" t="s">
        <v>37523</v>
      </c>
      <c r="B564" s="317" t="s">
        <v>44934</v>
      </c>
      <c r="C564" s="330" t="s">
        <v>5696</v>
      </c>
      <c r="D564" s="330" t="s">
        <v>5697</v>
      </c>
      <c r="E564" s="330" t="s">
        <v>37248</v>
      </c>
      <c r="F564" s="331">
        <v>0.21</v>
      </c>
      <c r="G564" s="332">
        <v>16155</v>
      </c>
      <c r="H564" s="333">
        <v>19548</v>
      </c>
    </row>
    <row r="565" spans="1:8">
      <c r="A565" s="317" t="s">
        <v>37524</v>
      </c>
      <c r="B565" s="317" t="s">
        <v>44935</v>
      </c>
      <c r="C565" s="330" t="s">
        <v>5698</v>
      </c>
      <c r="D565" s="330" t="s">
        <v>5699</v>
      </c>
      <c r="E565" s="330" t="s">
        <v>37248</v>
      </c>
      <c r="F565" s="331">
        <v>0.21</v>
      </c>
      <c r="G565" s="332">
        <v>80798</v>
      </c>
      <c r="H565" s="333">
        <v>97766</v>
      </c>
    </row>
    <row r="566" spans="1:8">
      <c r="A566" s="317" t="s">
        <v>37525</v>
      </c>
      <c r="B566" s="317" t="s">
        <v>44936</v>
      </c>
      <c r="C566" s="330" t="s">
        <v>5700</v>
      </c>
      <c r="D566" s="330" t="s">
        <v>5701</v>
      </c>
      <c r="E566" s="330" t="s">
        <v>37248</v>
      </c>
      <c r="F566" s="331">
        <v>0.21</v>
      </c>
      <c r="G566" s="332">
        <v>18506</v>
      </c>
      <c r="H566" s="333">
        <v>22393</v>
      </c>
    </row>
    <row r="567" spans="1:8">
      <c r="A567" s="317" t="s">
        <v>37526</v>
      </c>
      <c r="B567" s="317" t="s">
        <v>44937</v>
      </c>
      <c r="C567" s="330" t="s">
        <v>5702</v>
      </c>
      <c r="D567" s="330" t="s">
        <v>5703</v>
      </c>
      <c r="E567" s="330" t="s">
        <v>37248</v>
      </c>
      <c r="F567" s="331">
        <v>0.21</v>
      </c>
      <c r="G567" s="332">
        <v>3288</v>
      </c>
      <c r="H567" s="333">
        <v>3979</v>
      </c>
    </row>
    <row r="568" spans="1:8">
      <c r="A568" s="317" t="s">
        <v>37527</v>
      </c>
      <c r="B568" s="317" t="s">
        <v>44938</v>
      </c>
      <c r="C568" s="330" t="s">
        <v>5704</v>
      </c>
      <c r="D568" s="330" t="s">
        <v>5705</v>
      </c>
      <c r="E568" s="330" t="s">
        <v>4819</v>
      </c>
      <c r="F568" s="331">
        <v>0.21</v>
      </c>
      <c r="G568" s="332">
        <v>1086</v>
      </c>
      <c r="H568" s="333">
        <v>1315</v>
      </c>
    </row>
    <row r="569" spans="1:8">
      <c r="A569" s="317" t="s">
        <v>37528</v>
      </c>
      <c r="B569" s="317" t="s">
        <v>44939</v>
      </c>
      <c r="C569" s="330" t="s">
        <v>5706</v>
      </c>
      <c r="D569" s="330" t="s">
        <v>5707</v>
      </c>
      <c r="E569" s="330" t="s">
        <v>37248</v>
      </c>
      <c r="F569" s="331">
        <v>0.21</v>
      </c>
      <c r="G569" s="332">
        <v>37722</v>
      </c>
      <c r="H569" s="333">
        <v>45644</v>
      </c>
    </row>
    <row r="570" spans="1:8">
      <c r="A570" s="317" t="s">
        <v>37529</v>
      </c>
      <c r="B570" s="317" t="s">
        <v>44940</v>
      </c>
      <c r="C570" s="330" t="s">
        <v>5708</v>
      </c>
      <c r="D570" s="330" t="s">
        <v>5709</v>
      </c>
      <c r="E570" s="330" t="s">
        <v>37248</v>
      </c>
      <c r="F570" s="331">
        <v>0.21</v>
      </c>
      <c r="G570" s="332">
        <v>736</v>
      </c>
      <c r="H570" s="333">
        <v>891</v>
      </c>
    </row>
    <row r="571" spans="1:8">
      <c r="A571" s="317" t="s">
        <v>37530</v>
      </c>
      <c r="B571" s="317" t="s">
        <v>44941</v>
      </c>
      <c r="C571" s="330" t="s">
        <v>5710</v>
      </c>
      <c r="D571" s="330" t="s">
        <v>5711</v>
      </c>
      <c r="E571" s="330" t="s">
        <v>37248</v>
      </c>
      <c r="F571" s="331">
        <v>0.21</v>
      </c>
      <c r="G571" s="332">
        <v>5083</v>
      </c>
      <c r="H571" s="333">
        <v>6151</v>
      </c>
    </row>
    <row r="572" spans="1:8">
      <c r="A572" s="317" t="s">
        <v>37531</v>
      </c>
      <c r="B572" s="317" t="s">
        <v>44942</v>
      </c>
      <c r="C572" s="330" t="s">
        <v>5712</v>
      </c>
      <c r="D572" s="330" t="s">
        <v>5713</v>
      </c>
      <c r="E572" s="330" t="s">
        <v>37248</v>
      </c>
      <c r="F572" s="331">
        <v>0.21</v>
      </c>
      <c r="G572" s="332">
        <v>5021</v>
      </c>
      <c r="H572" s="333">
        <v>6076</v>
      </c>
    </row>
    <row r="573" spans="1:8">
      <c r="A573" s="317" t="s">
        <v>37532</v>
      </c>
      <c r="B573" s="317" t="s">
        <v>44943</v>
      </c>
      <c r="C573" s="330" t="s">
        <v>5714</v>
      </c>
      <c r="D573" s="330" t="s">
        <v>5715</v>
      </c>
      <c r="E573" s="330" t="s">
        <v>37248</v>
      </c>
      <c r="F573" s="331">
        <v>0.21</v>
      </c>
      <c r="G573" s="332">
        <v>1643</v>
      </c>
      <c r="H573" s="333">
        <v>1989</v>
      </c>
    </row>
    <row r="574" spans="1:8">
      <c r="A574" s="317" t="s">
        <v>37533</v>
      </c>
      <c r="B574" s="317" t="s">
        <v>44944</v>
      </c>
      <c r="C574" s="330" t="s">
        <v>5716</v>
      </c>
      <c r="D574" s="330" t="s">
        <v>5717</v>
      </c>
      <c r="E574" s="330" t="s">
        <v>37248</v>
      </c>
      <c r="F574" s="331">
        <v>0.21</v>
      </c>
      <c r="G574" s="332">
        <v>26345</v>
      </c>
      <c r="H574" s="333">
        <v>31878</v>
      </c>
    </row>
    <row r="575" spans="1:8">
      <c r="A575" s="317" t="s">
        <v>37534</v>
      </c>
      <c r="B575" s="317" t="s">
        <v>44945</v>
      </c>
      <c r="C575" s="330" t="s">
        <v>5718</v>
      </c>
      <c r="D575" s="330" t="s">
        <v>5719</v>
      </c>
      <c r="E575" s="330" t="s">
        <v>37248</v>
      </c>
      <c r="F575" s="331">
        <v>0.21</v>
      </c>
      <c r="G575" s="332">
        <v>3163</v>
      </c>
      <c r="H575" s="333">
        <v>3828</v>
      </c>
    </row>
    <row r="576" spans="1:8">
      <c r="A576" s="317" t="s">
        <v>37535</v>
      </c>
      <c r="B576" s="317" t="s">
        <v>44946</v>
      </c>
      <c r="C576" s="330" t="s">
        <v>5720</v>
      </c>
      <c r="D576" s="330" t="s">
        <v>5721</v>
      </c>
      <c r="E576" s="330" t="s">
        <v>37248</v>
      </c>
      <c r="F576" s="331">
        <v>0.21</v>
      </c>
      <c r="G576" s="332">
        <v>968</v>
      </c>
      <c r="H576" s="333">
        <v>1172</v>
      </c>
    </row>
    <row r="577" spans="1:8">
      <c r="A577" s="317" t="s">
        <v>37536</v>
      </c>
      <c r="B577" s="317" t="s">
        <v>44947</v>
      </c>
      <c r="C577" s="330" t="s">
        <v>5722</v>
      </c>
      <c r="D577" s="330" t="s">
        <v>5723</v>
      </c>
      <c r="E577" s="330" t="s">
        <v>37248</v>
      </c>
      <c r="F577" s="331">
        <v>0.21</v>
      </c>
      <c r="G577" s="332">
        <v>1304</v>
      </c>
      <c r="H577" s="333">
        <v>1578</v>
      </c>
    </row>
    <row r="578" spans="1:8">
      <c r="A578" s="317" t="s">
        <v>37537</v>
      </c>
      <c r="B578" s="317" t="s">
        <v>44948</v>
      </c>
      <c r="C578" s="330" t="s">
        <v>5724</v>
      </c>
      <c r="D578" s="330" t="s">
        <v>5725</v>
      </c>
      <c r="E578" s="330" t="s">
        <v>4819</v>
      </c>
      <c r="F578" s="331">
        <v>0.21</v>
      </c>
      <c r="G578" s="332">
        <v>7223</v>
      </c>
      <c r="H578" s="333">
        <v>8740</v>
      </c>
    </row>
    <row r="579" spans="1:8">
      <c r="A579" s="317" t="s">
        <v>37538</v>
      </c>
      <c r="B579" s="317" t="s">
        <v>44949</v>
      </c>
      <c r="C579" s="330" t="s">
        <v>5726</v>
      </c>
      <c r="D579" s="330" t="s">
        <v>5727</v>
      </c>
      <c r="E579" s="330" t="s">
        <v>37248</v>
      </c>
      <c r="F579" s="331">
        <v>0.21</v>
      </c>
      <c r="G579" s="332">
        <v>40508</v>
      </c>
      <c r="H579" s="333">
        <v>49015</v>
      </c>
    </row>
    <row r="580" spans="1:8">
      <c r="A580" s="317" t="s">
        <v>37539</v>
      </c>
      <c r="B580" s="317" t="s">
        <v>44950</v>
      </c>
      <c r="C580" s="330" t="s">
        <v>5728</v>
      </c>
      <c r="D580" s="330" t="s">
        <v>5729</v>
      </c>
      <c r="E580" s="330" t="s">
        <v>37248</v>
      </c>
      <c r="F580" s="331">
        <v>0.21</v>
      </c>
      <c r="G580" s="332">
        <v>32301</v>
      </c>
      <c r="H580" s="333">
        <v>39085</v>
      </c>
    </row>
    <row r="581" spans="1:8">
      <c r="A581" s="317" t="s">
        <v>37540</v>
      </c>
      <c r="B581" s="317" t="s">
        <v>44951</v>
      </c>
      <c r="C581" s="330" t="s">
        <v>5730</v>
      </c>
      <c r="D581" s="330" t="s">
        <v>5731</v>
      </c>
      <c r="E581" s="330" t="s">
        <v>37248</v>
      </c>
      <c r="F581" s="331">
        <v>0.21</v>
      </c>
      <c r="G581" s="332">
        <v>13096</v>
      </c>
      <c r="H581" s="333">
        <v>15847</v>
      </c>
    </row>
    <row r="582" spans="1:8">
      <c r="A582" s="317" t="s">
        <v>37541</v>
      </c>
      <c r="B582" s="317" t="s">
        <v>44952</v>
      </c>
      <c r="C582" s="330" t="s">
        <v>5732</v>
      </c>
      <c r="D582" s="330" t="s">
        <v>5502</v>
      </c>
      <c r="E582" s="330" t="s">
        <v>4819</v>
      </c>
      <c r="F582" s="331">
        <v>0.21</v>
      </c>
      <c r="G582" s="332">
        <v>10509</v>
      </c>
      <c r="H582" s="333">
        <v>12716</v>
      </c>
    </row>
    <row r="583" spans="1:8">
      <c r="A583" s="317" t="s">
        <v>37542</v>
      </c>
      <c r="B583" s="317" t="s">
        <v>44953</v>
      </c>
      <c r="C583" s="330" t="s">
        <v>5733</v>
      </c>
      <c r="D583" s="330" t="s">
        <v>5734</v>
      </c>
      <c r="E583" s="330" t="s">
        <v>4819</v>
      </c>
      <c r="F583" s="331">
        <v>0.21</v>
      </c>
      <c r="G583" s="332">
        <v>2380</v>
      </c>
      <c r="H583" s="333">
        <v>2880</v>
      </c>
    </row>
    <row r="584" spans="1:8">
      <c r="A584" s="317" t="s">
        <v>37543</v>
      </c>
      <c r="B584" s="317" t="s">
        <v>44954</v>
      </c>
      <c r="C584" s="330" t="s">
        <v>5735</v>
      </c>
      <c r="D584" s="330" t="s">
        <v>5736</v>
      </c>
      <c r="E584" s="330" t="s">
        <v>37248</v>
      </c>
      <c r="F584" s="331">
        <v>0.21</v>
      </c>
      <c r="G584" s="332">
        <v>6904</v>
      </c>
      <c r="H584" s="333">
        <v>8354</v>
      </c>
    </row>
    <row r="585" spans="1:8">
      <c r="A585" s="317" t="s">
        <v>37544</v>
      </c>
      <c r="B585" s="317" t="s">
        <v>44955</v>
      </c>
      <c r="C585" s="330" t="s">
        <v>5737</v>
      </c>
      <c r="D585" s="330" t="s">
        <v>5738</v>
      </c>
      <c r="E585" s="330" t="s">
        <v>37248</v>
      </c>
      <c r="F585" s="331">
        <v>0.21</v>
      </c>
      <c r="G585" s="332">
        <v>44912</v>
      </c>
      <c r="H585" s="333">
        <v>54344</v>
      </c>
    </row>
    <row r="586" spans="1:8">
      <c r="A586" s="317" t="s">
        <v>37545</v>
      </c>
      <c r="B586" s="317" t="s">
        <v>44956</v>
      </c>
      <c r="C586" s="330" t="s">
        <v>5739</v>
      </c>
      <c r="D586" s="330" t="s">
        <v>5740</v>
      </c>
      <c r="E586" s="330" t="s">
        <v>37248</v>
      </c>
      <c r="F586" s="331">
        <v>0.21</v>
      </c>
      <c r="G586" s="332">
        <v>5501</v>
      </c>
      <c r="H586" s="333">
        <v>6657</v>
      </c>
    </row>
    <row r="587" spans="1:8">
      <c r="A587" s="317" t="s">
        <v>37546</v>
      </c>
      <c r="B587" s="317" t="s">
        <v>44957</v>
      </c>
      <c r="C587" s="330" t="s">
        <v>5741</v>
      </c>
      <c r="D587" s="330" t="s">
        <v>5742</v>
      </c>
      <c r="E587" s="330" t="s">
        <v>37248</v>
      </c>
      <c r="F587" s="331">
        <v>0.21</v>
      </c>
      <c r="G587" s="332">
        <v>10928</v>
      </c>
      <c r="H587" s="333">
        <v>13223</v>
      </c>
    </row>
    <row r="588" spans="1:8">
      <c r="A588" s="317" t="s">
        <v>37547</v>
      </c>
      <c r="B588" s="317" t="s">
        <v>44958</v>
      </c>
      <c r="C588" s="330" t="s">
        <v>5743</v>
      </c>
      <c r="D588" s="330" t="s">
        <v>5744</v>
      </c>
      <c r="E588" s="330" t="s">
        <v>4819</v>
      </c>
      <c r="F588" s="331">
        <v>0.21</v>
      </c>
      <c r="G588" s="332">
        <v>1924</v>
      </c>
      <c r="H588" s="333">
        <v>2329</v>
      </c>
    </row>
    <row r="589" spans="1:8">
      <c r="A589" s="317" t="s">
        <v>37548</v>
      </c>
      <c r="B589" s="317" t="s">
        <v>44959</v>
      </c>
      <c r="C589" s="330" t="s">
        <v>5745</v>
      </c>
      <c r="D589" s="330" t="s">
        <v>5746</v>
      </c>
      <c r="E589" s="330" t="s">
        <v>37248</v>
      </c>
      <c r="F589" s="331">
        <v>0.21</v>
      </c>
      <c r="G589" s="332">
        <v>31194</v>
      </c>
      <c r="H589" s="333">
        <v>37745</v>
      </c>
    </row>
    <row r="590" spans="1:8">
      <c r="A590" s="317" t="s">
        <v>37549</v>
      </c>
      <c r="B590" s="317" t="s">
        <v>44960</v>
      </c>
      <c r="C590" s="330" t="s">
        <v>5747</v>
      </c>
      <c r="D590" s="330" t="s">
        <v>5748</v>
      </c>
      <c r="E590" s="330" t="s">
        <v>37248</v>
      </c>
      <c r="F590" s="331">
        <v>0.21</v>
      </c>
      <c r="G590" s="332">
        <v>42701</v>
      </c>
      <c r="H590" s="333">
        <v>51669</v>
      </c>
    </row>
    <row r="591" spans="1:8">
      <c r="A591" s="317" t="s">
        <v>37550</v>
      </c>
      <c r="B591" s="317" t="s">
        <v>44961</v>
      </c>
      <c r="C591" s="330" t="s">
        <v>5749</v>
      </c>
      <c r="D591" s="330" t="s">
        <v>5750</v>
      </c>
      <c r="E591" s="330" t="s">
        <v>4819</v>
      </c>
      <c r="F591" s="331">
        <v>0.21</v>
      </c>
      <c r="G591" s="332">
        <v>3645</v>
      </c>
      <c r="H591" s="333">
        <v>4411</v>
      </c>
    </row>
    <row r="592" spans="1:8">
      <c r="A592" s="317" t="s">
        <v>37551</v>
      </c>
      <c r="B592" s="317" t="s">
        <v>44962</v>
      </c>
      <c r="C592" s="330" t="s">
        <v>5751</v>
      </c>
      <c r="D592" s="330" t="s">
        <v>5752</v>
      </c>
      <c r="E592" s="330" t="s">
        <v>37248</v>
      </c>
      <c r="F592" s="331">
        <v>0.21</v>
      </c>
      <c r="G592" s="332">
        <v>4751</v>
      </c>
      <c r="H592" s="333">
        <v>5749</v>
      </c>
    </row>
    <row r="593" spans="1:8">
      <c r="A593" s="317" t="s">
        <v>37552</v>
      </c>
      <c r="B593" s="317" t="s">
        <v>44963</v>
      </c>
      <c r="C593" s="330" t="s">
        <v>5753</v>
      </c>
      <c r="D593" s="330" t="s">
        <v>5754</v>
      </c>
      <c r="E593" s="330" t="s">
        <v>4623</v>
      </c>
      <c r="F593" s="331">
        <v>0.21</v>
      </c>
      <c r="G593" s="332">
        <v>75335</v>
      </c>
      <c r="H593" s="333">
        <v>91156</v>
      </c>
    </row>
    <row r="594" spans="1:8">
      <c r="A594" s="317" t="s">
        <v>37553</v>
      </c>
      <c r="B594" s="317" t="s">
        <v>44964</v>
      </c>
      <c r="C594" s="330" t="s">
        <v>5755</v>
      </c>
      <c r="D594" s="330" t="s">
        <v>5756</v>
      </c>
      <c r="E594" s="330" t="s">
        <v>37248</v>
      </c>
      <c r="F594" s="331">
        <v>0.21</v>
      </c>
      <c r="G594" s="332">
        <v>6810</v>
      </c>
      <c r="H594" s="333">
        <v>8241</v>
      </c>
    </row>
    <row r="595" spans="1:8">
      <c r="A595" s="317" t="s">
        <v>37554</v>
      </c>
      <c r="B595" s="317" t="s">
        <v>44965</v>
      </c>
      <c r="C595" s="330" t="s">
        <v>5757</v>
      </c>
      <c r="D595" s="330" t="s">
        <v>5758</v>
      </c>
      <c r="E595" s="330" t="s">
        <v>37248</v>
      </c>
      <c r="F595" s="331">
        <v>0.21</v>
      </c>
      <c r="G595" s="332">
        <v>5663</v>
      </c>
      <c r="H595" s="333">
        <v>6853</v>
      </c>
    </row>
    <row r="596" spans="1:8">
      <c r="A596" s="317" t="s">
        <v>37555</v>
      </c>
      <c r="B596" s="317" t="s">
        <v>44966</v>
      </c>
      <c r="C596" s="330" t="s">
        <v>5759</v>
      </c>
      <c r="D596" s="330" t="s">
        <v>5760</v>
      </c>
      <c r="E596" s="330" t="s">
        <v>37248</v>
      </c>
      <c r="F596" s="331">
        <v>0.21</v>
      </c>
      <c r="G596" s="332">
        <v>6690</v>
      </c>
      <c r="H596" s="333">
        <v>8095</v>
      </c>
    </row>
    <row r="597" spans="1:8">
      <c r="A597" s="317" t="s">
        <v>37556</v>
      </c>
      <c r="B597" s="317" t="s">
        <v>44967</v>
      </c>
      <c r="C597" s="330" t="s">
        <v>5761</v>
      </c>
      <c r="D597" s="330" t="s">
        <v>5244</v>
      </c>
      <c r="E597" s="330" t="s">
        <v>4819</v>
      </c>
      <c r="F597" s="331">
        <v>0.21</v>
      </c>
      <c r="G597" s="332">
        <v>3049</v>
      </c>
      <c r="H597" s="333">
        <v>3690</v>
      </c>
    </row>
    <row r="598" spans="1:8">
      <c r="A598" s="317" t="s">
        <v>37557</v>
      </c>
      <c r="B598" s="317" t="s">
        <v>44968</v>
      </c>
      <c r="C598" s="330" t="s">
        <v>5762</v>
      </c>
      <c r="D598" s="330" t="s">
        <v>5763</v>
      </c>
      <c r="E598" s="330" t="s">
        <v>4819</v>
      </c>
      <c r="F598" s="331">
        <v>0.21</v>
      </c>
      <c r="G598" s="332">
        <v>283</v>
      </c>
      <c r="H598" s="333">
        <v>343</v>
      </c>
    </row>
    <row r="599" spans="1:8">
      <c r="A599" s="317" t="s">
        <v>37558</v>
      </c>
      <c r="B599" s="317" t="s">
        <v>44969</v>
      </c>
      <c r="C599" s="330" t="s">
        <v>5764</v>
      </c>
      <c r="D599" s="330" t="s">
        <v>5765</v>
      </c>
      <c r="E599" s="330" t="s">
        <v>37248</v>
      </c>
      <c r="F599" s="331">
        <v>0.21</v>
      </c>
      <c r="G599" s="332">
        <v>9855</v>
      </c>
      <c r="H599" s="333">
        <v>11925</v>
      </c>
    </row>
    <row r="600" spans="1:8">
      <c r="A600" s="317" t="s">
        <v>37559</v>
      </c>
      <c r="B600" s="317" t="s">
        <v>44970</v>
      </c>
      <c r="C600" s="330" t="s">
        <v>5766</v>
      </c>
      <c r="D600" s="330" t="s">
        <v>5767</v>
      </c>
      <c r="E600" s="330" t="s">
        <v>4819</v>
      </c>
      <c r="F600" s="331">
        <v>0.21</v>
      </c>
      <c r="G600" s="332">
        <v>3022</v>
      </c>
      <c r="H600" s="333">
        <v>3657</v>
      </c>
    </row>
    <row r="601" spans="1:8">
      <c r="A601" s="317" t="s">
        <v>37560</v>
      </c>
      <c r="B601" s="317" t="s">
        <v>44971</v>
      </c>
      <c r="C601" s="330" t="s">
        <v>5768</v>
      </c>
      <c r="D601" s="330" t="s">
        <v>5769</v>
      </c>
      <c r="E601" s="330" t="s">
        <v>4819</v>
      </c>
      <c r="F601" s="331">
        <v>0.21</v>
      </c>
      <c r="G601" s="332">
        <v>4240</v>
      </c>
      <c r="H601" s="333">
        <v>5131</v>
      </c>
    </row>
    <row r="602" spans="1:8">
      <c r="A602" s="317" t="s">
        <v>37561</v>
      </c>
      <c r="B602" s="317" t="s">
        <v>44972</v>
      </c>
      <c r="C602" s="330" t="s">
        <v>5770</v>
      </c>
      <c r="D602" s="330" t="s">
        <v>5771</v>
      </c>
      <c r="E602" s="330" t="s">
        <v>37248</v>
      </c>
      <c r="F602" s="331">
        <v>0.21</v>
      </c>
      <c r="G602" s="332">
        <v>3892</v>
      </c>
      <c r="H602" s="333">
        <v>4710</v>
      </c>
    </row>
    <row r="603" spans="1:8">
      <c r="A603" s="317" t="s">
        <v>37562</v>
      </c>
      <c r="B603" s="317" t="s">
        <v>44973</v>
      </c>
      <c r="C603" s="330" t="s">
        <v>5772</v>
      </c>
      <c r="D603" s="330" t="s">
        <v>5773</v>
      </c>
      <c r="E603" s="330" t="s">
        <v>37248</v>
      </c>
      <c r="F603" s="331">
        <v>0.21</v>
      </c>
      <c r="G603" s="332">
        <v>14065</v>
      </c>
      <c r="H603" s="333">
        <v>17019</v>
      </c>
    </row>
    <row r="604" spans="1:8">
      <c r="A604" s="317" t="s">
        <v>37563</v>
      </c>
      <c r="B604" s="317" t="s">
        <v>44974</v>
      </c>
      <c r="C604" s="330" t="s">
        <v>5774</v>
      </c>
      <c r="D604" s="330" t="s">
        <v>5775</v>
      </c>
      <c r="E604" s="330" t="s">
        <v>37248</v>
      </c>
      <c r="F604" s="331">
        <v>0.21</v>
      </c>
      <c r="G604" s="332">
        <v>8590</v>
      </c>
      <c r="H604" s="333">
        <v>10394</v>
      </c>
    </row>
    <row r="605" spans="1:8">
      <c r="A605" s="317">
        <v>1900210166</v>
      </c>
      <c r="B605" s="317" t="s">
        <v>44975</v>
      </c>
      <c r="C605" s="330" t="s">
        <v>5776</v>
      </c>
      <c r="D605" s="330" t="s">
        <v>5777</v>
      </c>
      <c r="E605" s="330" t="s">
        <v>37248</v>
      </c>
      <c r="F605" s="331">
        <v>0.21</v>
      </c>
      <c r="G605" s="332">
        <v>6968</v>
      </c>
      <c r="H605" s="333">
        <v>8432</v>
      </c>
    </row>
    <row r="606" spans="1:8">
      <c r="A606" s="317">
        <v>1900905020</v>
      </c>
      <c r="B606" s="317" t="s">
        <v>44976</v>
      </c>
      <c r="C606" s="330" t="s">
        <v>5778</v>
      </c>
      <c r="D606" s="330" t="s">
        <v>5779</v>
      </c>
      <c r="E606" s="330" t="s">
        <v>37248</v>
      </c>
      <c r="F606" s="331">
        <v>0.21</v>
      </c>
      <c r="G606" s="332">
        <v>6299</v>
      </c>
      <c r="H606" s="333">
        <v>7622</v>
      </c>
    </row>
    <row r="607" spans="1:8">
      <c r="A607" s="317">
        <v>1900905021</v>
      </c>
      <c r="B607" s="317" t="s">
        <v>44977</v>
      </c>
      <c r="C607" s="330" t="s">
        <v>5780</v>
      </c>
      <c r="D607" s="330" t="s">
        <v>5504</v>
      </c>
      <c r="E607" s="330" t="s">
        <v>37248</v>
      </c>
      <c r="F607" s="331">
        <v>0.21</v>
      </c>
      <c r="G607" s="332">
        <v>10823</v>
      </c>
      <c r="H607" s="333">
        <v>13096</v>
      </c>
    </row>
    <row r="608" spans="1:8">
      <c r="A608" s="317">
        <v>1900905203</v>
      </c>
      <c r="B608" s="317" t="s">
        <v>44978</v>
      </c>
      <c r="C608" s="330" t="s">
        <v>5781</v>
      </c>
      <c r="D608" s="330" t="s">
        <v>5782</v>
      </c>
      <c r="E608" s="330" t="s">
        <v>37248</v>
      </c>
      <c r="F608" s="331">
        <v>0.21</v>
      </c>
      <c r="G608" s="332">
        <v>5837</v>
      </c>
      <c r="H608" s="333">
        <v>7063</v>
      </c>
    </row>
    <row r="609" spans="1:8">
      <c r="A609" s="317">
        <v>2600100041</v>
      </c>
      <c r="B609" s="317" t="s">
        <v>44979</v>
      </c>
      <c r="C609" s="330" t="s">
        <v>5783</v>
      </c>
      <c r="D609" s="330" t="s">
        <v>5784</v>
      </c>
      <c r="E609" s="330" t="s">
        <v>4819</v>
      </c>
      <c r="F609" s="331">
        <v>0.21</v>
      </c>
      <c r="G609" s="332">
        <v>2079</v>
      </c>
      <c r="H609" s="333">
        <v>2516</v>
      </c>
    </row>
    <row r="610" spans="1:8">
      <c r="A610" s="317">
        <v>2600101047</v>
      </c>
      <c r="B610" s="317" t="s">
        <v>44980</v>
      </c>
      <c r="C610" s="330" t="s">
        <v>5785</v>
      </c>
      <c r="D610" s="330" t="s">
        <v>5786</v>
      </c>
      <c r="E610" s="330" t="s">
        <v>37248</v>
      </c>
      <c r="F610" s="331">
        <v>0.21</v>
      </c>
      <c r="G610" s="332">
        <v>2281</v>
      </c>
      <c r="H610" s="333">
        <v>2761</v>
      </c>
    </row>
    <row r="611" spans="1:8">
      <c r="A611" s="317">
        <v>2600190090</v>
      </c>
      <c r="B611" s="317" t="s">
        <v>44981</v>
      </c>
      <c r="C611" s="330" t="s">
        <v>5787</v>
      </c>
      <c r="D611" s="330" t="s">
        <v>5788</v>
      </c>
      <c r="E611" s="330" t="s">
        <v>4634</v>
      </c>
      <c r="F611" s="331">
        <v>0.21</v>
      </c>
      <c r="G611" s="332">
        <v>3234</v>
      </c>
      <c r="H611" s="333">
        <v>3914</v>
      </c>
    </row>
    <row r="612" spans="1:8">
      <c r="A612" s="317">
        <v>2600301066</v>
      </c>
      <c r="B612" s="317" t="s">
        <v>44982</v>
      </c>
      <c r="C612" s="330" t="s">
        <v>5789</v>
      </c>
      <c r="D612" s="330" t="s">
        <v>5790</v>
      </c>
      <c r="E612" s="330" t="s">
        <v>37248</v>
      </c>
      <c r="F612" s="331">
        <v>0.21</v>
      </c>
      <c r="G612" s="332">
        <v>3236</v>
      </c>
      <c r="H612" s="333">
        <v>3916</v>
      </c>
    </row>
    <row r="613" spans="1:8">
      <c r="A613" s="317">
        <v>2600400008</v>
      </c>
      <c r="B613" s="317" t="s">
        <v>44983</v>
      </c>
      <c r="C613" s="330" t="s">
        <v>5791</v>
      </c>
      <c r="D613" s="330" t="s">
        <v>5792</v>
      </c>
      <c r="E613" s="330" t="s">
        <v>4819</v>
      </c>
      <c r="F613" s="331">
        <v>0.21</v>
      </c>
      <c r="G613" s="332">
        <v>1784</v>
      </c>
      <c r="H613" s="333">
        <v>2159</v>
      </c>
    </row>
    <row r="614" spans="1:8">
      <c r="A614" s="317">
        <v>2600590006</v>
      </c>
      <c r="B614" s="317" t="s">
        <v>44984</v>
      </c>
      <c r="C614" s="330" t="s">
        <v>5793</v>
      </c>
      <c r="D614" s="330" t="s">
        <v>5794</v>
      </c>
      <c r="E614" s="330" t="s">
        <v>37248</v>
      </c>
      <c r="F614" s="331">
        <v>0.21</v>
      </c>
      <c r="G614" s="332">
        <v>1697</v>
      </c>
      <c r="H614" s="333">
        <v>2054</v>
      </c>
    </row>
    <row r="615" spans="1:8">
      <c r="A615" s="317">
        <v>2600703012</v>
      </c>
      <c r="B615" s="317" t="s">
        <v>44985</v>
      </c>
      <c r="C615" s="330" t="s">
        <v>5795</v>
      </c>
      <c r="D615" s="330" t="s">
        <v>5796</v>
      </c>
      <c r="E615" s="330" t="s">
        <v>37248</v>
      </c>
      <c r="F615" s="331">
        <v>0.21</v>
      </c>
      <c r="G615" s="332">
        <v>3368</v>
      </c>
      <c r="H615" s="333">
        <v>4076</v>
      </c>
    </row>
    <row r="616" spans="1:8">
      <c r="A616" s="317">
        <v>2601901012</v>
      </c>
      <c r="B616" s="317" t="s">
        <v>44986</v>
      </c>
      <c r="C616" s="330" t="s">
        <v>5797</v>
      </c>
      <c r="D616" s="330" t="s">
        <v>5798</v>
      </c>
      <c r="E616" s="330" t="s">
        <v>4634</v>
      </c>
      <c r="F616" s="331">
        <v>0.21</v>
      </c>
      <c r="G616" s="332">
        <v>1856</v>
      </c>
      <c r="H616" s="333">
        <v>2246</v>
      </c>
    </row>
    <row r="617" spans="1:8">
      <c r="A617" s="317">
        <v>2602025067</v>
      </c>
      <c r="B617" s="317" t="s">
        <v>44987</v>
      </c>
      <c r="C617" s="330" t="s">
        <v>5799</v>
      </c>
      <c r="D617" s="330" t="s">
        <v>5800</v>
      </c>
      <c r="E617" s="330" t="s">
        <v>4634</v>
      </c>
      <c r="F617" s="331">
        <v>0.21</v>
      </c>
      <c r="G617" s="332">
        <v>4184</v>
      </c>
      <c r="H617" s="333">
        <v>5063</v>
      </c>
    </row>
    <row r="618" spans="1:8">
      <c r="A618" s="317">
        <v>2602300032</v>
      </c>
      <c r="B618" s="317" t="s">
        <v>44988</v>
      </c>
      <c r="C618" s="330" t="s">
        <v>5801</v>
      </c>
      <c r="D618" s="330" t="s">
        <v>5802</v>
      </c>
      <c r="E618" s="330" t="s">
        <v>37248</v>
      </c>
      <c r="F618" s="331">
        <v>0.21</v>
      </c>
      <c r="G618" s="332">
        <v>4559</v>
      </c>
      <c r="H618" s="333">
        <v>5517</v>
      </c>
    </row>
    <row r="619" spans="1:8">
      <c r="A619" s="317">
        <v>2603312006</v>
      </c>
      <c r="B619" s="317" t="s">
        <v>44989</v>
      </c>
      <c r="C619" s="330" t="s">
        <v>5803</v>
      </c>
      <c r="D619" s="330" t="s">
        <v>5804</v>
      </c>
      <c r="E619" s="330" t="s">
        <v>37248</v>
      </c>
      <c r="F619" s="331">
        <v>0.21</v>
      </c>
      <c r="G619" s="332">
        <v>3604</v>
      </c>
      <c r="H619" s="333">
        <v>4361</v>
      </c>
    </row>
    <row r="620" spans="1:8">
      <c r="A620" s="317">
        <v>2603320001</v>
      </c>
      <c r="B620" s="317" t="s">
        <v>44990</v>
      </c>
      <c r="C620" s="330" t="s">
        <v>5805</v>
      </c>
      <c r="D620" s="330" t="s">
        <v>5806</v>
      </c>
      <c r="E620" s="330" t="s">
        <v>4819</v>
      </c>
      <c r="F620" s="331">
        <v>0.21</v>
      </c>
      <c r="G620" s="332">
        <v>1837</v>
      </c>
      <c r="H620" s="333">
        <v>2223</v>
      </c>
    </row>
    <row r="621" spans="1:8">
      <c r="A621" s="317">
        <v>2603400000</v>
      </c>
      <c r="B621" s="317" t="s">
        <v>44991</v>
      </c>
      <c r="C621" s="330" t="s">
        <v>5807</v>
      </c>
      <c r="D621" s="330" t="s">
        <v>5808</v>
      </c>
      <c r="E621" s="330" t="s">
        <v>37248</v>
      </c>
      <c r="F621" s="331">
        <v>0.21</v>
      </c>
      <c r="G621" s="332">
        <v>3132</v>
      </c>
      <c r="H621" s="333">
        <v>3790</v>
      </c>
    </row>
    <row r="622" spans="1:8">
      <c r="A622" s="317">
        <v>2604010692</v>
      </c>
      <c r="B622" s="317" t="s">
        <v>44992</v>
      </c>
      <c r="C622" s="330" t="s">
        <v>5809</v>
      </c>
      <c r="D622" s="330" t="s">
        <v>5810</v>
      </c>
      <c r="E622" s="330" t="s">
        <v>37248</v>
      </c>
      <c r="F622" s="331">
        <v>0.21</v>
      </c>
      <c r="G622" s="332">
        <v>89288</v>
      </c>
      <c r="H622" s="333">
        <v>108039</v>
      </c>
    </row>
    <row r="623" spans="1:8">
      <c r="A623" s="317">
        <v>2604010935</v>
      </c>
      <c r="B623" s="317" t="s">
        <v>44993</v>
      </c>
      <c r="C623" s="330" t="s">
        <v>5811</v>
      </c>
      <c r="D623" s="330" t="s">
        <v>5812</v>
      </c>
      <c r="E623" s="330" t="s">
        <v>37248</v>
      </c>
      <c r="F623" s="331">
        <v>0.21</v>
      </c>
      <c r="G623" s="332">
        <v>82428</v>
      </c>
      <c r="H623" s="333">
        <v>99738</v>
      </c>
    </row>
    <row r="624" spans="1:8">
      <c r="A624" s="317">
        <v>2604011434</v>
      </c>
      <c r="B624" s="317" t="s">
        <v>44994</v>
      </c>
      <c r="C624" s="330" t="s">
        <v>5813</v>
      </c>
      <c r="D624" s="330" t="s">
        <v>5814</v>
      </c>
      <c r="E624" s="330" t="s">
        <v>37248</v>
      </c>
      <c r="F624" s="331">
        <v>0.21</v>
      </c>
      <c r="G624" s="332">
        <v>62787</v>
      </c>
      <c r="H624" s="333">
        <v>75973</v>
      </c>
    </row>
    <row r="625" spans="1:8">
      <c r="A625" s="317">
        <v>2604220456</v>
      </c>
      <c r="B625" s="317" t="s">
        <v>44995</v>
      </c>
      <c r="C625" s="330" t="s">
        <v>5815</v>
      </c>
      <c r="D625" s="330" t="s">
        <v>5816</v>
      </c>
      <c r="E625" s="330" t="s">
        <v>37248</v>
      </c>
      <c r="F625" s="331">
        <v>0.21</v>
      </c>
      <c r="G625" s="332">
        <v>25337</v>
      </c>
      <c r="H625" s="333">
        <v>30658</v>
      </c>
    </row>
    <row r="626" spans="1:8">
      <c r="A626" s="317">
        <v>2604736009</v>
      </c>
      <c r="B626" s="317" t="s">
        <v>44996</v>
      </c>
      <c r="C626" s="330" t="s">
        <v>5817</v>
      </c>
      <c r="D626" s="330" t="s">
        <v>5818</v>
      </c>
      <c r="E626" s="330" t="s">
        <v>37248</v>
      </c>
      <c r="F626" s="331">
        <v>0.21</v>
      </c>
      <c r="G626" s="332">
        <v>11267</v>
      </c>
      <c r="H626" s="333">
        <v>13634</v>
      </c>
    </row>
    <row r="627" spans="1:8">
      <c r="A627" s="317">
        <v>2604736013</v>
      </c>
      <c r="B627" s="317" t="s">
        <v>44997</v>
      </c>
      <c r="C627" s="330" t="s">
        <v>5819</v>
      </c>
      <c r="D627" s="330" t="s">
        <v>5820</v>
      </c>
      <c r="E627" s="330" t="s">
        <v>37248</v>
      </c>
      <c r="F627" s="331">
        <v>0.21</v>
      </c>
      <c r="G627" s="332">
        <v>10408</v>
      </c>
      <c r="H627" s="333">
        <v>12594</v>
      </c>
    </row>
    <row r="628" spans="1:8">
      <c r="A628" s="317">
        <v>2605190900</v>
      </c>
      <c r="B628" s="317" t="s">
        <v>44998</v>
      </c>
      <c r="C628" s="330" t="s">
        <v>5821</v>
      </c>
      <c r="D628" s="330" t="s">
        <v>5822</v>
      </c>
      <c r="E628" s="330" t="s">
        <v>37248</v>
      </c>
      <c r="F628" s="331">
        <v>0.21</v>
      </c>
      <c r="G628" s="332">
        <v>47544</v>
      </c>
      <c r="H628" s="333">
        <v>57529</v>
      </c>
    </row>
    <row r="629" spans="1:8">
      <c r="A629" s="317">
        <v>2605411170</v>
      </c>
      <c r="B629" s="317" t="s">
        <v>44999</v>
      </c>
      <c r="C629" s="330" t="s">
        <v>5823</v>
      </c>
      <c r="D629" s="330" t="s">
        <v>5824</v>
      </c>
      <c r="E629" s="330" t="s">
        <v>37248</v>
      </c>
      <c r="F629" s="331">
        <v>0.21</v>
      </c>
      <c r="G629" s="332">
        <v>9195</v>
      </c>
      <c r="H629" s="333">
        <v>11126</v>
      </c>
    </row>
    <row r="630" spans="1:8">
      <c r="A630" s="317">
        <v>2605801038</v>
      </c>
      <c r="B630" s="317" t="s">
        <v>45000</v>
      </c>
      <c r="C630" s="330" t="s">
        <v>5825</v>
      </c>
      <c r="D630" s="330" t="s">
        <v>5826</v>
      </c>
      <c r="E630" s="330" t="s">
        <v>37248</v>
      </c>
      <c r="F630" s="331">
        <v>0.21</v>
      </c>
      <c r="G630" s="332">
        <v>7011</v>
      </c>
      <c r="H630" s="333">
        <v>8484</v>
      </c>
    </row>
    <row r="631" spans="1:8">
      <c r="A631" s="317">
        <v>2605807124</v>
      </c>
      <c r="B631" s="317" t="s">
        <v>45001</v>
      </c>
      <c r="C631" s="330" t="s">
        <v>5827</v>
      </c>
      <c r="D631" s="330" t="s">
        <v>5828</v>
      </c>
      <c r="E631" s="330" t="s">
        <v>37248</v>
      </c>
      <c r="F631" s="331">
        <v>0.21</v>
      </c>
      <c r="G631" s="332">
        <v>27802</v>
      </c>
      <c r="H631" s="333">
        <v>33641</v>
      </c>
    </row>
    <row r="632" spans="1:8">
      <c r="A632" s="317">
        <v>2606200223</v>
      </c>
      <c r="B632" s="317" t="s">
        <v>45002</v>
      </c>
      <c r="C632" s="330" t="s">
        <v>5829</v>
      </c>
      <c r="D632" s="330" t="s">
        <v>5830</v>
      </c>
      <c r="E632" s="330" t="s">
        <v>4623</v>
      </c>
      <c r="F632" s="331">
        <v>0.21</v>
      </c>
      <c r="G632" s="332">
        <v>74550</v>
      </c>
      <c r="H632" s="333">
        <v>90206</v>
      </c>
    </row>
    <row r="633" spans="1:8">
      <c r="A633" s="317">
        <v>2606317098</v>
      </c>
      <c r="B633" s="317" t="s">
        <v>45003</v>
      </c>
      <c r="C633" s="330" t="s">
        <v>5831</v>
      </c>
      <c r="D633" s="330" t="s">
        <v>5832</v>
      </c>
      <c r="E633" s="330" t="s">
        <v>37248</v>
      </c>
      <c r="F633" s="331">
        <v>0.21</v>
      </c>
      <c r="G633" s="332">
        <v>14026</v>
      </c>
      <c r="H633" s="333">
        <v>16972</v>
      </c>
    </row>
    <row r="634" spans="1:8">
      <c r="A634" s="317">
        <v>2606333900</v>
      </c>
      <c r="B634" s="317" t="s">
        <v>45004</v>
      </c>
      <c r="C634" s="330" t="s">
        <v>5833</v>
      </c>
      <c r="D634" s="330" t="s">
        <v>5834</v>
      </c>
      <c r="E634" s="330" t="s">
        <v>37248</v>
      </c>
      <c r="F634" s="331">
        <v>0.21</v>
      </c>
      <c r="G634" s="332">
        <v>24397</v>
      </c>
      <c r="H634" s="333">
        <v>29521</v>
      </c>
    </row>
    <row r="635" spans="1:8">
      <c r="A635" s="317">
        <v>2607022860</v>
      </c>
      <c r="B635" s="317" t="s">
        <v>45005</v>
      </c>
      <c r="C635" s="330" t="s">
        <v>5835</v>
      </c>
      <c r="D635" s="330" t="s">
        <v>5836</v>
      </c>
      <c r="E635" s="330" t="s">
        <v>4819</v>
      </c>
      <c r="F635" s="331">
        <v>0.21</v>
      </c>
      <c r="G635" s="332">
        <v>116921</v>
      </c>
      <c r="H635" s="333">
        <v>141475</v>
      </c>
    </row>
    <row r="636" spans="1:8">
      <c r="A636" s="317">
        <v>2607200202</v>
      </c>
      <c r="B636" s="317" t="s">
        <v>45006</v>
      </c>
      <c r="C636" s="330" t="s">
        <v>5837</v>
      </c>
      <c r="D636" s="330" t="s">
        <v>5838</v>
      </c>
      <c r="E636" s="330" t="s">
        <v>37248</v>
      </c>
      <c r="F636" s="331">
        <v>0.21</v>
      </c>
      <c r="G636" s="332">
        <v>47492</v>
      </c>
      <c r="H636" s="333">
        <v>57466</v>
      </c>
    </row>
    <row r="637" spans="1:8">
      <c r="A637" s="317">
        <v>2607200357</v>
      </c>
      <c r="B637" s="317" t="s">
        <v>45007</v>
      </c>
      <c r="C637" s="330" t="s">
        <v>5839</v>
      </c>
      <c r="D637" s="330" t="s">
        <v>5840</v>
      </c>
      <c r="E637" s="330" t="s">
        <v>4634</v>
      </c>
      <c r="F637" s="331">
        <v>0.21</v>
      </c>
      <c r="G637" s="332">
        <v>27795</v>
      </c>
      <c r="H637" s="333">
        <v>33632</v>
      </c>
    </row>
    <row r="638" spans="1:8">
      <c r="A638" s="317">
        <v>2607200638</v>
      </c>
      <c r="B638" s="317" t="s">
        <v>45008</v>
      </c>
      <c r="C638" s="330" t="s">
        <v>5841</v>
      </c>
      <c r="D638" s="330" t="s">
        <v>5842</v>
      </c>
      <c r="E638" s="330" t="s">
        <v>37248</v>
      </c>
      <c r="F638" s="331">
        <v>0.21</v>
      </c>
      <c r="G638" s="332">
        <v>31663</v>
      </c>
      <c r="H638" s="333">
        <v>38313</v>
      </c>
    </row>
    <row r="639" spans="1:8">
      <c r="A639" s="317">
        <v>2607202520</v>
      </c>
      <c r="B639" s="317" t="s">
        <v>45009</v>
      </c>
      <c r="C639" s="330" t="s">
        <v>5843</v>
      </c>
      <c r="D639" s="330" t="s">
        <v>5844</v>
      </c>
      <c r="E639" s="330" t="s">
        <v>37248</v>
      </c>
      <c r="F639" s="331">
        <v>0.21</v>
      </c>
      <c r="G639" s="332">
        <v>27275</v>
      </c>
      <c r="H639" s="333">
        <v>33003</v>
      </c>
    </row>
    <row r="640" spans="1:8">
      <c r="A640" s="317">
        <v>2607225589</v>
      </c>
      <c r="B640" s="317" t="s">
        <v>45010</v>
      </c>
      <c r="C640" s="330" t="s">
        <v>5845</v>
      </c>
      <c r="D640" s="330" t="s">
        <v>5846</v>
      </c>
      <c r="E640" s="330" t="s">
        <v>4634</v>
      </c>
      <c r="F640" s="331">
        <v>0.21</v>
      </c>
      <c r="G640" s="332">
        <v>47212</v>
      </c>
      <c r="H640" s="333">
        <v>57127</v>
      </c>
    </row>
    <row r="641" spans="1:8">
      <c r="A641" s="317">
        <v>2607225715</v>
      </c>
      <c r="B641" s="317" t="s">
        <v>45011</v>
      </c>
      <c r="C641" s="330" t="s">
        <v>5847</v>
      </c>
      <c r="D641" s="330" t="s">
        <v>5848</v>
      </c>
      <c r="E641" s="330" t="s">
        <v>4634</v>
      </c>
      <c r="F641" s="331">
        <v>0.21</v>
      </c>
      <c r="G641" s="332">
        <v>66081</v>
      </c>
      <c r="H641" s="333">
        <v>79959</v>
      </c>
    </row>
    <row r="642" spans="1:8">
      <c r="A642" s="317">
        <v>2608045023</v>
      </c>
      <c r="B642" s="317" t="s">
        <v>45012</v>
      </c>
      <c r="C642" s="330" t="s">
        <v>5849</v>
      </c>
      <c r="D642" s="330" t="s">
        <v>5850</v>
      </c>
      <c r="E642" s="330" t="s">
        <v>37248</v>
      </c>
      <c r="F642" s="331">
        <v>0.21</v>
      </c>
      <c r="G642" s="332">
        <v>10600</v>
      </c>
      <c r="H642" s="333">
        <v>12826</v>
      </c>
    </row>
    <row r="643" spans="1:8">
      <c r="A643" s="317">
        <v>2609100374</v>
      </c>
      <c r="B643" s="317" t="s">
        <v>45013</v>
      </c>
      <c r="C643" s="330" t="s">
        <v>5851</v>
      </c>
      <c r="D643" s="330" t="s">
        <v>5852</v>
      </c>
      <c r="E643" s="330" t="s">
        <v>37248</v>
      </c>
      <c r="F643" s="331">
        <v>0.21</v>
      </c>
      <c r="G643" s="332">
        <v>21105</v>
      </c>
      <c r="H643" s="333">
        <v>25538</v>
      </c>
    </row>
    <row r="644" spans="1:8">
      <c r="A644" s="317">
        <v>2609100543</v>
      </c>
      <c r="B644" s="317" t="s">
        <v>45014</v>
      </c>
      <c r="C644" s="330" t="s">
        <v>5853</v>
      </c>
      <c r="D644" s="330" t="s">
        <v>5854</v>
      </c>
      <c r="E644" s="330" t="s">
        <v>37248</v>
      </c>
      <c r="F644" s="331">
        <v>0.21</v>
      </c>
      <c r="G644" s="332">
        <v>24627</v>
      </c>
      <c r="H644" s="333">
        <v>29799</v>
      </c>
    </row>
    <row r="645" spans="1:8">
      <c r="A645" s="317">
        <v>2609100862</v>
      </c>
      <c r="B645" s="317" t="s">
        <v>45015</v>
      </c>
      <c r="C645" s="330" t="s">
        <v>5855</v>
      </c>
      <c r="D645" s="330" t="s">
        <v>5856</v>
      </c>
      <c r="E645" s="330" t="s">
        <v>37248</v>
      </c>
      <c r="F645" s="331">
        <v>0.21</v>
      </c>
      <c r="G645" s="332">
        <v>14756</v>
      </c>
      <c r="H645" s="333">
        <v>17855</v>
      </c>
    </row>
    <row r="646" spans="1:8">
      <c r="A646" s="317">
        <v>2609101302</v>
      </c>
      <c r="B646" s="317" t="s">
        <v>45016</v>
      </c>
      <c r="C646" s="330" t="s">
        <v>5857</v>
      </c>
      <c r="D646" s="330" t="s">
        <v>5858</v>
      </c>
      <c r="E646" s="330" t="s">
        <v>37248</v>
      </c>
      <c r="F646" s="331">
        <v>0.21</v>
      </c>
      <c r="G646" s="332">
        <v>4216</v>
      </c>
      <c r="H646" s="333">
        <v>5102</v>
      </c>
    </row>
    <row r="647" spans="1:8">
      <c r="A647" s="317">
        <v>2609110405</v>
      </c>
      <c r="B647" s="317" t="s">
        <v>45017</v>
      </c>
      <c r="C647" s="330" t="s">
        <v>5859</v>
      </c>
      <c r="D647" s="330" t="s">
        <v>5860</v>
      </c>
      <c r="E647" s="330" t="s">
        <v>37248</v>
      </c>
      <c r="F647" s="331">
        <v>0.21</v>
      </c>
      <c r="G647" s="332">
        <v>4640</v>
      </c>
      <c r="H647" s="333">
        <v>5615</v>
      </c>
    </row>
    <row r="648" spans="1:8">
      <c r="A648" s="317">
        <v>2609110635</v>
      </c>
      <c r="B648" s="317" t="s">
        <v>45018</v>
      </c>
      <c r="C648" s="330" t="s">
        <v>5861</v>
      </c>
      <c r="D648" s="330" t="s">
        <v>5862</v>
      </c>
      <c r="E648" s="330" t="s">
        <v>4819</v>
      </c>
      <c r="F648" s="331">
        <v>0.21</v>
      </c>
      <c r="G648" s="332">
        <v>1998</v>
      </c>
      <c r="H648" s="333">
        <v>2418</v>
      </c>
    </row>
    <row r="649" spans="1:8">
      <c r="A649" s="317">
        <v>2609110922</v>
      </c>
      <c r="B649" s="317" t="s">
        <v>45019</v>
      </c>
      <c r="C649" s="330" t="s">
        <v>5863</v>
      </c>
      <c r="D649" s="330" t="s">
        <v>5864</v>
      </c>
      <c r="E649" s="330" t="s">
        <v>37248</v>
      </c>
      <c r="F649" s="331">
        <v>0.21</v>
      </c>
      <c r="G649" s="332">
        <v>1726</v>
      </c>
      <c r="H649" s="333">
        <v>2089</v>
      </c>
    </row>
    <row r="650" spans="1:8">
      <c r="A650" s="317">
        <v>2609110978</v>
      </c>
      <c r="B650" s="317" t="s">
        <v>45020</v>
      </c>
      <c r="C650" s="330" t="s">
        <v>5865</v>
      </c>
      <c r="D650" s="330" t="s">
        <v>5866</v>
      </c>
      <c r="E650" s="330" t="s">
        <v>37248</v>
      </c>
      <c r="F650" s="331">
        <v>0.21</v>
      </c>
      <c r="G650" s="332">
        <v>2634</v>
      </c>
      <c r="H650" s="333">
        <v>3188</v>
      </c>
    </row>
    <row r="651" spans="1:8">
      <c r="A651" s="317">
        <v>2609111796</v>
      </c>
      <c r="B651" s="317" t="s">
        <v>45021</v>
      </c>
      <c r="C651" s="330" t="s">
        <v>5867</v>
      </c>
      <c r="D651" s="330" t="s">
        <v>5868</v>
      </c>
      <c r="E651" s="330" t="s">
        <v>37248</v>
      </c>
      <c r="F651" s="331">
        <v>0.21</v>
      </c>
      <c r="G651" s="332">
        <v>2172</v>
      </c>
      <c r="H651" s="333">
        <v>2629</v>
      </c>
    </row>
    <row r="652" spans="1:8">
      <c r="A652" s="317">
        <v>2609112106</v>
      </c>
      <c r="B652" s="317" t="s">
        <v>45022</v>
      </c>
      <c r="C652" s="330" t="s">
        <v>5869</v>
      </c>
      <c r="D652" s="330" t="s">
        <v>5870</v>
      </c>
      <c r="E652" s="330" t="s">
        <v>37248</v>
      </c>
      <c r="F652" s="331">
        <v>0.21</v>
      </c>
      <c r="G652" s="332">
        <v>8760</v>
      </c>
      <c r="H652" s="333">
        <v>10600</v>
      </c>
    </row>
    <row r="653" spans="1:8">
      <c r="A653" s="317">
        <v>2609112190</v>
      </c>
      <c r="B653" s="317" t="s">
        <v>45023</v>
      </c>
      <c r="C653" s="330" t="s">
        <v>5871</v>
      </c>
      <c r="D653" s="330" t="s">
        <v>5872</v>
      </c>
      <c r="E653" s="330" t="s">
        <v>37248</v>
      </c>
      <c r="F653" s="331">
        <v>0.21</v>
      </c>
      <c r="G653" s="332">
        <v>13052</v>
      </c>
      <c r="H653" s="333">
        <v>15793</v>
      </c>
    </row>
    <row r="654" spans="1:8">
      <c r="A654" s="317">
        <v>2609120064</v>
      </c>
      <c r="B654" s="317" t="s">
        <v>45024</v>
      </c>
      <c r="C654" s="330" t="s">
        <v>5873</v>
      </c>
      <c r="D654" s="330" t="s">
        <v>5874</v>
      </c>
      <c r="E654" s="330" t="s">
        <v>4819</v>
      </c>
      <c r="F654" s="331">
        <v>0.21</v>
      </c>
      <c r="G654" s="332">
        <v>8175</v>
      </c>
      <c r="H654" s="333">
        <v>9892</v>
      </c>
    </row>
    <row r="655" spans="1:8">
      <c r="A655" s="317">
        <v>2609120149</v>
      </c>
      <c r="B655" s="317" t="s">
        <v>45025</v>
      </c>
      <c r="C655" s="330" t="s">
        <v>5875</v>
      </c>
      <c r="D655" s="330" t="s">
        <v>5876</v>
      </c>
      <c r="E655" s="330" t="s">
        <v>37248</v>
      </c>
      <c r="F655" s="331">
        <v>0.21</v>
      </c>
      <c r="G655" s="332">
        <v>13402</v>
      </c>
      <c r="H655" s="333">
        <v>16217</v>
      </c>
    </row>
    <row r="656" spans="1:8">
      <c r="A656" s="317">
        <v>2609120395</v>
      </c>
      <c r="B656" s="317" t="s">
        <v>45026</v>
      </c>
      <c r="C656" s="330" t="s">
        <v>5877</v>
      </c>
      <c r="D656" s="330" t="s">
        <v>5878</v>
      </c>
      <c r="E656" s="330" t="s">
        <v>37248</v>
      </c>
      <c r="F656" s="331">
        <v>0.21</v>
      </c>
      <c r="G656" s="332">
        <v>49380</v>
      </c>
      <c r="H656" s="333">
        <v>59750</v>
      </c>
    </row>
    <row r="657" spans="1:8">
      <c r="A657" s="317">
        <v>2609125169</v>
      </c>
      <c r="B657" s="317" t="s">
        <v>45027</v>
      </c>
      <c r="C657" s="330" t="s">
        <v>5879</v>
      </c>
      <c r="D657" s="330" t="s">
        <v>5880</v>
      </c>
      <c r="E657" s="330" t="s">
        <v>37248</v>
      </c>
      <c r="F657" s="331">
        <v>0.21</v>
      </c>
      <c r="G657" s="332">
        <v>33702</v>
      </c>
      <c r="H657" s="333">
        <v>40780</v>
      </c>
    </row>
    <row r="658" spans="1:8">
      <c r="A658" s="317">
        <v>2609170217</v>
      </c>
      <c r="B658" s="317" t="s">
        <v>45028</v>
      </c>
      <c r="C658" s="330" t="s">
        <v>5881</v>
      </c>
      <c r="D658" s="330" t="s">
        <v>5882</v>
      </c>
      <c r="E658" s="330" t="s">
        <v>37248</v>
      </c>
      <c r="F658" s="331">
        <v>0.21</v>
      </c>
      <c r="G658" s="332">
        <v>6723</v>
      </c>
      <c r="H658" s="333">
        <v>8135</v>
      </c>
    </row>
    <row r="659" spans="1:8">
      <c r="A659" s="317">
        <v>2609199049</v>
      </c>
      <c r="B659" s="317" t="s">
        <v>45029</v>
      </c>
      <c r="C659" s="330" t="s">
        <v>5883</v>
      </c>
      <c r="D659" s="330" t="s">
        <v>5884</v>
      </c>
      <c r="E659" s="330" t="s">
        <v>37248</v>
      </c>
      <c r="F659" s="331">
        <v>0.21</v>
      </c>
      <c r="G659" s="332">
        <v>5862</v>
      </c>
      <c r="H659" s="333">
        <v>7094</v>
      </c>
    </row>
    <row r="660" spans="1:8">
      <c r="A660" s="317">
        <v>2609199085</v>
      </c>
      <c r="B660" s="317" t="s">
        <v>45030</v>
      </c>
      <c r="C660" s="330" t="s">
        <v>5885</v>
      </c>
      <c r="D660" s="330" t="s">
        <v>5886</v>
      </c>
      <c r="E660" s="330" t="s">
        <v>37248</v>
      </c>
      <c r="F660" s="331">
        <v>0.21</v>
      </c>
      <c r="G660" s="332">
        <v>44269</v>
      </c>
      <c r="H660" s="333">
        <v>53566</v>
      </c>
    </row>
    <row r="661" spans="1:8">
      <c r="A661" s="317">
        <v>2609199176</v>
      </c>
      <c r="B661" s="317" t="s">
        <v>45031</v>
      </c>
      <c r="C661" s="330" t="s">
        <v>5887</v>
      </c>
      <c r="D661" s="330" t="s">
        <v>5888</v>
      </c>
      <c r="E661" s="330" t="s">
        <v>37248</v>
      </c>
      <c r="F661" s="331">
        <v>0.21</v>
      </c>
      <c r="G661" s="332">
        <v>16788</v>
      </c>
      <c r="H661" s="333">
        <v>20314</v>
      </c>
    </row>
    <row r="662" spans="1:8">
      <c r="A662" s="317">
        <v>2609199253</v>
      </c>
      <c r="B662" s="317" t="s">
        <v>45032</v>
      </c>
      <c r="C662" s="330" t="s">
        <v>5889</v>
      </c>
      <c r="D662" s="330" t="s">
        <v>5890</v>
      </c>
      <c r="E662" s="330" t="s">
        <v>37248</v>
      </c>
      <c r="F662" s="331">
        <v>0.21</v>
      </c>
      <c r="G662" s="332">
        <v>65720</v>
      </c>
      <c r="H662" s="333">
        <v>79522</v>
      </c>
    </row>
    <row r="663" spans="1:8">
      <c r="A663" s="317">
        <v>2609199273</v>
      </c>
      <c r="B663" s="317" t="s">
        <v>45033</v>
      </c>
      <c r="C663" s="330" t="s">
        <v>5891</v>
      </c>
      <c r="D663" s="330" t="s">
        <v>5892</v>
      </c>
      <c r="E663" s="330" t="s">
        <v>37248</v>
      </c>
      <c r="F663" s="331">
        <v>0.21</v>
      </c>
      <c r="G663" s="332">
        <v>62042</v>
      </c>
      <c r="H663" s="333">
        <v>75071</v>
      </c>
    </row>
    <row r="664" spans="1:8">
      <c r="A664" s="317">
        <v>2609199359</v>
      </c>
      <c r="B664" s="317" t="s">
        <v>45034</v>
      </c>
      <c r="C664" s="330" t="s">
        <v>5893</v>
      </c>
      <c r="D664" s="330" t="s">
        <v>5894</v>
      </c>
      <c r="E664" s="330" t="s">
        <v>37248</v>
      </c>
      <c r="F664" s="331">
        <v>0.21</v>
      </c>
      <c r="G664" s="332">
        <v>65780</v>
      </c>
      <c r="H664" s="333">
        <v>79594</v>
      </c>
    </row>
    <row r="665" spans="1:8">
      <c r="A665" s="317">
        <v>2609199724</v>
      </c>
      <c r="B665" s="317" t="s">
        <v>45035</v>
      </c>
      <c r="C665" s="330" t="s">
        <v>5895</v>
      </c>
      <c r="D665" s="330" t="s">
        <v>5896</v>
      </c>
      <c r="E665" s="330" t="s">
        <v>37248</v>
      </c>
      <c r="F665" s="331">
        <v>0.21</v>
      </c>
      <c r="G665" s="332">
        <v>20928</v>
      </c>
      <c r="H665" s="333">
        <v>25323</v>
      </c>
    </row>
    <row r="666" spans="1:8">
      <c r="A666" s="317">
        <v>2609199841</v>
      </c>
      <c r="B666" s="317" t="s">
        <v>45036</v>
      </c>
      <c r="C666" s="330" t="s">
        <v>5897</v>
      </c>
      <c r="D666" s="330" t="s">
        <v>5898</v>
      </c>
      <c r="E666" s="330" t="s">
        <v>37248</v>
      </c>
      <c r="F666" s="331">
        <v>0.21</v>
      </c>
      <c r="G666" s="332">
        <v>69711</v>
      </c>
      <c r="H666" s="333">
        <v>84351</v>
      </c>
    </row>
    <row r="667" spans="1:8">
      <c r="A667" s="317">
        <v>2609199926</v>
      </c>
      <c r="B667" s="317" t="s">
        <v>45037</v>
      </c>
      <c r="C667" s="330" t="s">
        <v>5899</v>
      </c>
      <c r="D667" s="330" t="s">
        <v>5900</v>
      </c>
      <c r="E667" s="330" t="s">
        <v>4634</v>
      </c>
      <c r="F667" s="331">
        <v>0.21</v>
      </c>
      <c r="G667" s="332">
        <v>31745</v>
      </c>
      <c r="H667" s="333">
        <v>38412</v>
      </c>
    </row>
    <row r="668" spans="1:8">
      <c r="A668" s="317">
        <v>2609199956</v>
      </c>
      <c r="B668" s="317" t="s">
        <v>45038</v>
      </c>
      <c r="C668" s="330" t="s">
        <v>5901</v>
      </c>
      <c r="D668" s="330" t="s">
        <v>5902</v>
      </c>
      <c r="E668" s="330" t="s">
        <v>37248</v>
      </c>
      <c r="F668" s="331">
        <v>0.21</v>
      </c>
      <c r="G668" s="332">
        <v>31569</v>
      </c>
      <c r="H668" s="333">
        <v>38199</v>
      </c>
    </row>
    <row r="669" spans="1:8">
      <c r="A669" s="317">
        <v>2610008122</v>
      </c>
      <c r="B669" s="317" t="s">
        <v>45039</v>
      </c>
      <c r="C669" s="330" t="s">
        <v>5903</v>
      </c>
      <c r="D669" s="330" t="s">
        <v>5904</v>
      </c>
      <c r="E669" s="330" t="s">
        <v>37248</v>
      </c>
      <c r="F669" s="331">
        <v>0.21</v>
      </c>
      <c r="G669" s="332">
        <v>8864</v>
      </c>
      <c r="H669" s="333">
        <v>10726</v>
      </c>
    </row>
    <row r="670" spans="1:8">
      <c r="A670" s="317">
        <v>2610009826</v>
      </c>
      <c r="B670" s="317" t="s">
        <v>45040</v>
      </c>
      <c r="C670" s="330" t="s">
        <v>5905</v>
      </c>
      <c r="D670" s="330" t="s">
        <v>5906</v>
      </c>
      <c r="E670" s="330" t="s">
        <v>37248</v>
      </c>
      <c r="F670" s="331">
        <v>0.21</v>
      </c>
      <c r="G670" s="332">
        <v>2007</v>
      </c>
      <c r="H670" s="333">
        <v>2429</v>
      </c>
    </row>
    <row r="671" spans="1:8">
      <c r="A671" s="317">
        <v>2610015042</v>
      </c>
      <c r="B671" s="317" t="s">
        <v>45041</v>
      </c>
      <c r="C671" s="330" t="s">
        <v>5907</v>
      </c>
      <c r="D671" s="330" t="s">
        <v>5908</v>
      </c>
      <c r="E671" s="330" t="s">
        <v>37248</v>
      </c>
      <c r="F671" s="331">
        <v>0.21</v>
      </c>
      <c r="G671" s="332">
        <v>2201</v>
      </c>
      <c r="H671" s="333">
        <v>2664</v>
      </c>
    </row>
    <row r="672" spans="1:8">
      <c r="A672" s="317">
        <v>2610033427</v>
      </c>
      <c r="B672" s="317" t="s">
        <v>45042</v>
      </c>
      <c r="C672" s="330" t="s">
        <v>5909</v>
      </c>
      <c r="D672" s="330" t="s">
        <v>5910</v>
      </c>
      <c r="E672" s="330" t="s">
        <v>37248</v>
      </c>
      <c r="F672" s="331">
        <v>0.21</v>
      </c>
      <c r="G672" s="332">
        <v>10720</v>
      </c>
      <c r="H672" s="333">
        <v>12972</v>
      </c>
    </row>
    <row r="673" spans="1:8">
      <c r="A673" s="317">
        <v>2610394104</v>
      </c>
      <c r="B673" s="317" t="s">
        <v>45043</v>
      </c>
      <c r="C673" s="330" t="s">
        <v>5911</v>
      </c>
      <c r="D673" s="330" t="s">
        <v>5912</v>
      </c>
      <c r="E673" s="330" t="s">
        <v>4634</v>
      </c>
      <c r="F673" s="331">
        <v>0.21</v>
      </c>
      <c r="G673" s="332">
        <v>1521</v>
      </c>
      <c r="H673" s="333">
        <v>1841</v>
      </c>
    </row>
    <row r="674" spans="1:8">
      <c r="A674" s="317">
        <v>2610394611</v>
      </c>
      <c r="B674" s="317" t="s">
        <v>45044</v>
      </c>
      <c r="C674" s="330" t="s">
        <v>5913</v>
      </c>
      <c r="D674" s="330" t="s">
        <v>5914</v>
      </c>
      <c r="E674" s="330" t="s">
        <v>4634</v>
      </c>
      <c r="F674" s="331">
        <v>0.21</v>
      </c>
      <c r="G674" s="332">
        <v>32671</v>
      </c>
      <c r="H674" s="333">
        <v>39532</v>
      </c>
    </row>
    <row r="675" spans="1:8">
      <c r="A675" s="317">
        <v>2610394616</v>
      </c>
      <c r="B675" s="317" t="s">
        <v>45045</v>
      </c>
      <c r="C675" s="330" t="s">
        <v>5915</v>
      </c>
      <c r="D675" s="330" t="s">
        <v>5916</v>
      </c>
      <c r="E675" s="330" t="s">
        <v>37248</v>
      </c>
      <c r="F675" s="331">
        <v>0.21</v>
      </c>
      <c r="G675" s="332">
        <v>7319</v>
      </c>
      <c r="H675" s="333">
        <v>8856</v>
      </c>
    </row>
    <row r="676" spans="1:8">
      <c r="A676" s="317">
        <v>2610394622</v>
      </c>
      <c r="B676" s="317" t="s">
        <v>45046</v>
      </c>
      <c r="C676" s="330" t="s">
        <v>5917</v>
      </c>
      <c r="D676" s="330" t="s">
        <v>5918</v>
      </c>
      <c r="E676" s="330" t="s">
        <v>37248</v>
      </c>
      <c r="F676" s="331">
        <v>0.21</v>
      </c>
      <c r="G676" s="332">
        <v>31311</v>
      </c>
      <c r="H676" s="333">
        <v>37887</v>
      </c>
    </row>
    <row r="677" spans="1:8">
      <c r="A677" s="317">
        <v>2610395785</v>
      </c>
      <c r="B677" s="317" t="s">
        <v>45047</v>
      </c>
      <c r="C677" s="330" t="s">
        <v>5919</v>
      </c>
      <c r="D677" s="330" t="s">
        <v>5920</v>
      </c>
      <c r="E677" s="330" t="s">
        <v>37248</v>
      </c>
      <c r="F677" s="331">
        <v>0.21</v>
      </c>
      <c r="G677" s="332">
        <v>51187</v>
      </c>
      <c r="H677" s="333">
        <v>61937</v>
      </c>
    </row>
    <row r="678" spans="1:8">
      <c r="A678" s="317">
        <v>2610396243</v>
      </c>
      <c r="B678" s="317" t="s">
        <v>45048</v>
      </c>
      <c r="C678" s="330" t="s">
        <v>5921</v>
      </c>
      <c r="D678" s="330" t="s">
        <v>5922</v>
      </c>
      <c r="E678" s="330" t="s">
        <v>37248</v>
      </c>
      <c r="F678" s="331">
        <v>0.21</v>
      </c>
      <c r="G678" s="332">
        <v>19951</v>
      </c>
      <c r="H678" s="333">
        <v>24141</v>
      </c>
    </row>
    <row r="679" spans="1:8">
      <c r="A679" s="317">
        <v>2610398588</v>
      </c>
      <c r="B679" s="317" t="s">
        <v>45049</v>
      </c>
      <c r="C679" s="330" t="s">
        <v>5923</v>
      </c>
      <c r="D679" s="330" t="s">
        <v>5924</v>
      </c>
      <c r="E679" s="330" t="s">
        <v>37248</v>
      </c>
      <c r="F679" s="331">
        <v>0.21</v>
      </c>
      <c r="G679" s="332">
        <v>4225</v>
      </c>
      <c r="H679" s="333">
        <v>5113</v>
      </c>
    </row>
    <row r="680" spans="1:8">
      <c r="A680" s="317">
        <v>2610398592</v>
      </c>
      <c r="B680" s="317" t="s">
        <v>45050</v>
      </c>
      <c r="C680" s="330" t="s">
        <v>5925</v>
      </c>
      <c r="D680" s="330" t="s">
        <v>5926</v>
      </c>
      <c r="E680" s="330" t="s">
        <v>37248</v>
      </c>
      <c r="F680" s="331">
        <v>0.21</v>
      </c>
      <c r="G680" s="332">
        <v>8780</v>
      </c>
      <c r="H680" s="333">
        <v>10624</v>
      </c>
    </row>
    <row r="681" spans="1:8">
      <c r="A681" s="317">
        <v>2610399711</v>
      </c>
      <c r="B681" s="317" t="s">
        <v>45051</v>
      </c>
      <c r="C681" s="330" t="s">
        <v>5927</v>
      </c>
      <c r="D681" s="330" t="s">
        <v>5928</v>
      </c>
      <c r="E681" s="330" t="s">
        <v>4634</v>
      </c>
      <c r="F681" s="331">
        <v>0.21</v>
      </c>
      <c r="G681" s="332">
        <v>6228</v>
      </c>
      <c r="H681" s="333">
        <v>7536</v>
      </c>
    </row>
    <row r="682" spans="1:8">
      <c r="A682" s="317">
        <v>2610907940</v>
      </c>
      <c r="B682" s="317" t="s">
        <v>45052</v>
      </c>
      <c r="C682" s="330" t="s">
        <v>5929</v>
      </c>
      <c r="D682" s="330" t="s">
        <v>5930</v>
      </c>
      <c r="E682" s="330" t="s">
        <v>37248</v>
      </c>
      <c r="F682" s="331">
        <v>0.21</v>
      </c>
      <c r="G682" s="332">
        <v>9105</v>
      </c>
      <c r="H682" s="333">
        <v>11018</v>
      </c>
    </row>
    <row r="683" spans="1:8">
      <c r="A683" s="317">
        <v>2610921129</v>
      </c>
      <c r="B683" s="317" t="s">
        <v>45053</v>
      </c>
      <c r="C683" s="330" t="s">
        <v>5931</v>
      </c>
      <c r="D683" s="330" t="s">
        <v>5932</v>
      </c>
      <c r="E683" s="330" t="s">
        <v>4634</v>
      </c>
      <c r="F683" s="331">
        <v>0.21</v>
      </c>
      <c r="G683" s="332">
        <v>10355</v>
      </c>
      <c r="H683" s="333">
        <v>12530</v>
      </c>
    </row>
    <row r="684" spans="1:8">
      <c r="A684" s="317">
        <v>2610925372</v>
      </c>
      <c r="B684" s="317" t="s">
        <v>45054</v>
      </c>
      <c r="C684" s="330" t="s">
        <v>5933</v>
      </c>
      <c r="D684" s="330" t="s">
        <v>5934</v>
      </c>
      <c r="E684" s="330" t="s">
        <v>37248</v>
      </c>
      <c r="F684" s="331">
        <v>0.21</v>
      </c>
      <c r="G684" s="332">
        <v>19951</v>
      </c>
      <c r="H684" s="333">
        <v>24141</v>
      </c>
    </row>
    <row r="685" spans="1:8">
      <c r="A685" s="317">
        <v>2610925774</v>
      </c>
      <c r="B685" s="317" t="s">
        <v>45055</v>
      </c>
      <c r="C685" s="330" t="s">
        <v>5935</v>
      </c>
      <c r="D685" s="330" t="s">
        <v>5936</v>
      </c>
      <c r="E685" s="330" t="s">
        <v>37248</v>
      </c>
      <c r="F685" s="331">
        <v>0.21</v>
      </c>
      <c r="G685" s="332">
        <v>19885</v>
      </c>
      <c r="H685" s="333">
        <v>24061</v>
      </c>
    </row>
    <row r="686" spans="1:8">
      <c r="A686" s="317">
        <v>2610956895</v>
      </c>
      <c r="B686" s="317" t="s">
        <v>45056</v>
      </c>
      <c r="C686" s="330" t="s">
        <v>5937</v>
      </c>
      <c r="D686" s="330" t="s">
        <v>5938</v>
      </c>
      <c r="E686" s="330" t="s">
        <v>37248</v>
      </c>
      <c r="F686" s="331">
        <v>0.21</v>
      </c>
      <c r="G686" s="332">
        <v>1998</v>
      </c>
      <c r="H686" s="333">
        <v>2418</v>
      </c>
    </row>
    <row r="687" spans="1:8">
      <c r="A687" s="317">
        <v>2610956896</v>
      </c>
      <c r="B687" s="317" t="s">
        <v>45057</v>
      </c>
      <c r="C687" s="330" t="s">
        <v>5939</v>
      </c>
      <c r="D687" s="330" t="s">
        <v>5940</v>
      </c>
      <c r="E687" s="330" t="s">
        <v>37248</v>
      </c>
      <c r="F687" s="331">
        <v>0.21</v>
      </c>
      <c r="G687" s="332">
        <v>7443</v>
      </c>
      <c r="H687" s="333">
        <v>9007</v>
      </c>
    </row>
    <row r="688" spans="1:8">
      <c r="A688" s="317">
        <v>2610956901</v>
      </c>
      <c r="B688" s="317" t="s">
        <v>45058</v>
      </c>
      <c r="C688" s="330" t="s">
        <v>5941</v>
      </c>
      <c r="D688" s="330" t="s">
        <v>5942</v>
      </c>
      <c r="E688" s="330" t="s">
        <v>37248</v>
      </c>
      <c r="F688" s="331">
        <v>0.21</v>
      </c>
      <c r="G688" s="332">
        <v>26891</v>
      </c>
      <c r="H688" s="333">
        <v>32539</v>
      </c>
    </row>
    <row r="689" spans="1:8">
      <c r="A689" s="317">
        <v>2610993157</v>
      </c>
      <c r="B689" s="317" t="s">
        <v>45059</v>
      </c>
      <c r="C689" s="330" t="s">
        <v>5943</v>
      </c>
      <c r="D689" s="330" t="s">
        <v>5944</v>
      </c>
      <c r="E689" s="330" t="s">
        <v>37248</v>
      </c>
      <c r="F689" s="331">
        <v>0.21</v>
      </c>
      <c r="G689" s="332">
        <v>15003</v>
      </c>
      <c r="H689" s="333">
        <v>18154</v>
      </c>
    </row>
    <row r="690" spans="1:8">
      <c r="A690" s="317">
        <v>2610996948</v>
      </c>
      <c r="B690" s="317" t="s">
        <v>45060</v>
      </c>
      <c r="C690" s="330" t="s">
        <v>5945</v>
      </c>
      <c r="D690" s="330" t="s">
        <v>5946</v>
      </c>
      <c r="E690" s="330" t="s">
        <v>37248</v>
      </c>
      <c r="F690" s="331">
        <v>0.21</v>
      </c>
      <c r="G690" s="332">
        <v>1924</v>
      </c>
      <c r="H690" s="333">
        <v>2329</v>
      </c>
    </row>
    <row r="691" spans="1:8">
      <c r="A691" s="317" t="s">
        <v>37564</v>
      </c>
      <c r="B691" s="317" t="s">
        <v>45061</v>
      </c>
      <c r="C691" s="330" t="s">
        <v>5947</v>
      </c>
      <c r="D691" s="330" t="s">
        <v>5948</v>
      </c>
      <c r="E691" s="330" t="s">
        <v>37248</v>
      </c>
      <c r="F691" s="331">
        <v>0.21</v>
      </c>
      <c r="G691" s="332">
        <v>25582</v>
      </c>
      <c r="H691" s="333">
        <v>30955</v>
      </c>
    </row>
    <row r="692" spans="1:8">
      <c r="A692" s="317">
        <v>2615294109</v>
      </c>
      <c r="B692" s="317" t="s">
        <v>45062</v>
      </c>
      <c r="C692" s="330" t="s">
        <v>5949</v>
      </c>
      <c r="D692" s="330" t="s">
        <v>5950</v>
      </c>
      <c r="E692" s="330" t="s">
        <v>4634</v>
      </c>
      <c r="F692" s="331">
        <v>0.21</v>
      </c>
      <c r="G692" s="332">
        <v>7020</v>
      </c>
      <c r="H692" s="333">
        <v>8495</v>
      </c>
    </row>
    <row r="693" spans="1:8">
      <c r="A693" s="317">
        <v>2910281201</v>
      </c>
      <c r="B693" s="317" t="s">
        <v>45063</v>
      </c>
      <c r="C693" s="330" t="s">
        <v>5951</v>
      </c>
      <c r="D693" s="330" t="s">
        <v>5952</v>
      </c>
      <c r="E693" s="330" t="s">
        <v>37248</v>
      </c>
      <c r="F693" s="331">
        <v>0.21</v>
      </c>
      <c r="G693" s="332">
        <v>1539</v>
      </c>
      <c r="H693" s="333">
        <v>1863</v>
      </c>
    </row>
    <row r="694" spans="1:8">
      <c r="A694" s="317">
        <v>3600703011</v>
      </c>
      <c r="B694" s="317" t="s">
        <v>45064</v>
      </c>
      <c r="C694" s="330" t="s">
        <v>5953</v>
      </c>
      <c r="D694" s="330" t="s">
        <v>5954</v>
      </c>
      <c r="E694" s="330" t="s">
        <v>37248</v>
      </c>
      <c r="F694" s="331">
        <v>0.21</v>
      </c>
      <c r="G694" s="332">
        <v>4053</v>
      </c>
      <c r="H694" s="333">
        <v>4905</v>
      </c>
    </row>
    <row r="695" spans="1:8">
      <c r="A695" s="317">
        <v>3605108224</v>
      </c>
      <c r="B695" s="317" t="s">
        <v>45065</v>
      </c>
      <c r="C695" s="330" t="s">
        <v>5955</v>
      </c>
      <c r="D695" s="330" t="s">
        <v>5956</v>
      </c>
      <c r="E695" s="330" t="s">
        <v>37248</v>
      </c>
      <c r="F695" s="331">
        <v>0.21</v>
      </c>
      <c r="G695" s="332">
        <v>10134</v>
      </c>
      <c r="H695" s="333">
        <v>12263</v>
      </c>
    </row>
    <row r="696" spans="1:8">
      <c r="A696" s="317">
        <v>3607030476</v>
      </c>
      <c r="B696" s="317" t="s">
        <v>45066</v>
      </c>
      <c r="C696" s="330" t="s">
        <v>5957</v>
      </c>
      <c r="D696" s="330" t="s">
        <v>5958</v>
      </c>
      <c r="E696" s="330" t="s">
        <v>37248</v>
      </c>
      <c r="F696" s="331">
        <v>0.21</v>
      </c>
      <c r="G696" s="332">
        <v>91202</v>
      </c>
      <c r="H696" s="333">
        <v>110355</v>
      </c>
    </row>
    <row r="697" spans="1:8">
      <c r="A697" s="317">
        <v>3607030477</v>
      </c>
      <c r="B697" s="317" t="s">
        <v>45067</v>
      </c>
      <c r="C697" s="330" t="s">
        <v>5959</v>
      </c>
      <c r="D697" s="330" t="s">
        <v>5960</v>
      </c>
      <c r="E697" s="330" t="s">
        <v>37248</v>
      </c>
      <c r="F697" s="331">
        <v>0.21</v>
      </c>
      <c r="G697" s="332">
        <v>50375</v>
      </c>
      <c r="H697" s="333">
        <v>60954</v>
      </c>
    </row>
    <row r="698" spans="1:8">
      <c r="A698" s="317">
        <v>3607031668</v>
      </c>
      <c r="B698" s="317" t="s">
        <v>45068</v>
      </c>
      <c r="C698" s="330" t="s">
        <v>5961</v>
      </c>
      <c r="D698" s="330" t="s">
        <v>5962</v>
      </c>
      <c r="E698" s="330" t="s">
        <v>37248</v>
      </c>
      <c r="F698" s="331">
        <v>0.21</v>
      </c>
      <c r="G698" s="332">
        <v>76858</v>
      </c>
      <c r="H698" s="333">
        <v>92999</v>
      </c>
    </row>
    <row r="699" spans="1:8">
      <c r="A699" s="317">
        <v>9618082293</v>
      </c>
      <c r="B699" s="317" t="s">
        <v>45069</v>
      </c>
      <c r="C699" s="330" t="s">
        <v>5963</v>
      </c>
      <c r="D699" s="330" t="s">
        <v>5964</v>
      </c>
      <c r="E699" s="330" t="s">
        <v>37248</v>
      </c>
      <c r="F699" s="331">
        <v>0.21</v>
      </c>
      <c r="G699" s="332">
        <v>2634</v>
      </c>
      <c r="H699" s="333">
        <v>3188</v>
      </c>
    </row>
    <row r="700" spans="1:8">
      <c r="A700" s="317">
        <v>9618086806</v>
      </c>
      <c r="B700" s="317" t="s">
        <v>45070</v>
      </c>
      <c r="C700" s="330" t="s">
        <v>5965</v>
      </c>
      <c r="D700" s="330" t="s">
        <v>5966</v>
      </c>
      <c r="E700" s="330" t="s">
        <v>4634</v>
      </c>
      <c r="F700" s="331">
        <v>0.21</v>
      </c>
      <c r="G700" s="332">
        <v>13183</v>
      </c>
      <c r="H700" s="333">
        <v>15952</v>
      </c>
    </row>
    <row r="701" spans="1:8">
      <c r="A701" s="317">
        <v>9618086870</v>
      </c>
      <c r="B701" s="317" t="s">
        <v>45071</v>
      </c>
      <c r="C701" s="330" t="s">
        <v>5967</v>
      </c>
      <c r="D701" s="330" t="s">
        <v>5968</v>
      </c>
      <c r="E701" s="330" t="s">
        <v>37248</v>
      </c>
      <c r="F701" s="331">
        <v>0.21</v>
      </c>
      <c r="G701" s="332">
        <v>4813</v>
      </c>
      <c r="H701" s="333">
        <v>5824</v>
      </c>
    </row>
    <row r="702" spans="1:8">
      <c r="A702" s="317">
        <v>9618086921</v>
      </c>
      <c r="B702" s="317" t="s">
        <v>45072</v>
      </c>
      <c r="C702" s="330" t="s">
        <v>5969</v>
      </c>
      <c r="D702" s="330" t="s">
        <v>5970</v>
      </c>
      <c r="E702" s="330" t="s">
        <v>37248</v>
      </c>
      <c r="F702" s="331">
        <v>0.21</v>
      </c>
      <c r="G702" s="332">
        <v>9859</v>
      </c>
      <c r="H702" s="333">
        <v>11930</v>
      </c>
    </row>
    <row r="703" spans="1:8">
      <c r="A703" s="317">
        <v>9618087097</v>
      </c>
      <c r="B703" s="317" t="s">
        <v>45073</v>
      </c>
      <c r="C703" s="330" t="s">
        <v>5971</v>
      </c>
      <c r="D703" s="330" t="s">
        <v>5972</v>
      </c>
      <c r="E703" s="330" t="s">
        <v>37248</v>
      </c>
      <c r="F703" s="331">
        <v>0.21</v>
      </c>
      <c r="G703" s="332">
        <v>9755</v>
      </c>
      <c r="H703" s="333">
        <v>11804</v>
      </c>
    </row>
    <row r="704" spans="1:8">
      <c r="A704" s="317">
        <v>9618087196</v>
      </c>
      <c r="B704" s="317" t="s">
        <v>45074</v>
      </c>
      <c r="C704" s="330" t="s">
        <v>5973</v>
      </c>
      <c r="D704" s="330" t="s">
        <v>5974</v>
      </c>
      <c r="E704" s="330" t="s">
        <v>4634</v>
      </c>
      <c r="F704" s="331">
        <v>0.21</v>
      </c>
      <c r="G704" s="332">
        <v>14658</v>
      </c>
      <c r="H704" s="333">
        <v>17737</v>
      </c>
    </row>
    <row r="705" spans="1:8">
      <c r="A705" s="317">
        <v>9618088985</v>
      </c>
      <c r="B705" s="317" t="s">
        <v>45075</v>
      </c>
      <c r="C705" s="330" t="s">
        <v>5975</v>
      </c>
      <c r="D705" s="330" t="s">
        <v>5976</v>
      </c>
      <c r="E705" s="330" t="s">
        <v>37248</v>
      </c>
      <c r="F705" s="331">
        <v>0.21</v>
      </c>
      <c r="G705" s="332">
        <v>5313</v>
      </c>
      <c r="H705" s="333">
        <v>6429</v>
      </c>
    </row>
    <row r="706" spans="1:8">
      <c r="A706" s="317">
        <v>9618089012</v>
      </c>
      <c r="B706" s="317" t="s">
        <v>45076</v>
      </c>
      <c r="C706" s="330" t="s">
        <v>5977</v>
      </c>
      <c r="D706" s="330" t="s">
        <v>5978</v>
      </c>
      <c r="E706" s="330" t="s">
        <v>4634</v>
      </c>
      <c r="F706" s="331">
        <v>0.21</v>
      </c>
      <c r="G706" s="332">
        <v>21604</v>
      </c>
      <c r="H706" s="333">
        <v>26141</v>
      </c>
    </row>
    <row r="707" spans="1:8">
      <c r="A707" s="317">
        <v>9618089013</v>
      </c>
      <c r="B707" s="317" t="s">
        <v>45077</v>
      </c>
      <c r="C707" s="330" t="s">
        <v>5979</v>
      </c>
      <c r="D707" s="330" t="s">
        <v>5980</v>
      </c>
      <c r="E707" s="330" t="s">
        <v>37248</v>
      </c>
      <c r="F707" s="331">
        <v>0.21</v>
      </c>
      <c r="G707" s="332">
        <v>41429</v>
      </c>
      <c r="H707" s="333">
        <v>50130</v>
      </c>
    </row>
    <row r="708" spans="1:8">
      <c r="A708" s="317">
        <v>9618089263</v>
      </c>
      <c r="B708" s="317" t="s">
        <v>45078</v>
      </c>
      <c r="C708" s="330" t="s">
        <v>5981</v>
      </c>
      <c r="D708" s="330" t="s">
        <v>5982</v>
      </c>
      <c r="E708" s="330" t="s">
        <v>4819</v>
      </c>
      <c r="F708" s="331">
        <v>0.21</v>
      </c>
      <c r="G708" s="332">
        <v>37597</v>
      </c>
      <c r="H708" s="333">
        <v>45493</v>
      </c>
    </row>
    <row r="709" spans="1:8">
      <c r="A709" s="317">
        <v>9618089597</v>
      </c>
      <c r="B709" s="317" t="s">
        <v>45079</v>
      </c>
      <c r="C709" s="330" t="s">
        <v>5983</v>
      </c>
      <c r="D709" s="330" t="s">
        <v>5984</v>
      </c>
      <c r="E709" s="330" t="s">
        <v>37248</v>
      </c>
      <c r="F709" s="331">
        <v>0.21</v>
      </c>
      <c r="G709" s="332">
        <v>40363</v>
      </c>
      <c r="H709" s="333">
        <v>48840</v>
      </c>
    </row>
    <row r="710" spans="1:8">
      <c r="A710" s="317" t="s">
        <v>37565</v>
      </c>
      <c r="B710" s="317" t="s">
        <v>45080</v>
      </c>
      <c r="C710" s="330" t="s">
        <v>5985</v>
      </c>
      <c r="D710" s="330" t="s">
        <v>5986</v>
      </c>
      <c r="E710" s="330" t="s">
        <v>37248</v>
      </c>
      <c r="F710" s="331">
        <v>0.21</v>
      </c>
      <c r="G710" s="332">
        <v>3625</v>
      </c>
      <c r="H710" s="333">
        <v>4387</v>
      </c>
    </row>
    <row r="711" spans="1:8">
      <c r="A711" s="317" t="s">
        <v>37566</v>
      </c>
      <c r="B711" s="317" t="s">
        <v>45081</v>
      </c>
      <c r="C711" s="330" t="s">
        <v>5987</v>
      </c>
      <c r="D711" s="330" t="s">
        <v>5988</v>
      </c>
      <c r="E711" s="330" t="s">
        <v>37248</v>
      </c>
      <c r="F711" s="331">
        <v>0.21</v>
      </c>
      <c r="G711" s="332">
        <v>2072</v>
      </c>
      <c r="H711" s="333">
        <v>2508</v>
      </c>
    </row>
    <row r="712" spans="1:8">
      <c r="A712" s="317" t="s">
        <v>37567</v>
      </c>
      <c r="B712" s="317" t="s">
        <v>45082</v>
      </c>
      <c r="C712" s="330" t="s">
        <v>5989</v>
      </c>
      <c r="D712" s="330" t="s">
        <v>5990</v>
      </c>
      <c r="E712" s="330" t="s">
        <v>37248</v>
      </c>
      <c r="F712" s="331">
        <v>0.21</v>
      </c>
      <c r="G712" s="332">
        <v>1806</v>
      </c>
      <c r="H712" s="333">
        <v>2186</v>
      </c>
    </row>
    <row r="713" spans="1:8">
      <c r="A713" s="317" t="s">
        <v>37568</v>
      </c>
      <c r="B713" s="317" t="s">
        <v>45083</v>
      </c>
      <c r="C713" s="330" t="s">
        <v>5991</v>
      </c>
      <c r="D713" s="330" t="s">
        <v>5992</v>
      </c>
      <c r="E713" s="330" t="s">
        <v>37248</v>
      </c>
      <c r="F713" s="331">
        <v>0.21</v>
      </c>
      <c r="G713" s="332">
        <v>9444</v>
      </c>
      <c r="H713" s="333">
        <v>11428</v>
      </c>
    </row>
    <row r="714" spans="1:8">
      <c r="A714" s="317" t="s">
        <v>37569</v>
      </c>
      <c r="B714" s="317" t="s">
        <v>45084</v>
      </c>
      <c r="C714" s="330" t="s">
        <v>5993</v>
      </c>
      <c r="D714" s="330" t="s">
        <v>5994</v>
      </c>
      <c r="E714" s="330" t="s">
        <v>4634</v>
      </c>
      <c r="F714" s="331">
        <v>0.21</v>
      </c>
      <c r="G714" s="332">
        <v>1028</v>
      </c>
      <c r="H714" s="333">
        <v>1244</v>
      </c>
    </row>
    <row r="715" spans="1:8">
      <c r="A715" s="317" t="s">
        <v>37570</v>
      </c>
      <c r="B715" s="317" t="s">
        <v>45085</v>
      </c>
      <c r="C715" s="330" t="s">
        <v>5995</v>
      </c>
      <c r="D715" s="330" t="s">
        <v>5996</v>
      </c>
      <c r="E715" s="330" t="s">
        <v>4623</v>
      </c>
      <c r="F715" s="331">
        <v>0.21</v>
      </c>
      <c r="G715" s="332">
        <v>30010</v>
      </c>
      <c r="H715" s="333">
        <v>36313</v>
      </c>
    </row>
    <row r="716" spans="1:8">
      <c r="A716" s="317" t="s">
        <v>37571</v>
      </c>
      <c r="B716" s="317" t="s">
        <v>45086</v>
      </c>
      <c r="C716" s="330" t="s">
        <v>5997</v>
      </c>
      <c r="D716" s="330" t="s">
        <v>5998</v>
      </c>
      <c r="E716" s="330" t="s">
        <v>37248</v>
      </c>
      <c r="F716" s="331">
        <v>0.21</v>
      </c>
      <c r="G716" s="332">
        <v>56114</v>
      </c>
      <c r="H716" s="333">
        <v>67898</v>
      </c>
    </row>
    <row r="717" spans="1:8">
      <c r="A717" s="317" t="s">
        <v>37572</v>
      </c>
      <c r="B717" s="317" t="s">
        <v>45087</v>
      </c>
      <c r="C717" s="330" t="s">
        <v>5999</v>
      </c>
      <c r="D717" s="330" t="s">
        <v>6000</v>
      </c>
      <c r="E717" s="330" t="s">
        <v>37248</v>
      </c>
      <c r="F717" s="331">
        <v>0.21</v>
      </c>
      <c r="G717" s="332">
        <v>42524</v>
      </c>
      <c r="H717" s="333">
        <v>51455</v>
      </c>
    </row>
    <row r="718" spans="1:8">
      <c r="A718" s="317" t="s">
        <v>37573</v>
      </c>
      <c r="B718" s="317" t="s">
        <v>45088</v>
      </c>
      <c r="C718" s="330" t="s">
        <v>6001</v>
      </c>
      <c r="D718" s="330" t="s">
        <v>6002</v>
      </c>
      <c r="E718" s="330" t="s">
        <v>4634</v>
      </c>
      <c r="F718" s="331">
        <v>0.21</v>
      </c>
      <c r="G718" s="332">
        <v>42977</v>
      </c>
      <c r="H718" s="333">
        <v>52003</v>
      </c>
    </row>
    <row r="719" spans="1:8">
      <c r="A719" s="317" t="s">
        <v>37574</v>
      </c>
      <c r="B719" s="317" t="s">
        <v>45089</v>
      </c>
      <c r="C719" s="330" t="s">
        <v>6003</v>
      </c>
      <c r="D719" s="330" t="s">
        <v>6004</v>
      </c>
      <c r="E719" s="330" t="s">
        <v>37248</v>
      </c>
      <c r="F719" s="331">
        <v>0.21</v>
      </c>
      <c r="G719" s="332">
        <v>18568</v>
      </c>
      <c r="H719" s="333">
        <v>22468</v>
      </c>
    </row>
    <row r="720" spans="1:8">
      <c r="A720" s="317" t="s">
        <v>37575</v>
      </c>
      <c r="B720" s="317" t="s">
        <v>45090</v>
      </c>
      <c r="C720" s="330" t="s">
        <v>6005</v>
      </c>
      <c r="D720" s="330" t="s">
        <v>6006</v>
      </c>
      <c r="E720" s="330" t="s">
        <v>37248</v>
      </c>
      <c r="F720" s="331">
        <v>0.21</v>
      </c>
      <c r="G720" s="332">
        <v>2417</v>
      </c>
      <c r="H720" s="333">
        <v>2925</v>
      </c>
    </row>
    <row r="721" spans="1:8">
      <c r="A721" s="317" t="s">
        <v>37576</v>
      </c>
      <c r="B721" s="317" t="s">
        <v>45091</v>
      </c>
      <c r="C721" s="330" t="s">
        <v>6007</v>
      </c>
      <c r="D721" s="330" t="s">
        <v>6008</v>
      </c>
      <c r="E721" s="330" t="s">
        <v>37248</v>
      </c>
      <c r="F721" s="331">
        <v>0.21</v>
      </c>
      <c r="G721" s="332">
        <v>7611</v>
      </c>
      <c r="H721" s="333">
        <v>9210</v>
      </c>
    </row>
    <row r="722" spans="1:8">
      <c r="A722" s="317" t="s">
        <v>37577</v>
      </c>
      <c r="B722" s="317" t="s">
        <v>45092</v>
      </c>
      <c r="C722" s="330" t="s">
        <v>6009</v>
      </c>
      <c r="D722" s="330" t="s">
        <v>6010</v>
      </c>
      <c r="E722" s="330" t="s">
        <v>37248</v>
      </c>
      <c r="F722" s="331">
        <v>0.21</v>
      </c>
      <c r="G722" s="332">
        <v>13206</v>
      </c>
      <c r="H722" s="333">
        <v>15980</v>
      </c>
    </row>
    <row r="723" spans="1:8">
      <c r="A723" s="317" t="s">
        <v>37578</v>
      </c>
      <c r="B723" s="317" t="s">
        <v>45093</v>
      </c>
      <c r="C723" s="330" t="s">
        <v>6011</v>
      </c>
      <c r="D723" s="330" t="s">
        <v>6012</v>
      </c>
      <c r="E723" s="330" t="s">
        <v>4819</v>
      </c>
      <c r="F723" s="331">
        <v>0.21</v>
      </c>
      <c r="G723" s="332">
        <v>1034</v>
      </c>
      <c r="H723" s="333">
        <v>1252</v>
      </c>
    </row>
    <row r="724" spans="1:8">
      <c r="A724" s="317" t="s">
        <v>37579</v>
      </c>
      <c r="B724" s="317" t="s">
        <v>45094</v>
      </c>
      <c r="C724" s="330" t="s">
        <v>6013</v>
      </c>
      <c r="D724" s="330" t="s">
        <v>6014</v>
      </c>
      <c r="E724" s="330" t="s">
        <v>4819</v>
      </c>
      <c r="F724" s="331">
        <v>0.21</v>
      </c>
      <c r="G724" s="332">
        <v>22001</v>
      </c>
      <c r="H724" s="333">
        <v>26622</v>
      </c>
    </row>
    <row r="725" spans="1:8">
      <c r="A725" s="317" t="s">
        <v>37580</v>
      </c>
      <c r="B725" s="317" t="s">
        <v>45095</v>
      </c>
      <c r="C725" s="330" t="s">
        <v>6015</v>
      </c>
      <c r="D725" s="330" t="s">
        <v>6016</v>
      </c>
      <c r="E725" s="330" t="s">
        <v>4634</v>
      </c>
      <c r="F725" s="331">
        <v>0.21</v>
      </c>
      <c r="G725" s="332">
        <v>26385</v>
      </c>
      <c r="H725" s="333">
        <v>31926</v>
      </c>
    </row>
    <row r="726" spans="1:8">
      <c r="A726" s="317" t="s">
        <v>37581</v>
      </c>
      <c r="B726" s="317" t="s">
        <v>45096</v>
      </c>
      <c r="C726" s="330" t="s">
        <v>6017</v>
      </c>
      <c r="D726" s="330" t="s">
        <v>6018</v>
      </c>
      <c r="E726" s="330" t="s">
        <v>37248</v>
      </c>
      <c r="F726" s="331">
        <v>0.21</v>
      </c>
      <c r="G726" s="332">
        <v>27920</v>
      </c>
      <c r="H726" s="333">
        <v>33784</v>
      </c>
    </row>
    <row r="727" spans="1:8">
      <c r="A727" s="317" t="s">
        <v>37582</v>
      </c>
      <c r="B727" s="317" t="s">
        <v>45097</v>
      </c>
      <c r="C727" s="330" t="s">
        <v>6019</v>
      </c>
      <c r="D727" s="330" t="s">
        <v>6020</v>
      </c>
      <c r="E727" s="330" t="s">
        <v>37248</v>
      </c>
      <c r="F727" s="331">
        <v>0.21</v>
      </c>
      <c r="G727" s="332">
        <v>36695</v>
      </c>
      <c r="H727" s="333">
        <v>44401</v>
      </c>
    </row>
    <row r="728" spans="1:8">
      <c r="A728" s="317" t="s">
        <v>37583</v>
      </c>
      <c r="B728" s="317" t="s">
        <v>45098</v>
      </c>
      <c r="C728" s="330" t="s">
        <v>6021</v>
      </c>
      <c r="D728" s="330" t="s">
        <v>6022</v>
      </c>
      <c r="E728" s="330" t="s">
        <v>37248</v>
      </c>
      <c r="F728" s="331">
        <v>0.21</v>
      </c>
      <c r="G728" s="332">
        <v>31743</v>
      </c>
      <c r="H728" s="333">
        <v>38410</v>
      </c>
    </row>
    <row r="729" spans="1:8">
      <c r="A729" s="317" t="s">
        <v>37584</v>
      </c>
      <c r="B729" s="317" t="s">
        <v>45099</v>
      </c>
      <c r="C729" s="330" t="s">
        <v>6023</v>
      </c>
      <c r="D729" s="330" t="s">
        <v>6024</v>
      </c>
      <c r="E729" s="330" t="s">
        <v>4634</v>
      </c>
      <c r="F729" s="331">
        <v>0.21</v>
      </c>
      <c r="G729" s="332">
        <v>64641</v>
      </c>
      <c r="H729" s="333">
        <v>78216</v>
      </c>
    </row>
    <row r="730" spans="1:8">
      <c r="A730" s="317" t="s">
        <v>37585</v>
      </c>
      <c r="B730" s="317" t="s">
        <v>45100</v>
      </c>
      <c r="C730" s="330" t="s">
        <v>6025</v>
      </c>
      <c r="D730" s="330" t="s">
        <v>6026</v>
      </c>
      <c r="E730" s="330" t="s">
        <v>4634</v>
      </c>
      <c r="F730" s="331">
        <v>0.21</v>
      </c>
      <c r="G730" s="332">
        <v>16163</v>
      </c>
      <c r="H730" s="333">
        <v>19558</v>
      </c>
    </row>
    <row r="731" spans="1:8">
      <c r="A731" s="317" t="s">
        <v>37586</v>
      </c>
      <c r="B731" s="317" t="s">
        <v>45101</v>
      </c>
      <c r="C731" s="330" t="s">
        <v>6027</v>
      </c>
      <c r="D731" s="330" t="s">
        <v>6028</v>
      </c>
      <c r="E731" s="330" t="s">
        <v>37248</v>
      </c>
      <c r="F731" s="331">
        <v>0.21</v>
      </c>
      <c r="G731" s="332">
        <v>51305</v>
      </c>
      <c r="H731" s="333">
        <v>62080</v>
      </c>
    </row>
    <row r="732" spans="1:8">
      <c r="A732" s="317" t="s">
        <v>37587</v>
      </c>
      <c r="B732" s="317" t="s">
        <v>45102</v>
      </c>
      <c r="C732" s="330" t="s">
        <v>6029</v>
      </c>
      <c r="D732" s="330" t="s">
        <v>6030</v>
      </c>
      <c r="E732" s="330" t="s">
        <v>37248</v>
      </c>
      <c r="F732" s="331">
        <v>0.21</v>
      </c>
      <c r="G732" s="332">
        <v>46767</v>
      </c>
      <c r="H732" s="333">
        <v>56589</v>
      </c>
    </row>
    <row r="733" spans="1:8">
      <c r="A733" s="317" t="s">
        <v>37588</v>
      </c>
      <c r="B733" s="317" t="s">
        <v>45103</v>
      </c>
      <c r="C733" s="330" t="s">
        <v>6031</v>
      </c>
      <c r="D733" s="330" t="s">
        <v>6032</v>
      </c>
      <c r="E733" s="330" t="s">
        <v>37248</v>
      </c>
      <c r="F733" s="331">
        <v>0.21</v>
      </c>
      <c r="G733" s="332">
        <v>17130</v>
      </c>
      <c r="H733" s="333">
        <v>20728</v>
      </c>
    </row>
    <row r="734" spans="1:8">
      <c r="A734" s="317" t="s">
        <v>37589</v>
      </c>
      <c r="B734" s="317" t="s">
        <v>45104</v>
      </c>
      <c r="C734" s="330" t="s">
        <v>6033</v>
      </c>
      <c r="D734" s="330" t="s">
        <v>6034</v>
      </c>
      <c r="E734" s="330" t="s">
        <v>37248</v>
      </c>
      <c r="F734" s="331">
        <v>0.21</v>
      </c>
      <c r="G734" s="332">
        <v>16259</v>
      </c>
      <c r="H734" s="333">
        <v>19674</v>
      </c>
    </row>
    <row r="735" spans="1:8">
      <c r="A735" s="317" t="s">
        <v>37590</v>
      </c>
      <c r="B735" s="317" t="s">
        <v>45105</v>
      </c>
      <c r="C735" s="330" t="s">
        <v>6035</v>
      </c>
      <c r="D735" s="330" t="s">
        <v>6036</v>
      </c>
      <c r="E735" s="330" t="s">
        <v>37248</v>
      </c>
      <c r="F735" s="331">
        <v>0.21</v>
      </c>
      <c r="G735" s="332">
        <v>45641</v>
      </c>
      <c r="H735" s="333">
        <v>55226</v>
      </c>
    </row>
    <row r="736" spans="1:8">
      <c r="A736" s="317" t="s">
        <v>37591</v>
      </c>
      <c r="B736" s="317" t="s">
        <v>45106</v>
      </c>
      <c r="C736" s="330" t="s">
        <v>6037</v>
      </c>
      <c r="D736" s="330" t="s">
        <v>6038</v>
      </c>
      <c r="E736" s="330" t="s">
        <v>37248</v>
      </c>
      <c r="F736" s="331">
        <v>0.21</v>
      </c>
      <c r="G736" s="332">
        <v>52115</v>
      </c>
      <c r="H736" s="333">
        <v>63060</v>
      </c>
    </row>
    <row r="737" spans="1:8">
      <c r="A737" s="317" t="s">
        <v>37592</v>
      </c>
      <c r="B737" s="317" t="s">
        <v>45107</v>
      </c>
      <c r="C737" s="330" t="s">
        <v>6039</v>
      </c>
      <c r="D737" s="330" t="s">
        <v>6040</v>
      </c>
      <c r="E737" s="330" t="s">
        <v>37248</v>
      </c>
      <c r="F737" s="331">
        <v>0.21</v>
      </c>
      <c r="G737" s="332">
        <v>63315</v>
      </c>
      <c r="H737" s="333">
        <v>76612</v>
      </c>
    </row>
    <row r="738" spans="1:8">
      <c r="A738" s="317" t="s">
        <v>37593</v>
      </c>
      <c r="B738" s="317" t="s">
        <v>45108</v>
      </c>
      <c r="C738" s="330" t="s">
        <v>6041</v>
      </c>
      <c r="D738" s="330" t="s">
        <v>6042</v>
      </c>
      <c r="E738" s="330" t="s">
        <v>4634</v>
      </c>
      <c r="F738" s="331">
        <v>0.21</v>
      </c>
      <c r="G738" s="332">
        <v>9915</v>
      </c>
      <c r="H738" s="333">
        <v>11998</v>
      </c>
    </row>
    <row r="739" spans="1:8">
      <c r="A739" s="317" t="s">
        <v>37594</v>
      </c>
      <c r="B739" s="317" t="s">
        <v>45109</v>
      </c>
      <c r="C739" s="330" t="s">
        <v>6043</v>
      </c>
      <c r="D739" s="330" t="s">
        <v>6044</v>
      </c>
      <c r="E739" s="330" t="s">
        <v>37248</v>
      </c>
      <c r="F739" s="331">
        <v>0.21</v>
      </c>
      <c r="G739" s="332">
        <v>74250</v>
      </c>
      <c r="H739" s="333">
        <v>89843</v>
      </c>
    </row>
    <row r="740" spans="1:8">
      <c r="A740" s="317" t="s">
        <v>37595</v>
      </c>
      <c r="B740" s="317" t="s">
        <v>45110</v>
      </c>
      <c r="C740" s="330" t="s">
        <v>6045</v>
      </c>
      <c r="D740" s="330" t="s">
        <v>6046</v>
      </c>
      <c r="E740" s="330" t="s">
        <v>37248</v>
      </c>
      <c r="F740" s="331">
        <v>0.21</v>
      </c>
      <c r="G740" s="332">
        <v>35350</v>
      </c>
      <c r="H740" s="333">
        <v>42774</v>
      </c>
    </row>
    <row r="741" spans="1:8">
      <c r="A741" s="317" t="s">
        <v>37596</v>
      </c>
      <c r="B741" s="317" t="s">
        <v>45111</v>
      </c>
      <c r="C741" s="330" t="s">
        <v>6047</v>
      </c>
      <c r="D741" s="330" t="s">
        <v>6048</v>
      </c>
      <c r="E741" s="330" t="s">
        <v>37248</v>
      </c>
      <c r="F741" s="331">
        <v>0.21</v>
      </c>
      <c r="G741" s="332">
        <v>50790</v>
      </c>
      <c r="H741" s="333">
        <v>61456</v>
      </c>
    </row>
    <row r="742" spans="1:8">
      <c r="A742" s="317" t="s">
        <v>37597</v>
      </c>
      <c r="B742" s="317" t="s">
        <v>45112</v>
      </c>
      <c r="C742" s="330" t="s">
        <v>6049</v>
      </c>
      <c r="D742" s="330" t="s">
        <v>6050</v>
      </c>
      <c r="E742" s="330" t="s">
        <v>37248</v>
      </c>
      <c r="F742" s="331">
        <v>0.21</v>
      </c>
      <c r="G742" s="332">
        <v>9842</v>
      </c>
      <c r="H742" s="333">
        <v>11909</v>
      </c>
    </row>
    <row r="743" spans="1:8">
      <c r="A743" s="317" t="s">
        <v>37598</v>
      </c>
      <c r="B743" s="317" t="s">
        <v>45113</v>
      </c>
      <c r="C743" s="330" t="s">
        <v>6051</v>
      </c>
      <c r="D743" s="330" t="s">
        <v>6052</v>
      </c>
      <c r="E743" s="330" t="s">
        <v>4819</v>
      </c>
      <c r="F743" s="331">
        <v>0.21</v>
      </c>
      <c r="G743" s="332">
        <v>11291</v>
      </c>
      <c r="H743" s="333">
        <v>13663</v>
      </c>
    </row>
    <row r="744" spans="1:8">
      <c r="A744" s="317" t="s">
        <v>37599</v>
      </c>
      <c r="B744" s="317" t="s">
        <v>45114</v>
      </c>
      <c r="C744" s="330" t="s">
        <v>6053</v>
      </c>
      <c r="D744" s="330" t="s">
        <v>6054</v>
      </c>
      <c r="E744" s="330" t="s">
        <v>4819</v>
      </c>
      <c r="F744" s="331">
        <v>0.21</v>
      </c>
      <c r="G744" s="332">
        <v>2315</v>
      </c>
      <c r="H744" s="333">
        <v>2802</v>
      </c>
    </row>
    <row r="745" spans="1:8">
      <c r="A745" s="317" t="s">
        <v>37600</v>
      </c>
      <c r="B745" s="317" t="s">
        <v>45115</v>
      </c>
      <c r="C745" s="330" t="s">
        <v>6055</v>
      </c>
      <c r="D745" s="330" t="s">
        <v>6056</v>
      </c>
      <c r="E745" s="330" t="s">
        <v>37248</v>
      </c>
      <c r="F745" s="331">
        <v>0.21</v>
      </c>
      <c r="G745" s="332">
        <v>78610</v>
      </c>
      <c r="H745" s="333">
        <v>95119</v>
      </c>
    </row>
    <row r="746" spans="1:8">
      <c r="A746" s="317" t="s">
        <v>37601</v>
      </c>
      <c r="B746" s="317" t="s">
        <v>45116</v>
      </c>
      <c r="C746" s="330" t="s">
        <v>6057</v>
      </c>
      <c r="D746" s="330" t="s">
        <v>6058</v>
      </c>
      <c r="E746" s="330" t="s">
        <v>37248</v>
      </c>
      <c r="F746" s="331">
        <v>0.21</v>
      </c>
      <c r="G746" s="332">
        <v>11914</v>
      </c>
      <c r="H746" s="333">
        <v>14416</v>
      </c>
    </row>
    <row r="747" spans="1:8">
      <c r="A747" s="317" t="s">
        <v>37602</v>
      </c>
      <c r="B747" s="317" t="s">
        <v>45117</v>
      </c>
      <c r="C747" s="330" t="s">
        <v>6059</v>
      </c>
      <c r="D747" s="330" t="s">
        <v>6060</v>
      </c>
      <c r="E747" s="330" t="s">
        <v>4819</v>
      </c>
      <c r="F747" s="331">
        <v>0.21</v>
      </c>
      <c r="G747" s="332">
        <v>20474</v>
      </c>
      <c r="H747" s="333">
        <v>24774</v>
      </c>
    </row>
    <row r="748" spans="1:8">
      <c r="A748" s="317" t="s">
        <v>37603</v>
      </c>
      <c r="B748" s="317" t="s">
        <v>45118</v>
      </c>
      <c r="C748" s="330" t="s">
        <v>6061</v>
      </c>
      <c r="D748" s="330" t="s">
        <v>6062</v>
      </c>
      <c r="E748" s="330" t="s">
        <v>37248</v>
      </c>
      <c r="F748" s="331">
        <v>0.21</v>
      </c>
      <c r="G748" s="332">
        <v>12664</v>
      </c>
      <c r="H748" s="333">
        <v>15324</v>
      </c>
    </row>
    <row r="749" spans="1:8">
      <c r="A749" s="317" t="s">
        <v>37604</v>
      </c>
      <c r="B749" s="317" t="s">
        <v>45119</v>
      </c>
      <c r="C749" s="330" t="s">
        <v>6063</v>
      </c>
      <c r="D749" s="330" t="s">
        <v>6064</v>
      </c>
      <c r="E749" s="330" t="s">
        <v>37248</v>
      </c>
      <c r="F749" s="331">
        <v>0.21</v>
      </c>
      <c r="G749" s="332">
        <v>111154</v>
      </c>
      <c r="H749" s="333">
        <v>134497</v>
      </c>
    </row>
    <row r="750" spans="1:8">
      <c r="A750" s="317" t="s">
        <v>37605</v>
      </c>
      <c r="B750" s="317" t="s">
        <v>45120</v>
      </c>
      <c r="C750" s="330" t="s">
        <v>6065</v>
      </c>
      <c r="D750" s="330" t="s">
        <v>6066</v>
      </c>
      <c r="E750" s="330" t="s">
        <v>37248</v>
      </c>
      <c r="F750" s="331">
        <v>0.21</v>
      </c>
      <c r="G750" s="332">
        <v>9317</v>
      </c>
      <c r="H750" s="333">
        <v>11274</v>
      </c>
    </row>
    <row r="751" spans="1:8">
      <c r="A751" s="317" t="s">
        <v>37606</v>
      </c>
      <c r="B751" s="317" t="s">
        <v>45121</v>
      </c>
      <c r="C751" s="330" t="s">
        <v>6067</v>
      </c>
      <c r="D751" s="330" t="s">
        <v>6068</v>
      </c>
      <c r="E751" s="330" t="s">
        <v>37248</v>
      </c>
      <c r="F751" s="331">
        <v>0.21</v>
      </c>
      <c r="G751" s="332">
        <v>43910</v>
      </c>
      <c r="H751" s="333">
        <v>53132</v>
      </c>
    </row>
    <row r="752" spans="1:8">
      <c r="A752" s="317" t="s">
        <v>37607</v>
      </c>
      <c r="B752" s="317" t="s">
        <v>45122</v>
      </c>
      <c r="C752" s="330" t="s">
        <v>6069</v>
      </c>
      <c r="D752" s="330" t="s">
        <v>6070</v>
      </c>
      <c r="E752" s="330" t="s">
        <v>37248</v>
      </c>
      <c r="F752" s="331">
        <v>0.21</v>
      </c>
      <c r="G752" s="332">
        <v>17009</v>
      </c>
      <c r="H752" s="333">
        <v>20581</v>
      </c>
    </row>
    <row r="753" spans="1:8">
      <c r="A753" s="317" t="s">
        <v>37608</v>
      </c>
      <c r="B753" s="317" t="s">
        <v>45123</v>
      </c>
      <c r="C753" s="330" t="s">
        <v>6071</v>
      </c>
      <c r="D753" s="330" t="s">
        <v>6072</v>
      </c>
      <c r="E753" s="330" t="s">
        <v>4819</v>
      </c>
      <c r="F753" s="331">
        <v>0.21</v>
      </c>
      <c r="G753" s="332">
        <v>7461</v>
      </c>
      <c r="H753" s="333">
        <v>9028</v>
      </c>
    </row>
    <row r="754" spans="1:8">
      <c r="A754" s="317" t="s">
        <v>37609</v>
      </c>
      <c r="B754" s="317" t="s">
        <v>45124</v>
      </c>
      <c r="C754" s="330" t="s">
        <v>6073</v>
      </c>
      <c r="D754" s="330" t="s">
        <v>6074</v>
      </c>
      <c r="E754" s="330" t="s">
        <v>37248</v>
      </c>
      <c r="F754" s="331">
        <v>0.21</v>
      </c>
      <c r="G754" s="332">
        <v>2957</v>
      </c>
      <c r="H754" s="333">
        <v>3578</v>
      </c>
    </row>
    <row r="755" spans="1:8">
      <c r="A755" s="317" t="s">
        <v>37610</v>
      </c>
      <c r="B755" s="317" t="s">
        <v>45125</v>
      </c>
      <c r="C755" s="330" t="s">
        <v>6075</v>
      </c>
      <c r="D755" s="330" t="s">
        <v>6076</v>
      </c>
      <c r="E755" s="330" t="s">
        <v>37248</v>
      </c>
      <c r="F755" s="331">
        <v>0.21</v>
      </c>
      <c r="G755" s="332">
        <v>9208</v>
      </c>
      <c r="H755" s="333">
        <v>11142</v>
      </c>
    </row>
    <row r="756" spans="1:8">
      <c r="A756" s="317" t="s">
        <v>37611</v>
      </c>
      <c r="B756" s="317" t="s">
        <v>45126</v>
      </c>
      <c r="C756" s="330" t="s">
        <v>6077</v>
      </c>
      <c r="D756" s="330" t="s">
        <v>5876</v>
      </c>
      <c r="E756" s="330" t="s">
        <v>37248</v>
      </c>
      <c r="F756" s="331">
        <v>0.21</v>
      </c>
      <c r="G756" s="332">
        <v>12742</v>
      </c>
      <c r="H756" s="333">
        <v>15418</v>
      </c>
    </row>
    <row r="757" spans="1:8">
      <c r="A757" s="317" t="s">
        <v>37612</v>
      </c>
      <c r="B757" s="317" t="s">
        <v>45127</v>
      </c>
      <c r="C757" s="330" t="s">
        <v>6078</v>
      </c>
      <c r="D757" s="330" t="s">
        <v>6079</v>
      </c>
      <c r="E757" s="330" t="s">
        <v>37248</v>
      </c>
      <c r="F757" s="331">
        <v>0.21</v>
      </c>
      <c r="G757" s="332">
        <v>8113</v>
      </c>
      <c r="H757" s="333">
        <v>9817</v>
      </c>
    </row>
    <row r="758" spans="1:8">
      <c r="A758" s="317" t="s">
        <v>37613</v>
      </c>
      <c r="B758" s="317" t="s">
        <v>45128</v>
      </c>
      <c r="C758" s="330" t="s">
        <v>6080</v>
      </c>
      <c r="D758" s="330" t="s">
        <v>6081</v>
      </c>
      <c r="E758" s="330" t="s">
        <v>37248</v>
      </c>
      <c r="F758" s="331">
        <v>0.21</v>
      </c>
      <c r="G758" s="332">
        <v>11910</v>
      </c>
      <c r="H758" s="333">
        <v>14412</v>
      </c>
    </row>
    <row r="759" spans="1:8">
      <c r="A759" s="317" t="s">
        <v>37614</v>
      </c>
      <c r="B759" s="317" t="s">
        <v>45129</v>
      </c>
      <c r="C759" s="330" t="s">
        <v>6082</v>
      </c>
      <c r="D759" s="330" t="s">
        <v>6083</v>
      </c>
      <c r="E759" s="330" t="s">
        <v>37248</v>
      </c>
      <c r="F759" s="331">
        <v>0.21</v>
      </c>
      <c r="G759" s="332">
        <v>8699</v>
      </c>
      <c r="H759" s="333">
        <v>10526</v>
      </c>
    </row>
    <row r="760" spans="1:8">
      <c r="A760" s="317" t="s">
        <v>37615</v>
      </c>
      <c r="B760" s="317" t="s">
        <v>45130</v>
      </c>
      <c r="C760" s="330" t="s">
        <v>6084</v>
      </c>
      <c r="D760" s="330" t="s">
        <v>6085</v>
      </c>
      <c r="E760" s="330" t="s">
        <v>37248</v>
      </c>
      <c r="F760" s="331">
        <v>0.21</v>
      </c>
      <c r="G760" s="332">
        <v>9641</v>
      </c>
      <c r="H760" s="333">
        <v>11666</v>
      </c>
    </row>
    <row r="761" spans="1:8">
      <c r="A761" s="317" t="s">
        <v>37616</v>
      </c>
      <c r="B761" s="317" t="s">
        <v>45131</v>
      </c>
      <c r="C761" s="330" t="s">
        <v>6086</v>
      </c>
      <c r="D761" s="330" t="s">
        <v>6087</v>
      </c>
      <c r="E761" s="330" t="s">
        <v>37248</v>
      </c>
      <c r="F761" s="331">
        <v>0.21</v>
      </c>
      <c r="G761" s="332">
        <v>4838</v>
      </c>
      <c r="H761" s="333">
        <v>5854</v>
      </c>
    </row>
    <row r="762" spans="1:8">
      <c r="A762" s="317" t="s">
        <v>37617</v>
      </c>
      <c r="B762" s="317" t="s">
        <v>45132</v>
      </c>
      <c r="C762" s="330" t="s">
        <v>6088</v>
      </c>
      <c r="D762" s="330" t="s">
        <v>6089</v>
      </c>
      <c r="E762" s="330" t="s">
        <v>4634</v>
      </c>
      <c r="F762" s="331">
        <v>0.21</v>
      </c>
      <c r="G762" s="332">
        <v>7120</v>
      </c>
      <c r="H762" s="333">
        <v>8616</v>
      </c>
    </row>
    <row r="763" spans="1:8">
      <c r="A763" s="317" t="s">
        <v>37618</v>
      </c>
      <c r="B763" s="317" t="s">
        <v>45133</v>
      </c>
      <c r="C763" s="330" t="s">
        <v>6090</v>
      </c>
      <c r="D763" s="330" t="s">
        <v>6091</v>
      </c>
      <c r="E763" s="330" t="s">
        <v>37248</v>
      </c>
      <c r="F763" s="331">
        <v>0.21</v>
      </c>
      <c r="G763" s="332">
        <v>5588</v>
      </c>
      <c r="H763" s="333">
        <v>6762</v>
      </c>
    </row>
    <row r="764" spans="1:8">
      <c r="A764" s="317" t="s">
        <v>37619</v>
      </c>
      <c r="B764" s="317" t="s">
        <v>45134</v>
      </c>
      <c r="C764" s="330" t="s">
        <v>6092</v>
      </c>
      <c r="D764" s="330" t="s">
        <v>6093</v>
      </c>
      <c r="E764" s="330" t="s">
        <v>37248</v>
      </c>
      <c r="F764" s="331">
        <v>0.21</v>
      </c>
      <c r="G764" s="332">
        <v>3843</v>
      </c>
      <c r="H764" s="333">
        <v>4651</v>
      </c>
    </row>
    <row r="765" spans="1:8">
      <c r="A765" s="317" t="s">
        <v>37620</v>
      </c>
      <c r="B765" s="317" t="s">
        <v>45135</v>
      </c>
      <c r="C765" s="330" t="s">
        <v>6094</v>
      </c>
      <c r="D765" s="330" t="s">
        <v>6095</v>
      </c>
      <c r="E765" s="330" t="s">
        <v>4819</v>
      </c>
      <c r="F765" s="331">
        <v>0.21</v>
      </c>
      <c r="G765" s="332">
        <v>3689</v>
      </c>
      <c r="H765" s="333">
        <v>4464</v>
      </c>
    </row>
    <row r="766" spans="1:8">
      <c r="A766" s="317" t="s">
        <v>37621</v>
      </c>
      <c r="B766" s="317" t="s">
        <v>45136</v>
      </c>
      <c r="C766" s="330" t="s">
        <v>6096</v>
      </c>
      <c r="D766" s="330" t="s">
        <v>6097</v>
      </c>
      <c r="E766" s="330" t="s">
        <v>37248</v>
      </c>
      <c r="F766" s="331">
        <v>0.21</v>
      </c>
      <c r="G766" s="332">
        <v>3752</v>
      </c>
      <c r="H766" s="333">
        <v>4540</v>
      </c>
    </row>
    <row r="767" spans="1:8">
      <c r="A767" s="317" t="s">
        <v>37622</v>
      </c>
      <c r="B767" s="317" t="s">
        <v>45137</v>
      </c>
      <c r="C767" s="330" t="s">
        <v>6098</v>
      </c>
      <c r="D767" s="330" t="s">
        <v>6099</v>
      </c>
      <c r="E767" s="330" t="s">
        <v>37248</v>
      </c>
      <c r="F767" s="331">
        <v>0.21</v>
      </c>
      <c r="G767" s="332">
        <v>30639</v>
      </c>
      <c r="H767" s="333">
        <v>37074</v>
      </c>
    </row>
    <row r="768" spans="1:8">
      <c r="A768" s="317" t="s">
        <v>37623</v>
      </c>
      <c r="B768" s="317" t="s">
        <v>45138</v>
      </c>
      <c r="C768" s="330" t="s">
        <v>6100</v>
      </c>
      <c r="D768" s="330" t="s">
        <v>6101</v>
      </c>
      <c r="E768" s="330" t="s">
        <v>37248</v>
      </c>
      <c r="F768" s="331">
        <v>0.21</v>
      </c>
      <c r="G768" s="332">
        <v>31790</v>
      </c>
      <c r="H768" s="333">
        <v>38466</v>
      </c>
    </row>
    <row r="769" spans="1:8">
      <c r="A769" s="317" t="s">
        <v>37624</v>
      </c>
      <c r="B769" s="317" t="s">
        <v>45139</v>
      </c>
      <c r="C769" s="330" t="s">
        <v>6102</v>
      </c>
      <c r="D769" s="330" t="s">
        <v>6103</v>
      </c>
      <c r="E769" s="330" t="s">
        <v>4634</v>
      </c>
      <c r="F769" s="331">
        <v>0.21</v>
      </c>
      <c r="G769" s="332">
        <v>1336</v>
      </c>
      <c r="H769" s="333">
        <v>1617</v>
      </c>
    </row>
    <row r="770" spans="1:8">
      <c r="A770" s="317" t="s">
        <v>37625</v>
      </c>
      <c r="B770" s="317" t="s">
        <v>45140</v>
      </c>
      <c r="C770" s="330" t="s">
        <v>6104</v>
      </c>
      <c r="D770" s="330" t="s">
        <v>6105</v>
      </c>
      <c r="E770" s="330" t="s">
        <v>4819</v>
      </c>
      <c r="F770" s="331">
        <v>0.21</v>
      </c>
      <c r="G770" s="332">
        <v>3093</v>
      </c>
      <c r="H770" s="333">
        <v>3743</v>
      </c>
    </row>
    <row r="771" spans="1:8">
      <c r="A771" s="317" t="s">
        <v>37626</v>
      </c>
      <c r="B771" s="317" t="s">
        <v>45141</v>
      </c>
      <c r="C771" s="330" t="s">
        <v>6106</v>
      </c>
      <c r="D771" s="330" t="s">
        <v>6107</v>
      </c>
      <c r="E771" s="330" t="s">
        <v>37248</v>
      </c>
      <c r="F771" s="331">
        <v>0.21</v>
      </c>
      <c r="G771" s="332">
        <v>2197</v>
      </c>
      <c r="H771" s="333">
        <v>2659</v>
      </c>
    </row>
    <row r="772" spans="1:8">
      <c r="A772" s="317" t="s">
        <v>37627</v>
      </c>
      <c r="B772" s="317" t="s">
        <v>45142</v>
      </c>
      <c r="C772" s="330" t="s">
        <v>6108</v>
      </c>
      <c r="D772" s="330" t="s">
        <v>6109</v>
      </c>
      <c r="E772" s="330" t="s">
        <v>4634</v>
      </c>
      <c r="F772" s="331">
        <v>0.21</v>
      </c>
      <c r="G772" s="332">
        <v>1367</v>
      </c>
      <c r="H772" s="333">
        <v>1655</v>
      </c>
    </row>
    <row r="773" spans="1:8">
      <c r="A773" s="317" t="s">
        <v>37628</v>
      </c>
      <c r="B773" s="317" t="s">
        <v>45143</v>
      </c>
      <c r="C773" s="330" t="s">
        <v>6110</v>
      </c>
      <c r="D773" s="330" t="s">
        <v>6111</v>
      </c>
      <c r="E773" s="330" t="s">
        <v>4819</v>
      </c>
      <c r="F773" s="331">
        <v>0.21</v>
      </c>
      <c r="G773" s="332">
        <v>2041</v>
      </c>
      <c r="H773" s="333">
        <v>2470</v>
      </c>
    </row>
    <row r="774" spans="1:8">
      <c r="A774" s="317" t="s">
        <v>37629</v>
      </c>
      <c r="B774" s="317" t="s">
        <v>45144</v>
      </c>
      <c r="C774" s="330" t="s">
        <v>6112</v>
      </c>
      <c r="D774" s="330" t="s">
        <v>6113</v>
      </c>
      <c r="E774" s="330" t="s">
        <v>37248</v>
      </c>
      <c r="F774" s="331">
        <v>0.21</v>
      </c>
      <c r="G774" s="332">
        <v>4640</v>
      </c>
      <c r="H774" s="333">
        <v>5615</v>
      </c>
    </row>
    <row r="775" spans="1:8">
      <c r="A775" s="317" t="s">
        <v>37630</v>
      </c>
      <c r="B775" s="317" t="s">
        <v>45145</v>
      </c>
      <c r="C775" s="330" t="s">
        <v>6114</v>
      </c>
      <c r="D775" s="330" t="s">
        <v>6115</v>
      </c>
      <c r="E775" s="330" t="s">
        <v>37248</v>
      </c>
      <c r="F775" s="331">
        <v>0.21</v>
      </c>
      <c r="G775" s="332">
        <v>18580</v>
      </c>
      <c r="H775" s="333">
        <v>22482</v>
      </c>
    </row>
    <row r="776" spans="1:8">
      <c r="A776" s="317" t="s">
        <v>37631</v>
      </c>
      <c r="B776" s="317" t="s">
        <v>45146</v>
      </c>
      <c r="C776" s="330" t="s">
        <v>6116</v>
      </c>
      <c r="D776" s="330" t="s">
        <v>6117</v>
      </c>
      <c r="E776" s="330" t="s">
        <v>37248</v>
      </c>
      <c r="F776" s="331">
        <v>0.21</v>
      </c>
      <c r="G776" s="332">
        <v>6252</v>
      </c>
      <c r="H776" s="333">
        <v>7565</v>
      </c>
    </row>
    <row r="777" spans="1:8">
      <c r="A777" s="317" t="s">
        <v>37632</v>
      </c>
      <c r="B777" s="317" t="s">
        <v>45147</v>
      </c>
      <c r="C777" s="330" t="s">
        <v>6118</v>
      </c>
      <c r="D777" s="330" t="s">
        <v>6119</v>
      </c>
      <c r="E777" s="330" t="s">
        <v>37248</v>
      </c>
      <c r="F777" s="331">
        <v>0.21</v>
      </c>
      <c r="G777" s="332">
        <v>8088</v>
      </c>
      <c r="H777" s="333">
        <v>9787</v>
      </c>
    </row>
    <row r="778" spans="1:8">
      <c r="A778" s="317" t="s">
        <v>37633</v>
      </c>
      <c r="B778" s="317" t="s">
        <v>45148</v>
      </c>
      <c r="C778" s="330" t="s">
        <v>6120</v>
      </c>
      <c r="D778" s="330" t="s">
        <v>6121</v>
      </c>
      <c r="E778" s="330" t="s">
        <v>4634</v>
      </c>
      <c r="F778" s="331">
        <v>0.21</v>
      </c>
      <c r="G778" s="332">
        <v>7107</v>
      </c>
      <c r="H778" s="333">
        <v>8600</v>
      </c>
    </row>
    <row r="779" spans="1:8">
      <c r="A779" s="317" t="s">
        <v>37634</v>
      </c>
      <c r="B779" s="317" t="s">
        <v>45149</v>
      </c>
      <c r="C779" s="330" t="s">
        <v>6122</v>
      </c>
      <c r="D779" s="330" t="s">
        <v>6123</v>
      </c>
      <c r="E779" s="330" t="s">
        <v>4623</v>
      </c>
      <c r="F779" s="331">
        <v>0.21</v>
      </c>
      <c r="G779" s="332">
        <v>6574</v>
      </c>
      <c r="H779" s="333">
        <v>7955</v>
      </c>
    </row>
    <row r="780" spans="1:8">
      <c r="A780" s="317" t="s">
        <v>37635</v>
      </c>
      <c r="B780" s="317" t="s">
        <v>45150</v>
      </c>
      <c r="C780" s="330" t="s">
        <v>6124</v>
      </c>
      <c r="D780" s="330" t="s">
        <v>6125</v>
      </c>
      <c r="E780" s="330" t="s">
        <v>4623</v>
      </c>
      <c r="F780" s="331">
        <v>0.21</v>
      </c>
      <c r="G780" s="332">
        <v>5121</v>
      </c>
      <c r="H780" s="333">
        <v>6197</v>
      </c>
    </row>
    <row r="781" spans="1:8">
      <c r="A781" s="317" t="s">
        <v>37636</v>
      </c>
      <c r="B781" s="317" t="s">
        <v>45151</v>
      </c>
      <c r="C781" s="330" t="s">
        <v>6126</v>
      </c>
      <c r="D781" s="330" t="s">
        <v>6127</v>
      </c>
      <c r="E781" s="330" t="s">
        <v>4634</v>
      </c>
      <c r="F781" s="331">
        <v>0.21</v>
      </c>
      <c r="G781" s="332">
        <v>58086</v>
      </c>
      <c r="H781" s="333">
        <v>70285</v>
      </c>
    </row>
    <row r="782" spans="1:8">
      <c r="A782" s="317" t="s">
        <v>37637</v>
      </c>
      <c r="B782" s="317" t="s">
        <v>45152</v>
      </c>
      <c r="C782" s="330" t="s">
        <v>6128</v>
      </c>
      <c r="D782" s="330" t="s">
        <v>6129</v>
      </c>
      <c r="E782" s="330" t="s">
        <v>4634</v>
      </c>
      <c r="F782" s="331">
        <v>0.21</v>
      </c>
      <c r="G782" s="332">
        <v>21098</v>
      </c>
      <c r="H782" s="333">
        <v>25529</v>
      </c>
    </row>
    <row r="783" spans="1:8">
      <c r="A783" s="317" t="s">
        <v>37638</v>
      </c>
      <c r="B783" s="317" t="s">
        <v>45153</v>
      </c>
      <c r="C783" s="330" t="s">
        <v>6130</v>
      </c>
      <c r="D783" s="330" t="s">
        <v>6131</v>
      </c>
      <c r="E783" s="330" t="s">
        <v>4634</v>
      </c>
      <c r="F783" s="331">
        <v>0.21</v>
      </c>
      <c r="G783" s="332">
        <v>1663</v>
      </c>
      <c r="H783" s="333">
        <v>2013</v>
      </c>
    </row>
    <row r="784" spans="1:8">
      <c r="A784" s="317" t="s">
        <v>37639</v>
      </c>
      <c r="B784" s="317" t="s">
        <v>45154</v>
      </c>
      <c r="C784" s="330" t="s">
        <v>6132</v>
      </c>
      <c r="D784" s="330" t="s">
        <v>6133</v>
      </c>
      <c r="E784" s="330" t="s">
        <v>37248</v>
      </c>
      <c r="F784" s="331">
        <v>0.21</v>
      </c>
      <c r="G784" s="332">
        <v>3263</v>
      </c>
      <c r="H784" s="333">
        <v>3949</v>
      </c>
    </row>
    <row r="785" spans="1:8">
      <c r="A785" s="317">
        <v>356675</v>
      </c>
      <c r="B785" s="317" t="s">
        <v>45155</v>
      </c>
      <c r="C785" s="330" t="s">
        <v>6134</v>
      </c>
      <c r="D785" s="330" t="s">
        <v>6135</v>
      </c>
      <c r="E785" s="330" t="s">
        <v>4634</v>
      </c>
      <c r="F785" s="331">
        <v>0.21</v>
      </c>
      <c r="G785" s="332">
        <v>437</v>
      </c>
      <c r="H785" s="333">
        <v>529</v>
      </c>
    </row>
    <row r="786" spans="1:8">
      <c r="A786" s="317" t="s">
        <v>37640</v>
      </c>
      <c r="B786" s="317" t="s">
        <v>45156</v>
      </c>
      <c r="C786" s="330" t="s">
        <v>6136</v>
      </c>
      <c r="D786" s="330" t="s">
        <v>6137</v>
      </c>
      <c r="E786" s="330" t="s">
        <v>4634</v>
      </c>
      <c r="F786" s="331">
        <v>0.21</v>
      </c>
      <c r="G786" s="332">
        <v>437</v>
      </c>
      <c r="H786" s="333">
        <v>529</v>
      </c>
    </row>
    <row r="787" spans="1:8">
      <c r="A787" s="317" t="s">
        <v>37641</v>
      </c>
      <c r="B787" s="317" t="s">
        <v>45157</v>
      </c>
      <c r="C787" s="330" t="s">
        <v>6138</v>
      </c>
      <c r="D787" s="330" t="s">
        <v>6139</v>
      </c>
      <c r="E787" s="330" t="s">
        <v>4634</v>
      </c>
      <c r="F787" s="331">
        <v>0.21</v>
      </c>
      <c r="G787" s="332">
        <v>437</v>
      </c>
      <c r="H787" s="333">
        <v>529</v>
      </c>
    </row>
    <row r="788" spans="1:8">
      <c r="A788" s="317" t="s">
        <v>37642</v>
      </c>
      <c r="B788" s="317" t="s">
        <v>45158</v>
      </c>
      <c r="C788" s="330" t="s">
        <v>6140</v>
      </c>
      <c r="D788" s="330" t="s">
        <v>6137</v>
      </c>
      <c r="E788" s="330" t="s">
        <v>4634</v>
      </c>
      <c r="F788" s="331">
        <v>0.21</v>
      </c>
      <c r="G788" s="332">
        <v>437</v>
      </c>
      <c r="H788" s="333">
        <v>529</v>
      </c>
    </row>
    <row r="789" spans="1:8">
      <c r="A789" s="317" t="s">
        <v>37643</v>
      </c>
      <c r="B789" s="317" t="s">
        <v>45159</v>
      </c>
      <c r="C789" s="330" t="s">
        <v>6141</v>
      </c>
      <c r="D789" s="330" t="s">
        <v>6142</v>
      </c>
      <c r="E789" s="330" t="s">
        <v>4634</v>
      </c>
      <c r="F789" s="331">
        <v>0.21</v>
      </c>
      <c r="G789" s="332">
        <v>437</v>
      </c>
      <c r="H789" s="333">
        <v>529</v>
      </c>
    </row>
    <row r="790" spans="1:8">
      <c r="A790" s="317" t="s">
        <v>37644</v>
      </c>
      <c r="B790" s="317" t="s">
        <v>45160</v>
      </c>
      <c r="C790" s="330" t="s">
        <v>6143</v>
      </c>
      <c r="D790" s="330" t="s">
        <v>6144</v>
      </c>
      <c r="E790" s="330" t="s">
        <v>4634</v>
      </c>
      <c r="F790" s="331">
        <v>0.21</v>
      </c>
      <c r="G790" s="332">
        <v>437</v>
      </c>
      <c r="H790" s="333">
        <v>529</v>
      </c>
    </row>
    <row r="791" spans="1:8">
      <c r="A791" s="317" t="s">
        <v>37645</v>
      </c>
      <c r="B791" s="317" t="s">
        <v>45161</v>
      </c>
      <c r="C791" s="330" t="s">
        <v>6145</v>
      </c>
      <c r="D791" s="330" t="s">
        <v>6146</v>
      </c>
      <c r="E791" s="330" t="s">
        <v>4634</v>
      </c>
      <c r="F791" s="331">
        <v>0.21</v>
      </c>
      <c r="G791" s="332">
        <v>437</v>
      </c>
      <c r="H791" s="333">
        <v>529</v>
      </c>
    </row>
    <row r="792" spans="1:8">
      <c r="A792" s="317" t="s">
        <v>37646</v>
      </c>
      <c r="B792" s="317" t="s">
        <v>45162</v>
      </c>
      <c r="C792" s="330" t="s">
        <v>6147</v>
      </c>
      <c r="D792" s="330" t="s">
        <v>6148</v>
      </c>
      <c r="E792" s="330" t="s">
        <v>4634</v>
      </c>
      <c r="F792" s="331">
        <v>0.21</v>
      </c>
      <c r="G792" s="332">
        <v>437</v>
      </c>
      <c r="H792" s="333">
        <v>529</v>
      </c>
    </row>
    <row r="793" spans="1:8">
      <c r="A793" s="317" t="s">
        <v>37647</v>
      </c>
      <c r="B793" s="317" t="s">
        <v>45163</v>
      </c>
      <c r="C793" s="330" t="s">
        <v>6149</v>
      </c>
      <c r="D793" s="330" t="s">
        <v>6150</v>
      </c>
      <c r="E793" s="330" t="s">
        <v>4634</v>
      </c>
      <c r="F793" s="331">
        <v>0.21</v>
      </c>
      <c r="G793" s="332">
        <v>437</v>
      </c>
      <c r="H793" s="333">
        <v>529</v>
      </c>
    </row>
    <row r="794" spans="1:8">
      <c r="A794" s="317" t="s">
        <v>37648</v>
      </c>
      <c r="B794" s="317" t="s">
        <v>45164</v>
      </c>
      <c r="C794" s="330" t="s">
        <v>6151</v>
      </c>
      <c r="D794" s="330" t="s">
        <v>6152</v>
      </c>
      <c r="E794" s="330" t="s">
        <v>4634</v>
      </c>
      <c r="F794" s="331">
        <v>0.21</v>
      </c>
      <c r="G794" s="332">
        <v>437</v>
      </c>
      <c r="H794" s="333">
        <v>529</v>
      </c>
    </row>
    <row r="795" spans="1:8">
      <c r="A795" s="317" t="s">
        <v>37649</v>
      </c>
      <c r="B795" s="317" t="s">
        <v>45165</v>
      </c>
      <c r="C795" s="330" t="s">
        <v>6153</v>
      </c>
      <c r="D795" s="330" t="s">
        <v>6154</v>
      </c>
      <c r="E795" s="330" t="s">
        <v>4634</v>
      </c>
      <c r="F795" s="331">
        <v>0.21</v>
      </c>
      <c r="G795" s="332">
        <v>437</v>
      </c>
      <c r="H795" s="333">
        <v>529</v>
      </c>
    </row>
    <row r="796" spans="1:8">
      <c r="A796" s="317" t="s">
        <v>37650</v>
      </c>
      <c r="B796" s="317" t="s">
        <v>45166</v>
      </c>
      <c r="C796" s="330" t="s">
        <v>6155</v>
      </c>
      <c r="D796" s="330" t="s">
        <v>6156</v>
      </c>
      <c r="E796" s="330" t="s">
        <v>4634</v>
      </c>
      <c r="F796" s="331">
        <v>0.21</v>
      </c>
      <c r="G796" s="332">
        <v>437</v>
      </c>
      <c r="H796" s="333">
        <v>529</v>
      </c>
    </row>
    <row r="797" spans="1:8">
      <c r="A797" s="317" t="s">
        <v>37651</v>
      </c>
      <c r="B797" s="317" t="s">
        <v>45167</v>
      </c>
      <c r="C797" s="330" t="s">
        <v>6157</v>
      </c>
      <c r="D797" s="330" t="s">
        <v>6158</v>
      </c>
      <c r="E797" s="330" t="s">
        <v>4634</v>
      </c>
      <c r="F797" s="331">
        <v>0.21</v>
      </c>
      <c r="G797" s="332">
        <v>437</v>
      </c>
      <c r="H797" s="333">
        <v>529</v>
      </c>
    </row>
    <row r="798" spans="1:8">
      <c r="A798" s="317" t="s">
        <v>37652</v>
      </c>
      <c r="B798" s="317" t="s">
        <v>45168</v>
      </c>
      <c r="C798" s="330" t="s">
        <v>6159</v>
      </c>
      <c r="D798" s="330" t="s">
        <v>6160</v>
      </c>
      <c r="E798" s="330" t="s">
        <v>4634</v>
      </c>
      <c r="F798" s="331">
        <v>0.21</v>
      </c>
      <c r="G798" s="332">
        <v>437</v>
      </c>
      <c r="H798" s="333">
        <v>529</v>
      </c>
    </row>
    <row r="799" spans="1:8">
      <c r="A799" s="317" t="s">
        <v>37653</v>
      </c>
      <c r="B799" s="317" t="s">
        <v>45169</v>
      </c>
      <c r="C799" s="330" t="s">
        <v>6161</v>
      </c>
      <c r="D799" s="330" t="s">
        <v>6162</v>
      </c>
      <c r="E799" s="330" t="s">
        <v>4634</v>
      </c>
      <c r="F799" s="331">
        <v>0.21</v>
      </c>
      <c r="G799" s="332">
        <v>437</v>
      </c>
      <c r="H799" s="333">
        <v>529</v>
      </c>
    </row>
    <row r="800" spans="1:8">
      <c r="A800" s="317" t="s">
        <v>37654</v>
      </c>
      <c r="B800" s="317" t="s">
        <v>45170</v>
      </c>
      <c r="C800" s="330" t="s">
        <v>6163</v>
      </c>
      <c r="D800" s="330" t="s">
        <v>6164</v>
      </c>
      <c r="E800" s="330" t="s">
        <v>4634</v>
      </c>
      <c r="F800" s="331">
        <v>0.21</v>
      </c>
      <c r="G800" s="332">
        <v>437</v>
      </c>
      <c r="H800" s="333">
        <v>529</v>
      </c>
    </row>
    <row r="801" spans="1:8">
      <c r="A801" s="317" t="s">
        <v>37655</v>
      </c>
      <c r="B801" s="317" t="s">
        <v>45171</v>
      </c>
      <c r="C801" s="330" t="s">
        <v>6165</v>
      </c>
      <c r="D801" s="330" t="s">
        <v>6166</v>
      </c>
      <c r="E801" s="330" t="s">
        <v>4634</v>
      </c>
      <c r="F801" s="331">
        <v>0.21</v>
      </c>
      <c r="G801" s="332">
        <v>437</v>
      </c>
      <c r="H801" s="333">
        <v>529</v>
      </c>
    </row>
    <row r="802" spans="1:8">
      <c r="A802" s="317" t="s">
        <v>37656</v>
      </c>
      <c r="B802" s="317" t="s">
        <v>45172</v>
      </c>
      <c r="C802" s="330" t="s">
        <v>6167</v>
      </c>
      <c r="D802" s="330" t="s">
        <v>6168</v>
      </c>
      <c r="E802" s="330" t="s">
        <v>4634</v>
      </c>
      <c r="F802" s="331">
        <v>0.21</v>
      </c>
      <c r="G802" s="332">
        <v>437</v>
      </c>
      <c r="H802" s="333">
        <v>529</v>
      </c>
    </row>
    <row r="803" spans="1:8">
      <c r="A803" s="317" t="s">
        <v>37657</v>
      </c>
      <c r="B803" s="317" t="s">
        <v>45173</v>
      </c>
      <c r="C803" s="330" t="s">
        <v>6169</v>
      </c>
      <c r="D803" s="330" t="s">
        <v>6170</v>
      </c>
      <c r="E803" s="330" t="s">
        <v>4634</v>
      </c>
      <c r="F803" s="331">
        <v>0.21</v>
      </c>
      <c r="G803" s="332">
        <v>68</v>
      </c>
      <c r="H803" s="333">
        <v>83</v>
      </c>
    </row>
    <row r="804" spans="1:8">
      <c r="A804" s="317">
        <v>602490004</v>
      </c>
      <c r="B804" s="317" t="s">
        <v>45174</v>
      </c>
      <c r="C804" s="330" t="s">
        <v>6171</v>
      </c>
      <c r="D804" s="330" t="s">
        <v>6172</v>
      </c>
      <c r="E804" s="330" t="s">
        <v>4634</v>
      </c>
      <c r="F804" s="331">
        <v>0.21</v>
      </c>
      <c r="G804" s="332">
        <v>62508</v>
      </c>
      <c r="H804" s="333">
        <v>75635</v>
      </c>
    </row>
    <row r="805" spans="1:8">
      <c r="A805" s="317">
        <v>602490007</v>
      </c>
      <c r="B805" s="317" t="s">
        <v>45175</v>
      </c>
      <c r="C805" s="330" t="s">
        <v>6173</v>
      </c>
      <c r="D805" s="330" t="s">
        <v>6174</v>
      </c>
      <c r="E805" s="330" t="s">
        <v>4634</v>
      </c>
      <c r="F805" s="331">
        <v>0.21</v>
      </c>
      <c r="G805" s="332">
        <v>73053</v>
      </c>
      <c r="H805" s="333">
        <v>88395</v>
      </c>
    </row>
    <row r="806" spans="1:8">
      <c r="A806" s="317">
        <v>602490022</v>
      </c>
      <c r="B806" s="317" t="s">
        <v>45176</v>
      </c>
      <c r="C806" s="330" t="s">
        <v>6175</v>
      </c>
      <c r="D806" s="330" t="s">
        <v>6176</v>
      </c>
      <c r="E806" s="330" t="s">
        <v>4634</v>
      </c>
      <c r="F806" s="331">
        <v>0.21</v>
      </c>
      <c r="G806" s="332">
        <v>49190</v>
      </c>
      <c r="H806" s="333">
        <v>59520</v>
      </c>
    </row>
    <row r="807" spans="1:8">
      <c r="A807" s="317">
        <v>618800045</v>
      </c>
      <c r="B807" s="317" t="s">
        <v>45177</v>
      </c>
      <c r="C807" s="330" t="s">
        <v>6177</v>
      </c>
      <c r="D807" s="330" t="s">
        <v>4909</v>
      </c>
      <c r="E807" s="330" t="s">
        <v>37248</v>
      </c>
      <c r="F807" s="331">
        <v>0.21</v>
      </c>
      <c r="G807" s="332">
        <v>238</v>
      </c>
      <c r="H807" s="333">
        <v>288</v>
      </c>
    </row>
    <row r="808" spans="1:8">
      <c r="A808" s="317">
        <v>618800047</v>
      </c>
      <c r="B808" s="317" t="s">
        <v>45178</v>
      </c>
      <c r="C808" s="330" t="s">
        <v>6178</v>
      </c>
      <c r="D808" s="330" t="s">
        <v>6179</v>
      </c>
      <c r="E808" s="330" t="s">
        <v>37248</v>
      </c>
      <c r="F808" s="331">
        <v>0.21</v>
      </c>
      <c r="G808" s="332">
        <v>548</v>
      </c>
      <c r="H808" s="333">
        <v>664</v>
      </c>
    </row>
    <row r="809" spans="1:8">
      <c r="A809" s="317" t="s">
        <v>37658</v>
      </c>
      <c r="B809" s="317" t="s">
        <v>45179</v>
      </c>
      <c r="C809" s="330" t="s">
        <v>6180</v>
      </c>
      <c r="D809" s="330" t="s">
        <v>6181</v>
      </c>
      <c r="E809" s="330" t="s">
        <v>37248</v>
      </c>
      <c r="F809" s="331">
        <v>0.21</v>
      </c>
      <c r="G809" s="332">
        <v>238</v>
      </c>
      <c r="H809" s="333">
        <v>288</v>
      </c>
    </row>
    <row r="810" spans="1:8">
      <c r="A810" s="317" t="s">
        <v>37659</v>
      </c>
      <c r="B810" s="317" t="s">
        <v>45180</v>
      </c>
      <c r="C810" s="330" t="s">
        <v>6182</v>
      </c>
      <c r="D810" s="330" t="s">
        <v>6183</v>
      </c>
      <c r="E810" s="330" t="s">
        <v>4634</v>
      </c>
      <c r="F810" s="331">
        <v>0.21</v>
      </c>
      <c r="G810" s="332">
        <v>437</v>
      </c>
      <c r="H810" s="333">
        <v>529</v>
      </c>
    </row>
    <row r="811" spans="1:8">
      <c r="A811" s="317">
        <v>1230101630</v>
      </c>
      <c r="B811" s="317" t="s">
        <v>45181</v>
      </c>
      <c r="C811" s="330" t="s">
        <v>6184</v>
      </c>
      <c r="D811" s="330" t="s">
        <v>6185</v>
      </c>
      <c r="E811" s="330" t="s">
        <v>4634</v>
      </c>
      <c r="F811" s="331">
        <v>0.21</v>
      </c>
      <c r="G811" s="332">
        <v>236</v>
      </c>
      <c r="H811" s="333">
        <v>286</v>
      </c>
    </row>
    <row r="812" spans="1:8">
      <c r="A812" s="317">
        <v>1280905004</v>
      </c>
      <c r="B812" s="317" t="s">
        <v>45182</v>
      </c>
      <c r="C812" s="330" t="s">
        <v>6186</v>
      </c>
      <c r="D812" s="330" t="s">
        <v>6187</v>
      </c>
      <c r="E812" s="330" t="s">
        <v>4634</v>
      </c>
      <c r="F812" s="331">
        <v>0.21</v>
      </c>
      <c r="G812" s="332">
        <v>36020</v>
      </c>
      <c r="H812" s="333">
        <v>43585</v>
      </c>
    </row>
    <row r="813" spans="1:8">
      <c r="A813" s="317">
        <v>1390150019</v>
      </c>
      <c r="B813" s="317" t="s">
        <v>45183</v>
      </c>
      <c r="C813" s="330" t="s">
        <v>6188</v>
      </c>
      <c r="D813" s="330" t="s">
        <v>6189</v>
      </c>
      <c r="E813" s="330" t="s">
        <v>4634</v>
      </c>
      <c r="F813" s="331">
        <v>0.21</v>
      </c>
      <c r="G813" s="332">
        <v>153</v>
      </c>
      <c r="H813" s="333">
        <v>186</v>
      </c>
    </row>
    <row r="814" spans="1:8">
      <c r="A814" s="317">
        <v>1480210239</v>
      </c>
      <c r="B814" s="317" t="s">
        <v>45184</v>
      </c>
      <c r="C814" s="330" t="s">
        <v>6190</v>
      </c>
      <c r="D814" s="330" t="s">
        <v>6191</v>
      </c>
      <c r="E814" s="330" t="s">
        <v>4634</v>
      </c>
      <c r="F814" s="331">
        <v>0.21</v>
      </c>
      <c r="G814" s="332">
        <v>437</v>
      </c>
      <c r="H814" s="333">
        <v>529</v>
      </c>
    </row>
    <row r="815" spans="1:8">
      <c r="A815" s="317">
        <v>1600005001</v>
      </c>
      <c r="B815" s="317" t="s">
        <v>45185</v>
      </c>
      <c r="C815" s="330" t="s">
        <v>6192</v>
      </c>
      <c r="D815" s="330" t="s">
        <v>6193</v>
      </c>
      <c r="E815" s="330" t="s">
        <v>4634</v>
      </c>
      <c r="F815" s="331">
        <v>0.21</v>
      </c>
      <c r="G815" s="332">
        <v>153</v>
      </c>
      <c r="H815" s="333">
        <v>186</v>
      </c>
    </row>
    <row r="816" spans="1:8">
      <c r="A816" s="317">
        <v>1600025009</v>
      </c>
      <c r="B816" s="317" t="s">
        <v>45186</v>
      </c>
      <c r="C816" s="330" t="s">
        <v>6194</v>
      </c>
      <c r="D816" s="330" t="s">
        <v>6195</v>
      </c>
      <c r="E816" s="330" t="s">
        <v>4634</v>
      </c>
      <c r="F816" s="331">
        <v>0.21</v>
      </c>
      <c r="G816" s="332">
        <v>280</v>
      </c>
      <c r="H816" s="333">
        <v>339</v>
      </c>
    </row>
    <row r="817" spans="1:8">
      <c r="A817" s="317">
        <v>1600026000</v>
      </c>
      <c r="B817" s="317" t="s">
        <v>45187</v>
      </c>
      <c r="C817" s="330" t="s">
        <v>6196</v>
      </c>
      <c r="D817" s="330" t="s">
        <v>6197</v>
      </c>
      <c r="E817" s="330" t="s">
        <v>4634</v>
      </c>
      <c r="F817" s="331">
        <v>0.21</v>
      </c>
      <c r="G817" s="332">
        <v>254</v>
      </c>
      <c r="H817" s="333">
        <v>308</v>
      </c>
    </row>
    <row r="818" spans="1:8">
      <c r="A818" s="317">
        <v>1600026004</v>
      </c>
      <c r="B818" s="317" t="s">
        <v>45188</v>
      </c>
      <c r="C818" s="330" t="s">
        <v>6198</v>
      </c>
      <c r="D818" s="330" t="s">
        <v>6199</v>
      </c>
      <c r="E818" s="330" t="s">
        <v>4634</v>
      </c>
      <c r="F818" s="331">
        <v>0.21</v>
      </c>
      <c r="G818" s="332">
        <v>2330</v>
      </c>
      <c r="H818" s="333">
        <v>2820</v>
      </c>
    </row>
    <row r="819" spans="1:8">
      <c r="A819" s="317">
        <v>1600100033</v>
      </c>
      <c r="B819" s="317" t="s">
        <v>45189</v>
      </c>
      <c r="C819" s="330" t="s">
        <v>6200</v>
      </c>
      <c r="D819" s="330" t="s">
        <v>6201</v>
      </c>
      <c r="E819" s="330" t="s">
        <v>37248</v>
      </c>
      <c r="F819" s="331">
        <v>0.21</v>
      </c>
      <c r="G819" s="332">
        <v>4428</v>
      </c>
      <c r="H819" s="333">
        <v>5358</v>
      </c>
    </row>
    <row r="820" spans="1:8">
      <c r="A820" s="317">
        <v>1600100036</v>
      </c>
      <c r="B820" s="317" t="s">
        <v>45190</v>
      </c>
      <c r="C820" s="330" t="s">
        <v>6202</v>
      </c>
      <c r="D820" s="330" t="s">
        <v>6203</v>
      </c>
      <c r="E820" s="330" t="s">
        <v>4634</v>
      </c>
      <c r="F820" s="331">
        <v>0.21</v>
      </c>
      <c r="G820" s="332">
        <v>236</v>
      </c>
      <c r="H820" s="333">
        <v>286</v>
      </c>
    </row>
    <row r="821" spans="1:8">
      <c r="A821" s="317">
        <v>1600100037</v>
      </c>
      <c r="B821" s="317" t="s">
        <v>45191</v>
      </c>
      <c r="C821" s="330" t="s">
        <v>6204</v>
      </c>
      <c r="D821" s="330" t="s">
        <v>6205</v>
      </c>
      <c r="E821" s="330" t="s">
        <v>37248</v>
      </c>
      <c r="F821" s="331">
        <v>0.21</v>
      </c>
      <c r="G821" s="332">
        <v>318</v>
      </c>
      <c r="H821" s="333">
        <v>385</v>
      </c>
    </row>
    <row r="822" spans="1:8">
      <c r="A822" s="317">
        <v>1600100038</v>
      </c>
      <c r="B822" s="317" t="s">
        <v>45192</v>
      </c>
      <c r="C822" s="330" t="s">
        <v>6206</v>
      </c>
      <c r="D822" s="330" t="s">
        <v>6207</v>
      </c>
      <c r="E822" s="330" t="s">
        <v>37248</v>
      </c>
      <c r="F822" s="331">
        <v>0.21</v>
      </c>
      <c r="G822" s="332">
        <v>2128</v>
      </c>
      <c r="H822" s="333">
        <v>2575</v>
      </c>
    </row>
    <row r="823" spans="1:8">
      <c r="A823" s="317">
        <v>1600100601</v>
      </c>
      <c r="B823" s="317" t="s">
        <v>45193</v>
      </c>
      <c r="C823" s="330" t="s">
        <v>6208</v>
      </c>
      <c r="D823" s="330" t="s">
        <v>6209</v>
      </c>
      <c r="E823" s="330" t="s">
        <v>4634</v>
      </c>
      <c r="F823" s="331">
        <v>0.21</v>
      </c>
      <c r="G823" s="332">
        <v>580</v>
      </c>
      <c r="H823" s="333">
        <v>702</v>
      </c>
    </row>
    <row r="824" spans="1:8">
      <c r="A824" s="317">
        <v>1600100617</v>
      </c>
      <c r="B824" s="317" t="s">
        <v>45194</v>
      </c>
      <c r="C824" s="330" t="s">
        <v>6210</v>
      </c>
      <c r="D824" s="330" t="s">
        <v>6211</v>
      </c>
      <c r="E824" s="330" t="s">
        <v>4634</v>
      </c>
      <c r="F824" s="331">
        <v>0.21</v>
      </c>
      <c r="G824" s="332">
        <v>432</v>
      </c>
      <c r="H824" s="333">
        <v>523</v>
      </c>
    </row>
    <row r="825" spans="1:8">
      <c r="A825" s="317">
        <v>1600100631</v>
      </c>
      <c r="B825" s="317" t="s">
        <v>45195</v>
      </c>
      <c r="C825" s="330" t="s">
        <v>6212</v>
      </c>
      <c r="D825" s="330" t="s">
        <v>6213</v>
      </c>
      <c r="E825" s="330" t="s">
        <v>4819</v>
      </c>
      <c r="F825" s="331">
        <v>0.21</v>
      </c>
      <c r="G825" s="332">
        <v>2041</v>
      </c>
      <c r="H825" s="333">
        <v>2470</v>
      </c>
    </row>
    <row r="826" spans="1:8">
      <c r="A826" s="317">
        <v>1600100632</v>
      </c>
      <c r="B826" s="317" t="s">
        <v>45196</v>
      </c>
      <c r="C826" s="330" t="s">
        <v>6214</v>
      </c>
      <c r="D826" s="330" t="s">
        <v>5233</v>
      </c>
      <c r="E826" s="330" t="s">
        <v>4634</v>
      </c>
      <c r="F826" s="331">
        <v>0.21</v>
      </c>
      <c r="G826" s="332">
        <v>387</v>
      </c>
      <c r="H826" s="333">
        <v>469</v>
      </c>
    </row>
    <row r="827" spans="1:8">
      <c r="A827" s="317" t="s">
        <v>37660</v>
      </c>
      <c r="B827" s="317" t="s">
        <v>45197</v>
      </c>
      <c r="C827" s="330" t="s">
        <v>6215</v>
      </c>
      <c r="D827" s="330" t="s">
        <v>6216</v>
      </c>
      <c r="E827" s="330" t="s">
        <v>37248</v>
      </c>
      <c r="F827" s="331">
        <v>0.21</v>
      </c>
      <c r="G827" s="332">
        <v>501</v>
      </c>
      <c r="H827" s="333">
        <v>607</v>
      </c>
    </row>
    <row r="828" spans="1:8">
      <c r="A828" s="317">
        <v>1600101023</v>
      </c>
      <c r="B828" s="317" t="s">
        <v>45198</v>
      </c>
      <c r="C828" s="330" t="s">
        <v>6217</v>
      </c>
      <c r="D828" s="330" t="s">
        <v>6218</v>
      </c>
      <c r="E828" s="330" t="s">
        <v>4634</v>
      </c>
      <c r="F828" s="331">
        <v>0.21</v>
      </c>
      <c r="G828" s="332">
        <v>309</v>
      </c>
      <c r="H828" s="333">
        <v>374</v>
      </c>
    </row>
    <row r="829" spans="1:8">
      <c r="A829" s="317">
        <v>1600101603</v>
      </c>
      <c r="B829" s="317" t="s">
        <v>45199</v>
      </c>
      <c r="C829" s="330" t="s">
        <v>6219</v>
      </c>
      <c r="D829" s="330" t="s">
        <v>6220</v>
      </c>
      <c r="E829" s="330" t="s">
        <v>4634</v>
      </c>
      <c r="F829" s="331">
        <v>0.21</v>
      </c>
      <c r="G829" s="332">
        <v>2975</v>
      </c>
      <c r="H829" s="333">
        <v>3600</v>
      </c>
    </row>
    <row r="830" spans="1:8">
      <c r="A830" s="317">
        <v>1600101618</v>
      </c>
      <c r="B830" s="317" t="s">
        <v>45200</v>
      </c>
      <c r="C830" s="330" t="s">
        <v>6221</v>
      </c>
      <c r="D830" s="330" t="s">
        <v>6222</v>
      </c>
      <c r="E830" s="330" t="s">
        <v>4819</v>
      </c>
      <c r="F830" s="331">
        <v>0.21</v>
      </c>
      <c r="G830" s="332">
        <v>2328</v>
      </c>
      <c r="H830" s="333">
        <v>2817</v>
      </c>
    </row>
    <row r="831" spans="1:8">
      <c r="A831" s="317">
        <v>1600101647</v>
      </c>
      <c r="B831" s="317" t="s">
        <v>45201</v>
      </c>
      <c r="C831" s="330" t="s">
        <v>6223</v>
      </c>
      <c r="D831" s="330" t="s">
        <v>5015</v>
      </c>
      <c r="E831" s="330" t="s">
        <v>4634</v>
      </c>
      <c r="F831" s="331">
        <v>0.21</v>
      </c>
      <c r="G831" s="332">
        <v>236</v>
      </c>
      <c r="H831" s="333">
        <v>286</v>
      </c>
    </row>
    <row r="832" spans="1:8">
      <c r="A832" s="317">
        <v>1600101653</v>
      </c>
      <c r="B832" s="317" t="s">
        <v>45202</v>
      </c>
      <c r="C832" s="330" t="s">
        <v>6224</v>
      </c>
      <c r="D832" s="330" t="s">
        <v>6225</v>
      </c>
      <c r="E832" s="330" t="s">
        <v>4623</v>
      </c>
      <c r="F832" s="331">
        <v>0.21</v>
      </c>
      <c r="G832" s="332">
        <v>910</v>
      </c>
      <c r="H832" s="333">
        <v>1102</v>
      </c>
    </row>
    <row r="833" spans="1:8">
      <c r="A833" s="317">
        <v>1600102011</v>
      </c>
      <c r="B833" s="317" t="s">
        <v>45203</v>
      </c>
      <c r="C833" s="330" t="s">
        <v>6226</v>
      </c>
      <c r="D833" s="330" t="s">
        <v>6227</v>
      </c>
      <c r="E833" s="330" t="s">
        <v>4634</v>
      </c>
      <c r="F833" s="331">
        <v>0.21</v>
      </c>
      <c r="G833" s="332">
        <v>570</v>
      </c>
      <c r="H833" s="333">
        <v>690</v>
      </c>
    </row>
    <row r="834" spans="1:8">
      <c r="A834" s="317">
        <v>1600102012</v>
      </c>
      <c r="B834" s="317" t="s">
        <v>45204</v>
      </c>
      <c r="C834" s="330" t="s">
        <v>6228</v>
      </c>
      <c r="D834" s="330" t="s">
        <v>6229</v>
      </c>
      <c r="E834" s="330" t="s">
        <v>4634</v>
      </c>
      <c r="F834" s="331">
        <v>0.21</v>
      </c>
      <c r="G834" s="332">
        <v>153</v>
      </c>
      <c r="H834" s="333">
        <v>186</v>
      </c>
    </row>
    <row r="835" spans="1:8">
      <c r="A835" s="317">
        <v>1600102018</v>
      </c>
      <c r="B835" s="317" t="s">
        <v>45205</v>
      </c>
      <c r="C835" s="330" t="s">
        <v>6230</v>
      </c>
      <c r="D835" s="330" t="s">
        <v>6231</v>
      </c>
      <c r="E835" s="330" t="s">
        <v>37248</v>
      </c>
      <c r="F835" s="331">
        <v>0.21</v>
      </c>
      <c r="G835" s="332">
        <v>1072</v>
      </c>
      <c r="H835" s="333">
        <v>1298</v>
      </c>
    </row>
    <row r="836" spans="1:8">
      <c r="A836" s="317">
        <v>1600102601</v>
      </c>
      <c r="B836" s="317" t="s">
        <v>45206</v>
      </c>
      <c r="C836" s="330" t="s">
        <v>6232</v>
      </c>
      <c r="D836" s="330" t="s">
        <v>5015</v>
      </c>
      <c r="E836" s="330" t="s">
        <v>4634</v>
      </c>
      <c r="F836" s="331">
        <v>0.21</v>
      </c>
      <c r="G836" s="332">
        <v>202</v>
      </c>
      <c r="H836" s="333">
        <v>245</v>
      </c>
    </row>
    <row r="837" spans="1:8">
      <c r="A837" s="317">
        <v>1600102626</v>
      </c>
      <c r="B837" s="317" t="s">
        <v>45207</v>
      </c>
      <c r="C837" s="330" t="s">
        <v>6233</v>
      </c>
      <c r="D837" s="330" t="s">
        <v>5015</v>
      </c>
      <c r="E837" s="330" t="s">
        <v>4634</v>
      </c>
      <c r="F837" s="331">
        <v>0.21</v>
      </c>
      <c r="G837" s="332">
        <v>274</v>
      </c>
      <c r="H837" s="333">
        <v>332</v>
      </c>
    </row>
    <row r="838" spans="1:8">
      <c r="A838" s="317">
        <v>1600102627</v>
      </c>
      <c r="B838" s="317" t="s">
        <v>45208</v>
      </c>
      <c r="C838" s="330" t="s">
        <v>6234</v>
      </c>
      <c r="D838" s="330" t="s">
        <v>5015</v>
      </c>
      <c r="E838" s="330" t="s">
        <v>4634</v>
      </c>
      <c r="F838" s="331">
        <v>0.21</v>
      </c>
      <c r="G838" s="332">
        <v>68</v>
      </c>
      <c r="H838" s="333">
        <v>83</v>
      </c>
    </row>
    <row r="839" spans="1:8">
      <c r="A839" s="317">
        <v>1600102632</v>
      </c>
      <c r="B839" s="317" t="s">
        <v>45209</v>
      </c>
      <c r="C839" s="330" t="s">
        <v>6235</v>
      </c>
      <c r="D839" s="330" t="s">
        <v>6236</v>
      </c>
      <c r="E839" s="330" t="s">
        <v>4634</v>
      </c>
      <c r="F839" s="331">
        <v>0.21</v>
      </c>
      <c r="G839" s="332">
        <v>412</v>
      </c>
      <c r="H839" s="333">
        <v>499</v>
      </c>
    </row>
    <row r="840" spans="1:8">
      <c r="A840" s="317">
        <v>1600102633</v>
      </c>
      <c r="B840" s="317" t="s">
        <v>45210</v>
      </c>
      <c r="C840" s="330" t="s">
        <v>6237</v>
      </c>
      <c r="D840" s="330" t="s">
        <v>6236</v>
      </c>
      <c r="E840" s="330" t="s">
        <v>4634</v>
      </c>
      <c r="F840" s="331">
        <v>0.21</v>
      </c>
      <c r="G840" s="332">
        <v>309</v>
      </c>
      <c r="H840" s="333">
        <v>374</v>
      </c>
    </row>
    <row r="841" spans="1:8">
      <c r="A841" s="317">
        <v>1600102634</v>
      </c>
      <c r="B841" s="317" t="s">
        <v>45211</v>
      </c>
      <c r="C841" s="330" t="s">
        <v>6238</v>
      </c>
      <c r="D841" s="330" t="s">
        <v>6239</v>
      </c>
      <c r="E841" s="330" t="s">
        <v>4634</v>
      </c>
      <c r="F841" s="331">
        <v>0.21</v>
      </c>
      <c r="G841" s="332">
        <v>490</v>
      </c>
      <c r="H841" s="333">
        <v>593</v>
      </c>
    </row>
    <row r="842" spans="1:8">
      <c r="A842" s="317">
        <v>1600102677</v>
      </c>
      <c r="B842" s="317" t="s">
        <v>45212</v>
      </c>
      <c r="C842" s="330" t="s">
        <v>6240</v>
      </c>
      <c r="D842" s="330" t="s">
        <v>6241</v>
      </c>
      <c r="E842" s="330" t="s">
        <v>4634</v>
      </c>
      <c r="F842" s="331">
        <v>0.21</v>
      </c>
      <c r="G842" s="332">
        <v>153</v>
      </c>
      <c r="H842" s="333">
        <v>186</v>
      </c>
    </row>
    <row r="843" spans="1:8">
      <c r="A843" s="317">
        <v>1600108018</v>
      </c>
      <c r="B843" s="317" t="s">
        <v>45213</v>
      </c>
      <c r="C843" s="330" t="s">
        <v>6242</v>
      </c>
      <c r="D843" s="330" t="s">
        <v>6243</v>
      </c>
      <c r="E843" s="330" t="s">
        <v>4634</v>
      </c>
      <c r="F843" s="331">
        <v>0.21</v>
      </c>
      <c r="G843" s="332">
        <v>490</v>
      </c>
      <c r="H843" s="333">
        <v>593</v>
      </c>
    </row>
    <row r="844" spans="1:8">
      <c r="A844" s="317">
        <v>1600108048</v>
      </c>
      <c r="B844" s="317" t="s">
        <v>45214</v>
      </c>
      <c r="C844" s="330" t="s">
        <v>6244</v>
      </c>
      <c r="D844" s="330" t="s">
        <v>6245</v>
      </c>
      <c r="E844" s="330" t="s">
        <v>4634</v>
      </c>
      <c r="F844" s="331">
        <v>0.21</v>
      </c>
      <c r="G844" s="332">
        <v>309</v>
      </c>
      <c r="H844" s="333">
        <v>374</v>
      </c>
    </row>
    <row r="845" spans="1:8">
      <c r="A845" s="317">
        <v>1600108055</v>
      </c>
      <c r="B845" s="317" t="s">
        <v>45215</v>
      </c>
      <c r="C845" s="330" t="s">
        <v>6246</v>
      </c>
      <c r="D845" s="330" t="s">
        <v>6247</v>
      </c>
      <c r="E845" s="330" t="s">
        <v>4634</v>
      </c>
      <c r="F845" s="331">
        <v>0.21</v>
      </c>
      <c r="G845" s="332">
        <v>153</v>
      </c>
      <c r="H845" s="333">
        <v>186</v>
      </c>
    </row>
    <row r="846" spans="1:8">
      <c r="A846" s="317">
        <v>1600108059</v>
      </c>
      <c r="B846" s="317" t="s">
        <v>45216</v>
      </c>
      <c r="C846" s="330" t="s">
        <v>6248</v>
      </c>
      <c r="D846" s="330" t="s">
        <v>6249</v>
      </c>
      <c r="E846" s="330" t="s">
        <v>4819</v>
      </c>
      <c r="F846" s="331">
        <v>0.21</v>
      </c>
      <c r="G846" s="332">
        <v>4544</v>
      </c>
      <c r="H846" s="333">
        <v>5499</v>
      </c>
    </row>
    <row r="847" spans="1:8">
      <c r="A847" s="317" t="s">
        <v>37661</v>
      </c>
      <c r="B847" s="317" t="s">
        <v>45217</v>
      </c>
      <c r="C847" s="330" t="s">
        <v>6250</v>
      </c>
      <c r="D847" s="330" t="s">
        <v>6251</v>
      </c>
      <c r="E847" s="330" t="s">
        <v>4819</v>
      </c>
      <c r="F847" s="331">
        <v>0.21</v>
      </c>
      <c r="G847" s="332">
        <v>675</v>
      </c>
      <c r="H847" s="333">
        <v>817</v>
      </c>
    </row>
    <row r="848" spans="1:8">
      <c r="A848" s="317" t="s">
        <v>37662</v>
      </c>
      <c r="B848" s="317" t="s">
        <v>45218</v>
      </c>
      <c r="C848" s="330" t="s">
        <v>6252</v>
      </c>
      <c r="D848" s="330" t="s">
        <v>6253</v>
      </c>
      <c r="E848" s="330" t="s">
        <v>4819</v>
      </c>
      <c r="F848" s="331">
        <v>0.21</v>
      </c>
      <c r="G848" s="332">
        <v>2875</v>
      </c>
      <c r="H848" s="333">
        <v>3479</v>
      </c>
    </row>
    <row r="849" spans="1:8">
      <c r="A849" s="317">
        <v>1600113003</v>
      </c>
      <c r="B849" s="317" t="s">
        <v>45219</v>
      </c>
      <c r="C849" s="330" t="s">
        <v>6254</v>
      </c>
      <c r="D849" s="330" t="s">
        <v>6255</v>
      </c>
      <c r="E849" s="330" t="s">
        <v>4634</v>
      </c>
      <c r="F849" s="331">
        <v>0.21</v>
      </c>
      <c r="G849" s="332">
        <v>564</v>
      </c>
      <c r="H849" s="333">
        <v>683</v>
      </c>
    </row>
    <row r="850" spans="1:8">
      <c r="A850" s="317">
        <v>1600114035</v>
      </c>
      <c r="B850" s="317" t="s">
        <v>45220</v>
      </c>
      <c r="C850" s="330" t="s">
        <v>6256</v>
      </c>
      <c r="D850" s="330" t="s">
        <v>6257</v>
      </c>
      <c r="E850" s="330" t="s">
        <v>4634</v>
      </c>
      <c r="F850" s="331">
        <v>0.21</v>
      </c>
      <c r="G850" s="332">
        <v>2137</v>
      </c>
      <c r="H850" s="333">
        <v>2586</v>
      </c>
    </row>
    <row r="851" spans="1:8">
      <c r="A851" s="317">
        <v>1600116001</v>
      </c>
      <c r="B851" s="317" t="s">
        <v>45221</v>
      </c>
      <c r="C851" s="330" t="s">
        <v>6258</v>
      </c>
      <c r="D851" s="330" t="s">
        <v>6259</v>
      </c>
      <c r="E851" s="330" t="s">
        <v>4634</v>
      </c>
      <c r="F851" s="331">
        <v>0.21</v>
      </c>
      <c r="G851" s="332">
        <v>3171</v>
      </c>
      <c r="H851" s="333">
        <v>3837</v>
      </c>
    </row>
    <row r="852" spans="1:8">
      <c r="A852" s="317">
        <v>1600119004</v>
      </c>
      <c r="B852" s="317" t="s">
        <v>45222</v>
      </c>
      <c r="C852" s="330" t="s">
        <v>6260</v>
      </c>
      <c r="D852" s="330" t="s">
        <v>6261</v>
      </c>
      <c r="E852" s="330" t="s">
        <v>4634</v>
      </c>
      <c r="F852" s="331">
        <v>0.21</v>
      </c>
      <c r="G852" s="332">
        <v>678</v>
      </c>
      <c r="H852" s="333">
        <v>821</v>
      </c>
    </row>
    <row r="853" spans="1:8">
      <c r="A853" s="317">
        <v>1600119008</v>
      </c>
      <c r="B853" s="317" t="s">
        <v>45223</v>
      </c>
      <c r="C853" s="330" t="s">
        <v>6262</v>
      </c>
      <c r="D853" s="330" t="s">
        <v>6263</v>
      </c>
      <c r="E853" s="330" t="s">
        <v>37248</v>
      </c>
      <c r="F853" s="331">
        <v>0.21</v>
      </c>
      <c r="G853" s="332">
        <v>653</v>
      </c>
      <c r="H853" s="333">
        <v>791</v>
      </c>
    </row>
    <row r="854" spans="1:8">
      <c r="A854" s="317">
        <v>1600119010</v>
      </c>
      <c r="B854" s="317" t="s">
        <v>45224</v>
      </c>
      <c r="C854" s="330" t="s">
        <v>6264</v>
      </c>
      <c r="D854" s="330" t="s">
        <v>6265</v>
      </c>
      <c r="E854" s="330" t="s">
        <v>4819</v>
      </c>
      <c r="F854" s="331">
        <v>0.21</v>
      </c>
      <c r="G854" s="332">
        <v>2935</v>
      </c>
      <c r="H854" s="333">
        <v>3552</v>
      </c>
    </row>
    <row r="855" spans="1:8">
      <c r="A855" s="317">
        <v>1600120070</v>
      </c>
      <c r="B855" s="317" t="s">
        <v>45225</v>
      </c>
      <c r="C855" s="330" t="s">
        <v>6266</v>
      </c>
      <c r="D855" s="330" t="s">
        <v>6267</v>
      </c>
      <c r="E855" s="330" t="s">
        <v>4634</v>
      </c>
      <c r="F855" s="331">
        <v>0.21</v>
      </c>
      <c r="G855" s="332">
        <v>791</v>
      </c>
      <c r="H855" s="333">
        <v>958</v>
      </c>
    </row>
    <row r="856" spans="1:8">
      <c r="A856" s="317">
        <v>1600136005</v>
      </c>
      <c r="B856" s="317" t="s">
        <v>45226</v>
      </c>
      <c r="C856" s="330" t="s">
        <v>6268</v>
      </c>
      <c r="D856" s="330" t="s">
        <v>6269</v>
      </c>
      <c r="E856" s="330" t="s">
        <v>4634</v>
      </c>
      <c r="F856" s="331">
        <v>0.21</v>
      </c>
      <c r="G856" s="332">
        <v>153</v>
      </c>
      <c r="H856" s="333">
        <v>186</v>
      </c>
    </row>
    <row r="857" spans="1:8">
      <c r="A857" s="317">
        <v>1600136010</v>
      </c>
      <c r="B857" s="317" t="s">
        <v>45227</v>
      </c>
      <c r="C857" s="330" t="s">
        <v>6270</v>
      </c>
      <c r="D857" s="330" t="s">
        <v>6271</v>
      </c>
      <c r="E857" s="330" t="s">
        <v>37248</v>
      </c>
      <c r="F857" s="331">
        <v>0.21</v>
      </c>
      <c r="G857" s="332">
        <v>1530</v>
      </c>
      <c r="H857" s="333">
        <v>1852</v>
      </c>
    </row>
    <row r="858" spans="1:8">
      <c r="A858" s="317">
        <v>1600136011</v>
      </c>
      <c r="B858" s="317" t="s">
        <v>45228</v>
      </c>
      <c r="C858" s="330" t="s">
        <v>6272</v>
      </c>
      <c r="D858" s="330" t="s">
        <v>6273</v>
      </c>
      <c r="E858" s="330" t="s">
        <v>37248</v>
      </c>
      <c r="F858" s="331">
        <v>0.21</v>
      </c>
      <c r="G858" s="332">
        <v>2237</v>
      </c>
      <c r="H858" s="333">
        <v>2707</v>
      </c>
    </row>
    <row r="859" spans="1:8">
      <c r="A859" s="317">
        <v>1600136012</v>
      </c>
      <c r="B859" s="317" t="s">
        <v>45229</v>
      </c>
      <c r="C859" s="330" t="s">
        <v>6274</v>
      </c>
      <c r="D859" s="330" t="s">
        <v>6275</v>
      </c>
      <c r="E859" s="330" t="s">
        <v>37248</v>
      </c>
      <c r="F859" s="331">
        <v>0.21</v>
      </c>
      <c r="G859" s="332">
        <v>2417</v>
      </c>
      <c r="H859" s="333">
        <v>2925</v>
      </c>
    </row>
    <row r="860" spans="1:8">
      <c r="A860" s="317">
        <v>1600136015</v>
      </c>
      <c r="B860" s="317" t="s">
        <v>45230</v>
      </c>
      <c r="C860" s="330" t="s">
        <v>6276</v>
      </c>
      <c r="D860" s="330" t="s">
        <v>5233</v>
      </c>
      <c r="E860" s="330" t="s">
        <v>37248</v>
      </c>
      <c r="F860" s="331">
        <v>0.21</v>
      </c>
      <c r="G860" s="332">
        <v>3426</v>
      </c>
      <c r="H860" s="333">
        <v>4146</v>
      </c>
    </row>
    <row r="861" spans="1:8">
      <c r="A861" s="317">
        <v>1600136016</v>
      </c>
      <c r="B861" s="317" t="s">
        <v>45231</v>
      </c>
      <c r="C861" s="330" t="s">
        <v>6277</v>
      </c>
      <c r="D861" s="330" t="s">
        <v>6278</v>
      </c>
      <c r="E861" s="330" t="s">
        <v>37248</v>
      </c>
      <c r="F861" s="331">
        <v>0.21</v>
      </c>
      <c r="G861" s="332">
        <v>3624</v>
      </c>
      <c r="H861" s="333">
        <v>4386</v>
      </c>
    </row>
    <row r="862" spans="1:8">
      <c r="A862" s="317">
        <v>1600136017</v>
      </c>
      <c r="B862" s="317" t="s">
        <v>45232</v>
      </c>
      <c r="C862" s="330" t="s">
        <v>6279</v>
      </c>
      <c r="D862" s="330" t="s">
        <v>6278</v>
      </c>
      <c r="E862" s="330" t="s">
        <v>4634</v>
      </c>
      <c r="F862" s="331">
        <v>0.21</v>
      </c>
      <c r="G862" s="332">
        <v>678</v>
      </c>
      <c r="H862" s="333">
        <v>821</v>
      </c>
    </row>
    <row r="863" spans="1:8">
      <c r="A863" s="317">
        <v>1600136020</v>
      </c>
      <c r="B863" s="317" t="s">
        <v>45233</v>
      </c>
      <c r="C863" s="330" t="s">
        <v>6280</v>
      </c>
      <c r="D863" s="330" t="s">
        <v>5233</v>
      </c>
      <c r="E863" s="330" t="s">
        <v>37248</v>
      </c>
      <c r="F863" s="331">
        <v>0.21</v>
      </c>
      <c r="G863" s="332">
        <v>2616</v>
      </c>
      <c r="H863" s="333">
        <v>3166</v>
      </c>
    </row>
    <row r="864" spans="1:8">
      <c r="A864" s="317">
        <v>1600140009</v>
      </c>
      <c r="B864" s="317" t="s">
        <v>45234</v>
      </c>
      <c r="C864" s="330" t="s">
        <v>6281</v>
      </c>
      <c r="D864" s="330" t="s">
        <v>6282</v>
      </c>
      <c r="E864" s="330" t="s">
        <v>4634</v>
      </c>
      <c r="F864" s="331">
        <v>0.21</v>
      </c>
      <c r="G864" s="332">
        <v>1570</v>
      </c>
      <c r="H864" s="333">
        <v>1900</v>
      </c>
    </row>
    <row r="865" spans="1:8">
      <c r="A865" s="317">
        <v>1600146001</v>
      </c>
      <c r="B865" s="317" t="s">
        <v>45235</v>
      </c>
      <c r="C865" s="330" t="s">
        <v>6283</v>
      </c>
      <c r="D865" s="330" t="s">
        <v>6284</v>
      </c>
      <c r="E865" s="330" t="s">
        <v>37248</v>
      </c>
      <c r="F865" s="331">
        <v>0.21</v>
      </c>
      <c r="G865" s="332">
        <v>2411</v>
      </c>
      <c r="H865" s="333">
        <v>2918</v>
      </c>
    </row>
    <row r="866" spans="1:8">
      <c r="A866" s="317">
        <v>1600150006</v>
      </c>
      <c r="B866" s="317" t="s">
        <v>45236</v>
      </c>
      <c r="C866" s="330" t="s">
        <v>6285</v>
      </c>
      <c r="D866" s="330" t="s">
        <v>6286</v>
      </c>
      <c r="E866" s="330" t="s">
        <v>4634</v>
      </c>
      <c r="F866" s="331">
        <v>0.21</v>
      </c>
      <c r="G866" s="332">
        <v>2146</v>
      </c>
      <c r="H866" s="333">
        <v>2597</v>
      </c>
    </row>
    <row r="867" spans="1:8">
      <c r="A867" s="317">
        <v>1600150007</v>
      </c>
      <c r="B867" s="317" t="s">
        <v>45237</v>
      </c>
      <c r="C867" s="330" t="s">
        <v>6287</v>
      </c>
      <c r="D867" s="330" t="s">
        <v>6288</v>
      </c>
      <c r="E867" s="330" t="s">
        <v>4634</v>
      </c>
      <c r="F867" s="331">
        <v>0.21</v>
      </c>
      <c r="G867" s="332">
        <v>387</v>
      </c>
      <c r="H867" s="333">
        <v>469</v>
      </c>
    </row>
    <row r="868" spans="1:8">
      <c r="A868" s="317">
        <v>1600150008</v>
      </c>
      <c r="B868" s="317" t="s">
        <v>45238</v>
      </c>
      <c r="C868" s="330" t="s">
        <v>6289</v>
      </c>
      <c r="D868" s="330" t="s">
        <v>6290</v>
      </c>
      <c r="E868" s="330" t="s">
        <v>4634</v>
      </c>
      <c r="F868" s="331">
        <v>0.21</v>
      </c>
      <c r="G868" s="332">
        <v>22</v>
      </c>
      <c r="H868" s="333">
        <v>27</v>
      </c>
    </row>
    <row r="869" spans="1:8">
      <c r="A869" s="317">
        <v>1600150009</v>
      </c>
      <c r="B869" s="317" t="s">
        <v>45239</v>
      </c>
      <c r="C869" s="330" t="s">
        <v>6291</v>
      </c>
      <c r="D869" s="330" t="s">
        <v>6292</v>
      </c>
      <c r="E869" s="330" t="s">
        <v>4634</v>
      </c>
      <c r="F869" s="331">
        <v>0.21</v>
      </c>
      <c r="G869" s="332">
        <v>372</v>
      </c>
      <c r="H869" s="333">
        <v>451</v>
      </c>
    </row>
    <row r="870" spans="1:8">
      <c r="A870" s="317">
        <v>1600150010</v>
      </c>
      <c r="B870" s="317" t="s">
        <v>45240</v>
      </c>
      <c r="C870" s="330" t="s">
        <v>6293</v>
      </c>
      <c r="D870" s="330" t="s">
        <v>5015</v>
      </c>
      <c r="E870" s="330" t="s">
        <v>4634</v>
      </c>
      <c r="F870" s="331">
        <v>0.21</v>
      </c>
      <c r="G870" s="332">
        <v>153</v>
      </c>
      <c r="H870" s="333">
        <v>186</v>
      </c>
    </row>
    <row r="871" spans="1:8">
      <c r="A871" s="317">
        <v>1600150011</v>
      </c>
      <c r="B871" s="317" t="s">
        <v>45241</v>
      </c>
      <c r="C871" s="330" t="s">
        <v>6294</v>
      </c>
      <c r="D871" s="330" t="s">
        <v>6295</v>
      </c>
      <c r="E871" s="330" t="s">
        <v>4634</v>
      </c>
      <c r="F871" s="331">
        <v>0.21</v>
      </c>
      <c r="G871" s="332">
        <v>256</v>
      </c>
      <c r="H871" s="333">
        <v>310</v>
      </c>
    </row>
    <row r="872" spans="1:8">
      <c r="A872" s="317" t="s">
        <v>37663</v>
      </c>
      <c r="B872" s="317" t="s">
        <v>45242</v>
      </c>
      <c r="C872" s="330" t="s">
        <v>6296</v>
      </c>
      <c r="D872" s="330" t="s">
        <v>6297</v>
      </c>
      <c r="E872" s="330" t="s">
        <v>37248</v>
      </c>
      <c r="F872" s="331">
        <v>0.21</v>
      </c>
      <c r="G872" s="332">
        <v>2895</v>
      </c>
      <c r="H872" s="333">
        <v>3503</v>
      </c>
    </row>
    <row r="873" spans="1:8">
      <c r="A873" s="317" t="s">
        <v>37664</v>
      </c>
      <c r="B873" s="317" t="s">
        <v>45243</v>
      </c>
      <c r="C873" s="330" t="s">
        <v>6298</v>
      </c>
      <c r="D873" s="330" t="s">
        <v>6299</v>
      </c>
      <c r="E873" s="330" t="s">
        <v>37248</v>
      </c>
      <c r="F873" s="331">
        <v>0.21</v>
      </c>
      <c r="G873" s="332">
        <v>2128</v>
      </c>
      <c r="H873" s="333">
        <v>2575</v>
      </c>
    </row>
    <row r="874" spans="1:8">
      <c r="A874" s="317" t="s">
        <v>37665</v>
      </c>
      <c r="B874" s="317" t="s">
        <v>45244</v>
      </c>
      <c r="C874" s="330" t="s">
        <v>6300</v>
      </c>
      <c r="D874" s="330" t="s">
        <v>6301</v>
      </c>
      <c r="E874" s="330" t="s">
        <v>4819</v>
      </c>
      <c r="F874" s="331">
        <v>0.21</v>
      </c>
      <c r="G874" s="332">
        <v>910</v>
      </c>
      <c r="H874" s="333">
        <v>1102</v>
      </c>
    </row>
    <row r="875" spans="1:8">
      <c r="A875" s="317">
        <v>1600150026</v>
      </c>
      <c r="B875" s="317" t="s">
        <v>45245</v>
      </c>
      <c r="C875" s="330" t="s">
        <v>6302</v>
      </c>
      <c r="D875" s="330" t="s">
        <v>6303</v>
      </c>
      <c r="E875" s="330" t="s">
        <v>4634</v>
      </c>
      <c r="F875" s="331">
        <v>0.21</v>
      </c>
      <c r="G875" s="332">
        <v>570</v>
      </c>
      <c r="H875" s="333">
        <v>690</v>
      </c>
    </row>
    <row r="876" spans="1:8">
      <c r="A876" s="317" t="s">
        <v>37666</v>
      </c>
      <c r="B876" s="317" t="s">
        <v>45246</v>
      </c>
      <c r="C876" s="330" t="s">
        <v>6304</v>
      </c>
      <c r="D876" s="330" t="s">
        <v>6305</v>
      </c>
      <c r="E876" s="330" t="s">
        <v>37248</v>
      </c>
      <c r="F876" s="331">
        <v>0.21</v>
      </c>
      <c r="G876" s="332">
        <v>646</v>
      </c>
      <c r="H876" s="333">
        <v>782</v>
      </c>
    </row>
    <row r="877" spans="1:8">
      <c r="A877" s="317" t="s">
        <v>37667</v>
      </c>
      <c r="B877" s="317" t="s">
        <v>45247</v>
      </c>
      <c r="C877" s="330" t="s">
        <v>6306</v>
      </c>
      <c r="D877" s="330" t="s">
        <v>4909</v>
      </c>
      <c r="E877" s="330" t="s">
        <v>37248</v>
      </c>
      <c r="F877" s="331">
        <v>0.21</v>
      </c>
      <c r="G877" s="332">
        <v>339</v>
      </c>
      <c r="H877" s="333">
        <v>411</v>
      </c>
    </row>
    <row r="878" spans="1:8">
      <c r="A878" s="317" t="s">
        <v>37668</v>
      </c>
      <c r="B878" s="317" t="s">
        <v>45248</v>
      </c>
      <c r="C878" s="330" t="s">
        <v>6307</v>
      </c>
      <c r="D878" s="330" t="s">
        <v>6305</v>
      </c>
      <c r="E878" s="330" t="s">
        <v>37248</v>
      </c>
      <c r="F878" s="331">
        <v>0.21</v>
      </c>
      <c r="G878" s="332">
        <v>771</v>
      </c>
      <c r="H878" s="333">
        <v>933</v>
      </c>
    </row>
    <row r="879" spans="1:8">
      <c r="A879" s="317" t="s">
        <v>37669</v>
      </c>
      <c r="B879" s="317" t="s">
        <v>45249</v>
      </c>
      <c r="C879" s="330" t="s">
        <v>6308</v>
      </c>
      <c r="D879" s="330" t="s">
        <v>6305</v>
      </c>
      <c r="E879" s="330" t="s">
        <v>37248</v>
      </c>
      <c r="F879" s="331">
        <v>0.21</v>
      </c>
      <c r="G879" s="332">
        <v>771</v>
      </c>
      <c r="H879" s="333">
        <v>933</v>
      </c>
    </row>
    <row r="880" spans="1:8">
      <c r="A880" s="317" t="s">
        <v>37670</v>
      </c>
      <c r="B880" s="317" t="s">
        <v>45250</v>
      </c>
      <c r="C880" s="330" t="s">
        <v>6309</v>
      </c>
      <c r="D880" s="330" t="s">
        <v>6310</v>
      </c>
      <c r="E880" s="330" t="s">
        <v>37248</v>
      </c>
      <c r="F880" s="331">
        <v>0.21</v>
      </c>
      <c r="G880" s="332">
        <v>976</v>
      </c>
      <c r="H880" s="333">
        <v>1181</v>
      </c>
    </row>
    <row r="881" spans="1:8">
      <c r="A881" s="317">
        <v>1600190004</v>
      </c>
      <c r="B881" s="317" t="s">
        <v>45251</v>
      </c>
      <c r="C881" s="330" t="s">
        <v>6311</v>
      </c>
      <c r="D881" s="330" t="s">
        <v>6312</v>
      </c>
      <c r="E881" s="330" t="s">
        <v>4634</v>
      </c>
      <c r="F881" s="331">
        <v>0.21</v>
      </c>
      <c r="G881" s="332">
        <v>928</v>
      </c>
      <c r="H881" s="333">
        <v>1123</v>
      </c>
    </row>
    <row r="882" spans="1:8">
      <c r="A882" s="317">
        <v>1600190005</v>
      </c>
      <c r="B882" s="317" t="s">
        <v>45252</v>
      </c>
      <c r="C882" s="330" t="s">
        <v>6313</v>
      </c>
      <c r="D882" s="330" t="s">
        <v>6314</v>
      </c>
      <c r="E882" s="330" t="s">
        <v>4634</v>
      </c>
      <c r="F882" s="331">
        <v>0.21</v>
      </c>
      <c r="G882" s="332">
        <v>791</v>
      </c>
      <c r="H882" s="333">
        <v>958</v>
      </c>
    </row>
    <row r="883" spans="1:8">
      <c r="A883" s="317">
        <v>1600190016</v>
      </c>
      <c r="B883" s="317" t="s">
        <v>45253</v>
      </c>
      <c r="C883" s="330" t="s">
        <v>6315</v>
      </c>
      <c r="D883" s="330" t="s">
        <v>6316</v>
      </c>
      <c r="E883" s="330" t="s">
        <v>4634</v>
      </c>
      <c r="F883" s="331">
        <v>0.21</v>
      </c>
      <c r="G883" s="332">
        <v>37</v>
      </c>
      <c r="H883" s="333">
        <v>45</v>
      </c>
    </row>
    <row r="884" spans="1:8">
      <c r="A884" s="317">
        <v>1600190037</v>
      </c>
      <c r="B884" s="317" t="s">
        <v>45254</v>
      </c>
      <c r="C884" s="330" t="s">
        <v>6317</v>
      </c>
      <c r="D884" s="330" t="s">
        <v>6318</v>
      </c>
      <c r="E884" s="330" t="s">
        <v>37248</v>
      </c>
      <c r="F884" s="331">
        <v>0.21</v>
      </c>
      <c r="G884" s="332">
        <v>2005</v>
      </c>
      <c r="H884" s="333">
        <v>2427</v>
      </c>
    </row>
    <row r="885" spans="1:8">
      <c r="A885" s="317">
        <v>1600190038</v>
      </c>
      <c r="B885" s="317" t="s">
        <v>45255</v>
      </c>
      <c r="C885" s="330" t="s">
        <v>6319</v>
      </c>
      <c r="D885" s="330" t="s">
        <v>6320</v>
      </c>
      <c r="E885" s="330" t="s">
        <v>4819</v>
      </c>
      <c r="F885" s="331">
        <v>0.21</v>
      </c>
      <c r="G885" s="332">
        <v>1780</v>
      </c>
      <c r="H885" s="333">
        <v>2154</v>
      </c>
    </row>
    <row r="886" spans="1:8">
      <c r="A886" s="317">
        <v>1600190039</v>
      </c>
      <c r="B886" s="317" t="s">
        <v>45256</v>
      </c>
      <c r="C886" s="330" t="s">
        <v>6321</v>
      </c>
      <c r="D886" s="330" t="s">
        <v>6322</v>
      </c>
      <c r="E886" s="330" t="s">
        <v>4819</v>
      </c>
      <c r="F886" s="331">
        <v>0.21</v>
      </c>
      <c r="G886" s="332">
        <v>1936</v>
      </c>
      <c r="H886" s="333">
        <v>2343</v>
      </c>
    </row>
    <row r="887" spans="1:8">
      <c r="A887" s="317">
        <v>1600190040</v>
      </c>
      <c r="B887" s="317" t="s">
        <v>45257</v>
      </c>
      <c r="C887" s="330" t="s">
        <v>6323</v>
      </c>
      <c r="D887" s="330" t="s">
        <v>6324</v>
      </c>
      <c r="E887" s="330" t="s">
        <v>37248</v>
      </c>
      <c r="F887" s="331">
        <v>0.21</v>
      </c>
      <c r="G887" s="332">
        <v>1827</v>
      </c>
      <c r="H887" s="333">
        <v>2211</v>
      </c>
    </row>
    <row r="888" spans="1:8">
      <c r="A888" s="317">
        <v>1600190048</v>
      </c>
      <c r="B888" s="317" t="s">
        <v>45258</v>
      </c>
      <c r="C888" s="330" t="s">
        <v>6325</v>
      </c>
      <c r="D888" s="330" t="s">
        <v>6326</v>
      </c>
      <c r="E888" s="330" t="s">
        <v>37248</v>
      </c>
      <c r="F888" s="331">
        <v>0.21</v>
      </c>
      <c r="G888" s="332">
        <v>3669</v>
      </c>
      <c r="H888" s="333">
        <v>4440</v>
      </c>
    </row>
    <row r="889" spans="1:8">
      <c r="A889" s="317">
        <v>1600200031</v>
      </c>
      <c r="B889" s="317" t="s">
        <v>45259</v>
      </c>
      <c r="C889" s="330" t="s">
        <v>6327</v>
      </c>
      <c r="D889" s="330" t="s">
        <v>6328</v>
      </c>
      <c r="E889" s="330" t="s">
        <v>4634</v>
      </c>
      <c r="F889" s="331">
        <v>0.21</v>
      </c>
      <c r="G889" s="332">
        <v>236</v>
      </c>
      <c r="H889" s="333">
        <v>286</v>
      </c>
    </row>
    <row r="890" spans="1:8">
      <c r="A890" s="317">
        <v>1600202016</v>
      </c>
      <c r="B890" s="317" t="s">
        <v>45260</v>
      </c>
      <c r="C890" s="330" t="s">
        <v>6329</v>
      </c>
      <c r="D890" s="330" t="s">
        <v>6330</v>
      </c>
      <c r="E890" s="330" t="s">
        <v>4634</v>
      </c>
      <c r="F890" s="331">
        <v>0.21</v>
      </c>
      <c r="G890" s="332">
        <v>648</v>
      </c>
      <c r="H890" s="333">
        <v>785</v>
      </c>
    </row>
    <row r="891" spans="1:8">
      <c r="A891" s="317">
        <v>1600202034</v>
      </c>
      <c r="B891" s="317" t="s">
        <v>45261</v>
      </c>
      <c r="C891" s="330" t="s">
        <v>6331</v>
      </c>
      <c r="D891" s="330" t="s">
        <v>6332</v>
      </c>
      <c r="E891" s="330" t="s">
        <v>4634</v>
      </c>
      <c r="F891" s="331">
        <v>0.21</v>
      </c>
      <c r="G891" s="332">
        <v>234</v>
      </c>
      <c r="H891" s="333">
        <v>284</v>
      </c>
    </row>
    <row r="892" spans="1:8">
      <c r="A892" s="317">
        <v>1600202036</v>
      </c>
      <c r="B892" s="317" t="s">
        <v>45262</v>
      </c>
      <c r="C892" s="330" t="s">
        <v>6333</v>
      </c>
      <c r="D892" s="330" t="s">
        <v>6259</v>
      </c>
      <c r="E892" s="330" t="s">
        <v>4634</v>
      </c>
      <c r="F892" s="331">
        <v>0.21</v>
      </c>
      <c r="G892" s="332">
        <v>1139</v>
      </c>
      <c r="H892" s="333">
        <v>1379</v>
      </c>
    </row>
    <row r="893" spans="1:8">
      <c r="A893" s="317">
        <v>1600205008</v>
      </c>
      <c r="B893" s="317" t="s">
        <v>45263</v>
      </c>
      <c r="C893" s="330" t="s">
        <v>6334</v>
      </c>
      <c r="D893" s="330" t="s">
        <v>6335</v>
      </c>
      <c r="E893" s="330" t="s">
        <v>4634</v>
      </c>
      <c r="F893" s="331">
        <v>0.21</v>
      </c>
      <c r="G893" s="332">
        <v>309</v>
      </c>
      <c r="H893" s="333">
        <v>374</v>
      </c>
    </row>
    <row r="894" spans="1:8">
      <c r="A894" s="317">
        <v>1600205023</v>
      </c>
      <c r="B894" s="317" t="s">
        <v>45264</v>
      </c>
      <c r="C894" s="330" t="s">
        <v>6336</v>
      </c>
      <c r="D894" s="330" t="s">
        <v>6337</v>
      </c>
      <c r="E894" s="330" t="s">
        <v>4634</v>
      </c>
      <c r="F894" s="331">
        <v>0.21</v>
      </c>
      <c r="G894" s="332">
        <v>580</v>
      </c>
      <c r="H894" s="333">
        <v>702</v>
      </c>
    </row>
    <row r="895" spans="1:8">
      <c r="A895" s="317">
        <v>1600205027</v>
      </c>
      <c r="B895" s="317" t="s">
        <v>45265</v>
      </c>
      <c r="C895" s="330" t="s">
        <v>6338</v>
      </c>
      <c r="D895" s="330" t="s">
        <v>6339</v>
      </c>
      <c r="E895" s="330" t="s">
        <v>4634</v>
      </c>
      <c r="F895" s="331">
        <v>0.21</v>
      </c>
      <c r="G895" s="332">
        <v>180</v>
      </c>
      <c r="H895" s="333">
        <v>218</v>
      </c>
    </row>
    <row r="896" spans="1:8">
      <c r="A896" s="317">
        <v>1600205032</v>
      </c>
      <c r="B896" s="317" t="s">
        <v>45266</v>
      </c>
      <c r="C896" s="330" t="s">
        <v>6340</v>
      </c>
      <c r="D896" s="330" t="s">
        <v>6341</v>
      </c>
      <c r="E896" s="330" t="s">
        <v>4634</v>
      </c>
      <c r="F896" s="331">
        <v>0.21</v>
      </c>
      <c r="G896" s="332">
        <v>153</v>
      </c>
      <c r="H896" s="333">
        <v>186</v>
      </c>
    </row>
    <row r="897" spans="1:8">
      <c r="A897" s="317">
        <v>1600205034</v>
      </c>
      <c r="B897" s="317" t="s">
        <v>45267</v>
      </c>
      <c r="C897" s="330" t="s">
        <v>6342</v>
      </c>
      <c r="D897" s="330" t="s">
        <v>6343</v>
      </c>
      <c r="E897" s="330" t="s">
        <v>37248</v>
      </c>
      <c r="F897" s="331">
        <v>0.21</v>
      </c>
      <c r="G897" s="332">
        <v>3027</v>
      </c>
      <c r="H897" s="333">
        <v>3663</v>
      </c>
    </row>
    <row r="898" spans="1:8">
      <c r="A898" s="317">
        <v>1600205037</v>
      </c>
      <c r="B898" s="317" t="s">
        <v>45268</v>
      </c>
      <c r="C898" s="330" t="s">
        <v>6344</v>
      </c>
      <c r="D898" s="330" t="s">
        <v>6345</v>
      </c>
      <c r="E898" s="330" t="s">
        <v>4634</v>
      </c>
      <c r="F898" s="331">
        <v>0.21</v>
      </c>
      <c r="G898" s="332">
        <v>274</v>
      </c>
      <c r="H898" s="333">
        <v>332</v>
      </c>
    </row>
    <row r="899" spans="1:8">
      <c r="A899" s="317">
        <v>1600206014</v>
      </c>
      <c r="B899" s="317" t="s">
        <v>45269</v>
      </c>
      <c r="C899" s="330" t="s">
        <v>6346</v>
      </c>
      <c r="D899" s="330" t="s">
        <v>6347</v>
      </c>
      <c r="E899" s="330" t="s">
        <v>4634</v>
      </c>
      <c r="F899" s="331">
        <v>0.21</v>
      </c>
      <c r="G899" s="332">
        <v>432</v>
      </c>
      <c r="H899" s="333">
        <v>523</v>
      </c>
    </row>
    <row r="900" spans="1:8">
      <c r="A900" s="317">
        <v>1600206018</v>
      </c>
      <c r="B900" s="317" t="s">
        <v>45270</v>
      </c>
      <c r="C900" s="330" t="s">
        <v>6348</v>
      </c>
      <c r="D900" s="330" t="s">
        <v>6349</v>
      </c>
      <c r="E900" s="330" t="s">
        <v>4634</v>
      </c>
      <c r="F900" s="331">
        <v>0.21</v>
      </c>
      <c r="G900" s="332">
        <v>437</v>
      </c>
      <c r="H900" s="333">
        <v>529</v>
      </c>
    </row>
    <row r="901" spans="1:8">
      <c r="A901" s="317">
        <v>1600206019</v>
      </c>
      <c r="B901" s="317" t="s">
        <v>45271</v>
      </c>
      <c r="C901" s="330" t="s">
        <v>6350</v>
      </c>
      <c r="D901" s="330" t="s">
        <v>6351</v>
      </c>
      <c r="E901" s="330" t="s">
        <v>4634</v>
      </c>
      <c r="F901" s="331">
        <v>0.21</v>
      </c>
      <c r="G901" s="332">
        <v>348</v>
      </c>
      <c r="H901" s="333">
        <v>422</v>
      </c>
    </row>
    <row r="902" spans="1:8">
      <c r="A902" s="317">
        <v>1600206021</v>
      </c>
      <c r="B902" s="317" t="s">
        <v>45272</v>
      </c>
      <c r="C902" s="330" t="s">
        <v>6352</v>
      </c>
      <c r="D902" s="330" t="s">
        <v>6353</v>
      </c>
      <c r="E902" s="330" t="s">
        <v>4634</v>
      </c>
      <c r="F902" s="331">
        <v>0.21</v>
      </c>
      <c r="G902" s="332">
        <v>372</v>
      </c>
      <c r="H902" s="333">
        <v>451</v>
      </c>
    </row>
    <row r="903" spans="1:8">
      <c r="A903" s="317">
        <v>1600206024</v>
      </c>
      <c r="B903" s="317" t="s">
        <v>45273</v>
      </c>
      <c r="C903" s="330" t="s">
        <v>6354</v>
      </c>
      <c r="D903" s="330" t="s">
        <v>6355</v>
      </c>
      <c r="E903" s="330" t="s">
        <v>4819</v>
      </c>
      <c r="F903" s="331">
        <v>0.21</v>
      </c>
      <c r="G903" s="332">
        <v>2059</v>
      </c>
      <c r="H903" s="333">
        <v>2492</v>
      </c>
    </row>
    <row r="904" spans="1:8">
      <c r="A904" s="317">
        <v>1600206026</v>
      </c>
      <c r="B904" s="317" t="s">
        <v>45274</v>
      </c>
      <c r="C904" s="330" t="s">
        <v>6356</v>
      </c>
      <c r="D904" s="330" t="s">
        <v>6259</v>
      </c>
      <c r="E904" s="330" t="s">
        <v>4819</v>
      </c>
      <c r="F904" s="331">
        <v>0.21</v>
      </c>
      <c r="G904" s="332">
        <v>6910</v>
      </c>
      <c r="H904" s="333">
        <v>8362</v>
      </c>
    </row>
    <row r="905" spans="1:8">
      <c r="A905" s="317">
        <v>1600206028</v>
      </c>
      <c r="B905" s="317" t="s">
        <v>45275</v>
      </c>
      <c r="C905" s="330" t="s">
        <v>6357</v>
      </c>
      <c r="D905" s="330" t="s">
        <v>6358</v>
      </c>
      <c r="E905" s="330" t="s">
        <v>4634</v>
      </c>
      <c r="F905" s="331">
        <v>0.21</v>
      </c>
      <c r="G905" s="332">
        <v>274</v>
      </c>
      <c r="H905" s="333">
        <v>332</v>
      </c>
    </row>
    <row r="906" spans="1:8">
      <c r="A906" s="317">
        <v>1600206030</v>
      </c>
      <c r="B906" s="317" t="s">
        <v>45276</v>
      </c>
      <c r="C906" s="330" t="s">
        <v>6359</v>
      </c>
      <c r="D906" s="330" t="s">
        <v>6360</v>
      </c>
      <c r="E906" s="330" t="s">
        <v>37248</v>
      </c>
      <c r="F906" s="331">
        <v>0.21</v>
      </c>
      <c r="G906" s="332">
        <v>3009</v>
      </c>
      <c r="H906" s="333">
        <v>3641</v>
      </c>
    </row>
    <row r="907" spans="1:8">
      <c r="A907" s="317">
        <v>1600206035</v>
      </c>
      <c r="B907" s="317" t="s">
        <v>45277</v>
      </c>
      <c r="C907" s="330" t="s">
        <v>6361</v>
      </c>
      <c r="D907" s="330" t="s">
        <v>6362</v>
      </c>
      <c r="E907" s="330" t="s">
        <v>4634</v>
      </c>
      <c r="F907" s="331">
        <v>0.21</v>
      </c>
      <c r="G907" s="332">
        <v>274</v>
      </c>
      <c r="H907" s="333">
        <v>332</v>
      </c>
    </row>
    <row r="908" spans="1:8">
      <c r="A908" s="317">
        <v>1600206037</v>
      </c>
      <c r="B908" s="317" t="s">
        <v>45278</v>
      </c>
      <c r="C908" s="330" t="s">
        <v>6363</v>
      </c>
      <c r="D908" s="330" t="s">
        <v>6364</v>
      </c>
      <c r="E908" s="330" t="s">
        <v>4819</v>
      </c>
      <c r="F908" s="331">
        <v>0.21</v>
      </c>
      <c r="G908" s="332">
        <v>1565</v>
      </c>
      <c r="H908" s="333">
        <v>1894</v>
      </c>
    </row>
    <row r="909" spans="1:8">
      <c r="A909" s="317">
        <v>1600206038</v>
      </c>
      <c r="B909" s="317" t="s">
        <v>45279</v>
      </c>
      <c r="C909" s="330" t="s">
        <v>6365</v>
      </c>
      <c r="D909" s="330" t="s">
        <v>6366</v>
      </c>
      <c r="E909" s="330" t="s">
        <v>4634</v>
      </c>
      <c r="F909" s="331">
        <v>0.21</v>
      </c>
      <c r="G909" s="332">
        <v>387</v>
      </c>
      <c r="H909" s="333">
        <v>469</v>
      </c>
    </row>
    <row r="910" spans="1:8">
      <c r="A910" s="317">
        <v>1600209002</v>
      </c>
      <c r="B910" s="317" t="s">
        <v>45280</v>
      </c>
      <c r="C910" s="330" t="s">
        <v>6367</v>
      </c>
      <c r="D910" s="330" t="s">
        <v>6368</v>
      </c>
      <c r="E910" s="330" t="s">
        <v>4634</v>
      </c>
      <c r="F910" s="331">
        <v>0.21</v>
      </c>
      <c r="G910" s="332">
        <v>584</v>
      </c>
      <c r="H910" s="333">
        <v>707</v>
      </c>
    </row>
    <row r="911" spans="1:8">
      <c r="A911" s="317">
        <v>1600209003</v>
      </c>
      <c r="B911" s="317" t="s">
        <v>45281</v>
      </c>
      <c r="C911" s="330" t="s">
        <v>6369</v>
      </c>
      <c r="D911" s="330" t="s">
        <v>6370</v>
      </c>
      <c r="E911" s="330" t="s">
        <v>4634</v>
      </c>
      <c r="F911" s="331">
        <v>0.21</v>
      </c>
      <c r="G911" s="332">
        <v>1479</v>
      </c>
      <c r="H911" s="333">
        <v>1790</v>
      </c>
    </row>
    <row r="912" spans="1:8">
      <c r="A912" s="317">
        <v>1600209004</v>
      </c>
      <c r="B912" s="317" t="s">
        <v>45282</v>
      </c>
      <c r="C912" s="330" t="s">
        <v>6371</v>
      </c>
      <c r="D912" s="330" t="s">
        <v>6372</v>
      </c>
      <c r="E912" s="330" t="s">
        <v>4634</v>
      </c>
      <c r="F912" s="331">
        <v>0.21</v>
      </c>
      <c r="G912" s="332">
        <v>570</v>
      </c>
      <c r="H912" s="333">
        <v>690</v>
      </c>
    </row>
    <row r="913" spans="1:8">
      <c r="A913" s="317">
        <v>1600209006</v>
      </c>
      <c r="B913" s="317" t="s">
        <v>45283</v>
      </c>
      <c r="C913" s="330" t="s">
        <v>6373</v>
      </c>
      <c r="D913" s="330" t="s">
        <v>6374</v>
      </c>
      <c r="E913" s="330" t="s">
        <v>4634</v>
      </c>
      <c r="F913" s="331">
        <v>0.21</v>
      </c>
      <c r="G913" s="332">
        <v>455</v>
      </c>
      <c r="H913" s="333">
        <v>551</v>
      </c>
    </row>
    <row r="914" spans="1:8">
      <c r="A914" s="317">
        <v>1600209009</v>
      </c>
      <c r="B914" s="317" t="s">
        <v>45284</v>
      </c>
      <c r="C914" s="330" t="s">
        <v>6375</v>
      </c>
      <c r="D914" s="330" t="s">
        <v>6376</v>
      </c>
      <c r="E914" s="330" t="s">
        <v>4634</v>
      </c>
      <c r="F914" s="331">
        <v>0.21</v>
      </c>
      <c r="G914" s="332">
        <v>928</v>
      </c>
      <c r="H914" s="333">
        <v>1123</v>
      </c>
    </row>
    <row r="915" spans="1:8">
      <c r="A915" s="317">
        <v>1600209012</v>
      </c>
      <c r="B915" s="317" t="s">
        <v>45285</v>
      </c>
      <c r="C915" s="330" t="s">
        <v>6377</v>
      </c>
      <c r="D915" s="330" t="s">
        <v>6378</v>
      </c>
      <c r="E915" s="330" t="s">
        <v>4634</v>
      </c>
      <c r="F915" s="331">
        <v>0.21</v>
      </c>
      <c r="G915" s="332">
        <v>339</v>
      </c>
      <c r="H915" s="333">
        <v>411</v>
      </c>
    </row>
    <row r="916" spans="1:8">
      <c r="A916" s="317">
        <v>1600209015</v>
      </c>
      <c r="B916" s="317" t="s">
        <v>45286</v>
      </c>
      <c r="C916" s="330" t="s">
        <v>6379</v>
      </c>
      <c r="D916" s="330" t="s">
        <v>6380</v>
      </c>
      <c r="E916" s="330" t="s">
        <v>4634</v>
      </c>
      <c r="F916" s="331">
        <v>0.21</v>
      </c>
      <c r="G916" s="332">
        <v>274</v>
      </c>
      <c r="H916" s="333">
        <v>332</v>
      </c>
    </row>
    <row r="917" spans="1:8">
      <c r="A917" s="317">
        <v>1600210004</v>
      </c>
      <c r="B917" s="317" t="s">
        <v>45287</v>
      </c>
      <c r="C917" s="330" t="s">
        <v>6381</v>
      </c>
      <c r="D917" s="330" t="s">
        <v>6382</v>
      </c>
      <c r="E917" s="330" t="s">
        <v>4634</v>
      </c>
      <c r="F917" s="331">
        <v>0.21</v>
      </c>
      <c r="G917" s="332">
        <v>372</v>
      </c>
      <c r="H917" s="333">
        <v>451</v>
      </c>
    </row>
    <row r="918" spans="1:8">
      <c r="A918" s="317">
        <v>1600210005</v>
      </c>
      <c r="B918" s="317" t="s">
        <v>45288</v>
      </c>
      <c r="C918" s="330" t="s">
        <v>6383</v>
      </c>
      <c r="D918" s="330" t="s">
        <v>6384</v>
      </c>
      <c r="E918" s="330" t="s">
        <v>37248</v>
      </c>
      <c r="F918" s="331">
        <v>0.21</v>
      </c>
      <c r="G918" s="332">
        <v>2388</v>
      </c>
      <c r="H918" s="333">
        <v>2890</v>
      </c>
    </row>
    <row r="919" spans="1:8">
      <c r="A919" s="317">
        <v>1600210014</v>
      </c>
      <c r="B919" s="317" t="s">
        <v>45289</v>
      </c>
      <c r="C919" s="330" t="s">
        <v>6385</v>
      </c>
      <c r="D919" s="330" t="s">
        <v>6259</v>
      </c>
      <c r="E919" s="330" t="s">
        <v>4634</v>
      </c>
      <c r="F919" s="331">
        <v>0.21</v>
      </c>
      <c r="G919" s="332">
        <v>678</v>
      </c>
      <c r="H919" s="333">
        <v>821</v>
      </c>
    </row>
    <row r="920" spans="1:8">
      <c r="A920" s="317">
        <v>1600210033</v>
      </c>
      <c r="B920" s="317" t="s">
        <v>45290</v>
      </c>
      <c r="C920" s="330" t="s">
        <v>6386</v>
      </c>
      <c r="D920" s="330" t="s">
        <v>6387</v>
      </c>
      <c r="E920" s="330" t="s">
        <v>37248</v>
      </c>
      <c r="F920" s="331">
        <v>0.21</v>
      </c>
      <c r="G920" s="332">
        <v>2873</v>
      </c>
      <c r="H920" s="333">
        <v>3477</v>
      </c>
    </row>
    <row r="921" spans="1:8">
      <c r="A921" s="317">
        <v>1600210034</v>
      </c>
      <c r="B921" s="317" t="s">
        <v>45291</v>
      </c>
      <c r="C921" s="330" t="s">
        <v>6388</v>
      </c>
      <c r="D921" s="330" t="s">
        <v>6389</v>
      </c>
      <c r="E921" s="330" t="s">
        <v>37248</v>
      </c>
      <c r="F921" s="331">
        <v>0.21</v>
      </c>
      <c r="G921" s="332">
        <v>2634</v>
      </c>
      <c r="H921" s="333">
        <v>3188</v>
      </c>
    </row>
    <row r="922" spans="1:8">
      <c r="A922" s="317">
        <v>1600210035</v>
      </c>
      <c r="B922" s="317" t="s">
        <v>45292</v>
      </c>
      <c r="C922" s="330" t="s">
        <v>6390</v>
      </c>
      <c r="D922" s="330" t="s">
        <v>4814</v>
      </c>
      <c r="E922" s="330" t="s">
        <v>37248</v>
      </c>
      <c r="F922" s="331">
        <v>0.21</v>
      </c>
      <c r="G922" s="332">
        <v>2596</v>
      </c>
      <c r="H922" s="333">
        <v>3142</v>
      </c>
    </row>
    <row r="923" spans="1:8">
      <c r="A923" s="317">
        <v>1600210037</v>
      </c>
      <c r="B923" s="317" t="s">
        <v>45293</v>
      </c>
      <c r="C923" s="330" t="s">
        <v>6391</v>
      </c>
      <c r="D923" s="330" t="s">
        <v>6392</v>
      </c>
      <c r="E923" s="330" t="s">
        <v>4634</v>
      </c>
      <c r="F923" s="331">
        <v>0.21</v>
      </c>
      <c r="G923" s="332">
        <v>285</v>
      </c>
      <c r="H923" s="333">
        <v>345</v>
      </c>
    </row>
    <row r="924" spans="1:8">
      <c r="A924" s="317">
        <v>1600210038</v>
      </c>
      <c r="B924" s="317" t="s">
        <v>45294</v>
      </c>
      <c r="C924" s="330" t="s">
        <v>6393</v>
      </c>
      <c r="D924" s="330" t="s">
        <v>4830</v>
      </c>
      <c r="E924" s="330" t="s">
        <v>37248</v>
      </c>
      <c r="F924" s="331">
        <v>0.21</v>
      </c>
      <c r="G924" s="332">
        <v>2755</v>
      </c>
      <c r="H924" s="333">
        <v>3334</v>
      </c>
    </row>
    <row r="925" spans="1:8">
      <c r="A925" s="317">
        <v>1600210039</v>
      </c>
      <c r="B925" s="317" t="s">
        <v>45295</v>
      </c>
      <c r="C925" s="330" t="s">
        <v>6394</v>
      </c>
      <c r="D925" s="330" t="s">
        <v>4814</v>
      </c>
      <c r="E925" s="330" t="s">
        <v>37248</v>
      </c>
      <c r="F925" s="331">
        <v>0.21</v>
      </c>
      <c r="G925" s="332">
        <v>2743</v>
      </c>
      <c r="H925" s="333">
        <v>3320</v>
      </c>
    </row>
    <row r="926" spans="1:8">
      <c r="A926" s="317">
        <v>1600210041</v>
      </c>
      <c r="B926" s="317" t="s">
        <v>45296</v>
      </c>
      <c r="C926" s="330" t="s">
        <v>6395</v>
      </c>
      <c r="D926" s="330" t="s">
        <v>6396</v>
      </c>
      <c r="E926" s="330" t="s">
        <v>37248</v>
      </c>
      <c r="F926" s="331">
        <v>0.21</v>
      </c>
      <c r="G926" s="332">
        <v>3263</v>
      </c>
      <c r="H926" s="333">
        <v>3949</v>
      </c>
    </row>
    <row r="927" spans="1:8">
      <c r="A927" s="317">
        <v>1600210044</v>
      </c>
      <c r="B927" s="317" t="s">
        <v>45297</v>
      </c>
      <c r="C927" s="330" t="s">
        <v>6397</v>
      </c>
      <c r="D927" s="330" t="s">
        <v>4814</v>
      </c>
      <c r="E927" s="330" t="s">
        <v>37248</v>
      </c>
      <c r="F927" s="331">
        <v>0.21</v>
      </c>
      <c r="G927" s="332">
        <v>1985</v>
      </c>
      <c r="H927" s="333">
        <v>2402</v>
      </c>
    </row>
    <row r="928" spans="1:8">
      <c r="A928" s="317">
        <v>1600210045</v>
      </c>
      <c r="B928" s="317" t="s">
        <v>45298</v>
      </c>
      <c r="C928" s="330" t="s">
        <v>6398</v>
      </c>
      <c r="D928" s="330" t="s">
        <v>4818</v>
      </c>
      <c r="E928" s="330" t="s">
        <v>4819</v>
      </c>
      <c r="F928" s="331">
        <v>0.21</v>
      </c>
      <c r="G928" s="332">
        <v>658</v>
      </c>
      <c r="H928" s="333">
        <v>797</v>
      </c>
    </row>
    <row r="929" spans="1:8">
      <c r="A929" s="317">
        <v>1600210047</v>
      </c>
      <c r="B929" s="317" t="s">
        <v>45299</v>
      </c>
      <c r="C929" s="330" t="s">
        <v>6399</v>
      </c>
      <c r="D929" s="330" t="s">
        <v>6400</v>
      </c>
      <c r="E929" s="330" t="s">
        <v>4634</v>
      </c>
      <c r="F929" s="331">
        <v>0.21</v>
      </c>
      <c r="G929" s="332">
        <v>274</v>
      </c>
      <c r="H929" s="333">
        <v>332</v>
      </c>
    </row>
    <row r="930" spans="1:8">
      <c r="A930" s="317">
        <v>1600210049</v>
      </c>
      <c r="B930" s="317" t="s">
        <v>45300</v>
      </c>
      <c r="C930" s="330" t="s">
        <v>6401</v>
      </c>
      <c r="D930" s="330" t="s">
        <v>6400</v>
      </c>
      <c r="E930" s="330" t="s">
        <v>4634</v>
      </c>
      <c r="F930" s="331">
        <v>0.21</v>
      </c>
      <c r="G930" s="332">
        <v>274</v>
      </c>
      <c r="H930" s="333">
        <v>332</v>
      </c>
    </row>
    <row r="931" spans="1:8">
      <c r="A931" s="317">
        <v>1600210050</v>
      </c>
      <c r="B931" s="317" t="s">
        <v>45301</v>
      </c>
      <c r="C931" s="330" t="s">
        <v>6402</v>
      </c>
      <c r="D931" s="330" t="s">
        <v>6400</v>
      </c>
      <c r="E931" s="330" t="s">
        <v>4634</v>
      </c>
      <c r="F931" s="331">
        <v>0.21</v>
      </c>
      <c r="G931" s="332">
        <v>3283</v>
      </c>
      <c r="H931" s="333">
        <v>3973</v>
      </c>
    </row>
    <row r="932" spans="1:8">
      <c r="A932" s="317">
        <v>1600210055</v>
      </c>
      <c r="B932" s="317" t="s">
        <v>45302</v>
      </c>
      <c r="C932" s="330" t="s">
        <v>6403</v>
      </c>
      <c r="D932" s="330" t="s">
        <v>4814</v>
      </c>
      <c r="E932" s="330" t="s">
        <v>4634</v>
      </c>
      <c r="F932" s="331">
        <v>0.21</v>
      </c>
      <c r="G932" s="332">
        <v>1148</v>
      </c>
      <c r="H932" s="333">
        <v>1390</v>
      </c>
    </row>
    <row r="933" spans="1:8">
      <c r="A933" s="317" t="s">
        <v>37671</v>
      </c>
      <c r="B933" s="317" t="s">
        <v>45303</v>
      </c>
      <c r="C933" s="330" t="s">
        <v>6404</v>
      </c>
      <c r="D933" s="330" t="s">
        <v>6405</v>
      </c>
      <c r="E933" s="330" t="s">
        <v>37248</v>
      </c>
      <c r="F933" s="331">
        <v>0.21</v>
      </c>
      <c r="G933" s="332">
        <v>1224</v>
      </c>
      <c r="H933" s="333">
        <v>1482</v>
      </c>
    </row>
    <row r="934" spans="1:8">
      <c r="A934" s="317" t="s">
        <v>37672</v>
      </c>
      <c r="B934" s="317" t="s">
        <v>45304</v>
      </c>
      <c r="C934" s="330" t="s">
        <v>6406</v>
      </c>
      <c r="D934" s="330" t="s">
        <v>4814</v>
      </c>
      <c r="E934" s="330" t="s">
        <v>4623</v>
      </c>
      <c r="F934" s="331">
        <v>0.21</v>
      </c>
      <c r="G934" s="332">
        <v>1344</v>
      </c>
      <c r="H934" s="333">
        <v>1627</v>
      </c>
    </row>
    <row r="935" spans="1:8">
      <c r="A935" s="317" t="s">
        <v>37673</v>
      </c>
      <c r="B935" s="317" t="s">
        <v>45305</v>
      </c>
      <c r="C935" s="330" t="s">
        <v>6407</v>
      </c>
      <c r="D935" s="330" t="s">
        <v>6408</v>
      </c>
      <c r="E935" s="330" t="s">
        <v>37248</v>
      </c>
      <c r="F935" s="331">
        <v>0.21</v>
      </c>
      <c r="G935" s="332">
        <v>454</v>
      </c>
      <c r="H935" s="333">
        <v>550</v>
      </c>
    </row>
    <row r="936" spans="1:8">
      <c r="A936" s="317">
        <v>1600210060</v>
      </c>
      <c r="B936" s="317" t="s">
        <v>45306</v>
      </c>
      <c r="C936" s="330" t="s">
        <v>6409</v>
      </c>
      <c r="D936" s="330" t="s">
        <v>4814</v>
      </c>
      <c r="E936" s="330" t="s">
        <v>37248</v>
      </c>
      <c r="F936" s="331">
        <v>0.21</v>
      </c>
      <c r="G936" s="332">
        <v>454</v>
      </c>
      <c r="H936" s="333">
        <v>550</v>
      </c>
    </row>
    <row r="937" spans="1:8">
      <c r="A937" s="317" t="s">
        <v>37674</v>
      </c>
      <c r="B937" s="317" t="s">
        <v>45307</v>
      </c>
      <c r="C937" s="330" t="s">
        <v>6410</v>
      </c>
      <c r="D937" s="330" t="s">
        <v>6411</v>
      </c>
      <c r="E937" s="330" t="s">
        <v>4819</v>
      </c>
      <c r="F937" s="331">
        <v>0.21</v>
      </c>
      <c r="G937" s="332">
        <v>292</v>
      </c>
      <c r="H937" s="333">
        <v>354</v>
      </c>
    </row>
    <row r="938" spans="1:8">
      <c r="A938" s="317" t="s">
        <v>37675</v>
      </c>
      <c r="B938" s="317" t="s">
        <v>45308</v>
      </c>
      <c r="C938" s="330" t="s">
        <v>6412</v>
      </c>
      <c r="D938" s="330" t="s">
        <v>6413</v>
      </c>
      <c r="E938" s="330" t="s">
        <v>37248</v>
      </c>
      <c r="F938" s="331">
        <v>0.21</v>
      </c>
      <c r="G938" s="332">
        <v>2705</v>
      </c>
      <c r="H938" s="333">
        <v>3274</v>
      </c>
    </row>
    <row r="939" spans="1:8">
      <c r="A939" s="317">
        <v>1600210094</v>
      </c>
      <c r="B939" s="317" t="s">
        <v>45309</v>
      </c>
      <c r="C939" s="330" t="s">
        <v>6414</v>
      </c>
      <c r="D939" s="330" t="s">
        <v>4814</v>
      </c>
      <c r="E939" s="330" t="s">
        <v>37248</v>
      </c>
      <c r="F939" s="331">
        <v>0.21</v>
      </c>
      <c r="G939" s="332">
        <v>305</v>
      </c>
      <c r="H939" s="333">
        <v>370</v>
      </c>
    </row>
    <row r="940" spans="1:8">
      <c r="A940" s="317">
        <v>1600210096</v>
      </c>
      <c r="B940" s="317" t="s">
        <v>45310</v>
      </c>
      <c r="C940" s="330" t="s">
        <v>6415</v>
      </c>
      <c r="D940" s="330" t="s">
        <v>4814</v>
      </c>
      <c r="E940" s="330" t="s">
        <v>37248</v>
      </c>
      <c r="F940" s="331">
        <v>0.21</v>
      </c>
      <c r="G940" s="332">
        <v>1344</v>
      </c>
      <c r="H940" s="333">
        <v>1627</v>
      </c>
    </row>
    <row r="941" spans="1:8">
      <c r="A941" s="317" t="s">
        <v>37676</v>
      </c>
      <c r="B941" s="317" t="s">
        <v>45311</v>
      </c>
      <c r="C941" s="330" t="s">
        <v>6416</v>
      </c>
      <c r="D941" s="330" t="s">
        <v>4818</v>
      </c>
      <c r="E941" s="330" t="s">
        <v>37248</v>
      </c>
      <c r="F941" s="331">
        <v>0.21</v>
      </c>
      <c r="G941" s="332">
        <v>515</v>
      </c>
      <c r="H941" s="333">
        <v>624</v>
      </c>
    </row>
    <row r="942" spans="1:8">
      <c r="A942" s="317">
        <v>1600210246</v>
      </c>
      <c r="B942" s="317" t="s">
        <v>45312</v>
      </c>
      <c r="C942" s="330" t="s">
        <v>6417</v>
      </c>
      <c r="D942" s="330" t="s">
        <v>6418</v>
      </c>
      <c r="E942" s="330" t="s">
        <v>4819</v>
      </c>
      <c r="F942" s="331">
        <v>0.21</v>
      </c>
      <c r="G942" s="332">
        <v>910</v>
      </c>
      <c r="H942" s="333">
        <v>1102</v>
      </c>
    </row>
    <row r="943" spans="1:8">
      <c r="A943" s="317">
        <v>1600210253</v>
      </c>
      <c r="B943" s="317" t="s">
        <v>45313</v>
      </c>
      <c r="C943" s="330" t="s">
        <v>6419</v>
      </c>
      <c r="D943" s="330" t="s">
        <v>4818</v>
      </c>
      <c r="E943" s="330" t="s">
        <v>37248</v>
      </c>
      <c r="F943" s="331">
        <v>0.21</v>
      </c>
      <c r="G943" s="332">
        <v>2272</v>
      </c>
      <c r="H943" s="333">
        <v>2750</v>
      </c>
    </row>
    <row r="944" spans="1:8">
      <c r="A944" s="317">
        <v>1600220029</v>
      </c>
      <c r="B944" s="317" t="s">
        <v>45314</v>
      </c>
      <c r="C944" s="330" t="s">
        <v>6420</v>
      </c>
      <c r="D944" s="330" t="s">
        <v>6421</v>
      </c>
      <c r="E944" s="330" t="s">
        <v>37248</v>
      </c>
      <c r="F944" s="331">
        <v>0.21</v>
      </c>
      <c r="G944" s="332">
        <v>2478</v>
      </c>
      <c r="H944" s="333">
        <v>2999</v>
      </c>
    </row>
    <row r="945" spans="1:8">
      <c r="A945" s="317" t="s">
        <v>37677</v>
      </c>
      <c r="B945" s="317" t="s">
        <v>45315</v>
      </c>
      <c r="C945" s="330" t="s">
        <v>6422</v>
      </c>
      <c r="D945" s="330" t="s">
        <v>6423</v>
      </c>
      <c r="E945" s="330" t="s">
        <v>4819</v>
      </c>
      <c r="F945" s="331">
        <v>0.21</v>
      </c>
      <c r="G945" s="332">
        <v>675</v>
      </c>
      <c r="H945" s="333">
        <v>817</v>
      </c>
    </row>
    <row r="946" spans="1:8">
      <c r="A946" s="317">
        <v>1600221003</v>
      </c>
      <c r="B946" s="317" t="s">
        <v>45316</v>
      </c>
      <c r="C946" s="330" t="s">
        <v>6424</v>
      </c>
      <c r="D946" s="330" t="s">
        <v>6425</v>
      </c>
      <c r="E946" s="330" t="s">
        <v>4819</v>
      </c>
      <c r="F946" s="331">
        <v>0.21</v>
      </c>
      <c r="G946" s="332">
        <v>2328</v>
      </c>
      <c r="H946" s="333">
        <v>2817</v>
      </c>
    </row>
    <row r="947" spans="1:8">
      <c r="A947" s="317">
        <v>1600224025</v>
      </c>
      <c r="B947" s="317" t="s">
        <v>45317</v>
      </c>
      <c r="C947" s="330" t="s">
        <v>6426</v>
      </c>
      <c r="D947" s="330" t="s">
        <v>6427</v>
      </c>
      <c r="E947" s="330" t="s">
        <v>4819</v>
      </c>
      <c r="F947" s="331">
        <v>0.21</v>
      </c>
      <c r="G947" s="332">
        <v>671</v>
      </c>
      <c r="H947" s="333">
        <v>812</v>
      </c>
    </row>
    <row r="948" spans="1:8">
      <c r="A948" s="317">
        <v>1600283003</v>
      </c>
      <c r="B948" s="317" t="s">
        <v>45318</v>
      </c>
      <c r="C948" s="330" t="s">
        <v>6428</v>
      </c>
      <c r="D948" s="330" t="s">
        <v>6429</v>
      </c>
      <c r="E948" s="330" t="s">
        <v>4634</v>
      </c>
      <c r="F948" s="331">
        <v>0.21</v>
      </c>
      <c r="G948" s="332">
        <v>816</v>
      </c>
      <c r="H948" s="333">
        <v>988</v>
      </c>
    </row>
    <row r="949" spans="1:8">
      <c r="A949" s="317">
        <v>1600283004</v>
      </c>
      <c r="B949" s="317" t="s">
        <v>45319</v>
      </c>
      <c r="C949" s="330" t="s">
        <v>6430</v>
      </c>
      <c r="D949" s="330" t="s">
        <v>6431</v>
      </c>
      <c r="E949" s="330" t="s">
        <v>4634</v>
      </c>
      <c r="F949" s="331">
        <v>0.21</v>
      </c>
      <c r="G949" s="332">
        <v>1479</v>
      </c>
      <c r="H949" s="333">
        <v>1790</v>
      </c>
    </row>
    <row r="950" spans="1:8">
      <c r="A950" s="317">
        <v>1600290007</v>
      </c>
      <c r="B950" s="317" t="s">
        <v>45320</v>
      </c>
      <c r="C950" s="330" t="s">
        <v>6432</v>
      </c>
      <c r="D950" s="330" t="s">
        <v>6332</v>
      </c>
      <c r="E950" s="330" t="s">
        <v>4634</v>
      </c>
      <c r="F950" s="331">
        <v>0.21</v>
      </c>
      <c r="G950" s="332">
        <v>455</v>
      </c>
      <c r="H950" s="333">
        <v>551</v>
      </c>
    </row>
    <row r="951" spans="1:8">
      <c r="A951" s="317">
        <v>1600290008</v>
      </c>
      <c r="B951" s="317" t="s">
        <v>45321</v>
      </c>
      <c r="C951" s="330" t="s">
        <v>6433</v>
      </c>
      <c r="D951" s="330" t="s">
        <v>6434</v>
      </c>
      <c r="E951" s="330" t="s">
        <v>4634</v>
      </c>
      <c r="F951" s="331">
        <v>0.21</v>
      </c>
      <c r="G951" s="332">
        <v>791</v>
      </c>
      <c r="H951" s="333">
        <v>958</v>
      </c>
    </row>
    <row r="952" spans="1:8">
      <c r="A952" s="317">
        <v>1600290012</v>
      </c>
      <c r="B952" s="317" t="s">
        <v>45322</v>
      </c>
      <c r="C952" s="330" t="s">
        <v>6435</v>
      </c>
      <c r="D952" s="330" t="s">
        <v>6436</v>
      </c>
      <c r="E952" s="330" t="s">
        <v>4634</v>
      </c>
      <c r="F952" s="331">
        <v>0.21</v>
      </c>
      <c r="G952" s="332">
        <v>274</v>
      </c>
      <c r="H952" s="333">
        <v>332</v>
      </c>
    </row>
    <row r="953" spans="1:8">
      <c r="A953" s="317">
        <v>1600290013</v>
      </c>
      <c r="B953" s="317" t="s">
        <v>45323</v>
      </c>
      <c r="C953" s="330" t="s">
        <v>6437</v>
      </c>
      <c r="D953" s="330" t="s">
        <v>6438</v>
      </c>
      <c r="E953" s="330" t="s">
        <v>37248</v>
      </c>
      <c r="F953" s="331">
        <v>0.21</v>
      </c>
      <c r="G953" s="332">
        <v>4367</v>
      </c>
      <c r="H953" s="333">
        <v>5285</v>
      </c>
    </row>
    <row r="954" spans="1:8">
      <c r="A954" s="317">
        <v>1600290016</v>
      </c>
      <c r="B954" s="317" t="s">
        <v>45324</v>
      </c>
      <c r="C954" s="330" t="s">
        <v>6439</v>
      </c>
      <c r="D954" s="330" t="s">
        <v>6440</v>
      </c>
      <c r="E954" s="330" t="s">
        <v>37248</v>
      </c>
      <c r="F954" s="331">
        <v>0.21</v>
      </c>
      <c r="G954" s="332">
        <v>3013</v>
      </c>
      <c r="H954" s="333">
        <v>3646</v>
      </c>
    </row>
    <row r="955" spans="1:8">
      <c r="A955" s="317">
        <v>1600290018</v>
      </c>
      <c r="B955" s="317" t="s">
        <v>45325</v>
      </c>
      <c r="C955" s="330" t="s">
        <v>6441</v>
      </c>
      <c r="D955" s="330" t="s">
        <v>6442</v>
      </c>
      <c r="E955" s="330" t="s">
        <v>37248</v>
      </c>
      <c r="F955" s="331">
        <v>0.21</v>
      </c>
      <c r="G955" s="332">
        <v>3731</v>
      </c>
      <c r="H955" s="333">
        <v>4515</v>
      </c>
    </row>
    <row r="956" spans="1:8">
      <c r="A956" s="317">
        <v>1600290019</v>
      </c>
      <c r="B956" s="317" t="s">
        <v>45326</v>
      </c>
      <c r="C956" s="330" t="s">
        <v>6443</v>
      </c>
      <c r="D956" s="330" t="s">
        <v>6444</v>
      </c>
      <c r="E956" s="330" t="s">
        <v>37248</v>
      </c>
      <c r="F956" s="331">
        <v>0.21</v>
      </c>
      <c r="G956" s="332">
        <v>1701</v>
      </c>
      <c r="H956" s="333">
        <v>2059</v>
      </c>
    </row>
    <row r="957" spans="1:8">
      <c r="A957" s="317">
        <v>1600290020</v>
      </c>
      <c r="B957" s="317" t="s">
        <v>45327</v>
      </c>
      <c r="C957" s="330" t="s">
        <v>6445</v>
      </c>
      <c r="D957" s="330" t="s">
        <v>6446</v>
      </c>
      <c r="E957" s="330" t="s">
        <v>4819</v>
      </c>
      <c r="F957" s="331">
        <v>0.21</v>
      </c>
      <c r="G957" s="332">
        <v>1815</v>
      </c>
      <c r="H957" s="333">
        <v>2197</v>
      </c>
    </row>
    <row r="958" spans="1:8">
      <c r="A958" s="317">
        <v>1600290050</v>
      </c>
      <c r="B958" s="317" t="s">
        <v>45328</v>
      </c>
      <c r="C958" s="330" t="s">
        <v>6447</v>
      </c>
      <c r="D958" s="330" t="s">
        <v>6448</v>
      </c>
      <c r="E958" s="330" t="s">
        <v>4634</v>
      </c>
      <c r="F958" s="331">
        <v>0.21</v>
      </c>
      <c r="G958" s="332">
        <v>1222</v>
      </c>
      <c r="H958" s="333">
        <v>1479</v>
      </c>
    </row>
    <row r="959" spans="1:8">
      <c r="A959" s="317">
        <v>1600290051</v>
      </c>
      <c r="B959" s="317" t="s">
        <v>45329</v>
      </c>
      <c r="C959" s="330" t="s">
        <v>6449</v>
      </c>
      <c r="D959" s="330" t="s">
        <v>6450</v>
      </c>
      <c r="E959" s="330" t="s">
        <v>4634</v>
      </c>
      <c r="F959" s="331">
        <v>0.21</v>
      </c>
      <c r="G959" s="332">
        <v>791</v>
      </c>
      <c r="H959" s="333">
        <v>958</v>
      </c>
    </row>
    <row r="960" spans="1:8">
      <c r="A960" s="317">
        <v>1600290057</v>
      </c>
      <c r="B960" s="317" t="s">
        <v>45330</v>
      </c>
      <c r="C960" s="330" t="s">
        <v>6451</v>
      </c>
      <c r="D960" s="330" t="s">
        <v>6452</v>
      </c>
      <c r="E960" s="330" t="s">
        <v>4819</v>
      </c>
      <c r="F960" s="331">
        <v>0.21</v>
      </c>
      <c r="G960" s="332">
        <v>30324</v>
      </c>
      <c r="H960" s="333">
        <v>36693</v>
      </c>
    </row>
    <row r="961" spans="1:8">
      <c r="A961" s="317">
        <v>1600290060</v>
      </c>
      <c r="B961" s="317" t="s">
        <v>45331</v>
      </c>
      <c r="C961" s="330" t="s">
        <v>6453</v>
      </c>
      <c r="D961" s="330" t="s">
        <v>6454</v>
      </c>
      <c r="E961" s="330" t="s">
        <v>37248</v>
      </c>
      <c r="F961" s="331">
        <v>0.21</v>
      </c>
      <c r="G961" s="332">
        <v>19989</v>
      </c>
      <c r="H961" s="333">
        <v>24187</v>
      </c>
    </row>
    <row r="962" spans="1:8">
      <c r="A962" s="317">
        <v>1600290064</v>
      </c>
      <c r="B962" s="317" t="s">
        <v>45332</v>
      </c>
      <c r="C962" s="330" t="s">
        <v>6455</v>
      </c>
      <c r="D962" s="330" t="s">
        <v>6456</v>
      </c>
      <c r="E962" s="330" t="s">
        <v>37248</v>
      </c>
      <c r="F962" s="331">
        <v>0.21</v>
      </c>
      <c r="G962" s="332">
        <v>1945</v>
      </c>
      <c r="H962" s="333">
        <v>2354</v>
      </c>
    </row>
    <row r="963" spans="1:8">
      <c r="A963" s="317">
        <v>1600300028</v>
      </c>
      <c r="B963" s="317" t="s">
        <v>45333</v>
      </c>
      <c r="C963" s="330" t="s">
        <v>6457</v>
      </c>
      <c r="D963" s="330" t="s">
        <v>6458</v>
      </c>
      <c r="E963" s="330" t="s">
        <v>4634</v>
      </c>
      <c r="F963" s="331">
        <v>0.21</v>
      </c>
      <c r="G963" s="332">
        <v>191</v>
      </c>
      <c r="H963" s="333">
        <v>232</v>
      </c>
    </row>
    <row r="964" spans="1:8">
      <c r="A964" s="317">
        <v>1600300090</v>
      </c>
      <c r="B964" s="317" t="s">
        <v>45334</v>
      </c>
      <c r="C964" s="330" t="s">
        <v>6459</v>
      </c>
      <c r="D964" s="330" t="s">
        <v>6460</v>
      </c>
      <c r="E964" s="330" t="s">
        <v>4819</v>
      </c>
      <c r="F964" s="331">
        <v>0.21</v>
      </c>
      <c r="G964" s="332">
        <v>1487</v>
      </c>
      <c r="H964" s="333">
        <v>1800</v>
      </c>
    </row>
    <row r="965" spans="1:8">
      <c r="A965" s="317">
        <v>1600300096</v>
      </c>
      <c r="B965" s="317" t="s">
        <v>45335</v>
      </c>
      <c r="C965" s="330" t="s">
        <v>6461</v>
      </c>
      <c r="D965" s="330" t="s">
        <v>6462</v>
      </c>
      <c r="E965" s="330" t="s">
        <v>4634</v>
      </c>
      <c r="F965" s="331">
        <v>0.21</v>
      </c>
      <c r="G965" s="332">
        <v>372</v>
      </c>
      <c r="H965" s="333">
        <v>451</v>
      </c>
    </row>
    <row r="966" spans="1:8">
      <c r="A966" s="317" t="s">
        <v>37678</v>
      </c>
      <c r="B966" s="317" t="s">
        <v>45336</v>
      </c>
      <c r="C966" s="330" t="s">
        <v>6463</v>
      </c>
      <c r="D966" s="330" t="s">
        <v>6464</v>
      </c>
      <c r="E966" s="330" t="s">
        <v>37248</v>
      </c>
      <c r="F966" s="331">
        <v>0.21</v>
      </c>
      <c r="G966" s="332">
        <v>1601</v>
      </c>
      <c r="H966" s="333">
        <v>1938</v>
      </c>
    </row>
    <row r="967" spans="1:8">
      <c r="A967" s="317" t="s">
        <v>37679</v>
      </c>
      <c r="B967" s="317" t="s">
        <v>45337</v>
      </c>
      <c r="C967" s="330" t="s">
        <v>6465</v>
      </c>
      <c r="D967" s="330" t="s">
        <v>6466</v>
      </c>
      <c r="E967" s="330" t="s">
        <v>4819</v>
      </c>
      <c r="F967" s="331">
        <v>0.21</v>
      </c>
      <c r="G967" s="332">
        <v>675</v>
      </c>
      <c r="H967" s="333">
        <v>817</v>
      </c>
    </row>
    <row r="968" spans="1:8">
      <c r="A968" s="317">
        <v>1600300112</v>
      </c>
      <c r="B968" s="317" t="s">
        <v>45338</v>
      </c>
      <c r="C968" s="330" t="s">
        <v>6467</v>
      </c>
      <c r="D968" s="330" t="s">
        <v>6468</v>
      </c>
      <c r="E968" s="330" t="s">
        <v>37248</v>
      </c>
      <c r="F968" s="331">
        <v>0.21</v>
      </c>
      <c r="G968" s="332">
        <v>7461</v>
      </c>
      <c r="H968" s="333">
        <v>9028</v>
      </c>
    </row>
    <row r="969" spans="1:8">
      <c r="A969" s="317" t="s">
        <v>37680</v>
      </c>
      <c r="B969" s="317" t="s">
        <v>45339</v>
      </c>
      <c r="C969" s="330" t="s">
        <v>6469</v>
      </c>
      <c r="D969" s="330" t="s">
        <v>6470</v>
      </c>
      <c r="E969" s="330" t="s">
        <v>37248</v>
      </c>
      <c r="F969" s="331">
        <v>0.21</v>
      </c>
      <c r="G969" s="332">
        <v>689</v>
      </c>
      <c r="H969" s="333">
        <v>834</v>
      </c>
    </row>
    <row r="970" spans="1:8">
      <c r="A970" s="317" t="s">
        <v>37681</v>
      </c>
      <c r="B970" s="317" t="s">
        <v>45340</v>
      </c>
      <c r="C970" s="330" t="s">
        <v>6471</v>
      </c>
      <c r="D970" s="330" t="s">
        <v>6472</v>
      </c>
      <c r="E970" s="330" t="s">
        <v>37248</v>
      </c>
      <c r="F970" s="331">
        <v>0.21</v>
      </c>
      <c r="G970" s="332">
        <v>3259</v>
      </c>
      <c r="H970" s="333">
        <v>3944</v>
      </c>
    </row>
    <row r="971" spans="1:8">
      <c r="A971" s="317">
        <v>1600301011</v>
      </c>
      <c r="B971" s="317" t="s">
        <v>45341</v>
      </c>
      <c r="C971" s="330" t="s">
        <v>6473</v>
      </c>
      <c r="D971" s="330" t="s">
        <v>6474</v>
      </c>
      <c r="E971" s="330" t="s">
        <v>4634</v>
      </c>
      <c r="F971" s="331">
        <v>0.21</v>
      </c>
      <c r="G971" s="332">
        <v>236</v>
      </c>
      <c r="H971" s="333">
        <v>286</v>
      </c>
    </row>
    <row r="972" spans="1:8">
      <c r="A972" s="317">
        <v>1600301900</v>
      </c>
      <c r="B972" s="317" t="s">
        <v>45342</v>
      </c>
      <c r="C972" s="330" t="s">
        <v>6475</v>
      </c>
      <c r="D972" s="330" t="s">
        <v>6476</v>
      </c>
      <c r="E972" s="330" t="s">
        <v>4634</v>
      </c>
      <c r="F972" s="331">
        <v>0.21</v>
      </c>
      <c r="G972" s="332">
        <v>372</v>
      </c>
      <c r="H972" s="333">
        <v>451</v>
      </c>
    </row>
    <row r="973" spans="1:8">
      <c r="A973" s="317">
        <v>1600306000</v>
      </c>
      <c r="B973" s="317" t="s">
        <v>45343</v>
      </c>
      <c r="C973" s="330" t="s">
        <v>6477</v>
      </c>
      <c r="D973" s="330" t="s">
        <v>6478</v>
      </c>
      <c r="E973" s="330" t="s">
        <v>4634</v>
      </c>
      <c r="F973" s="331">
        <v>0.21</v>
      </c>
      <c r="G973" s="332">
        <v>963</v>
      </c>
      <c r="H973" s="333">
        <v>1166</v>
      </c>
    </row>
    <row r="974" spans="1:8">
      <c r="A974" s="317">
        <v>1600306001</v>
      </c>
      <c r="B974" s="317" t="s">
        <v>45344</v>
      </c>
      <c r="C974" s="330" t="s">
        <v>6479</v>
      </c>
      <c r="D974" s="330" t="s">
        <v>6480</v>
      </c>
      <c r="E974" s="330" t="s">
        <v>4634</v>
      </c>
      <c r="F974" s="331">
        <v>0.21</v>
      </c>
      <c r="G974" s="332">
        <v>490</v>
      </c>
      <c r="H974" s="333">
        <v>593</v>
      </c>
    </row>
    <row r="975" spans="1:8">
      <c r="A975" s="317">
        <v>1600309004</v>
      </c>
      <c r="B975" s="317" t="s">
        <v>45345</v>
      </c>
      <c r="C975" s="330" t="s">
        <v>6481</v>
      </c>
      <c r="D975" s="330" t="s">
        <v>6458</v>
      </c>
      <c r="E975" s="330" t="s">
        <v>4634</v>
      </c>
      <c r="F975" s="331">
        <v>0.21</v>
      </c>
      <c r="G975" s="332">
        <v>1985</v>
      </c>
      <c r="H975" s="333">
        <v>2402</v>
      </c>
    </row>
    <row r="976" spans="1:8">
      <c r="A976" s="317">
        <v>1600320011</v>
      </c>
      <c r="B976" s="317" t="s">
        <v>45346</v>
      </c>
      <c r="C976" s="330" t="s">
        <v>6482</v>
      </c>
      <c r="D976" s="330" t="s">
        <v>6483</v>
      </c>
      <c r="E976" s="330" t="s">
        <v>4634</v>
      </c>
      <c r="F976" s="331">
        <v>0.21</v>
      </c>
      <c r="G976" s="332">
        <v>39121</v>
      </c>
      <c r="H976" s="333">
        <v>47337</v>
      </c>
    </row>
    <row r="977" spans="1:8">
      <c r="A977" s="317">
        <v>1600320026</v>
      </c>
      <c r="B977" s="317" t="s">
        <v>45347</v>
      </c>
      <c r="C977" s="330" t="s">
        <v>6484</v>
      </c>
      <c r="D977" s="330" t="s">
        <v>6485</v>
      </c>
      <c r="E977" s="330" t="s">
        <v>4634</v>
      </c>
      <c r="F977" s="331">
        <v>0.21</v>
      </c>
      <c r="G977" s="332">
        <v>11425</v>
      </c>
      <c r="H977" s="333">
        <v>13825</v>
      </c>
    </row>
    <row r="978" spans="1:8">
      <c r="A978" s="317">
        <v>1600320028</v>
      </c>
      <c r="B978" s="317" t="s">
        <v>45348</v>
      </c>
      <c r="C978" s="330" t="s">
        <v>6486</v>
      </c>
      <c r="D978" s="330" t="s">
        <v>6487</v>
      </c>
      <c r="E978" s="330" t="s">
        <v>4634</v>
      </c>
      <c r="F978" s="331">
        <v>0.21</v>
      </c>
      <c r="G978" s="332">
        <v>8327</v>
      </c>
      <c r="H978" s="333">
        <v>10076</v>
      </c>
    </row>
    <row r="979" spans="1:8">
      <c r="A979" s="317">
        <v>1600322034</v>
      </c>
      <c r="B979" s="317" t="s">
        <v>45349</v>
      </c>
      <c r="C979" s="330" t="s">
        <v>6488</v>
      </c>
      <c r="D979" s="330" t="s">
        <v>6489</v>
      </c>
      <c r="E979" s="330" t="s">
        <v>4634</v>
      </c>
      <c r="F979" s="331">
        <v>0.21</v>
      </c>
      <c r="G979" s="332">
        <v>678</v>
      </c>
      <c r="H979" s="333">
        <v>821</v>
      </c>
    </row>
    <row r="980" spans="1:8">
      <c r="A980" s="317">
        <v>1600328030</v>
      </c>
      <c r="B980" s="317" t="s">
        <v>45350</v>
      </c>
      <c r="C980" s="330" t="s">
        <v>6490</v>
      </c>
      <c r="D980" s="330" t="s">
        <v>6207</v>
      </c>
      <c r="E980" s="330" t="s">
        <v>4634</v>
      </c>
      <c r="F980" s="331">
        <v>0.21</v>
      </c>
      <c r="G980" s="332">
        <v>372</v>
      </c>
      <c r="H980" s="333">
        <v>451</v>
      </c>
    </row>
    <row r="981" spans="1:8">
      <c r="A981" s="317">
        <v>1600362018</v>
      </c>
      <c r="B981" s="317" t="s">
        <v>45351</v>
      </c>
      <c r="C981" s="330" t="s">
        <v>6491</v>
      </c>
      <c r="D981" s="330" t="s">
        <v>6492</v>
      </c>
      <c r="E981" s="330" t="s">
        <v>4634</v>
      </c>
      <c r="F981" s="331">
        <v>0.21</v>
      </c>
      <c r="G981" s="332">
        <v>18435</v>
      </c>
      <c r="H981" s="333">
        <v>22307</v>
      </c>
    </row>
    <row r="982" spans="1:8">
      <c r="A982" s="317">
        <v>1600390011</v>
      </c>
      <c r="B982" s="317" t="s">
        <v>45352</v>
      </c>
      <c r="C982" s="330" t="s">
        <v>6493</v>
      </c>
      <c r="D982" s="330" t="s">
        <v>6494</v>
      </c>
      <c r="E982" s="330" t="s">
        <v>4634</v>
      </c>
      <c r="F982" s="331">
        <v>0.21</v>
      </c>
      <c r="G982" s="332">
        <v>1228</v>
      </c>
      <c r="H982" s="333">
        <v>1486</v>
      </c>
    </row>
    <row r="983" spans="1:8">
      <c r="A983" s="317">
        <v>1600390012</v>
      </c>
      <c r="B983" s="317" t="s">
        <v>45353</v>
      </c>
      <c r="C983" s="330" t="s">
        <v>6495</v>
      </c>
      <c r="D983" s="330" t="s">
        <v>6496</v>
      </c>
      <c r="E983" s="330" t="s">
        <v>4634</v>
      </c>
      <c r="F983" s="331">
        <v>0.21</v>
      </c>
      <c r="G983" s="332">
        <v>73</v>
      </c>
      <c r="H983" s="333">
        <v>89</v>
      </c>
    </row>
    <row r="984" spans="1:8">
      <c r="A984" s="317">
        <v>1600390018</v>
      </c>
      <c r="B984" s="317" t="s">
        <v>45354</v>
      </c>
      <c r="C984" s="330" t="s">
        <v>6497</v>
      </c>
      <c r="D984" s="330" t="s">
        <v>6498</v>
      </c>
      <c r="E984" s="330" t="s">
        <v>4634</v>
      </c>
      <c r="F984" s="331">
        <v>0.21</v>
      </c>
      <c r="G984" s="332">
        <v>678</v>
      </c>
      <c r="H984" s="333">
        <v>821</v>
      </c>
    </row>
    <row r="985" spans="1:8">
      <c r="A985" s="317">
        <v>1600390019</v>
      </c>
      <c r="B985" s="317" t="s">
        <v>45355</v>
      </c>
      <c r="C985" s="330" t="s">
        <v>6499</v>
      </c>
      <c r="D985" s="330" t="s">
        <v>6500</v>
      </c>
      <c r="E985" s="330" t="s">
        <v>4634</v>
      </c>
      <c r="F985" s="331">
        <v>0.21</v>
      </c>
      <c r="G985" s="332">
        <v>372</v>
      </c>
      <c r="H985" s="333">
        <v>451</v>
      </c>
    </row>
    <row r="986" spans="1:8">
      <c r="A986" s="317">
        <v>1600422011</v>
      </c>
      <c r="B986" s="317" t="s">
        <v>45356</v>
      </c>
      <c r="C986" s="330" t="s">
        <v>6501</v>
      </c>
      <c r="D986" s="330" t="s">
        <v>6502</v>
      </c>
      <c r="E986" s="330" t="s">
        <v>4634</v>
      </c>
      <c r="F986" s="331">
        <v>0.21</v>
      </c>
      <c r="G986" s="332">
        <v>68</v>
      </c>
      <c r="H986" s="333">
        <v>83</v>
      </c>
    </row>
    <row r="987" spans="1:8">
      <c r="A987" s="317">
        <v>1600460038</v>
      </c>
      <c r="B987" s="317" t="s">
        <v>45357</v>
      </c>
      <c r="C987" s="330" t="s">
        <v>6503</v>
      </c>
      <c r="D987" s="330" t="s">
        <v>6504</v>
      </c>
      <c r="E987" s="330" t="s">
        <v>4634</v>
      </c>
      <c r="F987" s="331">
        <v>0.21</v>
      </c>
      <c r="G987" s="332">
        <v>339</v>
      </c>
      <c r="H987" s="333">
        <v>411</v>
      </c>
    </row>
    <row r="988" spans="1:8">
      <c r="A988" s="317">
        <v>1600460039</v>
      </c>
      <c r="B988" s="317" t="s">
        <v>45358</v>
      </c>
      <c r="C988" s="330" t="s">
        <v>6505</v>
      </c>
      <c r="D988" s="330" t="s">
        <v>6506</v>
      </c>
      <c r="E988" s="330" t="s">
        <v>37248</v>
      </c>
      <c r="F988" s="331">
        <v>0.21</v>
      </c>
      <c r="G988" s="332">
        <v>419</v>
      </c>
      <c r="H988" s="333">
        <v>507</v>
      </c>
    </row>
    <row r="989" spans="1:8">
      <c r="A989" s="317">
        <v>1600500022</v>
      </c>
      <c r="B989" s="317" t="s">
        <v>45359</v>
      </c>
      <c r="C989" s="330" t="s">
        <v>6507</v>
      </c>
      <c r="D989" s="330" t="s">
        <v>6508</v>
      </c>
      <c r="E989" s="330" t="s">
        <v>4634</v>
      </c>
      <c r="F989" s="331">
        <v>0.21</v>
      </c>
      <c r="G989" s="332">
        <v>28</v>
      </c>
      <c r="H989" s="333">
        <v>34</v>
      </c>
    </row>
    <row r="990" spans="1:8">
      <c r="A990" s="317">
        <v>1600501019</v>
      </c>
      <c r="B990" s="317" t="s">
        <v>45360</v>
      </c>
      <c r="C990" s="330" t="s">
        <v>6509</v>
      </c>
      <c r="D990" s="330" t="s">
        <v>6510</v>
      </c>
      <c r="E990" s="330" t="s">
        <v>4634</v>
      </c>
      <c r="F990" s="331">
        <v>0.21</v>
      </c>
      <c r="G990" s="332">
        <v>5081</v>
      </c>
      <c r="H990" s="333">
        <v>6149</v>
      </c>
    </row>
    <row r="991" spans="1:8">
      <c r="A991" s="317">
        <v>1600501024</v>
      </c>
      <c r="B991" s="317" t="s">
        <v>45361</v>
      </c>
      <c r="C991" s="330" t="s">
        <v>6511</v>
      </c>
      <c r="D991" s="330" t="s">
        <v>6512</v>
      </c>
      <c r="E991" s="330" t="s">
        <v>4634</v>
      </c>
      <c r="F991" s="331">
        <v>0.21</v>
      </c>
      <c r="G991" s="332">
        <v>3421</v>
      </c>
      <c r="H991" s="333">
        <v>4140</v>
      </c>
    </row>
    <row r="992" spans="1:8">
      <c r="A992" s="317">
        <v>1600501025</v>
      </c>
      <c r="B992" s="317" t="s">
        <v>45362</v>
      </c>
      <c r="C992" s="330" t="s">
        <v>6513</v>
      </c>
      <c r="D992" s="330" t="s">
        <v>6514</v>
      </c>
      <c r="E992" s="330" t="s">
        <v>4634</v>
      </c>
      <c r="F992" s="331">
        <v>0.21</v>
      </c>
      <c r="G992" s="332">
        <v>8336</v>
      </c>
      <c r="H992" s="333">
        <v>10087</v>
      </c>
    </row>
    <row r="993" spans="1:8">
      <c r="A993" s="317">
        <v>1600501065</v>
      </c>
      <c r="B993" s="317" t="s">
        <v>45363</v>
      </c>
      <c r="C993" s="330" t="s">
        <v>6515</v>
      </c>
      <c r="D993" s="330" t="s">
        <v>6516</v>
      </c>
      <c r="E993" s="330" t="s">
        <v>4634</v>
      </c>
      <c r="F993" s="331">
        <v>0.21</v>
      </c>
      <c r="G993" s="332">
        <v>791</v>
      </c>
      <c r="H993" s="333">
        <v>958</v>
      </c>
    </row>
    <row r="994" spans="1:8">
      <c r="A994" s="317">
        <v>1600501066</v>
      </c>
      <c r="B994" s="317" t="s">
        <v>45364</v>
      </c>
      <c r="C994" s="330" t="s">
        <v>6517</v>
      </c>
      <c r="D994" s="330" t="s">
        <v>6518</v>
      </c>
      <c r="E994" s="330" t="s">
        <v>4634</v>
      </c>
      <c r="F994" s="331">
        <v>0.21</v>
      </c>
      <c r="G994" s="332">
        <v>613</v>
      </c>
      <c r="H994" s="333">
        <v>742</v>
      </c>
    </row>
    <row r="995" spans="1:8">
      <c r="A995" s="317">
        <v>1600502004</v>
      </c>
      <c r="B995" s="317" t="s">
        <v>45365</v>
      </c>
      <c r="C995" s="330" t="s">
        <v>6519</v>
      </c>
      <c r="D995" s="330" t="s">
        <v>6520</v>
      </c>
      <c r="E995" s="330" t="s">
        <v>4634</v>
      </c>
      <c r="F995" s="331">
        <v>0.21</v>
      </c>
      <c r="G995" s="332">
        <v>816</v>
      </c>
      <c r="H995" s="333">
        <v>988</v>
      </c>
    </row>
    <row r="996" spans="1:8">
      <c r="A996" s="317">
        <v>1600502006</v>
      </c>
      <c r="B996" s="317" t="s">
        <v>45366</v>
      </c>
      <c r="C996" s="330" t="s">
        <v>6521</v>
      </c>
      <c r="D996" s="330" t="s">
        <v>6522</v>
      </c>
      <c r="E996" s="330" t="s">
        <v>37248</v>
      </c>
      <c r="F996" s="331">
        <v>0.21</v>
      </c>
      <c r="G996" s="332">
        <v>1744</v>
      </c>
      <c r="H996" s="333">
        <v>2111</v>
      </c>
    </row>
    <row r="997" spans="1:8">
      <c r="A997" s="317">
        <v>1600502007</v>
      </c>
      <c r="B997" s="317" t="s">
        <v>45367</v>
      </c>
      <c r="C997" s="330" t="s">
        <v>6523</v>
      </c>
      <c r="D997" s="330" t="s">
        <v>6524</v>
      </c>
      <c r="E997" s="330" t="s">
        <v>4634</v>
      </c>
      <c r="F997" s="331">
        <v>0.21</v>
      </c>
      <c r="G997" s="332">
        <v>2792</v>
      </c>
      <c r="H997" s="333">
        <v>3379</v>
      </c>
    </row>
    <row r="998" spans="1:8">
      <c r="A998" s="317">
        <v>1600502011</v>
      </c>
      <c r="B998" s="317" t="s">
        <v>45368</v>
      </c>
      <c r="C998" s="330" t="s">
        <v>6525</v>
      </c>
      <c r="D998" s="330" t="s">
        <v>6526</v>
      </c>
      <c r="E998" s="330" t="s">
        <v>37248</v>
      </c>
      <c r="F998" s="331">
        <v>0.21</v>
      </c>
      <c r="G998" s="332">
        <v>2143</v>
      </c>
      <c r="H998" s="333">
        <v>2594</v>
      </c>
    </row>
    <row r="999" spans="1:8">
      <c r="A999" s="317">
        <v>1600502012</v>
      </c>
      <c r="B999" s="317" t="s">
        <v>45369</v>
      </c>
      <c r="C999" s="330" t="s">
        <v>6527</v>
      </c>
      <c r="D999" s="330" t="s">
        <v>6528</v>
      </c>
      <c r="E999" s="330" t="s">
        <v>4634</v>
      </c>
      <c r="F999" s="331">
        <v>0.21</v>
      </c>
      <c r="G999" s="332">
        <v>68</v>
      </c>
      <c r="H999" s="333">
        <v>83</v>
      </c>
    </row>
    <row r="1000" spans="1:8">
      <c r="A1000" s="317">
        <v>1600502013</v>
      </c>
      <c r="B1000" s="317" t="s">
        <v>45370</v>
      </c>
      <c r="C1000" s="330" t="s">
        <v>6529</v>
      </c>
      <c r="D1000" s="330" t="s">
        <v>6530</v>
      </c>
      <c r="E1000" s="330" t="s">
        <v>4634</v>
      </c>
      <c r="F1000" s="331">
        <v>0.21</v>
      </c>
      <c r="G1000" s="332">
        <v>584</v>
      </c>
      <c r="H1000" s="333">
        <v>707</v>
      </c>
    </row>
    <row r="1001" spans="1:8">
      <c r="A1001" s="317">
        <v>1600502014</v>
      </c>
      <c r="B1001" s="317" t="s">
        <v>45371</v>
      </c>
      <c r="C1001" s="330" t="s">
        <v>6531</v>
      </c>
      <c r="D1001" s="330" t="s">
        <v>6532</v>
      </c>
      <c r="E1001" s="330" t="s">
        <v>4634</v>
      </c>
      <c r="F1001" s="331">
        <v>0.21</v>
      </c>
      <c r="G1001" s="332">
        <v>111</v>
      </c>
      <c r="H1001" s="333">
        <v>135</v>
      </c>
    </row>
    <row r="1002" spans="1:8">
      <c r="A1002" s="317">
        <v>1600502015</v>
      </c>
      <c r="B1002" s="317" t="s">
        <v>45372</v>
      </c>
      <c r="C1002" s="330" t="s">
        <v>6533</v>
      </c>
      <c r="D1002" s="330" t="s">
        <v>6534</v>
      </c>
      <c r="E1002" s="330" t="s">
        <v>4634</v>
      </c>
      <c r="F1002" s="331">
        <v>0.21</v>
      </c>
      <c r="G1002" s="332">
        <v>648</v>
      </c>
      <c r="H1002" s="333">
        <v>785</v>
      </c>
    </row>
    <row r="1003" spans="1:8">
      <c r="A1003" s="317">
        <v>1600502019</v>
      </c>
      <c r="B1003" s="317" t="s">
        <v>45373</v>
      </c>
      <c r="C1003" s="330" t="s">
        <v>6535</v>
      </c>
      <c r="D1003" s="330" t="s">
        <v>6536</v>
      </c>
      <c r="E1003" s="330" t="s">
        <v>4634</v>
      </c>
      <c r="F1003" s="331">
        <v>0.21</v>
      </c>
      <c r="G1003" s="332">
        <v>3685</v>
      </c>
      <c r="H1003" s="333">
        <v>4459</v>
      </c>
    </row>
    <row r="1004" spans="1:8">
      <c r="A1004" s="317">
        <v>1600502020</v>
      </c>
      <c r="B1004" s="317" t="s">
        <v>45374</v>
      </c>
      <c r="C1004" s="330" t="s">
        <v>6537</v>
      </c>
      <c r="D1004" s="330" t="s">
        <v>6538</v>
      </c>
      <c r="E1004" s="330" t="s">
        <v>4634</v>
      </c>
      <c r="F1004" s="331">
        <v>0.21</v>
      </c>
      <c r="G1004" s="332">
        <v>2324</v>
      </c>
      <c r="H1004" s="333">
        <v>2813</v>
      </c>
    </row>
    <row r="1005" spans="1:8">
      <c r="A1005" s="317">
        <v>1600502023</v>
      </c>
      <c r="B1005" s="317" t="s">
        <v>45375</v>
      </c>
      <c r="C1005" s="330" t="s">
        <v>6539</v>
      </c>
      <c r="D1005" s="330" t="s">
        <v>6540</v>
      </c>
      <c r="E1005" s="330" t="s">
        <v>4819</v>
      </c>
      <c r="F1005" s="331">
        <v>0.21</v>
      </c>
      <c r="G1005" s="332">
        <v>2792</v>
      </c>
      <c r="H1005" s="333">
        <v>3379</v>
      </c>
    </row>
    <row r="1006" spans="1:8">
      <c r="A1006" s="317">
        <v>1600502024</v>
      </c>
      <c r="B1006" s="317" t="s">
        <v>45376</v>
      </c>
      <c r="C1006" s="330" t="s">
        <v>6541</v>
      </c>
      <c r="D1006" s="330" t="s">
        <v>6542</v>
      </c>
      <c r="E1006" s="330" t="s">
        <v>37248</v>
      </c>
      <c r="F1006" s="331">
        <v>0.21</v>
      </c>
      <c r="G1006" s="332">
        <v>3752</v>
      </c>
      <c r="H1006" s="333">
        <v>4540</v>
      </c>
    </row>
    <row r="1007" spans="1:8">
      <c r="A1007" s="317">
        <v>1600506009</v>
      </c>
      <c r="B1007" s="317" t="s">
        <v>45377</v>
      </c>
      <c r="C1007" s="330" t="s">
        <v>6543</v>
      </c>
      <c r="D1007" s="330" t="s">
        <v>6544</v>
      </c>
      <c r="E1007" s="330" t="s">
        <v>4634</v>
      </c>
      <c r="F1007" s="331">
        <v>0.21</v>
      </c>
      <c r="G1007" s="332">
        <v>1126</v>
      </c>
      <c r="H1007" s="333">
        <v>1363</v>
      </c>
    </row>
    <row r="1008" spans="1:8">
      <c r="A1008" s="317">
        <v>1600506010</v>
      </c>
      <c r="B1008" s="317" t="s">
        <v>45378</v>
      </c>
      <c r="C1008" s="330" t="s">
        <v>6545</v>
      </c>
      <c r="D1008" s="330" t="s">
        <v>6546</v>
      </c>
      <c r="E1008" s="330" t="s">
        <v>4634</v>
      </c>
      <c r="F1008" s="331">
        <v>0.21</v>
      </c>
      <c r="G1008" s="332">
        <v>3421</v>
      </c>
      <c r="H1008" s="333">
        <v>4140</v>
      </c>
    </row>
    <row r="1009" spans="1:8">
      <c r="A1009" s="317">
        <v>1600508005</v>
      </c>
      <c r="B1009" s="317" t="s">
        <v>45379</v>
      </c>
      <c r="C1009" s="330" t="s">
        <v>6547</v>
      </c>
      <c r="D1009" s="330" t="s">
        <v>6548</v>
      </c>
      <c r="E1009" s="330" t="s">
        <v>4819</v>
      </c>
      <c r="F1009" s="331">
        <v>0.21</v>
      </c>
      <c r="G1009" s="332">
        <v>1701</v>
      </c>
      <c r="H1009" s="333">
        <v>2059</v>
      </c>
    </row>
    <row r="1010" spans="1:8">
      <c r="A1010" s="317">
        <v>1600508011</v>
      </c>
      <c r="B1010" s="317" t="s">
        <v>45380</v>
      </c>
      <c r="C1010" s="330" t="s">
        <v>6549</v>
      </c>
      <c r="D1010" s="330" t="s">
        <v>6550</v>
      </c>
      <c r="E1010" s="330" t="s">
        <v>4819</v>
      </c>
      <c r="F1010" s="331">
        <v>0.21</v>
      </c>
      <c r="G1010" s="332">
        <v>10131</v>
      </c>
      <c r="H1010" s="333">
        <v>12259</v>
      </c>
    </row>
    <row r="1011" spans="1:8">
      <c r="A1011" s="317">
        <v>1600508016</v>
      </c>
      <c r="B1011" s="317" t="s">
        <v>45381</v>
      </c>
      <c r="C1011" s="330" t="s">
        <v>6551</v>
      </c>
      <c r="D1011" s="330" t="s">
        <v>6552</v>
      </c>
      <c r="E1011" s="330" t="s">
        <v>4819</v>
      </c>
      <c r="F1011" s="331">
        <v>0.21</v>
      </c>
      <c r="G1011" s="332">
        <v>9114</v>
      </c>
      <c r="H1011" s="333">
        <v>11028</v>
      </c>
    </row>
    <row r="1012" spans="1:8">
      <c r="A1012" s="317">
        <v>1600508017</v>
      </c>
      <c r="B1012" s="317" t="s">
        <v>45382</v>
      </c>
      <c r="C1012" s="330" t="s">
        <v>6553</v>
      </c>
      <c r="D1012" s="330" t="s">
        <v>6554</v>
      </c>
      <c r="E1012" s="330" t="s">
        <v>37248</v>
      </c>
      <c r="F1012" s="331">
        <v>0.21</v>
      </c>
      <c r="G1012" s="332">
        <v>8427</v>
      </c>
      <c r="H1012" s="333">
        <v>10197</v>
      </c>
    </row>
    <row r="1013" spans="1:8">
      <c r="A1013" s="317">
        <v>1600508018</v>
      </c>
      <c r="B1013" s="317" t="s">
        <v>45383</v>
      </c>
      <c r="C1013" s="330" t="s">
        <v>6555</v>
      </c>
      <c r="D1013" s="330" t="s">
        <v>6556</v>
      </c>
      <c r="E1013" s="330" t="s">
        <v>4634</v>
      </c>
      <c r="F1013" s="331">
        <v>0.21</v>
      </c>
      <c r="G1013" s="332">
        <v>1423</v>
      </c>
      <c r="H1013" s="333">
        <v>1722</v>
      </c>
    </row>
    <row r="1014" spans="1:8">
      <c r="A1014" s="317">
        <v>1600508031</v>
      </c>
      <c r="B1014" s="317" t="s">
        <v>45384</v>
      </c>
      <c r="C1014" s="330" t="s">
        <v>6557</v>
      </c>
      <c r="D1014" s="330" t="s">
        <v>6558</v>
      </c>
      <c r="E1014" s="330" t="s">
        <v>37248</v>
      </c>
      <c r="F1014" s="331">
        <v>0.21</v>
      </c>
      <c r="G1014" s="332">
        <v>13393</v>
      </c>
      <c r="H1014" s="333">
        <v>16206</v>
      </c>
    </row>
    <row r="1015" spans="1:8">
      <c r="A1015" s="317">
        <v>1600590012</v>
      </c>
      <c r="B1015" s="317" t="s">
        <v>45385</v>
      </c>
      <c r="C1015" s="330" t="s">
        <v>6559</v>
      </c>
      <c r="D1015" s="330" t="s">
        <v>6560</v>
      </c>
      <c r="E1015" s="330" t="s">
        <v>4634</v>
      </c>
      <c r="F1015" s="331">
        <v>0.21</v>
      </c>
      <c r="G1015" s="332">
        <v>348</v>
      </c>
      <c r="H1015" s="333">
        <v>422</v>
      </c>
    </row>
    <row r="1016" spans="1:8">
      <c r="A1016" s="317">
        <v>1600590014</v>
      </c>
      <c r="B1016" s="317" t="s">
        <v>45386</v>
      </c>
      <c r="C1016" s="330" t="s">
        <v>6561</v>
      </c>
      <c r="D1016" s="330" t="s">
        <v>6562</v>
      </c>
      <c r="E1016" s="330" t="s">
        <v>4634</v>
      </c>
      <c r="F1016" s="331">
        <v>0.21</v>
      </c>
      <c r="G1016" s="332">
        <v>1371</v>
      </c>
      <c r="H1016" s="333">
        <v>1659</v>
      </c>
    </row>
    <row r="1017" spans="1:8">
      <c r="A1017" s="317">
        <v>1600590015</v>
      </c>
      <c r="B1017" s="317" t="s">
        <v>45387</v>
      </c>
      <c r="C1017" s="330" t="s">
        <v>6563</v>
      </c>
      <c r="D1017" s="330" t="s">
        <v>6564</v>
      </c>
      <c r="E1017" s="330" t="s">
        <v>4634</v>
      </c>
      <c r="F1017" s="331">
        <v>0.21</v>
      </c>
      <c r="G1017" s="332">
        <v>1043</v>
      </c>
      <c r="H1017" s="333">
        <v>1263</v>
      </c>
    </row>
    <row r="1018" spans="1:8">
      <c r="A1018" s="317">
        <v>1600590016</v>
      </c>
      <c r="B1018" s="317" t="s">
        <v>45388</v>
      </c>
      <c r="C1018" s="330" t="s">
        <v>6565</v>
      </c>
      <c r="D1018" s="330" t="s">
        <v>6566</v>
      </c>
      <c r="E1018" s="330" t="s">
        <v>4634</v>
      </c>
      <c r="F1018" s="331">
        <v>0.21</v>
      </c>
      <c r="G1018" s="332">
        <v>432</v>
      </c>
      <c r="H1018" s="333">
        <v>523</v>
      </c>
    </row>
    <row r="1019" spans="1:8">
      <c r="A1019" s="317">
        <v>1600590018</v>
      </c>
      <c r="B1019" s="317" t="s">
        <v>45389</v>
      </c>
      <c r="C1019" s="330" t="s">
        <v>6567</v>
      </c>
      <c r="D1019" s="330" t="s">
        <v>6568</v>
      </c>
      <c r="E1019" s="330" t="s">
        <v>37248</v>
      </c>
      <c r="F1019" s="331">
        <v>0.21</v>
      </c>
      <c r="G1019" s="332">
        <v>6107</v>
      </c>
      <c r="H1019" s="333">
        <v>7390</v>
      </c>
    </row>
    <row r="1020" spans="1:8">
      <c r="A1020" s="317">
        <v>1600591006</v>
      </c>
      <c r="B1020" s="317" t="s">
        <v>45390</v>
      </c>
      <c r="C1020" s="330" t="s">
        <v>6569</v>
      </c>
      <c r="D1020" s="330" t="s">
        <v>6570</v>
      </c>
      <c r="E1020" s="330" t="s">
        <v>4634</v>
      </c>
      <c r="F1020" s="331">
        <v>0.21</v>
      </c>
      <c r="G1020" s="332">
        <v>274</v>
      </c>
      <c r="H1020" s="333">
        <v>332</v>
      </c>
    </row>
    <row r="1021" spans="1:8">
      <c r="A1021" s="317">
        <v>1600591008</v>
      </c>
      <c r="B1021" s="317" t="s">
        <v>45391</v>
      </c>
      <c r="C1021" s="330" t="s">
        <v>6571</v>
      </c>
      <c r="D1021" s="330" t="s">
        <v>6572</v>
      </c>
      <c r="E1021" s="330" t="s">
        <v>4634</v>
      </c>
      <c r="F1021" s="331">
        <v>0.21</v>
      </c>
      <c r="G1021" s="332">
        <v>455</v>
      </c>
      <c r="H1021" s="333">
        <v>551</v>
      </c>
    </row>
    <row r="1022" spans="1:8">
      <c r="A1022" s="317">
        <v>1600591010</v>
      </c>
      <c r="B1022" s="317" t="s">
        <v>45392</v>
      </c>
      <c r="C1022" s="330" t="s">
        <v>6573</v>
      </c>
      <c r="D1022" s="330" t="s">
        <v>6528</v>
      </c>
      <c r="E1022" s="330" t="s">
        <v>4819</v>
      </c>
      <c r="F1022" s="331">
        <v>0.21</v>
      </c>
      <c r="G1022" s="332">
        <v>1974</v>
      </c>
      <c r="H1022" s="333">
        <v>2389</v>
      </c>
    </row>
    <row r="1023" spans="1:8">
      <c r="A1023" s="317">
        <v>1600591011</v>
      </c>
      <c r="B1023" s="317" t="s">
        <v>45393</v>
      </c>
      <c r="C1023" s="330" t="s">
        <v>6574</v>
      </c>
      <c r="D1023" s="330" t="s">
        <v>6575</v>
      </c>
      <c r="E1023" s="330" t="s">
        <v>4634</v>
      </c>
      <c r="F1023" s="331">
        <v>0.21</v>
      </c>
      <c r="G1023" s="332">
        <v>905</v>
      </c>
      <c r="H1023" s="333">
        <v>1096</v>
      </c>
    </row>
    <row r="1024" spans="1:8">
      <c r="A1024" s="317">
        <v>1600591013</v>
      </c>
      <c r="B1024" s="317" t="s">
        <v>45394</v>
      </c>
      <c r="C1024" s="330" t="s">
        <v>6576</v>
      </c>
      <c r="D1024" s="330" t="s">
        <v>6577</v>
      </c>
      <c r="E1024" s="330" t="s">
        <v>4634</v>
      </c>
      <c r="F1024" s="331">
        <v>0.21</v>
      </c>
      <c r="G1024" s="332">
        <v>455</v>
      </c>
      <c r="H1024" s="333">
        <v>551</v>
      </c>
    </row>
    <row r="1025" spans="1:8">
      <c r="A1025" s="317">
        <v>1600591014</v>
      </c>
      <c r="B1025" s="317" t="s">
        <v>45395</v>
      </c>
      <c r="C1025" s="330" t="s">
        <v>6578</v>
      </c>
      <c r="D1025" s="330" t="s">
        <v>6579</v>
      </c>
      <c r="E1025" s="330" t="s">
        <v>37248</v>
      </c>
      <c r="F1025" s="331">
        <v>0.21</v>
      </c>
      <c r="G1025" s="332">
        <v>3896</v>
      </c>
      <c r="H1025" s="333">
        <v>4715</v>
      </c>
    </row>
    <row r="1026" spans="1:8">
      <c r="A1026" s="317">
        <v>1600591016</v>
      </c>
      <c r="B1026" s="317" t="s">
        <v>45396</v>
      </c>
      <c r="C1026" s="330" t="s">
        <v>6580</v>
      </c>
      <c r="D1026" s="330" t="s">
        <v>6581</v>
      </c>
      <c r="E1026" s="330" t="s">
        <v>4634</v>
      </c>
      <c r="F1026" s="331">
        <v>0.21</v>
      </c>
      <c r="G1026" s="332">
        <v>3154</v>
      </c>
      <c r="H1026" s="333">
        <v>3817</v>
      </c>
    </row>
    <row r="1027" spans="1:8">
      <c r="A1027" s="317">
        <v>1600591023</v>
      </c>
      <c r="B1027" s="317" t="s">
        <v>45397</v>
      </c>
      <c r="C1027" s="330" t="s">
        <v>6582</v>
      </c>
      <c r="D1027" s="330" t="s">
        <v>6583</v>
      </c>
      <c r="E1027" s="330" t="s">
        <v>37248</v>
      </c>
      <c r="F1027" s="331">
        <v>0.21</v>
      </c>
      <c r="G1027" s="332">
        <v>4035</v>
      </c>
      <c r="H1027" s="333">
        <v>4883</v>
      </c>
    </row>
    <row r="1028" spans="1:8">
      <c r="A1028" s="317">
        <v>1600591024</v>
      </c>
      <c r="B1028" s="317" t="s">
        <v>45398</v>
      </c>
      <c r="C1028" s="330" t="s">
        <v>6584</v>
      </c>
      <c r="D1028" s="330" t="s">
        <v>6585</v>
      </c>
      <c r="E1028" s="330" t="s">
        <v>37248</v>
      </c>
      <c r="F1028" s="331">
        <v>0.21</v>
      </c>
      <c r="G1028" s="332">
        <v>6237</v>
      </c>
      <c r="H1028" s="333">
        <v>7547</v>
      </c>
    </row>
    <row r="1029" spans="1:8">
      <c r="A1029" s="317">
        <v>1600591028</v>
      </c>
      <c r="B1029" s="317" t="s">
        <v>45399</v>
      </c>
      <c r="C1029" s="330" t="s">
        <v>6586</v>
      </c>
      <c r="D1029" s="330" t="s">
        <v>6587</v>
      </c>
      <c r="E1029" s="330" t="s">
        <v>4634</v>
      </c>
      <c r="F1029" s="331">
        <v>0.21</v>
      </c>
      <c r="G1029" s="332">
        <v>437</v>
      </c>
      <c r="H1029" s="333">
        <v>529</v>
      </c>
    </row>
    <row r="1030" spans="1:8">
      <c r="A1030" s="317">
        <v>1600591029</v>
      </c>
      <c r="B1030" s="317" t="s">
        <v>45400</v>
      </c>
      <c r="C1030" s="330" t="s">
        <v>6588</v>
      </c>
      <c r="D1030" s="330" t="s">
        <v>6589</v>
      </c>
      <c r="E1030" s="330" t="s">
        <v>4819</v>
      </c>
      <c r="F1030" s="331">
        <v>0.21</v>
      </c>
      <c r="G1030" s="332">
        <v>3468</v>
      </c>
      <c r="H1030" s="333">
        <v>4197</v>
      </c>
    </row>
    <row r="1031" spans="1:8">
      <c r="A1031" s="317">
        <v>1600591031</v>
      </c>
      <c r="B1031" s="317" t="s">
        <v>45401</v>
      </c>
      <c r="C1031" s="330" t="s">
        <v>6590</v>
      </c>
      <c r="D1031" s="330" t="s">
        <v>6591</v>
      </c>
      <c r="E1031" s="330" t="s">
        <v>4634</v>
      </c>
      <c r="F1031" s="331">
        <v>0.21</v>
      </c>
      <c r="G1031" s="332">
        <v>437</v>
      </c>
      <c r="H1031" s="333">
        <v>529</v>
      </c>
    </row>
    <row r="1032" spans="1:8">
      <c r="A1032" s="317">
        <v>1600591035</v>
      </c>
      <c r="B1032" s="317" t="s">
        <v>45402</v>
      </c>
      <c r="C1032" s="330" t="s">
        <v>6592</v>
      </c>
      <c r="D1032" s="330" t="s">
        <v>6593</v>
      </c>
      <c r="E1032" s="330" t="s">
        <v>4819</v>
      </c>
      <c r="F1032" s="331">
        <v>0.21</v>
      </c>
      <c r="G1032" s="332">
        <v>2328</v>
      </c>
      <c r="H1032" s="333">
        <v>2817</v>
      </c>
    </row>
    <row r="1033" spans="1:8">
      <c r="A1033" s="317">
        <v>1600591036</v>
      </c>
      <c r="B1033" s="317" t="s">
        <v>45403</v>
      </c>
      <c r="C1033" s="330" t="s">
        <v>6594</v>
      </c>
      <c r="D1033" s="330" t="s">
        <v>6595</v>
      </c>
      <c r="E1033" s="330" t="s">
        <v>4634</v>
      </c>
      <c r="F1033" s="331">
        <v>0.21</v>
      </c>
      <c r="G1033" s="332">
        <v>2246</v>
      </c>
      <c r="H1033" s="333">
        <v>2718</v>
      </c>
    </row>
    <row r="1034" spans="1:8">
      <c r="A1034" s="317">
        <v>1600591037</v>
      </c>
      <c r="B1034" s="317" t="s">
        <v>45404</v>
      </c>
      <c r="C1034" s="330" t="s">
        <v>6596</v>
      </c>
      <c r="D1034" s="330" t="s">
        <v>6597</v>
      </c>
      <c r="E1034" s="330" t="s">
        <v>4634</v>
      </c>
      <c r="F1034" s="331">
        <v>0.21</v>
      </c>
      <c r="G1034" s="332">
        <v>678</v>
      </c>
      <c r="H1034" s="333">
        <v>821</v>
      </c>
    </row>
    <row r="1035" spans="1:8">
      <c r="A1035" s="317">
        <v>1600591041</v>
      </c>
      <c r="B1035" s="317" t="s">
        <v>45405</v>
      </c>
      <c r="C1035" s="330" t="s">
        <v>6598</v>
      </c>
      <c r="D1035" s="330" t="s">
        <v>6599</v>
      </c>
      <c r="E1035" s="330" t="s">
        <v>37248</v>
      </c>
      <c r="F1035" s="331">
        <v>0.21</v>
      </c>
      <c r="G1035" s="332">
        <v>3551</v>
      </c>
      <c r="H1035" s="333">
        <v>4297</v>
      </c>
    </row>
    <row r="1036" spans="1:8">
      <c r="A1036" s="317">
        <v>1600591042</v>
      </c>
      <c r="B1036" s="317" t="s">
        <v>45406</v>
      </c>
      <c r="C1036" s="330" t="s">
        <v>6600</v>
      </c>
      <c r="D1036" s="330" t="s">
        <v>6601</v>
      </c>
      <c r="E1036" s="330" t="s">
        <v>4634</v>
      </c>
      <c r="F1036" s="331">
        <v>0.21</v>
      </c>
      <c r="G1036" s="332">
        <v>1713</v>
      </c>
      <c r="H1036" s="333">
        <v>2073</v>
      </c>
    </row>
    <row r="1037" spans="1:8">
      <c r="A1037" s="317">
        <v>1600591044</v>
      </c>
      <c r="B1037" s="317" t="s">
        <v>45407</v>
      </c>
      <c r="C1037" s="330" t="s">
        <v>6602</v>
      </c>
      <c r="D1037" s="330" t="s">
        <v>6603</v>
      </c>
      <c r="E1037" s="330" t="s">
        <v>4634</v>
      </c>
      <c r="F1037" s="331">
        <v>0.21</v>
      </c>
      <c r="G1037" s="332">
        <v>8151</v>
      </c>
      <c r="H1037" s="333">
        <v>9863</v>
      </c>
    </row>
    <row r="1038" spans="1:8">
      <c r="A1038" s="317">
        <v>1600591045</v>
      </c>
      <c r="B1038" s="317" t="s">
        <v>45408</v>
      </c>
      <c r="C1038" s="330" t="s">
        <v>6604</v>
      </c>
      <c r="D1038" s="330" t="s">
        <v>6605</v>
      </c>
      <c r="E1038" s="330" t="s">
        <v>4634</v>
      </c>
      <c r="F1038" s="331">
        <v>0.21</v>
      </c>
      <c r="G1038" s="332">
        <v>1782</v>
      </c>
      <c r="H1038" s="333">
        <v>2157</v>
      </c>
    </row>
    <row r="1039" spans="1:8">
      <c r="A1039" s="317">
        <v>1600591046</v>
      </c>
      <c r="B1039" s="317" t="s">
        <v>45409</v>
      </c>
      <c r="C1039" s="330" t="s">
        <v>6606</v>
      </c>
      <c r="D1039" s="330" t="s">
        <v>6607</v>
      </c>
      <c r="E1039" s="330" t="s">
        <v>37248</v>
      </c>
      <c r="F1039" s="331">
        <v>0.21</v>
      </c>
      <c r="G1039" s="332">
        <v>2041</v>
      </c>
      <c r="H1039" s="333">
        <v>2470</v>
      </c>
    </row>
    <row r="1040" spans="1:8">
      <c r="A1040" s="317">
        <v>1600591047</v>
      </c>
      <c r="B1040" s="317" t="s">
        <v>45410</v>
      </c>
      <c r="C1040" s="330" t="s">
        <v>6608</v>
      </c>
      <c r="D1040" s="330" t="s">
        <v>6609</v>
      </c>
      <c r="E1040" s="330" t="s">
        <v>37248</v>
      </c>
      <c r="F1040" s="331">
        <v>0.21</v>
      </c>
      <c r="G1040" s="332">
        <v>1985</v>
      </c>
      <c r="H1040" s="333">
        <v>2402</v>
      </c>
    </row>
    <row r="1041" spans="1:8">
      <c r="A1041" s="317">
        <v>1600591048</v>
      </c>
      <c r="B1041" s="317" t="s">
        <v>45411</v>
      </c>
      <c r="C1041" s="330" t="s">
        <v>6610</v>
      </c>
      <c r="D1041" s="330" t="s">
        <v>6611</v>
      </c>
      <c r="E1041" s="330" t="s">
        <v>4819</v>
      </c>
      <c r="F1041" s="331">
        <v>0.21</v>
      </c>
      <c r="G1041" s="332">
        <v>2413</v>
      </c>
      <c r="H1041" s="333">
        <v>2920</v>
      </c>
    </row>
    <row r="1042" spans="1:8">
      <c r="A1042" s="317">
        <v>1600591050</v>
      </c>
      <c r="B1042" s="317" t="s">
        <v>45412</v>
      </c>
      <c r="C1042" s="330" t="s">
        <v>6612</v>
      </c>
      <c r="D1042" s="330" t="s">
        <v>6613</v>
      </c>
      <c r="E1042" s="330" t="s">
        <v>4819</v>
      </c>
      <c r="F1042" s="331">
        <v>0.21</v>
      </c>
      <c r="G1042" s="332">
        <v>2596</v>
      </c>
      <c r="H1042" s="333">
        <v>3142</v>
      </c>
    </row>
    <row r="1043" spans="1:8">
      <c r="A1043" s="317">
        <v>1600591051</v>
      </c>
      <c r="B1043" s="317" t="s">
        <v>45413</v>
      </c>
      <c r="C1043" s="330" t="s">
        <v>6614</v>
      </c>
      <c r="D1043" s="330" t="s">
        <v>6615</v>
      </c>
      <c r="E1043" s="330" t="s">
        <v>4634</v>
      </c>
      <c r="F1043" s="331">
        <v>0.21</v>
      </c>
      <c r="G1043" s="332">
        <v>519</v>
      </c>
      <c r="H1043" s="333">
        <v>628</v>
      </c>
    </row>
    <row r="1044" spans="1:8">
      <c r="A1044" s="317">
        <v>1600591054</v>
      </c>
      <c r="B1044" s="317" t="s">
        <v>45414</v>
      </c>
      <c r="C1044" s="330" t="s">
        <v>6616</v>
      </c>
      <c r="D1044" s="330" t="s">
        <v>6617</v>
      </c>
      <c r="E1044" s="330" t="s">
        <v>37248</v>
      </c>
      <c r="F1044" s="331">
        <v>0.21</v>
      </c>
      <c r="G1044" s="332">
        <v>1247</v>
      </c>
      <c r="H1044" s="333">
        <v>1509</v>
      </c>
    </row>
    <row r="1045" spans="1:8">
      <c r="A1045" s="317">
        <v>1600591056</v>
      </c>
      <c r="B1045" s="317" t="s">
        <v>45415</v>
      </c>
      <c r="C1045" s="330" t="s">
        <v>6618</v>
      </c>
      <c r="D1045" s="330" t="s">
        <v>6619</v>
      </c>
      <c r="E1045" s="330" t="s">
        <v>37248</v>
      </c>
      <c r="F1045" s="331">
        <v>0.21</v>
      </c>
      <c r="G1045" s="332">
        <v>1373</v>
      </c>
      <c r="H1045" s="333">
        <v>1662</v>
      </c>
    </row>
    <row r="1046" spans="1:8">
      <c r="A1046" s="317" t="s">
        <v>37682</v>
      </c>
      <c r="B1046" s="317" t="s">
        <v>45416</v>
      </c>
      <c r="C1046" s="330" t="s">
        <v>6620</v>
      </c>
      <c r="D1046" s="330" t="s">
        <v>6621</v>
      </c>
      <c r="E1046" s="330" t="s">
        <v>4634</v>
      </c>
      <c r="F1046" s="331">
        <v>0.21</v>
      </c>
      <c r="G1046" s="332">
        <v>1052</v>
      </c>
      <c r="H1046" s="333">
        <v>1273</v>
      </c>
    </row>
    <row r="1047" spans="1:8">
      <c r="A1047" s="317" t="s">
        <v>37683</v>
      </c>
      <c r="B1047" s="317" t="s">
        <v>45417</v>
      </c>
      <c r="C1047" s="330" t="s">
        <v>6622</v>
      </c>
      <c r="D1047" s="330" t="s">
        <v>6623</v>
      </c>
      <c r="E1047" s="330" t="s">
        <v>37248</v>
      </c>
      <c r="F1047" s="331">
        <v>0.21</v>
      </c>
      <c r="G1047" s="332">
        <v>675</v>
      </c>
      <c r="H1047" s="333">
        <v>817</v>
      </c>
    </row>
    <row r="1048" spans="1:8">
      <c r="A1048" s="317" t="s">
        <v>37684</v>
      </c>
      <c r="B1048" s="317" t="s">
        <v>45418</v>
      </c>
      <c r="C1048" s="330" t="s">
        <v>6624</v>
      </c>
      <c r="D1048" s="330" t="s">
        <v>6625</v>
      </c>
      <c r="E1048" s="330" t="s">
        <v>37248</v>
      </c>
      <c r="F1048" s="331">
        <v>0.21</v>
      </c>
      <c r="G1048" s="332">
        <v>1164</v>
      </c>
      <c r="H1048" s="333">
        <v>1409</v>
      </c>
    </row>
    <row r="1049" spans="1:8">
      <c r="A1049" s="317" t="s">
        <v>37685</v>
      </c>
      <c r="B1049" s="317" t="s">
        <v>45419</v>
      </c>
      <c r="C1049" s="330" t="s">
        <v>6626</v>
      </c>
      <c r="D1049" s="330" t="s">
        <v>6627</v>
      </c>
      <c r="E1049" s="330" t="s">
        <v>4819</v>
      </c>
      <c r="F1049" s="331">
        <v>0.21</v>
      </c>
      <c r="G1049" s="332">
        <v>1566</v>
      </c>
      <c r="H1049" s="333">
        <v>1895</v>
      </c>
    </row>
    <row r="1050" spans="1:8">
      <c r="A1050" s="317" t="s">
        <v>37686</v>
      </c>
      <c r="B1050" s="317" t="s">
        <v>45420</v>
      </c>
      <c r="C1050" s="330" t="s">
        <v>6628</v>
      </c>
      <c r="D1050" s="330" t="s">
        <v>6629</v>
      </c>
      <c r="E1050" s="330" t="s">
        <v>4819</v>
      </c>
      <c r="F1050" s="331">
        <v>0.21</v>
      </c>
      <c r="G1050" s="332">
        <v>1383</v>
      </c>
      <c r="H1050" s="333">
        <v>1674</v>
      </c>
    </row>
    <row r="1051" spans="1:8">
      <c r="A1051" s="317">
        <v>1600591065</v>
      </c>
      <c r="B1051" s="317" t="s">
        <v>45421</v>
      </c>
      <c r="C1051" s="330" t="s">
        <v>6630</v>
      </c>
      <c r="D1051" s="330" t="s">
        <v>6631</v>
      </c>
      <c r="E1051" s="330" t="s">
        <v>37248</v>
      </c>
      <c r="F1051" s="331">
        <v>0.21</v>
      </c>
      <c r="G1051" s="332">
        <v>807</v>
      </c>
      <c r="H1051" s="333">
        <v>977</v>
      </c>
    </row>
    <row r="1052" spans="1:8">
      <c r="A1052" s="317">
        <v>1600591066</v>
      </c>
      <c r="B1052" s="317" t="s">
        <v>45422</v>
      </c>
      <c r="C1052" s="330" t="s">
        <v>6632</v>
      </c>
      <c r="D1052" s="330" t="s">
        <v>6623</v>
      </c>
      <c r="E1052" s="330" t="s">
        <v>37248</v>
      </c>
      <c r="F1052" s="331">
        <v>0.21</v>
      </c>
      <c r="G1052" s="332">
        <v>947</v>
      </c>
      <c r="H1052" s="333">
        <v>1146</v>
      </c>
    </row>
    <row r="1053" spans="1:8">
      <c r="A1053" s="317">
        <v>1600591068</v>
      </c>
      <c r="B1053" s="317" t="s">
        <v>45423</v>
      </c>
      <c r="C1053" s="330" t="s">
        <v>6633</v>
      </c>
      <c r="D1053" s="330" t="s">
        <v>6634</v>
      </c>
      <c r="E1053" s="330" t="s">
        <v>4819</v>
      </c>
      <c r="F1053" s="331">
        <v>0.21</v>
      </c>
      <c r="G1053" s="332">
        <v>3421</v>
      </c>
      <c r="H1053" s="333">
        <v>4140</v>
      </c>
    </row>
    <row r="1054" spans="1:8">
      <c r="A1054" s="317" t="s">
        <v>37687</v>
      </c>
      <c r="B1054" s="317" t="s">
        <v>45424</v>
      </c>
      <c r="C1054" s="330" t="s">
        <v>6635</v>
      </c>
      <c r="D1054" s="330" t="s">
        <v>6636</v>
      </c>
      <c r="E1054" s="330" t="s">
        <v>37248</v>
      </c>
      <c r="F1054" s="331">
        <v>0.21</v>
      </c>
      <c r="G1054" s="332">
        <v>1831</v>
      </c>
      <c r="H1054" s="333">
        <v>2216</v>
      </c>
    </row>
    <row r="1055" spans="1:8">
      <c r="A1055" s="317" t="s">
        <v>37688</v>
      </c>
      <c r="B1055" s="317" t="s">
        <v>45425</v>
      </c>
      <c r="C1055" s="330" t="s">
        <v>6637</v>
      </c>
      <c r="D1055" s="330" t="s">
        <v>6638</v>
      </c>
      <c r="E1055" s="330" t="s">
        <v>37248</v>
      </c>
      <c r="F1055" s="331">
        <v>0.21</v>
      </c>
      <c r="G1055" s="332">
        <v>1195</v>
      </c>
      <c r="H1055" s="333">
        <v>1446</v>
      </c>
    </row>
    <row r="1056" spans="1:8">
      <c r="A1056" s="317" t="s">
        <v>37689</v>
      </c>
      <c r="B1056" s="317" t="s">
        <v>45426</v>
      </c>
      <c r="C1056" s="330" t="s">
        <v>6639</v>
      </c>
      <c r="D1056" s="330" t="s">
        <v>6640</v>
      </c>
      <c r="E1056" s="330" t="s">
        <v>4634</v>
      </c>
      <c r="F1056" s="331">
        <v>0.21</v>
      </c>
      <c r="G1056" s="332">
        <v>7328</v>
      </c>
      <c r="H1056" s="333">
        <v>8867</v>
      </c>
    </row>
    <row r="1057" spans="1:8">
      <c r="A1057" s="317">
        <v>1600591075</v>
      </c>
      <c r="B1057" s="317" t="s">
        <v>45427</v>
      </c>
      <c r="C1057" s="330" t="s">
        <v>6641</v>
      </c>
      <c r="D1057" s="330" t="s">
        <v>6642</v>
      </c>
      <c r="E1057" s="330" t="s">
        <v>4819</v>
      </c>
      <c r="F1057" s="331">
        <v>0.21</v>
      </c>
      <c r="G1057" s="332">
        <v>780</v>
      </c>
      <c r="H1057" s="333">
        <v>944</v>
      </c>
    </row>
    <row r="1058" spans="1:8">
      <c r="A1058" s="317">
        <v>160059107</v>
      </c>
      <c r="B1058" s="317" t="s">
        <v>45428</v>
      </c>
      <c r="C1058" s="330" t="s">
        <v>6643</v>
      </c>
      <c r="D1058" s="330" t="s">
        <v>6528</v>
      </c>
      <c r="E1058" s="330" t="s">
        <v>37248</v>
      </c>
      <c r="F1058" s="331">
        <v>0.21</v>
      </c>
      <c r="G1058" s="332">
        <v>10004</v>
      </c>
      <c r="H1058" s="333">
        <v>12105</v>
      </c>
    </row>
    <row r="1059" spans="1:8">
      <c r="A1059" s="317">
        <v>1600703009</v>
      </c>
      <c r="B1059" s="317" t="s">
        <v>45429</v>
      </c>
      <c r="C1059" s="330" t="s">
        <v>6644</v>
      </c>
      <c r="D1059" s="330" t="s">
        <v>6645</v>
      </c>
      <c r="E1059" s="330" t="s">
        <v>4634</v>
      </c>
      <c r="F1059" s="331">
        <v>0.21</v>
      </c>
      <c r="G1059" s="332">
        <v>539</v>
      </c>
      <c r="H1059" s="333">
        <v>653</v>
      </c>
    </row>
    <row r="1060" spans="1:8">
      <c r="A1060" s="317">
        <v>1600703010</v>
      </c>
      <c r="B1060" s="317" t="s">
        <v>45430</v>
      </c>
      <c r="C1060" s="330" t="s">
        <v>6646</v>
      </c>
      <c r="D1060" s="330" t="s">
        <v>6647</v>
      </c>
      <c r="E1060" s="330" t="s">
        <v>4634</v>
      </c>
      <c r="F1060" s="331">
        <v>0.21</v>
      </c>
      <c r="G1060" s="332">
        <v>5315</v>
      </c>
      <c r="H1060" s="333">
        <v>6432</v>
      </c>
    </row>
    <row r="1061" spans="1:8">
      <c r="A1061" s="317">
        <v>1600703016</v>
      </c>
      <c r="B1061" s="317" t="s">
        <v>45431</v>
      </c>
      <c r="C1061" s="330" t="s">
        <v>6648</v>
      </c>
      <c r="D1061" s="330" t="s">
        <v>6649</v>
      </c>
      <c r="E1061" s="330" t="s">
        <v>4634</v>
      </c>
      <c r="F1061" s="331">
        <v>0.21</v>
      </c>
      <c r="G1061" s="332">
        <v>180</v>
      </c>
      <c r="H1061" s="333">
        <v>218</v>
      </c>
    </row>
    <row r="1062" spans="1:8">
      <c r="A1062" s="317">
        <v>1600703023</v>
      </c>
      <c r="B1062" s="317" t="s">
        <v>45432</v>
      </c>
      <c r="C1062" s="330" t="s">
        <v>6650</v>
      </c>
      <c r="D1062" s="330" t="s">
        <v>6651</v>
      </c>
      <c r="E1062" s="330" t="s">
        <v>37248</v>
      </c>
      <c r="F1062" s="331">
        <v>0.21</v>
      </c>
      <c r="G1062" s="332">
        <v>2598</v>
      </c>
      <c r="H1062" s="333">
        <v>3144</v>
      </c>
    </row>
    <row r="1063" spans="1:8">
      <c r="A1063" s="317">
        <v>1600703027</v>
      </c>
      <c r="B1063" s="317" t="s">
        <v>45433</v>
      </c>
      <c r="C1063" s="330" t="s">
        <v>6652</v>
      </c>
      <c r="D1063" s="330" t="s">
        <v>6653</v>
      </c>
      <c r="E1063" s="330" t="s">
        <v>4634</v>
      </c>
      <c r="F1063" s="331">
        <v>0.21</v>
      </c>
      <c r="G1063" s="332">
        <v>167</v>
      </c>
      <c r="H1063" s="333">
        <v>203</v>
      </c>
    </row>
    <row r="1064" spans="1:8">
      <c r="A1064" s="317">
        <v>1600703030</v>
      </c>
      <c r="B1064" s="317" t="s">
        <v>45434</v>
      </c>
      <c r="C1064" s="330" t="s">
        <v>6654</v>
      </c>
      <c r="D1064" s="330" t="s">
        <v>6655</v>
      </c>
      <c r="E1064" s="330" t="s">
        <v>37248</v>
      </c>
      <c r="F1064" s="331">
        <v>0.21</v>
      </c>
      <c r="G1064" s="332">
        <v>2197</v>
      </c>
      <c r="H1064" s="333">
        <v>2659</v>
      </c>
    </row>
    <row r="1065" spans="1:8">
      <c r="A1065" s="317">
        <v>1600703032</v>
      </c>
      <c r="B1065" s="317" t="s">
        <v>45435</v>
      </c>
      <c r="C1065" s="330" t="s">
        <v>6656</v>
      </c>
      <c r="D1065" s="330" t="s">
        <v>6657</v>
      </c>
      <c r="E1065" s="330" t="s">
        <v>37248</v>
      </c>
      <c r="F1065" s="331">
        <v>0.21</v>
      </c>
      <c r="G1065" s="332">
        <v>1452</v>
      </c>
      <c r="H1065" s="333">
        <v>1757</v>
      </c>
    </row>
    <row r="1066" spans="1:8">
      <c r="A1066" s="317">
        <v>1600703033</v>
      </c>
      <c r="B1066" s="317" t="s">
        <v>45436</v>
      </c>
      <c r="C1066" s="330" t="s">
        <v>6658</v>
      </c>
      <c r="D1066" s="330" t="s">
        <v>6659</v>
      </c>
      <c r="E1066" s="330" t="s">
        <v>4634</v>
      </c>
      <c r="F1066" s="331">
        <v>0.21</v>
      </c>
      <c r="G1066" s="332">
        <v>372</v>
      </c>
      <c r="H1066" s="333">
        <v>451</v>
      </c>
    </row>
    <row r="1067" spans="1:8">
      <c r="A1067" s="317">
        <v>1600703034</v>
      </c>
      <c r="B1067" s="317" t="s">
        <v>45437</v>
      </c>
      <c r="C1067" s="330" t="s">
        <v>6660</v>
      </c>
      <c r="D1067" s="330" t="s">
        <v>6661</v>
      </c>
      <c r="E1067" s="330" t="s">
        <v>37248</v>
      </c>
      <c r="F1067" s="331">
        <v>0.21</v>
      </c>
      <c r="G1067" s="332">
        <v>3847</v>
      </c>
      <c r="H1067" s="333">
        <v>4655</v>
      </c>
    </row>
    <row r="1068" spans="1:8">
      <c r="A1068" s="317">
        <v>1600703035</v>
      </c>
      <c r="B1068" s="317" t="s">
        <v>45438</v>
      </c>
      <c r="C1068" s="330" t="s">
        <v>6662</v>
      </c>
      <c r="D1068" s="330" t="s">
        <v>6663</v>
      </c>
      <c r="E1068" s="330" t="s">
        <v>37248</v>
      </c>
      <c r="F1068" s="331">
        <v>0.21</v>
      </c>
      <c r="G1068" s="332">
        <v>3350</v>
      </c>
      <c r="H1068" s="333">
        <v>4054</v>
      </c>
    </row>
    <row r="1069" spans="1:8">
      <c r="A1069" s="317">
        <v>1600703036</v>
      </c>
      <c r="B1069" s="317" t="s">
        <v>45439</v>
      </c>
      <c r="C1069" s="330" t="s">
        <v>6664</v>
      </c>
      <c r="D1069" s="330" t="s">
        <v>6665</v>
      </c>
      <c r="E1069" s="330" t="s">
        <v>4634</v>
      </c>
      <c r="F1069" s="331">
        <v>0.21</v>
      </c>
      <c r="G1069" s="332">
        <v>1713</v>
      </c>
      <c r="H1069" s="333">
        <v>2073</v>
      </c>
    </row>
    <row r="1070" spans="1:8">
      <c r="A1070" s="317">
        <v>1600703037</v>
      </c>
      <c r="B1070" s="317" t="s">
        <v>45440</v>
      </c>
      <c r="C1070" s="330" t="s">
        <v>6666</v>
      </c>
      <c r="D1070" s="330" t="s">
        <v>6667</v>
      </c>
      <c r="E1070" s="330" t="s">
        <v>37248</v>
      </c>
      <c r="F1070" s="331">
        <v>0.21</v>
      </c>
      <c r="G1070" s="332">
        <v>1862</v>
      </c>
      <c r="H1070" s="333">
        <v>2254</v>
      </c>
    </row>
    <row r="1071" spans="1:8">
      <c r="A1071" s="317">
        <v>1600703039</v>
      </c>
      <c r="B1071" s="317" t="s">
        <v>45441</v>
      </c>
      <c r="C1071" s="330" t="s">
        <v>6668</v>
      </c>
      <c r="D1071" s="330" t="s">
        <v>6669</v>
      </c>
      <c r="E1071" s="330" t="s">
        <v>37248</v>
      </c>
      <c r="F1071" s="331">
        <v>0.21</v>
      </c>
      <c r="G1071" s="332">
        <v>1579</v>
      </c>
      <c r="H1071" s="333">
        <v>1911</v>
      </c>
    </row>
    <row r="1072" spans="1:8">
      <c r="A1072" s="317">
        <v>1600703040</v>
      </c>
      <c r="B1072" s="317" t="s">
        <v>45442</v>
      </c>
      <c r="C1072" s="330" t="s">
        <v>6670</v>
      </c>
      <c r="D1072" s="330" t="s">
        <v>6671</v>
      </c>
      <c r="E1072" s="330" t="s">
        <v>37248</v>
      </c>
      <c r="F1072" s="331">
        <v>0.21</v>
      </c>
      <c r="G1072" s="332">
        <v>1809</v>
      </c>
      <c r="H1072" s="333">
        <v>2189</v>
      </c>
    </row>
    <row r="1073" spans="1:8">
      <c r="A1073" s="317">
        <v>1600703041</v>
      </c>
      <c r="B1073" s="317" t="s">
        <v>45443</v>
      </c>
      <c r="C1073" s="330" t="s">
        <v>6672</v>
      </c>
      <c r="D1073" s="330" t="s">
        <v>5244</v>
      </c>
      <c r="E1073" s="330" t="s">
        <v>37248</v>
      </c>
      <c r="F1073" s="331">
        <v>0.21</v>
      </c>
      <c r="G1073" s="332">
        <v>397</v>
      </c>
      <c r="H1073" s="333">
        <v>481</v>
      </c>
    </row>
    <row r="1074" spans="1:8">
      <c r="A1074" s="317">
        <v>1600703043</v>
      </c>
      <c r="B1074" s="317" t="s">
        <v>45444</v>
      </c>
      <c r="C1074" s="330" t="s">
        <v>6673</v>
      </c>
      <c r="D1074" s="330" t="s">
        <v>5244</v>
      </c>
      <c r="E1074" s="330" t="s">
        <v>37248</v>
      </c>
      <c r="F1074" s="331">
        <v>0.21</v>
      </c>
      <c r="G1074" s="332">
        <v>1396</v>
      </c>
      <c r="H1074" s="333">
        <v>1690</v>
      </c>
    </row>
    <row r="1075" spans="1:8">
      <c r="A1075" s="317">
        <v>1600703048</v>
      </c>
      <c r="B1075" s="317" t="s">
        <v>45445</v>
      </c>
      <c r="C1075" s="330" t="s">
        <v>6674</v>
      </c>
      <c r="D1075" s="330" t="s">
        <v>6675</v>
      </c>
      <c r="E1075" s="330" t="s">
        <v>4819</v>
      </c>
      <c r="F1075" s="331">
        <v>0.21</v>
      </c>
      <c r="G1075" s="332">
        <v>1195</v>
      </c>
      <c r="H1075" s="333">
        <v>1446</v>
      </c>
    </row>
    <row r="1076" spans="1:8">
      <c r="A1076" s="317">
        <v>160070304</v>
      </c>
      <c r="B1076" s="317" t="s">
        <v>45446</v>
      </c>
      <c r="C1076" s="330" t="s">
        <v>6676</v>
      </c>
      <c r="D1076" s="330" t="s">
        <v>6677</v>
      </c>
      <c r="E1076" s="330" t="s">
        <v>4819</v>
      </c>
      <c r="F1076" s="331">
        <v>0.21</v>
      </c>
      <c r="G1076" s="332">
        <v>1015</v>
      </c>
      <c r="H1076" s="333">
        <v>1229</v>
      </c>
    </row>
    <row r="1077" spans="1:8">
      <c r="A1077" s="317" t="s">
        <v>37690</v>
      </c>
      <c r="B1077" s="317" t="s">
        <v>45447</v>
      </c>
      <c r="C1077" s="330" t="s">
        <v>6678</v>
      </c>
      <c r="D1077" s="330" t="s">
        <v>6679</v>
      </c>
      <c r="E1077" s="330" t="s">
        <v>4819</v>
      </c>
      <c r="F1077" s="331">
        <v>0.21</v>
      </c>
      <c r="G1077" s="332">
        <v>740</v>
      </c>
      <c r="H1077" s="333">
        <v>896</v>
      </c>
    </row>
    <row r="1078" spans="1:8">
      <c r="A1078" s="317" t="s">
        <v>37691</v>
      </c>
      <c r="B1078" s="317" t="s">
        <v>45448</v>
      </c>
      <c r="C1078" s="330" t="s">
        <v>6680</v>
      </c>
      <c r="D1078" s="330" t="s">
        <v>6681</v>
      </c>
      <c r="E1078" s="330" t="s">
        <v>4819</v>
      </c>
      <c r="F1078" s="331">
        <v>0.21</v>
      </c>
      <c r="G1078" s="332">
        <v>3957</v>
      </c>
      <c r="H1078" s="333">
        <v>4788</v>
      </c>
    </row>
    <row r="1079" spans="1:8">
      <c r="A1079" s="317" t="s">
        <v>37692</v>
      </c>
      <c r="B1079" s="317" t="s">
        <v>45449</v>
      </c>
      <c r="C1079" s="330" t="s">
        <v>6682</v>
      </c>
      <c r="D1079" s="330" t="s">
        <v>6683</v>
      </c>
      <c r="E1079" s="330" t="s">
        <v>37248</v>
      </c>
      <c r="F1079" s="331">
        <v>0.21</v>
      </c>
      <c r="G1079" s="332">
        <v>1019</v>
      </c>
      <c r="H1079" s="333">
        <v>1233</v>
      </c>
    </row>
    <row r="1080" spans="1:8">
      <c r="A1080" s="317" t="s">
        <v>37693</v>
      </c>
      <c r="B1080" s="317" t="s">
        <v>45450</v>
      </c>
      <c r="C1080" s="330" t="s">
        <v>6684</v>
      </c>
      <c r="D1080" s="330" t="s">
        <v>6685</v>
      </c>
      <c r="E1080" s="330" t="s">
        <v>4819</v>
      </c>
      <c r="F1080" s="331">
        <v>0.21</v>
      </c>
      <c r="G1080" s="332">
        <v>1282</v>
      </c>
      <c r="H1080" s="333">
        <v>1552</v>
      </c>
    </row>
    <row r="1081" spans="1:8">
      <c r="A1081" s="317" t="s">
        <v>37694</v>
      </c>
      <c r="B1081" s="317" t="s">
        <v>45451</v>
      </c>
      <c r="C1081" s="330" t="s">
        <v>6686</v>
      </c>
      <c r="D1081" s="330" t="s">
        <v>6687</v>
      </c>
      <c r="E1081" s="330" t="s">
        <v>4634</v>
      </c>
      <c r="F1081" s="331">
        <v>0.21</v>
      </c>
      <c r="G1081" s="332">
        <v>814</v>
      </c>
      <c r="H1081" s="333">
        <v>985</v>
      </c>
    </row>
    <row r="1082" spans="1:8">
      <c r="A1082" s="317" t="s">
        <v>37695</v>
      </c>
      <c r="B1082" s="317" t="s">
        <v>45452</v>
      </c>
      <c r="C1082" s="330" t="s">
        <v>6688</v>
      </c>
      <c r="D1082" s="330" t="s">
        <v>5244</v>
      </c>
      <c r="E1082" s="330" t="s">
        <v>37248</v>
      </c>
      <c r="F1082" s="331">
        <v>0.21</v>
      </c>
      <c r="G1082" s="332">
        <v>976</v>
      </c>
      <c r="H1082" s="333">
        <v>1181</v>
      </c>
    </row>
    <row r="1083" spans="1:8">
      <c r="A1083" s="317">
        <v>1600712030</v>
      </c>
      <c r="B1083" s="317" t="s">
        <v>45453</v>
      </c>
      <c r="C1083" s="330" t="s">
        <v>6689</v>
      </c>
      <c r="D1083" s="330" t="s">
        <v>6690</v>
      </c>
      <c r="E1083" s="330" t="s">
        <v>37248</v>
      </c>
      <c r="F1083" s="331">
        <v>0.21</v>
      </c>
      <c r="G1083" s="332">
        <v>570</v>
      </c>
      <c r="H1083" s="333">
        <v>690</v>
      </c>
    </row>
    <row r="1084" spans="1:8">
      <c r="A1084" s="317" t="s">
        <v>37696</v>
      </c>
      <c r="B1084" s="317" t="s">
        <v>45454</v>
      </c>
      <c r="C1084" s="330" t="s">
        <v>6691</v>
      </c>
      <c r="D1084" s="330" t="s">
        <v>6692</v>
      </c>
      <c r="E1084" s="330" t="s">
        <v>37248</v>
      </c>
      <c r="F1084" s="331">
        <v>0.21</v>
      </c>
      <c r="G1084" s="332">
        <v>174</v>
      </c>
      <c r="H1084" s="333">
        <v>211</v>
      </c>
    </row>
    <row r="1085" spans="1:8">
      <c r="A1085" s="317">
        <v>1600795008</v>
      </c>
      <c r="B1085" s="317" t="s">
        <v>45455</v>
      </c>
      <c r="C1085" s="330" t="s">
        <v>6693</v>
      </c>
      <c r="D1085" s="330" t="s">
        <v>6694</v>
      </c>
      <c r="E1085" s="330" t="s">
        <v>4634</v>
      </c>
      <c r="F1085" s="331">
        <v>0.21</v>
      </c>
      <c r="G1085" s="332">
        <v>9128</v>
      </c>
      <c r="H1085" s="333">
        <v>11045</v>
      </c>
    </row>
    <row r="1086" spans="1:8">
      <c r="A1086" s="317">
        <v>1600900001</v>
      </c>
      <c r="B1086" s="317" t="s">
        <v>45456</v>
      </c>
      <c r="C1086" s="330" t="s">
        <v>6695</v>
      </c>
      <c r="D1086" s="330" t="s">
        <v>5782</v>
      </c>
      <c r="E1086" s="330" t="s">
        <v>4634</v>
      </c>
      <c r="F1086" s="331">
        <v>0.21</v>
      </c>
      <c r="G1086" s="332">
        <v>5239</v>
      </c>
      <c r="H1086" s="333">
        <v>6340</v>
      </c>
    </row>
    <row r="1087" spans="1:8">
      <c r="A1087" s="317">
        <v>1600900020</v>
      </c>
      <c r="B1087" s="317" t="s">
        <v>45457</v>
      </c>
      <c r="C1087" s="330" t="s">
        <v>6696</v>
      </c>
      <c r="D1087" s="330" t="s">
        <v>5782</v>
      </c>
      <c r="E1087" s="330" t="s">
        <v>4634</v>
      </c>
      <c r="F1087" s="331">
        <v>0.21</v>
      </c>
      <c r="G1087" s="332">
        <v>2330</v>
      </c>
      <c r="H1087" s="333">
        <v>2820</v>
      </c>
    </row>
    <row r="1088" spans="1:8">
      <c r="A1088" s="317">
        <v>1600900024</v>
      </c>
      <c r="B1088" s="317" t="s">
        <v>45458</v>
      </c>
      <c r="C1088" s="330" t="s">
        <v>6697</v>
      </c>
      <c r="D1088" s="330" t="s">
        <v>5782</v>
      </c>
      <c r="E1088" s="330" t="s">
        <v>4634</v>
      </c>
      <c r="F1088" s="331">
        <v>0.21</v>
      </c>
      <c r="G1088" s="332">
        <v>6072</v>
      </c>
      <c r="H1088" s="333">
        <v>7348</v>
      </c>
    </row>
    <row r="1089" spans="1:8">
      <c r="A1089" s="317">
        <v>1600900027</v>
      </c>
      <c r="B1089" s="317" t="s">
        <v>45459</v>
      </c>
      <c r="C1089" s="330" t="s">
        <v>6698</v>
      </c>
      <c r="D1089" s="330" t="s">
        <v>6699</v>
      </c>
      <c r="E1089" s="330" t="s">
        <v>4634</v>
      </c>
      <c r="F1089" s="331">
        <v>0.21</v>
      </c>
      <c r="G1089" s="332">
        <v>4374</v>
      </c>
      <c r="H1089" s="333">
        <v>5293</v>
      </c>
    </row>
    <row r="1090" spans="1:8">
      <c r="A1090" s="317">
        <v>1600900029</v>
      </c>
      <c r="B1090" s="317" t="s">
        <v>45460</v>
      </c>
      <c r="C1090" s="330" t="s">
        <v>6700</v>
      </c>
      <c r="D1090" s="330" t="s">
        <v>5782</v>
      </c>
      <c r="E1090" s="330" t="s">
        <v>37248</v>
      </c>
      <c r="F1090" s="331">
        <v>0.21</v>
      </c>
      <c r="G1090" s="332">
        <v>11666</v>
      </c>
      <c r="H1090" s="333">
        <v>14116</v>
      </c>
    </row>
    <row r="1091" spans="1:8">
      <c r="A1091" s="317">
        <v>1600900032</v>
      </c>
      <c r="B1091" s="317" t="s">
        <v>45461</v>
      </c>
      <c r="C1091" s="330" t="s">
        <v>6701</v>
      </c>
      <c r="D1091" s="330" t="s">
        <v>6702</v>
      </c>
      <c r="E1091" s="330" t="s">
        <v>4634</v>
      </c>
      <c r="F1091" s="331">
        <v>0.21</v>
      </c>
      <c r="G1091" s="332">
        <v>329</v>
      </c>
      <c r="H1091" s="333">
        <v>399</v>
      </c>
    </row>
    <row r="1092" spans="1:8">
      <c r="A1092" s="317">
        <v>1600900041</v>
      </c>
      <c r="B1092" s="317" t="s">
        <v>45462</v>
      </c>
      <c r="C1092" s="330" t="s">
        <v>6703</v>
      </c>
      <c r="D1092" s="330" t="s">
        <v>6704</v>
      </c>
      <c r="E1092" s="330" t="s">
        <v>37248</v>
      </c>
      <c r="F1092" s="331">
        <v>0.21</v>
      </c>
      <c r="G1092" s="332">
        <v>2094</v>
      </c>
      <c r="H1092" s="333">
        <v>2534</v>
      </c>
    </row>
    <row r="1093" spans="1:8">
      <c r="A1093" s="317">
        <v>1600900045</v>
      </c>
      <c r="B1093" s="317" t="s">
        <v>45463</v>
      </c>
      <c r="C1093" s="330" t="s">
        <v>6705</v>
      </c>
      <c r="D1093" s="330" t="s">
        <v>6706</v>
      </c>
      <c r="E1093" s="330" t="s">
        <v>4634</v>
      </c>
      <c r="F1093" s="331">
        <v>0.21</v>
      </c>
      <c r="G1093" s="332">
        <v>4767</v>
      </c>
      <c r="H1093" s="333">
        <v>5769</v>
      </c>
    </row>
    <row r="1094" spans="1:8">
      <c r="A1094" s="317">
        <v>1600900046</v>
      </c>
      <c r="B1094" s="317" t="s">
        <v>45464</v>
      </c>
      <c r="C1094" s="330" t="s">
        <v>6707</v>
      </c>
      <c r="D1094" s="330" t="s">
        <v>6708</v>
      </c>
      <c r="E1094" s="330" t="s">
        <v>4623</v>
      </c>
      <c r="F1094" s="331">
        <v>0.21</v>
      </c>
      <c r="G1094" s="332">
        <v>4978</v>
      </c>
      <c r="H1094" s="333">
        <v>6024</v>
      </c>
    </row>
    <row r="1095" spans="1:8">
      <c r="A1095" s="317" t="s">
        <v>37697</v>
      </c>
      <c r="B1095" s="317" t="s">
        <v>45465</v>
      </c>
      <c r="C1095" s="330" t="s">
        <v>6709</v>
      </c>
      <c r="D1095" s="330" t="s">
        <v>6710</v>
      </c>
      <c r="E1095" s="330" t="s">
        <v>37248</v>
      </c>
      <c r="F1095" s="331">
        <v>0.21</v>
      </c>
      <c r="G1095" s="332">
        <v>3506</v>
      </c>
      <c r="H1095" s="333">
        <v>4243</v>
      </c>
    </row>
    <row r="1096" spans="1:8">
      <c r="A1096" s="317">
        <v>1600900053</v>
      </c>
      <c r="B1096" s="317" t="s">
        <v>45466</v>
      </c>
      <c r="C1096" s="330" t="s">
        <v>6711</v>
      </c>
      <c r="D1096" s="330" t="s">
        <v>5246</v>
      </c>
      <c r="E1096" s="330" t="s">
        <v>4819</v>
      </c>
      <c r="F1096" s="331">
        <v>0.21</v>
      </c>
      <c r="G1096" s="332">
        <v>2935</v>
      </c>
      <c r="H1096" s="333">
        <v>3552</v>
      </c>
    </row>
    <row r="1097" spans="1:8">
      <c r="A1097" s="317">
        <v>1600900054</v>
      </c>
      <c r="B1097" s="317" t="s">
        <v>45467</v>
      </c>
      <c r="C1097" s="330" t="s">
        <v>6712</v>
      </c>
      <c r="D1097" s="330" t="s">
        <v>6713</v>
      </c>
      <c r="E1097" s="330" t="s">
        <v>4819</v>
      </c>
      <c r="F1097" s="331">
        <v>0.21</v>
      </c>
      <c r="G1097" s="332">
        <v>2873</v>
      </c>
      <c r="H1097" s="333">
        <v>3477</v>
      </c>
    </row>
    <row r="1098" spans="1:8">
      <c r="A1098" s="317">
        <v>1600900055</v>
      </c>
      <c r="B1098" s="317" t="s">
        <v>45468</v>
      </c>
      <c r="C1098" s="330" t="s">
        <v>6714</v>
      </c>
      <c r="D1098" s="330" t="s">
        <v>6713</v>
      </c>
      <c r="E1098" s="330" t="s">
        <v>37248</v>
      </c>
      <c r="F1098" s="331">
        <v>0.21</v>
      </c>
      <c r="G1098" s="332">
        <v>4044</v>
      </c>
      <c r="H1098" s="333">
        <v>4894</v>
      </c>
    </row>
    <row r="1099" spans="1:8">
      <c r="A1099" s="317" t="s">
        <v>37698</v>
      </c>
      <c r="B1099" s="317" t="s">
        <v>45469</v>
      </c>
      <c r="C1099" s="330" t="s">
        <v>6715</v>
      </c>
      <c r="D1099" s="330" t="s">
        <v>6716</v>
      </c>
      <c r="E1099" s="330" t="s">
        <v>4819</v>
      </c>
      <c r="F1099" s="331">
        <v>0.21</v>
      </c>
      <c r="G1099" s="332">
        <v>5597</v>
      </c>
      <c r="H1099" s="333">
        <v>6773</v>
      </c>
    </row>
    <row r="1100" spans="1:8">
      <c r="A1100" s="317" t="s">
        <v>37699</v>
      </c>
      <c r="B1100" s="317" t="s">
        <v>45470</v>
      </c>
      <c r="C1100" s="330" t="s">
        <v>6717</v>
      </c>
      <c r="D1100" s="330" t="s">
        <v>6718</v>
      </c>
      <c r="E1100" s="330" t="s">
        <v>4819</v>
      </c>
      <c r="F1100" s="331">
        <v>0.21</v>
      </c>
      <c r="G1100" s="332">
        <v>1566</v>
      </c>
      <c r="H1100" s="333">
        <v>1895</v>
      </c>
    </row>
    <row r="1101" spans="1:8">
      <c r="A1101" s="317" t="s">
        <v>37700</v>
      </c>
      <c r="B1101" s="317" t="s">
        <v>45471</v>
      </c>
      <c r="C1101" s="330" t="s">
        <v>6719</v>
      </c>
      <c r="D1101" s="330" t="s">
        <v>6718</v>
      </c>
      <c r="E1101" s="330" t="s">
        <v>4819</v>
      </c>
      <c r="F1101" s="331">
        <v>0.21</v>
      </c>
      <c r="G1101" s="332">
        <v>1875</v>
      </c>
      <c r="H1101" s="333">
        <v>2269</v>
      </c>
    </row>
    <row r="1102" spans="1:8">
      <c r="A1102" s="317" t="s">
        <v>37701</v>
      </c>
      <c r="B1102" s="317" t="s">
        <v>45472</v>
      </c>
      <c r="C1102" s="330" t="s">
        <v>6720</v>
      </c>
      <c r="D1102" s="330" t="s">
        <v>6721</v>
      </c>
      <c r="E1102" s="330" t="s">
        <v>4634</v>
      </c>
      <c r="F1102" s="331">
        <v>0.21</v>
      </c>
      <c r="G1102" s="332">
        <v>2520</v>
      </c>
      <c r="H1102" s="333">
        <v>3050</v>
      </c>
    </row>
    <row r="1103" spans="1:8">
      <c r="A1103" s="317" t="s">
        <v>37702</v>
      </c>
      <c r="B1103" s="317" t="s">
        <v>45473</v>
      </c>
      <c r="C1103" s="330" t="s">
        <v>6722</v>
      </c>
      <c r="D1103" s="330" t="s">
        <v>6723</v>
      </c>
      <c r="E1103" s="330" t="s">
        <v>4819</v>
      </c>
      <c r="F1103" s="331">
        <v>0.21</v>
      </c>
      <c r="G1103" s="332">
        <v>4149</v>
      </c>
      <c r="H1103" s="333">
        <v>5021</v>
      </c>
    </row>
    <row r="1104" spans="1:8">
      <c r="A1104" s="317" t="s">
        <v>37703</v>
      </c>
      <c r="B1104" s="317" t="s">
        <v>45474</v>
      </c>
      <c r="C1104" s="330" t="s">
        <v>6724</v>
      </c>
      <c r="D1104" s="330" t="s">
        <v>6723</v>
      </c>
      <c r="E1104" s="330" t="s">
        <v>4819</v>
      </c>
      <c r="F1104" s="331">
        <v>0.21</v>
      </c>
      <c r="G1104" s="332">
        <v>3847</v>
      </c>
      <c r="H1104" s="333">
        <v>4655</v>
      </c>
    </row>
    <row r="1105" spans="1:8">
      <c r="A1105" s="317">
        <v>160090006</v>
      </c>
      <c r="B1105" s="317" t="s">
        <v>45475</v>
      </c>
      <c r="C1105" s="330" t="s">
        <v>6725</v>
      </c>
      <c r="D1105" s="330" t="s">
        <v>6726</v>
      </c>
      <c r="E1105" s="330" t="s">
        <v>4819</v>
      </c>
      <c r="F1105" s="331">
        <v>0.21</v>
      </c>
      <c r="G1105" s="332">
        <v>2656</v>
      </c>
      <c r="H1105" s="333">
        <v>3214</v>
      </c>
    </row>
    <row r="1106" spans="1:8">
      <c r="A1106" s="317" t="s">
        <v>37704</v>
      </c>
      <c r="B1106" s="317" t="s">
        <v>45476</v>
      </c>
      <c r="C1106" s="330" t="s">
        <v>6727</v>
      </c>
      <c r="D1106" s="330" t="s">
        <v>6726</v>
      </c>
      <c r="E1106" s="330" t="s">
        <v>4819</v>
      </c>
      <c r="F1106" s="331">
        <v>0.21</v>
      </c>
      <c r="G1106" s="332">
        <v>3022</v>
      </c>
      <c r="H1106" s="333">
        <v>3657</v>
      </c>
    </row>
    <row r="1107" spans="1:8">
      <c r="A1107" s="317" t="s">
        <v>37705</v>
      </c>
      <c r="B1107" s="317" t="s">
        <v>45477</v>
      </c>
      <c r="C1107" s="330" t="s">
        <v>6728</v>
      </c>
      <c r="D1107" s="330" t="s">
        <v>6729</v>
      </c>
      <c r="E1107" s="330" t="s">
        <v>37248</v>
      </c>
      <c r="F1107" s="331">
        <v>0.21</v>
      </c>
      <c r="G1107" s="332">
        <v>470</v>
      </c>
      <c r="H1107" s="333">
        <v>569</v>
      </c>
    </row>
    <row r="1108" spans="1:8">
      <c r="A1108" s="317">
        <v>1600900079</v>
      </c>
      <c r="B1108" s="317" t="s">
        <v>45478</v>
      </c>
      <c r="C1108" s="330" t="s">
        <v>6730</v>
      </c>
      <c r="D1108" s="330" t="s">
        <v>6731</v>
      </c>
      <c r="E1108" s="330" t="s">
        <v>4634</v>
      </c>
      <c r="F1108" s="331">
        <v>0.21</v>
      </c>
      <c r="G1108" s="332">
        <v>3087</v>
      </c>
      <c r="H1108" s="333">
        <v>3736</v>
      </c>
    </row>
    <row r="1109" spans="1:8">
      <c r="A1109" s="317" t="s">
        <v>37706</v>
      </c>
      <c r="B1109" s="317" t="s">
        <v>45479</v>
      </c>
      <c r="C1109" s="330" t="s">
        <v>6732</v>
      </c>
      <c r="D1109" s="330" t="s">
        <v>6733</v>
      </c>
      <c r="E1109" s="330" t="s">
        <v>37248</v>
      </c>
      <c r="F1109" s="331">
        <v>0.21</v>
      </c>
      <c r="G1109" s="332">
        <v>4872</v>
      </c>
      <c r="H1109" s="333">
        <v>5896</v>
      </c>
    </row>
    <row r="1110" spans="1:8">
      <c r="A1110" s="317" t="s">
        <v>37707</v>
      </c>
      <c r="B1110" s="317" t="s">
        <v>45480</v>
      </c>
      <c r="C1110" s="330" t="s">
        <v>6734</v>
      </c>
      <c r="D1110" s="330" t="s">
        <v>6733</v>
      </c>
      <c r="E1110" s="330" t="s">
        <v>37248</v>
      </c>
      <c r="F1110" s="331">
        <v>0.21</v>
      </c>
      <c r="G1110" s="332">
        <v>4851</v>
      </c>
      <c r="H1110" s="333">
        <v>5870</v>
      </c>
    </row>
    <row r="1111" spans="1:8">
      <c r="A1111" s="317" t="s">
        <v>37708</v>
      </c>
      <c r="B1111" s="317" t="s">
        <v>45481</v>
      </c>
      <c r="C1111" s="330" t="s">
        <v>6735</v>
      </c>
      <c r="D1111" s="330" t="s">
        <v>6733</v>
      </c>
      <c r="E1111" s="330" t="s">
        <v>4634</v>
      </c>
      <c r="F1111" s="331">
        <v>0.21</v>
      </c>
      <c r="G1111" s="332">
        <v>3161</v>
      </c>
      <c r="H1111" s="333">
        <v>3825</v>
      </c>
    </row>
    <row r="1112" spans="1:8">
      <c r="A1112" s="317">
        <v>1600900088</v>
      </c>
      <c r="B1112" s="317" t="s">
        <v>45482</v>
      </c>
      <c r="C1112" s="330" t="s">
        <v>6736</v>
      </c>
      <c r="D1112" s="330" t="s">
        <v>6737</v>
      </c>
      <c r="E1112" s="330" t="s">
        <v>37248</v>
      </c>
      <c r="F1112" s="331">
        <v>0.21</v>
      </c>
      <c r="G1112" s="332">
        <v>13371</v>
      </c>
      <c r="H1112" s="333">
        <v>16179</v>
      </c>
    </row>
    <row r="1113" spans="1:8">
      <c r="A1113" s="317" t="s">
        <v>37709</v>
      </c>
      <c r="B1113" s="317" t="s">
        <v>45483</v>
      </c>
      <c r="C1113" s="330" t="s">
        <v>6738</v>
      </c>
      <c r="D1113" s="330" t="s">
        <v>4859</v>
      </c>
      <c r="E1113" s="330" t="s">
        <v>37248</v>
      </c>
      <c r="F1113" s="331">
        <v>0.21</v>
      </c>
      <c r="G1113" s="332">
        <v>7031</v>
      </c>
      <c r="H1113" s="333">
        <v>8508</v>
      </c>
    </row>
    <row r="1114" spans="1:8">
      <c r="A1114" s="317" t="s">
        <v>37710</v>
      </c>
      <c r="B1114" s="317" t="s">
        <v>45484</v>
      </c>
      <c r="C1114" s="330" t="s">
        <v>6739</v>
      </c>
      <c r="D1114" s="330" t="s">
        <v>6740</v>
      </c>
      <c r="E1114" s="330" t="s">
        <v>37248</v>
      </c>
      <c r="F1114" s="331">
        <v>0.21</v>
      </c>
      <c r="G1114" s="332">
        <v>1530</v>
      </c>
      <c r="H1114" s="333">
        <v>1852</v>
      </c>
    </row>
    <row r="1115" spans="1:8">
      <c r="A1115" s="317">
        <v>1600905009</v>
      </c>
      <c r="B1115" s="317" t="s">
        <v>45485</v>
      </c>
      <c r="C1115" s="330" t="s">
        <v>6741</v>
      </c>
      <c r="D1115" s="330" t="s">
        <v>6742</v>
      </c>
      <c r="E1115" s="330" t="s">
        <v>4634</v>
      </c>
      <c r="F1115" s="331">
        <v>0.21</v>
      </c>
      <c r="G1115" s="332">
        <v>3838</v>
      </c>
      <c r="H1115" s="333">
        <v>4644</v>
      </c>
    </row>
    <row r="1116" spans="1:8">
      <c r="A1116" s="317">
        <v>1600905011</v>
      </c>
      <c r="B1116" s="317" t="s">
        <v>45486</v>
      </c>
      <c r="C1116" s="330" t="s">
        <v>6743</v>
      </c>
      <c r="D1116" s="330" t="s">
        <v>37249</v>
      </c>
      <c r="E1116" s="330" t="s">
        <v>37248</v>
      </c>
      <c r="F1116" s="331">
        <v>0.21</v>
      </c>
      <c r="G1116" s="332">
        <v>4515</v>
      </c>
      <c r="H1116" s="333">
        <v>5464</v>
      </c>
    </row>
    <row r="1117" spans="1:8">
      <c r="A1117" s="317">
        <v>1600905016</v>
      </c>
      <c r="B1117" s="317" t="s">
        <v>45487</v>
      </c>
      <c r="C1117" s="330" t="s">
        <v>6744</v>
      </c>
      <c r="D1117" s="330" t="s">
        <v>6745</v>
      </c>
      <c r="E1117" s="330" t="s">
        <v>4819</v>
      </c>
      <c r="F1117" s="331">
        <v>0.21</v>
      </c>
      <c r="G1117" s="332">
        <v>9654</v>
      </c>
      <c r="H1117" s="333">
        <v>11682</v>
      </c>
    </row>
    <row r="1118" spans="1:8">
      <c r="A1118" s="317">
        <v>1600905017</v>
      </c>
      <c r="B1118" s="317" t="s">
        <v>45488</v>
      </c>
      <c r="C1118" s="330" t="s">
        <v>6746</v>
      </c>
      <c r="D1118" s="330" t="s">
        <v>6747</v>
      </c>
      <c r="E1118" s="330" t="s">
        <v>4634</v>
      </c>
      <c r="F1118" s="331">
        <v>0.21</v>
      </c>
      <c r="G1118" s="332">
        <v>5456</v>
      </c>
      <c r="H1118" s="333">
        <v>6602</v>
      </c>
    </row>
    <row r="1119" spans="1:8">
      <c r="A1119" s="317">
        <v>1600905026</v>
      </c>
      <c r="B1119" s="317" t="s">
        <v>45489</v>
      </c>
      <c r="C1119" s="330" t="s">
        <v>6748</v>
      </c>
      <c r="D1119" s="330" t="s">
        <v>6749</v>
      </c>
      <c r="E1119" s="330" t="s">
        <v>37248</v>
      </c>
      <c r="F1119" s="331">
        <v>0.21</v>
      </c>
      <c r="G1119" s="332">
        <v>10225</v>
      </c>
      <c r="H1119" s="333">
        <v>12373</v>
      </c>
    </row>
    <row r="1120" spans="1:8">
      <c r="A1120" s="317">
        <v>1600905028</v>
      </c>
      <c r="B1120" s="317" t="s">
        <v>45490</v>
      </c>
      <c r="C1120" s="330" t="s">
        <v>6750</v>
      </c>
      <c r="D1120" s="330" t="s">
        <v>6751</v>
      </c>
      <c r="E1120" s="330" t="s">
        <v>37248</v>
      </c>
      <c r="F1120" s="331">
        <v>0.21</v>
      </c>
      <c r="G1120" s="332">
        <v>11394</v>
      </c>
      <c r="H1120" s="333">
        <v>13787</v>
      </c>
    </row>
    <row r="1121" spans="1:8">
      <c r="A1121" s="317">
        <v>1600905032</v>
      </c>
      <c r="B1121" s="317" t="s">
        <v>45491</v>
      </c>
      <c r="C1121" s="330" t="s">
        <v>6752</v>
      </c>
      <c r="D1121" s="330" t="s">
        <v>6740</v>
      </c>
      <c r="E1121" s="330" t="s">
        <v>37248</v>
      </c>
      <c r="F1121" s="331">
        <v>0.21</v>
      </c>
      <c r="G1121" s="332">
        <v>6239</v>
      </c>
      <c r="H1121" s="333">
        <v>7550</v>
      </c>
    </row>
    <row r="1122" spans="1:8">
      <c r="A1122" s="317">
        <v>1600905034</v>
      </c>
      <c r="B1122" s="317" t="s">
        <v>45492</v>
      </c>
      <c r="C1122" s="330" t="s">
        <v>6753</v>
      </c>
      <c r="D1122" s="330" t="s">
        <v>6754</v>
      </c>
      <c r="E1122" s="330" t="s">
        <v>37248</v>
      </c>
      <c r="F1122" s="331">
        <v>0.21</v>
      </c>
      <c r="G1122" s="332">
        <v>5447</v>
      </c>
      <c r="H1122" s="333">
        <v>6591</v>
      </c>
    </row>
    <row r="1123" spans="1:8">
      <c r="A1123" s="317">
        <v>1600905035</v>
      </c>
      <c r="B1123" s="317" t="s">
        <v>45493</v>
      </c>
      <c r="C1123" s="330" t="s">
        <v>6755</v>
      </c>
      <c r="D1123" s="330" t="s">
        <v>6756</v>
      </c>
      <c r="E1123" s="330" t="s">
        <v>37248</v>
      </c>
      <c r="F1123" s="331">
        <v>0.21</v>
      </c>
      <c r="G1123" s="332">
        <v>9337</v>
      </c>
      <c r="H1123" s="333">
        <v>11298</v>
      </c>
    </row>
    <row r="1124" spans="1:8">
      <c r="A1124" s="317">
        <v>1600910001</v>
      </c>
      <c r="B1124" s="317" t="s">
        <v>45494</v>
      </c>
      <c r="C1124" s="330" t="s">
        <v>6757</v>
      </c>
      <c r="D1124" s="330" t="s">
        <v>6758</v>
      </c>
      <c r="E1124" s="330" t="s">
        <v>4634</v>
      </c>
      <c r="F1124" s="331">
        <v>0.21</v>
      </c>
      <c r="G1124" s="332">
        <v>2063</v>
      </c>
      <c r="H1124" s="333">
        <v>2497</v>
      </c>
    </row>
    <row r="1125" spans="1:8">
      <c r="A1125" s="317">
        <v>1600910002</v>
      </c>
      <c r="B1125" s="317" t="s">
        <v>45495</v>
      </c>
      <c r="C1125" s="330" t="s">
        <v>6759</v>
      </c>
      <c r="D1125" s="330" t="s">
        <v>6760</v>
      </c>
      <c r="E1125" s="330" t="s">
        <v>4819</v>
      </c>
      <c r="F1125" s="331">
        <v>0.21</v>
      </c>
      <c r="G1125" s="332">
        <v>10243</v>
      </c>
      <c r="H1125" s="333">
        <v>12395</v>
      </c>
    </row>
    <row r="1126" spans="1:8">
      <c r="A1126" s="317">
        <v>1600910010</v>
      </c>
      <c r="B1126" s="317" t="s">
        <v>45496</v>
      </c>
      <c r="C1126" s="330" t="s">
        <v>6761</v>
      </c>
      <c r="D1126" s="330" t="s">
        <v>6762</v>
      </c>
      <c r="E1126" s="330" t="s">
        <v>4819</v>
      </c>
      <c r="F1126" s="331">
        <v>0.21</v>
      </c>
      <c r="G1126" s="332">
        <v>29718</v>
      </c>
      <c r="H1126" s="333">
        <v>35959</v>
      </c>
    </row>
    <row r="1127" spans="1:8">
      <c r="A1127" s="317">
        <v>1600910011</v>
      </c>
      <c r="B1127" s="317" t="s">
        <v>45497</v>
      </c>
      <c r="C1127" s="330" t="s">
        <v>6763</v>
      </c>
      <c r="D1127" s="330" t="s">
        <v>6764</v>
      </c>
      <c r="E1127" s="330" t="s">
        <v>4634</v>
      </c>
      <c r="F1127" s="331">
        <v>0.21</v>
      </c>
      <c r="G1127" s="332">
        <v>3528</v>
      </c>
      <c r="H1127" s="333">
        <v>4269</v>
      </c>
    </row>
    <row r="1128" spans="1:8">
      <c r="A1128" s="317">
        <v>1600910012</v>
      </c>
      <c r="B1128" s="317" t="s">
        <v>45498</v>
      </c>
      <c r="C1128" s="330" t="s">
        <v>6765</v>
      </c>
      <c r="D1128" s="330" t="s">
        <v>6766</v>
      </c>
      <c r="E1128" s="330" t="s">
        <v>4819</v>
      </c>
      <c r="F1128" s="331">
        <v>0.21</v>
      </c>
      <c r="G1128" s="332">
        <v>4396</v>
      </c>
      <c r="H1128" s="333">
        <v>5320</v>
      </c>
    </row>
    <row r="1129" spans="1:8">
      <c r="A1129" s="317">
        <v>1600910013</v>
      </c>
      <c r="B1129" s="317" t="s">
        <v>45499</v>
      </c>
      <c r="C1129" s="330" t="s">
        <v>6767</v>
      </c>
      <c r="D1129" s="330" t="s">
        <v>6768</v>
      </c>
      <c r="E1129" s="330" t="s">
        <v>4819</v>
      </c>
      <c r="F1129" s="331">
        <v>0.21</v>
      </c>
      <c r="G1129" s="332">
        <v>8010</v>
      </c>
      <c r="H1129" s="333">
        <v>9693</v>
      </c>
    </row>
    <row r="1130" spans="1:8">
      <c r="A1130" s="317">
        <v>1600910014</v>
      </c>
      <c r="B1130" s="317" t="s">
        <v>45500</v>
      </c>
      <c r="C1130" s="330" t="s">
        <v>6769</v>
      </c>
      <c r="D1130" s="330" t="s">
        <v>6770</v>
      </c>
      <c r="E1130" s="330" t="s">
        <v>4634</v>
      </c>
      <c r="F1130" s="331">
        <v>0.21</v>
      </c>
      <c r="G1130" s="332">
        <v>2143</v>
      </c>
      <c r="H1130" s="333">
        <v>2594</v>
      </c>
    </row>
    <row r="1131" spans="1:8">
      <c r="A1131" s="317">
        <v>1600910018</v>
      </c>
      <c r="B1131" s="317" t="s">
        <v>45501</v>
      </c>
      <c r="C1131" s="330" t="s">
        <v>6771</v>
      </c>
      <c r="D1131" s="330" t="s">
        <v>6772</v>
      </c>
      <c r="E1131" s="330" t="s">
        <v>4634</v>
      </c>
      <c r="F1131" s="331">
        <v>0.21</v>
      </c>
      <c r="G1131" s="332">
        <v>4905</v>
      </c>
      <c r="H1131" s="333">
        <v>5936</v>
      </c>
    </row>
    <row r="1132" spans="1:8">
      <c r="A1132" s="317">
        <v>1600920000</v>
      </c>
      <c r="B1132" s="317" t="s">
        <v>45502</v>
      </c>
      <c r="C1132" s="330" t="s">
        <v>6773</v>
      </c>
      <c r="D1132" s="330" t="s">
        <v>6774</v>
      </c>
      <c r="E1132" s="330" t="s">
        <v>4634</v>
      </c>
      <c r="F1132" s="331">
        <v>0.21</v>
      </c>
      <c r="G1132" s="332">
        <v>1008</v>
      </c>
      <c r="H1132" s="333">
        <v>1220</v>
      </c>
    </row>
    <row r="1133" spans="1:8">
      <c r="A1133" s="317" t="s">
        <v>37711</v>
      </c>
      <c r="B1133" s="317" t="s">
        <v>45503</v>
      </c>
      <c r="C1133" s="330" t="s">
        <v>6775</v>
      </c>
      <c r="D1133" s="330" t="s">
        <v>6776</v>
      </c>
      <c r="E1133" s="330" t="s">
        <v>4819</v>
      </c>
      <c r="F1133" s="331">
        <v>0.21</v>
      </c>
      <c r="G1133" s="332">
        <v>16242</v>
      </c>
      <c r="H1133" s="333">
        <v>19653</v>
      </c>
    </row>
    <row r="1134" spans="1:8">
      <c r="A1134" s="317" t="s">
        <v>37712</v>
      </c>
      <c r="B1134" s="317" t="s">
        <v>45504</v>
      </c>
      <c r="C1134" s="330" t="s">
        <v>6777</v>
      </c>
      <c r="D1134" s="330" t="s">
        <v>6778</v>
      </c>
      <c r="E1134" s="330" t="s">
        <v>4634</v>
      </c>
      <c r="F1134" s="331">
        <v>0.21</v>
      </c>
      <c r="G1134" s="332">
        <v>274</v>
      </c>
      <c r="H1134" s="333">
        <v>332</v>
      </c>
    </row>
    <row r="1135" spans="1:8">
      <c r="A1135" s="317" t="s">
        <v>37713</v>
      </c>
      <c r="B1135" s="317" t="s">
        <v>45505</v>
      </c>
      <c r="C1135" s="330" t="s">
        <v>6779</v>
      </c>
      <c r="D1135" s="330" t="s">
        <v>6780</v>
      </c>
      <c r="E1135" s="330" t="s">
        <v>37248</v>
      </c>
      <c r="F1135" s="331">
        <v>0.21</v>
      </c>
      <c r="G1135" s="332">
        <v>11120</v>
      </c>
      <c r="H1135" s="333">
        <v>13456</v>
      </c>
    </row>
    <row r="1136" spans="1:8">
      <c r="A1136" s="317" t="s">
        <v>37714</v>
      </c>
      <c r="B1136" s="317" t="s">
        <v>45506</v>
      </c>
      <c r="C1136" s="330" t="s">
        <v>6781</v>
      </c>
      <c r="D1136" s="330" t="s">
        <v>6782</v>
      </c>
      <c r="E1136" s="330" t="s">
        <v>37248</v>
      </c>
      <c r="F1136" s="331">
        <v>0.21</v>
      </c>
      <c r="G1136" s="332">
        <v>10953</v>
      </c>
      <c r="H1136" s="333">
        <v>13254</v>
      </c>
    </row>
    <row r="1137" spans="1:8">
      <c r="A1137" s="317" t="s">
        <v>37715</v>
      </c>
      <c r="B1137" s="317" t="s">
        <v>45507</v>
      </c>
      <c r="C1137" s="330" t="s">
        <v>6783</v>
      </c>
      <c r="D1137" s="330" t="s">
        <v>6784</v>
      </c>
      <c r="E1137" s="330" t="s">
        <v>37248</v>
      </c>
      <c r="F1137" s="331">
        <v>0.21</v>
      </c>
      <c r="G1137" s="332">
        <v>919</v>
      </c>
      <c r="H1137" s="333">
        <v>1112</v>
      </c>
    </row>
    <row r="1138" spans="1:8">
      <c r="A1138" s="317" t="s">
        <v>37716</v>
      </c>
      <c r="B1138" s="317" t="s">
        <v>45508</v>
      </c>
      <c r="C1138" s="330" t="s">
        <v>6785</v>
      </c>
      <c r="D1138" s="330" t="s">
        <v>6786</v>
      </c>
      <c r="E1138" s="330" t="s">
        <v>37248</v>
      </c>
      <c r="F1138" s="331">
        <v>0.21</v>
      </c>
      <c r="G1138" s="332">
        <v>43042</v>
      </c>
      <c r="H1138" s="333">
        <v>52081</v>
      </c>
    </row>
    <row r="1139" spans="1:8">
      <c r="A1139" s="317" t="s">
        <v>37717</v>
      </c>
      <c r="B1139" s="317" t="s">
        <v>45509</v>
      </c>
      <c r="C1139" s="330" t="s">
        <v>6787</v>
      </c>
      <c r="D1139" s="330" t="s">
        <v>6788</v>
      </c>
      <c r="E1139" s="330" t="s">
        <v>37248</v>
      </c>
      <c r="F1139" s="331">
        <v>0.21</v>
      </c>
      <c r="G1139" s="332">
        <v>53788</v>
      </c>
      <c r="H1139" s="333">
        <v>65084</v>
      </c>
    </row>
    <row r="1140" spans="1:8">
      <c r="A1140" s="317" t="s">
        <v>37718</v>
      </c>
      <c r="B1140" s="317" t="s">
        <v>45510</v>
      </c>
      <c r="C1140" s="330" t="s">
        <v>6789</v>
      </c>
      <c r="D1140" s="330" t="s">
        <v>6784</v>
      </c>
      <c r="E1140" s="330" t="s">
        <v>37248</v>
      </c>
      <c r="F1140" s="331">
        <v>0.21</v>
      </c>
      <c r="G1140" s="332">
        <v>890</v>
      </c>
      <c r="H1140" s="333">
        <v>1077</v>
      </c>
    </row>
    <row r="1141" spans="1:8">
      <c r="A1141" s="317" t="s">
        <v>37719</v>
      </c>
      <c r="B1141" s="317" t="s">
        <v>45511</v>
      </c>
      <c r="C1141" s="330" t="s">
        <v>6790</v>
      </c>
      <c r="D1141" s="330" t="s">
        <v>6791</v>
      </c>
      <c r="E1141" s="330" t="s">
        <v>37248</v>
      </c>
      <c r="F1141" s="331">
        <v>0.21</v>
      </c>
      <c r="G1141" s="332">
        <v>59050</v>
      </c>
      <c r="H1141" s="333">
        <v>71451</v>
      </c>
    </row>
    <row r="1142" spans="1:8">
      <c r="A1142" s="317" t="s">
        <v>37720</v>
      </c>
      <c r="B1142" s="317" t="s">
        <v>45512</v>
      </c>
      <c r="C1142" s="330" t="s">
        <v>6792</v>
      </c>
      <c r="D1142" s="330" t="s">
        <v>6788</v>
      </c>
      <c r="E1142" s="330" t="s">
        <v>37248</v>
      </c>
      <c r="F1142" s="331">
        <v>0.21</v>
      </c>
      <c r="G1142" s="332">
        <v>70055</v>
      </c>
      <c r="H1142" s="333">
        <v>84767</v>
      </c>
    </row>
    <row r="1143" spans="1:8">
      <c r="A1143" s="317" t="s">
        <v>37721</v>
      </c>
      <c r="B1143" s="317" t="s">
        <v>45513</v>
      </c>
      <c r="C1143" s="330" t="s">
        <v>6793</v>
      </c>
      <c r="D1143" s="330" t="s">
        <v>6794</v>
      </c>
      <c r="E1143" s="330" t="s">
        <v>37248</v>
      </c>
      <c r="F1143" s="331">
        <v>0.21</v>
      </c>
      <c r="G1143" s="332">
        <v>29126</v>
      </c>
      <c r="H1143" s="333">
        <v>35243</v>
      </c>
    </row>
    <row r="1144" spans="1:8">
      <c r="A1144" s="317" t="s">
        <v>37722</v>
      </c>
      <c r="B1144" s="317" t="s">
        <v>45514</v>
      </c>
      <c r="C1144" s="330" t="s">
        <v>6795</v>
      </c>
      <c r="D1144" s="330" t="s">
        <v>6796</v>
      </c>
      <c r="E1144" s="330" t="s">
        <v>37248</v>
      </c>
      <c r="F1144" s="331">
        <v>0.21</v>
      </c>
      <c r="G1144" s="332">
        <v>2690</v>
      </c>
      <c r="H1144" s="333">
        <v>3255</v>
      </c>
    </row>
    <row r="1145" spans="1:8">
      <c r="A1145" s="317" t="s">
        <v>37723</v>
      </c>
      <c r="B1145" s="317" t="s">
        <v>45515</v>
      </c>
      <c r="C1145" s="330" t="s">
        <v>6797</v>
      </c>
      <c r="D1145" s="330" t="s">
        <v>6782</v>
      </c>
      <c r="E1145" s="330" t="s">
        <v>37248</v>
      </c>
      <c r="F1145" s="331">
        <v>0.21</v>
      </c>
      <c r="G1145" s="332">
        <v>52273</v>
      </c>
      <c r="H1145" s="333">
        <v>63251</v>
      </c>
    </row>
    <row r="1146" spans="1:8">
      <c r="A1146" s="317" t="s">
        <v>37724</v>
      </c>
      <c r="B1146" s="317" t="s">
        <v>45516</v>
      </c>
      <c r="C1146" s="330" t="s">
        <v>6798</v>
      </c>
      <c r="D1146" s="330" t="s">
        <v>6791</v>
      </c>
      <c r="E1146" s="330" t="s">
        <v>37248</v>
      </c>
      <c r="F1146" s="331">
        <v>0.21</v>
      </c>
      <c r="G1146" s="332">
        <v>56938</v>
      </c>
      <c r="H1146" s="333">
        <v>68895</v>
      </c>
    </row>
    <row r="1147" spans="1:8">
      <c r="A1147" s="317" t="s">
        <v>37725</v>
      </c>
      <c r="B1147" s="317" t="s">
        <v>45517</v>
      </c>
      <c r="C1147" s="330" t="s">
        <v>6799</v>
      </c>
      <c r="D1147" s="330" t="s">
        <v>6788</v>
      </c>
      <c r="E1147" s="330" t="s">
        <v>37248</v>
      </c>
      <c r="F1147" s="331">
        <v>0.21</v>
      </c>
      <c r="G1147" s="332">
        <v>64332</v>
      </c>
      <c r="H1147" s="333">
        <v>77842</v>
      </c>
    </row>
    <row r="1148" spans="1:8">
      <c r="A1148" s="317" t="s">
        <v>37726</v>
      </c>
      <c r="B1148" s="317" t="s">
        <v>45518</v>
      </c>
      <c r="C1148" s="330" t="s">
        <v>6800</v>
      </c>
      <c r="D1148" s="330" t="s">
        <v>6801</v>
      </c>
      <c r="E1148" s="330" t="s">
        <v>37248</v>
      </c>
      <c r="F1148" s="331">
        <v>0.21</v>
      </c>
      <c r="G1148" s="332">
        <v>9415</v>
      </c>
      <c r="H1148" s="333">
        <v>11393</v>
      </c>
    </row>
    <row r="1149" spans="1:8">
      <c r="A1149" s="317" t="s">
        <v>37727</v>
      </c>
      <c r="B1149" s="317" t="s">
        <v>45519</v>
      </c>
      <c r="C1149" s="330" t="s">
        <v>6802</v>
      </c>
      <c r="D1149" s="330" t="s">
        <v>6803</v>
      </c>
      <c r="E1149" s="330" t="s">
        <v>37248</v>
      </c>
      <c r="F1149" s="331">
        <v>0.21</v>
      </c>
      <c r="G1149" s="332">
        <v>339</v>
      </c>
      <c r="H1149" s="333">
        <v>411</v>
      </c>
    </row>
    <row r="1150" spans="1:8">
      <c r="A1150" s="317" t="s">
        <v>37728</v>
      </c>
      <c r="B1150" s="317" t="s">
        <v>45520</v>
      </c>
      <c r="C1150" s="330" t="s">
        <v>6804</v>
      </c>
      <c r="D1150" s="330" t="s">
        <v>6805</v>
      </c>
      <c r="E1150" s="330" t="s">
        <v>4819</v>
      </c>
      <c r="F1150" s="331">
        <v>0.21</v>
      </c>
      <c r="G1150" s="332">
        <v>20683</v>
      </c>
      <c r="H1150" s="333">
        <v>25027</v>
      </c>
    </row>
    <row r="1151" spans="1:8">
      <c r="A1151" s="317" t="s">
        <v>37729</v>
      </c>
      <c r="B1151" s="317" t="s">
        <v>45521</v>
      </c>
      <c r="C1151" s="330" t="s">
        <v>6806</v>
      </c>
      <c r="D1151" s="330" t="s">
        <v>6807</v>
      </c>
      <c r="E1151" s="330" t="s">
        <v>4819</v>
      </c>
      <c r="F1151" s="331">
        <v>0.21</v>
      </c>
      <c r="G1151" s="332">
        <v>13685</v>
      </c>
      <c r="H1151" s="333">
        <v>16559</v>
      </c>
    </row>
    <row r="1152" spans="1:8">
      <c r="A1152" s="317" t="s">
        <v>37730</v>
      </c>
      <c r="B1152" s="317" t="s">
        <v>45522</v>
      </c>
      <c r="C1152" s="330" t="s">
        <v>6808</v>
      </c>
      <c r="D1152" s="330" t="s">
        <v>6809</v>
      </c>
      <c r="E1152" s="330" t="s">
        <v>4819</v>
      </c>
      <c r="F1152" s="331">
        <v>0.21</v>
      </c>
      <c r="G1152" s="332">
        <v>6058</v>
      </c>
      <c r="H1152" s="333">
        <v>7331</v>
      </c>
    </row>
    <row r="1153" spans="1:8">
      <c r="A1153" s="317" t="s">
        <v>37731</v>
      </c>
      <c r="B1153" s="317" t="s">
        <v>45523</v>
      </c>
      <c r="C1153" s="330" t="s">
        <v>6810</v>
      </c>
      <c r="D1153" s="330" t="s">
        <v>6811</v>
      </c>
      <c r="E1153" s="330" t="s">
        <v>37248</v>
      </c>
      <c r="F1153" s="331">
        <v>0.21</v>
      </c>
      <c r="G1153" s="332">
        <v>2094</v>
      </c>
      <c r="H1153" s="333">
        <v>2534</v>
      </c>
    </row>
    <row r="1154" spans="1:8">
      <c r="A1154" s="317" t="s">
        <v>37732</v>
      </c>
      <c r="B1154" s="317" t="s">
        <v>45524</v>
      </c>
      <c r="C1154" s="330" t="s">
        <v>6812</v>
      </c>
      <c r="D1154" s="330" t="s">
        <v>6813</v>
      </c>
      <c r="E1154" s="330" t="s">
        <v>37248</v>
      </c>
      <c r="F1154" s="331">
        <v>0.21</v>
      </c>
      <c r="G1154" s="332">
        <v>1052</v>
      </c>
      <c r="H1154" s="333">
        <v>1273</v>
      </c>
    </row>
    <row r="1155" spans="1:8">
      <c r="A1155" s="317" t="s">
        <v>37733</v>
      </c>
      <c r="B1155" s="317" t="s">
        <v>45525</v>
      </c>
      <c r="C1155" s="330" t="s">
        <v>6814</v>
      </c>
      <c r="D1155" s="330" t="s">
        <v>6801</v>
      </c>
      <c r="E1155" s="330" t="s">
        <v>4819</v>
      </c>
      <c r="F1155" s="331">
        <v>0.21</v>
      </c>
      <c r="G1155" s="332">
        <v>3774</v>
      </c>
      <c r="H1155" s="333">
        <v>4567</v>
      </c>
    </row>
    <row r="1156" spans="1:8">
      <c r="A1156" s="317" t="s">
        <v>37734</v>
      </c>
      <c r="B1156" s="317" t="s">
        <v>45526</v>
      </c>
      <c r="C1156" s="330" t="s">
        <v>6815</v>
      </c>
      <c r="D1156" s="330" t="s">
        <v>6816</v>
      </c>
      <c r="E1156" s="330" t="s">
        <v>37248</v>
      </c>
      <c r="F1156" s="331">
        <v>0.21</v>
      </c>
      <c r="G1156" s="332">
        <v>479</v>
      </c>
      <c r="H1156" s="333">
        <v>580</v>
      </c>
    </row>
    <row r="1157" spans="1:8">
      <c r="A1157" s="317" t="s">
        <v>37735</v>
      </c>
      <c r="B1157" s="317" t="s">
        <v>45527</v>
      </c>
      <c r="C1157" s="330" t="s">
        <v>6817</v>
      </c>
      <c r="D1157" s="330" t="s">
        <v>6818</v>
      </c>
      <c r="E1157" s="330" t="s">
        <v>4634</v>
      </c>
      <c r="F1157" s="331">
        <v>0.21</v>
      </c>
      <c r="G1157" s="332">
        <v>27230</v>
      </c>
      <c r="H1157" s="333">
        <v>32949</v>
      </c>
    </row>
    <row r="1158" spans="1:8">
      <c r="A1158" s="317" t="s">
        <v>37736</v>
      </c>
      <c r="B1158" s="317" t="s">
        <v>45528</v>
      </c>
      <c r="C1158" s="330" t="s">
        <v>6819</v>
      </c>
      <c r="D1158" s="330" t="s">
        <v>6820</v>
      </c>
      <c r="E1158" s="330" t="s">
        <v>4634</v>
      </c>
      <c r="F1158" s="331">
        <v>0.21</v>
      </c>
      <c r="G1158" s="332">
        <v>1842</v>
      </c>
      <c r="H1158" s="333">
        <v>2229</v>
      </c>
    </row>
    <row r="1159" spans="1:8">
      <c r="A1159" s="317" t="s">
        <v>37737</v>
      </c>
      <c r="B1159" s="317" t="s">
        <v>45529</v>
      </c>
      <c r="C1159" s="330" t="s">
        <v>6821</v>
      </c>
      <c r="D1159" s="330" t="s">
        <v>6822</v>
      </c>
      <c r="E1159" s="330" t="s">
        <v>4634</v>
      </c>
      <c r="F1159" s="331">
        <v>0.21</v>
      </c>
      <c r="G1159" s="332">
        <v>5034</v>
      </c>
      <c r="H1159" s="333">
        <v>6092</v>
      </c>
    </row>
    <row r="1160" spans="1:8">
      <c r="A1160" s="317" t="s">
        <v>37738</v>
      </c>
      <c r="B1160" s="317" t="s">
        <v>45530</v>
      </c>
      <c r="C1160" s="330" t="s">
        <v>6823</v>
      </c>
      <c r="D1160" s="330" t="s">
        <v>6824</v>
      </c>
      <c r="E1160" s="330" t="s">
        <v>37248</v>
      </c>
      <c r="F1160" s="331">
        <v>0.21</v>
      </c>
      <c r="G1160" s="332">
        <v>4824</v>
      </c>
      <c r="H1160" s="333">
        <v>5838</v>
      </c>
    </row>
    <row r="1161" spans="1:8">
      <c r="A1161" s="317" t="s">
        <v>37739</v>
      </c>
      <c r="B1161" s="317" t="s">
        <v>45531</v>
      </c>
      <c r="C1161" s="330" t="s">
        <v>6825</v>
      </c>
      <c r="D1161" s="330" t="s">
        <v>6826</v>
      </c>
      <c r="E1161" s="330" t="s">
        <v>4819</v>
      </c>
      <c r="F1161" s="331">
        <v>0.21</v>
      </c>
      <c r="G1161" s="332">
        <v>1052</v>
      </c>
      <c r="H1161" s="333">
        <v>1273</v>
      </c>
    </row>
    <row r="1162" spans="1:8">
      <c r="A1162" s="317" t="s">
        <v>37740</v>
      </c>
      <c r="B1162" s="317" t="s">
        <v>45532</v>
      </c>
      <c r="C1162" s="330" t="s">
        <v>6827</v>
      </c>
      <c r="D1162" s="330" t="s">
        <v>6828</v>
      </c>
      <c r="E1162" s="330" t="s">
        <v>37248</v>
      </c>
      <c r="F1162" s="331">
        <v>0.21</v>
      </c>
      <c r="G1162" s="332">
        <v>1701</v>
      </c>
      <c r="H1162" s="333">
        <v>2059</v>
      </c>
    </row>
    <row r="1163" spans="1:8">
      <c r="A1163" s="317" t="s">
        <v>37741</v>
      </c>
      <c r="B1163" s="317" t="s">
        <v>45533</v>
      </c>
      <c r="C1163" s="330" t="s">
        <v>6829</v>
      </c>
      <c r="D1163" s="330" t="s">
        <v>6830</v>
      </c>
      <c r="E1163" s="330" t="s">
        <v>37248</v>
      </c>
      <c r="F1163" s="331">
        <v>0.21</v>
      </c>
      <c r="G1163" s="332">
        <v>479</v>
      </c>
      <c r="H1163" s="333">
        <v>580</v>
      </c>
    </row>
    <row r="1164" spans="1:8">
      <c r="A1164" s="317" t="s">
        <v>37742</v>
      </c>
      <c r="B1164" s="317" t="s">
        <v>45534</v>
      </c>
      <c r="C1164" s="330" t="s">
        <v>6831</v>
      </c>
      <c r="D1164" s="330" t="s">
        <v>6832</v>
      </c>
      <c r="E1164" s="330" t="s">
        <v>4819</v>
      </c>
      <c r="F1164" s="331">
        <v>0.21</v>
      </c>
      <c r="G1164" s="332">
        <v>479</v>
      </c>
      <c r="H1164" s="333">
        <v>580</v>
      </c>
    </row>
    <row r="1165" spans="1:8">
      <c r="A1165" s="317" t="s">
        <v>37743</v>
      </c>
      <c r="B1165" s="317" t="s">
        <v>45535</v>
      </c>
      <c r="C1165" s="330" t="s">
        <v>6833</v>
      </c>
      <c r="D1165" s="330" t="s">
        <v>6834</v>
      </c>
      <c r="E1165" s="330" t="s">
        <v>4819</v>
      </c>
      <c r="F1165" s="331">
        <v>0.21</v>
      </c>
      <c r="G1165" s="332">
        <v>3961</v>
      </c>
      <c r="H1165" s="333">
        <v>4793</v>
      </c>
    </row>
    <row r="1166" spans="1:8">
      <c r="A1166" s="317" t="s">
        <v>37744</v>
      </c>
      <c r="B1166" s="317" t="s">
        <v>45536</v>
      </c>
      <c r="C1166" s="330" t="s">
        <v>6835</v>
      </c>
      <c r="D1166" s="330" t="s">
        <v>6836</v>
      </c>
      <c r="E1166" s="330" t="s">
        <v>4819</v>
      </c>
      <c r="F1166" s="331">
        <v>0.21</v>
      </c>
      <c r="G1166" s="332">
        <v>3468</v>
      </c>
      <c r="H1166" s="333">
        <v>4197</v>
      </c>
    </row>
    <row r="1167" spans="1:8">
      <c r="A1167" s="317" t="s">
        <v>37745</v>
      </c>
      <c r="B1167" s="317" t="s">
        <v>45537</v>
      </c>
      <c r="C1167" s="330" t="s">
        <v>6837</v>
      </c>
      <c r="D1167" s="330" t="s">
        <v>6838</v>
      </c>
      <c r="E1167" s="330" t="s">
        <v>37248</v>
      </c>
      <c r="F1167" s="331">
        <v>0.21</v>
      </c>
      <c r="G1167" s="332">
        <v>15709</v>
      </c>
      <c r="H1167" s="333">
        <v>19008</v>
      </c>
    </row>
    <row r="1168" spans="1:8">
      <c r="A1168" s="317" t="s">
        <v>37746</v>
      </c>
      <c r="B1168" s="317" t="s">
        <v>45538</v>
      </c>
      <c r="C1168" s="330" t="s">
        <v>6839</v>
      </c>
      <c r="D1168" s="330" t="s">
        <v>6840</v>
      </c>
      <c r="E1168" s="330" t="s">
        <v>37248</v>
      </c>
      <c r="F1168" s="331">
        <v>0.21</v>
      </c>
      <c r="G1168" s="332">
        <v>23431</v>
      </c>
      <c r="H1168" s="333">
        <v>28352</v>
      </c>
    </row>
    <row r="1169" spans="1:8">
      <c r="A1169" s="317" t="s">
        <v>37747</v>
      </c>
      <c r="B1169" s="317" t="s">
        <v>45539</v>
      </c>
      <c r="C1169" s="330" t="s">
        <v>6841</v>
      </c>
      <c r="D1169" s="330" t="s">
        <v>4706</v>
      </c>
      <c r="E1169" s="330" t="s">
        <v>4819</v>
      </c>
      <c r="F1169" s="331">
        <v>0.21</v>
      </c>
      <c r="G1169" s="332">
        <v>519</v>
      </c>
      <c r="H1169" s="333">
        <v>628</v>
      </c>
    </row>
    <row r="1170" spans="1:8">
      <c r="A1170" s="317" t="s">
        <v>37748</v>
      </c>
      <c r="B1170" s="317" t="s">
        <v>45540</v>
      </c>
      <c r="C1170" s="330" t="s">
        <v>6842</v>
      </c>
      <c r="D1170" s="330" t="s">
        <v>6843</v>
      </c>
      <c r="E1170" s="330" t="s">
        <v>37248</v>
      </c>
      <c r="F1170" s="331">
        <v>0.21</v>
      </c>
      <c r="G1170" s="332">
        <v>46440</v>
      </c>
      <c r="H1170" s="333">
        <v>56193</v>
      </c>
    </row>
    <row r="1171" spans="1:8">
      <c r="A1171" s="317" t="s">
        <v>37749</v>
      </c>
      <c r="B1171" s="317" t="s">
        <v>45541</v>
      </c>
      <c r="C1171" s="330" t="s">
        <v>6844</v>
      </c>
      <c r="D1171" s="330" t="s">
        <v>6845</v>
      </c>
      <c r="E1171" s="330" t="s">
        <v>4819</v>
      </c>
      <c r="F1171" s="331">
        <v>0.21</v>
      </c>
      <c r="G1171" s="332">
        <v>4361</v>
      </c>
      <c r="H1171" s="333">
        <v>5277</v>
      </c>
    </row>
    <row r="1172" spans="1:8">
      <c r="A1172" s="317" t="s">
        <v>37750</v>
      </c>
      <c r="B1172" s="317" t="s">
        <v>45542</v>
      </c>
      <c r="C1172" s="330" t="s">
        <v>6846</v>
      </c>
      <c r="D1172" s="330" t="s">
        <v>6847</v>
      </c>
      <c r="E1172" s="330" t="s">
        <v>37248</v>
      </c>
      <c r="F1172" s="331">
        <v>0.21</v>
      </c>
      <c r="G1172" s="332">
        <v>3263</v>
      </c>
      <c r="H1172" s="333">
        <v>3949</v>
      </c>
    </row>
    <row r="1173" spans="1:8">
      <c r="A1173" s="317" t="s">
        <v>37751</v>
      </c>
      <c r="B1173" s="317" t="s">
        <v>45543</v>
      </c>
      <c r="C1173" s="330" t="s">
        <v>6848</v>
      </c>
      <c r="D1173" s="330" t="s">
        <v>6849</v>
      </c>
      <c r="E1173" s="330" t="s">
        <v>37248</v>
      </c>
      <c r="F1173" s="331">
        <v>0.21</v>
      </c>
      <c r="G1173" s="332">
        <v>1403</v>
      </c>
      <c r="H1173" s="333">
        <v>1698</v>
      </c>
    </row>
    <row r="1174" spans="1:8">
      <c r="A1174" s="317" t="s">
        <v>37752</v>
      </c>
      <c r="B1174" s="317" t="s">
        <v>45544</v>
      </c>
      <c r="C1174" s="330" t="s">
        <v>6850</v>
      </c>
      <c r="D1174" s="330" t="s">
        <v>6851</v>
      </c>
      <c r="E1174" s="330" t="s">
        <v>37248</v>
      </c>
      <c r="F1174" s="331">
        <v>0.21</v>
      </c>
      <c r="G1174" s="332">
        <v>1588</v>
      </c>
      <c r="H1174" s="333">
        <v>1922</v>
      </c>
    </row>
    <row r="1175" spans="1:8">
      <c r="A1175" s="317" t="s">
        <v>37753</v>
      </c>
      <c r="B1175" s="317" t="s">
        <v>45545</v>
      </c>
      <c r="C1175" s="330" t="s">
        <v>6852</v>
      </c>
      <c r="D1175" s="330" t="s">
        <v>6853</v>
      </c>
      <c r="E1175" s="330" t="s">
        <v>37248</v>
      </c>
      <c r="F1175" s="331">
        <v>0.21</v>
      </c>
      <c r="G1175" s="332">
        <v>6007</v>
      </c>
      <c r="H1175" s="333">
        <v>7269</v>
      </c>
    </row>
    <row r="1176" spans="1:8">
      <c r="A1176" s="317" t="s">
        <v>37754</v>
      </c>
      <c r="B1176" s="317" t="s">
        <v>45546</v>
      </c>
      <c r="C1176" s="330" t="s">
        <v>6854</v>
      </c>
      <c r="D1176" s="330" t="s">
        <v>6855</v>
      </c>
      <c r="E1176" s="330" t="s">
        <v>4819</v>
      </c>
      <c r="F1176" s="331">
        <v>0.21</v>
      </c>
      <c r="G1176" s="332">
        <v>2705</v>
      </c>
      <c r="H1176" s="333">
        <v>3274</v>
      </c>
    </row>
    <row r="1177" spans="1:8">
      <c r="A1177" s="317" t="s">
        <v>37755</v>
      </c>
      <c r="B1177" s="317" t="s">
        <v>45547</v>
      </c>
      <c r="C1177" s="330" t="s">
        <v>6856</v>
      </c>
      <c r="D1177" s="330" t="s">
        <v>6857</v>
      </c>
      <c r="E1177" s="330" t="s">
        <v>4819</v>
      </c>
      <c r="F1177" s="331">
        <v>0.21</v>
      </c>
      <c r="G1177" s="332">
        <v>2705</v>
      </c>
      <c r="H1177" s="333">
        <v>3274</v>
      </c>
    </row>
    <row r="1178" spans="1:8">
      <c r="A1178" s="317" t="s">
        <v>37756</v>
      </c>
      <c r="B1178" s="317" t="s">
        <v>45548</v>
      </c>
      <c r="C1178" s="330" t="s">
        <v>6858</v>
      </c>
      <c r="D1178" s="330" t="s">
        <v>6859</v>
      </c>
      <c r="E1178" s="330" t="s">
        <v>37248</v>
      </c>
      <c r="F1178" s="331">
        <v>0.21</v>
      </c>
      <c r="G1178" s="332">
        <v>3517</v>
      </c>
      <c r="H1178" s="333">
        <v>4256</v>
      </c>
    </row>
    <row r="1179" spans="1:8">
      <c r="A1179" s="317" t="s">
        <v>37757</v>
      </c>
      <c r="B1179" s="317" t="s">
        <v>45549</v>
      </c>
      <c r="C1179" s="330" t="s">
        <v>6860</v>
      </c>
      <c r="D1179" s="330" t="s">
        <v>6861</v>
      </c>
      <c r="E1179" s="330" t="s">
        <v>37248</v>
      </c>
      <c r="F1179" s="331">
        <v>0.21</v>
      </c>
      <c r="G1179" s="332">
        <v>1505</v>
      </c>
      <c r="H1179" s="333">
        <v>1822</v>
      </c>
    </row>
    <row r="1180" spans="1:8">
      <c r="A1180" s="317" t="s">
        <v>37758</v>
      </c>
      <c r="B1180" s="317" t="s">
        <v>45550</v>
      </c>
      <c r="C1180" s="330" t="s">
        <v>6862</v>
      </c>
      <c r="D1180" s="330" t="s">
        <v>6863</v>
      </c>
      <c r="E1180" s="330" t="s">
        <v>37248</v>
      </c>
      <c r="F1180" s="331">
        <v>0.21</v>
      </c>
      <c r="G1180" s="332">
        <v>910</v>
      </c>
      <c r="H1180" s="333">
        <v>1102</v>
      </c>
    </row>
    <row r="1181" spans="1:8">
      <c r="A1181" s="317" t="s">
        <v>37759</v>
      </c>
      <c r="B1181" s="317" t="s">
        <v>45551</v>
      </c>
      <c r="C1181" s="330" t="s">
        <v>6864</v>
      </c>
      <c r="D1181" s="330" t="s">
        <v>6865</v>
      </c>
      <c r="E1181" s="330" t="s">
        <v>37248</v>
      </c>
      <c r="F1181" s="331">
        <v>0.21</v>
      </c>
      <c r="G1181" s="332">
        <v>3049</v>
      </c>
      <c r="H1181" s="333">
        <v>3690</v>
      </c>
    </row>
    <row r="1182" spans="1:8">
      <c r="A1182" s="317" t="s">
        <v>37760</v>
      </c>
      <c r="B1182" s="317" t="s">
        <v>45552</v>
      </c>
      <c r="C1182" s="330" t="s">
        <v>6866</v>
      </c>
      <c r="D1182" s="330" t="s">
        <v>6867</v>
      </c>
      <c r="E1182" s="330" t="s">
        <v>37248</v>
      </c>
      <c r="F1182" s="331">
        <v>0.21</v>
      </c>
      <c r="G1182" s="332">
        <v>4079</v>
      </c>
      <c r="H1182" s="333">
        <v>4936</v>
      </c>
    </row>
    <row r="1183" spans="1:8">
      <c r="A1183" s="317" t="s">
        <v>37761</v>
      </c>
      <c r="B1183" s="317" t="s">
        <v>45553</v>
      </c>
      <c r="C1183" s="330" t="s">
        <v>6868</v>
      </c>
      <c r="D1183" s="330" t="s">
        <v>6869</v>
      </c>
      <c r="E1183" s="330" t="s">
        <v>37248</v>
      </c>
      <c r="F1183" s="331">
        <v>0.21</v>
      </c>
      <c r="G1183" s="332">
        <v>1373</v>
      </c>
      <c r="H1183" s="333">
        <v>1662</v>
      </c>
    </row>
    <row r="1184" spans="1:8">
      <c r="A1184" s="317" t="s">
        <v>37762</v>
      </c>
      <c r="B1184" s="317" t="s">
        <v>45554</v>
      </c>
      <c r="C1184" s="330" t="s">
        <v>6870</v>
      </c>
      <c r="D1184" s="330" t="s">
        <v>6871</v>
      </c>
      <c r="E1184" s="330" t="s">
        <v>4819</v>
      </c>
      <c r="F1184" s="331">
        <v>0.21</v>
      </c>
      <c r="G1184" s="332">
        <v>1505</v>
      </c>
      <c r="H1184" s="333">
        <v>1822</v>
      </c>
    </row>
    <row r="1185" spans="1:8">
      <c r="A1185" s="317" t="s">
        <v>37763</v>
      </c>
      <c r="B1185" s="317" t="s">
        <v>45555</v>
      </c>
      <c r="C1185" s="330" t="s">
        <v>6872</v>
      </c>
      <c r="D1185" s="330" t="s">
        <v>6871</v>
      </c>
      <c r="E1185" s="330" t="s">
        <v>4819</v>
      </c>
      <c r="F1185" s="331">
        <v>0.21</v>
      </c>
      <c r="G1185" s="332">
        <v>1052</v>
      </c>
      <c r="H1185" s="333">
        <v>1273</v>
      </c>
    </row>
    <row r="1186" spans="1:8">
      <c r="A1186" s="317" t="s">
        <v>37764</v>
      </c>
      <c r="B1186" s="317" t="s">
        <v>45556</v>
      </c>
      <c r="C1186" s="330" t="s">
        <v>6873</v>
      </c>
      <c r="D1186" s="330" t="s">
        <v>6874</v>
      </c>
      <c r="E1186" s="330" t="s">
        <v>4819</v>
      </c>
      <c r="F1186" s="331">
        <v>0.21</v>
      </c>
      <c r="G1186" s="332">
        <v>10268</v>
      </c>
      <c r="H1186" s="333">
        <v>12425</v>
      </c>
    </row>
    <row r="1187" spans="1:8">
      <c r="A1187" s="317" t="s">
        <v>37765</v>
      </c>
      <c r="B1187" s="317" t="s">
        <v>45557</v>
      </c>
      <c r="C1187" s="330" t="s">
        <v>6875</v>
      </c>
      <c r="D1187" s="330" t="s">
        <v>6876</v>
      </c>
      <c r="E1187" s="330" t="s">
        <v>37248</v>
      </c>
      <c r="F1187" s="331">
        <v>0.21</v>
      </c>
      <c r="G1187" s="332">
        <v>5242</v>
      </c>
      <c r="H1187" s="333">
        <v>6343</v>
      </c>
    </row>
    <row r="1188" spans="1:8">
      <c r="A1188" s="317" t="s">
        <v>37766</v>
      </c>
      <c r="B1188" s="317" t="s">
        <v>45558</v>
      </c>
      <c r="C1188" s="330" t="s">
        <v>6877</v>
      </c>
      <c r="D1188" s="330" t="s">
        <v>6878</v>
      </c>
      <c r="E1188" s="330" t="s">
        <v>37248</v>
      </c>
      <c r="F1188" s="331">
        <v>0.21</v>
      </c>
      <c r="G1188" s="332">
        <v>7830</v>
      </c>
      <c r="H1188" s="333">
        <v>9475</v>
      </c>
    </row>
    <row r="1189" spans="1:8">
      <c r="A1189" s="317" t="s">
        <v>37767</v>
      </c>
      <c r="B1189" s="317" t="s">
        <v>45559</v>
      </c>
      <c r="C1189" s="330" t="s">
        <v>6879</v>
      </c>
      <c r="D1189" s="330" t="s">
        <v>6876</v>
      </c>
      <c r="E1189" s="330" t="s">
        <v>4634</v>
      </c>
      <c r="F1189" s="331">
        <v>0.21</v>
      </c>
      <c r="G1189" s="332">
        <v>2377</v>
      </c>
      <c r="H1189" s="333">
        <v>2877</v>
      </c>
    </row>
    <row r="1190" spans="1:8">
      <c r="A1190" s="317" t="s">
        <v>37768</v>
      </c>
      <c r="B1190" s="317" t="s">
        <v>45560</v>
      </c>
      <c r="C1190" s="330" t="s">
        <v>6880</v>
      </c>
      <c r="D1190" s="330" t="s">
        <v>6878</v>
      </c>
      <c r="E1190" s="330" t="s">
        <v>37248</v>
      </c>
      <c r="F1190" s="331">
        <v>0.21</v>
      </c>
      <c r="G1190" s="332">
        <v>3131</v>
      </c>
      <c r="H1190" s="333">
        <v>3789</v>
      </c>
    </row>
    <row r="1191" spans="1:8">
      <c r="A1191" s="317" t="s">
        <v>37769</v>
      </c>
      <c r="B1191" s="317" t="s">
        <v>45561</v>
      </c>
      <c r="C1191" s="330" t="s">
        <v>6881</v>
      </c>
      <c r="D1191" s="330" t="s">
        <v>6882</v>
      </c>
      <c r="E1191" s="330" t="s">
        <v>37248</v>
      </c>
      <c r="F1191" s="331">
        <v>0.21</v>
      </c>
      <c r="G1191" s="332">
        <v>2295</v>
      </c>
      <c r="H1191" s="333">
        <v>2777</v>
      </c>
    </row>
    <row r="1192" spans="1:8">
      <c r="A1192" s="317" t="s">
        <v>37770</v>
      </c>
      <c r="B1192" s="317" t="s">
        <v>45562</v>
      </c>
      <c r="C1192" s="330" t="s">
        <v>6883</v>
      </c>
      <c r="D1192" s="330" t="s">
        <v>6884</v>
      </c>
      <c r="E1192" s="330" t="s">
        <v>4819</v>
      </c>
      <c r="F1192" s="331">
        <v>0.21</v>
      </c>
      <c r="G1192" s="332">
        <v>1701</v>
      </c>
      <c r="H1192" s="333">
        <v>2059</v>
      </c>
    </row>
    <row r="1193" spans="1:8">
      <c r="A1193" s="317" t="s">
        <v>37771</v>
      </c>
      <c r="B1193" s="317" t="s">
        <v>45563</v>
      </c>
      <c r="C1193" s="330" t="s">
        <v>6885</v>
      </c>
      <c r="D1193" s="330" t="s">
        <v>6886</v>
      </c>
      <c r="E1193" s="330" t="s">
        <v>4634</v>
      </c>
      <c r="F1193" s="331">
        <v>0.21</v>
      </c>
      <c r="G1193" s="332">
        <v>5824</v>
      </c>
      <c r="H1193" s="333">
        <v>7048</v>
      </c>
    </row>
    <row r="1194" spans="1:8">
      <c r="A1194" s="317" t="s">
        <v>37772</v>
      </c>
      <c r="B1194" s="317" t="s">
        <v>45564</v>
      </c>
      <c r="C1194" s="330" t="s">
        <v>6887</v>
      </c>
      <c r="D1194" s="330" t="s">
        <v>6888</v>
      </c>
      <c r="E1194" s="330" t="s">
        <v>37248</v>
      </c>
      <c r="F1194" s="331">
        <v>0.21</v>
      </c>
      <c r="G1194" s="332">
        <v>7258</v>
      </c>
      <c r="H1194" s="333">
        <v>8783</v>
      </c>
    </row>
    <row r="1195" spans="1:8">
      <c r="A1195" s="317" t="s">
        <v>37773</v>
      </c>
      <c r="B1195" s="317" t="s">
        <v>45565</v>
      </c>
      <c r="C1195" s="330" t="s">
        <v>6889</v>
      </c>
      <c r="D1195" s="330" t="s">
        <v>6890</v>
      </c>
      <c r="E1195" s="330" t="s">
        <v>4819</v>
      </c>
      <c r="F1195" s="331">
        <v>0.21</v>
      </c>
      <c r="G1195" s="332">
        <v>671</v>
      </c>
      <c r="H1195" s="333">
        <v>812</v>
      </c>
    </row>
    <row r="1196" spans="1:8">
      <c r="A1196" s="317" t="s">
        <v>37774</v>
      </c>
      <c r="B1196" s="317" t="s">
        <v>45566</v>
      </c>
      <c r="C1196" s="330" t="s">
        <v>6891</v>
      </c>
      <c r="D1196" s="330" t="s">
        <v>6892</v>
      </c>
      <c r="E1196" s="330" t="s">
        <v>37248</v>
      </c>
      <c r="F1196" s="331">
        <v>0.21</v>
      </c>
      <c r="G1196" s="332">
        <v>3131</v>
      </c>
      <c r="H1196" s="333">
        <v>3789</v>
      </c>
    </row>
    <row r="1197" spans="1:8">
      <c r="A1197" s="317" t="s">
        <v>37775</v>
      </c>
      <c r="B1197" s="317" t="s">
        <v>45567</v>
      </c>
      <c r="C1197" s="330" t="s">
        <v>6893</v>
      </c>
      <c r="D1197" s="330" t="s">
        <v>6894</v>
      </c>
      <c r="E1197" s="330" t="s">
        <v>37248</v>
      </c>
      <c r="F1197" s="331">
        <v>0.21</v>
      </c>
      <c r="G1197" s="332">
        <v>890</v>
      </c>
      <c r="H1197" s="333">
        <v>1077</v>
      </c>
    </row>
    <row r="1198" spans="1:8">
      <c r="A1198" s="317" t="s">
        <v>37776</v>
      </c>
      <c r="B1198" s="317" t="s">
        <v>45568</v>
      </c>
      <c r="C1198" s="330" t="s">
        <v>6895</v>
      </c>
      <c r="D1198" s="330" t="s">
        <v>6896</v>
      </c>
      <c r="E1198" s="330" t="s">
        <v>37248</v>
      </c>
      <c r="F1198" s="331">
        <v>0.21</v>
      </c>
      <c r="G1198" s="332">
        <v>519</v>
      </c>
      <c r="H1198" s="333">
        <v>628</v>
      </c>
    </row>
    <row r="1199" spans="1:8">
      <c r="A1199" s="317" t="s">
        <v>37777</v>
      </c>
      <c r="B1199" s="317" t="s">
        <v>45569</v>
      </c>
      <c r="C1199" s="330" t="s">
        <v>6897</v>
      </c>
      <c r="D1199" s="330" t="s">
        <v>6898</v>
      </c>
      <c r="E1199" s="330" t="s">
        <v>37248</v>
      </c>
      <c r="F1199" s="331">
        <v>0.21</v>
      </c>
      <c r="G1199" s="332">
        <v>2513</v>
      </c>
      <c r="H1199" s="333">
        <v>3041</v>
      </c>
    </row>
    <row r="1200" spans="1:8">
      <c r="A1200" s="317" t="s">
        <v>37778</v>
      </c>
      <c r="B1200" s="317" t="s">
        <v>45570</v>
      </c>
      <c r="C1200" s="330" t="s">
        <v>6899</v>
      </c>
      <c r="D1200" s="330" t="s">
        <v>6900</v>
      </c>
      <c r="E1200" s="330" t="s">
        <v>37248</v>
      </c>
      <c r="F1200" s="331">
        <v>0.21</v>
      </c>
      <c r="G1200" s="332">
        <v>11524</v>
      </c>
      <c r="H1200" s="333">
        <v>13945</v>
      </c>
    </row>
    <row r="1201" spans="1:8">
      <c r="A1201" s="317" t="s">
        <v>37779</v>
      </c>
      <c r="B1201" s="317" t="s">
        <v>45571</v>
      </c>
      <c r="C1201" s="330" t="s">
        <v>6901</v>
      </c>
      <c r="D1201" s="330" t="s">
        <v>6902</v>
      </c>
      <c r="E1201" s="330" t="s">
        <v>37248</v>
      </c>
      <c r="F1201" s="331">
        <v>0.21</v>
      </c>
      <c r="G1201" s="332">
        <v>2531</v>
      </c>
      <c r="H1201" s="333">
        <v>3063</v>
      </c>
    </row>
    <row r="1202" spans="1:8">
      <c r="A1202" s="317" t="s">
        <v>37780</v>
      </c>
      <c r="B1202" s="317" t="s">
        <v>45572</v>
      </c>
      <c r="C1202" s="330" t="s">
        <v>6903</v>
      </c>
      <c r="D1202" s="330" t="s">
        <v>6904</v>
      </c>
      <c r="E1202" s="330" t="s">
        <v>37248</v>
      </c>
      <c r="F1202" s="331">
        <v>0.21</v>
      </c>
      <c r="G1202" s="332">
        <v>1030</v>
      </c>
      <c r="H1202" s="333">
        <v>1247</v>
      </c>
    </row>
    <row r="1203" spans="1:8">
      <c r="A1203" s="317" t="s">
        <v>37781</v>
      </c>
      <c r="B1203" s="317" t="s">
        <v>45573</v>
      </c>
      <c r="C1203" s="330" t="s">
        <v>6905</v>
      </c>
      <c r="D1203" s="330" t="s">
        <v>6906</v>
      </c>
      <c r="E1203" s="330" t="s">
        <v>37248</v>
      </c>
      <c r="F1203" s="331">
        <v>0.21</v>
      </c>
      <c r="G1203" s="332">
        <v>771</v>
      </c>
      <c r="H1203" s="333">
        <v>933</v>
      </c>
    </row>
    <row r="1204" spans="1:8">
      <c r="A1204" s="317" t="s">
        <v>37782</v>
      </c>
      <c r="B1204" s="317" t="s">
        <v>45574</v>
      </c>
      <c r="C1204" s="330" t="s">
        <v>6907</v>
      </c>
      <c r="D1204" s="330" t="s">
        <v>6908</v>
      </c>
      <c r="E1204" s="330" t="s">
        <v>37248</v>
      </c>
      <c r="F1204" s="331">
        <v>0.21</v>
      </c>
      <c r="G1204" s="332">
        <v>2380</v>
      </c>
      <c r="H1204" s="333">
        <v>2880</v>
      </c>
    </row>
    <row r="1205" spans="1:8">
      <c r="A1205" s="317" t="s">
        <v>37783</v>
      </c>
      <c r="B1205" s="317" t="s">
        <v>45575</v>
      </c>
      <c r="C1205" s="330" t="s">
        <v>6909</v>
      </c>
      <c r="D1205" s="330" t="s">
        <v>6910</v>
      </c>
      <c r="E1205" s="330" t="s">
        <v>37248</v>
      </c>
      <c r="F1205" s="331">
        <v>0.21</v>
      </c>
      <c r="G1205" s="332">
        <v>2081</v>
      </c>
      <c r="H1205" s="333">
        <v>2519</v>
      </c>
    </row>
    <row r="1206" spans="1:8">
      <c r="A1206" s="317" t="s">
        <v>37784</v>
      </c>
      <c r="B1206" s="317" t="s">
        <v>45576</v>
      </c>
      <c r="C1206" s="330" t="s">
        <v>6911</v>
      </c>
      <c r="D1206" s="330" t="s">
        <v>6912</v>
      </c>
      <c r="E1206" s="330" t="s">
        <v>37248</v>
      </c>
      <c r="F1206" s="331">
        <v>0.21</v>
      </c>
      <c r="G1206" s="332">
        <v>3682</v>
      </c>
      <c r="H1206" s="333">
        <v>4456</v>
      </c>
    </row>
    <row r="1207" spans="1:8">
      <c r="A1207" s="317" t="s">
        <v>37785</v>
      </c>
      <c r="B1207" s="317" t="s">
        <v>45577</v>
      </c>
      <c r="C1207" s="330" t="s">
        <v>6913</v>
      </c>
      <c r="D1207" s="330" t="s">
        <v>6914</v>
      </c>
      <c r="E1207" s="330" t="s">
        <v>37248</v>
      </c>
      <c r="F1207" s="331">
        <v>0.21</v>
      </c>
      <c r="G1207" s="332">
        <v>454</v>
      </c>
      <c r="H1207" s="333">
        <v>550</v>
      </c>
    </row>
    <row r="1208" spans="1:8">
      <c r="A1208" s="317" t="s">
        <v>37786</v>
      </c>
      <c r="B1208" s="317" t="s">
        <v>45578</v>
      </c>
      <c r="C1208" s="330" t="s">
        <v>6915</v>
      </c>
      <c r="D1208" s="330" t="s">
        <v>6916</v>
      </c>
      <c r="E1208" s="330" t="s">
        <v>37248</v>
      </c>
      <c r="F1208" s="331">
        <v>0.21</v>
      </c>
      <c r="G1208" s="332">
        <v>771</v>
      </c>
      <c r="H1208" s="333">
        <v>933</v>
      </c>
    </row>
    <row r="1209" spans="1:8">
      <c r="A1209" s="317" t="s">
        <v>37787</v>
      </c>
      <c r="B1209" s="317" t="s">
        <v>45579</v>
      </c>
      <c r="C1209" s="330" t="s">
        <v>6917</v>
      </c>
      <c r="D1209" s="330" t="s">
        <v>6405</v>
      </c>
      <c r="E1209" s="330" t="s">
        <v>37248</v>
      </c>
      <c r="F1209" s="331">
        <v>0.21</v>
      </c>
      <c r="G1209" s="332">
        <v>2788</v>
      </c>
      <c r="H1209" s="333">
        <v>3374</v>
      </c>
    </row>
    <row r="1210" spans="1:8">
      <c r="A1210" s="317" t="s">
        <v>37788</v>
      </c>
      <c r="B1210" s="317" t="s">
        <v>45580</v>
      </c>
      <c r="C1210" s="330" t="s">
        <v>6918</v>
      </c>
      <c r="D1210" s="330" t="s">
        <v>6919</v>
      </c>
      <c r="E1210" s="330" t="s">
        <v>37248</v>
      </c>
      <c r="F1210" s="331">
        <v>0.21</v>
      </c>
      <c r="G1210" s="332">
        <v>2788</v>
      </c>
      <c r="H1210" s="333">
        <v>3374</v>
      </c>
    </row>
    <row r="1211" spans="1:8">
      <c r="A1211" s="317" t="s">
        <v>37789</v>
      </c>
      <c r="B1211" s="317" t="s">
        <v>45581</v>
      </c>
      <c r="C1211" s="330" t="s">
        <v>6920</v>
      </c>
      <c r="D1211" s="330" t="s">
        <v>6921</v>
      </c>
      <c r="E1211" s="330" t="s">
        <v>37248</v>
      </c>
      <c r="F1211" s="331">
        <v>0.21</v>
      </c>
      <c r="G1211" s="332">
        <v>1896</v>
      </c>
      <c r="H1211" s="333">
        <v>2295</v>
      </c>
    </row>
    <row r="1212" spans="1:8">
      <c r="A1212" s="317" t="s">
        <v>37790</v>
      </c>
      <c r="B1212" s="317" t="s">
        <v>45582</v>
      </c>
      <c r="C1212" s="330" t="s">
        <v>6922</v>
      </c>
      <c r="D1212" s="330" t="s">
        <v>6923</v>
      </c>
      <c r="E1212" s="330" t="s">
        <v>37248</v>
      </c>
      <c r="F1212" s="331">
        <v>0.21</v>
      </c>
      <c r="G1212" s="332">
        <v>758</v>
      </c>
      <c r="H1212" s="333">
        <v>918</v>
      </c>
    </row>
    <row r="1213" spans="1:8">
      <c r="A1213" s="317" t="s">
        <v>37791</v>
      </c>
      <c r="B1213" s="317" t="s">
        <v>45583</v>
      </c>
      <c r="C1213" s="330" t="s">
        <v>6924</v>
      </c>
      <c r="D1213" s="330" t="s">
        <v>6925</v>
      </c>
      <c r="E1213" s="330" t="s">
        <v>37248</v>
      </c>
      <c r="F1213" s="331">
        <v>0.21</v>
      </c>
      <c r="G1213" s="332">
        <v>34665</v>
      </c>
      <c r="H1213" s="333">
        <v>41945</v>
      </c>
    </row>
    <row r="1214" spans="1:8">
      <c r="A1214" s="317" t="s">
        <v>37792</v>
      </c>
      <c r="B1214" s="317" t="s">
        <v>45584</v>
      </c>
      <c r="C1214" s="330" t="s">
        <v>6926</v>
      </c>
      <c r="D1214" s="330" t="s">
        <v>6927</v>
      </c>
      <c r="E1214" s="330" t="s">
        <v>4634</v>
      </c>
      <c r="F1214" s="331">
        <v>0.21</v>
      </c>
      <c r="G1214" s="332">
        <v>416</v>
      </c>
      <c r="H1214" s="333">
        <v>504</v>
      </c>
    </row>
    <row r="1215" spans="1:8">
      <c r="A1215" s="317" t="s">
        <v>37793</v>
      </c>
      <c r="B1215" s="317" t="s">
        <v>45585</v>
      </c>
      <c r="C1215" s="330" t="s">
        <v>6928</v>
      </c>
      <c r="D1215" s="330" t="s">
        <v>6929</v>
      </c>
      <c r="E1215" s="330" t="s">
        <v>37248</v>
      </c>
      <c r="F1215" s="331">
        <v>0.21</v>
      </c>
      <c r="G1215" s="332">
        <v>519</v>
      </c>
      <c r="H1215" s="333">
        <v>628</v>
      </c>
    </row>
    <row r="1216" spans="1:8">
      <c r="A1216" s="317" t="s">
        <v>37794</v>
      </c>
      <c r="B1216" s="317" t="s">
        <v>45586</v>
      </c>
      <c r="C1216" s="330" t="s">
        <v>6930</v>
      </c>
      <c r="D1216" s="330" t="s">
        <v>6931</v>
      </c>
      <c r="E1216" s="330" t="s">
        <v>37248</v>
      </c>
      <c r="F1216" s="331">
        <v>0.21</v>
      </c>
      <c r="G1216" s="332">
        <v>10636</v>
      </c>
      <c r="H1216" s="333">
        <v>12870</v>
      </c>
    </row>
    <row r="1217" spans="1:8">
      <c r="A1217" s="317" t="s">
        <v>37795</v>
      </c>
      <c r="B1217" s="317" t="s">
        <v>45587</v>
      </c>
      <c r="C1217" s="330" t="s">
        <v>6932</v>
      </c>
      <c r="D1217" s="330" t="s">
        <v>6933</v>
      </c>
      <c r="E1217" s="330" t="s">
        <v>4819</v>
      </c>
      <c r="F1217" s="331">
        <v>0.21</v>
      </c>
      <c r="G1217" s="332">
        <v>2250</v>
      </c>
      <c r="H1217" s="333">
        <v>2723</v>
      </c>
    </row>
    <row r="1218" spans="1:8">
      <c r="A1218" s="317" t="s">
        <v>37796</v>
      </c>
      <c r="B1218" s="317" t="s">
        <v>45588</v>
      </c>
      <c r="C1218" s="330" t="s">
        <v>6934</v>
      </c>
      <c r="D1218" s="330" t="s">
        <v>6933</v>
      </c>
      <c r="E1218" s="330" t="s">
        <v>4819</v>
      </c>
      <c r="F1218" s="331">
        <v>0.21</v>
      </c>
      <c r="G1218" s="332">
        <v>1780</v>
      </c>
      <c r="H1218" s="333">
        <v>2154</v>
      </c>
    </row>
    <row r="1219" spans="1:8">
      <c r="A1219" s="317" t="s">
        <v>37797</v>
      </c>
      <c r="B1219" s="317" t="s">
        <v>45589</v>
      </c>
      <c r="C1219" s="330" t="s">
        <v>6935</v>
      </c>
      <c r="D1219" s="330" t="s">
        <v>6936</v>
      </c>
      <c r="E1219" s="330" t="s">
        <v>4634</v>
      </c>
      <c r="F1219" s="331">
        <v>0.21</v>
      </c>
      <c r="G1219" s="332">
        <v>245</v>
      </c>
      <c r="H1219" s="333">
        <v>297</v>
      </c>
    </row>
    <row r="1220" spans="1:8">
      <c r="A1220" s="317" t="s">
        <v>37798</v>
      </c>
      <c r="B1220" s="317" t="s">
        <v>45590</v>
      </c>
      <c r="C1220" s="330" t="s">
        <v>6937</v>
      </c>
      <c r="D1220" s="330" t="s">
        <v>6938</v>
      </c>
      <c r="E1220" s="330" t="s">
        <v>4819</v>
      </c>
      <c r="F1220" s="331">
        <v>0.21</v>
      </c>
      <c r="G1220" s="332">
        <v>36468</v>
      </c>
      <c r="H1220" s="333">
        <v>44127</v>
      </c>
    </row>
    <row r="1221" spans="1:8">
      <c r="A1221" s="317" t="s">
        <v>37799</v>
      </c>
      <c r="B1221" s="317" t="s">
        <v>45591</v>
      </c>
      <c r="C1221" s="330" t="s">
        <v>6939</v>
      </c>
      <c r="D1221" s="330" t="s">
        <v>6940</v>
      </c>
      <c r="E1221" s="330" t="s">
        <v>4623</v>
      </c>
      <c r="F1221" s="331">
        <v>0.21</v>
      </c>
      <c r="G1221" s="332">
        <v>2823</v>
      </c>
      <c r="H1221" s="333">
        <v>3416</v>
      </c>
    </row>
    <row r="1222" spans="1:8">
      <c r="A1222" s="317" t="s">
        <v>37800</v>
      </c>
      <c r="B1222" s="317" t="s">
        <v>45592</v>
      </c>
      <c r="C1222" s="330" t="s">
        <v>6941</v>
      </c>
      <c r="D1222" s="330" t="s">
        <v>6942</v>
      </c>
      <c r="E1222" s="330" t="s">
        <v>4634</v>
      </c>
      <c r="F1222" s="331">
        <v>0.21</v>
      </c>
      <c r="G1222" s="332">
        <v>18903</v>
      </c>
      <c r="H1222" s="333">
        <v>22873</v>
      </c>
    </row>
    <row r="1223" spans="1:8">
      <c r="A1223" s="317" t="s">
        <v>37801</v>
      </c>
      <c r="B1223" s="317" t="s">
        <v>45593</v>
      </c>
      <c r="C1223" s="330" t="s">
        <v>6943</v>
      </c>
      <c r="D1223" s="330" t="s">
        <v>6944</v>
      </c>
      <c r="E1223" s="330" t="s">
        <v>4623</v>
      </c>
      <c r="F1223" s="331">
        <v>0.21</v>
      </c>
      <c r="G1223" s="332">
        <v>1391</v>
      </c>
      <c r="H1223" s="333">
        <v>1684</v>
      </c>
    </row>
    <row r="1224" spans="1:8">
      <c r="A1224" s="317" t="s">
        <v>37802</v>
      </c>
      <c r="B1224" s="317" t="s">
        <v>45594</v>
      </c>
      <c r="C1224" s="330" t="s">
        <v>6945</v>
      </c>
      <c r="D1224" s="330" t="s">
        <v>6946</v>
      </c>
      <c r="E1224" s="330" t="s">
        <v>4819</v>
      </c>
      <c r="F1224" s="331">
        <v>0.21</v>
      </c>
      <c r="G1224" s="332">
        <v>553</v>
      </c>
      <c r="H1224" s="333">
        <v>670</v>
      </c>
    </row>
    <row r="1225" spans="1:8">
      <c r="A1225" s="317" t="s">
        <v>37803</v>
      </c>
      <c r="B1225" s="317" t="s">
        <v>45595</v>
      </c>
      <c r="C1225" s="330" t="s">
        <v>6947</v>
      </c>
      <c r="D1225" s="330" t="s">
        <v>6948</v>
      </c>
      <c r="E1225" s="330" t="s">
        <v>4819</v>
      </c>
      <c r="F1225" s="331">
        <v>0.21</v>
      </c>
      <c r="G1225" s="332">
        <v>1195</v>
      </c>
      <c r="H1225" s="333">
        <v>1446</v>
      </c>
    </row>
    <row r="1226" spans="1:8">
      <c r="A1226" s="317" t="s">
        <v>37804</v>
      </c>
      <c r="B1226" s="317" t="s">
        <v>45596</v>
      </c>
      <c r="C1226" s="330" t="s">
        <v>6949</v>
      </c>
      <c r="D1226" s="330" t="s">
        <v>6950</v>
      </c>
      <c r="E1226" s="330" t="s">
        <v>4634</v>
      </c>
      <c r="F1226" s="331">
        <v>0.21</v>
      </c>
      <c r="G1226" s="332">
        <v>2150</v>
      </c>
      <c r="H1226" s="333">
        <v>2602</v>
      </c>
    </row>
    <row r="1227" spans="1:8">
      <c r="A1227" s="317" t="s">
        <v>37805</v>
      </c>
      <c r="B1227" s="317" t="s">
        <v>45597</v>
      </c>
      <c r="C1227" s="330" t="s">
        <v>6951</v>
      </c>
      <c r="D1227" s="330" t="s">
        <v>6952</v>
      </c>
      <c r="E1227" s="330" t="s">
        <v>4819</v>
      </c>
      <c r="F1227" s="331">
        <v>0.21</v>
      </c>
      <c r="G1227" s="332">
        <v>3281</v>
      </c>
      <c r="H1227" s="333">
        <v>3971</v>
      </c>
    </row>
    <row r="1228" spans="1:8">
      <c r="A1228" s="317" t="s">
        <v>37806</v>
      </c>
      <c r="B1228" s="317" t="s">
        <v>45598</v>
      </c>
      <c r="C1228" s="330" t="s">
        <v>6953</v>
      </c>
      <c r="D1228" s="330" t="s">
        <v>6954</v>
      </c>
      <c r="E1228" s="330" t="s">
        <v>4819</v>
      </c>
      <c r="F1228" s="331">
        <v>0.21</v>
      </c>
      <c r="G1228" s="332">
        <v>579</v>
      </c>
      <c r="H1228" s="333">
        <v>701</v>
      </c>
    </row>
    <row r="1229" spans="1:8">
      <c r="A1229" s="317" t="s">
        <v>37807</v>
      </c>
      <c r="B1229" s="317" t="s">
        <v>45599</v>
      </c>
      <c r="C1229" s="330" t="s">
        <v>6955</v>
      </c>
      <c r="D1229" s="330" t="s">
        <v>6956</v>
      </c>
      <c r="E1229" s="330" t="s">
        <v>37248</v>
      </c>
      <c r="F1229" s="331">
        <v>0.21</v>
      </c>
      <c r="G1229" s="332">
        <v>2330</v>
      </c>
      <c r="H1229" s="333">
        <v>2820</v>
      </c>
    </row>
    <row r="1230" spans="1:8">
      <c r="A1230" s="317" t="s">
        <v>37808</v>
      </c>
      <c r="B1230" s="317" t="s">
        <v>45600</v>
      </c>
      <c r="C1230" s="330" t="s">
        <v>6957</v>
      </c>
      <c r="D1230" s="330" t="s">
        <v>6958</v>
      </c>
      <c r="E1230" s="330" t="s">
        <v>37248</v>
      </c>
      <c r="F1230" s="331">
        <v>0.21</v>
      </c>
      <c r="G1230" s="332">
        <v>23663</v>
      </c>
      <c r="H1230" s="333">
        <v>28633</v>
      </c>
    </row>
    <row r="1231" spans="1:8">
      <c r="A1231" s="317" t="s">
        <v>37809</v>
      </c>
      <c r="B1231" s="317" t="s">
        <v>45601</v>
      </c>
      <c r="C1231" s="330" t="s">
        <v>6959</v>
      </c>
      <c r="D1231" s="330" t="s">
        <v>6960</v>
      </c>
      <c r="E1231" s="330" t="s">
        <v>4819</v>
      </c>
      <c r="F1231" s="331">
        <v>0.21</v>
      </c>
      <c r="G1231" s="332">
        <v>2250</v>
      </c>
      <c r="H1231" s="333">
        <v>2723</v>
      </c>
    </row>
    <row r="1232" spans="1:8">
      <c r="A1232" s="317" t="s">
        <v>37810</v>
      </c>
      <c r="B1232" s="317" t="s">
        <v>45602</v>
      </c>
      <c r="C1232" s="330" t="s">
        <v>6961</v>
      </c>
      <c r="D1232" s="330" t="s">
        <v>6962</v>
      </c>
      <c r="E1232" s="330" t="s">
        <v>4819</v>
      </c>
      <c r="F1232" s="331">
        <v>0.21</v>
      </c>
      <c r="G1232" s="332">
        <v>2250</v>
      </c>
      <c r="H1232" s="333">
        <v>2723</v>
      </c>
    </row>
    <row r="1233" spans="1:8">
      <c r="A1233" s="317" t="s">
        <v>37811</v>
      </c>
      <c r="B1233" s="317" t="s">
        <v>45603</v>
      </c>
      <c r="C1233" s="330" t="s">
        <v>6963</v>
      </c>
      <c r="D1233" s="330" t="s">
        <v>6964</v>
      </c>
      <c r="E1233" s="330" t="s">
        <v>4634</v>
      </c>
      <c r="F1233" s="331">
        <v>0.21</v>
      </c>
      <c r="G1233" s="332">
        <v>2150</v>
      </c>
      <c r="H1233" s="333">
        <v>2602</v>
      </c>
    </row>
    <row r="1234" spans="1:8">
      <c r="A1234" s="317" t="s">
        <v>37812</v>
      </c>
      <c r="B1234" s="317" t="s">
        <v>45604</v>
      </c>
      <c r="C1234" s="330" t="s">
        <v>6965</v>
      </c>
      <c r="D1234" s="330" t="s">
        <v>6966</v>
      </c>
      <c r="E1234" s="330" t="s">
        <v>4819</v>
      </c>
      <c r="F1234" s="331">
        <v>0.21</v>
      </c>
      <c r="G1234" s="332">
        <v>1853</v>
      </c>
      <c r="H1234" s="333">
        <v>2243</v>
      </c>
    </row>
    <row r="1235" spans="1:8">
      <c r="A1235" s="317" t="s">
        <v>37813</v>
      </c>
      <c r="B1235" s="317" t="s">
        <v>45605</v>
      </c>
      <c r="C1235" s="330" t="s">
        <v>6967</v>
      </c>
      <c r="D1235" s="330" t="s">
        <v>6968</v>
      </c>
      <c r="E1235" s="330" t="s">
        <v>4819</v>
      </c>
      <c r="F1235" s="331">
        <v>0.21</v>
      </c>
      <c r="G1235" s="332">
        <v>579</v>
      </c>
      <c r="H1235" s="333">
        <v>701</v>
      </c>
    </row>
    <row r="1236" spans="1:8">
      <c r="A1236" s="317" t="s">
        <v>37814</v>
      </c>
      <c r="B1236" s="317" t="s">
        <v>45606</v>
      </c>
      <c r="C1236" s="330" t="s">
        <v>6969</v>
      </c>
      <c r="D1236" s="330" t="s">
        <v>6970</v>
      </c>
      <c r="E1236" s="330" t="s">
        <v>4819</v>
      </c>
      <c r="F1236" s="331">
        <v>0.21</v>
      </c>
      <c r="G1236" s="332">
        <v>3084</v>
      </c>
      <c r="H1236" s="333">
        <v>3732</v>
      </c>
    </row>
    <row r="1237" spans="1:8">
      <c r="A1237" s="317" t="s">
        <v>37815</v>
      </c>
      <c r="B1237" s="317" t="s">
        <v>45607</v>
      </c>
      <c r="C1237" s="330" t="s">
        <v>6971</v>
      </c>
      <c r="D1237" s="330" t="s">
        <v>6972</v>
      </c>
      <c r="E1237" s="330" t="s">
        <v>4623</v>
      </c>
      <c r="F1237" s="331">
        <v>0.21</v>
      </c>
      <c r="G1237" s="332">
        <v>14890</v>
      </c>
      <c r="H1237" s="333">
        <v>18017</v>
      </c>
    </row>
    <row r="1238" spans="1:8">
      <c r="A1238" s="317" t="s">
        <v>37816</v>
      </c>
      <c r="B1238" s="317" t="s">
        <v>45608</v>
      </c>
      <c r="C1238" s="330" t="s">
        <v>6973</v>
      </c>
      <c r="D1238" s="330" t="s">
        <v>6974</v>
      </c>
      <c r="E1238" s="330" t="s">
        <v>4623</v>
      </c>
      <c r="F1238" s="331">
        <v>0.21</v>
      </c>
      <c r="G1238" s="332">
        <v>5068</v>
      </c>
      <c r="H1238" s="333">
        <v>6133</v>
      </c>
    </row>
    <row r="1239" spans="1:8">
      <c r="A1239" s="317" t="s">
        <v>37817</v>
      </c>
      <c r="B1239" s="317" t="s">
        <v>45609</v>
      </c>
      <c r="C1239" s="330" t="s">
        <v>6975</v>
      </c>
      <c r="D1239" s="330" t="s">
        <v>6976</v>
      </c>
      <c r="E1239" s="330" t="s">
        <v>4819</v>
      </c>
      <c r="F1239" s="331">
        <v>0.21</v>
      </c>
      <c r="G1239" s="332">
        <v>1866</v>
      </c>
      <c r="H1239" s="333">
        <v>2258</v>
      </c>
    </row>
    <row r="1240" spans="1:8">
      <c r="A1240" s="317" t="s">
        <v>37818</v>
      </c>
      <c r="B1240" s="317" t="s">
        <v>45610</v>
      </c>
      <c r="C1240" s="330" t="s">
        <v>6977</v>
      </c>
      <c r="D1240" s="330" t="s">
        <v>6978</v>
      </c>
      <c r="E1240" s="330" t="s">
        <v>4819</v>
      </c>
      <c r="F1240" s="331">
        <v>0.21</v>
      </c>
      <c r="G1240" s="332">
        <v>3303</v>
      </c>
      <c r="H1240" s="333">
        <v>3997</v>
      </c>
    </row>
    <row r="1241" spans="1:8">
      <c r="A1241" s="317" t="s">
        <v>37819</v>
      </c>
      <c r="B1241" s="317" t="s">
        <v>45611</v>
      </c>
      <c r="C1241" s="330" t="s">
        <v>6979</v>
      </c>
      <c r="D1241" s="330" t="s">
        <v>6980</v>
      </c>
      <c r="E1241" s="330" t="s">
        <v>4819</v>
      </c>
      <c r="F1241" s="331">
        <v>0.21</v>
      </c>
      <c r="G1241" s="332">
        <v>1452</v>
      </c>
      <c r="H1241" s="333">
        <v>1757</v>
      </c>
    </row>
    <row r="1242" spans="1:8">
      <c r="A1242" s="317" t="s">
        <v>37820</v>
      </c>
      <c r="B1242" s="317" t="s">
        <v>45612</v>
      </c>
      <c r="C1242" s="330" t="s">
        <v>6981</v>
      </c>
      <c r="D1242" s="330" t="s">
        <v>6982</v>
      </c>
      <c r="E1242" s="330" t="s">
        <v>4819</v>
      </c>
      <c r="F1242" s="331">
        <v>0.21</v>
      </c>
      <c r="G1242" s="332">
        <v>2516</v>
      </c>
      <c r="H1242" s="333">
        <v>3045</v>
      </c>
    </row>
    <row r="1243" spans="1:8">
      <c r="A1243" s="317" t="s">
        <v>37821</v>
      </c>
      <c r="B1243" s="317" t="s">
        <v>45613</v>
      </c>
      <c r="C1243" s="330" t="s">
        <v>6983</v>
      </c>
      <c r="D1243" s="330" t="s">
        <v>4710</v>
      </c>
      <c r="E1243" s="330" t="s">
        <v>37248</v>
      </c>
      <c r="F1243" s="331">
        <v>0.21</v>
      </c>
      <c r="G1243" s="332">
        <v>1373</v>
      </c>
      <c r="H1243" s="333">
        <v>1662</v>
      </c>
    </row>
    <row r="1244" spans="1:8">
      <c r="A1244" s="317" t="s">
        <v>37822</v>
      </c>
      <c r="B1244" s="317" t="s">
        <v>45614</v>
      </c>
      <c r="C1244" s="330" t="s">
        <v>6984</v>
      </c>
      <c r="D1244" s="330" t="s">
        <v>6985</v>
      </c>
      <c r="E1244" s="330" t="s">
        <v>4634</v>
      </c>
      <c r="F1244" s="331">
        <v>0.21</v>
      </c>
      <c r="G1244" s="332">
        <v>67926</v>
      </c>
      <c r="H1244" s="333">
        <v>82191</v>
      </c>
    </row>
    <row r="1245" spans="1:8">
      <c r="A1245" s="317" t="s">
        <v>37823</v>
      </c>
      <c r="B1245" s="317" t="s">
        <v>45615</v>
      </c>
      <c r="C1245" s="330" t="s">
        <v>6986</v>
      </c>
      <c r="D1245" s="330" t="s">
        <v>6987</v>
      </c>
      <c r="E1245" s="330" t="s">
        <v>37248</v>
      </c>
      <c r="F1245" s="331">
        <v>0.21</v>
      </c>
      <c r="G1245" s="332">
        <v>62443</v>
      </c>
      <c r="H1245" s="333">
        <v>75557</v>
      </c>
    </row>
    <row r="1246" spans="1:8">
      <c r="A1246" s="317" t="s">
        <v>37824</v>
      </c>
      <c r="B1246" s="317" t="s">
        <v>45616</v>
      </c>
      <c r="C1246" s="330" t="s">
        <v>6988</v>
      </c>
      <c r="D1246" s="330" t="s">
        <v>6989</v>
      </c>
      <c r="E1246" s="330" t="s">
        <v>4634</v>
      </c>
      <c r="F1246" s="331">
        <v>0.21</v>
      </c>
      <c r="G1246" s="332">
        <v>20279</v>
      </c>
      <c r="H1246" s="333">
        <v>24538</v>
      </c>
    </row>
    <row r="1247" spans="1:8">
      <c r="A1247" s="317" t="s">
        <v>37825</v>
      </c>
      <c r="B1247" s="317" t="s">
        <v>45617</v>
      </c>
      <c r="C1247" s="330" t="s">
        <v>6990</v>
      </c>
      <c r="D1247" s="330" t="s">
        <v>6991</v>
      </c>
      <c r="E1247" s="330" t="s">
        <v>37248</v>
      </c>
      <c r="F1247" s="331">
        <v>0.21</v>
      </c>
      <c r="G1247" s="332">
        <v>2333</v>
      </c>
      <c r="H1247" s="333">
        <v>2823</v>
      </c>
    </row>
    <row r="1248" spans="1:8">
      <c r="A1248" s="317" t="s">
        <v>37826</v>
      </c>
      <c r="B1248" s="317" t="s">
        <v>45618</v>
      </c>
      <c r="C1248" s="330" t="s">
        <v>6992</v>
      </c>
      <c r="D1248" s="330" t="s">
        <v>6205</v>
      </c>
      <c r="E1248" s="330" t="s">
        <v>37248</v>
      </c>
      <c r="F1248" s="331">
        <v>0.21</v>
      </c>
      <c r="G1248" s="332">
        <v>2295</v>
      </c>
      <c r="H1248" s="333">
        <v>2777</v>
      </c>
    </row>
    <row r="1249" spans="1:8">
      <c r="A1249" s="317" t="s">
        <v>37827</v>
      </c>
      <c r="B1249" s="317" t="s">
        <v>45619</v>
      </c>
      <c r="C1249" s="330" t="s">
        <v>6993</v>
      </c>
      <c r="D1249" s="330" t="s">
        <v>6994</v>
      </c>
      <c r="E1249" s="330" t="s">
        <v>37248</v>
      </c>
      <c r="F1249" s="331">
        <v>0.21</v>
      </c>
      <c r="G1249" s="332">
        <v>31284</v>
      </c>
      <c r="H1249" s="333">
        <v>37854</v>
      </c>
    </row>
    <row r="1250" spans="1:8">
      <c r="A1250" s="317" t="s">
        <v>37828</v>
      </c>
      <c r="B1250" s="317" t="s">
        <v>45620</v>
      </c>
      <c r="C1250" s="330" t="s">
        <v>6995</v>
      </c>
      <c r="D1250" s="330" t="s">
        <v>6996</v>
      </c>
      <c r="E1250" s="330" t="s">
        <v>4819</v>
      </c>
      <c r="F1250" s="331">
        <v>0.21</v>
      </c>
      <c r="G1250" s="332">
        <v>11428</v>
      </c>
      <c r="H1250" s="333">
        <v>13828</v>
      </c>
    </row>
    <row r="1251" spans="1:8">
      <c r="A1251" s="317" t="s">
        <v>37829</v>
      </c>
      <c r="B1251" s="317" t="s">
        <v>45621</v>
      </c>
      <c r="C1251" s="330" t="s">
        <v>6997</v>
      </c>
      <c r="D1251" s="330" t="s">
        <v>6998</v>
      </c>
      <c r="E1251" s="330" t="s">
        <v>37248</v>
      </c>
      <c r="F1251" s="331">
        <v>0.21</v>
      </c>
      <c r="G1251" s="332">
        <v>1599</v>
      </c>
      <c r="H1251" s="333">
        <v>1935</v>
      </c>
    </row>
    <row r="1252" spans="1:8">
      <c r="A1252" s="317" t="s">
        <v>37830</v>
      </c>
      <c r="B1252" s="317" t="s">
        <v>45622</v>
      </c>
      <c r="C1252" s="330" t="s">
        <v>6999</v>
      </c>
      <c r="D1252" s="330" t="s">
        <v>7000</v>
      </c>
      <c r="E1252" s="330" t="s">
        <v>37248</v>
      </c>
      <c r="F1252" s="331">
        <v>0.21</v>
      </c>
      <c r="G1252" s="332">
        <v>579</v>
      </c>
      <c r="H1252" s="333">
        <v>701</v>
      </c>
    </row>
    <row r="1253" spans="1:8">
      <c r="A1253" s="317" t="s">
        <v>37831</v>
      </c>
      <c r="B1253" s="317" t="s">
        <v>45623</v>
      </c>
      <c r="C1253" s="330" t="s">
        <v>7001</v>
      </c>
      <c r="D1253" s="330" t="s">
        <v>7002</v>
      </c>
      <c r="E1253" s="330" t="s">
        <v>37248</v>
      </c>
      <c r="F1253" s="331">
        <v>0.21</v>
      </c>
      <c r="G1253" s="332">
        <v>3517</v>
      </c>
      <c r="H1253" s="333">
        <v>4256</v>
      </c>
    </row>
    <row r="1254" spans="1:8">
      <c r="A1254" s="317" t="s">
        <v>37832</v>
      </c>
      <c r="B1254" s="317" t="s">
        <v>45624</v>
      </c>
      <c r="C1254" s="330" t="s">
        <v>7003</v>
      </c>
      <c r="D1254" s="330" t="s">
        <v>7002</v>
      </c>
      <c r="E1254" s="330" t="s">
        <v>37248</v>
      </c>
      <c r="F1254" s="331">
        <v>0.21</v>
      </c>
      <c r="G1254" s="332">
        <v>5768</v>
      </c>
      <c r="H1254" s="333">
        <v>6980</v>
      </c>
    </row>
    <row r="1255" spans="1:8">
      <c r="A1255" s="317" t="s">
        <v>37833</v>
      </c>
      <c r="B1255" s="317" t="s">
        <v>45625</v>
      </c>
      <c r="C1255" s="330" t="s">
        <v>7004</v>
      </c>
      <c r="D1255" s="330" t="s">
        <v>7000</v>
      </c>
      <c r="E1255" s="330" t="s">
        <v>37248</v>
      </c>
      <c r="F1255" s="331">
        <v>0.21</v>
      </c>
      <c r="G1255" s="332">
        <v>1052</v>
      </c>
      <c r="H1255" s="333">
        <v>1273</v>
      </c>
    </row>
    <row r="1256" spans="1:8">
      <c r="A1256" s="317" t="s">
        <v>37834</v>
      </c>
      <c r="B1256" s="317" t="s">
        <v>45626</v>
      </c>
      <c r="C1256" s="330" t="s">
        <v>7005</v>
      </c>
      <c r="D1256" s="330" t="s">
        <v>7002</v>
      </c>
      <c r="E1256" s="330" t="s">
        <v>37248</v>
      </c>
      <c r="F1256" s="331">
        <v>0.21</v>
      </c>
      <c r="G1256" s="332">
        <v>6690</v>
      </c>
      <c r="H1256" s="333">
        <v>8095</v>
      </c>
    </row>
    <row r="1257" spans="1:8">
      <c r="A1257" s="317" t="s">
        <v>37835</v>
      </c>
      <c r="B1257" s="317" t="s">
        <v>45627</v>
      </c>
      <c r="C1257" s="330" t="s">
        <v>7006</v>
      </c>
      <c r="D1257" s="330" t="s">
        <v>7002</v>
      </c>
      <c r="E1257" s="330" t="s">
        <v>37248</v>
      </c>
      <c r="F1257" s="331">
        <v>0.21</v>
      </c>
      <c r="G1257" s="332">
        <v>14435</v>
      </c>
      <c r="H1257" s="333">
        <v>17467</v>
      </c>
    </row>
    <row r="1258" spans="1:8">
      <c r="A1258" s="317" t="s">
        <v>37836</v>
      </c>
      <c r="B1258" s="317" t="s">
        <v>45628</v>
      </c>
      <c r="C1258" s="330" t="s">
        <v>7007</v>
      </c>
      <c r="D1258" s="330" t="s">
        <v>6998</v>
      </c>
      <c r="E1258" s="330" t="s">
        <v>37248</v>
      </c>
      <c r="F1258" s="331">
        <v>0.21</v>
      </c>
      <c r="G1258" s="332">
        <v>1599</v>
      </c>
      <c r="H1258" s="333">
        <v>1935</v>
      </c>
    </row>
    <row r="1259" spans="1:8">
      <c r="A1259" s="317" t="s">
        <v>37837</v>
      </c>
      <c r="B1259" s="317" t="s">
        <v>45629</v>
      </c>
      <c r="C1259" s="330" t="s">
        <v>7008</v>
      </c>
      <c r="D1259" s="330" t="s">
        <v>6998</v>
      </c>
      <c r="E1259" s="330" t="s">
        <v>37248</v>
      </c>
      <c r="F1259" s="331">
        <v>0.21</v>
      </c>
      <c r="G1259" s="332">
        <v>1599</v>
      </c>
      <c r="H1259" s="333">
        <v>1935</v>
      </c>
    </row>
    <row r="1260" spans="1:8">
      <c r="A1260" s="317" t="s">
        <v>37838</v>
      </c>
      <c r="B1260" s="317" t="s">
        <v>45630</v>
      </c>
      <c r="C1260" s="330" t="s">
        <v>7009</v>
      </c>
      <c r="D1260" s="330" t="s">
        <v>7010</v>
      </c>
      <c r="E1260" s="330" t="s">
        <v>37248</v>
      </c>
      <c r="F1260" s="331">
        <v>0.21</v>
      </c>
      <c r="G1260" s="332">
        <v>6948</v>
      </c>
      <c r="H1260" s="333">
        <v>8408</v>
      </c>
    </row>
    <row r="1261" spans="1:8">
      <c r="A1261" s="317" t="s">
        <v>37839</v>
      </c>
      <c r="B1261" s="317" t="s">
        <v>45631</v>
      </c>
      <c r="C1261" s="330" t="s">
        <v>7011</v>
      </c>
      <c r="D1261" s="330" t="s">
        <v>7012</v>
      </c>
      <c r="E1261" s="330" t="s">
        <v>37248</v>
      </c>
      <c r="F1261" s="331">
        <v>0.21</v>
      </c>
      <c r="G1261" s="332">
        <v>1030</v>
      </c>
      <c r="H1261" s="333">
        <v>1247</v>
      </c>
    </row>
    <row r="1262" spans="1:8">
      <c r="A1262" s="317" t="s">
        <v>37840</v>
      </c>
      <c r="B1262" s="317" t="s">
        <v>45632</v>
      </c>
      <c r="C1262" s="330" t="s">
        <v>7013</v>
      </c>
      <c r="D1262" s="330" t="s">
        <v>7014</v>
      </c>
      <c r="E1262" s="330" t="s">
        <v>37248</v>
      </c>
      <c r="F1262" s="331">
        <v>0.21</v>
      </c>
      <c r="G1262" s="332">
        <v>13794</v>
      </c>
      <c r="H1262" s="333">
        <v>16691</v>
      </c>
    </row>
    <row r="1263" spans="1:8">
      <c r="A1263" s="317" t="s">
        <v>37841</v>
      </c>
      <c r="B1263" s="317" t="s">
        <v>45633</v>
      </c>
      <c r="C1263" s="330" t="s">
        <v>7015</v>
      </c>
      <c r="D1263" s="330" t="s">
        <v>5233</v>
      </c>
      <c r="E1263" s="330" t="s">
        <v>37248</v>
      </c>
      <c r="F1263" s="331">
        <v>0.21</v>
      </c>
      <c r="G1263" s="332">
        <v>771</v>
      </c>
      <c r="H1263" s="333">
        <v>933</v>
      </c>
    </row>
    <row r="1264" spans="1:8">
      <c r="A1264" s="317" t="s">
        <v>37842</v>
      </c>
      <c r="B1264" s="317" t="s">
        <v>45634</v>
      </c>
      <c r="C1264" s="330" t="s">
        <v>7016</v>
      </c>
      <c r="D1264" s="330" t="s">
        <v>5233</v>
      </c>
      <c r="E1264" s="330" t="s">
        <v>37248</v>
      </c>
      <c r="F1264" s="331">
        <v>0.21</v>
      </c>
      <c r="G1264" s="332">
        <v>771</v>
      </c>
      <c r="H1264" s="333">
        <v>933</v>
      </c>
    </row>
    <row r="1265" spans="1:8">
      <c r="A1265" s="317" t="s">
        <v>37843</v>
      </c>
      <c r="B1265" s="317" t="s">
        <v>45635</v>
      </c>
      <c r="C1265" s="330" t="s">
        <v>7017</v>
      </c>
      <c r="D1265" s="330" t="s">
        <v>5233</v>
      </c>
      <c r="E1265" s="330" t="s">
        <v>37248</v>
      </c>
      <c r="F1265" s="331">
        <v>0.21</v>
      </c>
      <c r="G1265" s="332">
        <v>771</v>
      </c>
      <c r="H1265" s="333">
        <v>933</v>
      </c>
    </row>
    <row r="1266" spans="1:8">
      <c r="A1266" s="317" t="s">
        <v>37844</v>
      </c>
      <c r="B1266" s="317" t="s">
        <v>45636</v>
      </c>
      <c r="C1266" s="330" t="s">
        <v>7018</v>
      </c>
      <c r="D1266" s="330" t="s">
        <v>5563</v>
      </c>
      <c r="E1266" s="330" t="s">
        <v>37248</v>
      </c>
      <c r="F1266" s="331">
        <v>0.21</v>
      </c>
      <c r="G1266" s="332">
        <v>1530</v>
      </c>
      <c r="H1266" s="333">
        <v>1852</v>
      </c>
    </row>
    <row r="1267" spans="1:8">
      <c r="A1267" s="317" t="s">
        <v>37845</v>
      </c>
      <c r="B1267" s="317" t="s">
        <v>45637</v>
      </c>
      <c r="C1267" s="330" t="s">
        <v>7019</v>
      </c>
      <c r="D1267" s="330" t="s">
        <v>7020</v>
      </c>
      <c r="E1267" s="330" t="s">
        <v>4819</v>
      </c>
      <c r="F1267" s="331">
        <v>0.21</v>
      </c>
      <c r="G1267" s="332">
        <v>11782</v>
      </c>
      <c r="H1267" s="333">
        <v>14257</v>
      </c>
    </row>
    <row r="1268" spans="1:8">
      <c r="A1268" s="317" t="s">
        <v>37846</v>
      </c>
      <c r="B1268" s="317" t="s">
        <v>45638</v>
      </c>
      <c r="C1268" s="330" t="s">
        <v>7021</v>
      </c>
      <c r="D1268" s="330" t="s">
        <v>7022</v>
      </c>
      <c r="E1268" s="330" t="s">
        <v>4819</v>
      </c>
      <c r="F1268" s="331">
        <v>0.21</v>
      </c>
      <c r="G1268" s="332">
        <v>2380</v>
      </c>
      <c r="H1268" s="333">
        <v>2880</v>
      </c>
    </row>
    <row r="1269" spans="1:8">
      <c r="A1269" s="317" t="s">
        <v>37847</v>
      </c>
      <c r="B1269" s="317" t="s">
        <v>45639</v>
      </c>
      <c r="C1269" s="330" t="s">
        <v>7023</v>
      </c>
      <c r="D1269" s="330" t="s">
        <v>7024</v>
      </c>
      <c r="E1269" s="330" t="s">
        <v>4819</v>
      </c>
      <c r="F1269" s="331">
        <v>0.21</v>
      </c>
      <c r="G1269" s="332">
        <v>1447</v>
      </c>
      <c r="H1269" s="333">
        <v>1751</v>
      </c>
    </row>
    <row r="1270" spans="1:8">
      <c r="A1270" s="317" t="s">
        <v>37848</v>
      </c>
      <c r="B1270" s="317" t="s">
        <v>45640</v>
      </c>
      <c r="C1270" s="330" t="s">
        <v>7025</v>
      </c>
      <c r="D1270" s="330" t="s">
        <v>5417</v>
      </c>
      <c r="E1270" s="330" t="s">
        <v>37248</v>
      </c>
      <c r="F1270" s="331">
        <v>0.21</v>
      </c>
      <c r="G1270" s="332">
        <v>1030</v>
      </c>
      <c r="H1270" s="333">
        <v>1247</v>
      </c>
    </row>
    <row r="1271" spans="1:8">
      <c r="A1271" s="317" t="s">
        <v>37849</v>
      </c>
      <c r="B1271" s="317" t="s">
        <v>45641</v>
      </c>
      <c r="C1271" s="330" t="s">
        <v>7026</v>
      </c>
      <c r="D1271" s="330" t="s">
        <v>7027</v>
      </c>
      <c r="E1271" s="330" t="s">
        <v>4819</v>
      </c>
      <c r="F1271" s="331">
        <v>0.21</v>
      </c>
      <c r="G1271" s="332">
        <v>671</v>
      </c>
      <c r="H1271" s="333">
        <v>812</v>
      </c>
    </row>
    <row r="1272" spans="1:8">
      <c r="A1272" s="317" t="s">
        <v>37850</v>
      </c>
      <c r="B1272" s="317" t="s">
        <v>45642</v>
      </c>
      <c r="C1272" s="330" t="s">
        <v>7028</v>
      </c>
      <c r="D1272" s="330" t="s">
        <v>7029</v>
      </c>
      <c r="E1272" s="330" t="s">
        <v>37248</v>
      </c>
      <c r="F1272" s="331">
        <v>0.21</v>
      </c>
      <c r="G1272" s="332">
        <v>68424</v>
      </c>
      <c r="H1272" s="333">
        <v>82794</v>
      </c>
    </row>
    <row r="1273" spans="1:8">
      <c r="A1273" s="317" t="s">
        <v>37851</v>
      </c>
      <c r="B1273" s="317" t="s">
        <v>45643</v>
      </c>
      <c r="C1273" s="330" t="s">
        <v>7030</v>
      </c>
      <c r="D1273" s="330" t="s">
        <v>7031</v>
      </c>
      <c r="E1273" s="330" t="s">
        <v>37248</v>
      </c>
      <c r="F1273" s="331">
        <v>0.21</v>
      </c>
      <c r="G1273" s="332">
        <v>240</v>
      </c>
      <c r="H1273" s="333">
        <v>291</v>
      </c>
    </row>
    <row r="1274" spans="1:8">
      <c r="A1274" s="317" t="s">
        <v>37852</v>
      </c>
      <c r="B1274" s="317" t="s">
        <v>45644</v>
      </c>
      <c r="C1274" s="330" t="s">
        <v>7032</v>
      </c>
      <c r="D1274" s="330" t="s">
        <v>7033</v>
      </c>
      <c r="E1274" s="330" t="s">
        <v>37248</v>
      </c>
      <c r="F1274" s="331">
        <v>0.21</v>
      </c>
      <c r="G1274" s="332">
        <v>919</v>
      </c>
      <c r="H1274" s="333">
        <v>1112</v>
      </c>
    </row>
    <row r="1275" spans="1:8">
      <c r="A1275" s="317" t="s">
        <v>37853</v>
      </c>
      <c r="B1275" s="317" t="s">
        <v>45645</v>
      </c>
      <c r="C1275" s="330" t="s">
        <v>7034</v>
      </c>
      <c r="D1275" s="330" t="s">
        <v>7035</v>
      </c>
      <c r="E1275" s="330" t="s">
        <v>37248</v>
      </c>
      <c r="F1275" s="331">
        <v>0.21</v>
      </c>
      <c r="G1275" s="332">
        <v>1505</v>
      </c>
      <c r="H1275" s="333">
        <v>1822</v>
      </c>
    </row>
    <row r="1276" spans="1:8">
      <c r="A1276" s="317" t="s">
        <v>37854</v>
      </c>
      <c r="B1276" s="317" t="s">
        <v>45646</v>
      </c>
      <c r="C1276" s="330" t="s">
        <v>7036</v>
      </c>
      <c r="D1276" s="330" t="s">
        <v>7037</v>
      </c>
      <c r="E1276" s="330" t="s">
        <v>37248</v>
      </c>
      <c r="F1276" s="331">
        <v>0.21</v>
      </c>
      <c r="G1276" s="332">
        <v>435</v>
      </c>
      <c r="H1276" s="333">
        <v>527</v>
      </c>
    </row>
    <row r="1277" spans="1:8">
      <c r="A1277" s="317" t="s">
        <v>37855</v>
      </c>
      <c r="B1277" s="317" t="s">
        <v>45647</v>
      </c>
      <c r="C1277" s="330" t="s">
        <v>7038</v>
      </c>
      <c r="D1277" s="330" t="s">
        <v>7039</v>
      </c>
      <c r="E1277" s="330" t="s">
        <v>37248</v>
      </c>
      <c r="F1277" s="331">
        <v>0.21</v>
      </c>
      <c r="G1277" s="332">
        <v>339</v>
      </c>
      <c r="H1277" s="333">
        <v>411</v>
      </c>
    </row>
    <row r="1278" spans="1:8">
      <c r="A1278" s="317" t="s">
        <v>37856</v>
      </c>
      <c r="B1278" s="317" t="s">
        <v>45648</v>
      </c>
      <c r="C1278" s="330" t="s">
        <v>7040</v>
      </c>
      <c r="D1278" s="330" t="s">
        <v>7041</v>
      </c>
      <c r="E1278" s="330" t="s">
        <v>37248</v>
      </c>
      <c r="F1278" s="331">
        <v>0.21</v>
      </c>
      <c r="G1278" s="332">
        <v>2295</v>
      </c>
      <c r="H1278" s="333">
        <v>2777</v>
      </c>
    </row>
    <row r="1279" spans="1:8">
      <c r="A1279" s="317" t="s">
        <v>37857</v>
      </c>
      <c r="B1279" s="317" t="s">
        <v>45649</v>
      </c>
      <c r="C1279" s="330" t="s">
        <v>7042</v>
      </c>
      <c r="D1279" s="330" t="s">
        <v>7043</v>
      </c>
      <c r="E1279" s="330" t="s">
        <v>4634</v>
      </c>
      <c r="F1279" s="331">
        <v>0.21</v>
      </c>
      <c r="G1279" s="332">
        <v>638</v>
      </c>
      <c r="H1279" s="333">
        <v>772</v>
      </c>
    </row>
    <row r="1280" spans="1:8">
      <c r="A1280" s="317" t="s">
        <v>37858</v>
      </c>
      <c r="B1280" s="317" t="s">
        <v>45650</v>
      </c>
      <c r="C1280" s="330" t="s">
        <v>7044</v>
      </c>
      <c r="D1280" s="330" t="s">
        <v>7045</v>
      </c>
      <c r="E1280" s="330" t="s">
        <v>37248</v>
      </c>
      <c r="F1280" s="331">
        <v>0.21</v>
      </c>
      <c r="G1280" s="332">
        <v>89186</v>
      </c>
      <c r="H1280" s="333">
        <v>107916</v>
      </c>
    </row>
    <row r="1281" spans="1:8">
      <c r="A1281" s="317" t="s">
        <v>37859</v>
      </c>
      <c r="B1281" s="317" t="s">
        <v>45651</v>
      </c>
      <c r="C1281" s="330" t="s">
        <v>7046</v>
      </c>
      <c r="D1281" s="330" t="s">
        <v>7047</v>
      </c>
      <c r="E1281" s="330" t="s">
        <v>37248</v>
      </c>
      <c r="F1281" s="331">
        <v>0.21</v>
      </c>
      <c r="G1281" s="332">
        <v>4568</v>
      </c>
      <c r="H1281" s="333">
        <v>5528</v>
      </c>
    </row>
    <row r="1282" spans="1:8">
      <c r="A1282" s="317" t="s">
        <v>37860</v>
      </c>
      <c r="B1282" s="317" t="s">
        <v>45652</v>
      </c>
      <c r="C1282" s="330" t="s">
        <v>7048</v>
      </c>
      <c r="D1282" s="330" t="s">
        <v>7049</v>
      </c>
      <c r="E1282" s="330" t="s">
        <v>4634</v>
      </c>
      <c r="F1282" s="331">
        <v>0.21</v>
      </c>
      <c r="G1282" s="332">
        <v>4048</v>
      </c>
      <c r="H1282" s="333">
        <v>4899</v>
      </c>
    </row>
    <row r="1283" spans="1:8">
      <c r="A1283" s="317" t="s">
        <v>37861</v>
      </c>
      <c r="B1283" s="317" t="s">
        <v>45653</v>
      </c>
      <c r="C1283" s="330" t="s">
        <v>7050</v>
      </c>
      <c r="D1283" s="330" t="s">
        <v>7051</v>
      </c>
      <c r="E1283" s="330" t="s">
        <v>37248</v>
      </c>
      <c r="F1283" s="331">
        <v>0.21</v>
      </c>
      <c r="G1283" s="332">
        <v>4568</v>
      </c>
      <c r="H1283" s="333">
        <v>5528</v>
      </c>
    </row>
    <row r="1284" spans="1:8">
      <c r="A1284" s="317" t="s">
        <v>37862</v>
      </c>
      <c r="B1284" s="317" t="s">
        <v>45654</v>
      </c>
      <c r="C1284" s="330" t="s">
        <v>7052</v>
      </c>
      <c r="D1284" s="330" t="s">
        <v>7053</v>
      </c>
      <c r="E1284" s="330" t="s">
        <v>37248</v>
      </c>
      <c r="F1284" s="331">
        <v>0.21</v>
      </c>
      <c r="G1284" s="332">
        <v>64567</v>
      </c>
      <c r="H1284" s="333">
        <v>78127</v>
      </c>
    </row>
    <row r="1285" spans="1:8">
      <c r="A1285" s="317" t="s">
        <v>37863</v>
      </c>
      <c r="B1285" s="317" t="s">
        <v>45655</v>
      </c>
      <c r="C1285" s="330" t="s">
        <v>7054</v>
      </c>
      <c r="D1285" s="330" t="s">
        <v>7055</v>
      </c>
      <c r="E1285" s="330" t="s">
        <v>37248</v>
      </c>
      <c r="F1285" s="331">
        <v>0.21</v>
      </c>
      <c r="G1285" s="332">
        <v>7700</v>
      </c>
      <c r="H1285" s="333">
        <v>9317</v>
      </c>
    </row>
    <row r="1286" spans="1:8">
      <c r="A1286" s="317" t="s">
        <v>37864</v>
      </c>
      <c r="B1286" s="317" t="s">
        <v>45656</v>
      </c>
      <c r="C1286" s="330" t="s">
        <v>7056</v>
      </c>
      <c r="D1286" s="330" t="s">
        <v>7057</v>
      </c>
      <c r="E1286" s="330" t="s">
        <v>37248</v>
      </c>
      <c r="F1286" s="331">
        <v>0.21</v>
      </c>
      <c r="G1286" s="332">
        <v>4568</v>
      </c>
      <c r="H1286" s="333">
        <v>5528</v>
      </c>
    </row>
    <row r="1287" spans="1:8">
      <c r="A1287" s="317" t="s">
        <v>37865</v>
      </c>
      <c r="B1287" s="317" t="s">
        <v>45657</v>
      </c>
      <c r="C1287" s="330" t="s">
        <v>7058</v>
      </c>
      <c r="D1287" s="330" t="s">
        <v>7059</v>
      </c>
      <c r="E1287" s="330" t="s">
        <v>4819</v>
      </c>
      <c r="F1287" s="331">
        <v>0.21</v>
      </c>
      <c r="G1287" s="332">
        <v>994</v>
      </c>
      <c r="H1287" s="333">
        <v>1203</v>
      </c>
    </row>
    <row r="1288" spans="1:8">
      <c r="A1288" s="317" t="s">
        <v>37866</v>
      </c>
      <c r="B1288" s="317" t="s">
        <v>45658</v>
      </c>
      <c r="C1288" s="330" t="s">
        <v>7060</v>
      </c>
      <c r="D1288" s="330" t="s">
        <v>7061</v>
      </c>
      <c r="E1288" s="330" t="s">
        <v>37248</v>
      </c>
      <c r="F1288" s="331">
        <v>0.21</v>
      </c>
      <c r="G1288" s="332">
        <v>3731</v>
      </c>
      <c r="H1288" s="333">
        <v>4515</v>
      </c>
    </row>
    <row r="1289" spans="1:8">
      <c r="A1289" s="317" t="s">
        <v>37867</v>
      </c>
      <c r="B1289" s="317" t="s">
        <v>45659</v>
      </c>
      <c r="C1289" s="330" t="s">
        <v>7062</v>
      </c>
      <c r="D1289" s="330" t="s">
        <v>7061</v>
      </c>
      <c r="E1289" s="330" t="s">
        <v>37248</v>
      </c>
      <c r="F1289" s="331">
        <v>0.21</v>
      </c>
      <c r="G1289" s="332">
        <v>3731</v>
      </c>
      <c r="H1289" s="333">
        <v>4515</v>
      </c>
    </row>
    <row r="1290" spans="1:8">
      <c r="A1290" s="317" t="s">
        <v>37868</v>
      </c>
      <c r="B1290" s="317" t="s">
        <v>45660</v>
      </c>
      <c r="C1290" s="330" t="s">
        <v>7063</v>
      </c>
      <c r="D1290" s="330" t="s">
        <v>7061</v>
      </c>
      <c r="E1290" s="330" t="s">
        <v>37248</v>
      </c>
      <c r="F1290" s="331">
        <v>0.21</v>
      </c>
      <c r="G1290" s="332">
        <v>3731</v>
      </c>
      <c r="H1290" s="333">
        <v>4515</v>
      </c>
    </row>
    <row r="1291" spans="1:8">
      <c r="A1291" s="317" t="s">
        <v>37869</v>
      </c>
      <c r="B1291" s="317" t="s">
        <v>45661</v>
      </c>
      <c r="C1291" s="330" t="s">
        <v>7064</v>
      </c>
      <c r="D1291" s="330" t="s">
        <v>7061</v>
      </c>
      <c r="E1291" s="330" t="s">
        <v>4819</v>
      </c>
      <c r="F1291" s="331">
        <v>0.21</v>
      </c>
      <c r="G1291" s="332">
        <v>3595</v>
      </c>
      <c r="H1291" s="333">
        <v>4350</v>
      </c>
    </row>
    <row r="1292" spans="1:8">
      <c r="A1292" s="317" t="s">
        <v>37870</v>
      </c>
      <c r="B1292" s="317" t="s">
        <v>45662</v>
      </c>
      <c r="C1292" s="330" t="s">
        <v>7065</v>
      </c>
      <c r="D1292" s="330" t="s">
        <v>7066</v>
      </c>
      <c r="E1292" s="330" t="s">
        <v>37248</v>
      </c>
      <c r="F1292" s="331">
        <v>0.21</v>
      </c>
      <c r="G1292" s="332">
        <v>644</v>
      </c>
      <c r="H1292" s="333">
        <v>780</v>
      </c>
    </row>
    <row r="1293" spans="1:8">
      <c r="A1293" s="317" t="s">
        <v>37871</v>
      </c>
      <c r="B1293" s="317" t="s">
        <v>45663</v>
      </c>
      <c r="C1293" s="330" t="s">
        <v>7067</v>
      </c>
      <c r="D1293" s="330" t="s">
        <v>7068</v>
      </c>
      <c r="E1293" s="330" t="s">
        <v>37248</v>
      </c>
      <c r="F1293" s="331">
        <v>0.21</v>
      </c>
      <c r="G1293" s="332">
        <v>2900</v>
      </c>
      <c r="H1293" s="333">
        <v>3509</v>
      </c>
    </row>
    <row r="1294" spans="1:8">
      <c r="A1294" s="317" t="s">
        <v>37872</v>
      </c>
      <c r="B1294" s="317" t="s">
        <v>45664</v>
      </c>
      <c r="C1294" s="330" t="s">
        <v>7069</v>
      </c>
      <c r="D1294" s="330" t="s">
        <v>7070</v>
      </c>
      <c r="E1294" s="330" t="s">
        <v>37248</v>
      </c>
      <c r="F1294" s="331">
        <v>0.21</v>
      </c>
      <c r="G1294" s="332">
        <v>38059</v>
      </c>
      <c r="H1294" s="333">
        <v>46052</v>
      </c>
    </row>
    <row r="1295" spans="1:8">
      <c r="A1295" s="317" t="s">
        <v>37873</v>
      </c>
      <c r="B1295" s="317" t="s">
        <v>45665</v>
      </c>
      <c r="C1295" s="330" t="s">
        <v>7071</v>
      </c>
      <c r="D1295" s="330" t="s">
        <v>7072</v>
      </c>
      <c r="E1295" s="330" t="s">
        <v>37248</v>
      </c>
      <c r="F1295" s="331">
        <v>0.21</v>
      </c>
      <c r="G1295" s="332">
        <v>10924</v>
      </c>
      <c r="H1295" s="333">
        <v>13219</v>
      </c>
    </row>
    <row r="1296" spans="1:8">
      <c r="A1296" s="317" t="s">
        <v>37874</v>
      </c>
      <c r="B1296" s="317" t="s">
        <v>45666</v>
      </c>
      <c r="C1296" s="330" t="s">
        <v>7073</v>
      </c>
      <c r="D1296" s="330" t="s">
        <v>7074</v>
      </c>
      <c r="E1296" s="330" t="s">
        <v>37248</v>
      </c>
      <c r="F1296" s="331">
        <v>0.21</v>
      </c>
      <c r="G1296" s="332">
        <v>2948</v>
      </c>
      <c r="H1296" s="333">
        <v>3568</v>
      </c>
    </row>
    <row r="1297" spans="1:8">
      <c r="A1297" s="317" t="s">
        <v>37875</v>
      </c>
      <c r="B1297" s="317" t="s">
        <v>45667</v>
      </c>
      <c r="C1297" s="330" t="s">
        <v>7075</v>
      </c>
      <c r="D1297" s="330" t="s">
        <v>7076</v>
      </c>
      <c r="E1297" s="330" t="s">
        <v>37248</v>
      </c>
      <c r="F1297" s="331">
        <v>0.21</v>
      </c>
      <c r="G1297" s="332">
        <v>26958</v>
      </c>
      <c r="H1297" s="333">
        <v>32620</v>
      </c>
    </row>
    <row r="1298" spans="1:8">
      <c r="A1298" s="317" t="s">
        <v>37876</v>
      </c>
      <c r="B1298" s="317" t="s">
        <v>45668</v>
      </c>
      <c r="C1298" s="330" t="s">
        <v>7077</v>
      </c>
      <c r="D1298" s="330" t="s">
        <v>7078</v>
      </c>
      <c r="E1298" s="330" t="s">
        <v>4819</v>
      </c>
      <c r="F1298" s="331">
        <v>0.21</v>
      </c>
      <c r="G1298" s="332">
        <v>26958</v>
      </c>
      <c r="H1298" s="333">
        <v>32620</v>
      </c>
    </row>
    <row r="1299" spans="1:8">
      <c r="A1299" s="317" t="s">
        <v>37877</v>
      </c>
      <c r="B1299" s="317" t="s">
        <v>45669</v>
      </c>
      <c r="C1299" s="330" t="s">
        <v>7079</v>
      </c>
      <c r="D1299" s="330" t="s">
        <v>7080</v>
      </c>
      <c r="E1299" s="330" t="s">
        <v>37248</v>
      </c>
      <c r="F1299" s="331">
        <v>0.21</v>
      </c>
      <c r="G1299" s="332">
        <v>16380</v>
      </c>
      <c r="H1299" s="333">
        <v>19820</v>
      </c>
    </row>
    <row r="1300" spans="1:8">
      <c r="A1300" s="317" t="s">
        <v>37878</v>
      </c>
      <c r="B1300" s="317" t="s">
        <v>45670</v>
      </c>
      <c r="C1300" s="330" t="s">
        <v>7081</v>
      </c>
      <c r="D1300" s="330" t="s">
        <v>7082</v>
      </c>
      <c r="E1300" s="330" t="s">
        <v>37248</v>
      </c>
      <c r="F1300" s="331">
        <v>0.21</v>
      </c>
      <c r="G1300" s="332">
        <v>15050</v>
      </c>
      <c r="H1300" s="333">
        <v>18211</v>
      </c>
    </row>
    <row r="1301" spans="1:8">
      <c r="A1301" s="317" t="s">
        <v>37879</v>
      </c>
      <c r="B1301" s="317" t="s">
        <v>45671</v>
      </c>
      <c r="C1301" s="330" t="s">
        <v>7083</v>
      </c>
      <c r="D1301" s="330" t="s">
        <v>6898</v>
      </c>
      <c r="E1301" s="330" t="s">
        <v>4623</v>
      </c>
      <c r="F1301" s="331">
        <v>0.21</v>
      </c>
      <c r="G1301" s="332">
        <v>3421</v>
      </c>
      <c r="H1301" s="333">
        <v>4140</v>
      </c>
    </row>
    <row r="1302" spans="1:8">
      <c r="A1302" s="317" t="s">
        <v>37880</v>
      </c>
      <c r="B1302" s="317" t="s">
        <v>45672</v>
      </c>
      <c r="C1302" s="330" t="s">
        <v>7084</v>
      </c>
      <c r="D1302" s="330" t="s">
        <v>7000</v>
      </c>
      <c r="E1302" s="330" t="s">
        <v>37248</v>
      </c>
      <c r="F1302" s="331">
        <v>0.21</v>
      </c>
      <c r="G1302" s="332">
        <v>339</v>
      </c>
      <c r="H1302" s="333">
        <v>411</v>
      </c>
    </row>
    <row r="1303" spans="1:8">
      <c r="A1303" s="317" t="s">
        <v>37881</v>
      </c>
      <c r="B1303" s="317" t="s">
        <v>45673</v>
      </c>
      <c r="C1303" s="330" t="s">
        <v>7085</v>
      </c>
      <c r="D1303" s="330" t="s">
        <v>7086</v>
      </c>
      <c r="E1303" s="330" t="s">
        <v>37248</v>
      </c>
      <c r="F1303" s="331">
        <v>0.21</v>
      </c>
      <c r="G1303" s="332">
        <v>2823</v>
      </c>
      <c r="H1303" s="333">
        <v>3416</v>
      </c>
    </row>
    <row r="1304" spans="1:8">
      <c r="A1304" s="317" t="s">
        <v>37882</v>
      </c>
      <c r="B1304" s="317" t="s">
        <v>45674</v>
      </c>
      <c r="C1304" s="330" t="s">
        <v>7087</v>
      </c>
      <c r="D1304" s="330" t="s">
        <v>7088</v>
      </c>
      <c r="E1304" s="330" t="s">
        <v>37248</v>
      </c>
      <c r="F1304" s="331">
        <v>0.21</v>
      </c>
      <c r="G1304" s="332">
        <v>2054</v>
      </c>
      <c r="H1304" s="333">
        <v>2486</v>
      </c>
    </row>
    <row r="1305" spans="1:8">
      <c r="A1305" s="317" t="s">
        <v>37883</v>
      </c>
      <c r="B1305" s="317" t="s">
        <v>45675</v>
      </c>
      <c r="C1305" s="330" t="s">
        <v>37884</v>
      </c>
      <c r="D1305" s="330" t="s">
        <v>7089</v>
      </c>
      <c r="E1305" s="330" t="s">
        <v>37248</v>
      </c>
      <c r="F1305" s="335">
        <v>0.21</v>
      </c>
      <c r="G1305" s="336">
        <v>12354</v>
      </c>
      <c r="H1305" s="333">
        <v>14949</v>
      </c>
    </row>
    <row r="1306" spans="1:8">
      <c r="A1306" s="317" t="s">
        <v>37885</v>
      </c>
      <c r="B1306" s="317" t="s">
        <v>45676</v>
      </c>
      <c r="C1306" s="330" t="s">
        <v>7090</v>
      </c>
      <c r="D1306" s="330" t="s">
        <v>7091</v>
      </c>
      <c r="E1306" s="330" t="s">
        <v>37248</v>
      </c>
      <c r="F1306" s="331">
        <v>0.21</v>
      </c>
      <c r="G1306" s="332">
        <v>9413</v>
      </c>
      <c r="H1306" s="333">
        <v>11390</v>
      </c>
    </row>
    <row r="1307" spans="1:8">
      <c r="A1307" s="317" t="s">
        <v>37886</v>
      </c>
      <c r="B1307" s="317" t="s">
        <v>45677</v>
      </c>
      <c r="C1307" s="330" t="s">
        <v>7092</v>
      </c>
      <c r="D1307" s="330" t="s">
        <v>7093</v>
      </c>
      <c r="E1307" s="330" t="s">
        <v>37248</v>
      </c>
      <c r="F1307" s="331">
        <v>0.21</v>
      </c>
      <c r="G1307" s="332">
        <v>435</v>
      </c>
      <c r="H1307" s="333">
        <v>527</v>
      </c>
    </row>
    <row r="1308" spans="1:8">
      <c r="A1308" s="317" t="s">
        <v>37887</v>
      </c>
      <c r="B1308" s="317" t="s">
        <v>45678</v>
      </c>
      <c r="C1308" s="330" t="s">
        <v>7094</v>
      </c>
      <c r="D1308" s="330" t="s">
        <v>7095</v>
      </c>
      <c r="E1308" s="330" t="s">
        <v>37248</v>
      </c>
      <c r="F1308" s="331">
        <v>0.21</v>
      </c>
      <c r="G1308" s="332">
        <v>194</v>
      </c>
      <c r="H1308" s="333">
        <v>235</v>
      </c>
    </row>
    <row r="1309" spans="1:8">
      <c r="A1309" s="317" t="s">
        <v>37888</v>
      </c>
      <c r="B1309" s="317" t="s">
        <v>45679</v>
      </c>
      <c r="C1309" s="330" t="s">
        <v>7096</v>
      </c>
      <c r="D1309" s="330" t="s">
        <v>7097</v>
      </c>
      <c r="E1309" s="330" t="s">
        <v>37248</v>
      </c>
      <c r="F1309" s="331">
        <v>0.21</v>
      </c>
      <c r="G1309" s="332">
        <v>5597</v>
      </c>
      <c r="H1309" s="333">
        <v>6773</v>
      </c>
    </row>
    <row r="1310" spans="1:8">
      <c r="A1310" s="317" t="s">
        <v>37889</v>
      </c>
      <c r="B1310" s="317" t="s">
        <v>45680</v>
      </c>
      <c r="C1310" s="330" t="s">
        <v>7098</v>
      </c>
      <c r="D1310" s="330" t="s">
        <v>7099</v>
      </c>
      <c r="E1310" s="330" t="s">
        <v>37248</v>
      </c>
      <c r="F1310" s="331">
        <v>0.21</v>
      </c>
      <c r="G1310" s="332">
        <v>14051</v>
      </c>
      <c r="H1310" s="333">
        <v>17002</v>
      </c>
    </row>
    <row r="1311" spans="1:8">
      <c r="A1311" s="317" t="s">
        <v>37890</v>
      </c>
      <c r="B1311" s="317" t="s">
        <v>45681</v>
      </c>
      <c r="C1311" s="330" t="s">
        <v>7100</v>
      </c>
      <c r="D1311" s="330" t="s">
        <v>7101</v>
      </c>
      <c r="E1311" s="330" t="s">
        <v>4819</v>
      </c>
      <c r="F1311" s="331">
        <v>0.21</v>
      </c>
      <c r="G1311" s="332">
        <v>9222</v>
      </c>
      <c r="H1311" s="333">
        <v>11159</v>
      </c>
    </row>
    <row r="1312" spans="1:8">
      <c r="A1312" s="317" t="s">
        <v>37891</v>
      </c>
      <c r="B1312" s="317" t="s">
        <v>45682</v>
      </c>
      <c r="C1312" s="330" t="s">
        <v>7102</v>
      </c>
      <c r="D1312" s="330" t="s">
        <v>7103</v>
      </c>
      <c r="E1312" s="330" t="s">
        <v>37248</v>
      </c>
      <c r="F1312" s="331">
        <v>0.21</v>
      </c>
      <c r="G1312" s="332">
        <v>5425</v>
      </c>
      <c r="H1312" s="333">
        <v>6565</v>
      </c>
    </row>
    <row r="1313" spans="1:8">
      <c r="A1313" s="317" t="s">
        <v>37892</v>
      </c>
      <c r="B1313" s="317" t="s">
        <v>45683</v>
      </c>
      <c r="C1313" s="330" t="s">
        <v>7104</v>
      </c>
      <c r="D1313" s="330" t="s">
        <v>7105</v>
      </c>
      <c r="E1313" s="330" t="s">
        <v>37248</v>
      </c>
      <c r="F1313" s="331">
        <v>0.21</v>
      </c>
      <c r="G1313" s="332">
        <v>1373</v>
      </c>
      <c r="H1313" s="333">
        <v>1662</v>
      </c>
    </row>
    <row r="1314" spans="1:8">
      <c r="A1314" s="317" t="s">
        <v>37893</v>
      </c>
      <c r="B1314" s="317" t="s">
        <v>45684</v>
      </c>
      <c r="C1314" s="330" t="s">
        <v>7106</v>
      </c>
      <c r="D1314" s="330" t="s">
        <v>7107</v>
      </c>
      <c r="E1314" s="330" t="s">
        <v>4819</v>
      </c>
      <c r="F1314" s="331">
        <v>0.21</v>
      </c>
      <c r="G1314" s="332">
        <v>1530</v>
      </c>
      <c r="H1314" s="333">
        <v>1852</v>
      </c>
    </row>
    <row r="1315" spans="1:8">
      <c r="A1315" s="317" t="s">
        <v>37894</v>
      </c>
      <c r="B1315" s="317" t="s">
        <v>45685</v>
      </c>
      <c r="C1315" s="330" t="s">
        <v>7108</v>
      </c>
      <c r="D1315" s="330" t="s">
        <v>7109</v>
      </c>
      <c r="E1315" s="330" t="s">
        <v>37248</v>
      </c>
      <c r="F1315" s="331">
        <v>0.21</v>
      </c>
      <c r="G1315" s="332">
        <v>910</v>
      </c>
      <c r="H1315" s="333">
        <v>1102</v>
      </c>
    </row>
    <row r="1316" spans="1:8">
      <c r="A1316" s="317" t="s">
        <v>37895</v>
      </c>
      <c r="B1316" s="317" t="s">
        <v>45686</v>
      </c>
      <c r="C1316" s="330" t="s">
        <v>7110</v>
      </c>
      <c r="D1316" s="330" t="s">
        <v>7111</v>
      </c>
      <c r="E1316" s="330" t="s">
        <v>4819</v>
      </c>
      <c r="F1316" s="331">
        <v>0.21</v>
      </c>
      <c r="G1316" s="332">
        <v>9222</v>
      </c>
      <c r="H1316" s="333">
        <v>11159</v>
      </c>
    </row>
    <row r="1317" spans="1:8">
      <c r="A1317" s="317" t="s">
        <v>37896</v>
      </c>
      <c r="B1317" s="317" t="s">
        <v>45687</v>
      </c>
      <c r="C1317" s="330" t="s">
        <v>7112</v>
      </c>
      <c r="D1317" s="330" t="s">
        <v>6857</v>
      </c>
      <c r="E1317" s="330" t="s">
        <v>4819</v>
      </c>
      <c r="F1317" s="331">
        <v>0.21</v>
      </c>
      <c r="G1317" s="332">
        <v>7028</v>
      </c>
      <c r="H1317" s="333">
        <v>8504</v>
      </c>
    </row>
    <row r="1318" spans="1:8">
      <c r="A1318" s="317" t="s">
        <v>37897</v>
      </c>
      <c r="B1318" s="317" t="s">
        <v>45688</v>
      </c>
      <c r="C1318" s="330" t="s">
        <v>7113</v>
      </c>
      <c r="D1318" s="330" t="s">
        <v>7114</v>
      </c>
      <c r="E1318" s="330" t="s">
        <v>4819</v>
      </c>
      <c r="F1318" s="331">
        <v>0.21</v>
      </c>
      <c r="G1318" s="332">
        <v>7729</v>
      </c>
      <c r="H1318" s="333">
        <v>9353</v>
      </c>
    </row>
    <row r="1319" spans="1:8">
      <c r="A1319" s="317" t="s">
        <v>37898</v>
      </c>
      <c r="B1319" s="317" t="s">
        <v>45689</v>
      </c>
      <c r="C1319" s="330" t="s">
        <v>7115</v>
      </c>
      <c r="D1319" s="330" t="s">
        <v>7116</v>
      </c>
      <c r="E1319" s="330" t="s">
        <v>4819</v>
      </c>
      <c r="F1319" s="331">
        <v>0.21</v>
      </c>
      <c r="G1319" s="332">
        <v>919</v>
      </c>
      <c r="H1319" s="333">
        <v>1112</v>
      </c>
    </row>
    <row r="1320" spans="1:8">
      <c r="A1320" s="317" t="s">
        <v>37899</v>
      </c>
      <c r="B1320" s="317" t="s">
        <v>45690</v>
      </c>
      <c r="C1320" s="330" t="s">
        <v>7117</v>
      </c>
      <c r="D1320" s="330" t="s">
        <v>7118</v>
      </c>
      <c r="E1320" s="330" t="s">
        <v>4819</v>
      </c>
      <c r="F1320" s="331">
        <v>0.21</v>
      </c>
      <c r="G1320" s="332">
        <v>1530</v>
      </c>
      <c r="H1320" s="333">
        <v>1852</v>
      </c>
    </row>
    <row r="1321" spans="1:8">
      <c r="A1321" s="317" t="s">
        <v>37900</v>
      </c>
      <c r="B1321" s="317" t="s">
        <v>45691</v>
      </c>
      <c r="C1321" s="330" t="s">
        <v>7119</v>
      </c>
      <c r="D1321" s="330" t="s">
        <v>7120</v>
      </c>
      <c r="E1321" s="330" t="s">
        <v>4819</v>
      </c>
      <c r="F1321" s="331">
        <v>0.21</v>
      </c>
      <c r="G1321" s="332">
        <v>1530</v>
      </c>
      <c r="H1321" s="333">
        <v>1852</v>
      </c>
    </row>
    <row r="1322" spans="1:8">
      <c r="A1322" s="317" t="s">
        <v>37901</v>
      </c>
      <c r="B1322" s="317" t="s">
        <v>45692</v>
      </c>
      <c r="C1322" s="330" t="s">
        <v>7121</v>
      </c>
      <c r="D1322" s="330" t="s">
        <v>7122</v>
      </c>
      <c r="E1322" s="330" t="s">
        <v>4819</v>
      </c>
      <c r="F1322" s="331">
        <v>0.21</v>
      </c>
      <c r="G1322" s="332">
        <v>1530</v>
      </c>
      <c r="H1322" s="333">
        <v>1852</v>
      </c>
    </row>
    <row r="1323" spans="1:8">
      <c r="A1323" s="317" t="s">
        <v>37902</v>
      </c>
      <c r="B1323" s="317" t="s">
        <v>45693</v>
      </c>
      <c r="C1323" s="330" t="s">
        <v>7123</v>
      </c>
      <c r="D1323" s="330" t="s">
        <v>7124</v>
      </c>
      <c r="E1323" s="330" t="s">
        <v>4819</v>
      </c>
      <c r="F1323" s="331">
        <v>0.21</v>
      </c>
      <c r="G1323" s="332">
        <v>2041</v>
      </c>
      <c r="H1323" s="333">
        <v>2470</v>
      </c>
    </row>
    <row r="1324" spans="1:8">
      <c r="A1324" s="317" t="s">
        <v>37903</v>
      </c>
      <c r="B1324" s="317" t="s">
        <v>45694</v>
      </c>
      <c r="C1324" s="330" t="s">
        <v>7125</v>
      </c>
      <c r="D1324" s="330" t="s">
        <v>7126</v>
      </c>
      <c r="E1324" s="330" t="s">
        <v>37248</v>
      </c>
      <c r="F1324" s="331">
        <v>0.21</v>
      </c>
      <c r="G1324" s="332">
        <v>1072</v>
      </c>
      <c r="H1324" s="333">
        <v>1298</v>
      </c>
    </row>
    <row r="1325" spans="1:8">
      <c r="A1325" s="317" t="s">
        <v>37904</v>
      </c>
      <c r="B1325" s="317" t="s">
        <v>45695</v>
      </c>
      <c r="C1325" s="330" t="s">
        <v>7127</v>
      </c>
      <c r="D1325" s="330" t="s">
        <v>7128</v>
      </c>
      <c r="E1325" s="330" t="s">
        <v>4819</v>
      </c>
      <c r="F1325" s="331">
        <v>0.21</v>
      </c>
      <c r="G1325" s="332">
        <v>2534</v>
      </c>
      <c r="H1325" s="333">
        <v>3067</v>
      </c>
    </row>
    <row r="1326" spans="1:8">
      <c r="A1326" s="317" t="s">
        <v>37905</v>
      </c>
      <c r="B1326" s="317" t="s">
        <v>45696</v>
      </c>
      <c r="C1326" s="330" t="s">
        <v>7129</v>
      </c>
      <c r="D1326" s="330" t="s">
        <v>7130</v>
      </c>
      <c r="E1326" s="330" t="s">
        <v>37248</v>
      </c>
      <c r="F1326" s="331">
        <v>0.21</v>
      </c>
      <c r="G1326" s="332">
        <v>27489</v>
      </c>
      <c r="H1326" s="333">
        <v>33262</v>
      </c>
    </row>
    <row r="1327" spans="1:8">
      <c r="A1327" s="317" t="s">
        <v>37906</v>
      </c>
      <c r="B1327" s="317" t="s">
        <v>45697</v>
      </c>
      <c r="C1327" s="330" t="s">
        <v>7131</v>
      </c>
      <c r="D1327" s="330" t="s">
        <v>7132</v>
      </c>
      <c r="E1327" s="330" t="s">
        <v>37248</v>
      </c>
      <c r="F1327" s="331">
        <v>0.21</v>
      </c>
      <c r="G1327" s="332">
        <v>22769</v>
      </c>
      <c r="H1327" s="333">
        <v>27551</v>
      </c>
    </row>
    <row r="1328" spans="1:8">
      <c r="A1328" s="317" t="s">
        <v>37907</v>
      </c>
      <c r="B1328" s="317" t="s">
        <v>45698</v>
      </c>
      <c r="C1328" s="330" t="s">
        <v>7133</v>
      </c>
      <c r="D1328" s="330" t="s">
        <v>7134</v>
      </c>
      <c r="E1328" s="330" t="s">
        <v>37248</v>
      </c>
      <c r="F1328" s="331">
        <v>0.21</v>
      </c>
      <c r="G1328" s="332">
        <v>2036</v>
      </c>
      <c r="H1328" s="333">
        <v>2464</v>
      </c>
    </row>
    <row r="1329" spans="1:8">
      <c r="A1329" s="317" t="s">
        <v>37908</v>
      </c>
      <c r="B1329" s="317" t="s">
        <v>45699</v>
      </c>
      <c r="C1329" s="330" t="s">
        <v>7135</v>
      </c>
      <c r="D1329" s="330" t="s">
        <v>7136</v>
      </c>
      <c r="E1329" s="330" t="s">
        <v>4819</v>
      </c>
      <c r="F1329" s="331">
        <v>0.21</v>
      </c>
      <c r="G1329" s="332">
        <v>1492</v>
      </c>
      <c r="H1329" s="333">
        <v>1806</v>
      </c>
    </row>
    <row r="1330" spans="1:8">
      <c r="A1330" s="317" t="s">
        <v>37909</v>
      </c>
      <c r="B1330" s="317" t="s">
        <v>45700</v>
      </c>
      <c r="C1330" s="330" t="s">
        <v>7137</v>
      </c>
      <c r="D1330" s="330" t="s">
        <v>7138</v>
      </c>
      <c r="E1330" s="330" t="s">
        <v>4634</v>
      </c>
      <c r="F1330" s="331">
        <v>0.21</v>
      </c>
      <c r="G1330" s="332">
        <v>4472</v>
      </c>
      <c r="H1330" s="333">
        <v>5412</v>
      </c>
    </row>
    <row r="1331" spans="1:8">
      <c r="A1331" s="317" t="s">
        <v>37910</v>
      </c>
      <c r="B1331" s="317" t="s">
        <v>45701</v>
      </c>
      <c r="C1331" s="330" t="s">
        <v>7139</v>
      </c>
      <c r="D1331" s="330" t="s">
        <v>7140</v>
      </c>
      <c r="E1331" s="330" t="s">
        <v>37248</v>
      </c>
      <c r="F1331" s="331">
        <v>0.21</v>
      </c>
      <c r="G1331" s="332">
        <v>361</v>
      </c>
      <c r="H1331" s="333">
        <v>437</v>
      </c>
    </row>
    <row r="1332" spans="1:8">
      <c r="A1332" s="317" t="s">
        <v>37911</v>
      </c>
      <c r="B1332" s="317" t="s">
        <v>45702</v>
      </c>
      <c r="C1332" s="330" t="s">
        <v>7141</v>
      </c>
      <c r="D1332" s="330" t="s">
        <v>7142</v>
      </c>
      <c r="E1332" s="330" t="s">
        <v>37248</v>
      </c>
      <c r="F1332" s="331">
        <v>0.21</v>
      </c>
      <c r="G1332" s="332">
        <v>1452</v>
      </c>
      <c r="H1332" s="333">
        <v>1757</v>
      </c>
    </row>
    <row r="1333" spans="1:8">
      <c r="A1333" s="317" t="s">
        <v>37912</v>
      </c>
      <c r="B1333" s="317" t="s">
        <v>45703</v>
      </c>
      <c r="C1333" s="330" t="s">
        <v>7143</v>
      </c>
      <c r="D1333" s="330" t="s">
        <v>7144</v>
      </c>
      <c r="E1333" s="330" t="s">
        <v>37248</v>
      </c>
      <c r="F1333" s="331">
        <v>0.21</v>
      </c>
      <c r="G1333" s="332">
        <v>3171</v>
      </c>
      <c r="H1333" s="333">
        <v>3837</v>
      </c>
    </row>
    <row r="1334" spans="1:8">
      <c r="A1334" s="317" t="s">
        <v>37913</v>
      </c>
      <c r="B1334" s="317" t="s">
        <v>45704</v>
      </c>
      <c r="C1334" s="330" t="s">
        <v>7145</v>
      </c>
      <c r="D1334" s="330" t="s">
        <v>7146</v>
      </c>
      <c r="E1334" s="330" t="s">
        <v>37248</v>
      </c>
      <c r="F1334" s="331">
        <v>0.21</v>
      </c>
      <c r="G1334" s="332">
        <v>18156</v>
      </c>
      <c r="H1334" s="333">
        <v>21969</v>
      </c>
    </row>
    <row r="1335" spans="1:8">
      <c r="A1335" s="317" t="s">
        <v>37914</v>
      </c>
      <c r="B1335" s="317" t="s">
        <v>45705</v>
      </c>
      <c r="C1335" s="330" t="s">
        <v>7147</v>
      </c>
      <c r="D1335" s="330" t="s">
        <v>7148</v>
      </c>
      <c r="E1335" s="330" t="s">
        <v>37248</v>
      </c>
      <c r="F1335" s="331">
        <v>0.21</v>
      </c>
      <c r="G1335" s="332">
        <v>7332</v>
      </c>
      <c r="H1335" s="333">
        <v>8872</v>
      </c>
    </row>
    <row r="1336" spans="1:8">
      <c r="A1336" s="317" t="s">
        <v>37915</v>
      </c>
      <c r="B1336" s="317" t="s">
        <v>45706</v>
      </c>
      <c r="C1336" s="330" t="s">
        <v>7149</v>
      </c>
      <c r="D1336" s="330" t="s">
        <v>7150</v>
      </c>
      <c r="E1336" s="330" t="s">
        <v>37248</v>
      </c>
      <c r="F1336" s="331">
        <v>0.21</v>
      </c>
      <c r="G1336" s="332">
        <v>2413</v>
      </c>
      <c r="H1336" s="333">
        <v>2920</v>
      </c>
    </row>
    <row r="1337" spans="1:8">
      <c r="A1337" s="317" t="s">
        <v>37916</v>
      </c>
      <c r="B1337" s="317" t="s">
        <v>45707</v>
      </c>
      <c r="C1337" s="330" t="s">
        <v>7151</v>
      </c>
      <c r="D1337" s="330" t="s">
        <v>7152</v>
      </c>
      <c r="E1337" s="330" t="s">
        <v>37248</v>
      </c>
      <c r="F1337" s="331">
        <v>0.21</v>
      </c>
      <c r="G1337" s="332">
        <v>1373</v>
      </c>
      <c r="H1337" s="333">
        <v>1662</v>
      </c>
    </row>
    <row r="1338" spans="1:8">
      <c r="A1338" s="317" t="s">
        <v>37917</v>
      </c>
      <c r="B1338" s="317" t="s">
        <v>45708</v>
      </c>
      <c r="C1338" s="330" t="s">
        <v>7153</v>
      </c>
      <c r="D1338" s="330" t="s">
        <v>7152</v>
      </c>
      <c r="E1338" s="330" t="s">
        <v>37248</v>
      </c>
      <c r="F1338" s="331">
        <v>0.21</v>
      </c>
      <c r="G1338" s="332">
        <v>1320</v>
      </c>
      <c r="H1338" s="333">
        <v>1598</v>
      </c>
    </row>
    <row r="1339" spans="1:8">
      <c r="A1339" s="317" t="s">
        <v>37918</v>
      </c>
      <c r="B1339" s="317" t="s">
        <v>45709</v>
      </c>
      <c r="C1339" s="330" t="s">
        <v>7154</v>
      </c>
      <c r="D1339" s="330" t="s">
        <v>7155</v>
      </c>
      <c r="E1339" s="330" t="s">
        <v>37248</v>
      </c>
      <c r="F1339" s="331">
        <v>0.21</v>
      </c>
      <c r="G1339" s="332">
        <v>24429</v>
      </c>
      <c r="H1339" s="333">
        <v>29560</v>
      </c>
    </row>
    <row r="1340" spans="1:8">
      <c r="A1340" s="317" t="s">
        <v>37919</v>
      </c>
      <c r="B1340" s="317" t="s">
        <v>45710</v>
      </c>
      <c r="C1340" s="330" t="s">
        <v>7156</v>
      </c>
      <c r="D1340" s="330" t="s">
        <v>7157</v>
      </c>
      <c r="E1340" s="330" t="s">
        <v>37248</v>
      </c>
      <c r="F1340" s="331">
        <v>0.21</v>
      </c>
      <c r="G1340" s="332">
        <v>5521</v>
      </c>
      <c r="H1340" s="333">
        <v>6681</v>
      </c>
    </row>
    <row r="1341" spans="1:8">
      <c r="A1341" s="317" t="s">
        <v>37920</v>
      </c>
      <c r="B1341" s="317" t="s">
        <v>45711</v>
      </c>
      <c r="C1341" s="330" t="s">
        <v>7158</v>
      </c>
      <c r="D1341" s="330" t="s">
        <v>7159</v>
      </c>
      <c r="E1341" s="330" t="s">
        <v>37248</v>
      </c>
      <c r="F1341" s="331">
        <v>0.21</v>
      </c>
      <c r="G1341" s="332">
        <v>5565</v>
      </c>
      <c r="H1341" s="333">
        <v>6734</v>
      </c>
    </row>
    <row r="1342" spans="1:8">
      <c r="A1342" s="317" t="s">
        <v>37921</v>
      </c>
      <c r="B1342" s="317" t="s">
        <v>45712</v>
      </c>
      <c r="C1342" s="330" t="s">
        <v>7160</v>
      </c>
      <c r="D1342" s="330" t="s">
        <v>7161</v>
      </c>
      <c r="E1342" s="330" t="s">
        <v>37248</v>
      </c>
      <c r="F1342" s="331">
        <v>0.21</v>
      </c>
      <c r="G1342" s="332">
        <v>649</v>
      </c>
      <c r="H1342" s="333">
        <v>786</v>
      </c>
    </row>
    <row r="1343" spans="1:8">
      <c r="A1343" s="317" t="s">
        <v>37922</v>
      </c>
      <c r="B1343" s="317" t="s">
        <v>45713</v>
      </c>
      <c r="C1343" s="330" t="s">
        <v>7162</v>
      </c>
      <c r="D1343" s="330" t="s">
        <v>5264</v>
      </c>
      <c r="E1343" s="330" t="s">
        <v>37248</v>
      </c>
      <c r="F1343" s="331">
        <v>0.21</v>
      </c>
      <c r="G1343" s="332">
        <v>1282</v>
      </c>
      <c r="H1343" s="333">
        <v>1552</v>
      </c>
    </row>
    <row r="1344" spans="1:8">
      <c r="A1344" s="317" t="s">
        <v>37923</v>
      </c>
      <c r="B1344" s="317" t="s">
        <v>45714</v>
      </c>
      <c r="C1344" s="330" t="s">
        <v>7163</v>
      </c>
      <c r="D1344" s="330" t="s">
        <v>7164</v>
      </c>
      <c r="E1344" s="330" t="s">
        <v>37248</v>
      </c>
      <c r="F1344" s="331">
        <v>0.21</v>
      </c>
      <c r="G1344" s="332">
        <v>1980</v>
      </c>
      <c r="H1344" s="333">
        <v>2396</v>
      </c>
    </row>
    <row r="1345" spans="1:8">
      <c r="A1345" s="317" t="s">
        <v>37924</v>
      </c>
      <c r="B1345" s="317" t="s">
        <v>45715</v>
      </c>
      <c r="C1345" s="330" t="s">
        <v>7165</v>
      </c>
      <c r="D1345" s="330" t="s">
        <v>7166</v>
      </c>
      <c r="E1345" s="330" t="s">
        <v>4819</v>
      </c>
      <c r="F1345" s="331">
        <v>0.21</v>
      </c>
      <c r="G1345" s="332">
        <v>18872</v>
      </c>
      <c r="H1345" s="333">
        <v>22836</v>
      </c>
    </row>
    <row r="1346" spans="1:8">
      <c r="A1346" s="317" t="s">
        <v>37925</v>
      </c>
      <c r="B1346" s="317" t="s">
        <v>45716</v>
      </c>
      <c r="C1346" s="330" t="s">
        <v>7167</v>
      </c>
      <c r="D1346" s="330" t="s">
        <v>7168</v>
      </c>
      <c r="E1346" s="330" t="s">
        <v>4819</v>
      </c>
      <c r="F1346" s="331">
        <v>0.21</v>
      </c>
      <c r="G1346" s="332">
        <v>470</v>
      </c>
      <c r="H1346" s="333">
        <v>569</v>
      </c>
    </row>
    <row r="1347" spans="1:8">
      <c r="A1347" s="317" t="s">
        <v>37926</v>
      </c>
      <c r="B1347" s="317" t="s">
        <v>45717</v>
      </c>
      <c r="C1347" s="330" t="s">
        <v>7169</v>
      </c>
      <c r="D1347" s="330" t="s">
        <v>7170</v>
      </c>
      <c r="E1347" s="330" t="s">
        <v>37248</v>
      </c>
      <c r="F1347" s="331">
        <v>0.21</v>
      </c>
      <c r="G1347" s="332">
        <v>5737</v>
      </c>
      <c r="H1347" s="333">
        <v>6942</v>
      </c>
    </row>
    <row r="1348" spans="1:8">
      <c r="A1348" s="317" t="s">
        <v>37927</v>
      </c>
      <c r="B1348" s="317" t="s">
        <v>45718</v>
      </c>
      <c r="C1348" s="330" t="s">
        <v>7171</v>
      </c>
      <c r="D1348" s="330" t="s">
        <v>7172</v>
      </c>
      <c r="E1348" s="330" t="s">
        <v>37248</v>
      </c>
      <c r="F1348" s="331">
        <v>0.21</v>
      </c>
      <c r="G1348" s="332">
        <v>2159</v>
      </c>
      <c r="H1348" s="333">
        <v>2613</v>
      </c>
    </row>
    <row r="1349" spans="1:8">
      <c r="A1349" s="317" t="s">
        <v>37928</v>
      </c>
      <c r="B1349" s="317" t="s">
        <v>45719</v>
      </c>
      <c r="C1349" s="330" t="s">
        <v>7173</v>
      </c>
      <c r="D1349" s="330" t="s">
        <v>7174</v>
      </c>
      <c r="E1349" s="330" t="s">
        <v>4819</v>
      </c>
      <c r="F1349" s="331">
        <v>0.21</v>
      </c>
      <c r="G1349" s="332">
        <v>675</v>
      </c>
      <c r="H1349" s="333">
        <v>817</v>
      </c>
    </row>
    <row r="1350" spans="1:8">
      <c r="A1350" s="317" t="s">
        <v>37929</v>
      </c>
      <c r="B1350" s="317" t="s">
        <v>45720</v>
      </c>
      <c r="C1350" s="330" t="s">
        <v>7175</v>
      </c>
      <c r="D1350" s="330" t="s">
        <v>7176</v>
      </c>
      <c r="E1350" s="330" t="s">
        <v>37248</v>
      </c>
      <c r="F1350" s="331">
        <v>0.21</v>
      </c>
      <c r="G1350" s="332">
        <v>21582</v>
      </c>
      <c r="H1350" s="333">
        <v>26115</v>
      </c>
    </row>
    <row r="1351" spans="1:8">
      <c r="A1351" s="317" t="s">
        <v>37930</v>
      </c>
      <c r="B1351" s="317" t="s">
        <v>45721</v>
      </c>
      <c r="C1351" s="330" t="s">
        <v>7177</v>
      </c>
      <c r="D1351" s="330" t="s">
        <v>7178</v>
      </c>
      <c r="E1351" s="330" t="s">
        <v>4819</v>
      </c>
      <c r="F1351" s="331">
        <v>0.21</v>
      </c>
      <c r="G1351" s="332">
        <v>894</v>
      </c>
      <c r="H1351" s="333">
        <v>1082</v>
      </c>
    </row>
    <row r="1352" spans="1:8">
      <c r="A1352" s="317" t="s">
        <v>37931</v>
      </c>
      <c r="B1352" s="317" t="s">
        <v>45722</v>
      </c>
      <c r="C1352" s="330" t="s">
        <v>7179</v>
      </c>
      <c r="D1352" s="330" t="s">
        <v>7180</v>
      </c>
      <c r="E1352" s="330" t="s">
        <v>37248</v>
      </c>
      <c r="F1352" s="331">
        <v>0.21</v>
      </c>
      <c r="G1352" s="332">
        <v>3259</v>
      </c>
      <c r="H1352" s="333">
        <v>3944</v>
      </c>
    </row>
    <row r="1353" spans="1:8">
      <c r="A1353" s="317" t="s">
        <v>37932</v>
      </c>
      <c r="B1353" s="317" t="s">
        <v>45723</v>
      </c>
      <c r="C1353" s="330" t="s">
        <v>7181</v>
      </c>
      <c r="D1353" s="330" t="s">
        <v>7182</v>
      </c>
      <c r="E1353" s="330" t="s">
        <v>4819</v>
      </c>
      <c r="F1353" s="331">
        <v>0.21</v>
      </c>
      <c r="G1353" s="332">
        <v>213</v>
      </c>
      <c r="H1353" s="333">
        <v>258</v>
      </c>
    </row>
    <row r="1354" spans="1:8">
      <c r="A1354" s="317" t="s">
        <v>37933</v>
      </c>
      <c r="B1354" s="317" t="s">
        <v>45724</v>
      </c>
      <c r="C1354" s="330" t="s">
        <v>7183</v>
      </c>
      <c r="D1354" s="330" t="s">
        <v>7184</v>
      </c>
      <c r="E1354" s="330" t="s">
        <v>37248</v>
      </c>
      <c r="F1354" s="331">
        <v>0.21</v>
      </c>
      <c r="G1354" s="332">
        <v>13765</v>
      </c>
      <c r="H1354" s="333">
        <v>16656</v>
      </c>
    </row>
    <row r="1355" spans="1:8">
      <c r="A1355" s="317" t="s">
        <v>37934</v>
      </c>
      <c r="B1355" s="317" t="s">
        <v>45725</v>
      </c>
      <c r="C1355" s="330" t="s">
        <v>7185</v>
      </c>
      <c r="D1355" s="330" t="s">
        <v>7186</v>
      </c>
      <c r="E1355" s="330" t="s">
        <v>4819</v>
      </c>
      <c r="F1355" s="331">
        <v>0.21</v>
      </c>
      <c r="G1355" s="332">
        <v>1329</v>
      </c>
      <c r="H1355" s="333">
        <v>1609</v>
      </c>
    </row>
    <row r="1356" spans="1:8">
      <c r="A1356" s="317" t="s">
        <v>37935</v>
      </c>
      <c r="B1356" s="317" t="s">
        <v>45726</v>
      </c>
      <c r="C1356" s="330" t="s">
        <v>7187</v>
      </c>
      <c r="D1356" s="330" t="s">
        <v>7182</v>
      </c>
      <c r="E1356" s="330" t="s">
        <v>4819</v>
      </c>
      <c r="F1356" s="331">
        <v>0.21</v>
      </c>
      <c r="G1356" s="332">
        <v>280</v>
      </c>
      <c r="H1356" s="333">
        <v>339</v>
      </c>
    </row>
    <row r="1357" spans="1:8">
      <c r="A1357" s="317" t="s">
        <v>37936</v>
      </c>
      <c r="B1357" s="317" t="s">
        <v>45727</v>
      </c>
      <c r="C1357" s="330" t="s">
        <v>7188</v>
      </c>
      <c r="D1357" s="330" t="s">
        <v>7182</v>
      </c>
      <c r="E1357" s="330" t="s">
        <v>4819</v>
      </c>
      <c r="F1357" s="331">
        <v>0.21</v>
      </c>
      <c r="G1357" s="332">
        <v>280</v>
      </c>
      <c r="H1357" s="333">
        <v>339</v>
      </c>
    </row>
    <row r="1358" spans="1:8">
      <c r="A1358" s="317" t="s">
        <v>37937</v>
      </c>
      <c r="B1358" s="317" t="s">
        <v>45728</v>
      </c>
      <c r="C1358" s="330" t="s">
        <v>7189</v>
      </c>
      <c r="D1358" s="330" t="s">
        <v>7190</v>
      </c>
      <c r="E1358" s="330" t="s">
        <v>37248</v>
      </c>
      <c r="F1358" s="331">
        <v>0.21</v>
      </c>
      <c r="G1358" s="332">
        <v>2478</v>
      </c>
      <c r="H1358" s="333">
        <v>2999</v>
      </c>
    </row>
    <row r="1359" spans="1:8">
      <c r="A1359" s="317" t="s">
        <v>37938</v>
      </c>
      <c r="B1359" s="317" t="s">
        <v>45729</v>
      </c>
      <c r="C1359" s="330" t="s">
        <v>7191</v>
      </c>
      <c r="D1359" s="330" t="s">
        <v>7192</v>
      </c>
      <c r="E1359" s="330" t="s">
        <v>37248</v>
      </c>
      <c r="F1359" s="331">
        <v>0.21</v>
      </c>
      <c r="G1359" s="332">
        <v>4932</v>
      </c>
      <c r="H1359" s="333">
        <v>5968</v>
      </c>
    </row>
    <row r="1360" spans="1:8">
      <c r="A1360" s="317" t="s">
        <v>37939</v>
      </c>
      <c r="B1360" s="317" t="s">
        <v>45730</v>
      </c>
      <c r="C1360" s="330" t="s">
        <v>7193</v>
      </c>
      <c r="D1360" s="330" t="s">
        <v>7194</v>
      </c>
      <c r="E1360" s="330" t="s">
        <v>4819</v>
      </c>
      <c r="F1360" s="331">
        <v>0.21</v>
      </c>
      <c r="G1360" s="332">
        <v>2516</v>
      </c>
      <c r="H1360" s="333">
        <v>3045</v>
      </c>
    </row>
    <row r="1361" spans="1:8">
      <c r="A1361" s="317" t="s">
        <v>37940</v>
      </c>
      <c r="B1361" s="317" t="s">
        <v>45731</v>
      </c>
      <c r="C1361" s="330" t="s">
        <v>7195</v>
      </c>
      <c r="D1361" s="330" t="s">
        <v>7196</v>
      </c>
      <c r="E1361" s="330" t="s">
        <v>37248</v>
      </c>
      <c r="F1361" s="331">
        <v>0.21</v>
      </c>
      <c r="G1361" s="332">
        <v>2752</v>
      </c>
      <c r="H1361" s="333">
        <v>3330</v>
      </c>
    </row>
    <row r="1362" spans="1:8">
      <c r="A1362" s="317" t="s">
        <v>37941</v>
      </c>
      <c r="B1362" s="317" t="s">
        <v>45732</v>
      </c>
      <c r="C1362" s="330" t="s">
        <v>7197</v>
      </c>
      <c r="D1362" s="330" t="s">
        <v>7198</v>
      </c>
      <c r="E1362" s="330" t="s">
        <v>4634</v>
      </c>
      <c r="F1362" s="331">
        <v>0.21</v>
      </c>
      <c r="G1362" s="332">
        <v>898</v>
      </c>
      <c r="H1362" s="333">
        <v>1087</v>
      </c>
    </row>
    <row r="1363" spans="1:8">
      <c r="A1363" s="317" t="s">
        <v>37942</v>
      </c>
      <c r="B1363" s="317" t="s">
        <v>45733</v>
      </c>
      <c r="C1363" s="330" t="s">
        <v>7199</v>
      </c>
      <c r="D1363" s="330" t="s">
        <v>7200</v>
      </c>
      <c r="E1363" s="330" t="s">
        <v>4819</v>
      </c>
      <c r="F1363" s="331">
        <v>0.21</v>
      </c>
      <c r="G1363" s="332">
        <v>1195</v>
      </c>
      <c r="H1363" s="333">
        <v>1446</v>
      </c>
    </row>
    <row r="1364" spans="1:8">
      <c r="A1364" s="317" t="s">
        <v>37943</v>
      </c>
      <c r="B1364" s="317" t="s">
        <v>45734</v>
      </c>
      <c r="C1364" s="330" t="s">
        <v>7201</v>
      </c>
      <c r="D1364" s="330" t="s">
        <v>7200</v>
      </c>
      <c r="E1364" s="330" t="s">
        <v>37248</v>
      </c>
      <c r="F1364" s="331">
        <v>0.21</v>
      </c>
      <c r="G1364" s="332">
        <v>1452</v>
      </c>
      <c r="H1364" s="333">
        <v>1757</v>
      </c>
    </row>
    <row r="1365" spans="1:8">
      <c r="A1365" s="317" t="s">
        <v>37944</v>
      </c>
      <c r="B1365" s="317" t="s">
        <v>45735</v>
      </c>
      <c r="C1365" s="330" t="s">
        <v>7202</v>
      </c>
      <c r="D1365" s="330" t="s">
        <v>7203</v>
      </c>
      <c r="E1365" s="330" t="s">
        <v>37248</v>
      </c>
      <c r="F1365" s="331">
        <v>0.21</v>
      </c>
      <c r="G1365" s="332">
        <v>10268</v>
      </c>
      <c r="H1365" s="333">
        <v>12425</v>
      </c>
    </row>
    <row r="1366" spans="1:8">
      <c r="A1366" s="317" t="s">
        <v>37945</v>
      </c>
      <c r="B1366" s="317" t="s">
        <v>45736</v>
      </c>
      <c r="C1366" s="330" t="s">
        <v>7204</v>
      </c>
      <c r="D1366" s="330" t="s">
        <v>7205</v>
      </c>
      <c r="E1366" s="330" t="s">
        <v>37248</v>
      </c>
      <c r="F1366" s="331">
        <v>0.21</v>
      </c>
      <c r="G1366" s="332">
        <v>34313</v>
      </c>
      <c r="H1366" s="333">
        <v>41519</v>
      </c>
    </row>
    <row r="1367" spans="1:8">
      <c r="A1367" s="317" t="s">
        <v>37946</v>
      </c>
      <c r="B1367" s="317" t="s">
        <v>45737</v>
      </c>
      <c r="C1367" s="330" t="s">
        <v>7206</v>
      </c>
      <c r="D1367" s="330" t="s">
        <v>7207</v>
      </c>
      <c r="E1367" s="330" t="s">
        <v>4819</v>
      </c>
      <c r="F1367" s="331">
        <v>0.21</v>
      </c>
      <c r="G1367" s="332">
        <v>4581</v>
      </c>
      <c r="H1367" s="333">
        <v>5544</v>
      </c>
    </row>
    <row r="1368" spans="1:8">
      <c r="A1368" s="317" t="s">
        <v>37947</v>
      </c>
      <c r="B1368" s="317" t="s">
        <v>45738</v>
      </c>
      <c r="C1368" s="330" t="s">
        <v>7208</v>
      </c>
      <c r="D1368" s="330" t="s">
        <v>7209</v>
      </c>
      <c r="E1368" s="330" t="s">
        <v>37248</v>
      </c>
      <c r="F1368" s="331">
        <v>0.21</v>
      </c>
      <c r="G1368" s="332">
        <v>54245</v>
      </c>
      <c r="H1368" s="333">
        <v>65637</v>
      </c>
    </row>
    <row r="1369" spans="1:8">
      <c r="A1369" s="317" t="s">
        <v>37948</v>
      </c>
      <c r="B1369" s="317" t="s">
        <v>45739</v>
      </c>
      <c r="C1369" s="330" t="s">
        <v>7210</v>
      </c>
      <c r="D1369" s="330" t="s">
        <v>7211</v>
      </c>
      <c r="E1369" s="330" t="s">
        <v>37248</v>
      </c>
      <c r="F1369" s="331">
        <v>0.21</v>
      </c>
      <c r="G1369" s="332">
        <v>11138</v>
      </c>
      <c r="H1369" s="333">
        <v>13477</v>
      </c>
    </row>
    <row r="1370" spans="1:8">
      <c r="A1370" s="317" t="s">
        <v>37949</v>
      </c>
      <c r="B1370" s="317" t="s">
        <v>45740</v>
      </c>
      <c r="C1370" s="330" t="s">
        <v>7212</v>
      </c>
      <c r="D1370" s="330" t="s">
        <v>7213</v>
      </c>
      <c r="E1370" s="330" t="s">
        <v>37248</v>
      </c>
      <c r="F1370" s="331">
        <v>0.21</v>
      </c>
      <c r="G1370" s="332">
        <v>12168</v>
      </c>
      <c r="H1370" s="333">
        <v>14724</v>
      </c>
    </row>
    <row r="1371" spans="1:8">
      <c r="A1371" s="317" t="s">
        <v>37950</v>
      </c>
      <c r="B1371" s="317" t="s">
        <v>45741</v>
      </c>
      <c r="C1371" s="330" t="s">
        <v>7214</v>
      </c>
      <c r="D1371" s="330" t="s">
        <v>7215</v>
      </c>
      <c r="E1371" s="330" t="s">
        <v>37248</v>
      </c>
      <c r="F1371" s="331">
        <v>0.21</v>
      </c>
      <c r="G1371" s="332">
        <v>6627</v>
      </c>
      <c r="H1371" s="333">
        <v>8019</v>
      </c>
    </row>
    <row r="1372" spans="1:8">
      <c r="A1372" s="317" t="s">
        <v>37951</v>
      </c>
      <c r="B1372" s="317" t="s">
        <v>45742</v>
      </c>
      <c r="C1372" s="330" t="s">
        <v>7216</v>
      </c>
      <c r="D1372" s="330" t="s">
        <v>7217</v>
      </c>
      <c r="E1372" s="330" t="s">
        <v>37248</v>
      </c>
      <c r="F1372" s="331">
        <v>0.21</v>
      </c>
      <c r="G1372" s="332">
        <v>28236</v>
      </c>
      <c r="H1372" s="333">
        <v>34166</v>
      </c>
    </row>
    <row r="1373" spans="1:8">
      <c r="A1373" s="317" t="s">
        <v>37952</v>
      </c>
      <c r="B1373" s="317" t="s">
        <v>45743</v>
      </c>
      <c r="C1373" s="330" t="s">
        <v>7218</v>
      </c>
      <c r="D1373" s="330" t="s">
        <v>7219</v>
      </c>
      <c r="E1373" s="330" t="s">
        <v>37248</v>
      </c>
      <c r="F1373" s="331">
        <v>0.21</v>
      </c>
      <c r="G1373" s="332">
        <v>3707</v>
      </c>
      <c r="H1373" s="333">
        <v>4486</v>
      </c>
    </row>
    <row r="1374" spans="1:8">
      <c r="A1374" s="317" t="s">
        <v>37953</v>
      </c>
      <c r="B1374" s="317" t="s">
        <v>45744</v>
      </c>
      <c r="C1374" s="330" t="s">
        <v>7220</v>
      </c>
      <c r="D1374" s="330" t="s">
        <v>7221</v>
      </c>
      <c r="E1374" s="330" t="s">
        <v>37248</v>
      </c>
      <c r="F1374" s="331">
        <v>0.21</v>
      </c>
      <c r="G1374" s="332">
        <v>4633</v>
      </c>
      <c r="H1374" s="333">
        <v>5606</v>
      </c>
    </row>
    <row r="1375" spans="1:8">
      <c r="A1375" s="317" t="s">
        <v>37954</v>
      </c>
      <c r="B1375" s="317" t="s">
        <v>45745</v>
      </c>
      <c r="C1375" s="330" t="s">
        <v>7222</v>
      </c>
      <c r="D1375" s="330" t="s">
        <v>7223</v>
      </c>
      <c r="E1375" s="330" t="s">
        <v>37248</v>
      </c>
      <c r="F1375" s="331">
        <v>0.21</v>
      </c>
      <c r="G1375" s="332">
        <v>435</v>
      </c>
      <c r="H1375" s="333">
        <v>527</v>
      </c>
    </row>
    <row r="1376" spans="1:8">
      <c r="A1376" s="317" t="s">
        <v>37955</v>
      </c>
      <c r="B1376" s="317" t="s">
        <v>45746</v>
      </c>
      <c r="C1376" s="330" t="s">
        <v>7224</v>
      </c>
      <c r="D1376" s="330" t="s">
        <v>7225</v>
      </c>
      <c r="E1376" s="330" t="s">
        <v>37248</v>
      </c>
      <c r="F1376" s="331">
        <v>0.21</v>
      </c>
      <c r="G1376" s="332">
        <v>579</v>
      </c>
      <c r="H1376" s="333">
        <v>701</v>
      </c>
    </row>
    <row r="1377" spans="1:8">
      <c r="A1377" s="317" t="s">
        <v>37956</v>
      </c>
      <c r="B1377" s="317" t="s">
        <v>45747</v>
      </c>
      <c r="C1377" s="330" t="s">
        <v>7226</v>
      </c>
      <c r="D1377" s="330" t="s">
        <v>7227</v>
      </c>
      <c r="E1377" s="330" t="s">
        <v>37248</v>
      </c>
      <c r="F1377" s="331">
        <v>0.21</v>
      </c>
      <c r="G1377" s="332">
        <v>1106</v>
      </c>
      <c r="H1377" s="333">
        <v>1339</v>
      </c>
    </row>
    <row r="1378" spans="1:8">
      <c r="A1378" s="317" t="s">
        <v>37957</v>
      </c>
      <c r="B1378" s="317" t="s">
        <v>45748</v>
      </c>
      <c r="C1378" s="330" t="s">
        <v>7228</v>
      </c>
      <c r="D1378" s="330" t="s">
        <v>7229</v>
      </c>
      <c r="E1378" s="330" t="s">
        <v>4819</v>
      </c>
      <c r="F1378" s="331">
        <v>0.21</v>
      </c>
      <c r="G1378" s="332">
        <v>16478</v>
      </c>
      <c r="H1378" s="333">
        <v>19939</v>
      </c>
    </row>
    <row r="1379" spans="1:8">
      <c r="A1379" s="317" t="s">
        <v>37958</v>
      </c>
      <c r="B1379" s="317" t="s">
        <v>45749</v>
      </c>
      <c r="C1379" s="330" t="s">
        <v>7230</v>
      </c>
      <c r="D1379" s="330" t="s">
        <v>7231</v>
      </c>
      <c r="E1379" s="330" t="s">
        <v>37248</v>
      </c>
      <c r="F1379" s="331">
        <v>0.21</v>
      </c>
      <c r="G1379" s="332">
        <v>1063</v>
      </c>
      <c r="H1379" s="333">
        <v>1287</v>
      </c>
    </row>
    <row r="1380" spans="1:8">
      <c r="A1380" s="317" t="s">
        <v>37959</v>
      </c>
      <c r="B1380" s="317" t="s">
        <v>45750</v>
      </c>
      <c r="C1380" s="330" t="s">
        <v>7232</v>
      </c>
      <c r="D1380" s="330" t="s">
        <v>7233</v>
      </c>
      <c r="E1380" s="330" t="s">
        <v>37248</v>
      </c>
      <c r="F1380" s="331">
        <v>0.21</v>
      </c>
      <c r="G1380" s="332">
        <v>19470</v>
      </c>
      <c r="H1380" s="333">
        <v>23559</v>
      </c>
    </row>
    <row r="1381" spans="1:8">
      <c r="A1381" s="317" t="s">
        <v>37960</v>
      </c>
      <c r="B1381" s="317" t="s">
        <v>45751</v>
      </c>
      <c r="C1381" s="330" t="s">
        <v>7234</v>
      </c>
      <c r="D1381" s="330" t="s">
        <v>7235</v>
      </c>
      <c r="E1381" s="330" t="s">
        <v>37248</v>
      </c>
      <c r="F1381" s="331">
        <v>0.21</v>
      </c>
      <c r="G1381" s="332">
        <v>807</v>
      </c>
      <c r="H1381" s="333">
        <v>977</v>
      </c>
    </row>
    <row r="1382" spans="1:8">
      <c r="A1382" s="317" t="s">
        <v>37961</v>
      </c>
      <c r="B1382" s="317" t="s">
        <v>45752</v>
      </c>
      <c r="C1382" s="330" t="s">
        <v>7236</v>
      </c>
      <c r="D1382" s="330" t="s">
        <v>7237</v>
      </c>
      <c r="E1382" s="330" t="s">
        <v>37248</v>
      </c>
      <c r="F1382" s="331">
        <v>0.21</v>
      </c>
      <c r="G1382" s="332">
        <v>22242</v>
      </c>
      <c r="H1382" s="333">
        <v>26913</v>
      </c>
    </row>
    <row r="1383" spans="1:8">
      <c r="A1383" s="317" t="s">
        <v>37962</v>
      </c>
      <c r="B1383" s="317" t="s">
        <v>45753</v>
      </c>
      <c r="C1383" s="330" t="s">
        <v>7238</v>
      </c>
      <c r="D1383" s="330" t="s">
        <v>7239</v>
      </c>
      <c r="E1383" s="330" t="s">
        <v>37248</v>
      </c>
      <c r="F1383" s="331">
        <v>0.21</v>
      </c>
      <c r="G1383" s="332">
        <v>49128</v>
      </c>
      <c r="H1383" s="333">
        <v>59445</v>
      </c>
    </row>
    <row r="1384" spans="1:8">
      <c r="A1384" s="317" t="s">
        <v>37963</v>
      </c>
      <c r="B1384" s="317" t="s">
        <v>45754</v>
      </c>
      <c r="C1384" s="330" t="s">
        <v>7240</v>
      </c>
      <c r="D1384" s="330" t="s">
        <v>7241</v>
      </c>
      <c r="E1384" s="330" t="s">
        <v>37248</v>
      </c>
      <c r="F1384" s="331">
        <v>0.21</v>
      </c>
      <c r="G1384" s="332">
        <v>863</v>
      </c>
      <c r="H1384" s="333">
        <v>1045</v>
      </c>
    </row>
    <row r="1385" spans="1:8">
      <c r="A1385" s="317" t="s">
        <v>37964</v>
      </c>
      <c r="B1385" s="317" t="s">
        <v>45755</v>
      </c>
      <c r="C1385" s="330" t="s">
        <v>7242</v>
      </c>
      <c r="D1385" s="330" t="s">
        <v>7243</v>
      </c>
      <c r="E1385" s="330" t="s">
        <v>4819</v>
      </c>
      <c r="F1385" s="331">
        <v>0.21</v>
      </c>
      <c r="G1385" s="332">
        <v>38242</v>
      </c>
      <c r="H1385" s="333">
        <v>46273</v>
      </c>
    </row>
    <row r="1386" spans="1:8">
      <c r="A1386" s="317" t="s">
        <v>37965</v>
      </c>
      <c r="B1386" s="317" t="s">
        <v>45756</v>
      </c>
      <c r="C1386" s="330" t="s">
        <v>37966</v>
      </c>
      <c r="D1386" s="330" t="s">
        <v>7244</v>
      </c>
      <c r="E1386" s="330" t="s">
        <v>37248</v>
      </c>
      <c r="F1386" s="335">
        <v>0.21</v>
      </c>
      <c r="G1386" s="336">
        <v>6883</v>
      </c>
      <c r="H1386" s="333">
        <v>8329</v>
      </c>
    </row>
    <row r="1387" spans="1:8">
      <c r="A1387" s="317" t="s">
        <v>37967</v>
      </c>
      <c r="B1387" s="317" t="s">
        <v>45757</v>
      </c>
      <c r="C1387" s="330" t="s">
        <v>7245</v>
      </c>
      <c r="D1387" s="330" t="s">
        <v>7246</v>
      </c>
      <c r="E1387" s="330" t="s">
        <v>4819</v>
      </c>
      <c r="F1387" s="331">
        <v>0.21</v>
      </c>
      <c r="G1387" s="332">
        <v>12686</v>
      </c>
      <c r="H1387" s="333">
        <v>15351</v>
      </c>
    </row>
    <row r="1388" spans="1:8">
      <c r="A1388" s="317" t="s">
        <v>37968</v>
      </c>
      <c r="B1388" s="317" t="s">
        <v>45758</v>
      </c>
      <c r="C1388" s="330" t="s">
        <v>7247</v>
      </c>
      <c r="D1388" s="330" t="s">
        <v>7248</v>
      </c>
      <c r="E1388" s="330" t="s">
        <v>37248</v>
      </c>
      <c r="F1388" s="331">
        <v>0.21</v>
      </c>
      <c r="G1388" s="332">
        <v>1976</v>
      </c>
      <c r="H1388" s="333">
        <v>2391</v>
      </c>
    </row>
    <row r="1389" spans="1:8">
      <c r="A1389" s="317" t="s">
        <v>37969</v>
      </c>
      <c r="B1389" s="317" t="s">
        <v>45759</v>
      </c>
      <c r="C1389" s="330" t="s">
        <v>7249</v>
      </c>
      <c r="D1389" s="330" t="s">
        <v>7250</v>
      </c>
      <c r="E1389" s="330" t="s">
        <v>37248</v>
      </c>
      <c r="F1389" s="331">
        <v>0.21</v>
      </c>
      <c r="G1389" s="332">
        <v>16817</v>
      </c>
      <c r="H1389" s="333">
        <v>20349</v>
      </c>
    </row>
    <row r="1390" spans="1:8">
      <c r="A1390" s="317" t="s">
        <v>37970</v>
      </c>
      <c r="B1390" s="317" t="s">
        <v>45760</v>
      </c>
      <c r="C1390" s="330" t="s">
        <v>7251</v>
      </c>
      <c r="D1390" s="330" t="s">
        <v>7252</v>
      </c>
      <c r="E1390" s="330" t="s">
        <v>37248</v>
      </c>
      <c r="F1390" s="331">
        <v>0.21</v>
      </c>
      <c r="G1390" s="332">
        <v>2203</v>
      </c>
      <c r="H1390" s="333">
        <v>2666</v>
      </c>
    </row>
    <row r="1391" spans="1:8">
      <c r="A1391" s="317" t="s">
        <v>37971</v>
      </c>
      <c r="B1391" s="317" t="s">
        <v>45761</v>
      </c>
      <c r="C1391" s="330" t="s">
        <v>7253</v>
      </c>
      <c r="D1391" s="330" t="s">
        <v>7254</v>
      </c>
      <c r="E1391" s="330" t="s">
        <v>37248</v>
      </c>
      <c r="F1391" s="331">
        <v>0.21</v>
      </c>
      <c r="G1391" s="332">
        <v>13031</v>
      </c>
      <c r="H1391" s="333">
        <v>15768</v>
      </c>
    </row>
    <row r="1392" spans="1:8">
      <c r="A1392" s="317" t="s">
        <v>37972</v>
      </c>
      <c r="B1392" s="317" t="s">
        <v>45762</v>
      </c>
      <c r="C1392" s="330" t="s">
        <v>7255</v>
      </c>
      <c r="D1392" s="330" t="s">
        <v>7252</v>
      </c>
      <c r="E1392" s="330" t="s">
        <v>37248</v>
      </c>
      <c r="F1392" s="331">
        <v>0.21</v>
      </c>
      <c r="G1392" s="332">
        <v>1701</v>
      </c>
      <c r="H1392" s="333">
        <v>2059</v>
      </c>
    </row>
    <row r="1393" spans="1:8">
      <c r="A1393" s="317" t="s">
        <v>37973</v>
      </c>
      <c r="B1393" s="317" t="s">
        <v>45763</v>
      </c>
      <c r="C1393" s="330" t="s">
        <v>7256</v>
      </c>
      <c r="D1393" s="330" t="s">
        <v>7257</v>
      </c>
      <c r="E1393" s="330" t="s">
        <v>37248</v>
      </c>
      <c r="F1393" s="331">
        <v>0.21</v>
      </c>
      <c r="G1393" s="332">
        <v>18073</v>
      </c>
      <c r="H1393" s="333">
        <v>21869</v>
      </c>
    </row>
    <row r="1394" spans="1:8">
      <c r="A1394" s="317" t="s">
        <v>37974</v>
      </c>
      <c r="B1394" s="317" t="s">
        <v>45764</v>
      </c>
      <c r="C1394" s="330" t="s">
        <v>7258</v>
      </c>
      <c r="D1394" s="330" t="s">
        <v>4650</v>
      </c>
      <c r="E1394" s="330" t="s">
        <v>37248</v>
      </c>
      <c r="F1394" s="331">
        <v>0.21</v>
      </c>
      <c r="G1394" s="332">
        <v>29377</v>
      </c>
      <c r="H1394" s="333">
        <v>35547</v>
      </c>
    </row>
    <row r="1395" spans="1:8">
      <c r="A1395" s="317" t="s">
        <v>37975</v>
      </c>
      <c r="B1395" s="317" t="s">
        <v>45765</v>
      </c>
      <c r="C1395" s="330" t="s">
        <v>7259</v>
      </c>
      <c r="D1395" s="330" t="s">
        <v>7260</v>
      </c>
      <c r="E1395" s="330" t="s">
        <v>4819</v>
      </c>
      <c r="F1395" s="331">
        <v>0.21</v>
      </c>
      <c r="G1395" s="332">
        <v>7403</v>
      </c>
      <c r="H1395" s="333">
        <v>8958</v>
      </c>
    </row>
    <row r="1396" spans="1:8">
      <c r="A1396" s="317" t="s">
        <v>37976</v>
      </c>
      <c r="B1396" s="317" t="s">
        <v>45766</v>
      </c>
      <c r="C1396" s="330" t="s">
        <v>7261</v>
      </c>
      <c r="D1396" s="330" t="s">
        <v>7262</v>
      </c>
      <c r="E1396" s="330" t="s">
        <v>37248</v>
      </c>
      <c r="F1396" s="331">
        <v>0.21</v>
      </c>
      <c r="G1396" s="332">
        <v>28674</v>
      </c>
      <c r="H1396" s="333">
        <v>34696</v>
      </c>
    </row>
    <row r="1397" spans="1:8">
      <c r="A1397" s="317" t="s">
        <v>37977</v>
      </c>
      <c r="B1397" s="317" t="s">
        <v>45767</v>
      </c>
      <c r="C1397" s="330" t="s">
        <v>7263</v>
      </c>
      <c r="D1397" s="330" t="s">
        <v>7264</v>
      </c>
      <c r="E1397" s="330" t="s">
        <v>37248</v>
      </c>
      <c r="F1397" s="331">
        <v>0.21</v>
      </c>
      <c r="G1397" s="332">
        <v>2939</v>
      </c>
      <c r="H1397" s="333">
        <v>3557</v>
      </c>
    </row>
    <row r="1398" spans="1:8">
      <c r="A1398" s="317" t="s">
        <v>37978</v>
      </c>
      <c r="B1398" s="317" t="s">
        <v>45768</v>
      </c>
      <c r="C1398" s="330" t="s">
        <v>7265</v>
      </c>
      <c r="D1398" s="330" t="s">
        <v>7260</v>
      </c>
      <c r="E1398" s="330" t="s">
        <v>4819</v>
      </c>
      <c r="F1398" s="331">
        <v>0.21</v>
      </c>
      <c r="G1398" s="332">
        <v>10469</v>
      </c>
      <c r="H1398" s="333">
        <v>12668</v>
      </c>
    </row>
    <row r="1399" spans="1:8">
      <c r="A1399" s="317" t="s">
        <v>37979</v>
      </c>
      <c r="B1399" s="317" t="s">
        <v>45769</v>
      </c>
      <c r="C1399" s="330" t="s">
        <v>7266</v>
      </c>
      <c r="D1399" s="330" t="s">
        <v>7267</v>
      </c>
      <c r="E1399" s="330" t="s">
        <v>37248</v>
      </c>
      <c r="F1399" s="331">
        <v>0.21</v>
      </c>
      <c r="G1399" s="332">
        <v>14007</v>
      </c>
      <c r="H1399" s="333">
        <v>16949</v>
      </c>
    </row>
    <row r="1400" spans="1:8">
      <c r="A1400" s="317" t="s">
        <v>37980</v>
      </c>
      <c r="B1400" s="317" t="s">
        <v>45770</v>
      </c>
      <c r="C1400" s="330" t="s">
        <v>7268</v>
      </c>
      <c r="D1400" s="330" t="s">
        <v>7269</v>
      </c>
      <c r="E1400" s="330" t="s">
        <v>37248</v>
      </c>
      <c r="F1400" s="331">
        <v>0.21</v>
      </c>
      <c r="G1400" s="332">
        <v>18222</v>
      </c>
      <c r="H1400" s="333">
        <v>22049</v>
      </c>
    </row>
    <row r="1401" spans="1:8">
      <c r="A1401" s="317" t="s">
        <v>37981</v>
      </c>
      <c r="B1401" s="317" t="s">
        <v>45771</v>
      </c>
      <c r="C1401" s="330" t="s">
        <v>7270</v>
      </c>
      <c r="D1401" s="330" t="s">
        <v>7271</v>
      </c>
      <c r="E1401" s="330" t="s">
        <v>37248</v>
      </c>
      <c r="F1401" s="331">
        <v>0.21</v>
      </c>
      <c r="G1401" s="332">
        <v>26146</v>
      </c>
      <c r="H1401" s="333">
        <v>31637</v>
      </c>
    </row>
    <row r="1402" spans="1:8">
      <c r="A1402" s="317" t="s">
        <v>37982</v>
      </c>
      <c r="B1402" s="317" t="s">
        <v>45772</v>
      </c>
      <c r="C1402" s="330" t="s">
        <v>7272</v>
      </c>
      <c r="D1402" s="330" t="s">
        <v>7273</v>
      </c>
      <c r="E1402" s="330" t="s">
        <v>37248</v>
      </c>
      <c r="F1402" s="331">
        <v>0.21</v>
      </c>
      <c r="G1402" s="332">
        <v>21774</v>
      </c>
      <c r="H1402" s="333">
        <v>26347</v>
      </c>
    </row>
    <row r="1403" spans="1:8">
      <c r="A1403" s="317" t="s">
        <v>37983</v>
      </c>
      <c r="B1403" s="317" t="s">
        <v>45773</v>
      </c>
      <c r="C1403" s="330" t="s">
        <v>7274</v>
      </c>
      <c r="D1403" s="330" t="s">
        <v>7275</v>
      </c>
      <c r="E1403" s="330" t="s">
        <v>4819</v>
      </c>
      <c r="F1403" s="331">
        <v>0.21</v>
      </c>
      <c r="G1403" s="332">
        <v>34744</v>
      </c>
      <c r="H1403" s="333">
        <v>42041</v>
      </c>
    </row>
    <row r="1404" spans="1:8">
      <c r="A1404" s="317" t="s">
        <v>37984</v>
      </c>
      <c r="B1404" s="317" t="s">
        <v>45774</v>
      </c>
      <c r="C1404" s="330" t="s">
        <v>7276</v>
      </c>
      <c r="D1404" s="330" t="s">
        <v>6492</v>
      </c>
      <c r="E1404" s="330" t="s">
        <v>37248</v>
      </c>
      <c r="F1404" s="331">
        <v>0.21</v>
      </c>
      <c r="G1404" s="332">
        <v>3263</v>
      </c>
      <c r="H1404" s="333">
        <v>3949</v>
      </c>
    </row>
    <row r="1405" spans="1:8">
      <c r="A1405" s="317" t="s">
        <v>37985</v>
      </c>
      <c r="B1405" s="317" t="s">
        <v>45775</v>
      </c>
      <c r="C1405" s="330" t="s">
        <v>7277</v>
      </c>
      <c r="D1405" s="330" t="s">
        <v>7278</v>
      </c>
      <c r="E1405" s="330" t="s">
        <v>4819</v>
      </c>
      <c r="F1405" s="331">
        <v>0.21</v>
      </c>
      <c r="G1405" s="332">
        <v>5784</v>
      </c>
      <c r="H1405" s="333">
        <v>6999</v>
      </c>
    </row>
    <row r="1406" spans="1:8">
      <c r="A1406" s="317" t="s">
        <v>37986</v>
      </c>
      <c r="B1406" s="317" t="s">
        <v>45776</v>
      </c>
      <c r="C1406" s="330" t="s">
        <v>7279</v>
      </c>
      <c r="D1406" s="330" t="s">
        <v>7280</v>
      </c>
      <c r="E1406" s="330" t="s">
        <v>4819</v>
      </c>
      <c r="F1406" s="331">
        <v>0.21</v>
      </c>
      <c r="G1406" s="332">
        <v>5068</v>
      </c>
      <c r="H1406" s="333">
        <v>6133</v>
      </c>
    </row>
    <row r="1407" spans="1:8">
      <c r="A1407" s="317" t="s">
        <v>37987</v>
      </c>
      <c r="B1407" s="317" t="s">
        <v>45777</v>
      </c>
      <c r="C1407" s="330" t="s">
        <v>7281</v>
      </c>
      <c r="D1407" s="330" t="s">
        <v>7282</v>
      </c>
      <c r="E1407" s="330" t="s">
        <v>4819</v>
      </c>
      <c r="F1407" s="331">
        <v>0.21</v>
      </c>
      <c r="G1407" s="332">
        <v>2875</v>
      </c>
      <c r="H1407" s="333">
        <v>3479</v>
      </c>
    </row>
    <row r="1408" spans="1:8">
      <c r="A1408" s="317" t="s">
        <v>37988</v>
      </c>
      <c r="B1408" s="317" t="s">
        <v>45778</v>
      </c>
      <c r="C1408" s="330" t="s">
        <v>7283</v>
      </c>
      <c r="D1408" s="330" t="s">
        <v>7284</v>
      </c>
      <c r="E1408" s="330" t="s">
        <v>4819</v>
      </c>
      <c r="F1408" s="331">
        <v>0.21</v>
      </c>
      <c r="G1408" s="332">
        <v>15722</v>
      </c>
      <c r="H1408" s="333">
        <v>19024</v>
      </c>
    </row>
    <row r="1409" spans="1:8">
      <c r="A1409" s="317" t="s">
        <v>37989</v>
      </c>
      <c r="B1409" s="317" t="s">
        <v>45779</v>
      </c>
      <c r="C1409" s="330" t="s">
        <v>7285</v>
      </c>
      <c r="D1409" s="330" t="s">
        <v>7286</v>
      </c>
      <c r="E1409" s="330" t="s">
        <v>4819</v>
      </c>
      <c r="F1409" s="331">
        <v>0.21</v>
      </c>
      <c r="G1409" s="332">
        <v>6783</v>
      </c>
      <c r="H1409" s="333">
        <v>8208</v>
      </c>
    </row>
    <row r="1410" spans="1:8">
      <c r="A1410" s="317" t="s">
        <v>37990</v>
      </c>
      <c r="B1410" s="317" t="s">
        <v>45780</v>
      </c>
      <c r="C1410" s="330" t="s">
        <v>7287</v>
      </c>
      <c r="D1410" s="330" t="s">
        <v>7286</v>
      </c>
      <c r="E1410" s="330" t="s">
        <v>4819</v>
      </c>
      <c r="F1410" s="331">
        <v>0.21</v>
      </c>
      <c r="G1410" s="332">
        <v>14156</v>
      </c>
      <c r="H1410" s="333">
        <v>17129</v>
      </c>
    </row>
    <row r="1411" spans="1:8">
      <c r="A1411" s="317" t="s">
        <v>37991</v>
      </c>
      <c r="B1411" s="317" t="s">
        <v>45781</v>
      </c>
      <c r="C1411" s="330" t="s">
        <v>7288</v>
      </c>
      <c r="D1411" s="330" t="s">
        <v>7289</v>
      </c>
      <c r="E1411" s="330" t="s">
        <v>4819</v>
      </c>
      <c r="F1411" s="331">
        <v>0.21</v>
      </c>
      <c r="G1411" s="332">
        <v>916</v>
      </c>
      <c r="H1411" s="333">
        <v>1109</v>
      </c>
    </row>
    <row r="1412" spans="1:8">
      <c r="A1412" s="317" t="s">
        <v>37992</v>
      </c>
      <c r="B1412" s="317" t="s">
        <v>45782</v>
      </c>
      <c r="C1412" s="330" t="s">
        <v>7290</v>
      </c>
      <c r="D1412" s="330" t="s">
        <v>7289</v>
      </c>
      <c r="E1412" s="330" t="s">
        <v>4819</v>
      </c>
      <c r="F1412" s="331">
        <v>0.21</v>
      </c>
      <c r="G1412" s="332">
        <v>2743</v>
      </c>
      <c r="H1412" s="333">
        <v>3320</v>
      </c>
    </row>
    <row r="1413" spans="1:8">
      <c r="A1413" s="317" t="s">
        <v>37993</v>
      </c>
      <c r="B1413" s="317" t="s">
        <v>45783</v>
      </c>
      <c r="C1413" s="330" t="s">
        <v>7291</v>
      </c>
      <c r="D1413" s="330" t="s">
        <v>7292</v>
      </c>
      <c r="E1413" s="330" t="s">
        <v>37248</v>
      </c>
      <c r="F1413" s="331">
        <v>0.21</v>
      </c>
      <c r="G1413" s="332">
        <v>19478</v>
      </c>
      <c r="H1413" s="333">
        <v>23569</v>
      </c>
    </row>
    <row r="1414" spans="1:8">
      <c r="A1414" s="317" t="s">
        <v>37994</v>
      </c>
      <c r="B1414" s="317" t="s">
        <v>45784</v>
      </c>
      <c r="C1414" s="330" t="s">
        <v>7293</v>
      </c>
      <c r="D1414" s="330" t="s">
        <v>7286</v>
      </c>
      <c r="E1414" s="330" t="s">
        <v>4819</v>
      </c>
      <c r="F1414" s="331">
        <v>0.21</v>
      </c>
      <c r="G1414" s="332">
        <v>2581</v>
      </c>
      <c r="H1414" s="333">
        <v>3124</v>
      </c>
    </row>
    <row r="1415" spans="1:8">
      <c r="A1415" s="317" t="s">
        <v>37995</v>
      </c>
      <c r="B1415" s="317" t="s">
        <v>45785</v>
      </c>
      <c r="C1415" s="330" t="s">
        <v>7294</v>
      </c>
      <c r="D1415" s="330" t="s">
        <v>7295</v>
      </c>
      <c r="E1415" s="330" t="s">
        <v>4819</v>
      </c>
      <c r="F1415" s="331">
        <v>0.21</v>
      </c>
      <c r="G1415" s="332">
        <v>1530</v>
      </c>
      <c r="H1415" s="333">
        <v>1852</v>
      </c>
    </row>
    <row r="1416" spans="1:8">
      <c r="A1416" s="317" t="s">
        <v>37996</v>
      </c>
      <c r="B1416" s="317" t="s">
        <v>45786</v>
      </c>
      <c r="C1416" s="330" t="s">
        <v>7296</v>
      </c>
      <c r="D1416" s="330" t="s">
        <v>7297</v>
      </c>
      <c r="E1416" s="330" t="s">
        <v>4819</v>
      </c>
      <c r="F1416" s="331">
        <v>0.21</v>
      </c>
      <c r="G1416" s="332">
        <v>3161</v>
      </c>
      <c r="H1416" s="333">
        <v>3825</v>
      </c>
    </row>
    <row r="1417" spans="1:8">
      <c r="A1417" s="317" t="s">
        <v>37997</v>
      </c>
      <c r="B1417" s="317" t="s">
        <v>45787</v>
      </c>
      <c r="C1417" s="330" t="s">
        <v>7298</v>
      </c>
      <c r="D1417" s="330" t="s">
        <v>7299</v>
      </c>
      <c r="E1417" s="330" t="s">
        <v>4819</v>
      </c>
      <c r="F1417" s="331">
        <v>0.21</v>
      </c>
      <c r="G1417" s="332">
        <v>1835</v>
      </c>
      <c r="H1417" s="333">
        <v>2221</v>
      </c>
    </row>
    <row r="1418" spans="1:8">
      <c r="A1418" s="317" t="s">
        <v>37998</v>
      </c>
      <c r="B1418" s="317" t="s">
        <v>45788</v>
      </c>
      <c r="C1418" s="330" t="s">
        <v>7300</v>
      </c>
      <c r="D1418" s="330" t="s">
        <v>7301</v>
      </c>
      <c r="E1418" s="330" t="s">
        <v>4819</v>
      </c>
      <c r="F1418" s="331">
        <v>0.21</v>
      </c>
      <c r="G1418" s="332">
        <v>2215</v>
      </c>
      <c r="H1418" s="333">
        <v>2681</v>
      </c>
    </row>
    <row r="1419" spans="1:8">
      <c r="A1419" s="317" t="s">
        <v>37999</v>
      </c>
      <c r="B1419" s="317" t="s">
        <v>45789</v>
      </c>
      <c r="C1419" s="330" t="s">
        <v>7302</v>
      </c>
      <c r="D1419" s="330" t="s">
        <v>7303</v>
      </c>
      <c r="E1419" s="330" t="s">
        <v>4819</v>
      </c>
      <c r="F1419" s="331">
        <v>0.21</v>
      </c>
      <c r="G1419" s="332">
        <v>1383</v>
      </c>
      <c r="H1419" s="333">
        <v>1674</v>
      </c>
    </row>
    <row r="1420" spans="1:8">
      <c r="A1420" s="317" t="s">
        <v>38000</v>
      </c>
      <c r="B1420" s="317" t="s">
        <v>45790</v>
      </c>
      <c r="C1420" s="330" t="s">
        <v>7304</v>
      </c>
      <c r="D1420" s="330" t="s">
        <v>7305</v>
      </c>
      <c r="E1420" s="330" t="s">
        <v>4819</v>
      </c>
      <c r="F1420" s="331">
        <v>0.21</v>
      </c>
      <c r="G1420" s="332">
        <v>5378</v>
      </c>
      <c r="H1420" s="333">
        <v>6508</v>
      </c>
    </row>
    <row r="1421" spans="1:8">
      <c r="A1421" s="317" t="s">
        <v>38001</v>
      </c>
      <c r="B1421" s="317" t="s">
        <v>45791</v>
      </c>
      <c r="C1421" s="330" t="s">
        <v>7306</v>
      </c>
      <c r="D1421" s="330" t="s">
        <v>7307</v>
      </c>
      <c r="E1421" s="330" t="s">
        <v>4819</v>
      </c>
      <c r="F1421" s="331">
        <v>0.21</v>
      </c>
      <c r="G1421" s="332">
        <v>318</v>
      </c>
      <c r="H1421" s="333">
        <v>385</v>
      </c>
    </row>
    <row r="1422" spans="1:8">
      <c r="A1422" s="317" t="s">
        <v>38002</v>
      </c>
      <c r="B1422" s="317" t="s">
        <v>45792</v>
      </c>
      <c r="C1422" s="330" t="s">
        <v>7308</v>
      </c>
      <c r="D1422" s="330" t="s">
        <v>7309</v>
      </c>
      <c r="E1422" s="330" t="s">
        <v>37248</v>
      </c>
      <c r="F1422" s="331">
        <v>0.21</v>
      </c>
      <c r="G1422" s="332">
        <v>47845</v>
      </c>
      <c r="H1422" s="333">
        <v>57893</v>
      </c>
    </row>
    <row r="1423" spans="1:8">
      <c r="A1423" s="317" t="s">
        <v>38003</v>
      </c>
      <c r="B1423" s="317" t="s">
        <v>45793</v>
      </c>
      <c r="C1423" s="330" t="s">
        <v>7310</v>
      </c>
      <c r="D1423" s="330" t="s">
        <v>7311</v>
      </c>
      <c r="E1423" s="330" t="s">
        <v>4634</v>
      </c>
      <c r="F1423" s="331">
        <v>0.21</v>
      </c>
      <c r="G1423" s="332">
        <v>2050</v>
      </c>
      <c r="H1423" s="333">
        <v>2481</v>
      </c>
    </row>
    <row r="1424" spans="1:8">
      <c r="A1424" s="317" t="s">
        <v>38004</v>
      </c>
      <c r="B1424" s="317" t="s">
        <v>45794</v>
      </c>
      <c r="C1424" s="330" t="s">
        <v>7312</v>
      </c>
      <c r="D1424" s="330" t="s">
        <v>7313</v>
      </c>
      <c r="E1424" s="330" t="s">
        <v>4819</v>
      </c>
      <c r="F1424" s="331">
        <v>0.21</v>
      </c>
      <c r="G1424" s="332">
        <v>1155</v>
      </c>
      <c r="H1424" s="333">
        <v>1398</v>
      </c>
    </row>
    <row r="1425" spans="1:8">
      <c r="A1425" s="317" t="s">
        <v>38005</v>
      </c>
      <c r="B1425" s="317" t="s">
        <v>45795</v>
      </c>
      <c r="C1425" s="330" t="s">
        <v>7314</v>
      </c>
      <c r="D1425" s="330" t="s">
        <v>7313</v>
      </c>
      <c r="E1425" s="330" t="s">
        <v>4819</v>
      </c>
      <c r="F1425" s="331">
        <v>0.21</v>
      </c>
      <c r="G1425" s="332">
        <v>780</v>
      </c>
      <c r="H1425" s="333">
        <v>944</v>
      </c>
    </row>
    <row r="1426" spans="1:8">
      <c r="A1426" s="317" t="s">
        <v>38006</v>
      </c>
      <c r="B1426" s="317" t="s">
        <v>45796</v>
      </c>
      <c r="C1426" s="330" t="s">
        <v>7315</v>
      </c>
      <c r="D1426" s="330" t="s">
        <v>7316</v>
      </c>
      <c r="E1426" s="330" t="s">
        <v>4819</v>
      </c>
      <c r="F1426" s="331">
        <v>0.21</v>
      </c>
      <c r="G1426" s="332">
        <v>2128</v>
      </c>
      <c r="H1426" s="333">
        <v>2575</v>
      </c>
    </row>
    <row r="1427" spans="1:8">
      <c r="A1427" s="317" t="s">
        <v>38007</v>
      </c>
      <c r="B1427" s="317" t="s">
        <v>45797</v>
      </c>
      <c r="C1427" s="330" t="s">
        <v>7317</v>
      </c>
      <c r="D1427" s="330" t="s">
        <v>7318</v>
      </c>
      <c r="E1427" s="330" t="s">
        <v>4819</v>
      </c>
      <c r="F1427" s="331">
        <v>0.21</v>
      </c>
      <c r="G1427" s="332">
        <v>1052</v>
      </c>
      <c r="H1427" s="333">
        <v>1273</v>
      </c>
    </row>
    <row r="1428" spans="1:8">
      <c r="A1428" s="317" t="s">
        <v>38008</v>
      </c>
      <c r="B1428" s="317" t="s">
        <v>45798</v>
      </c>
      <c r="C1428" s="330" t="s">
        <v>7319</v>
      </c>
      <c r="D1428" s="330" t="s">
        <v>7320</v>
      </c>
      <c r="E1428" s="330" t="s">
        <v>37248</v>
      </c>
      <c r="F1428" s="331">
        <v>0.21</v>
      </c>
      <c r="G1428" s="332">
        <v>1704</v>
      </c>
      <c r="H1428" s="333">
        <v>2062</v>
      </c>
    </row>
    <row r="1429" spans="1:8">
      <c r="A1429" s="317" t="s">
        <v>38009</v>
      </c>
      <c r="B1429" s="317" t="s">
        <v>45799</v>
      </c>
      <c r="C1429" s="330" t="s">
        <v>7321</v>
      </c>
      <c r="D1429" s="330" t="s">
        <v>7322</v>
      </c>
      <c r="E1429" s="330" t="s">
        <v>37248</v>
      </c>
      <c r="F1429" s="331">
        <v>0.21</v>
      </c>
      <c r="G1429" s="332">
        <v>49944</v>
      </c>
      <c r="H1429" s="333">
        <v>60433</v>
      </c>
    </row>
    <row r="1430" spans="1:8">
      <c r="A1430" s="317" t="s">
        <v>38010</v>
      </c>
      <c r="B1430" s="317" t="s">
        <v>45800</v>
      </c>
      <c r="C1430" s="330" t="s">
        <v>7323</v>
      </c>
      <c r="D1430" s="330" t="s">
        <v>7324</v>
      </c>
      <c r="E1430" s="330" t="s">
        <v>37248</v>
      </c>
      <c r="F1430" s="331">
        <v>0.21</v>
      </c>
      <c r="G1430" s="332">
        <v>6284</v>
      </c>
      <c r="H1430" s="333">
        <v>7604</v>
      </c>
    </row>
    <row r="1431" spans="1:8">
      <c r="A1431" s="317" t="s">
        <v>38011</v>
      </c>
      <c r="B1431" s="317" t="s">
        <v>45801</v>
      </c>
      <c r="C1431" s="330" t="s">
        <v>7325</v>
      </c>
      <c r="D1431" s="330" t="s">
        <v>7326</v>
      </c>
      <c r="E1431" s="330" t="s">
        <v>4634</v>
      </c>
      <c r="F1431" s="331">
        <v>0.21</v>
      </c>
      <c r="G1431" s="332">
        <v>4959</v>
      </c>
      <c r="H1431" s="333">
        <v>6001</v>
      </c>
    </row>
    <row r="1432" spans="1:8">
      <c r="A1432" s="317" t="s">
        <v>38012</v>
      </c>
      <c r="B1432" s="317" t="s">
        <v>45802</v>
      </c>
      <c r="C1432" s="330" t="s">
        <v>7327</v>
      </c>
      <c r="D1432" s="330" t="s">
        <v>7328</v>
      </c>
      <c r="E1432" s="330" t="s">
        <v>4819</v>
      </c>
      <c r="F1432" s="331">
        <v>0.21</v>
      </c>
      <c r="G1432" s="332">
        <v>6274</v>
      </c>
      <c r="H1432" s="333">
        <v>7592</v>
      </c>
    </row>
    <row r="1433" spans="1:8">
      <c r="A1433" s="317" t="s">
        <v>38013</v>
      </c>
      <c r="B1433" s="317" t="s">
        <v>45803</v>
      </c>
      <c r="C1433" s="330" t="s">
        <v>7329</v>
      </c>
      <c r="D1433" s="330" t="s">
        <v>7330</v>
      </c>
      <c r="E1433" s="330" t="s">
        <v>37248</v>
      </c>
      <c r="F1433" s="331">
        <v>0.21</v>
      </c>
      <c r="G1433" s="332">
        <v>1880</v>
      </c>
      <c r="H1433" s="333">
        <v>2275</v>
      </c>
    </row>
    <row r="1434" spans="1:8">
      <c r="A1434" s="317" t="s">
        <v>38014</v>
      </c>
      <c r="B1434" s="317" t="s">
        <v>45804</v>
      </c>
      <c r="C1434" s="330" t="s">
        <v>7331</v>
      </c>
      <c r="D1434" s="330" t="s">
        <v>7332</v>
      </c>
      <c r="E1434" s="330" t="s">
        <v>37248</v>
      </c>
      <c r="F1434" s="331">
        <v>0.21</v>
      </c>
      <c r="G1434" s="332">
        <v>240</v>
      </c>
      <c r="H1434" s="333">
        <v>291</v>
      </c>
    </row>
    <row r="1435" spans="1:8">
      <c r="A1435" s="317" t="s">
        <v>38015</v>
      </c>
      <c r="B1435" s="317" t="s">
        <v>45805</v>
      </c>
      <c r="C1435" s="330" t="s">
        <v>7333</v>
      </c>
      <c r="D1435" s="330" t="s">
        <v>7334</v>
      </c>
      <c r="E1435" s="330" t="s">
        <v>37248</v>
      </c>
      <c r="F1435" s="331">
        <v>0.21</v>
      </c>
      <c r="G1435" s="332">
        <v>240</v>
      </c>
      <c r="H1435" s="333">
        <v>291</v>
      </c>
    </row>
    <row r="1436" spans="1:8">
      <c r="A1436" s="317" t="s">
        <v>38016</v>
      </c>
      <c r="B1436" s="317" t="s">
        <v>45806</v>
      </c>
      <c r="C1436" s="330" t="s">
        <v>7335</v>
      </c>
      <c r="D1436" s="330" t="s">
        <v>7320</v>
      </c>
      <c r="E1436" s="330" t="s">
        <v>4819</v>
      </c>
      <c r="F1436" s="331">
        <v>0.21</v>
      </c>
      <c r="G1436" s="332">
        <v>3259</v>
      </c>
      <c r="H1436" s="333">
        <v>3944</v>
      </c>
    </row>
    <row r="1437" spans="1:8">
      <c r="A1437" s="317" t="s">
        <v>38017</v>
      </c>
      <c r="B1437" s="317" t="s">
        <v>45807</v>
      </c>
      <c r="C1437" s="330" t="s">
        <v>7336</v>
      </c>
      <c r="D1437" s="330" t="s">
        <v>7337</v>
      </c>
      <c r="E1437" s="330" t="s">
        <v>37248</v>
      </c>
      <c r="F1437" s="331">
        <v>0.21</v>
      </c>
      <c r="G1437" s="332">
        <v>2295</v>
      </c>
      <c r="H1437" s="333">
        <v>2777</v>
      </c>
    </row>
    <row r="1438" spans="1:8">
      <c r="A1438" s="317" t="s">
        <v>38018</v>
      </c>
      <c r="B1438" s="317" t="s">
        <v>45808</v>
      </c>
      <c r="C1438" s="330" t="s">
        <v>7338</v>
      </c>
      <c r="D1438" s="330" t="s">
        <v>7339</v>
      </c>
      <c r="E1438" s="330" t="s">
        <v>37248</v>
      </c>
      <c r="F1438" s="331">
        <v>0.21</v>
      </c>
      <c r="G1438" s="332">
        <v>7269</v>
      </c>
      <c r="H1438" s="333">
        <v>8796</v>
      </c>
    </row>
    <row r="1439" spans="1:8">
      <c r="A1439" s="317" t="s">
        <v>38019</v>
      </c>
      <c r="B1439" s="317" t="s">
        <v>45809</v>
      </c>
      <c r="C1439" s="330" t="s">
        <v>7340</v>
      </c>
      <c r="D1439" s="330" t="s">
        <v>7341</v>
      </c>
      <c r="E1439" s="330" t="s">
        <v>37248</v>
      </c>
      <c r="F1439" s="331">
        <v>0.21</v>
      </c>
      <c r="G1439" s="332">
        <v>976</v>
      </c>
      <c r="H1439" s="333">
        <v>1181</v>
      </c>
    </row>
    <row r="1440" spans="1:8">
      <c r="A1440" s="317" t="s">
        <v>38020</v>
      </c>
      <c r="B1440" s="317" t="s">
        <v>45810</v>
      </c>
      <c r="C1440" s="330" t="s">
        <v>7342</v>
      </c>
      <c r="D1440" s="330" t="s">
        <v>7343</v>
      </c>
      <c r="E1440" s="330" t="s">
        <v>37248</v>
      </c>
      <c r="F1440" s="331">
        <v>0.21</v>
      </c>
      <c r="G1440" s="332">
        <v>675</v>
      </c>
      <c r="H1440" s="333">
        <v>817</v>
      </c>
    </row>
    <row r="1441" spans="1:8">
      <c r="A1441" s="317" t="s">
        <v>38021</v>
      </c>
      <c r="B1441" s="317" t="s">
        <v>45811</v>
      </c>
      <c r="C1441" s="330" t="s">
        <v>7344</v>
      </c>
      <c r="D1441" s="330" t="s">
        <v>7345</v>
      </c>
      <c r="E1441" s="330" t="s">
        <v>37248</v>
      </c>
      <c r="F1441" s="331">
        <v>0.21</v>
      </c>
      <c r="G1441" s="332">
        <v>4305</v>
      </c>
      <c r="H1441" s="333">
        <v>5210</v>
      </c>
    </row>
    <row r="1442" spans="1:8">
      <c r="A1442" s="317" t="s">
        <v>38022</v>
      </c>
      <c r="B1442" s="317" t="s">
        <v>45812</v>
      </c>
      <c r="C1442" s="330" t="s">
        <v>7346</v>
      </c>
      <c r="D1442" s="330" t="s">
        <v>7347</v>
      </c>
      <c r="E1442" s="330" t="s">
        <v>37248</v>
      </c>
      <c r="F1442" s="331">
        <v>0.21</v>
      </c>
      <c r="G1442" s="332">
        <v>4872</v>
      </c>
      <c r="H1442" s="333">
        <v>5896</v>
      </c>
    </row>
    <row r="1443" spans="1:8">
      <c r="A1443" s="317" t="s">
        <v>38023</v>
      </c>
      <c r="B1443" s="317" t="s">
        <v>45813</v>
      </c>
      <c r="C1443" s="330" t="s">
        <v>7348</v>
      </c>
      <c r="D1443" s="330" t="s">
        <v>7349</v>
      </c>
      <c r="E1443" s="330" t="s">
        <v>37248</v>
      </c>
      <c r="F1443" s="331">
        <v>0.21</v>
      </c>
      <c r="G1443" s="332">
        <v>7800</v>
      </c>
      <c r="H1443" s="333">
        <v>9438</v>
      </c>
    </row>
    <row r="1444" spans="1:8">
      <c r="A1444" s="317" t="s">
        <v>38024</v>
      </c>
      <c r="B1444" s="317" t="s">
        <v>45814</v>
      </c>
      <c r="C1444" s="330" t="s">
        <v>7350</v>
      </c>
      <c r="D1444" s="330" t="s">
        <v>7351</v>
      </c>
      <c r="E1444" s="330" t="s">
        <v>37248</v>
      </c>
      <c r="F1444" s="331">
        <v>0.21</v>
      </c>
      <c r="G1444" s="332">
        <v>12311</v>
      </c>
      <c r="H1444" s="333">
        <v>14897</v>
      </c>
    </row>
    <row r="1445" spans="1:8">
      <c r="A1445" s="317" t="s">
        <v>38025</v>
      </c>
      <c r="B1445" s="317" t="s">
        <v>45815</v>
      </c>
      <c r="C1445" s="330" t="s">
        <v>7352</v>
      </c>
      <c r="D1445" s="330" t="s">
        <v>7353</v>
      </c>
      <c r="E1445" s="330" t="s">
        <v>37248</v>
      </c>
      <c r="F1445" s="331">
        <v>0.21</v>
      </c>
      <c r="G1445" s="332">
        <v>32877</v>
      </c>
      <c r="H1445" s="333">
        <v>39782</v>
      </c>
    </row>
    <row r="1446" spans="1:8">
      <c r="A1446" s="317" t="s">
        <v>38026</v>
      </c>
      <c r="B1446" s="317" t="s">
        <v>45816</v>
      </c>
      <c r="C1446" s="330" t="s">
        <v>7354</v>
      </c>
      <c r="D1446" s="330" t="s">
        <v>7355</v>
      </c>
      <c r="E1446" s="330" t="s">
        <v>37248</v>
      </c>
      <c r="F1446" s="331">
        <v>0.21</v>
      </c>
      <c r="G1446" s="332">
        <v>34614</v>
      </c>
      <c r="H1446" s="333">
        <v>41883</v>
      </c>
    </row>
    <row r="1447" spans="1:8">
      <c r="A1447" s="317" t="s">
        <v>38027</v>
      </c>
      <c r="B1447" s="317" t="s">
        <v>45817</v>
      </c>
      <c r="C1447" s="330" t="s">
        <v>7356</v>
      </c>
      <c r="D1447" s="330" t="s">
        <v>7357</v>
      </c>
      <c r="E1447" s="330" t="s">
        <v>4819</v>
      </c>
      <c r="F1447" s="331">
        <v>0.21</v>
      </c>
      <c r="G1447" s="332">
        <v>2156</v>
      </c>
      <c r="H1447" s="333">
        <v>2609</v>
      </c>
    </row>
    <row r="1448" spans="1:8">
      <c r="A1448" s="317" t="s">
        <v>38028</v>
      </c>
      <c r="B1448" s="317" t="s">
        <v>45818</v>
      </c>
      <c r="C1448" s="330" t="s">
        <v>7358</v>
      </c>
      <c r="D1448" s="330" t="s">
        <v>7359</v>
      </c>
      <c r="E1448" s="330" t="s">
        <v>4819</v>
      </c>
      <c r="F1448" s="331">
        <v>0.21</v>
      </c>
      <c r="G1448" s="332">
        <v>6274</v>
      </c>
      <c r="H1448" s="333">
        <v>7592</v>
      </c>
    </row>
    <row r="1449" spans="1:8">
      <c r="A1449" s="317" t="s">
        <v>38029</v>
      </c>
      <c r="B1449" s="317" t="s">
        <v>45819</v>
      </c>
      <c r="C1449" s="330" t="s">
        <v>7360</v>
      </c>
      <c r="D1449" s="330" t="s">
        <v>7361</v>
      </c>
      <c r="E1449" s="330" t="s">
        <v>4819</v>
      </c>
      <c r="F1449" s="331">
        <v>0.21</v>
      </c>
      <c r="G1449" s="332">
        <v>1530</v>
      </c>
      <c r="H1449" s="333">
        <v>1852</v>
      </c>
    </row>
    <row r="1450" spans="1:8">
      <c r="A1450" s="317" t="s">
        <v>38030</v>
      </c>
      <c r="B1450" s="317" t="s">
        <v>45820</v>
      </c>
      <c r="C1450" s="330" t="s">
        <v>7362</v>
      </c>
      <c r="D1450" s="330" t="s">
        <v>7363</v>
      </c>
      <c r="E1450" s="330" t="s">
        <v>37248</v>
      </c>
      <c r="F1450" s="331">
        <v>0.21</v>
      </c>
      <c r="G1450" s="332">
        <v>8048</v>
      </c>
      <c r="H1450" s="333">
        <v>9739</v>
      </c>
    </row>
    <row r="1451" spans="1:8">
      <c r="A1451" s="317" t="s">
        <v>38031</v>
      </c>
      <c r="B1451" s="317" t="s">
        <v>45821</v>
      </c>
      <c r="C1451" s="330" t="s">
        <v>7364</v>
      </c>
      <c r="D1451" s="330" t="s">
        <v>7365</v>
      </c>
      <c r="E1451" s="330" t="s">
        <v>4819</v>
      </c>
      <c r="F1451" s="331">
        <v>0.21</v>
      </c>
      <c r="G1451" s="332">
        <v>1626</v>
      </c>
      <c r="H1451" s="333">
        <v>1968</v>
      </c>
    </row>
    <row r="1452" spans="1:8">
      <c r="A1452" s="317" t="s">
        <v>38032</v>
      </c>
      <c r="B1452" s="317" t="s">
        <v>45822</v>
      </c>
      <c r="C1452" s="330" t="s">
        <v>7366</v>
      </c>
      <c r="D1452" s="330" t="s">
        <v>7367</v>
      </c>
      <c r="E1452" s="330" t="s">
        <v>37248</v>
      </c>
      <c r="F1452" s="331">
        <v>0.21</v>
      </c>
      <c r="G1452" s="332">
        <v>7800</v>
      </c>
      <c r="H1452" s="333">
        <v>9438</v>
      </c>
    </row>
    <row r="1453" spans="1:8">
      <c r="A1453" s="317" t="s">
        <v>38033</v>
      </c>
      <c r="B1453" s="317" t="s">
        <v>45823</v>
      </c>
      <c r="C1453" s="330" t="s">
        <v>7368</v>
      </c>
      <c r="D1453" s="330" t="s">
        <v>7369</v>
      </c>
      <c r="E1453" s="330" t="s">
        <v>37248</v>
      </c>
      <c r="F1453" s="331">
        <v>0.21</v>
      </c>
      <c r="G1453" s="332">
        <v>3707</v>
      </c>
      <c r="H1453" s="333">
        <v>4486</v>
      </c>
    </row>
    <row r="1454" spans="1:8">
      <c r="A1454" s="317" t="s">
        <v>38034</v>
      </c>
      <c r="B1454" s="317" t="s">
        <v>45824</v>
      </c>
      <c r="C1454" s="330" t="s">
        <v>7370</v>
      </c>
      <c r="D1454" s="330" t="s">
        <v>7371</v>
      </c>
      <c r="E1454" s="330" t="s">
        <v>37248</v>
      </c>
      <c r="F1454" s="331">
        <v>0.21</v>
      </c>
      <c r="G1454" s="332">
        <v>339</v>
      </c>
      <c r="H1454" s="333">
        <v>411</v>
      </c>
    </row>
    <row r="1455" spans="1:8">
      <c r="A1455" s="317" t="s">
        <v>38035</v>
      </c>
      <c r="B1455" s="317" t="s">
        <v>45825</v>
      </c>
      <c r="C1455" s="330" t="s">
        <v>7372</v>
      </c>
      <c r="D1455" s="330" t="s">
        <v>7373</v>
      </c>
      <c r="E1455" s="330" t="s">
        <v>37248</v>
      </c>
      <c r="F1455" s="331">
        <v>0.21</v>
      </c>
      <c r="G1455" s="332">
        <v>1744</v>
      </c>
      <c r="H1455" s="333">
        <v>2111</v>
      </c>
    </row>
    <row r="1456" spans="1:8">
      <c r="A1456" s="317" t="s">
        <v>38036</v>
      </c>
      <c r="B1456" s="317" t="s">
        <v>45826</v>
      </c>
      <c r="C1456" s="330" t="s">
        <v>7374</v>
      </c>
      <c r="D1456" s="330" t="s">
        <v>7375</v>
      </c>
      <c r="E1456" s="330" t="s">
        <v>37248</v>
      </c>
      <c r="F1456" s="331">
        <v>0.21</v>
      </c>
      <c r="G1456" s="332">
        <v>1744</v>
      </c>
      <c r="H1456" s="333">
        <v>2111</v>
      </c>
    </row>
    <row r="1457" spans="1:8">
      <c r="A1457" s="317" t="s">
        <v>38037</v>
      </c>
      <c r="B1457" s="317" t="s">
        <v>45827</v>
      </c>
      <c r="C1457" s="330" t="s">
        <v>7376</v>
      </c>
      <c r="D1457" s="330" t="s">
        <v>7375</v>
      </c>
      <c r="E1457" s="330" t="s">
        <v>37248</v>
      </c>
      <c r="F1457" s="331">
        <v>0.21</v>
      </c>
      <c r="G1457" s="332">
        <v>2581</v>
      </c>
      <c r="H1457" s="333">
        <v>3124</v>
      </c>
    </row>
    <row r="1458" spans="1:8">
      <c r="A1458" s="317" t="s">
        <v>38038</v>
      </c>
      <c r="B1458" s="317" t="s">
        <v>45828</v>
      </c>
      <c r="C1458" s="330" t="s">
        <v>7377</v>
      </c>
      <c r="D1458" s="330" t="s">
        <v>7378</v>
      </c>
      <c r="E1458" s="330" t="s">
        <v>37248</v>
      </c>
      <c r="F1458" s="331">
        <v>0.21</v>
      </c>
      <c r="G1458" s="332">
        <v>2823</v>
      </c>
      <c r="H1458" s="333">
        <v>3416</v>
      </c>
    </row>
    <row r="1459" spans="1:8">
      <c r="A1459" s="317" t="s">
        <v>38039</v>
      </c>
      <c r="B1459" s="317" t="s">
        <v>45829</v>
      </c>
      <c r="C1459" s="330" t="s">
        <v>7379</v>
      </c>
      <c r="D1459" s="330" t="s">
        <v>7380</v>
      </c>
      <c r="E1459" s="330" t="s">
        <v>37248</v>
      </c>
      <c r="F1459" s="331">
        <v>0.21</v>
      </c>
      <c r="G1459" s="332">
        <v>2054</v>
      </c>
      <c r="H1459" s="333">
        <v>2486</v>
      </c>
    </row>
    <row r="1460" spans="1:8">
      <c r="A1460" s="317" t="s">
        <v>38040</v>
      </c>
      <c r="B1460" s="317" t="s">
        <v>45830</v>
      </c>
      <c r="C1460" s="330" t="s">
        <v>7381</v>
      </c>
      <c r="D1460" s="330" t="s">
        <v>7382</v>
      </c>
      <c r="E1460" s="330" t="s">
        <v>37248</v>
      </c>
      <c r="F1460" s="331">
        <v>0.21</v>
      </c>
      <c r="G1460" s="332">
        <v>435</v>
      </c>
      <c r="H1460" s="333">
        <v>527</v>
      </c>
    </row>
    <row r="1461" spans="1:8">
      <c r="A1461" s="317" t="s">
        <v>38041</v>
      </c>
      <c r="B1461" s="317" t="s">
        <v>45831</v>
      </c>
      <c r="C1461" s="330" t="s">
        <v>7383</v>
      </c>
      <c r="D1461" s="330" t="s">
        <v>7384</v>
      </c>
      <c r="E1461" s="330" t="s">
        <v>37248</v>
      </c>
      <c r="F1461" s="331">
        <v>0.21</v>
      </c>
      <c r="G1461" s="332">
        <v>1744</v>
      </c>
      <c r="H1461" s="333">
        <v>2111</v>
      </c>
    </row>
    <row r="1462" spans="1:8">
      <c r="A1462" s="317" t="s">
        <v>38042</v>
      </c>
      <c r="B1462" s="317" t="s">
        <v>45832</v>
      </c>
      <c r="C1462" s="330" t="s">
        <v>7385</v>
      </c>
      <c r="D1462" s="330" t="s">
        <v>7386</v>
      </c>
      <c r="E1462" s="330" t="s">
        <v>4819</v>
      </c>
      <c r="F1462" s="331">
        <v>0.21</v>
      </c>
      <c r="G1462" s="332">
        <v>18066</v>
      </c>
      <c r="H1462" s="333">
        <v>21860</v>
      </c>
    </row>
    <row r="1463" spans="1:8">
      <c r="A1463" s="317" t="s">
        <v>38043</v>
      </c>
      <c r="B1463" s="317" t="s">
        <v>45833</v>
      </c>
      <c r="C1463" s="330" t="s">
        <v>7387</v>
      </c>
      <c r="D1463" s="330" t="s">
        <v>7388</v>
      </c>
      <c r="E1463" s="330" t="s">
        <v>4819</v>
      </c>
      <c r="F1463" s="331">
        <v>0.21</v>
      </c>
      <c r="G1463" s="332">
        <v>7096</v>
      </c>
      <c r="H1463" s="333">
        <v>8587</v>
      </c>
    </row>
    <row r="1464" spans="1:8">
      <c r="A1464" s="317" t="s">
        <v>38044</v>
      </c>
      <c r="B1464" s="317" t="s">
        <v>45834</v>
      </c>
      <c r="C1464" s="330" t="s">
        <v>7389</v>
      </c>
      <c r="D1464" s="330" t="s">
        <v>7390</v>
      </c>
      <c r="E1464" s="330" t="s">
        <v>4819</v>
      </c>
      <c r="F1464" s="331">
        <v>0.21</v>
      </c>
      <c r="G1464" s="332">
        <v>14301</v>
      </c>
      <c r="H1464" s="333">
        <v>17305</v>
      </c>
    </row>
    <row r="1465" spans="1:8">
      <c r="A1465" s="317" t="s">
        <v>38045</v>
      </c>
      <c r="B1465" s="317" t="s">
        <v>45835</v>
      </c>
      <c r="C1465" s="330" t="s">
        <v>7391</v>
      </c>
      <c r="D1465" s="330" t="s">
        <v>7392</v>
      </c>
      <c r="E1465" s="330" t="s">
        <v>4819</v>
      </c>
      <c r="F1465" s="331">
        <v>0.21</v>
      </c>
      <c r="G1465" s="332">
        <v>1599</v>
      </c>
      <c r="H1465" s="333">
        <v>1935</v>
      </c>
    </row>
    <row r="1466" spans="1:8">
      <c r="A1466" s="317" t="s">
        <v>38046</v>
      </c>
      <c r="B1466" s="317" t="s">
        <v>45836</v>
      </c>
      <c r="C1466" s="330" t="s">
        <v>7393</v>
      </c>
      <c r="D1466" s="330" t="s">
        <v>7394</v>
      </c>
      <c r="E1466" s="330" t="s">
        <v>4819</v>
      </c>
      <c r="F1466" s="331">
        <v>0.21</v>
      </c>
      <c r="G1466" s="332">
        <v>5496</v>
      </c>
      <c r="H1466" s="333">
        <v>6651</v>
      </c>
    </row>
    <row r="1467" spans="1:8">
      <c r="A1467" s="317" t="s">
        <v>38047</v>
      </c>
      <c r="B1467" s="317" t="s">
        <v>45837</v>
      </c>
      <c r="C1467" s="330" t="s">
        <v>7395</v>
      </c>
      <c r="D1467" s="330" t="s">
        <v>7260</v>
      </c>
      <c r="E1467" s="330" t="s">
        <v>4819</v>
      </c>
      <c r="F1467" s="331">
        <v>0.21</v>
      </c>
      <c r="G1467" s="332">
        <v>4737</v>
      </c>
      <c r="H1467" s="333">
        <v>5732</v>
      </c>
    </row>
    <row r="1468" spans="1:8">
      <c r="A1468" s="317" t="s">
        <v>38048</v>
      </c>
      <c r="B1468" s="317" t="s">
        <v>45838</v>
      </c>
      <c r="C1468" s="330" t="s">
        <v>7396</v>
      </c>
      <c r="D1468" s="330" t="s">
        <v>7397</v>
      </c>
      <c r="E1468" s="330" t="s">
        <v>4819</v>
      </c>
      <c r="F1468" s="331">
        <v>0.21</v>
      </c>
      <c r="G1468" s="332">
        <v>12938</v>
      </c>
      <c r="H1468" s="333">
        <v>15655</v>
      </c>
    </row>
    <row r="1469" spans="1:8">
      <c r="A1469" s="317" t="s">
        <v>38049</v>
      </c>
      <c r="B1469" s="317" t="s">
        <v>45839</v>
      </c>
      <c r="C1469" s="330" t="s">
        <v>7398</v>
      </c>
      <c r="D1469" s="330" t="s">
        <v>7399</v>
      </c>
      <c r="E1469" s="330" t="s">
        <v>4819</v>
      </c>
      <c r="F1469" s="331">
        <v>0.21</v>
      </c>
      <c r="G1469" s="332">
        <v>1599</v>
      </c>
      <c r="H1469" s="333">
        <v>1935</v>
      </c>
    </row>
    <row r="1470" spans="1:8">
      <c r="A1470" s="317" t="s">
        <v>38050</v>
      </c>
      <c r="B1470" s="317" t="s">
        <v>45840</v>
      </c>
      <c r="C1470" s="330" t="s">
        <v>7400</v>
      </c>
      <c r="D1470" s="330" t="s">
        <v>7401</v>
      </c>
      <c r="E1470" s="330" t="s">
        <v>4819</v>
      </c>
      <c r="F1470" s="331">
        <v>0.21</v>
      </c>
      <c r="G1470" s="332">
        <v>4737</v>
      </c>
      <c r="H1470" s="333">
        <v>5732</v>
      </c>
    </row>
    <row r="1471" spans="1:8">
      <c r="A1471" s="317" t="s">
        <v>38051</v>
      </c>
      <c r="B1471" s="317" t="s">
        <v>45841</v>
      </c>
      <c r="C1471" s="330" t="s">
        <v>7402</v>
      </c>
      <c r="D1471" s="330" t="s">
        <v>7397</v>
      </c>
      <c r="E1471" s="330" t="s">
        <v>4819</v>
      </c>
      <c r="F1471" s="331">
        <v>0.21</v>
      </c>
      <c r="G1471" s="332">
        <v>32397</v>
      </c>
      <c r="H1471" s="333">
        <v>39201</v>
      </c>
    </row>
    <row r="1472" spans="1:8">
      <c r="A1472" s="317" t="s">
        <v>38052</v>
      </c>
      <c r="B1472" s="317" t="s">
        <v>45842</v>
      </c>
      <c r="C1472" s="330" t="s">
        <v>7403</v>
      </c>
      <c r="D1472" s="330" t="s">
        <v>7404</v>
      </c>
      <c r="E1472" s="330" t="s">
        <v>4819</v>
      </c>
      <c r="F1472" s="331">
        <v>0.21</v>
      </c>
      <c r="G1472" s="332">
        <v>1025</v>
      </c>
      <c r="H1472" s="333">
        <v>1241</v>
      </c>
    </row>
    <row r="1473" spans="1:8">
      <c r="A1473" s="317" t="s">
        <v>38053</v>
      </c>
      <c r="B1473" s="317" t="s">
        <v>45843</v>
      </c>
      <c r="C1473" s="330" t="s">
        <v>7405</v>
      </c>
      <c r="D1473" s="330" t="s">
        <v>7406</v>
      </c>
      <c r="E1473" s="330" t="s">
        <v>37248</v>
      </c>
      <c r="F1473" s="331">
        <v>0.21</v>
      </c>
      <c r="G1473" s="332">
        <v>211902</v>
      </c>
      <c r="H1473" s="333">
        <v>256402</v>
      </c>
    </row>
    <row r="1474" spans="1:8">
      <c r="A1474" s="317" t="s">
        <v>38054</v>
      </c>
      <c r="B1474" s="317" t="s">
        <v>45844</v>
      </c>
      <c r="C1474" s="330" t="s">
        <v>7407</v>
      </c>
      <c r="D1474" s="330" t="s">
        <v>7397</v>
      </c>
      <c r="E1474" s="330" t="s">
        <v>4819</v>
      </c>
      <c r="F1474" s="331">
        <v>0.21</v>
      </c>
      <c r="G1474" s="332">
        <v>29231</v>
      </c>
      <c r="H1474" s="333">
        <v>35370</v>
      </c>
    </row>
    <row r="1475" spans="1:8">
      <c r="A1475" s="317" t="s">
        <v>38055</v>
      </c>
      <c r="B1475" s="317" t="s">
        <v>45845</v>
      </c>
      <c r="C1475" s="330" t="s">
        <v>7408</v>
      </c>
      <c r="D1475" s="330" t="s">
        <v>5498</v>
      </c>
      <c r="E1475" s="330" t="s">
        <v>37248</v>
      </c>
      <c r="F1475" s="331">
        <v>0.21</v>
      </c>
      <c r="G1475" s="332">
        <v>515</v>
      </c>
      <c r="H1475" s="333">
        <v>624</v>
      </c>
    </row>
    <row r="1476" spans="1:8">
      <c r="A1476" s="317" t="s">
        <v>38056</v>
      </c>
      <c r="B1476" s="317" t="s">
        <v>45846</v>
      </c>
      <c r="C1476" s="330" t="s">
        <v>7409</v>
      </c>
      <c r="D1476" s="330" t="s">
        <v>7410</v>
      </c>
      <c r="E1476" s="330" t="s">
        <v>37248</v>
      </c>
      <c r="F1476" s="331">
        <v>0.21</v>
      </c>
      <c r="G1476" s="332">
        <v>919</v>
      </c>
      <c r="H1476" s="333">
        <v>1112</v>
      </c>
    </row>
    <row r="1477" spans="1:8">
      <c r="A1477" s="317" t="s">
        <v>38057</v>
      </c>
      <c r="B1477" s="317" t="s">
        <v>45847</v>
      </c>
      <c r="C1477" s="330" t="s">
        <v>7411</v>
      </c>
      <c r="D1477" s="330" t="s">
        <v>7412</v>
      </c>
      <c r="E1477" s="330" t="s">
        <v>37248</v>
      </c>
      <c r="F1477" s="331">
        <v>0.21</v>
      </c>
      <c r="G1477" s="332">
        <v>296</v>
      </c>
      <c r="H1477" s="333">
        <v>359</v>
      </c>
    </row>
    <row r="1478" spans="1:8">
      <c r="A1478" s="317" t="s">
        <v>38058</v>
      </c>
      <c r="B1478" s="317" t="s">
        <v>45848</v>
      </c>
      <c r="C1478" s="330" t="s">
        <v>7413</v>
      </c>
      <c r="D1478" s="330" t="s">
        <v>7414</v>
      </c>
      <c r="E1478" s="330" t="s">
        <v>37248</v>
      </c>
      <c r="F1478" s="331">
        <v>0.21</v>
      </c>
      <c r="G1478" s="332">
        <v>296</v>
      </c>
      <c r="H1478" s="333">
        <v>359</v>
      </c>
    </row>
    <row r="1479" spans="1:8">
      <c r="A1479" s="317" t="s">
        <v>38059</v>
      </c>
      <c r="B1479" s="317" t="s">
        <v>45849</v>
      </c>
      <c r="C1479" s="330" t="s">
        <v>7415</v>
      </c>
      <c r="D1479" s="330" t="s">
        <v>7416</v>
      </c>
      <c r="E1479" s="330" t="s">
        <v>37248</v>
      </c>
      <c r="F1479" s="331">
        <v>0.21</v>
      </c>
      <c r="G1479" s="332">
        <v>194</v>
      </c>
      <c r="H1479" s="333">
        <v>235</v>
      </c>
    </row>
    <row r="1480" spans="1:8">
      <c r="A1480" s="317" t="s">
        <v>38060</v>
      </c>
      <c r="B1480" s="317" t="s">
        <v>45850</v>
      </c>
      <c r="C1480" s="330" t="s">
        <v>7417</v>
      </c>
      <c r="D1480" s="330" t="s">
        <v>7418</v>
      </c>
      <c r="E1480" s="330" t="s">
        <v>37248</v>
      </c>
      <c r="F1480" s="331">
        <v>0.21</v>
      </c>
      <c r="G1480" s="332">
        <v>18227</v>
      </c>
      <c r="H1480" s="333">
        <v>22055</v>
      </c>
    </row>
    <row r="1481" spans="1:8">
      <c r="A1481" s="317" t="s">
        <v>38061</v>
      </c>
      <c r="B1481" s="317" t="s">
        <v>45851</v>
      </c>
      <c r="C1481" s="330" t="s">
        <v>7419</v>
      </c>
      <c r="D1481" s="330" t="s">
        <v>7416</v>
      </c>
      <c r="E1481" s="330" t="s">
        <v>37248</v>
      </c>
      <c r="F1481" s="331">
        <v>0.21</v>
      </c>
      <c r="G1481" s="332">
        <v>435</v>
      </c>
      <c r="H1481" s="333">
        <v>527</v>
      </c>
    </row>
    <row r="1482" spans="1:8">
      <c r="A1482" s="317" t="s">
        <v>38062</v>
      </c>
      <c r="B1482" s="317" t="s">
        <v>45852</v>
      </c>
      <c r="C1482" s="330" t="s">
        <v>7420</v>
      </c>
      <c r="D1482" s="330" t="s">
        <v>7421</v>
      </c>
      <c r="E1482" s="330" t="s">
        <v>37248</v>
      </c>
      <c r="F1482" s="331">
        <v>0.21</v>
      </c>
      <c r="G1482" s="332">
        <v>1373</v>
      </c>
      <c r="H1482" s="333">
        <v>1662</v>
      </c>
    </row>
    <row r="1483" spans="1:8">
      <c r="A1483" s="317" t="s">
        <v>38063</v>
      </c>
      <c r="B1483" s="317" t="s">
        <v>45853</v>
      </c>
      <c r="C1483" s="330" t="s">
        <v>7422</v>
      </c>
      <c r="D1483" s="330" t="s">
        <v>7037</v>
      </c>
      <c r="E1483" s="330" t="s">
        <v>37248</v>
      </c>
      <c r="F1483" s="331">
        <v>0.21</v>
      </c>
      <c r="G1483" s="332">
        <v>515</v>
      </c>
      <c r="H1483" s="333">
        <v>624</v>
      </c>
    </row>
    <row r="1484" spans="1:8">
      <c r="A1484" s="317" t="s">
        <v>38064</v>
      </c>
      <c r="B1484" s="317" t="s">
        <v>45854</v>
      </c>
      <c r="C1484" s="330" t="s">
        <v>7423</v>
      </c>
      <c r="D1484" s="330" t="s">
        <v>7424</v>
      </c>
      <c r="E1484" s="330" t="s">
        <v>37248</v>
      </c>
      <c r="F1484" s="331">
        <v>0.21</v>
      </c>
      <c r="G1484" s="332">
        <v>1505</v>
      </c>
      <c r="H1484" s="333">
        <v>1822</v>
      </c>
    </row>
    <row r="1485" spans="1:8">
      <c r="A1485" s="317" t="s">
        <v>38065</v>
      </c>
      <c r="B1485" s="317" t="s">
        <v>45855</v>
      </c>
      <c r="C1485" s="330" t="s">
        <v>7425</v>
      </c>
      <c r="D1485" s="330" t="s">
        <v>7426</v>
      </c>
      <c r="E1485" s="330" t="s">
        <v>37248</v>
      </c>
      <c r="F1485" s="331">
        <v>0.21</v>
      </c>
      <c r="G1485" s="332">
        <v>2534</v>
      </c>
      <c r="H1485" s="333">
        <v>3067</v>
      </c>
    </row>
    <row r="1486" spans="1:8">
      <c r="A1486" s="317" t="s">
        <v>38066</v>
      </c>
      <c r="B1486" s="317" t="s">
        <v>45856</v>
      </c>
      <c r="C1486" s="330" t="s">
        <v>7427</v>
      </c>
      <c r="D1486" s="330" t="s">
        <v>7428</v>
      </c>
      <c r="E1486" s="330" t="s">
        <v>37248</v>
      </c>
      <c r="F1486" s="331">
        <v>0.21</v>
      </c>
      <c r="G1486" s="332">
        <v>1780</v>
      </c>
      <c r="H1486" s="333">
        <v>2154</v>
      </c>
    </row>
    <row r="1487" spans="1:8">
      <c r="A1487" s="317" t="s">
        <v>38067</v>
      </c>
      <c r="B1487" s="317" t="s">
        <v>45857</v>
      </c>
      <c r="C1487" s="330" t="s">
        <v>7429</v>
      </c>
      <c r="D1487" s="330" t="s">
        <v>7430</v>
      </c>
      <c r="E1487" s="330" t="s">
        <v>37248</v>
      </c>
      <c r="F1487" s="331">
        <v>0.21</v>
      </c>
      <c r="G1487" s="332">
        <v>10163</v>
      </c>
      <c r="H1487" s="333">
        <v>12298</v>
      </c>
    </row>
    <row r="1488" spans="1:8">
      <c r="A1488" s="317" t="s">
        <v>38068</v>
      </c>
      <c r="B1488" s="317" t="s">
        <v>45858</v>
      </c>
      <c r="C1488" s="330" t="s">
        <v>7431</v>
      </c>
      <c r="D1488" s="330" t="s">
        <v>7432</v>
      </c>
      <c r="E1488" s="330" t="s">
        <v>4819</v>
      </c>
      <c r="F1488" s="331">
        <v>0.21</v>
      </c>
      <c r="G1488" s="332">
        <v>1753</v>
      </c>
      <c r="H1488" s="333">
        <v>2122</v>
      </c>
    </row>
    <row r="1489" spans="1:8">
      <c r="A1489" s="317" t="s">
        <v>38069</v>
      </c>
      <c r="B1489" s="317" t="s">
        <v>45859</v>
      </c>
      <c r="C1489" s="330" t="s">
        <v>7433</v>
      </c>
      <c r="D1489" s="330" t="s">
        <v>7434</v>
      </c>
      <c r="E1489" s="330" t="s">
        <v>37248</v>
      </c>
      <c r="F1489" s="331">
        <v>0.21</v>
      </c>
      <c r="G1489" s="332">
        <v>19478</v>
      </c>
      <c r="H1489" s="333">
        <v>23569</v>
      </c>
    </row>
    <row r="1490" spans="1:8">
      <c r="A1490" s="317" t="s">
        <v>38070</v>
      </c>
      <c r="B1490" s="317" t="s">
        <v>45860</v>
      </c>
      <c r="C1490" s="330" t="s">
        <v>7435</v>
      </c>
      <c r="D1490" s="330" t="s">
        <v>7436</v>
      </c>
      <c r="E1490" s="330" t="s">
        <v>4819</v>
      </c>
      <c r="F1490" s="331">
        <v>0.21</v>
      </c>
      <c r="G1490" s="332">
        <v>2478</v>
      </c>
      <c r="H1490" s="333">
        <v>2999</v>
      </c>
    </row>
    <row r="1491" spans="1:8">
      <c r="A1491" s="317" t="s">
        <v>38071</v>
      </c>
      <c r="B1491" s="317" t="s">
        <v>45861</v>
      </c>
      <c r="C1491" s="330" t="s">
        <v>7437</v>
      </c>
      <c r="D1491" s="330" t="s">
        <v>7438</v>
      </c>
      <c r="E1491" s="330" t="s">
        <v>4634</v>
      </c>
      <c r="F1491" s="331">
        <v>0.21</v>
      </c>
      <c r="G1491" s="332">
        <v>691</v>
      </c>
      <c r="H1491" s="333">
        <v>837</v>
      </c>
    </row>
    <row r="1492" spans="1:8">
      <c r="A1492" s="317" t="s">
        <v>38072</v>
      </c>
      <c r="B1492" s="317" t="s">
        <v>45862</v>
      </c>
      <c r="C1492" s="330" t="s">
        <v>7439</v>
      </c>
      <c r="D1492" s="330" t="s">
        <v>7440</v>
      </c>
      <c r="E1492" s="330" t="s">
        <v>37248</v>
      </c>
      <c r="F1492" s="331">
        <v>0.21</v>
      </c>
      <c r="G1492" s="332">
        <v>890</v>
      </c>
      <c r="H1492" s="333">
        <v>1077</v>
      </c>
    </row>
    <row r="1493" spans="1:8">
      <c r="A1493" s="317" t="s">
        <v>38073</v>
      </c>
      <c r="B1493" s="317" t="s">
        <v>45863</v>
      </c>
      <c r="C1493" s="330" t="s">
        <v>7441</v>
      </c>
      <c r="D1493" s="330" t="s">
        <v>7442</v>
      </c>
      <c r="E1493" s="330" t="s">
        <v>37248</v>
      </c>
      <c r="F1493" s="331">
        <v>0.21</v>
      </c>
      <c r="G1493" s="332">
        <v>339</v>
      </c>
      <c r="H1493" s="333">
        <v>411</v>
      </c>
    </row>
    <row r="1494" spans="1:8">
      <c r="A1494" s="317" t="s">
        <v>38074</v>
      </c>
      <c r="B1494" s="317" t="s">
        <v>45864</v>
      </c>
      <c r="C1494" s="330" t="s">
        <v>7443</v>
      </c>
      <c r="D1494" s="330" t="s">
        <v>7444</v>
      </c>
      <c r="E1494" s="330" t="s">
        <v>4819</v>
      </c>
      <c r="F1494" s="331">
        <v>0.21</v>
      </c>
      <c r="G1494" s="332">
        <v>374</v>
      </c>
      <c r="H1494" s="333">
        <v>453</v>
      </c>
    </row>
    <row r="1495" spans="1:8">
      <c r="A1495" s="317" t="s">
        <v>38075</v>
      </c>
      <c r="B1495" s="317" t="s">
        <v>45865</v>
      </c>
      <c r="C1495" s="330" t="s">
        <v>7445</v>
      </c>
      <c r="D1495" s="330" t="s">
        <v>7446</v>
      </c>
      <c r="E1495" s="330" t="s">
        <v>37248</v>
      </c>
      <c r="F1495" s="331">
        <v>0.21</v>
      </c>
      <c r="G1495" s="332">
        <v>675</v>
      </c>
      <c r="H1495" s="333">
        <v>817</v>
      </c>
    </row>
    <row r="1496" spans="1:8">
      <c r="A1496" s="317" t="s">
        <v>38076</v>
      </c>
      <c r="B1496" s="317" t="s">
        <v>45866</v>
      </c>
      <c r="C1496" s="330" t="s">
        <v>7447</v>
      </c>
      <c r="D1496" s="330" t="s">
        <v>7448</v>
      </c>
      <c r="E1496" s="330" t="s">
        <v>4819</v>
      </c>
      <c r="F1496" s="331">
        <v>0.21</v>
      </c>
      <c r="G1496" s="332">
        <v>18066</v>
      </c>
      <c r="H1496" s="333">
        <v>21860</v>
      </c>
    </row>
    <row r="1497" spans="1:8">
      <c r="A1497" s="317" t="s">
        <v>38077</v>
      </c>
      <c r="B1497" s="317" t="s">
        <v>45867</v>
      </c>
      <c r="C1497" s="330" t="s">
        <v>7449</v>
      </c>
      <c r="D1497" s="330" t="s">
        <v>7397</v>
      </c>
      <c r="E1497" s="330" t="s">
        <v>4819</v>
      </c>
      <c r="F1497" s="331">
        <v>0.21</v>
      </c>
      <c r="G1497" s="332">
        <v>9759</v>
      </c>
      <c r="H1497" s="333">
        <v>11809</v>
      </c>
    </row>
    <row r="1498" spans="1:8">
      <c r="A1498" s="317" t="s">
        <v>38078</v>
      </c>
      <c r="B1498" s="317" t="s">
        <v>45868</v>
      </c>
      <c r="C1498" s="330" t="s">
        <v>7450</v>
      </c>
      <c r="D1498" s="330" t="s">
        <v>7451</v>
      </c>
      <c r="E1498" s="330" t="s">
        <v>4819</v>
      </c>
      <c r="F1498" s="331">
        <v>0.21</v>
      </c>
      <c r="G1498" s="332">
        <v>1182</v>
      </c>
      <c r="H1498" s="333">
        <v>1431</v>
      </c>
    </row>
    <row r="1499" spans="1:8">
      <c r="A1499" s="317" t="s">
        <v>38079</v>
      </c>
      <c r="B1499" s="317" t="s">
        <v>45869</v>
      </c>
      <c r="C1499" s="330" t="s">
        <v>7452</v>
      </c>
      <c r="D1499" s="330" t="s">
        <v>7451</v>
      </c>
      <c r="E1499" s="330" t="s">
        <v>4819</v>
      </c>
      <c r="F1499" s="331">
        <v>0.21</v>
      </c>
      <c r="G1499" s="332">
        <v>1182</v>
      </c>
      <c r="H1499" s="333">
        <v>1431</v>
      </c>
    </row>
    <row r="1500" spans="1:8">
      <c r="A1500" s="317" t="s">
        <v>38080</v>
      </c>
      <c r="B1500" s="317" t="s">
        <v>45870</v>
      </c>
      <c r="C1500" s="330" t="s">
        <v>7453</v>
      </c>
      <c r="D1500" s="330" t="s">
        <v>7448</v>
      </c>
      <c r="E1500" s="330" t="s">
        <v>4819</v>
      </c>
      <c r="F1500" s="331">
        <v>0.21</v>
      </c>
      <c r="G1500" s="332">
        <v>32397</v>
      </c>
      <c r="H1500" s="333">
        <v>39201</v>
      </c>
    </row>
    <row r="1501" spans="1:8">
      <c r="A1501" s="317" t="s">
        <v>38081</v>
      </c>
      <c r="B1501" s="317" t="s">
        <v>45871</v>
      </c>
      <c r="C1501" s="330" t="s">
        <v>7454</v>
      </c>
      <c r="D1501" s="330" t="s">
        <v>7455</v>
      </c>
      <c r="E1501" s="330" t="s">
        <v>37248</v>
      </c>
      <c r="F1501" s="331">
        <v>0.21</v>
      </c>
      <c r="G1501" s="332">
        <v>54517</v>
      </c>
      <c r="H1501" s="333">
        <v>65966</v>
      </c>
    </row>
    <row r="1502" spans="1:8">
      <c r="A1502" s="317" t="s">
        <v>38082</v>
      </c>
      <c r="B1502" s="317" t="s">
        <v>45872</v>
      </c>
      <c r="C1502" s="330" t="s">
        <v>7456</v>
      </c>
      <c r="D1502" s="330" t="s">
        <v>7457</v>
      </c>
      <c r="E1502" s="330" t="s">
        <v>37248</v>
      </c>
      <c r="F1502" s="331">
        <v>0.21</v>
      </c>
      <c r="G1502" s="332">
        <v>1505</v>
      </c>
      <c r="H1502" s="333">
        <v>1822</v>
      </c>
    </row>
    <row r="1503" spans="1:8">
      <c r="A1503" s="317" t="s">
        <v>38083</v>
      </c>
      <c r="B1503" s="317" t="s">
        <v>45873</v>
      </c>
      <c r="C1503" s="330" t="s">
        <v>7458</v>
      </c>
      <c r="D1503" s="330" t="s">
        <v>7459</v>
      </c>
      <c r="E1503" s="330" t="s">
        <v>37248</v>
      </c>
      <c r="F1503" s="331">
        <v>0.21</v>
      </c>
      <c r="G1503" s="332">
        <v>4064</v>
      </c>
      <c r="H1503" s="333">
        <v>4918</v>
      </c>
    </row>
    <row r="1504" spans="1:8">
      <c r="A1504" s="317" t="s">
        <v>38084</v>
      </c>
      <c r="B1504" s="317" t="s">
        <v>45874</v>
      </c>
      <c r="C1504" s="330" t="s">
        <v>7460</v>
      </c>
      <c r="D1504" s="330" t="s">
        <v>7459</v>
      </c>
      <c r="E1504" s="330" t="s">
        <v>37248</v>
      </c>
      <c r="F1504" s="331">
        <v>0.21</v>
      </c>
      <c r="G1504" s="332">
        <v>4064</v>
      </c>
      <c r="H1504" s="333">
        <v>4918</v>
      </c>
    </row>
    <row r="1505" spans="1:8">
      <c r="A1505" s="317" t="s">
        <v>38085</v>
      </c>
      <c r="B1505" s="317" t="s">
        <v>45875</v>
      </c>
      <c r="C1505" s="330" t="s">
        <v>7461</v>
      </c>
      <c r="D1505" s="330" t="s">
        <v>7462</v>
      </c>
      <c r="E1505" s="330" t="s">
        <v>37248</v>
      </c>
      <c r="F1505" s="331">
        <v>0.21</v>
      </c>
      <c r="G1505" s="332">
        <v>26987</v>
      </c>
      <c r="H1505" s="333">
        <v>32655</v>
      </c>
    </row>
    <row r="1506" spans="1:8">
      <c r="A1506" s="317" t="s">
        <v>38086</v>
      </c>
      <c r="B1506" s="317" t="s">
        <v>45876</v>
      </c>
      <c r="C1506" s="330" t="s">
        <v>7463</v>
      </c>
      <c r="D1506" s="330" t="s">
        <v>7464</v>
      </c>
      <c r="E1506" s="330" t="s">
        <v>4819</v>
      </c>
      <c r="F1506" s="331">
        <v>0.21</v>
      </c>
      <c r="G1506" s="332">
        <v>18832</v>
      </c>
      <c r="H1506" s="333">
        <v>22787</v>
      </c>
    </row>
    <row r="1507" spans="1:8">
      <c r="A1507" s="317" t="s">
        <v>38087</v>
      </c>
      <c r="B1507" s="317" t="s">
        <v>45877</v>
      </c>
      <c r="C1507" s="330" t="s">
        <v>7465</v>
      </c>
      <c r="D1507" s="330" t="s">
        <v>7466</v>
      </c>
      <c r="E1507" s="330" t="s">
        <v>37248</v>
      </c>
      <c r="F1507" s="331">
        <v>0.21</v>
      </c>
      <c r="G1507" s="332">
        <v>1247</v>
      </c>
      <c r="H1507" s="333">
        <v>1509</v>
      </c>
    </row>
    <row r="1508" spans="1:8">
      <c r="A1508" s="317" t="s">
        <v>38088</v>
      </c>
      <c r="B1508" s="317" t="s">
        <v>45878</v>
      </c>
      <c r="C1508" s="330" t="s">
        <v>7467</v>
      </c>
      <c r="D1508" s="330" t="s">
        <v>7468</v>
      </c>
      <c r="E1508" s="330" t="s">
        <v>37248</v>
      </c>
      <c r="F1508" s="331">
        <v>0.21</v>
      </c>
      <c r="G1508" s="332">
        <v>28201</v>
      </c>
      <c r="H1508" s="333">
        <v>34124</v>
      </c>
    </row>
    <row r="1509" spans="1:8">
      <c r="A1509" s="317" t="s">
        <v>38089</v>
      </c>
      <c r="B1509" s="317" t="s">
        <v>45879</v>
      </c>
      <c r="C1509" s="330" t="s">
        <v>7469</v>
      </c>
      <c r="D1509" s="330" t="s">
        <v>7470</v>
      </c>
      <c r="E1509" s="330" t="s">
        <v>37248</v>
      </c>
      <c r="F1509" s="331">
        <v>0.21</v>
      </c>
      <c r="G1509" s="332">
        <v>515</v>
      </c>
      <c r="H1509" s="333">
        <v>624</v>
      </c>
    </row>
    <row r="1510" spans="1:8">
      <c r="A1510" s="317" t="s">
        <v>38090</v>
      </c>
      <c r="B1510" s="317" t="s">
        <v>45880</v>
      </c>
      <c r="C1510" s="330" t="s">
        <v>7471</v>
      </c>
      <c r="D1510" s="330" t="s">
        <v>7472</v>
      </c>
      <c r="E1510" s="330" t="s">
        <v>37248</v>
      </c>
      <c r="F1510" s="331">
        <v>0.21</v>
      </c>
      <c r="G1510" s="332">
        <v>2243</v>
      </c>
      <c r="H1510" s="333">
        <v>2715</v>
      </c>
    </row>
    <row r="1511" spans="1:8">
      <c r="A1511" s="317" t="s">
        <v>38091</v>
      </c>
      <c r="B1511" s="317" t="s">
        <v>45881</v>
      </c>
      <c r="C1511" s="330" t="s">
        <v>7473</v>
      </c>
      <c r="D1511" s="330" t="s">
        <v>7474</v>
      </c>
      <c r="E1511" s="330" t="s">
        <v>37248</v>
      </c>
      <c r="F1511" s="331">
        <v>0.21</v>
      </c>
      <c r="G1511" s="332">
        <v>976</v>
      </c>
      <c r="H1511" s="333">
        <v>1181</v>
      </c>
    </row>
    <row r="1512" spans="1:8">
      <c r="A1512" s="317" t="s">
        <v>38092</v>
      </c>
      <c r="B1512" s="317" t="s">
        <v>45882</v>
      </c>
      <c r="C1512" s="330" t="s">
        <v>7475</v>
      </c>
      <c r="D1512" s="330" t="s">
        <v>7476</v>
      </c>
      <c r="E1512" s="330" t="s">
        <v>37248</v>
      </c>
      <c r="F1512" s="331">
        <v>0.21</v>
      </c>
      <c r="G1512" s="332">
        <v>4606</v>
      </c>
      <c r="H1512" s="333">
        <v>5574</v>
      </c>
    </row>
    <row r="1513" spans="1:8">
      <c r="A1513" s="317" t="s">
        <v>38093</v>
      </c>
      <c r="B1513" s="317" t="s">
        <v>45883</v>
      </c>
      <c r="C1513" s="330" t="s">
        <v>7477</v>
      </c>
      <c r="D1513" s="330" t="s">
        <v>7478</v>
      </c>
      <c r="E1513" s="330" t="s">
        <v>37248</v>
      </c>
      <c r="F1513" s="331">
        <v>0.21</v>
      </c>
      <c r="G1513" s="332">
        <v>2054</v>
      </c>
      <c r="H1513" s="333">
        <v>2486</v>
      </c>
    </row>
    <row r="1514" spans="1:8">
      <c r="A1514" s="317" t="s">
        <v>38094</v>
      </c>
      <c r="B1514" s="317" t="s">
        <v>45884</v>
      </c>
      <c r="C1514" s="330" t="s">
        <v>7479</v>
      </c>
      <c r="D1514" s="330" t="s">
        <v>7480</v>
      </c>
      <c r="E1514" s="330" t="s">
        <v>4634</v>
      </c>
      <c r="F1514" s="331">
        <v>0.21</v>
      </c>
      <c r="G1514" s="332">
        <v>8956</v>
      </c>
      <c r="H1514" s="333">
        <v>10837</v>
      </c>
    </row>
    <row r="1515" spans="1:8">
      <c r="A1515" s="317" t="s">
        <v>38095</v>
      </c>
      <c r="B1515" s="317" t="s">
        <v>45885</v>
      </c>
      <c r="C1515" s="330" t="s">
        <v>7481</v>
      </c>
      <c r="D1515" s="330" t="s">
        <v>7482</v>
      </c>
      <c r="E1515" s="330" t="s">
        <v>37248</v>
      </c>
      <c r="F1515" s="331">
        <v>0.21</v>
      </c>
      <c r="G1515" s="332">
        <v>11267</v>
      </c>
      <c r="H1515" s="333">
        <v>13634</v>
      </c>
    </row>
    <row r="1516" spans="1:8">
      <c r="A1516" s="317" t="s">
        <v>38096</v>
      </c>
      <c r="B1516" s="317" t="s">
        <v>45886</v>
      </c>
      <c r="C1516" s="330" t="s">
        <v>7483</v>
      </c>
      <c r="D1516" s="330" t="s">
        <v>7484</v>
      </c>
      <c r="E1516" s="330" t="s">
        <v>4819</v>
      </c>
      <c r="F1516" s="331">
        <v>0.21</v>
      </c>
      <c r="G1516" s="332">
        <v>11267</v>
      </c>
      <c r="H1516" s="333">
        <v>13634</v>
      </c>
    </row>
    <row r="1517" spans="1:8">
      <c r="A1517" s="317" t="s">
        <v>38097</v>
      </c>
      <c r="B1517" s="317" t="s">
        <v>45887</v>
      </c>
      <c r="C1517" s="330" t="s">
        <v>7485</v>
      </c>
      <c r="D1517" s="330" t="s">
        <v>7486</v>
      </c>
      <c r="E1517" s="330" t="s">
        <v>37248</v>
      </c>
      <c r="F1517" s="331">
        <v>0.21</v>
      </c>
      <c r="G1517" s="332">
        <v>19021</v>
      </c>
      <c r="H1517" s="333">
        <v>23016</v>
      </c>
    </row>
    <row r="1518" spans="1:8">
      <c r="A1518" s="317" t="s">
        <v>38098</v>
      </c>
      <c r="B1518" s="317" t="s">
        <v>45888</v>
      </c>
      <c r="C1518" s="330" t="s">
        <v>7487</v>
      </c>
      <c r="D1518" s="330" t="s">
        <v>7488</v>
      </c>
      <c r="E1518" s="330" t="s">
        <v>37248</v>
      </c>
      <c r="F1518" s="331">
        <v>0.21</v>
      </c>
      <c r="G1518" s="332">
        <v>19021</v>
      </c>
      <c r="H1518" s="333">
        <v>23016</v>
      </c>
    </row>
    <row r="1519" spans="1:8">
      <c r="A1519" s="317" t="s">
        <v>38099</v>
      </c>
      <c r="B1519" s="317" t="s">
        <v>45889</v>
      </c>
      <c r="C1519" s="330" t="s">
        <v>7489</v>
      </c>
      <c r="D1519" s="330" t="s">
        <v>7375</v>
      </c>
      <c r="E1519" s="330" t="s">
        <v>37248</v>
      </c>
      <c r="F1519" s="331">
        <v>0.21</v>
      </c>
      <c r="G1519" s="332">
        <v>2823</v>
      </c>
      <c r="H1519" s="333">
        <v>3416</v>
      </c>
    </row>
    <row r="1520" spans="1:8">
      <c r="A1520" s="317" t="s">
        <v>38100</v>
      </c>
      <c r="B1520" s="317" t="s">
        <v>45890</v>
      </c>
      <c r="C1520" s="330" t="s">
        <v>7490</v>
      </c>
      <c r="D1520" s="330" t="s">
        <v>7491</v>
      </c>
      <c r="E1520" s="330" t="s">
        <v>37248</v>
      </c>
      <c r="F1520" s="331">
        <v>0.21</v>
      </c>
      <c r="G1520" s="332">
        <v>4064</v>
      </c>
      <c r="H1520" s="333">
        <v>4918</v>
      </c>
    </row>
    <row r="1521" spans="1:8">
      <c r="A1521" s="317" t="s">
        <v>38101</v>
      </c>
      <c r="B1521" s="317" t="s">
        <v>45891</v>
      </c>
      <c r="C1521" s="330" t="s">
        <v>7492</v>
      </c>
      <c r="D1521" s="330" t="s">
        <v>7493</v>
      </c>
      <c r="E1521" s="330" t="s">
        <v>37248</v>
      </c>
      <c r="F1521" s="331">
        <v>0.21</v>
      </c>
      <c r="G1521" s="332">
        <v>41057</v>
      </c>
      <c r="H1521" s="333">
        <v>49679</v>
      </c>
    </row>
    <row r="1522" spans="1:8">
      <c r="A1522" s="317" t="s">
        <v>38102</v>
      </c>
      <c r="B1522" s="317" t="s">
        <v>45892</v>
      </c>
      <c r="C1522" s="330" t="s">
        <v>7494</v>
      </c>
      <c r="D1522" s="330" t="s">
        <v>7495</v>
      </c>
      <c r="E1522" s="330" t="s">
        <v>37248</v>
      </c>
      <c r="F1522" s="331">
        <v>0.21</v>
      </c>
      <c r="G1522" s="332">
        <v>4476</v>
      </c>
      <c r="H1522" s="333">
        <v>5416</v>
      </c>
    </row>
    <row r="1523" spans="1:8">
      <c r="A1523" s="317" t="s">
        <v>38103</v>
      </c>
      <c r="B1523" s="317" t="s">
        <v>45893</v>
      </c>
      <c r="C1523" s="330" t="s">
        <v>7496</v>
      </c>
      <c r="D1523" s="330" t="s">
        <v>7497</v>
      </c>
      <c r="E1523" s="330" t="s">
        <v>37248</v>
      </c>
      <c r="F1523" s="331">
        <v>0.21</v>
      </c>
      <c r="G1523" s="332">
        <v>7934</v>
      </c>
      <c r="H1523" s="333">
        <v>9601</v>
      </c>
    </row>
    <row r="1524" spans="1:8">
      <c r="A1524" s="317" t="s">
        <v>38104</v>
      </c>
      <c r="B1524" s="317" t="s">
        <v>45894</v>
      </c>
      <c r="C1524" s="330" t="s">
        <v>7498</v>
      </c>
      <c r="D1524" s="330" t="s">
        <v>5296</v>
      </c>
      <c r="E1524" s="330" t="s">
        <v>37248</v>
      </c>
      <c r="F1524" s="331">
        <v>0.21</v>
      </c>
      <c r="G1524" s="332">
        <v>6047</v>
      </c>
      <c r="H1524" s="333">
        <v>7317</v>
      </c>
    </row>
    <row r="1525" spans="1:8">
      <c r="A1525" s="317" t="s">
        <v>38105</v>
      </c>
      <c r="B1525" s="317" t="s">
        <v>45895</v>
      </c>
      <c r="C1525" s="330" t="s">
        <v>38106</v>
      </c>
      <c r="D1525" s="330" t="s">
        <v>7499</v>
      </c>
      <c r="E1525" s="330" t="s">
        <v>37248</v>
      </c>
      <c r="F1525" s="335">
        <v>0.21</v>
      </c>
      <c r="G1525" s="336">
        <v>6475</v>
      </c>
      <c r="H1525" s="333">
        <v>7835</v>
      </c>
    </row>
    <row r="1526" spans="1:8">
      <c r="A1526" s="317" t="s">
        <v>38107</v>
      </c>
      <c r="B1526" s="317" t="s">
        <v>45896</v>
      </c>
      <c r="C1526" s="330" t="s">
        <v>7500</v>
      </c>
      <c r="D1526" s="330" t="s">
        <v>7501</v>
      </c>
      <c r="E1526" s="330" t="s">
        <v>37248</v>
      </c>
      <c r="F1526" s="331">
        <v>0.21</v>
      </c>
      <c r="G1526" s="332">
        <v>8900</v>
      </c>
      <c r="H1526" s="333">
        <v>10769</v>
      </c>
    </row>
    <row r="1527" spans="1:8">
      <c r="A1527" s="317" t="s">
        <v>38108</v>
      </c>
      <c r="B1527" s="317" t="s">
        <v>45897</v>
      </c>
      <c r="C1527" s="330" t="s">
        <v>7502</v>
      </c>
      <c r="D1527" s="330" t="s">
        <v>7503</v>
      </c>
      <c r="E1527" s="330" t="s">
        <v>37248</v>
      </c>
      <c r="F1527" s="331">
        <v>0.21</v>
      </c>
      <c r="G1527" s="332">
        <v>7120</v>
      </c>
      <c r="H1527" s="333">
        <v>8616</v>
      </c>
    </row>
    <row r="1528" spans="1:8">
      <c r="A1528" s="317" t="s">
        <v>38109</v>
      </c>
      <c r="B1528" s="317" t="s">
        <v>45898</v>
      </c>
      <c r="C1528" s="330" t="s">
        <v>7504</v>
      </c>
      <c r="D1528" s="330" t="s">
        <v>7505</v>
      </c>
      <c r="E1528" s="330" t="s">
        <v>4819</v>
      </c>
      <c r="F1528" s="331">
        <v>0.21</v>
      </c>
      <c r="G1528" s="332">
        <v>2417</v>
      </c>
      <c r="H1528" s="333">
        <v>2925</v>
      </c>
    </row>
    <row r="1529" spans="1:8">
      <c r="A1529" s="317" t="s">
        <v>38110</v>
      </c>
      <c r="B1529" s="317" t="s">
        <v>45899</v>
      </c>
      <c r="C1529" s="330" t="s">
        <v>38111</v>
      </c>
      <c r="D1529" s="330" t="s">
        <v>7506</v>
      </c>
      <c r="E1529" s="330" t="s">
        <v>37248</v>
      </c>
      <c r="F1529" s="335">
        <v>0.21</v>
      </c>
      <c r="G1529" s="336">
        <v>976</v>
      </c>
      <c r="H1529" s="333">
        <v>1181</v>
      </c>
    </row>
    <row r="1530" spans="1:8">
      <c r="A1530" s="317" t="s">
        <v>38112</v>
      </c>
      <c r="B1530" s="317" t="s">
        <v>45900</v>
      </c>
      <c r="C1530" s="330" t="s">
        <v>7507</v>
      </c>
      <c r="D1530" s="330" t="s">
        <v>7508</v>
      </c>
      <c r="E1530" s="330" t="s">
        <v>4634</v>
      </c>
      <c r="F1530" s="331">
        <v>0.21</v>
      </c>
      <c r="G1530" s="332">
        <v>977</v>
      </c>
      <c r="H1530" s="333">
        <v>1183</v>
      </c>
    </row>
    <row r="1531" spans="1:8">
      <c r="A1531" s="317" t="s">
        <v>38113</v>
      </c>
      <c r="B1531" s="317" t="s">
        <v>45901</v>
      </c>
      <c r="C1531" s="330" t="s">
        <v>7509</v>
      </c>
      <c r="D1531" s="330" t="s">
        <v>7510</v>
      </c>
      <c r="E1531" s="330" t="s">
        <v>37248</v>
      </c>
      <c r="F1531" s="331">
        <v>0.21</v>
      </c>
      <c r="G1531" s="332">
        <v>515</v>
      </c>
      <c r="H1531" s="333">
        <v>624</v>
      </c>
    </row>
    <row r="1532" spans="1:8">
      <c r="A1532" s="317" t="s">
        <v>38114</v>
      </c>
      <c r="B1532" s="317" t="s">
        <v>45902</v>
      </c>
      <c r="C1532" s="330" t="s">
        <v>7511</v>
      </c>
      <c r="D1532" s="330" t="s">
        <v>7512</v>
      </c>
      <c r="E1532" s="330" t="s">
        <v>37248</v>
      </c>
      <c r="F1532" s="331">
        <v>0.21</v>
      </c>
      <c r="G1532" s="332">
        <v>2509</v>
      </c>
      <c r="H1532" s="333">
        <v>3036</v>
      </c>
    </row>
    <row r="1533" spans="1:8">
      <c r="A1533" s="317" t="s">
        <v>38115</v>
      </c>
      <c r="B1533" s="317" t="s">
        <v>45903</v>
      </c>
      <c r="C1533" s="330" t="s">
        <v>7513</v>
      </c>
      <c r="D1533" s="330" t="s">
        <v>7514</v>
      </c>
      <c r="E1533" s="330" t="s">
        <v>4634</v>
      </c>
      <c r="F1533" s="331">
        <v>0.21</v>
      </c>
      <c r="G1533" s="332">
        <v>16326</v>
      </c>
      <c r="H1533" s="333">
        <v>19755</v>
      </c>
    </row>
    <row r="1534" spans="1:8">
      <c r="A1534" s="317" t="s">
        <v>38116</v>
      </c>
      <c r="B1534" s="317" t="s">
        <v>45904</v>
      </c>
      <c r="C1534" s="330" t="s">
        <v>7515</v>
      </c>
      <c r="D1534" s="330" t="s">
        <v>7516</v>
      </c>
      <c r="E1534" s="330" t="s">
        <v>37248</v>
      </c>
      <c r="F1534" s="331">
        <v>0.21</v>
      </c>
      <c r="G1534" s="332">
        <v>1155</v>
      </c>
      <c r="H1534" s="333">
        <v>1398</v>
      </c>
    </row>
    <row r="1535" spans="1:8">
      <c r="A1535" s="317" t="s">
        <v>38117</v>
      </c>
      <c r="B1535" s="317" t="s">
        <v>45905</v>
      </c>
      <c r="C1535" s="330" t="s">
        <v>7517</v>
      </c>
      <c r="D1535" s="330" t="s">
        <v>7518</v>
      </c>
      <c r="E1535" s="330" t="s">
        <v>37248</v>
      </c>
      <c r="F1535" s="331">
        <v>0.21</v>
      </c>
      <c r="G1535" s="332">
        <v>5028</v>
      </c>
      <c r="H1535" s="333">
        <v>6084</v>
      </c>
    </row>
    <row r="1536" spans="1:8">
      <c r="A1536" s="317" t="s">
        <v>38118</v>
      </c>
      <c r="B1536" s="317" t="s">
        <v>45906</v>
      </c>
      <c r="C1536" s="330" t="s">
        <v>7519</v>
      </c>
      <c r="D1536" s="330" t="s">
        <v>7520</v>
      </c>
      <c r="E1536" s="330" t="s">
        <v>37248</v>
      </c>
      <c r="F1536" s="331">
        <v>0.21</v>
      </c>
      <c r="G1536" s="332">
        <v>80958</v>
      </c>
      <c r="H1536" s="333">
        <v>97960</v>
      </c>
    </row>
    <row r="1537" spans="1:8">
      <c r="A1537" s="317" t="s">
        <v>38119</v>
      </c>
      <c r="B1537" s="317" t="s">
        <v>45907</v>
      </c>
      <c r="C1537" s="330" t="s">
        <v>38120</v>
      </c>
      <c r="D1537" s="330" t="s">
        <v>7521</v>
      </c>
      <c r="E1537" s="330" t="s">
        <v>4634</v>
      </c>
      <c r="F1537" s="335">
        <v>0.21</v>
      </c>
      <c r="G1537" s="336">
        <v>92288</v>
      </c>
      <c r="H1537" s="333">
        <v>111669</v>
      </c>
    </row>
    <row r="1538" spans="1:8">
      <c r="A1538" s="317" t="s">
        <v>38121</v>
      </c>
      <c r="B1538" s="317" t="s">
        <v>45908</v>
      </c>
      <c r="C1538" s="330" t="s">
        <v>7522</v>
      </c>
      <c r="D1538" s="330" t="s">
        <v>7523</v>
      </c>
      <c r="E1538" s="330" t="s">
        <v>37248</v>
      </c>
      <c r="F1538" s="331">
        <v>0.21</v>
      </c>
      <c r="G1538" s="332">
        <v>339</v>
      </c>
      <c r="H1538" s="333">
        <v>411</v>
      </c>
    </row>
    <row r="1539" spans="1:8">
      <c r="A1539" s="317" t="s">
        <v>38122</v>
      </c>
      <c r="B1539" s="317" t="s">
        <v>45909</v>
      </c>
      <c r="C1539" s="330" t="s">
        <v>7524</v>
      </c>
      <c r="D1539" s="330" t="s">
        <v>7525</v>
      </c>
      <c r="E1539" s="330" t="s">
        <v>37248</v>
      </c>
      <c r="F1539" s="331">
        <v>0.21</v>
      </c>
      <c r="G1539" s="332">
        <v>339</v>
      </c>
      <c r="H1539" s="333">
        <v>411</v>
      </c>
    </row>
    <row r="1540" spans="1:8">
      <c r="A1540" s="317" t="s">
        <v>38123</v>
      </c>
      <c r="B1540" s="317" t="s">
        <v>45910</v>
      </c>
      <c r="C1540" s="330" t="s">
        <v>7526</v>
      </c>
      <c r="D1540" s="330" t="s">
        <v>7527</v>
      </c>
      <c r="E1540" s="330" t="s">
        <v>37248</v>
      </c>
      <c r="F1540" s="331">
        <v>0.21</v>
      </c>
      <c r="G1540" s="332">
        <v>12244</v>
      </c>
      <c r="H1540" s="333">
        <v>14816</v>
      </c>
    </row>
    <row r="1541" spans="1:8">
      <c r="A1541" s="317" t="s">
        <v>38124</v>
      </c>
      <c r="B1541" s="317" t="s">
        <v>45911</v>
      </c>
      <c r="C1541" s="330" t="s">
        <v>7528</v>
      </c>
      <c r="D1541" s="330" t="s">
        <v>4855</v>
      </c>
      <c r="E1541" s="330" t="s">
        <v>37248</v>
      </c>
      <c r="F1541" s="331">
        <v>0.21</v>
      </c>
      <c r="G1541" s="332">
        <v>339</v>
      </c>
      <c r="H1541" s="333">
        <v>411</v>
      </c>
    </row>
    <row r="1542" spans="1:8">
      <c r="A1542" s="317" t="s">
        <v>38125</v>
      </c>
      <c r="B1542" s="317" t="s">
        <v>45912</v>
      </c>
      <c r="C1542" s="330" t="s">
        <v>7529</v>
      </c>
      <c r="D1542" s="330" t="s">
        <v>7530</v>
      </c>
      <c r="E1542" s="330" t="s">
        <v>37248</v>
      </c>
      <c r="F1542" s="331">
        <v>0.21</v>
      </c>
      <c r="G1542" s="332">
        <v>32422</v>
      </c>
      <c r="H1542" s="333">
        <v>39231</v>
      </c>
    </row>
    <row r="1543" spans="1:8">
      <c r="A1543" s="317" t="s">
        <v>38126</v>
      </c>
      <c r="B1543" s="317" t="s">
        <v>45913</v>
      </c>
      <c r="C1543" s="330" t="s">
        <v>7531</v>
      </c>
      <c r="D1543" s="330" t="s">
        <v>7532</v>
      </c>
      <c r="E1543" s="330" t="s">
        <v>4634</v>
      </c>
      <c r="F1543" s="331">
        <v>0.21</v>
      </c>
      <c r="G1543" s="332">
        <v>22127</v>
      </c>
      <c r="H1543" s="333">
        <v>26774</v>
      </c>
    </row>
    <row r="1544" spans="1:8">
      <c r="A1544" s="317" t="s">
        <v>38127</v>
      </c>
      <c r="B1544" s="317" t="s">
        <v>45914</v>
      </c>
      <c r="C1544" s="330" t="s">
        <v>7533</v>
      </c>
      <c r="D1544" s="330" t="s">
        <v>7534</v>
      </c>
      <c r="E1544" s="330" t="s">
        <v>4634</v>
      </c>
      <c r="F1544" s="331">
        <v>0.21</v>
      </c>
      <c r="G1544" s="332">
        <v>538086</v>
      </c>
      <c r="H1544" s="333">
        <v>651085</v>
      </c>
    </row>
    <row r="1545" spans="1:8">
      <c r="A1545" s="317" t="s">
        <v>38128</v>
      </c>
      <c r="B1545" s="317" t="s">
        <v>45915</v>
      </c>
      <c r="C1545" s="330" t="s">
        <v>7535</v>
      </c>
      <c r="D1545" s="330" t="s">
        <v>7536</v>
      </c>
      <c r="E1545" s="330" t="s">
        <v>4819</v>
      </c>
      <c r="F1545" s="331">
        <v>0.21</v>
      </c>
      <c r="G1545" s="332">
        <v>18832</v>
      </c>
      <c r="H1545" s="333">
        <v>22787</v>
      </c>
    </row>
    <row r="1546" spans="1:8">
      <c r="A1546" s="317" t="s">
        <v>38129</v>
      </c>
      <c r="B1546" s="317" t="s">
        <v>45916</v>
      </c>
      <c r="C1546" s="330" t="s">
        <v>7537</v>
      </c>
      <c r="D1546" s="330" t="s">
        <v>4650</v>
      </c>
      <c r="E1546" s="330" t="s">
        <v>37248</v>
      </c>
      <c r="F1546" s="331">
        <v>0.21</v>
      </c>
      <c r="G1546" s="332">
        <v>14674</v>
      </c>
      <c r="H1546" s="333">
        <v>17756</v>
      </c>
    </row>
    <row r="1547" spans="1:8">
      <c r="A1547" s="317" t="s">
        <v>38130</v>
      </c>
      <c r="B1547" s="317" t="s">
        <v>45917</v>
      </c>
      <c r="C1547" s="330" t="s">
        <v>7538</v>
      </c>
      <c r="D1547" s="330" t="s">
        <v>7539</v>
      </c>
      <c r="E1547" s="330" t="s">
        <v>37248</v>
      </c>
      <c r="F1547" s="331">
        <v>0.21</v>
      </c>
      <c r="G1547" s="332">
        <v>6246</v>
      </c>
      <c r="H1547" s="333">
        <v>7558</v>
      </c>
    </row>
    <row r="1548" spans="1:8">
      <c r="A1548" s="317" t="s">
        <v>38131</v>
      </c>
      <c r="B1548" s="317" t="s">
        <v>45918</v>
      </c>
      <c r="C1548" s="330" t="s">
        <v>7540</v>
      </c>
      <c r="D1548" s="330" t="s">
        <v>4650</v>
      </c>
      <c r="E1548" s="330" t="s">
        <v>4819</v>
      </c>
      <c r="F1548" s="331">
        <v>0.21</v>
      </c>
      <c r="G1548" s="332">
        <v>45364</v>
      </c>
      <c r="H1548" s="333">
        <v>54891</v>
      </c>
    </row>
    <row r="1549" spans="1:8">
      <c r="A1549" s="317" t="s">
        <v>38132</v>
      </c>
      <c r="B1549" s="317" t="s">
        <v>45919</v>
      </c>
      <c r="C1549" s="330" t="s">
        <v>7541</v>
      </c>
      <c r="D1549" s="330" t="s">
        <v>7542</v>
      </c>
      <c r="E1549" s="330" t="s">
        <v>37248</v>
      </c>
      <c r="F1549" s="331">
        <v>0.21</v>
      </c>
      <c r="G1549" s="332">
        <v>1713</v>
      </c>
      <c r="H1549" s="333">
        <v>2073</v>
      </c>
    </row>
    <row r="1550" spans="1:8">
      <c r="A1550" s="317" t="s">
        <v>38133</v>
      </c>
      <c r="B1550" s="317" t="s">
        <v>45920</v>
      </c>
      <c r="C1550" s="330" t="s">
        <v>7543</v>
      </c>
      <c r="D1550" s="330" t="s">
        <v>7544</v>
      </c>
      <c r="E1550" s="330" t="s">
        <v>37248</v>
      </c>
      <c r="F1550" s="331">
        <v>0.21</v>
      </c>
      <c r="G1550" s="332">
        <v>1815</v>
      </c>
      <c r="H1550" s="333">
        <v>2197</v>
      </c>
    </row>
    <row r="1551" spans="1:8">
      <c r="A1551" s="317" t="s">
        <v>38134</v>
      </c>
      <c r="B1551" s="317" t="s">
        <v>45921</v>
      </c>
      <c r="C1551" s="330" t="s">
        <v>7545</v>
      </c>
      <c r="D1551" s="330" t="s">
        <v>7546</v>
      </c>
      <c r="E1551" s="330" t="s">
        <v>37248</v>
      </c>
      <c r="F1551" s="331">
        <v>0.21</v>
      </c>
      <c r="G1551" s="332">
        <v>12791</v>
      </c>
      <c r="H1551" s="333">
        <v>15478</v>
      </c>
    </row>
    <row r="1552" spans="1:8">
      <c r="A1552" s="317" t="s">
        <v>38135</v>
      </c>
      <c r="B1552" s="317" t="s">
        <v>45922</v>
      </c>
      <c r="C1552" s="330" t="s">
        <v>7547</v>
      </c>
      <c r="D1552" s="330" t="s">
        <v>7548</v>
      </c>
      <c r="E1552" s="330" t="s">
        <v>37248</v>
      </c>
      <c r="F1552" s="331">
        <v>0.21</v>
      </c>
      <c r="G1552" s="332">
        <v>1998</v>
      </c>
      <c r="H1552" s="333">
        <v>2418</v>
      </c>
    </row>
    <row r="1553" spans="1:8">
      <c r="A1553" s="317" t="s">
        <v>38136</v>
      </c>
      <c r="B1553" s="317" t="s">
        <v>45923</v>
      </c>
      <c r="C1553" s="330" t="s">
        <v>7549</v>
      </c>
      <c r="D1553" s="330" t="s">
        <v>7550</v>
      </c>
      <c r="E1553" s="330" t="s">
        <v>37248</v>
      </c>
      <c r="F1553" s="331">
        <v>0.21</v>
      </c>
      <c r="G1553" s="332">
        <v>1072</v>
      </c>
      <c r="H1553" s="333">
        <v>1298</v>
      </c>
    </row>
    <row r="1554" spans="1:8">
      <c r="A1554" s="317" t="s">
        <v>38137</v>
      </c>
      <c r="B1554" s="317" t="s">
        <v>45924</v>
      </c>
      <c r="C1554" s="330" t="s">
        <v>7551</v>
      </c>
      <c r="D1554" s="330" t="s">
        <v>7552</v>
      </c>
      <c r="E1554" s="330" t="s">
        <v>4819</v>
      </c>
      <c r="F1554" s="331">
        <v>0.21</v>
      </c>
      <c r="G1554" s="332">
        <v>780</v>
      </c>
      <c r="H1554" s="333">
        <v>944</v>
      </c>
    </row>
    <row r="1555" spans="1:8">
      <c r="A1555" s="317" t="s">
        <v>38138</v>
      </c>
      <c r="B1555" s="317" t="s">
        <v>45925</v>
      </c>
      <c r="C1555" s="330" t="s">
        <v>7553</v>
      </c>
      <c r="D1555" s="330" t="s">
        <v>7554</v>
      </c>
      <c r="E1555" s="330" t="s">
        <v>37248</v>
      </c>
      <c r="F1555" s="331">
        <v>0.21</v>
      </c>
      <c r="G1555" s="332">
        <v>240</v>
      </c>
      <c r="H1555" s="333">
        <v>291</v>
      </c>
    </row>
    <row r="1556" spans="1:8">
      <c r="A1556" s="317" t="s">
        <v>38139</v>
      </c>
      <c r="B1556" s="317" t="s">
        <v>45926</v>
      </c>
      <c r="C1556" s="330" t="s">
        <v>7555</v>
      </c>
      <c r="D1556" s="330" t="s">
        <v>7556</v>
      </c>
      <c r="E1556" s="330" t="s">
        <v>37248</v>
      </c>
      <c r="F1556" s="331">
        <v>0.21</v>
      </c>
      <c r="G1556" s="332">
        <v>202401</v>
      </c>
      <c r="H1556" s="333">
        <v>244906</v>
      </c>
    </row>
    <row r="1557" spans="1:8">
      <c r="A1557" s="317" t="s">
        <v>38140</v>
      </c>
      <c r="B1557" s="317" t="s">
        <v>45927</v>
      </c>
      <c r="C1557" s="330" t="s">
        <v>7557</v>
      </c>
      <c r="D1557" s="330" t="s">
        <v>7558</v>
      </c>
      <c r="E1557" s="330" t="s">
        <v>4819</v>
      </c>
      <c r="F1557" s="331">
        <v>0.21</v>
      </c>
      <c r="G1557" s="332">
        <v>258731</v>
      </c>
      <c r="H1557" s="333">
        <v>313065</v>
      </c>
    </row>
    <row r="1558" spans="1:8">
      <c r="A1558" s="317" t="s">
        <v>38141</v>
      </c>
      <c r="B1558" s="317" t="s">
        <v>45928</v>
      </c>
      <c r="C1558" s="330" t="s">
        <v>7559</v>
      </c>
      <c r="D1558" s="330" t="s">
        <v>7086</v>
      </c>
      <c r="E1558" s="330" t="s">
        <v>37248</v>
      </c>
      <c r="F1558" s="331">
        <v>0.21</v>
      </c>
      <c r="G1558" s="332">
        <v>8472</v>
      </c>
      <c r="H1558" s="333">
        <v>10252</v>
      </c>
    </row>
    <row r="1559" spans="1:8">
      <c r="A1559" s="317" t="s">
        <v>38142</v>
      </c>
      <c r="B1559" s="317" t="s">
        <v>45929</v>
      </c>
      <c r="C1559" s="330" t="s">
        <v>7560</v>
      </c>
      <c r="D1559" s="330" t="s">
        <v>7561</v>
      </c>
      <c r="E1559" s="330" t="s">
        <v>37248</v>
      </c>
      <c r="F1559" s="331">
        <v>0.21</v>
      </c>
      <c r="G1559" s="332">
        <v>452</v>
      </c>
      <c r="H1559" s="333">
        <v>547</v>
      </c>
    </row>
    <row r="1560" spans="1:8">
      <c r="A1560" s="317" t="s">
        <v>38143</v>
      </c>
      <c r="B1560" s="317" t="s">
        <v>45930</v>
      </c>
      <c r="C1560" s="330" t="s">
        <v>7562</v>
      </c>
      <c r="D1560" s="330" t="s">
        <v>7384</v>
      </c>
      <c r="E1560" s="330" t="s">
        <v>37248</v>
      </c>
      <c r="F1560" s="331">
        <v>0.21</v>
      </c>
      <c r="G1560" s="332">
        <v>1052</v>
      </c>
      <c r="H1560" s="333">
        <v>1273</v>
      </c>
    </row>
    <row r="1561" spans="1:8">
      <c r="A1561" s="317" t="s">
        <v>38144</v>
      </c>
      <c r="B1561" s="317" t="s">
        <v>45931</v>
      </c>
      <c r="C1561" s="330" t="s">
        <v>7563</v>
      </c>
      <c r="D1561" s="330" t="s">
        <v>7564</v>
      </c>
      <c r="E1561" s="330" t="s">
        <v>37248</v>
      </c>
      <c r="F1561" s="331">
        <v>0.21</v>
      </c>
      <c r="G1561" s="332">
        <v>3517</v>
      </c>
      <c r="H1561" s="333">
        <v>4256</v>
      </c>
    </row>
    <row r="1562" spans="1:8">
      <c r="A1562" s="317" t="s">
        <v>38145</v>
      </c>
      <c r="B1562" s="317" t="s">
        <v>45932</v>
      </c>
      <c r="C1562" s="330" t="s">
        <v>7565</v>
      </c>
      <c r="D1562" s="330" t="s">
        <v>7564</v>
      </c>
      <c r="E1562" s="330" t="s">
        <v>37248</v>
      </c>
      <c r="F1562" s="331">
        <v>0.21</v>
      </c>
      <c r="G1562" s="332">
        <v>1626</v>
      </c>
      <c r="H1562" s="333">
        <v>1968</v>
      </c>
    </row>
    <row r="1563" spans="1:8">
      <c r="A1563" s="317" t="s">
        <v>38146</v>
      </c>
      <c r="B1563" s="317" t="s">
        <v>45933</v>
      </c>
      <c r="C1563" s="330" t="s">
        <v>7566</v>
      </c>
      <c r="D1563" s="330" t="s">
        <v>6882</v>
      </c>
      <c r="E1563" s="330" t="s">
        <v>37248</v>
      </c>
      <c r="F1563" s="331">
        <v>0.21</v>
      </c>
      <c r="G1563" s="332">
        <v>1052</v>
      </c>
      <c r="H1563" s="333">
        <v>1273</v>
      </c>
    </row>
    <row r="1564" spans="1:8">
      <c r="A1564" s="317" t="s">
        <v>38147</v>
      </c>
      <c r="B1564" s="317" t="s">
        <v>45934</v>
      </c>
      <c r="C1564" s="330" t="s">
        <v>7567</v>
      </c>
      <c r="D1564" s="330" t="s">
        <v>6898</v>
      </c>
      <c r="E1564" s="330" t="s">
        <v>37248</v>
      </c>
      <c r="F1564" s="331">
        <v>0.21</v>
      </c>
      <c r="G1564" s="332">
        <v>7830</v>
      </c>
      <c r="H1564" s="333">
        <v>9475</v>
      </c>
    </row>
    <row r="1565" spans="1:8">
      <c r="A1565" s="317" t="s">
        <v>38148</v>
      </c>
      <c r="B1565" s="317" t="s">
        <v>45935</v>
      </c>
      <c r="C1565" s="330" t="s">
        <v>7568</v>
      </c>
      <c r="D1565" s="330" t="s">
        <v>7569</v>
      </c>
      <c r="E1565" s="330" t="s">
        <v>37248</v>
      </c>
      <c r="F1565" s="331">
        <v>0.21</v>
      </c>
      <c r="G1565" s="332">
        <v>1505</v>
      </c>
      <c r="H1565" s="333">
        <v>1822</v>
      </c>
    </row>
    <row r="1566" spans="1:8">
      <c r="A1566" s="317" t="s">
        <v>38149</v>
      </c>
      <c r="B1566" s="317" t="s">
        <v>45936</v>
      </c>
      <c r="C1566" s="330" t="s">
        <v>7570</v>
      </c>
      <c r="D1566" s="330" t="s">
        <v>7571</v>
      </c>
      <c r="E1566" s="330" t="s">
        <v>37248</v>
      </c>
      <c r="F1566" s="331">
        <v>0.21</v>
      </c>
      <c r="G1566" s="332">
        <v>1744</v>
      </c>
      <c r="H1566" s="333">
        <v>2111</v>
      </c>
    </row>
    <row r="1567" spans="1:8">
      <c r="A1567" s="317" t="s">
        <v>38150</v>
      </c>
      <c r="B1567" s="317" t="s">
        <v>45937</v>
      </c>
      <c r="C1567" s="330" t="s">
        <v>7572</v>
      </c>
      <c r="D1567" s="330" t="s">
        <v>7573</v>
      </c>
      <c r="E1567" s="330" t="s">
        <v>37248</v>
      </c>
      <c r="F1567" s="331">
        <v>0.21</v>
      </c>
      <c r="G1567" s="332">
        <v>3131</v>
      </c>
      <c r="H1567" s="333">
        <v>3789</v>
      </c>
    </row>
    <row r="1568" spans="1:8">
      <c r="A1568" s="317" t="s">
        <v>38151</v>
      </c>
      <c r="B1568" s="317" t="s">
        <v>45938</v>
      </c>
      <c r="C1568" s="330" t="s">
        <v>7574</v>
      </c>
      <c r="D1568" s="330" t="s">
        <v>6896</v>
      </c>
      <c r="E1568" s="330" t="s">
        <v>37248</v>
      </c>
      <c r="F1568" s="331">
        <v>0.21</v>
      </c>
      <c r="G1568" s="332">
        <v>1835</v>
      </c>
      <c r="H1568" s="333">
        <v>2221</v>
      </c>
    </row>
    <row r="1569" spans="1:8">
      <c r="A1569" s="317" t="s">
        <v>38152</v>
      </c>
      <c r="B1569" s="317" t="s">
        <v>45939</v>
      </c>
      <c r="C1569" s="330" t="s">
        <v>7575</v>
      </c>
      <c r="D1569" s="330" t="s">
        <v>7576</v>
      </c>
      <c r="E1569" s="330" t="s">
        <v>37248</v>
      </c>
      <c r="F1569" s="331">
        <v>0.21</v>
      </c>
      <c r="G1569" s="332">
        <v>2581</v>
      </c>
      <c r="H1569" s="333">
        <v>3124</v>
      </c>
    </row>
    <row r="1570" spans="1:8">
      <c r="A1570" s="317" t="s">
        <v>38153</v>
      </c>
      <c r="B1570" s="317" t="s">
        <v>45940</v>
      </c>
      <c r="C1570" s="330" t="s">
        <v>7577</v>
      </c>
      <c r="D1570" s="330" t="s">
        <v>7578</v>
      </c>
      <c r="E1570" s="330" t="s">
        <v>37248</v>
      </c>
      <c r="F1570" s="331">
        <v>0.21</v>
      </c>
      <c r="G1570" s="332">
        <v>1744</v>
      </c>
      <c r="H1570" s="333">
        <v>2111</v>
      </c>
    </row>
    <row r="1571" spans="1:8">
      <c r="A1571" s="317" t="s">
        <v>38154</v>
      </c>
      <c r="B1571" s="317" t="s">
        <v>45941</v>
      </c>
      <c r="C1571" s="330" t="s">
        <v>7579</v>
      </c>
      <c r="D1571" s="330" t="s">
        <v>7573</v>
      </c>
      <c r="E1571" s="330" t="s">
        <v>37248</v>
      </c>
      <c r="F1571" s="331">
        <v>0.21</v>
      </c>
      <c r="G1571" s="332">
        <v>1373</v>
      </c>
      <c r="H1571" s="333">
        <v>1662</v>
      </c>
    </row>
    <row r="1572" spans="1:8">
      <c r="A1572" s="317" t="s">
        <v>38155</v>
      </c>
      <c r="B1572" s="317" t="s">
        <v>45942</v>
      </c>
      <c r="C1572" s="330" t="s">
        <v>7580</v>
      </c>
      <c r="D1572" s="330" t="s">
        <v>7581</v>
      </c>
      <c r="E1572" s="330" t="s">
        <v>37248</v>
      </c>
      <c r="F1572" s="331">
        <v>0.21</v>
      </c>
      <c r="G1572" s="332">
        <v>14836</v>
      </c>
      <c r="H1572" s="333">
        <v>17952</v>
      </c>
    </row>
    <row r="1573" spans="1:8">
      <c r="A1573" s="317" t="s">
        <v>38156</v>
      </c>
      <c r="B1573" s="317" t="s">
        <v>45943</v>
      </c>
      <c r="C1573" s="330" t="s">
        <v>7582</v>
      </c>
      <c r="D1573" s="330" t="s">
        <v>5300</v>
      </c>
      <c r="E1573" s="330" t="s">
        <v>37248</v>
      </c>
      <c r="F1573" s="331">
        <v>0.21</v>
      </c>
      <c r="G1573" s="332">
        <v>1452</v>
      </c>
      <c r="H1573" s="333">
        <v>1757</v>
      </c>
    </row>
    <row r="1574" spans="1:8">
      <c r="A1574" s="317" t="s">
        <v>38157</v>
      </c>
      <c r="B1574" s="317" t="s">
        <v>45944</v>
      </c>
      <c r="C1574" s="330" t="s">
        <v>7583</v>
      </c>
      <c r="D1574" s="330" t="s">
        <v>7584</v>
      </c>
      <c r="E1574" s="330" t="s">
        <v>37248</v>
      </c>
      <c r="F1574" s="331">
        <v>0.21</v>
      </c>
      <c r="G1574" s="332">
        <v>976</v>
      </c>
      <c r="H1574" s="333">
        <v>1181</v>
      </c>
    </row>
    <row r="1575" spans="1:8">
      <c r="A1575" s="317" t="s">
        <v>38158</v>
      </c>
      <c r="B1575" s="317" t="s">
        <v>45945</v>
      </c>
      <c r="C1575" s="330" t="s">
        <v>7585</v>
      </c>
      <c r="D1575" s="330" t="s">
        <v>7586</v>
      </c>
      <c r="E1575" s="330" t="s">
        <v>37248</v>
      </c>
      <c r="F1575" s="331">
        <v>0.21</v>
      </c>
      <c r="G1575" s="332">
        <v>1373</v>
      </c>
      <c r="H1575" s="333">
        <v>1662</v>
      </c>
    </row>
    <row r="1576" spans="1:8">
      <c r="A1576" s="317" t="s">
        <v>38159</v>
      </c>
      <c r="B1576" s="317" t="s">
        <v>45946</v>
      </c>
      <c r="C1576" s="330" t="s">
        <v>7587</v>
      </c>
      <c r="D1576" s="330" t="s">
        <v>7588</v>
      </c>
      <c r="E1576" s="330" t="s">
        <v>4819</v>
      </c>
      <c r="F1576" s="331">
        <v>0.21</v>
      </c>
      <c r="G1576" s="332">
        <v>23117</v>
      </c>
      <c r="H1576" s="333">
        <v>27972</v>
      </c>
    </row>
    <row r="1577" spans="1:8">
      <c r="A1577" s="317" t="s">
        <v>38160</v>
      </c>
      <c r="B1577" s="317" t="s">
        <v>45947</v>
      </c>
      <c r="C1577" s="330" t="s">
        <v>7589</v>
      </c>
      <c r="D1577" s="330" t="s">
        <v>7590</v>
      </c>
      <c r="E1577" s="330" t="s">
        <v>37248</v>
      </c>
      <c r="F1577" s="331">
        <v>0.21</v>
      </c>
      <c r="G1577" s="332">
        <v>4544</v>
      </c>
      <c r="H1577" s="333">
        <v>5499</v>
      </c>
    </row>
    <row r="1578" spans="1:8">
      <c r="A1578" s="317" t="s">
        <v>38161</v>
      </c>
      <c r="B1578" s="317" t="s">
        <v>45948</v>
      </c>
      <c r="C1578" s="330" t="s">
        <v>7591</v>
      </c>
      <c r="D1578" s="330" t="s">
        <v>7592</v>
      </c>
      <c r="E1578" s="330" t="s">
        <v>4819</v>
      </c>
      <c r="F1578" s="331">
        <v>0.21</v>
      </c>
      <c r="G1578" s="332">
        <v>3654</v>
      </c>
      <c r="H1578" s="333">
        <v>4422</v>
      </c>
    </row>
    <row r="1579" spans="1:8">
      <c r="A1579" s="317" t="s">
        <v>38162</v>
      </c>
      <c r="B1579" s="317" t="s">
        <v>45949</v>
      </c>
      <c r="C1579" s="330" t="s">
        <v>7593</v>
      </c>
      <c r="D1579" s="330" t="s">
        <v>7594</v>
      </c>
      <c r="E1579" s="330" t="s">
        <v>37248</v>
      </c>
      <c r="F1579" s="331">
        <v>0.21</v>
      </c>
      <c r="G1579" s="332">
        <v>3694</v>
      </c>
      <c r="H1579" s="333">
        <v>4470</v>
      </c>
    </row>
    <row r="1580" spans="1:8">
      <c r="A1580" s="317" t="s">
        <v>38163</v>
      </c>
      <c r="B1580" s="317" t="s">
        <v>45950</v>
      </c>
      <c r="C1580" s="330" t="s">
        <v>7595</v>
      </c>
      <c r="D1580" s="330" t="s">
        <v>7596</v>
      </c>
      <c r="E1580" s="330" t="s">
        <v>37248</v>
      </c>
      <c r="F1580" s="331">
        <v>0.21</v>
      </c>
      <c r="G1580" s="332">
        <v>976</v>
      </c>
      <c r="H1580" s="333">
        <v>1181</v>
      </c>
    </row>
    <row r="1581" spans="1:8">
      <c r="A1581" s="317" t="s">
        <v>38164</v>
      </c>
      <c r="B1581" s="317" t="s">
        <v>45951</v>
      </c>
      <c r="C1581" s="330" t="s">
        <v>7597</v>
      </c>
      <c r="D1581" s="330" t="s">
        <v>7598</v>
      </c>
      <c r="E1581" s="330" t="s">
        <v>37248</v>
      </c>
      <c r="F1581" s="331">
        <v>0.21</v>
      </c>
      <c r="G1581" s="332">
        <v>890</v>
      </c>
      <c r="H1581" s="333">
        <v>1077</v>
      </c>
    </row>
    <row r="1582" spans="1:8">
      <c r="A1582" s="317" t="s">
        <v>38165</v>
      </c>
      <c r="B1582" s="317" t="s">
        <v>45952</v>
      </c>
      <c r="C1582" s="330" t="s">
        <v>7599</v>
      </c>
      <c r="D1582" s="330" t="s">
        <v>6205</v>
      </c>
      <c r="E1582" s="330" t="s">
        <v>37248</v>
      </c>
      <c r="F1582" s="331">
        <v>0.21</v>
      </c>
      <c r="G1582" s="332">
        <v>2054</v>
      </c>
      <c r="H1582" s="333">
        <v>2486</v>
      </c>
    </row>
    <row r="1583" spans="1:8">
      <c r="A1583" s="317" t="s">
        <v>38166</v>
      </c>
      <c r="B1583" s="317" t="s">
        <v>45953</v>
      </c>
      <c r="C1583" s="330" t="s">
        <v>7600</v>
      </c>
      <c r="D1583" s="330" t="s">
        <v>7223</v>
      </c>
      <c r="E1583" s="330" t="s">
        <v>37248</v>
      </c>
      <c r="F1583" s="331">
        <v>0.21</v>
      </c>
      <c r="G1583" s="332">
        <v>25415</v>
      </c>
      <c r="H1583" s="333">
        <v>30753</v>
      </c>
    </row>
    <row r="1584" spans="1:8">
      <c r="A1584" s="317" t="s">
        <v>38167</v>
      </c>
      <c r="B1584" s="317" t="s">
        <v>45954</v>
      </c>
      <c r="C1584" s="330" t="s">
        <v>7601</v>
      </c>
      <c r="D1584" s="330" t="s">
        <v>7602</v>
      </c>
      <c r="E1584" s="330" t="s">
        <v>37248</v>
      </c>
      <c r="F1584" s="331">
        <v>0.21</v>
      </c>
      <c r="G1584" s="332">
        <v>5768</v>
      </c>
      <c r="H1584" s="333">
        <v>6980</v>
      </c>
    </row>
    <row r="1585" spans="1:8">
      <c r="A1585" s="317" t="s">
        <v>38168</v>
      </c>
      <c r="B1585" s="317" t="s">
        <v>45955</v>
      </c>
      <c r="C1585" s="330" t="s">
        <v>7603</v>
      </c>
      <c r="D1585" s="330" t="s">
        <v>7382</v>
      </c>
      <c r="E1585" s="330" t="s">
        <v>37248</v>
      </c>
      <c r="F1585" s="331">
        <v>0.21</v>
      </c>
      <c r="G1585" s="332">
        <v>435</v>
      </c>
      <c r="H1585" s="333">
        <v>527</v>
      </c>
    </row>
    <row r="1586" spans="1:8">
      <c r="A1586" s="317" t="s">
        <v>38169</v>
      </c>
      <c r="B1586" s="317" t="s">
        <v>45956</v>
      </c>
      <c r="C1586" s="330" t="s">
        <v>7604</v>
      </c>
      <c r="D1586" s="330" t="s">
        <v>7605</v>
      </c>
      <c r="E1586" s="330" t="s">
        <v>4819</v>
      </c>
      <c r="F1586" s="331">
        <v>0.21</v>
      </c>
      <c r="G1586" s="332">
        <v>1530</v>
      </c>
      <c r="H1586" s="333">
        <v>1852</v>
      </c>
    </row>
    <row r="1587" spans="1:8">
      <c r="A1587" s="317" t="s">
        <v>38170</v>
      </c>
      <c r="B1587" s="317" t="s">
        <v>45957</v>
      </c>
      <c r="C1587" s="330" t="s">
        <v>7606</v>
      </c>
      <c r="D1587" s="330" t="s">
        <v>7448</v>
      </c>
      <c r="E1587" s="330" t="s">
        <v>4819</v>
      </c>
      <c r="F1587" s="331">
        <v>0.21</v>
      </c>
      <c r="G1587" s="332">
        <v>87938</v>
      </c>
      <c r="H1587" s="333">
        <v>106405</v>
      </c>
    </row>
    <row r="1588" spans="1:8">
      <c r="A1588" s="317" t="s">
        <v>38171</v>
      </c>
      <c r="B1588" s="317" t="s">
        <v>45958</v>
      </c>
      <c r="C1588" s="330" t="s">
        <v>7607</v>
      </c>
      <c r="D1588" s="330" t="s">
        <v>7608</v>
      </c>
      <c r="E1588" s="330" t="s">
        <v>37248</v>
      </c>
      <c r="F1588" s="331">
        <v>0.21</v>
      </c>
      <c r="G1588" s="332">
        <v>675</v>
      </c>
      <c r="H1588" s="333">
        <v>817</v>
      </c>
    </row>
    <row r="1589" spans="1:8">
      <c r="A1589" s="317" t="s">
        <v>38172</v>
      </c>
      <c r="B1589" s="317" t="s">
        <v>45959</v>
      </c>
      <c r="C1589" s="330" t="s">
        <v>7609</v>
      </c>
      <c r="D1589" s="330" t="s">
        <v>7610</v>
      </c>
      <c r="E1589" s="330" t="s">
        <v>37248</v>
      </c>
      <c r="F1589" s="331">
        <v>0.21</v>
      </c>
      <c r="G1589" s="332">
        <v>20137</v>
      </c>
      <c r="H1589" s="333">
        <v>24366</v>
      </c>
    </row>
    <row r="1590" spans="1:8">
      <c r="A1590" s="317" t="s">
        <v>38173</v>
      </c>
      <c r="B1590" s="317" t="s">
        <v>45960</v>
      </c>
      <c r="C1590" s="330" t="s">
        <v>7611</v>
      </c>
      <c r="D1590" s="330" t="s">
        <v>7322</v>
      </c>
      <c r="E1590" s="330" t="s">
        <v>37248</v>
      </c>
      <c r="F1590" s="331">
        <v>0.21</v>
      </c>
      <c r="G1590" s="332">
        <v>27558</v>
      </c>
      <c r="H1590" s="333">
        <v>33346</v>
      </c>
    </row>
    <row r="1591" spans="1:8">
      <c r="A1591" s="317" t="s">
        <v>38174</v>
      </c>
      <c r="B1591" s="317" t="s">
        <v>45961</v>
      </c>
      <c r="C1591" s="330" t="s">
        <v>7612</v>
      </c>
      <c r="D1591" s="330" t="s">
        <v>7613</v>
      </c>
      <c r="E1591" s="330" t="s">
        <v>37248</v>
      </c>
      <c r="F1591" s="331">
        <v>0.21</v>
      </c>
      <c r="G1591" s="332">
        <v>15430</v>
      </c>
      <c r="H1591" s="333">
        <v>18671</v>
      </c>
    </row>
    <row r="1592" spans="1:8">
      <c r="A1592" s="317" t="s">
        <v>38175</v>
      </c>
      <c r="B1592" s="317" t="s">
        <v>45962</v>
      </c>
      <c r="C1592" s="330" t="s">
        <v>7614</v>
      </c>
      <c r="D1592" s="330" t="s">
        <v>7615</v>
      </c>
      <c r="E1592" s="330" t="s">
        <v>37248</v>
      </c>
      <c r="F1592" s="331">
        <v>0.21</v>
      </c>
      <c r="G1592" s="332">
        <v>1958</v>
      </c>
      <c r="H1592" s="333">
        <v>2370</v>
      </c>
    </row>
    <row r="1593" spans="1:8">
      <c r="A1593" s="317" t="s">
        <v>38176</v>
      </c>
      <c r="B1593" s="317" t="s">
        <v>45963</v>
      </c>
      <c r="C1593" s="330" t="s">
        <v>7616</v>
      </c>
      <c r="D1593" s="330" t="s">
        <v>7617</v>
      </c>
      <c r="E1593" s="330" t="s">
        <v>37248</v>
      </c>
      <c r="F1593" s="331">
        <v>0.21</v>
      </c>
      <c r="G1593" s="332">
        <v>6246</v>
      </c>
      <c r="H1593" s="333">
        <v>7558</v>
      </c>
    </row>
    <row r="1594" spans="1:8">
      <c r="A1594" s="317" t="s">
        <v>38177</v>
      </c>
      <c r="B1594" s="317" t="s">
        <v>45964</v>
      </c>
      <c r="C1594" s="330" t="s">
        <v>7618</v>
      </c>
      <c r="D1594" s="330" t="s">
        <v>7619</v>
      </c>
      <c r="E1594" s="330" t="s">
        <v>37248</v>
      </c>
      <c r="F1594" s="331">
        <v>0.21</v>
      </c>
      <c r="G1594" s="332">
        <v>7173</v>
      </c>
      <c r="H1594" s="333">
        <v>8680</v>
      </c>
    </row>
    <row r="1595" spans="1:8">
      <c r="A1595" s="317" t="s">
        <v>38178</v>
      </c>
      <c r="B1595" s="317" t="s">
        <v>45965</v>
      </c>
      <c r="C1595" s="330" t="s">
        <v>7620</v>
      </c>
      <c r="D1595" s="330" t="s">
        <v>7619</v>
      </c>
      <c r="E1595" s="330" t="s">
        <v>4634</v>
      </c>
      <c r="F1595" s="331">
        <v>0.21</v>
      </c>
      <c r="G1595" s="332">
        <v>15809</v>
      </c>
      <c r="H1595" s="333">
        <v>19129</v>
      </c>
    </row>
    <row r="1596" spans="1:8">
      <c r="A1596" s="317" t="s">
        <v>38179</v>
      </c>
      <c r="B1596" s="317" t="s">
        <v>45966</v>
      </c>
      <c r="C1596" s="330" t="s">
        <v>7621</v>
      </c>
      <c r="D1596" s="330" t="s">
        <v>7622</v>
      </c>
      <c r="E1596" s="330" t="s">
        <v>37248</v>
      </c>
      <c r="F1596" s="331">
        <v>0.21</v>
      </c>
      <c r="G1596" s="332">
        <v>435</v>
      </c>
      <c r="H1596" s="333">
        <v>527</v>
      </c>
    </row>
    <row r="1597" spans="1:8">
      <c r="A1597" s="317" t="s">
        <v>38180</v>
      </c>
      <c r="B1597" s="317" t="s">
        <v>45967</v>
      </c>
      <c r="C1597" s="330" t="s">
        <v>7623</v>
      </c>
      <c r="D1597" s="330" t="s">
        <v>7624</v>
      </c>
      <c r="E1597" s="330" t="s">
        <v>37248</v>
      </c>
      <c r="F1597" s="331">
        <v>0.21</v>
      </c>
      <c r="G1597" s="332">
        <v>720</v>
      </c>
      <c r="H1597" s="333">
        <v>872</v>
      </c>
    </row>
    <row r="1598" spans="1:8">
      <c r="A1598" s="317" t="s">
        <v>38181</v>
      </c>
      <c r="B1598" s="317" t="s">
        <v>45968</v>
      </c>
      <c r="C1598" s="330" t="s">
        <v>7625</v>
      </c>
      <c r="D1598" s="330" t="s">
        <v>7626</v>
      </c>
      <c r="E1598" s="330" t="s">
        <v>37248</v>
      </c>
      <c r="F1598" s="331">
        <v>0.21</v>
      </c>
      <c r="G1598" s="332">
        <v>21058</v>
      </c>
      <c r="H1598" s="333">
        <v>25481</v>
      </c>
    </row>
    <row r="1599" spans="1:8">
      <c r="A1599" s="317" t="s">
        <v>38182</v>
      </c>
      <c r="B1599" s="317" t="s">
        <v>45969</v>
      </c>
      <c r="C1599" s="330" t="s">
        <v>7627</v>
      </c>
      <c r="D1599" s="330" t="s">
        <v>7628</v>
      </c>
      <c r="E1599" s="330" t="s">
        <v>37248</v>
      </c>
      <c r="F1599" s="331">
        <v>0.21</v>
      </c>
      <c r="G1599" s="332">
        <v>1191</v>
      </c>
      <c r="H1599" s="333">
        <v>1442</v>
      </c>
    </row>
    <row r="1600" spans="1:8">
      <c r="A1600" s="317" t="s">
        <v>38183</v>
      </c>
      <c r="B1600" s="317" t="s">
        <v>45970</v>
      </c>
      <c r="C1600" s="330" t="s">
        <v>7629</v>
      </c>
      <c r="D1600" s="330" t="s">
        <v>7630</v>
      </c>
      <c r="E1600" s="330" t="s">
        <v>37248</v>
      </c>
      <c r="F1600" s="331">
        <v>0.21</v>
      </c>
      <c r="G1600" s="332">
        <v>3267</v>
      </c>
      <c r="H1600" s="333">
        <v>3954</v>
      </c>
    </row>
    <row r="1601" spans="1:8">
      <c r="A1601" s="317" t="s">
        <v>38184</v>
      </c>
      <c r="B1601" s="317" t="s">
        <v>45971</v>
      </c>
      <c r="C1601" s="330" t="s">
        <v>7631</v>
      </c>
      <c r="D1601" s="330" t="s">
        <v>7632</v>
      </c>
      <c r="E1601" s="330" t="s">
        <v>37248</v>
      </c>
      <c r="F1601" s="331">
        <v>0.21</v>
      </c>
      <c r="G1601" s="332">
        <v>814</v>
      </c>
      <c r="H1601" s="333">
        <v>985</v>
      </c>
    </row>
    <row r="1602" spans="1:8">
      <c r="A1602" s="317" t="s">
        <v>38185</v>
      </c>
      <c r="B1602" s="317" t="s">
        <v>45972</v>
      </c>
      <c r="C1602" s="330" t="s">
        <v>7633</v>
      </c>
      <c r="D1602" s="330" t="s">
        <v>7634</v>
      </c>
      <c r="E1602" s="330" t="s">
        <v>37248</v>
      </c>
      <c r="F1602" s="331">
        <v>0.21</v>
      </c>
      <c r="G1602" s="332">
        <v>4162</v>
      </c>
      <c r="H1602" s="333">
        <v>5037</v>
      </c>
    </row>
    <row r="1603" spans="1:8">
      <c r="A1603" s="317" t="s">
        <v>38186</v>
      </c>
      <c r="B1603" s="317" t="s">
        <v>45973</v>
      </c>
      <c r="C1603" s="330" t="s">
        <v>7635</v>
      </c>
      <c r="D1603" s="330" t="s">
        <v>5233</v>
      </c>
      <c r="E1603" s="330" t="s">
        <v>37248</v>
      </c>
      <c r="F1603" s="331">
        <v>0.21</v>
      </c>
      <c r="G1603" s="332">
        <v>305</v>
      </c>
      <c r="H1603" s="333">
        <v>370</v>
      </c>
    </row>
    <row r="1604" spans="1:8">
      <c r="A1604" s="317" t="s">
        <v>38187</v>
      </c>
      <c r="B1604" s="317" t="s">
        <v>45974</v>
      </c>
      <c r="C1604" s="330" t="s">
        <v>7636</v>
      </c>
      <c r="D1604" s="330" t="s">
        <v>7637</v>
      </c>
      <c r="E1604" s="330" t="s">
        <v>37248</v>
      </c>
      <c r="F1604" s="331">
        <v>0.21</v>
      </c>
      <c r="G1604" s="332">
        <v>305</v>
      </c>
      <c r="H1604" s="333">
        <v>370</v>
      </c>
    </row>
    <row r="1605" spans="1:8">
      <c r="A1605" s="317" t="s">
        <v>38188</v>
      </c>
      <c r="B1605" s="317" t="s">
        <v>45975</v>
      </c>
      <c r="C1605" s="330" t="s">
        <v>7638</v>
      </c>
      <c r="D1605" s="330" t="s">
        <v>7639</v>
      </c>
      <c r="E1605" s="330" t="s">
        <v>37248</v>
      </c>
      <c r="F1605" s="331">
        <v>0.21</v>
      </c>
      <c r="G1605" s="332">
        <v>19325</v>
      </c>
      <c r="H1605" s="333">
        <v>23384</v>
      </c>
    </row>
    <row r="1606" spans="1:8">
      <c r="A1606" s="317" t="s">
        <v>38189</v>
      </c>
      <c r="B1606" s="317" t="s">
        <v>45976</v>
      </c>
      <c r="C1606" s="330" t="s">
        <v>7640</v>
      </c>
      <c r="D1606" s="330" t="s">
        <v>7641</v>
      </c>
      <c r="E1606" s="330" t="s">
        <v>4634</v>
      </c>
      <c r="F1606" s="331">
        <v>0.21</v>
      </c>
      <c r="G1606" s="332">
        <v>95345</v>
      </c>
      <c r="H1606" s="333">
        <v>115368</v>
      </c>
    </row>
    <row r="1607" spans="1:8">
      <c r="A1607" s="317" t="s">
        <v>38190</v>
      </c>
      <c r="B1607" s="317" t="s">
        <v>45977</v>
      </c>
      <c r="C1607" s="330" t="s">
        <v>7642</v>
      </c>
      <c r="D1607" s="330" t="s">
        <v>7643</v>
      </c>
      <c r="E1607" s="330" t="s">
        <v>4819</v>
      </c>
      <c r="F1607" s="331">
        <v>0.21</v>
      </c>
      <c r="G1607" s="332">
        <v>10892</v>
      </c>
      <c r="H1607" s="333">
        <v>13180</v>
      </c>
    </row>
    <row r="1608" spans="1:8">
      <c r="A1608" s="317" t="s">
        <v>38191</v>
      </c>
      <c r="B1608" s="317" t="s">
        <v>45978</v>
      </c>
      <c r="C1608" s="330" t="s">
        <v>7644</v>
      </c>
      <c r="D1608" s="330" t="s">
        <v>7645</v>
      </c>
      <c r="E1608" s="330" t="s">
        <v>37248</v>
      </c>
      <c r="F1608" s="331">
        <v>0.21</v>
      </c>
      <c r="G1608" s="332">
        <v>976</v>
      </c>
      <c r="H1608" s="333">
        <v>1181</v>
      </c>
    </row>
    <row r="1609" spans="1:8">
      <c r="A1609" s="317" t="s">
        <v>38192</v>
      </c>
      <c r="B1609" s="317" t="s">
        <v>45979</v>
      </c>
      <c r="C1609" s="330" t="s">
        <v>7646</v>
      </c>
      <c r="D1609" s="330" t="s">
        <v>7598</v>
      </c>
      <c r="E1609" s="330" t="s">
        <v>37248</v>
      </c>
      <c r="F1609" s="331">
        <v>0.21</v>
      </c>
      <c r="G1609" s="332">
        <v>194</v>
      </c>
      <c r="H1609" s="333">
        <v>235</v>
      </c>
    </row>
    <row r="1610" spans="1:8">
      <c r="A1610" s="317" t="s">
        <v>38193</v>
      </c>
      <c r="B1610" s="317" t="s">
        <v>45980</v>
      </c>
      <c r="C1610" s="330" t="s">
        <v>7647</v>
      </c>
      <c r="D1610" s="330" t="s">
        <v>7369</v>
      </c>
      <c r="E1610" s="330" t="s">
        <v>4819</v>
      </c>
      <c r="F1610" s="331">
        <v>0.21</v>
      </c>
      <c r="G1610" s="332">
        <v>4693</v>
      </c>
      <c r="H1610" s="333">
        <v>5679</v>
      </c>
    </row>
    <row r="1611" spans="1:8">
      <c r="A1611" s="317" t="s">
        <v>38194</v>
      </c>
      <c r="B1611" s="317" t="s">
        <v>45981</v>
      </c>
      <c r="C1611" s="330" t="s">
        <v>7648</v>
      </c>
      <c r="D1611" s="330" t="s">
        <v>7649</v>
      </c>
      <c r="E1611" s="330" t="s">
        <v>37248</v>
      </c>
      <c r="F1611" s="331">
        <v>0.21</v>
      </c>
      <c r="G1611" s="332">
        <v>519</v>
      </c>
      <c r="H1611" s="333">
        <v>628</v>
      </c>
    </row>
    <row r="1612" spans="1:8">
      <c r="A1612" s="317" t="s">
        <v>38195</v>
      </c>
      <c r="B1612" s="317" t="s">
        <v>45982</v>
      </c>
      <c r="C1612" s="330" t="s">
        <v>7650</v>
      </c>
      <c r="D1612" s="330" t="s">
        <v>7651</v>
      </c>
      <c r="E1612" s="330" t="s">
        <v>37248</v>
      </c>
      <c r="F1612" s="331">
        <v>0.21</v>
      </c>
      <c r="G1612" s="332">
        <v>13507</v>
      </c>
      <c r="H1612" s="333">
        <v>16344</v>
      </c>
    </row>
    <row r="1613" spans="1:8">
      <c r="A1613" s="317" t="s">
        <v>38196</v>
      </c>
      <c r="B1613" s="317" t="s">
        <v>45983</v>
      </c>
      <c r="C1613" s="330" t="s">
        <v>7652</v>
      </c>
      <c r="D1613" s="330" t="s">
        <v>7653</v>
      </c>
      <c r="E1613" s="330" t="s">
        <v>37248</v>
      </c>
      <c r="F1613" s="331">
        <v>0.21</v>
      </c>
      <c r="G1613" s="332">
        <v>976</v>
      </c>
      <c r="H1613" s="333">
        <v>1181</v>
      </c>
    </row>
    <row r="1614" spans="1:8">
      <c r="A1614" s="317" t="s">
        <v>38197</v>
      </c>
      <c r="B1614" s="317" t="s">
        <v>45984</v>
      </c>
      <c r="C1614" s="330" t="s">
        <v>7654</v>
      </c>
      <c r="D1614" s="330" t="s">
        <v>7655</v>
      </c>
      <c r="E1614" s="330" t="s">
        <v>4623</v>
      </c>
      <c r="F1614" s="331">
        <v>0.21</v>
      </c>
      <c r="G1614" s="332">
        <v>3036</v>
      </c>
      <c r="H1614" s="333">
        <v>3674</v>
      </c>
    </row>
    <row r="1615" spans="1:8">
      <c r="A1615" s="317" t="s">
        <v>38198</v>
      </c>
      <c r="B1615" s="317" t="s">
        <v>45985</v>
      </c>
      <c r="C1615" s="330" t="s">
        <v>7656</v>
      </c>
      <c r="D1615" s="330" t="s">
        <v>5786</v>
      </c>
      <c r="E1615" s="330" t="s">
        <v>37248</v>
      </c>
      <c r="F1615" s="331">
        <v>0.21</v>
      </c>
      <c r="G1615" s="332">
        <v>240</v>
      </c>
      <c r="H1615" s="333">
        <v>291</v>
      </c>
    </row>
    <row r="1616" spans="1:8">
      <c r="A1616" s="317" t="s">
        <v>38199</v>
      </c>
      <c r="B1616" s="317" t="s">
        <v>45986</v>
      </c>
      <c r="C1616" s="330" t="s">
        <v>7657</v>
      </c>
      <c r="D1616" s="330" t="s">
        <v>7658</v>
      </c>
      <c r="E1616" s="330" t="s">
        <v>37248</v>
      </c>
      <c r="F1616" s="331">
        <v>0.21</v>
      </c>
      <c r="G1616" s="332">
        <v>6683</v>
      </c>
      <c r="H1616" s="333">
        <v>8087</v>
      </c>
    </row>
    <row r="1617" spans="1:8">
      <c r="A1617" s="317" t="s">
        <v>38200</v>
      </c>
      <c r="B1617" s="317" t="s">
        <v>45987</v>
      </c>
      <c r="C1617" s="330" t="s">
        <v>7659</v>
      </c>
      <c r="D1617" s="330" t="s">
        <v>7660</v>
      </c>
      <c r="E1617" s="330" t="s">
        <v>37248</v>
      </c>
      <c r="F1617" s="331">
        <v>0.21</v>
      </c>
      <c r="G1617" s="332">
        <v>6603</v>
      </c>
      <c r="H1617" s="333">
        <v>7990</v>
      </c>
    </row>
    <row r="1618" spans="1:8">
      <c r="A1618" s="317" t="s">
        <v>38201</v>
      </c>
      <c r="B1618" s="317" t="s">
        <v>45988</v>
      </c>
      <c r="C1618" s="330" t="s">
        <v>7661</v>
      </c>
      <c r="D1618" s="330" t="s">
        <v>7662</v>
      </c>
      <c r="E1618" s="330" t="s">
        <v>37248</v>
      </c>
      <c r="F1618" s="331">
        <v>0.21</v>
      </c>
      <c r="G1618" s="332">
        <v>454</v>
      </c>
      <c r="H1618" s="333">
        <v>550</v>
      </c>
    </row>
    <row r="1619" spans="1:8">
      <c r="A1619" s="317" t="s">
        <v>38202</v>
      </c>
      <c r="B1619" s="317" t="s">
        <v>45989</v>
      </c>
      <c r="C1619" s="330" t="s">
        <v>7663</v>
      </c>
      <c r="D1619" s="330" t="s">
        <v>7664</v>
      </c>
      <c r="E1619" s="330" t="s">
        <v>4819</v>
      </c>
      <c r="F1619" s="331">
        <v>0.21</v>
      </c>
      <c r="G1619" s="332">
        <v>1403</v>
      </c>
      <c r="H1619" s="333">
        <v>1698</v>
      </c>
    </row>
    <row r="1620" spans="1:8">
      <c r="A1620" s="317" t="s">
        <v>38203</v>
      </c>
      <c r="B1620" s="317" t="s">
        <v>45990</v>
      </c>
      <c r="C1620" s="330" t="s">
        <v>7665</v>
      </c>
      <c r="D1620" s="330" t="s">
        <v>7666</v>
      </c>
      <c r="E1620" s="330" t="s">
        <v>37248</v>
      </c>
      <c r="F1620" s="331">
        <v>0.21</v>
      </c>
      <c r="G1620" s="332">
        <v>6495</v>
      </c>
      <c r="H1620" s="333">
        <v>7859</v>
      </c>
    </row>
    <row r="1621" spans="1:8">
      <c r="A1621" s="317" t="s">
        <v>38204</v>
      </c>
      <c r="B1621" s="317" t="s">
        <v>45991</v>
      </c>
      <c r="C1621" s="330" t="s">
        <v>7667</v>
      </c>
      <c r="D1621" s="330" t="s">
        <v>7668</v>
      </c>
      <c r="E1621" s="330" t="s">
        <v>37248</v>
      </c>
      <c r="F1621" s="331">
        <v>0.21</v>
      </c>
      <c r="G1621" s="332">
        <v>11617</v>
      </c>
      <c r="H1621" s="333">
        <v>14057</v>
      </c>
    </row>
    <row r="1622" spans="1:8">
      <c r="A1622" s="317" t="s">
        <v>38205</v>
      </c>
      <c r="B1622" s="317" t="s">
        <v>45992</v>
      </c>
      <c r="C1622" s="330" t="s">
        <v>7669</v>
      </c>
      <c r="D1622" s="330" t="s">
        <v>7670</v>
      </c>
      <c r="E1622" s="330" t="s">
        <v>37248</v>
      </c>
      <c r="F1622" s="331">
        <v>0.21</v>
      </c>
      <c r="G1622" s="332">
        <v>3263</v>
      </c>
      <c r="H1622" s="333">
        <v>3949</v>
      </c>
    </row>
    <row r="1623" spans="1:8">
      <c r="A1623" s="317" t="s">
        <v>38206</v>
      </c>
      <c r="B1623" s="317" t="s">
        <v>45993</v>
      </c>
      <c r="C1623" s="330" t="s">
        <v>7671</v>
      </c>
      <c r="D1623" s="330" t="s">
        <v>7672</v>
      </c>
      <c r="E1623" s="330" t="s">
        <v>37248</v>
      </c>
      <c r="F1623" s="331">
        <v>0.21</v>
      </c>
      <c r="G1623" s="332">
        <v>4128</v>
      </c>
      <c r="H1623" s="333">
        <v>4995</v>
      </c>
    </row>
    <row r="1624" spans="1:8">
      <c r="A1624" s="317" t="s">
        <v>38207</v>
      </c>
      <c r="B1624" s="317" t="s">
        <v>45994</v>
      </c>
      <c r="C1624" s="330" t="s">
        <v>7673</v>
      </c>
      <c r="D1624" s="330" t="s">
        <v>7674</v>
      </c>
      <c r="E1624" s="330" t="s">
        <v>4819</v>
      </c>
      <c r="F1624" s="331">
        <v>0.21</v>
      </c>
      <c r="G1624" s="332">
        <v>789</v>
      </c>
      <c r="H1624" s="333">
        <v>955</v>
      </c>
    </row>
    <row r="1625" spans="1:8">
      <c r="A1625" s="317" t="s">
        <v>38208</v>
      </c>
      <c r="B1625" s="317" t="s">
        <v>45995</v>
      </c>
      <c r="C1625" s="330" t="s">
        <v>7675</v>
      </c>
      <c r="D1625" s="330" t="s">
        <v>7676</v>
      </c>
      <c r="E1625" s="330" t="s">
        <v>37248</v>
      </c>
      <c r="F1625" s="331">
        <v>0.21</v>
      </c>
      <c r="G1625" s="332">
        <v>34164</v>
      </c>
      <c r="H1625" s="333">
        <v>41339</v>
      </c>
    </row>
    <row r="1626" spans="1:8">
      <c r="A1626" s="317" t="s">
        <v>38209</v>
      </c>
      <c r="B1626" s="317" t="s">
        <v>45996</v>
      </c>
      <c r="C1626" s="330" t="s">
        <v>7677</v>
      </c>
      <c r="D1626" s="330" t="s">
        <v>7678</v>
      </c>
      <c r="E1626" s="330" t="s">
        <v>37248</v>
      </c>
      <c r="F1626" s="331">
        <v>0.21</v>
      </c>
      <c r="G1626" s="332">
        <v>15744</v>
      </c>
      <c r="H1626" s="333">
        <v>19051</v>
      </c>
    </row>
    <row r="1627" spans="1:8">
      <c r="A1627" s="317" t="s">
        <v>38210</v>
      </c>
      <c r="B1627" s="317" t="s">
        <v>45997</v>
      </c>
      <c r="C1627" s="330" t="s">
        <v>7679</v>
      </c>
      <c r="D1627" s="330" t="s">
        <v>7174</v>
      </c>
      <c r="E1627" s="330" t="s">
        <v>4819</v>
      </c>
      <c r="F1627" s="331">
        <v>0.21</v>
      </c>
      <c r="G1627" s="332">
        <v>532</v>
      </c>
      <c r="H1627" s="333">
        <v>644</v>
      </c>
    </row>
    <row r="1628" spans="1:8">
      <c r="A1628" s="317" t="s">
        <v>38211</v>
      </c>
      <c r="B1628" s="317" t="s">
        <v>45998</v>
      </c>
      <c r="C1628" s="330" t="s">
        <v>7680</v>
      </c>
      <c r="D1628" s="330" t="s">
        <v>7681</v>
      </c>
      <c r="E1628" s="330" t="s">
        <v>4634</v>
      </c>
      <c r="F1628" s="331">
        <v>0.21</v>
      </c>
      <c r="G1628" s="332">
        <v>490</v>
      </c>
      <c r="H1628" s="333">
        <v>593</v>
      </c>
    </row>
    <row r="1629" spans="1:8">
      <c r="A1629" s="317" t="s">
        <v>38212</v>
      </c>
      <c r="B1629" s="317" t="s">
        <v>45999</v>
      </c>
      <c r="C1629" s="330" t="s">
        <v>7682</v>
      </c>
      <c r="D1629" s="330" t="s">
        <v>7683</v>
      </c>
      <c r="E1629" s="330" t="s">
        <v>37248</v>
      </c>
      <c r="F1629" s="331">
        <v>0.21</v>
      </c>
      <c r="G1629" s="332">
        <v>4515</v>
      </c>
      <c r="H1629" s="333">
        <v>5464</v>
      </c>
    </row>
    <row r="1630" spans="1:8">
      <c r="A1630" s="317" t="s">
        <v>38213</v>
      </c>
      <c r="B1630" s="317" t="s">
        <v>46000</v>
      </c>
      <c r="C1630" s="330" t="s">
        <v>7684</v>
      </c>
      <c r="D1630" s="330" t="s">
        <v>7685</v>
      </c>
      <c r="E1630" s="330" t="s">
        <v>37248</v>
      </c>
      <c r="F1630" s="331">
        <v>0.21</v>
      </c>
      <c r="G1630" s="332">
        <v>910</v>
      </c>
      <c r="H1630" s="333">
        <v>1102</v>
      </c>
    </row>
    <row r="1631" spans="1:8">
      <c r="A1631" s="317" t="s">
        <v>38214</v>
      </c>
      <c r="B1631" s="317" t="s">
        <v>46001</v>
      </c>
      <c r="C1631" s="330" t="s">
        <v>7686</v>
      </c>
      <c r="D1631" s="330" t="s">
        <v>7687</v>
      </c>
      <c r="E1631" s="330" t="s">
        <v>37248</v>
      </c>
      <c r="F1631" s="331">
        <v>0.21</v>
      </c>
      <c r="G1631" s="332">
        <v>7564</v>
      </c>
      <c r="H1631" s="333">
        <v>9153</v>
      </c>
    </row>
    <row r="1632" spans="1:8">
      <c r="A1632" s="317" t="s">
        <v>38215</v>
      </c>
      <c r="B1632" s="317" t="s">
        <v>46002</v>
      </c>
      <c r="C1632" s="330" t="s">
        <v>7688</v>
      </c>
      <c r="D1632" s="330" t="s">
        <v>7689</v>
      </c>
      <c r="E1632" s="330" t="s">
        <v>37248</v>
      </c>
      <c r="F1632" s="331">
        <v>0.21</v>
      </c>
      <c r="G1632" s="332">
        <v>4472</v>
      </c>
      <c r="H1632" s="333">
        <v>5412</v>
      </c>
    </row>
    <row r="1633" spans="1:8">
      <c r="A1633" s="317" t="s">
        <v>38216</v>
      </c>
      <c r="B1633" s="317" t="s">
        <v>46003</v>
      </c>
      <c r="C1633" s="330" t="s">
        <v>7690</v>
      </c>
      <c r="D1633" s="330" t="s">
        <v>7691</v>
      </c>
      <c r="E1633" s="330" t="s">
        <v>37248</v>
      </c>
      <c r="F1633" s="331">
        <v>0.21</v>
      </c>
      <c r="G1633" s="332">
        <v>3288</v>
      </c>
      <c r="H1633" s="333">
        <v>3979</v>
      </c>
    </row>
    <row r="1634" spans="1:8">
      <c r="A1634" s="317" t="s">
        <v>38217</v>
      </c>
      <c r="B1634" s="317" t="s">
        <v>46004</v>
      </c>
      <c r="C1634" s="330" t="s">
        <v>7692</v>
      </c>
      <c r="D1634" s="330" t="s">
        <v>7693</v>
      </c>
      <c r="E1634" s="330" t="s">
        <v>37248</v>
      </c>
      <c r="F1634" s="331">
        <v>0.21</v>
      </c>
      <c r="G1634" s="332">
        <v>23465</v>
      </c>
      <c r="H1634" s="333">
        <v>28393</v>
      </c>
    </row>
    <row r="1635" spans="1:8">
      <c r="A1635" s="317" t="s">
        <v>38218</v>
      </c>
      <c r="B1635" s="317" t="s">
        <v>46005</v>
      </c>
      <c r="C1635" s="330" t="s">
        <v>7694</v>
      </c>
      <c r="D1635" s="330" t="s">
        <v>37250</v>
      </c>
      <c r="E1635" s="330" t="s">
        <v>37248</v>
      </c>
      <c r="F1635" s="331">
        <v>0.21</v>
      </c>
      <c r="G1635" s="332">
        <v>32607</v>
      </c>
      <c r="H1635" s="333">
        <v>39455</v>
      </c>
    </row>
    <row r="1636" spans="1:8">
      <c r="A1636" s="317" t="s">
        <v>38219</v>
      </c>
      <c r="B1636" s="317" t="s">
        <v>46006</v>
      </c>
      <c r="C1636" s="330" t="s">
        <v>7695</v>
      </c>
      <c r="D1636" s="330" t="s">
        <v>7696</v>
      </c>
      <c r="E1636" s="330" t="s">
        <v>37248</v>
      </c>
      <c r="F1636" s="331">
        <v>0.21</v>
      </c>
      <c r="G1636" s="332">
        <v>53660</v>
      </c>
      <c r="H1636" s="333">
        <v>64929</v>
      </c>
    </row>
    <row r="1637" spans="1:8">
      <c r="A1637" s="317" t="s">
        <v>38220</v>
      </c>
      <c r="B1637" s="317" t="s">
        <v>46007</v>
      </c>
      <c r="C1637" s="330" t="s">
        <v>7697</v>
      </c>
      <c r="D1637" s="330" t="s">
        <v>7698</v>
      </c>
      <c r="E1637" s="330" t="s">
        <v>4819</v>
      </c>
      <c r="F1637" s="331">
        <v>0.21</v>
      </c>
      <c r="G1637" s="332">
        <v>35844</v>
      </c>
      <c r="H1637" s="333">
        <v>43372</v>
      </c>
    </row>
    <row r="1638" spans="1:8">
      <c r="A1638" s="317" t="s">
        <v>38221</v>
      </c>
      <c r="B1638" s="317" t="s">
        <v>46008</v>
      </c>
      <c r="C1638" s="330" t="s">
        <v>7699</v>
      </c>
      <c r="D1638" s="330" t="s">
        <v>7700</v>
      </c>
      <c r="E1638" s="330" t="s">
        <v>37248</v>
      </c>
      <c r="F1638" s="331">
        <v>0.21</v>
      </c>
      <c r="G1638" s="332">
        <v>25250</v>
      </c>
      <c r="H1638" s="333">
        <v>30553</v>
      </c>
    </row>
    <row r="1639" spans="1:8">
      <c r="A1639" s="317" t="s">
        <v>38222</v>
      </c>
      <c r="B1639" s="317" t="s">
        <v>46009</v>
      </c>
      <c r="C1639" s="330" t="s">
        <v>7701</v>
      </c>
      <c r="D1639" s="330" t="s">
        <v>7702</v>
      </c>
      <c r="E1639" s="330" t="s">
        <v>4819</v>
      </c>
      <c r="F1639" s="331">
        <v>0.21</v>
      </c>
      <c r="G1639" s="332">
        <v>3288</v>
      </c>
      <c r="H1639" s="333">
        <v>3979</v>
      </c>
    </row>
    <row r="1640" spans="1:8">
      <c r="A1640" s="317" t="s">
        <v>38223</v>
      </c>
      <c r="B1640" s="317" t="s">
        <v>46010</v>
      </c>
      <c r="C1640" s="330" t="s">
        <v>7703</v>
      </c>
      <c r="D1640" s="330" t="s">
        <v>6485</v>
      </c>
      <c r="E1640" s="330" t="s">
        <v>4819</v>
      </c>
      <c r="F1640" s="331">
        <v>0.21</v>
      </c>
      <c r="G1640" s="332">
        <v>10816</v>
      </c>
      <c r="H1640" s="333">
        <v>13088</v>
      </c>
    </row>
    <row r="1641" spans="1:8">
      <c r="A1641" s="317" t="s">
        <v>38224</v>
      </c>
      <c r="B1641" s="317" t="s">
        <v>46011</v>
      </c>
      <c r="C1641" s="330" t="s">
        <v>7704</v>
      </c>
      <c r="D1641" s="330" t="s">
        <v>7705</v>
      </c>
      <c r="E1641" s="330" t="s">
        <v>4634</v>
      </c>
      <c r="F1641" s="331">
        <v>0.21</v>
      </c>
      <c r="G1641" s="332">
        <v>27929</v>
      </c>
      <c r="H1641" s="333">
        <v>33795</v>
      </c>
    </row>
    <row r="1642" spans="1:8">
      <c r="A1642" s="317" t="s">
        <v>38225</v>
      </c>
      <c r="B1642" s="317" t="s">
        <v>46012</v>
      </c>
      <c r="C1642" s="330" t="s">
        <v>7706</v>
      </c>
      <c r="D1642" s="330" t="s">
        <v>7705</v>
      </c>
      <c r="E1642" s="330" t="s">
        <v>4819</v>
      </c>
      <c r="F1642" s="331">
        <v>0.21</v>
      </c>
      <c r="G1642" s="332">
        <v>25334</v>
      </c>
      <c r="H1642" s="333">
        <v>30655</v>
      </c>
    </row>
    <row r="1643" spans="1:8">
      <c r="A1643" s="317" t="s">
        <v>38226</v>
      </c>
      <c r="B1643" s="317" t="s">
        <v>46013</v>
      </c>
      <c r="C1643" s="330" t="s">
        <v>7707</v>
      </c>
      <c r="D1643" s="330" t="s">
        <v>7708</v>
      </c>
      <c r="E1643" s="330" t="s">
        <v>37248</v>
      </c>
      <c r="F1643" s="331">
        <v>0.21</v>
      </c>
      <c r="G1643" s="332">
        <v>417</v>
      </c>
      <c r="H1643" s="333">
        <v>505</v>
      </c>
    </row>
    <row r="1644" spans="1:8">
      <c r="A1644" s="317" t="s">
        <v>38227</v>
      </c>
      <c r="B1644" s="317" t="s">
        <v>46014</v>
      </c>
      <c r="C1644" s="330" t="s">
        <v>7709</v>
      </c>
      <c r="D1644" s="330" t="s">
        <v>7710</v>
      </c>
      <c r="E1644" s="330" t="s">
        <v>37248</v>
      </c>
      <c r="F1644" s="331">
        <v>0.21</v>
      </c>
      <c r="G1644" s="332">
        <v>628</v>
      </c>
      <c r="H1644" s="333">
        <v>760</v>
      </c>
    </row>
    <row r="1645" spans="1:8">
      <c r="A1645" s="317" t="s">
        <v>38228</v>
      </c>
      <c r="B1645" s="317" t="s">
        <v>46015</v>
      </c>
      <c r="C1645" s="330" t="s">
        <v>7711</v>
      </c>
      <c r="D1645" s="330" t="s">
        <v>7712</v>
      </c>
      <c r="E1645" s="330" t="s">
        <v>37248</v>
      </c>
      <c r="F1645" s="331">
        <v>0.21</v>
      </c>
      <c r="G1645" s="332">
        <v>658</v>
      </c>
      <c r="H1645" s="333">
        <v>797</v>
      </c>
    </row>
    <row r="1646" spans="1:8">
      <c r="A1646" s="317" t="s">
        <v>38229</v>
      </c>
      <c r="B1646" s="317" t="s">
        <v>46016</v>
      </c>
      <c r="C1646" s="330" t="s">
        <v>7713</v>
      </c>
      <c r="D1646" s="330" t="s">
        <v>7714</v>
      </c>
      <c r="E1646" s="330" t="s">
        <v>37248</v>
      </c>
      <c r="F1646" s="331">
        <v>0.21</v>
      </c>
      <c r="G1646" s="332">
        <v>7995</v>
      </c>
      <c r="H1646" s="333">
        <v>9674</v>
      </c>
    </row>
    <row r="1647" spans="1:8">
      <c r="A1647" s="317" t="s">
        <v>38230</v>
      </c>
      <c r="B1647" s="317" t="s">
        <v>46017</v>
      </c>
      <c r="C1647" s="330" t="s">
        <v>7715</v>
      </c>
      <c r="D1647" s="330" t="s">
        <v>7716</v>
      </c>
      <c r="E1647" s="330" t="s">
        <v>37248</v>
      </c>
      <c r="F1647" s="331">
        <v>0.21</v>
      </c>
      <c r="G1647" s="332">
        <v>976</v>
      </c>
      <c r="H1647" s="333">
        <v>1181</v>
      </c>
    </row>
    <row r="1648" spans="1:8">
      <c r="A1648" s="317" t="s">
        <v>38231</v>
      </c>
      <c r="B1648" s="317" t="s">
        <v>46018</v>
      </c>
      <c r="C1648" s="330" t="s">
        <v>7717</v>
      </c>
      <c r="D1648" s="330" t="s">
        <v>7718</v>
      </c>
      <c r="E1648" s="330" t="s">
        <v>37248</v>
      </c>
      <c r="F1648" s="331">
        <v>0.21</v>
      </c>
      <c r="G1648" s="332">
        <v>470</v>
      </c>
      <c r="H1648" s="333">
        <v>569</v>
      </c>
    </row>
    <row r="1649" spans="1:8">
      <c r="A1649" s="317" t="s">
        <v>38232</v>
      </c>
      <c r="B1649" s="317" t="s">
        <v>46019</v>
      </c>
      <c r="C1649" s="330" t="s">
        <v>7719</v>
      </c>
      <c r="D1649" s="330" t="s">
        <v>7718</v>
      </c>
      <c r="E1649" s="330" t="s">
        <v>37248</v>
      </c>
      <c r="F1649" s="331">
        <v>0.21</v>
      </c>
      <c r="G1649" s="332">
        <v>470</v>
      </c>
      <c r="H1649" s="333">
        <v>569</v>
      </c>
    </row>
    <row r="1650" spans="1:8">
      <c r="A1650" s="317" t="s">
        <v>38233</v>
      </c>
      <c r="B1650" s="317" t="s">
        <v>46020</v>
      </c>
      <c r="C1650" s="330" t="s">
        <v>7720</v>
      </c>
      <c r="D1650" s="330" t="s">
        <v>7721</v>
      </c>
      <c r="E1650" s="330" t="s">
        <v>37248</v>
      </c>
      <c r="F1650" s="331">
        <v>0.21</v>
      </c>
      <c r="G1650" s="332">
        <v>9322</v>
      </c>
      <c r="H1650" s="333">
        <v>11280</v>
      </c>
    </row>
    <row r="1651" spans="1:8">
      <c r="A1651" s="317" t="s">
        <v>38234</v>
      </c>
      <c r="B1651" s="317" t="s">
        <v>46021</v>
      </c>
      <c r="C1651" s="330" t="s">
        <v>7722</v>
      </c>
      <c r="D1651" s="330" t="s">
        <v>7723</v>
      </c>
      <c r="E1651" s="330" t="s">
        <v>37248</v>
      </c>
      <c r="F1651" s="331">
        <v>0.21</v>
      </c>
      <c r="G1651" s="332">
        <v>1505</v>
      </c>
      <c r="H1651" s="333">
        <v>1822</v>
      </c>
    </row>
    <row r="1652" spans="1:8">
      <c r="A1652" s="317" t="s">
        <v>38235</v>
      </c>
      <c r="B1652" s="317" t="s">
        <v>46022</v>
      </c>
      <c r="C1652" s="330" t="s">
        <v>7724</v>
      </c>
      <c r="D1652" s="330" t="s">
        <v>7725</v>
      </c>
      <c r="E1652" s="330" t="s">
        <v>37248</v>
      </c>
      <c r="F1652" s="331">
        <v>0.21</v>
      </c>
      <c r="G1652" s="332">
        <v>7537</v>
      </c>
      <c r="H1652" s="333">
        <v>9120</v>
      </c>
    </row>
    <row r="1653" spans="1:8">
      <c r="A1653" s="317" t="s">
        <v>38236</v>
      </c>
      <c r="B1653" s="317" t="s">
        <v>46023</v>
      </c>
      <c r="C1653" s="330" t="s">
        <v>7726</v>
      </c>
      <c r="D1653" s="330" t="s">
        <v>7727</v>
      </c>
      <c r="E1653" s="330" t="s">
        <v>37248</v>
      </c>
      <c r="F1653" s="331">
        <v>0.21</v>
      </c>
      <c r="G1653" s="332">
        <v>7028</v>
      </c>
      <c r="H1653" s="333">
        <v>8504</v>
      </c>
    </row>
    <row r="1654" spans="1:8">
      <c r="A1654" s="317" t="s">
        <v>38237</v>
      </c>
      <c r="B1654" s="317" t="s">
        <v>46024</v>
      </c>
      <c r="C1654" s="330" t="s">
        <v>7728</v>
      </c>
      <c r="D1654" s="330" t="s">
        <v>7729</v>
      </c>
      <c r="E1654" s="330" t="s">
        <v>37248</v>
      </c>
      <c r="F1654" s="331">
        <v>0.21</v>
      </c>
      <c r="G1654" s="332">
        <v>2185</v>
      </c>
      <c r="H1654" s="333">
        <v>2644</v>
      </c>
    </row>
    <row r="1655" spans="1:8">
      <c r="A1655" s="317" t="s">
        <v>38238</v>
      </c>
      <c r="B1655" s="317" t="s">
        <v>46025</v>
      </c>
      <c r="C1655" s="330" t="s">
        <v>7730</v>
      </c>
      <c r="D1655" s="330" t="s">
        <v>7002</v>
      </c>
      <c r="E1655" s="330" t="s">
        <v>37248</v>
      </c>
      <c r="F1655" s="331">
        <v>0.21</v>
      </c>
      <c r="G1655" s="332">
        <v>4606</v>
      </c>
      <c r="H1655" s="333">
        <v>5574</v>
      </c>
    </row>
    <row r="1656" spans="1:8">
      <c r="A1656" s="317" t="s">
        <v>38239</v>
      </c>
      <c r="B1656" s="317" t="s">
        <v>46026</v>
      </c>
      <c r="C1656" s="330" t="s">
        <v>7731</v>
      </c>
      <c r="D1656" s="330" t="s">
        <v>7732</v>
      </c>
      <c r="E1656" s="330" t="s">
        <v>37248</v>
      </c>
      <c r="F1656" s="331">
        <v>0.21</v>
      </c>
      <c r="G1656" s="332">
        <v>5242</v>
      </c>
      <c r="H1656" s="333">
        <v>6343</v>
      </c>
    </row>
    <row r="1657" spans="1:8">
      <c r="A1657" s="317" t="s">
        <v>38240</v>
      </c>
      <c r="B1657" s="317" t="s">
        <v>46027</v>
      </c>
      <c r="C1657" s="330" t="s">
        <v>7733</v>
      </c>
      <c r="D1657" s="330" t="s">
        <v>4650</v>
      </c>
      <c r="E1657" s="330" t="s">
        <v>37248</v>
      </c>
      <c r="F1657" s="331">
        <v>0.21</v>
      </c>
      <c r="G1657" s="332">
        <v>15949</v>
      </c>
      <c r="H1657" s="333">
        <v>19299</v>
      </c>
    </row>
    <row r="1658" spans="1:8">
      <c r="A1658" s="317" t="s">
        <v>38241</v>
      </c>
      <c r="B1658" s="317" t="s">
        <v>46028</v>
      </c>
      <c r="C1658" s="330" t="s">
        <v>7734</v>
      </c>
      <c r="D1658" s="330" t="s">
        <v>7418</v>
      </c>
      <c r="E1658" s="330" t="s">
        <v>37248</v>
      </c>
      <c r="F1658" s="331">
        <v>0.21</v>
      </c>
      <c r="G1658" s="332">
        <v>11316</v>
      </c>
      <c r="H1658" s="333">
        <v>13693</v>
      </c>
    </row>
    <row r="1659" spans="1:8">
      <c r="A1659" s="317" t="s">
        <v>38242</v>
      </c>
      <c r="B1659" s="317" t="s">
        <v>46029</v>
      </c>
      <c r="C1659" s="330" t="s">
        <v>7735</v>
      </c>
      <c r="D1659" s="330" t="s">
        <v>7367</v>
      </c>
      <c r="E1659" s="330" t="s">
        <v>37248</v>
      </c>
      <c r="F1659" s="331">
        <v>0.21</v>
      </c>
      <c r="G1659" s="332">
        <v>45637</v>
      </c>
      <c r="H1659" s="333">
        <v>55221</v>
      </c>
    </row>
    <row r="1660" spans="1:8">
      <c r="A1660" s="317" t="s">
        <v>38243</v>
      </c>
      <c r="B1660" s="317" t="s">
        <v>46030</v>
      </c>
      <c r="C1660" s="330" t="s">
        <v>7736</v>
      </c>
      <c r="D1660" s="330" t="s">
        <v>7737</v>
      </c>
      <c r="E1660" s="330" t="s">
        <v>37248</v>
      </c>
      <c r="F1660" s="331">
        <v>0.21</v>
      </c>
      <c r="G1660" s="332">
        <v>506</v>
      </c>
      <c r="H1660" s="333">
        <v>613</v>
      </c>
    </row>
    <row r="1661" spans="1:8">
      <c r="A1661" s="317" t="s">
        <v>38244</v>
      </c>
      <c r="B1661" s="317" t="s">
        <v>46031</v>
      </c>
      <c r="C1661" s="330" t="s">
        <v>7738</v>
      </c>
      <c r="D1661" s="330" t="s">
        <v>5233</v>
      </c>
      <c r="E1661" s="330" t="s">
        <v>37248</v>
      </c>
      <c r="F1661" s="331">
        <v>0.21</v>
      </c>
      <c r="G1661" s="332">
        <v>305</v>
      </c>
      <c r="H1661" s="333">
        <v>370</v>
      </c>
    </row>
    <row r="1662" spans="1:8">
      <c r="A1662" s="317" t="s">
        <v>38245</v>
      </c>
      <c r="B1662" s="317" t="s">
        <v>46032</v>
      </c>
      <c r="C1662" s="330" t="s">
        <v>7739</v>
      </c>
      <c r="D1662" s="330" t="s">
        <v>7626</v>
      </c>
      <c r="E1662" s="330" t="s">
        <v>37248</v>
      </c>
      <c r="F1662" s="331">
        <v>0.21</v>
      </c>
      <c r="G1662" s="332">
        <v>12367</v>
      </c>
      <c r="H1662" s="333">
        <v>14965</v>
      </c>
    </row>
    <row r="1663" spans="1:8">
      <c r="A1663" s="317" t="s">
        <v>38246</v>
      </c>
      <c r="B1663" s="317" t="s">
        <v>46033</v>
      </c>
      <c r="C1663" s="330" t="s">
        <v>7740</v>
      </c>
      <c r="D1663" s="330" t="s">
        <v>7741</v>
      </c>
      <c r="E1663" s="330" t="s">
        <v>37248</v>
      </c>
      <c r="F1663" s="331">
        <v>0.21</v>
      </c>
      <c r="G1663" s="332">
        <v>3288</v>
      </c>
      <c r="H1663" s="333">
        <v>3979</v>
      </c>
    </row>
    <row r="1664" spans="1:8">
      <c r="A1664" s="317" t="s">
        <v>38247</v>
      </c>
      <c r="B1664" s="317" t="s">
        <v>46034</v>
      </c>
      <c r="C1664" s="330" t="s">
        <v>7742</v>
      </c>
      <c r="D1664" s="330" t="s">
        <v>7743</v>
      </c>
      <c r="E1664" s="330" t="s">
        <v>37248</v>
      </c>
      <c r="F1664" s="331">
        <v>0.21</v>
      </c>
      <c r="G1664" s="332">
        <v>910</v>
      </c>
      <c r="H1664" s="333">
        <v>1102</v>
      </c>
    </row>
    <row r="1665" spans="1:8">
      <c r="A1665" s="317" t="s">
        <v>38248</v>
      </c>
      <c r="B1665" s="317" t="s">
        <v>46035</v>
      </c>
      <c r="C1665" s="330" t="s">
        <v>7744</v>
      </c>
      <c r="D1665" s="330" t="s">
        <v>7745</v>
      </c>
      <c r="E1665" s="330" t="s">
        <v>37248</v>
      </c>
      <c r="F1665" s="331">
        <v>0.21</v>
      </c>
      <c r="G1665" s="332">
        <v>361</v>
      </c>
      <c r="H1665" s="333">
        <v>437</v>
      </c>
    </row>
    <row r="1666" spans="1:8">
      <c r="A1666" s="317" t="s">
        <v>38249</v>
      </c>
      <c r="B1666" s="317" t="s">
        <v>46036</v>
      </c>
      <c r="C1666" s="330" t="s">
        <v>7746</v>
      </c>
      <c r="D1666" s="330" t="s">
        <v>7747</v>
      </c>
      <c r="E1666" s="330" t="s">
        <v>37248</v>
      </c>
      <c r="F1666" s="331">
        <v>0.21</v>
      </c>
      <c r="G1666" s="332">
        <v>11793</v>
      </c>
      <c r="H1666" s="333">
        <v>14270</v>
      </c>
    </row>
    <row r="1667" spans="1:8">
      <c r="A1667" s="317" t="s">
        <v>38250</v>
      </c>
      <c r="B1667" s="317" t="s">
        <v>46037</v>
      </c>
      <c r="C1667" s="330" t="s">
        <v>7748</v>
      </c>
      <c r="D1667" s="330" t="s">
        <v>7412</v>
      </c>
      <c r="E1667" s="330" t="s">
        <v>37248</v>
      </c>
      <c r="F1667" s="331">
        <v>0.21</v>
      </c>
      <c r="G1667" s="332">
        <v>814</v>
      </c>
      <c r="H1667" s="333">
        <v>985</v>
      </c>
    </row>
    <row r="1668" spans="1:8">
      <c r="A1668" s="317" t="s">
        <v>38251</v>
      </c>
      <c r="B1668" s="317" t="s">
        <v>46038</v>
      </c>
      <c r="C1668" s="330" t="s">
        <v>7749</v>
      </c>
      <c r="D1668" s="330" t="s">
        <v>7750</v>
      </c>
      <c r="E1668" s="330" t="s">
        <v>4634</v>
      </c>
      <c r="F1668" s="331">
        <v>0.21</v>
      </c>
      <c r="G1668" s="332">
        <v>21315</v>
      </c>
      <c r="H1668" s="333">
        <v>25792</v>
      </c>
    </row>
    <row r="1669" spans="1:8">
      <c r="A1669" s="317" t="s">
        <v>38252</v>
      </c>
      <c r="B1669" s="317" t="s">
        <v>46039</v>
      </c>
      <c r="C1669" s="330" t="s">
        <v>7751</v>
      </c>
      <c r="D1669" s="330" t="s">
        <v>7752</v>
      </c>
      <c r="E1669" s="330" t="s">
        <v>37248</v>
      </c>
      <c r="F1669" s="331">
        <v>0.21</v>
      </c>
      <c r="G1669" s="332">
        <v>44180</v>
      </c>
      <c r="H1669" s="333">
        <v>53458</v>
      </c>
    </row>
    <row r="1670" spans="1:8">
      <c r="A1670" s="317" t="s">
        <v>38253</v>
      </c>
      <c r="B1670" s="317" t="s">
        <v>46040</v>
      </c>
      <c r="C1670" s="330" t="s">
        <v>7753</v>
      </c>
      <c r="D1670" s="330" t="s">
        <v>7754</v>
      </c>
      <c r="E1670" s="330" t="s">
        <v>37248</v>
      </c>
      <c r="F1670" s="331">
        <v>0.21</v>
      </c>
      <c r="G1670" s="332">
        <v>7118</v>
      </c>
      <c r="H1670" s="333">
        <v>8613</v>
      </c>
    </row>
    <row r="1671" spans="1:8">
      <c r="A1671" s="317" t="s">
        <v>38254</v>
      </c>
      <c r="B1671" s="317" t="s">
        <v>46041</v>
      </c>
      <c r="C1671" s="330" t="s">
        <v>7755</v>
      </c>
      <c r="D1671" s="330" t="s">
        <v>7691</v>
      </c>
      <c r="E1671" s="330" t="s">
        <v>37248</v>
      </c>
      <c r="F1671" s="331">
        <v>0.21</v>
      </c>
      <c r="G1671" s="332">
        <v>3694</v>
      </c>
      <c r="H1671" s="333">
        <v>4470</v>
      </c>
    </row>
    <row r="1672" spans="1:8">
      <c r="A1672" s="317" t="s">
        <v>38255</v>
      </c>
      <c r="B1672" s="317" t="s">
        <v>46042</v>
      </c>
      <c r="C1672" s="330" t="s">
        <v>7756</v>
      </c>
      <c r="D1672" s="330" t="s">
        <v>7757</v>
      </c>
      <c r="E1672" s="330" t="s">
        <v>37248</v>
      </c>
      <c r="F1672" s="331">
        <v>0.21</v>
      </c>
      <c r="G1672" s="332">
        <v>4414</v>
      </c>
      <c r="H1672" s="333">
        <v>5341</v>
      </c>
    </row>
    <row r="1673" spans="1:8">
      <c r="A1673" s="317" t="s">
        <v>38256</v>
      </c>
      <c r="B1673" s="317" t="s">
        <v>46043</v>
      </c>
      <c r="C1673" s="330" t="s">
        <v>7758</v>
      </c>
      <c r="D1673" s="330" t="s">
        <v>4650</v>
      </c>
      <c r="E1673" s="330" t="s">
        <v>37248</v>
      </c>
      <c r="F1673" s="331">
        <v>0.21</v>
      </c>
      <c r="G1673" s="332">
        <v>3288</v>
      </c>
      <c r="H1673" s="333">
        <v>3979</v>
      </c>
    </row>
    <row r="1674" spans="1:8">
      <c r="A1674" s="317" t="s">
        <v>38257</v>
      </c>
      <c r="B1674" s="317" t="s">
        <v>46044</v>
      </c>
      <c r="C1674" s="330" t="s">
        <v>7759</v>
      </c>
      <c r="D1674" s="330" t="s">
        <v>7651</v>
      </c>
      <c r="E1674" s="330" t="s">
        <v>37248</v>
      </c>
      <c r="F1674" s="331">
        <v>0.21</v>
      </c>
      <c r="G1674" s="332">
        <v>3406</v>
      </c>
      <c r="H1674" s="333">
        <v>4122</v>
      </c>
    </row>
    <row r="1675" spans="1:8">
      <c r="A1675" s="317" t="s">
        <v>38258</v>
      </c>
      <c r="B1675" s="317" t="s">
        <v>46045</v>
      </c>
      <c r="C1675" s="330" t="s">
        <v>7760</v>
      </c>
      <c r="D1675" s="330" t="s">
        <v>7761</v>
      </c>
      <c r="E1675" s="330" t="s">
        <v>4634</v>
      </c>
      <c r="F1675" s="331">
        <v>0.21</v>
      </c>
      <c r="G1675" s="332">
        <v>2324</v>
      </c>
      <c r="H1675" s="333">
        <v>2813</v>
      </c>
    </row>
    <row r="1676" spans="1:8">
      <c r="A1676" s="317" t="s">
        <v>38259</v>
      </c>
      <c r="B1676" s="317" t="s">
        <v>46046</v>
      </c>
      <c r="C1676" s="330" t="s">
        <v>7762</v>
      </c>
      <c r="D1676" s="330" t="s">
        <v>7761</v>
      </c>
      <c r="E1676" s="330" t="s">
        <v>37248</v>
      </c>
      <c r="F1676" s="331">
        <v>0.21</v>
      </c>
      <c r="G1676" s="332">
        <v>1286</v>
      </c>
      <c r="H1676" s="333">
        <v>1557</v>
      </c>
    </row>
    <row r="1677" spans="1:8">
      <c r="A1677" s="317" t="s">
        <v>38260</v>
      </c>
      <c r="B1677" s="317" t="s">
        <v>46047</v>
      </c>
      <c r="C1677" s="330" t="s">
        <v>7763</v>
      </c>
      <c r="D1677" s="330" t="s">
        <v>7761</v>
      </c>
      <c r="E1677" s="330" t="s">
        <v>37248</v>
      </c>
      <c r="F1677" s="331">
        <v>0.21</v>
      </c>
      <c r="G1677" s="332">
        <v>1286</v>
      </c>
      <c r="H1677" s="333">
        <v>1557</v>
      </c>
    </row>
    <row r="1678" spans="1:8">
      <c r="A1678" s="317" t="s">
        <v>38261</v>
      </c>
      <c r="B1678" s="317" t="s">
        <v>46048</v>
      </c>
      <c r="C1678" s="330" t="s">
        <v>7764</v>
      </c>
      <c r="D1678" s="330" t="s">
        <v>7765</v>
      </c>
      <c r="E1678" s="330" t="s">
        <v>37248</v>
      </c>
      <c r="F1678" s="331">
        <v>0.21</v>
      </c>
      <c r="G1678" s="332">
        <v>5007</v>
      </c>
      <c r="H1678" s="333">
        <v>6059</v>
      </c>
    </row>
    <row r="1679" spans="1:8">
      <c r="A1679" s="317" t="s">
        <v>38262</v>
      </c>
      <c r="B1679" s="317" t="s">
        <v>46049</v>
      </c>
      <c r="C1679" s="330" t="s">
        <v>7766</v>
      </c>
      <c r="D1679" s="330" t="s">
        <v>7767</v>
      </c>
      <c r="E1679" s="330" t="s">
        <v>37248</v>
      </c>
      <c r="F1679" s="331">
        <v>0.21</v>
      </c>
      <c r="G1679" s="332">
        <v>43517</v>
      </c>
      <c r="H1679" s="333">
        <v>52656</v>
      </c>
    </row>
    <row r="1680" spans="1:8">
      <c r="A1680" s="317" t="s">
        <v>38263</v>
      </c>
      <c r="B1680" s="317" t="s">
        <v>46050</v>
      </c>
      <c r="C1680" s="330" t="s">
        <v>7768</v>
      </c>
      <c r="D1680" s="330" t="s">
        <v>7769</v>
      </c>
      <c r="E1680" s="330" t="s">
        <v>4634</v>
      </c>
      <c r="F1680" s="331">
        <v>0.21</v>
      </c>
      <c r="G1680" s="332">
        <v>709</v>
      </c>
      <c r="H1680" s="333">
        <v>858</v>
      </c>
    </row>
    <row r="1681" spans="1:8">
      <c r="A1681" s="317" t="s">
        <v>38264</v>
      </c>
      <c r="B1681" s="317" t="s">
        <v>46051</v>
      </c>
      <c r="C1681" s="330" t="s">
        <v>7770</v>
      </c>
      <c r="D1681" s="330" t="s">
        <v>7109</v>
      </c>
      <c r="E1681" s="330" t="s">
        <v>37248</v>
      </c>
      <c r="F1681" s="331">
        <v>0.21</v>
      </c>
      <c r="G1681" s="332">
        <v>4064</v>
      </c>
      <c r="H1681" s="333">
        <v>4918</v>
      </c>
    </row>
    <row r="1682" spans="1:8">
      <c r="A1682" s="317" t="s">
        <v>38265</v>
      </c>
      <c r="B1682" s="317" t="s">
        <v>46052</v>
      </c>
      <c r="C1682" s="330" t="s">
        <v>7771</v>
      </c>
      <c r="D1682" s="330" t="s">
        <v>7772</v>
      </c>
      <c r="E1682" s="330" t="s">
        <v>37248</v>
      </c>
      <c r="F1682" s="331">
        <v>0.21</v>
      </c>
      <c r="G1682" s="332">
        <v>194</v>
      </c>
      <c r="H1682" s="333">
        <v>235</v>
      </c>
    </row>
    <row r="1683" spans="1:8">
      <c r="A1683" s="317" t="s">
        <v>38266</v>
      </c>
      <c r="B1683" s="317" t="s">
        <v>46053</v>
      </c>
      <c r="C1683" s="330" t="s">
        <v>7773</v>
      </c>
      <c r="D1683" s="330" t="s">
        <v>7774</v>
      </c>
      <c r="E1683" s="330" t="s">
        <v>37248</v>
      </c>
      <c r="F1683" s="331">
        <v>0.21</v>
      </c>
      <c r="G1683" s="332">
        <v>1102</v>
      </c>
      <c r="H1683" s="333">
        <v>1334</v>
      </c>
    </row>
    <row r="1684" spans="1:8">
      <c r="A1684" s="317" t="s">
        <v>38267</v>
      </c>
      <c r="B1684" s="317" t="s">
        <v>46054</v>
      </c>
      <c r="C1684" s="330" t="s">
        <v>7775</v>
      </c>
      <c r="D1684" s="330" t="s">
        <v>7776</v>
      </c>
      <c r="E1684" s="330" t="s">
        <v>37248</v>
      </c>
      <c r="F1684" s="331">
        <v>0.21</v>
      </c>
      <c r="G1684" s="332">
        <v>16712</v>
      </c>
      <c r="H1684" s="333">
        <v>20222</v>
      </c>
    </row>
    <row r="1685" spans="1:8">
      <c r="A1685" s="317" t="s">
        <v>38268</v>
      </c>
      <c r="B1685" s="317" t="s">
        <v>46055</v>
      </c>
      <c r="C1685" s="330" t="s">
        <v>7777</v>
      </c>
      <c r="D1685" s="330" t="s">
        <v>7778</v>
      </c>
      <c r="E1685" s="330" t="s">
        <v>37248</v>
      </c>
      <c r="F1685" s="331">
        <v>0.21</v>
      </c>
      <c r="G1685" s="332">
        <v>309</v>
      </c>
      <c r="H1685" s="333">
        <v>374</v>
      </c>
    </row>
    <row r="1686" spans="1:8">
      <c r="A1686" s="317" t="s">
        <v>38269</v>
      </c>
      <c r="B1686" s="317" t="s">
        <v>46056</v>
      </c>
      <c r="C1686" s="330" t="s">
        <v>7779</v>
      </c>
      <c r="D1686" s="330" t="s">
        <v>7745</v>
      </c>
      <c r="E1686" s="330" t="s">
        <v>37248</v>
      </c>
      <c r="F1686" s="331">
        <v>0.21</v>
      </c>
      <c r="G1686" s="332">
        <v>240</v>
      </c>
      <c r="H1686" s="333">
        <v>291</v>
      </c>
    </row>
    <row r="1687" spans="1:8">
      <c r="A1687" s="317" t="s">
        <v>38270</v>
      </c>
      <c r="B1687" s="317" t="s">
        <v>46057</v>
      </c>
      <c r="C1687" s="330" t="s">
        <v>7780</v>
      </c>
      <c r="D1687" s="330" t="s">
        <v>7781</v>
      </c>
      <c r="E1687" s="330" t="s">
        <v>37248</v>
      </c>
      <c r="F1687" s="331">
        <v>0.21</v>
      </c>
      <c r="G1687" s="332">
        <v>807</v>
      </c>
      <c r="H1687" s="333">
        <v>977</v>
      </c>
    </row>
    <row r="1688" spans="1:8">
      <c r="A1688" s="317" t="s">
        <v>38271</v>
      </c>
      <c r="B1688" s="317" t="s">
        <v>46058</v>
      </c>
      <c r="C1688" s="330" t="s">
        <v>7782</v>
      </c>
      <c r="D1688" s="330" t="s">
        <v>7783</v>
      </c>
      <c r="E1688" s="330" t="s">
        <v>37248</v>
      </c>
      <c r="F1688" s="331">
        <v>0.21</v>
      </c>
      <c r="G1688" s="332">
        <v>339</v>
      </c>
      <c r="H1688" s="333">
        <v>411</v>
      </c>
    </row>
    <row r="1689" spans="1:8">
      <c r="A1689" s="317" t="s">
        <v>38272</v>
      </c>
      <c r="B1689" s="317" t="s">
        <v>46059</v>
      </c>
      <c r="C1689" s="330" t="s">
        <v>7784</v>
      </c>
      <c r="D1689" s="330" t="s">
        <v>7785</v>
      </c>
      <c r="E1689" s="330" t="s">
        <v>37248</v>
      </c>
      <c r="F1689" s="331">
        <v>0.21</v>
      </c>
      <c r="G1689" s="332">
        <v>21053</v>
      </c>
      <c r="H1689" s="333">
        <v>25475</v>
      </c>
    </row>
    <row r="1690" spans="1:8">
      <c r="A1690" s="317" t="s">
        <v>38273</v>
      </c>
      <c r="B1690" s="317" t="s">
        <v>46060</v>
      </c>
      <c r="C1690" s="330" t="s">
        <v>7786</v>
      </c>
      <c r="D1690" s="330" t="s">
        <v>7397</v>
      </c>
      <c r="E1690" s="330" t="s">
        <v>4819</v>
      </c>
      <c r="F1690" s="331">
        <v>0.21</v>
      </c>
      <c r="G1690" s="332">
        <v>910</v>
      </c>
      <c r="H1690" s="333">
        <v>1102</v>
      </c>
    </row>
    <row r="1691" spans="1:8">
      <c r="A1691" s="317" t="s">
        <v>38274</v>
      </c>
      <c r="B1691" s="317" t="s">
        <v>46061</v>
      </c>
      <c r="C1691" s="330" t="s">
        <v>7787</v>
      </c>
      <c r="D1691" s="330" t="s">
        <v>7788</v>
      </c>
      <c r="E1691" s="330" t="s">
        <v>37248</v>
      </c>
      <c r="F1691" s="331">
        <v>0.21</v>
      </c>
      <c r="G1691" s="332">
        <v>11359</v>
      </c>
      <c r="H1691" s="333">
        <v>13745</v>
      </c>
    </row>
    <row r="1692" spans="1:8">
      <c r="A1692" s="317" t="s">
        <v>38275</v>
      </c>
      <c r="B1692" s="317" t="s">
        <v>46062</v>
      </c>
      <c r="C1692" s="330" t="s">
        <v>7789</v>
      </c>
      <c r="D1692" s="330" t="s">
        <v>7790</v>
      </c>
      <c r="E1692" s="330" t="s">
        <v>4819</v>
      </c>
      <c r="F1692" s="331">
        <v>0.21</v>
      </c>
      <c r="G1692" s="332">
        <v>1447</v>
      </c>
      <c r="H1692" s="333">
        <v>1751</v>
      </c>
    </row>
    <row r="1693" spans="1:8">
      <c r="A1693" s="317" t="s">
        <v>38276</v>
      </c>
      <c r="B1693" s="317" t="s">
        <v>46063</v>
      </c>
      <c r="C1693" s="330" t="s">
        <v>7791</v>
      </c>
      <c r="D1693" s="330" t="s">
        <v>7792</v>
      </c>
      <c r="E1693" s="330" t="s">
        <v>37248</v>
      </c>
      <c r="F1693" s="331">
        <v>0.21</v>
      </c>
      <c r="G1693" s="332">
        <v>7334</v>
      </c>
      <c r="H1693" s="333">
        <v>8875</v>
      </c>
    </row>
    <row r="1694" spans="1:8">
      <c r="A1694" s="317" t="s">
        <v>38277</v>
      </c>
      <c r="B1694" s="317" t="s">
        <v>46064</v>
      </c>
      <c r="C1694" s="330" t="s">
        <v>7793</v>
      </c>
      <c r="D1694" s="330" t="s">
        <v>7412</v>
      </c>
      <c r="E1694" s="330" t="s">
        <v>37248</v>
      </c>
      <c r="F1694" s="331">
        <v>0.21</v>
      </c>
      <c r="G1694" s="332">
        <v>8405</v>
      </c>
      <c r="H1694" s="333">
        <v>10171</v>
      </c>
    </row>
    <row r="1695" spans="1:8">
      <c r="A1695" s="317" t="s">
        <v>38278</v>
      </c>
      <c r="B1695" s="317" t="s">
        <v>46065</v>
      </c>
      <c r="C1695" s="330" t="s">
        <v>7794</v>
      </c>
      <c r="D1695" s="330" t="s">
        <v>7795</v>
      </c>
      <c r="E1695" s="330" t="s">
        <v>37248</v>
      </c>
      <c r="F1695" s="331">
        <v>0.21</v>
      </c>
      <c r="G1695" s="332">
        <v>5103</v>
      </c>
      <c r="H1695" s="333">
        <v>6175</v>
      </c>
    </row>
    <row r="1696" spans="1:8">
      <c r="A1696" s="317" t="s">
        <v>38279</v>
      </c>
      <c r="B1696" s="317" t="s">
        <v>46066</v>
      </c>
      <c r="C1696" s="330" t="s">
        <v>7796</v>
      </c>
      <c r="D1696" s="330" t="s">
        <v>7797</v>
      </c>
      <c r="E1696" s="330" t="s">
        <v>4634</v>
      </c>
      <c r="F1696" s="331">
        <v>0.21</v>
      </c>
      <c r="G1696" s="332">
        <v>2116</v>
      </c>
      <c r="H1696" s="333">
        <v>2561</v>
      </c>
    </row>
    <row r="1697" spans="1:8">
      <c r="A1697" s="317" t="s">
        <v>38280</v>
      </c>
      <c r="B1697" s="317" t="s">
        <v>46067</v>
      </c>
      <c r="C1697" s="330" t="s">
        <v>7798</v>
      </c>
      <c r="D1697" s="330" t="s">
        <v>7799</v>
      </c>
      <c r="E1697" s="330" t="s">
        <v>37248</v>
      </c>
      <c r="F1697" s="331">
        <v>0.21</v>
      </c>
      <c r="G1697" s="332">
        <v>515</v>
      </c>
      <c r="H1697" s="333">
        <v>624</v>
      </c>
    </row>
    <row r="1698" spans="1:8">
      <c r="A1698" s="317" t="s">
        <v>38281</v>
      </c>
      <c r="B1698" s="317" t="s">
        <v>46068</v>
      </c>
      <c r="C1698" s="330" t="s">
        <v>7800</v>
      </c>
      <c r="D1698" s="330" t="s">
        <v>7801</v>
      </c>
      <c r="E1698" s="330" t="s">
        <v>37248</v>
      </c>
      <c r="F1698" s="331">
        <v>0.21</v>
      </c>
      <c r="G1698" s="332">
        <v>305</v>
      </c>
      <c r="H1698" s="333">
        <v>370</v>
      </c>
    </row>
    <row r="1699" spans="1:8">
      <c r="A1699" s="317" t="s">
        <v>38282</v>
      </c>
      <c r="B1699" s="317" t="s">
        <v>46069</v>
      </c>
      <c r="C1699" s="330" t="s">
        <v>7802</v>
      </c>
      <c r="D1699" s="330" t="s">
        <v>7803</v>
      </c>
      <c r="E1699" s="330" t="s">
        <v>37248</v>
      </c>
      <c r="F1699" s="331">
        <v>0.21</v>
      </c>
      <c r="G1699" s="332">
        <v>15033</v>
      </c>
      <c r="H1699" s="333">
        <v>18190</v>
      </c>
    </row>
    <row r="1700" spans="1:8">
      <c r="A1700" s="317" t="s">
        <v>38283</v>
      </c>
      <c r="B1700" s="317" t="s">
        <v>46070</v>
      </c>
      <c r="C1700" s="330" t="s">
        <v>7804</v>
      </c>
      <c r="D1700" s="330" t="s">
        <v>7805</v>
      </c>
      <c r="E1700" s="330" t="s">
        <v>37248</v>
      </c>
      <c r="F1700" s="331">
        <v>0.21</v>
      </c>
      <c r="G1700" s="332">
        <v>492</v>
      </c>
      <c r="H1700" s="333">
        <v>596</v>
      </c>
    </row>
    <row r="1701" spans="1:8">
      <c r="A1701" s="317" t="s">
        <v>38284</v>
      </c>
      <c r="B1701" s="317" t="s">
        <v>46071</v>
      </c>
      <c r="C1701" s="330" t="s">
        <v>7806</v>
      </c>
      <c r="D1701" s="330" t="s">
        <v>7807</v>
      </c>
      <c r="E1701" s="330" t="s">
        <v>37248</v>
      </c>
      <c r="F1701" s="331">
        <v>0.21</v>
      </c>
      <c r="G1701" s="332">
        <v>1072</v>
      </c>
      <c r="H1701" s="333">
        <v>1298</v>
      </c>
    </row>
    <row r="1702" spans="1:8">
      <c r="A1702" s="317" t="s">
        <v>38285</v>
      </c>
      <c r="B1702" s="317" t="s">
        <v>46072</v>
      </c>
      <c r="C1702" s="330" t="s">
        <v>7808</v>
      </c>
      <c r="D1702" s="330" t="s">
        <v>7809</v>
      </c>
      <c r="E1702" s="330" t="s">
        <v>37248</v>
      </c>
      <c r="F1702" s="331">
        <v>0.21</v>
      </c>
      <c r="G1702" s="332">
        <v>976</v>
      </c>
      <c r="H1702" s="333">
        <v>1181</v>
      </c>
    </row>
    <row r="1703" spans="1:8">
      <c r="A1703" s="317" t="s">
        <v>38286</v>
      </c>
      <c r="B1703" s="317" t="s">
        <v>46073</v>
      </c>
      <c r="C1703" s="330" t="s">
        <v>7810</v>
      </c>
      <c r="D1703" s="330" t="s">
        <v>7811</v>
      </c>
      <c r="E1703" s="330" t="s">
        <v>37248</v>
      </c>
      <c r="F1703" s="331">
        <v>0.21</v>
      </c>
      <c r="G1703" s="332">
        <v>3263</v>
      </c>
      <c r="H1703" s="333">
        <v>3949</v>
      </c>
    </row>
    <row r="1704" spans="1:8">
      <c r="A1704" s="317" t="s">
        <v>38287</v>
      </c>
      <c r="B1704" s="317" t="s">
        <v>46074</v>
      </c>
      <c r="C1704" s="330" t="s">
        <v>7812</v>
      </c>
      <c r="D1704" s="330" t="s">
        <v>7813</v>
      </c>
      <c r="E1704" s="330" t="s">
        <v>37248</v>
      </c>
      <c r="F1704" s="331">
        <v>0.21</v>
      </c>
      <c r="G1704" s="332">
        <v>492</v>
      </c>
      <c r="H1704" s="333">
        <v>596</v>
      </c>
    </row>
    <row r="1705" spans="1:8">
      <c r="A1705" s="317" t="s">
        <v>38288</v>
      </c>
      <c r="B1705" s="317" t="s">
        <v>46075</v>
      </c>
      <c r="C1705" s="330" t="s">
        <v>7814</v>
      </c>
      <c r="D1705" s="330" t="s">
        <v>7815</v>
      </c>
      <c r="E1705" s="330" t="s">
        <v>4819</v>
      </c>
      <c r="F1705" s="331">
        <v>0.21</v>
      </c>
      <c r="G1705" s="332">
        <v>709</v>
      </c>
      <c r="H1705" s="333">
        <v>858</v>
      </c>
    </row>
    <row r="1706" spans="1:8">
      <c r="A1706" s="317" t="s">
        <v>38289</v>
      </c>
      <c r="B1706" s="317" t="s">
        <v>46076</v>
      </c>
      <c r="C1706" s="330" t="s">
        <v>7816</v>
      </c>
      <c r="D1706" s="330" t="s">
        <v>4654</v>
      </c>
      <c r="E1706" s="330" t="s">
        <v>37248</v>
      </c>
      <c r="F1706" s="331">
        <v>0.21</v>
      </c>
      <c r="G1706" s="332">
        <v>976</v>
      </c>
      <c r="H1706" s="333">
        <v>1181</v>
      </c>
    </row>
    <row r="1707" spans="1:8">
      <c r="A1707" s="317" t="s">
        <v>38290</v>
      </c>
      <c r="B1707" s="317" t="s">
        <v>46077</v>
      </c>
      <c r="C1707" s="330" t="s">
        <v>7817</v>
      </c>
      <c r="D1707" s="330" t="s">
        <v>7818</v>
      </c>
      <c r="E1707" s="330" t="s">
        <v>37248</v>
      </c>
      <c r="F1707" s="331">
        <v>0.21</v>
      </c>
      <c r="G1707" s="332">
        <v>305</v>
      </c>
      <c r="H1707" s="333">
        <v>370</v>
      </c>
    </row>
    <row r="1708" spans="1:8">
      <c r="A1708" s="317" t="s">
        <v>38291</v>
      </c>
      <c r="B1708" s="317" t="s">
        <v>46078</v>
      </c>
      <c r="C1708" s="330" t="s">
        <v>7819</v>
      </c>
      <c r="D1708" s="330" t="s">
        <v>7820</v>
      </c>
      <c r="E1708" s="330" t="s">
        <v>37248</v>
      </c>
      <c r="F1708" s="331">
        <v>0.21</v>
      </c>
      <c r="G1708" s="332">
        <v>8822</v>
      </c>
      <c r="H1708" s="333">
        <v>10675</v>
      </c>
    </row>
    <row r="1709" spans="1:8">
      <c r="A1709" s="317" t="s">
        <v>38292</v>
      </c>
      <c r="B1709" s="317" t="s">
        <v>46079</v>
      </c>
      <c r="C1709" s="330" t="s">
        <v>7821</v>
      </c>
      <c r="D1709" s="330" t="s">
        <v>7320</v>
      </c>
      <c r="E1709" s="330" t="s">
        <v>37248</v>
      </c>
      <c r="F1709" s="331">
        <v>0.21</v>
      </c>
      <c r="G1709" s="332">
        <v>976</v>
      </c>
      <c r="H1709" s="333">
        <v>1181</v>
      </c>
    </row>
    <row r="1710" spans="1:8">
      <c r="A1710" s="317" t="s">
        <v>38293</v>
      </c>
      <c r="B1710" s="317" t="s">
        <v>46080</v>
      </c>
      <c r="C1710" s="330" t="s">
        <v>7822</v>
      </c>
      <c r="D1710" s="330" t="s">
        <v>5233</v>
      </c>
      <c r="E1710" s="330" t="s">
        <v>37248</v>
      </c>
      <c r="F1710" s="331">
        <v>0.21</v>
      </c>
      <c r="G1710" s="332">
        <v>305</v>
      </c>
      <c r="H1710" s="333">
        <v>370</v>
      </c>
    </row>
    <row r="1711" spans="1:8">
      <c r="A1711" s="317" t="s">
        <v>38294</v>
      </c>
      <c r="B1711" s="317" t="s">
        <v>46081</v>
      </c>
      <c r="C1711" s="330" t="s">
        <v>7823</v>
      </c>
      <c r="D1711" s="330" t="s">
        <v>5233</v>
      </c>
      <c r="E1711" s="330" t="s">
        <v>37248</v>
      </c>
      <c r="F1711" s="331">
        <v>0.21</v>
      </c>
      <c r="G1711" s="332">
        <v>305</v>
      </c>
      <c r="H1711" s="333">
        <v>370</v>
      </c>
    </row>
    <row r="1712" spans="1:8">
      <c r="A1712" s="317" t="s">
        <v>38295</v>
      </c>
      <c r="B1712" s="317" t="s">
        <v>46082</v>
      </c>
      <c r="C1712" s="330" t="s">
        <v>7824</v>
      </c>
      <c r="D1712" s="330" t="s">
        <v>5233</v>
      </c>
      <c r="E1712" s="330" t="s">
        <v>37248</v>
      </c>
      <c r="F1712" s="331">
        <v>0.21</v>
      </c>
      <c r="G1712" s="332">
        <v>305</v>
      </c>
      <c r="H1712" s="333">
        <v>370</v>
      </c>
    </row>
    <row r="1713" spans="1:8">
      <c r="A1713" s="317" t="s">
        <v>38296</v>
      </c>
      <c r="B1713" s="317" t="s">
        <v>46083</v>
      </c>
      <c r="C1713" s="330" t="s">
        <v>7825</v>
      </c>
      <c r="D1713" s="330" t="s">
        <v>7826</v>
      </c>
      <c r="E1713" s="330" t="s">
        <v>37248</v>
      </c>
      <c r="F1713" s="331">
        <v>0.21</v>
      </c>
      <c r="G1713" s="332">
        <v>1068</v>
      </c>
      <c r="H1713" s="333">
        <v>1293</v>
      </c>
    </row>
    <row r="1714" spans="1:8">
      <c r="A1714" s="317" t="s">
        <v>38297</v>
      </c>
      <c r="B1714" s="317" t="s">
        <v>46084</v>
      </c>
      <c r="C1714" s="330" t="s">
        <v>7827</v>
      </c>
      <c r="D1714" s="330" t="s">
        <v>7828</v>
      </c>
      <c r="E1714" s="330" t="s">
        <v>37248</v>
      </c>
      <c r="F1714" s="331">
        <v>0.21</v>
      </c>
      <c r="G1714" s="332">
        <v>194</v>
      </c>
      <c r="H1714" s="333">
        <v>235</v>
      </c>
    </row>
    <row r="1715" spans="1:8">
      <c r="A1715" s="317" t="s">
        <v>38298</v>
      </c>
      <c r="B1715" s="317" t="s">
        <v>46085</v>
      </c>
      <c r="C1715" s="330" t="s">
        <v>7829</v>
      </c>
      <c r="D1715" s="330" t="s">
        <v>7830</v>
      </c>
      <c r="E1715" s="330" t="s">
        <v>37248</v>
      </c>
      <c r="F1715" s="331">
        <v>0.21</v>
      </c>
      <c r="G1715" s="332">
        <v>7403</v>
      </c>
      <c r="H1715" s="333">
        <v>8958</v>
      </c>
    </row>
    <row r="1716" spans="1:8">
      <c r="A1716" s="317" t="s">
        <v>38299</v>
      </c>
      <c r="B1716" s="317" t="s">
        <v>46086</v>
      </c>
      <c r="C1716" s="330" t="s">
        <v>7831</v>
      </c>
      <c r="D1716" s="330" t="s">
        <v>7832</v>
      </c>
      <c r="E1716" s="330" t="s">
        <v>37248</v>
      </c>
      <c r="F1716" s="331">
        <v>0.21</v>
      </c>
      <c r="G1716" s="332">
        <v>771</v>
      </c>
      <c r="H1716" s="333">
        <v>933</v>
      </c>
    </row>
    <row r="1717" spans="1:8">
      <c r="A1717" s="317" t="s">
        <v>38300</v>
      </c>
      <c r="B1717" s="317" t="s">
        <v>46087</v>
      </c>
      <c r="C1717" s="330" t="s">
        <v>7833</v>
      </c>
      <c r="D1717" s="330" t="s">
        <v>7834</v>
      </c>
      <c r="E1717" s="330" t="s">
        <v>37248</v>
      </c>
      <c r="F1717" s="331">
        <v>0.21</v>
      </c>
      <c r="G1717" s="332">
        <v>2054</v>
      </c>
      <c r="H1717" s="333">
        <v>2486</v>
      </c>
    </row>
    <row r="1718" spans="1:8">
      <c r="A1718" s="317" t="s">
        <v>38301</v>
      </c>
      <c r="B1718" s="317" t="s">
        <v>46088</v>
      </c>
      <c r="C1718" s="330" t="s">
        <v>7835</v>
      </c>
      <c r="D1718" s="330" t="s">
        <v>7836</v>
      </c>
      <c r="E1718" s="330" t="s">
        <v>37248</v>
      </c>
      <c r="F1718" s="331">
        <v>0.21</v>
      </c>
      <c r="G1718" s="332">
        <v>910</v>
      </c>
      <c r="H1718" s="333">
        <v>1102</v>
      </c>
    </row>
    <row r="1719" spans="1:8">
      <c r="A1719" s="317" t="s">
        <v>38302</v>
      </c>
      <c r="B1719" s="317" t="s">
        <v>46089</v>
      </c>
      <c r="C1719" s="330" t="s">
        <v>7837</v>
      </c>
      <c r="D1719" s="330" t="s">
        <v>7838</v>
      </c>
      <c r="E1719" s="330" t="s">
        <v>37248</v>
      </c>
      <c r="F1719" s="331">
        <v>0.21</v>
      </c>
      <c r="G1719" s="332">
        <v>4727</v>
      </c>
      <c r="H1719" s="333">
        <v>5720</v>
      </c>
    </row>
    <row r="1720" spans="1:8">
      <c r="A1720" s="317" t="s">
        <v>38303</v>
      </c>
      <c r="B1720" s="317" t="s">
        <v>46090</v>
      </c>
      <c r="C1720" s="330" t="s">
        <v>7839</v>
      </c>
      <c r="D1720" s="330" t="s">
        <v>7840</v>
      </c>
      <c r="E1720" s="330" t="s">
        <v>37248</v>
      </c>
      <c r="F1720" s="331">
        <v>0.21</v>
      </c>
      <c r="G1720" s="332">
        <v>348</v>
      </c>
      <c r="H1720" s="333">
        <v>422</v>
      </c>
    </row>
    <row r="1721" spans="1:8">
      <c r="A1721" s="317" t="s">
        <v>38304</v>
      </c>
      <c r="B1721" s="317" t="s">
        <v>46091</v>
      </c>
      <c r="C1721" s="330" t="s">
        <v>7841</v>
      </c>
      <c r="D1721" s="330" t="s">
        <v>7367</v>
      </c>
      <c r="E1721" s="330" t="s">
        <v>37248</v>
      </c>
      <c r="F1721" s="331">
        <v>0.21</v>
      </c>
      <c r="G1721" s="332">
        <v>10500</v>
      </c>
      <c r="H1721" s="333">
        <v>12705</v>
      </c>
    </row>
    <row r="1722" spans="1:8">
      <c r="A1722" s="317" t="s">
        <v>38305</v>
      </c>
      <c r="B1722" s="317" t="s">
        <v>46092</v>
      </c>
      <c r="C1722" s="330" t="s">
        <v>7842</v>
      </c>
      <c r="D1722" s="330" t="s">
        <v>7843</v>
      </c>
      <c r="E1722" s="330" t="s">
        <v>37248</v>
      </c>
      <c r="F1722" s="331">
        <v>0.21</v>
      </c>
      <c r="G1722" s="332">
        <v>9474</v>
      </c>
      <c r="H1722" s="333">
        <v>11464</v>
      </c>
    </row>
    <row r="1723" spans="1:8">
      <c r="A1723" s="317" t="s">
        <v>38306</v>
      </c>
      <c r="B1723" s="317" t="s">
        <v>46093</v>
      </c>
      <c r="C1723" s="330" t="s">
        <v>7844</v>
      </c>
      <c r="D1723" s="330" t="s">
        <v>7845</v>
      </c>
      <c r="E1723" s="330" t="s">
        <v>37248</v>
      </c>
      <c r="F1723" s="331">
        <v>0.21</v>
      </c>
      <c r="G1723" s="332">
        <v>12686</v>
      </c>
      <c r="H1723" s="333">
        <v>15351</v>
      </c>
    </row>
    <row r="1724" spans="1:8">
      <c r="A1724" s="317" t="s">
        <v>38307</v>
      </c>
      <c r="B1724" s="317" t="s">
        <v>46094</v>
      </c>
      <c r="C1724" s="330" t="s">
        <v>7846</v>
      </c>
      <c r="D1724" s="330" t="s">
        <v>6485</v>
      </c>
      <c r="E1724" s="330" t="s">
        <v>37248</v>
      </c>
      <c r="F1724" s="331">
        <v>0.21</v>
      </c>
      <c r="G1724" s="332">
        <v>4606</v>
      </c>
      <c r="H1724" s="333">
        <v>5574</v>
      </c>
    </row>
    <row r="1725" spans="1:8">
      <c r="A1725" s="317" t="s">
        <v>38308</v>
      </c>
      <c r="B1725" s="317" t="s">
        <v>46095</v>
      </c>
      <c r="C1725" s="330" t="s">
        <v>7847</v>
      </c>
      <c r="D1725" s="330" t="s">
        <v>7670</v>
      </c>
      <c r="E1725" s="330" t="s">
        <v>37248</v>
      </c>
      <c r="F1725" s="331">
        <v>0.21</v>
      </c>
      <c r="G1725" s="332">
        <v>5768</v>
      </c>
      <c r="H1725" s="333">
        <v>6980</v>
      </c>
    </row>
    <row r="1726" spans="1:8">
      <c r="A1726" s="317" t="s">
        <v>38309</v>
      </c>
      <c r="B1726" s="317" t="s">
        <v>46096</v>
      </c>
      <c r="C1726" s="330" t="s">
        <v>7848</v>
      </c>
      <c r="D1726" s="330" t="s">
        <v>7849</v>
      </c>
      <c r="E1726" s="330" t="s">
        <v>37248</v>
      </c>
      <c r="F1726" s="331">
        <v>0.21</v>
      </c>
      <c r="G1726" s="332">
        <v>745</v>
      </c>
      <c r="H1726" s="333">
        <v>902</v>
      </c>
    </row>
    <row r="1727" spans="1:8">
      <c r="A1727" s="317" t="s">
        <v>38310</v>
      </c>
      <c r="B1727" s="317" t="s">
        <v>46097</v>
      </c>
      <c r="C1727" s="330" t="s">
        <v>7850</v>
      </c>
      <c r="D1727" s="330" t="s">
        <v>7851</v>
      </c>
      <c r="E1727" s="330" t="s">
        <v>37248</v>
      </c>
      <c r="F1727" s="331">
        <v>0.21</v>
      </c>
      <c r="G1727" s="332">
        <v>976</v>
      </c>
      <c r="H1727" s="333">
        <v>1181</v>
      </c>
    </row>
    <row r="1728" spans="1:8">
      <c r="A1728" s="317" t="s">
        <v>38311</v>
      </c>
      <c r="B1728" s="317" t="s">
        <v>46098</v>
      </c>
      <c r="C1728" s="330" t="s">
        <v>7852</v>
      </c>
      <c r="D1728" s="330" t="s">
        <v>7853</v>
      </c>
      <c r="E1728" s="330" t="s">
        <v>37248</v>
      </c>
      <c r="F1728" s="331">
        <v>0.21</v>
      </c>
      <c r="G1728" s="332">
        <v>6433</v>
      </c>
      <c r="H1728" s="333">
        <v>7784</v>
      </c>
    </row>
    <row r="1729" spans="1:8">
      <c r="A1729" s="317" t="s">
        <v>38312</v>
      </c>
      <c r="B1729" s="317" t="s">
        <v>46099</v>
      </c>
      <c r="C1729" s="330" t="s">
        <v>7854</v>
      </c>
      <c r="D1729" s="330" t="s">
        <v>7855</v>
      </c>
      <c r="E1729" s="330" t="s">
        <v>37248</v>
      </c>
      <c r="F1729" s="331">
        <v>0.21</v>
      </c>
      <c r="G1729" s="332">
        <v>4671</v>
      </c>
      <c r="H1729" s="333">
        <v>5652</v>
      </c>
    </row>
    <row r="1730" spans="1:8">
      <c r="A1730" s="317" t="s">
        <v>38313</v>
      </c>
      <c r="B1730" s="317" t="s">
        <v>46100</v>
      </c>
      <c r="C1730" s="330" t="s">
        <v>7856</v>
      </c>
      <c r="D1730" s="330" t="s">
        <v>5520</v>
      </c>
      <c r="E1730" s="330" t="s">
        <v>37248</v>
      </c>
      <c r="F1730" s="331">
        <v>0.21</v>
      </c>
      <c r="G1730" s="332">
        <v>10636</v>
      </c>
      <c r="H1730" s="333">
        <v>12870</v>
      </c>
    </row>
    <row r="1731" spans="1:8">
      <c r="A1731" s="317" t="s">
        <v>38314</v>
      </c>
      <c r="B1731" s="317" t="s">
        <v>46101</v>
      </c>
      <c r="C1731" s="330" t="s">
        <v>7857</v>
      </c>
      <c r="D1731" s="330" t="s">
        <v>7858</v>
      </c>
      <c r="E1731" s="330" t="s">
        <v>37248</v>
      </c>
      <c r="F1731" s="331">
        <v>0.21</v>
      </c>
      <c r="G1731" s="332">
        <v>5737</v>
      </c>
      <c r="H1731" s="333">
        <v>6942</v>
      </c>
    </row>
    <row r="1732" spans="1:8">
      <c r="A1732" s="317" t="s">
        <v>38315</v>
      </c>
      <c r="B1732" s="317" t="s">
        <v>46102</v>
      </c>
      <c r="C1732" s="330" t="s">
        <v>7859</v>
      </c>
      <c r="D1732" s="330" t="s">
        <v>7860</v>
      </c>
      <c r="E1732" s="330" t="s">
        <v>37248</v>
      </c>
      <c r="F1732" s="331">
        <v>0.21</v>
      </c>
      <c r="G1732" s="332">
        <v>5737</v>
      </c>
      <c r="H1732" s="333">
        <v>6942</v>
      </c>
    </row>
    <row r="1733" spans="1:8">
      <c r="A1733" s="317" t="s">
        <v>38316</v>
      </c>
      <c r="B1733" s="317" t="s">
        <v>46103</v>
      </c>
      <c r="C1733" s="330" t="s">
        <v>7861</v>
      </c>
      <c r="D1733" s="330" t="s">
        <v>7862</v>
      </c>
      <c r="E1733" s="330" t="s">
        <v>37248</v>
      </c>
      <c r="F1733" s="331">
        <v>0.21</v>
      </c>
      <c r="G1733" s="332">
        <v>6067</v>
      </c>
      <c r="H1733" s="333">
        <v>7342</v>
      </c>
    </row>
    <row r="1734" spans="1:8">
      <c r="A1734" s="317" t="s">
        <v>38317</v>
      </c>
      <c r="B1734" s="317" t="s">
        <v>46104</v>
      </c>
      <c r="C1734" s="330" t="s">
        <v>7863</v>
      </c>
      <c r="D1734" s="330" t="s">
        <v>7864</v>
      </c>
      <c r="E1734" s="330" t="s">
        <v>37248</v>
      </c>
      <c r="F1734" s="331">
        <v>0.21</v>
      </c>
      <c r="G1734" s="332">
        <v>435</v>
      </c>
      <c r="H1734" s="333">
        <v>527</v>
      </c>
    </row>
    <row r="1735" spans="1:8">
      <c r="A1735" s="317" t="s">
        <v>38318</v>
      </c>
      <c r="B1735" s="317" t="s">
        <v>46105</v>
      </c>
      <c r="C1735" s="330" t="s">
        <v>7865</v>
      </c>
      <c r="D1735" s="330" t="s">
        <v>7864</v>
      </c>
      <c r="E1735" s="330" t="s">
        <v>37248</v>
      </c>
      <c r="F1735" s="331">
        <v>0.21</v>
      </c>
      <c r="G1735" s="332">
        <v>435</v>
      </c>
      <c r="H1735" s="333">
        <v>527</v>
      </c>
    </row>
    <row r="1736" spans="1:8">
      <c r="A1736" s="317" t="s">
        <v>38319</v>
      </c>
      <c r="B1736" s="317" t="s">
        <v>46106</v>
      </c>
      <c r="C1736" s="330" t="s">
        <v>7866</v>
      </c>
      <c r="D1736" s="330" t="s">
        <v>7867</v>
      </c>
      <c r="E1736" s="330" t="s">
        <v>37248</v>
      </c>
      <c r="F1736" s="331">
        <v>0.21</v>
      </c>
      <c r="G1736" s="332">
        <v>17297</v>
      </c>
      <c r="H1736" s="333">
        <v>20930</v>
      </c>
    </row>
    <row r="1737" spans="1:8">
      <c r="A1737" s="317" t="s">
        <v>38320</v>
      </c>
      <c r="B1737" s="317" t="s">
        <v>46107</v>
      </c>
      <c r="C1737" s="330" t="s">
        <v>7868</v>
      </c>
      <c r="D1737" s="330" t="s">
        <v>7869</v>
      </c>
      <c r="E1737" s="330" t="s">
        <v>37248</v>
      </c>
      <c r="F1737" s="331">
        <v>0.21</v>
      </c>
      <c r="G1737" s="332">
        <v>1614</v>
      </c>
      <c r="H1737" s="333">
        <v>1953</v>
      </c>
    </row>
    <row r="1738" spans="1:8">
      <c r="A1738" s="317" t="s">
        <v>38321</v>
      </c>
      <c r="B1738" s="317" t="s">
        <v>46108</v>
      </c>
      <c r="C1738" s="330" t="s">
        <v>7870</v>
      </c>
      <c r="D1738" s="330" t="s">
        <v>7871</v>
      </c>
      <c r="E1738" s="330" t="s">
        <v>37248</v>
      </c>
      <c r="F1738" s="331">
        <v>0.21</v>
      </c>
      <c r="G1738" s="332">
        <v>33628</v>
      </c>
      <c r="H1738" s="333">
        <v>40690</v>
      </c>
    </row>
    <row r="1739" spans="1:8">
      <c r="A1739" s="317" t="s">
        <v>38322</v>
      </c>
      <c r="B1739" s="317" t="s">
        <v>46109</v>
      </c>
      <c r="C1739" s="330" t="s">
        <v>7872</v>
      </c>
      <c r="D1739" s="330" t="s">
        <v>7873</v>
      </c>
      <c r="E1739" s="330" t="s">
        <v>37248</v>
      </c>
      <c r="F1739" s="331">
        <v>0.21</v>
      </c>
      <c r="G1739" s="332">
        <v>33858</v>
      </c>
      <c r="H1739" s="333">
        <v>40969</v>
      </c>
    </row>
    <row r="1740" spans="1:8">
      <c r="A1740" s="317" t="s">
        <v>38323</v>
      </c>
      <c r="B1740" s="317" t="s">
        <v>46110</v>
      </c>
      <c r="C1740" s="330" t="s">
        <v>7874</v>
      </c>
      <c r="D1740" s="330" t="s">
        <v>7875</v>
      </c>
      <c r="E1740" s="330" t="s">
        <v>4819</v>
      </c>
      <c r="F1740" s="331">
        <v>0.21</v>
      </c>
      <c r="G1740" s="332">
        <v>3654</v>
      </c>
      <c r="H1740" s="333">
        <v>4422</v>
      </c>
    </row>
    <row r="1741" spans="1:8">
      <c r="A1741" s="317" t="s">
        <v>38324</v>
      </c>
      <c r="B1741" s="317" t="s">
        <v>46111</v>
      </c>
      <c r="C1741" s="330" t="s">
        <v>7876</v>
      </c>
      <c r="D1741" s="330" t="s">
        <v>7877</v>
      </c>
      <c r="E1741" s="330" t="s">
        <v>37248</v>
      </c>
      <c r="F1741" s="331">
        <v>0.21</v>
      </c>
      <c r="G1741" s="332">
        <v>1344</v>
      </c>
      <c r="H1741" s="333">
        <v>1627</v>
      </c>
    </row>
    <row r="1742" spans="1:8">
      <c r="A1742" s="317" t="s">
        <v>38325</v>
      </c>
      <c r="B1742" s="317" t="s">
        <v>46112</v>
      </c>
      <c r="C1742" s="330" t="s">
        <v>7878</v>
      </c>
      <c r="D1742" s="330" t="s">
        <v>7879</v>
      </c>
      <c r="E1742" s="330" t="s">
        <v>37248</v>
      </c>
      <c r="F1742" s="331">
        <v>0.21</v>
      </c>
      <c r="G1742" s="332">
        <v>515</v>
      </c>
      <c r="H1742" s="333">
        <v>624</v>
      </c>
    </row>
    <row r="1743" spans="1:8">
      <c r="A1743" s="317" t="s">
        <v>38326</v>
      </c>
      <c r="B1743" s="317" t="s">
        <v>46113</v>
      </c>
      <c r="C1743" s="330" t="s">
        <v>7880</v>
      </c>
      <c r="D1743" s="330" t="s">
        <v>7881</v>
      </c>
      <c r="E1743" s="330" t="s">
        <v>37248</v>
      </c>
      <c r="F1743" s="331">
        <v>0.21</v>
      </c>
      <c r="G1743" s="332">
        <v>1247</v>
      </c>
      <c r="H1743" s="333">
        <v>1509</v>
      </c>
    </row>
    <row r="1744" spans="1:8">
      <c r="A1744" s="317" t="s">
        <v>38327</v>
      </c>
      <c r="B1744" s="317" t="s">
        <v>46114</v>
      </c>
      <c r="C1744" s="330" t="s">
        <v>7882</v>
      </c>
      <c r="D1744" s="330" t="s">
        <v>7649</v>
      </c>
      <c r="E1744" s="330" t="s">
        <v>37248</v>
      </c>
      <c r="F1744" s="331">
        <v>0.21</v>
      </c>
      <c r="G1744" s="332">
        <v>1063</v>
      </c>
      <c r="H1744" s="333">
        <v>1287</v>
      </c>
    </row>
    <row r="1745" spans="1:8">
      <c r="A1745" s="317" t="s">
        <v>38328</v>
      </c>
      <c r="B1745" s="317" t="s">
        <v>46115</v>
      </c>
      <c r="C1745" s="330" t="s">
        <v>7883</v>
      </c>
      <c r="D1745" s="330" t="s">
        <v>7884</v>
      </c>
      <c r="E1745" s="330" t="s">
        <v>37248</v>
      </c>
      <c r="F1745" s="331">
        <v>0.21</v>
      </c>
      <c r="G1745" s="332">
        <v>501</v>
      </c>
      <c r="H1745" s="333">
        <v>607</v>
      </c>
    </row>
    <row r="1746" spans="1:8">
      <c r="A1746" s="317" t="s">
        <v>38329</v>
      </c>
      <c r="B1746" s="317" t="s">
        <v>46116</v>
      </c>
      <c r="C1746" s="330" t="s">
        <v>7885</v>
      </c>
      <c r="D1746" s="330" t="s">
        <v>7886</v>
      </c>
      <c r="E1746" s="330" t="s">
        <v>4819</v>
      </c>
      <c r="F1746" s="331">
        <v>0.21</v>
      </c>
      <c r="G1746" s="332">
        <v>243</v>
      </c>
      <c r="H1746" s="333">
        <v>295</v>
      </c>
    </row>
    <row r="1747" spans="1:8">
      <c r="A1747" s="317" t="s">
        <v>38330</v>
      </c>
      <c r="B1747" s="317" t="s">
        <v>46117</v>
      </c>
      <c r="C1747" s="330" t="s">
        <v>7887</v>
      </c>
      <c r="D1747" s="330" t="s">
        <v>7888</v>
      </c>
      <c r="E1747" s="330" t="s">
        <v>37248</v>
      </c>
      <c r="F1747" s="331">
        <v>0.21</v>
      </c>
      <c r="G1747" s="332">
        <v>15492</v>
      </c>
      <c r="H1747" s="333">
        <v>18746</v>
      </c>
    </row>
    <row r="1748" spans="1:8">
      <c r="A1748" s="317" t="s">
        <v>38331</v>
      </c>
      <c r="B1748" s="317" t="s">
        <v>46118</v>
      </c>
      <c r="C1748" s="330" t="s">
        <v>7889</v>
      </c>
      <c r="D1748" s="330" t="s">
        <v>7890</v>
      </c>
      <c r="E1748" s="330" t="s">
        <v>37248</v>
      </c>
      <c r="F1748" s="331">
        <v>0.21</v>
      </c>
      <c r="G1748" s="332">
        <v>1063</v>
      </c>
      <c r="H1748" s="333">
        <v>1287</v>
      </c>
    </row>
    <row r="1749" spans="1:8">
      <c r="A1749" s="317" t="s">
        <v>38332</v>
      </c>
      <c r="B1749" s="317" t="s">
        <v>46119</v>
      </c>
      <c r="C1749" s="330" t="s">
        <v>7891</v>
      </c>
      <c r="D1749" s="330" t="s">
        <v>7892</v>
      </c>
      <c r="E1749" s="330" t="s">
        <v>37248</v>
      </c>
      <c r="F1749" s="331">
        <v>0.21</v>
      </c>
      <c r="G1749" s="332">
        <v>1701</v>
      </c>
      <c r="H1749" s="333">
        <v>2059</v>
      </c>
    </row>
    <row r="1750" spans="1:8">
      <c r="A1750" s="317" t="s">
        <v>38333</v>
      </c>
      <c r="B1750" s="317" t="s">
        <v>46120</v>
      </c>
      <c r="C1750" s="330" t="s">
        <v>7893</v>
      </c>
      <c r="D1750" s="330" t="s">
        <v>7894</v>
      </c>
      <c r="E1750" s="330" t="s">
        <v>37248</v>
      </c>
      <c r="F1750" s="331">
        <v>0.21</v>
      </c>
      <c r="G1750" s="332">
        <v>1360</v>
      </c>
      <c r="H1750" s="333">
        <v>1646</v>
      </c>
    </row>
    <row r="1751" spans="1:8">
      <c r="A1751" s="317" t="s">
        <v>38334</v>
      </c>
      <c r="B1751" s="317" t="s">
        <v>46121</v>
      </c>
      <c r="C1751" s="330" t="s">
        <v>7895</v>
      </c>
      <c r="D1751" s="330" t="s">
        <v>7896</v>
      </c>
      <c r="E1751" s="330" t="s">
        <v>37248</v>
      </c>
      <c r="F1751" s="331">
        <v>0.21</v>
      </c>
      <c r="G1751" s="332">
        <v>5663</v>
      </c>
      <c r="H1751" s="333">
        <v>6853</v>
      </c>
    </row>
    <row r="1752" spans="1:8">
      <c r="A1752" s="317" t="s">
        <v>38335</v>
      </c>
      <c r="B1752" s="317" t="s">
        <v>46122</v>
      </c>
      <c r="C1752" s="330" t="s">
        <v>7897</v>
      </c>
      <c r="D1752" s="330" t="s">
        <v>7898</v>
      </c>
      <c r="E1752" s="330" t="s">
        <v>37248</v>
      </c>
      <c r="F1752" s="331">
        <v>0.21</v>
      </c>
      <c r="G1752" s="332">
        <v>6562</v>
      </c>
      <c r="H1752" s="333">
        <v>7941</v>
      </c>
    </row>
    <row r="1753" spans="1:8">
      <c r="A1753" s="317" t="s">
        <v>38336</v>
      </c>
      <c r="B1753" s="317" t="s">
        <v>46123</v>
      </c>
      <c r="C1753" s="330" t="s">
        <v>7899</v>
      </c>
      <c r="D1753" s="330" t="s">
        <v>7900</v>
      </c>
      <c r="E1753" s="330" t="s">
        <v>37248</v>
      </c>
      <c r="F1753" s="331">
        <v>0.21</v>
      </c>
      <c r="G1753" s="332">
        <v>7430</v>
      </c>
      <c r="H1753" s="333">
        <v>8991</v>
      </c>
    </row>
    <row r="1754" spans="1:8">
      <c r="A1754" s="317" t="s">
        <v>38337</v>
      </c>
      <c r="B1754" s="317" t="s">
        <v>46124</v>
      </c>
      <c r="C1754" s="330" t="s">
        <v>7901</v>
      </c>
      <c r="D1754" s="330" t="s">
        <v>7902</v>
      </c>
      <c r="E1754" s="330" t="s">
        <v>37248</v>
      </c>
      <c r="F1754" s="331">
        <v>0.21</v>
      </c>
      <c r="G1754" s="332">
        <v>9449</v>
      </c>
      <c r="H1754" s="333">
        <v>11434</v>
      </c>
    </row>
    <row r="1755" spans="1:8">
      <c r="A1755" s="317" t="s">
        <v>38338</v>
      </c>
      <c r="B1755" s="317" t="s">
        <v>46125</v>
      </c>
      <c r="C1755" s="330" t="s">
        <v>7903</v>
      </c>
      <c r="D1755" s="330" t="s">
        <v>7904</v>
      </c>
      <c r="E1755" s="330" t="s">
        <v>37248</v>
      </c>
      <c r="F1755" s="331">
        <v>0.21</v>
      </c>
      <c r="G1755" s="332">
        <v>43517</v>
      </c>
      <c r="H1755" s="333">
        <v>52656</v>
      </c>
    </row>
    <row r="1756" spans="1:8">
      <c r="A1756" s="317" t="s">
        <v>38339</v>
      </c>
      <c r="B1756" s="317" t="s">
        <v>46126</v>
      </c>
      <c r="C1756" s="330" t="s">
        <v>7905</v>
      </c>
      <c r="D1756" s="330" t="s">
        <v>7906</v>
      </c>
      <c r="E1756" s="330" t="s">
        <v>37248</v>
      </c>
      <c r="F1756" s="331">
        <v>0.21</v>
      </c>
      <c r="G1756" s="332">
        <v>53486</v>
      </c>
      <c r="H1756" s="333">
        <v>64719</v>
      </c>
    </row>
    <row r="1757" spans="1:8">
      <c r="A1757" s="317" t="s">
        <v>38340</v>
      </c>
      <c r="B1757" s="317" t="s">
        <v>46127</v>
      </c>
      <c r="C1757" s="330" t="s">
        <v>7907</v>
      </c>
      <c r="D1757" s="330" t="s">
        <v>7908</v>
      </c>
      <c r="E1757" s="330" t="s">
        <v>37248</v>
      </c>
      <c r="F1757" s="331">
        <v>0.21</v>
      </c>
      <c r="G1757" s="332">
        <v>5768</v>
      </c>
      <c r="H1757" s="333">
        <v>6980</v>
      </c>
    </row>
    <row r="1758" spans="1:8">
      <c r="A1758" s="317" t="s">
        <v>38341</v>
      </c>
      <c r="B1758" s="317" t="s">
        <v>46128</v>
      </c>
      <c r="C1758" s="330" t="s">
        <v>7909</v>
      </c>
      <c r="D1758" s="330" t="s">
        <v>7910</v>
      </c>
      <c r="E1758" s="330" t="s">
        <v>37248</v>
      </c>
      <c r="F1758" s="331">
        <v>0.21</v>
      </c>
      <c r="G1758" s="332">
        <v>6690</v>
      </c>
      <c r="H1758" s="333">
        <v>8095</v>
      </c>
    </row>
    <row r="1759" spans="1:8">
      <c r="A1759" s="317" t="s">
        <v>38342</v>
      </c>
      <c r="B1759" s="317" t="s">
        <v>46129</v>
      </c>
      <c r="C1759" s="330" t="s">
        <v>7911</v>
      </c>
      <c r="D1759" s="330" t="s">
        <v>4867</v>
      </c>
      <c r="E1759" s="330" t="s">
        <v>37248</v>
      </c>
      <c r="F1759" s="331">
        <v>0.21</v>
      </c>
      <c r="G1759" s="332">
        <v>339</v>
      </c>
      <c r="H1759" s="333">
        <v>411</v>
      </c>
    </row>
    <row r="1760" spans="1:8">
      <c r="A1760" s="317" t="s">
        <v>38343</v>
      </c>
      <c r="B1760" s="317" t="s">
        <v>46130</v>
      </c>
      <c r="C1760" s="330" t="s">
        <v>7912</v>
      </c>
      <c r="D1760" s="330" t="s">
        <v>7913</v>
      </c>
      <c r="E1760" s="330" t="s">
        <v>37248</v>
      </c>
      <c r="F1760" s="331">
        <v>0.21</v>
      </c>
      <c r="G1760" s="332">
        <v>5768</v>
      </c>
      <c r="H1760" s="333">
        <v>6980</v>
      </c>
    </row>
    <row r="1761" spans="1:8">
      <c r="A1761" s="317" t="s">
        <v>38344</v>
      </c>
      <c r="B1761" s="317" t="s">
        <v>46131</v>
      </c>
      <c r="C1761" s="330" t="s">
        <v>7914</v>
      </c>
      <c r="D1761" s="330" t="s">
        <v>7913</v>
      </c>
      <c r="E1761" s="330" t="s">
        <v>37248</v>
      </c>
      <c r="F1761" s="331">
        <v>0.21</v>
      </c>
      <c r="G1761" s="332">
        <v>6690</v>
      </c>
      <c r="H1761" s="333">
        <v>8095</v>
      </c>
    </row>
    <row r="1762" spans="1:8">
      <c r="A1762" s="317" t="s">
        <v>38345</v>
      </c>
      <c r="B1762" s="317" t="s">
        <v>46132</v>
      </c>
      <c r="C1762" s="330" t="s">
        <v>7915</v>
      </c>
      <c r="D1762" s="330" t="s">
        <v>7916</v>
      </c>
      <c r="E1762" s="330" t="s">
        <v>37248</v>
      </c>
      <c r="F1762" s="331">
        <v>0.21</v>
      </c>
      <c r="G1762" s="332">
        <v>579</v>
      </c>
      <c r="H1762" s="333">
        <v>701</v>
      </c>
    </row>
    <row r="1763" spans="1:8">
      <c r="A1763" s="317" t="s">
        <v>38346</v>
      </c>
      <c r="B1763" s="317" t="s">
        <v>46133</v>
      </c>
      <c r="C1763" s="330" t="s">
        <v>7917</v>
      </c>
      <c r="D1763" s="330" t="s">
        <v>7918</v>
      </c>
      <c r="E1763" s="330" t="s">
        <v>37248</v>
      </c>
      <c r="F1763" s="331">
        <v>0.21</v>
      </c>
      <c r="G1763" s="332">
        <v>452</v>
      </c>
      <c r="H1763" s="333">
        <v>547</v>
      </c>
    </row>
    <row r="1764" spans="1:8">
      <c r="A1764" s="317" t="s">
        <v>38347</v>
      </c>
      <c r="B1764" s="317" t="s">
        <v>46134</v>
      </c>
      <c r="C1764" s="330" t="s">
        <v>7919</v>
      </c>
      <c r="D1764" s="330" t="s">
        <v>7920</v>
      </c>
      <c r="E1764" s="330" t="s">
        <v>37248</v>
      </c>
      <c r="F1764" s="331">
        <v>0.21</v>
      </c>
      <c r="G1764" s="332">
        <v>194</v>
      </c>
      <c r="H1764" s="333">
        <v>235</v>
      </c>
    </row>
    <row r="1765" spans="1:8">
      <c r="A1765" s="317" t="s">
        <v>38348</v>
      </c>
      <c r="B1765" s="317" t="s">
        <v>46135</v>
      </c>
      <c r="C1765" s="330" t="s">
        <v>7921</v>
      </c>
      <c r="D1765" s="330" t="s">
        <v>7922</v>
      </c>
      <c r="E1765" s="330" t="s">
        <v>37248</v>
      </c>
      <c r="F1765" s="331">
        <v>0.21</v>
      </c>
      <c r="G1765" s="332">
        <v>417</v>
      </c>
      <c r="H1765" s="333">
        <v>505</v>
      </c>
    </row>
    <row r="1766" spans="1:8">
      <c r="A1766" s="317" t="s">
        <v>38349</v>
      </c>
      <c r="B1766" s="317" t="s">
        <v>46136</v>
      </c>
      <c r="C1766" s="330" t="s">
        <v>7923</v>
      </c>
      <c r="D1766" s="330" t="s">
        <v>7924</v>
      </c>
      <c r="E1766" s="330" t="s">
        <v>37248</v>
      </c>
      <c r="F1766" s="331">
        <v>0.21</v>
      </c>
      <c r="G1766" s="332">
        <v>696</v>
      </c>
      <c r="H1766" s="333">
        <v>843</v>
      </c>
    </row>
    <row r="1767" spans="1:8">
      <c r="A1767" s="317" t="s">
        <v>38350</v>
      </c>
      <c r="B1767" s="317" t="s">
        <v>46137</v>
      </c>
      <c r="C1767" s="330" t="s">
        <v>7925</v>
      </c>
      <c r="D1767" s="330" t="s">
        <v>7926</v>
      </c>
      <c r="E1767" s="330" t="s">
        <v>37248</v>
      </c>
      <c r="F1767" s="331">
        <v>0.21</v>
      </c>
      <c r="G1767" s="332">
        <v>6774</v>
      </c>
      <c r="H1767" s="333">
        <v>8197</v>
      </c>
    </row>
    <row r="1768" spans="1:8">
      <c r="A1768" s="317" t="s">
        <v>38351</v>
      </c>
      <c r="B1768" s="317" t="s">
        <v>46138</v>
      </c>
      <c r="C1768" s="330" t="s">
        <v>7927</v>
      </c>
      <c r="D1768" s="330" t="s">
        <v>7928</v>
      </c>
      <c r="E1768" s="330" t="s">
        <v>37248</v>
      </c>
      <c r="F1768" s="331">
        <v>0.21</v>
      </c>
      <c r="G1768" s="332">
        <v>976</v>
      </c>
      <c r="H1768" s="333">
        <v>1181</v>
      </c>
    </row>
    <row r="1769" spans="1:8">
      <c r="A1769" s="317" t="s">
        <v>38352</v>
      </c>
      <c r="B1769" s="317" t="s">
        <v>46139</v>
      </c>
      <c r="C1769" s="330" t="s">
        <v>7929</v>
      </c>
      <c r="D1769" s="330" t="s">
        <v>7930</v>
      </c>
      <c r="E1769" s="330" t="s">
        <v>37248</v>
      </c>
      <c r="F1769" s="331">
        <v>0.21</v>
      </c>
      <c r="G1769" s="332">
        <v>12001</v>
      </c>
      <c r="H1769" s="333">
        <v>14522</v>
      </c>
    </row>
    <row r="1770" spans="1:8">
      <c r="A1770" s="317" t="s">
        <v>38353</v>
      </c>
      <c r="B1770" s="317" t="s">
        <v>46140</v>
      </c>
      <c r="C1770" s="330" t="s">
        <v>7931</v>
      </c>
      <c r="D1770" s="330" t="s">
        <v>7369</v>
      </c>
      <c r="E1770" s="330" t="s">
        <v>37248</v>
      </c>
      <c r="F1770" s="331">
        <v>0.21</v>
      </c>
      <c r="G1770" s="332">
        <v>9174</v>
      </c>
      <c r="H1770" s="333">
        <v>11101</v>
      </c>
    </row>
    <row r="1771" spans="1:8">
      <c r="A1771" s="317" t="s">
        <v>38354</v>
      </c>
      <c r="B1771" s="317" t="s">
        <v>46141</v>
      </c>
      <c r="C1771" s="330" t="s">
        <v>7932</v>
      </c>
      <c r="D1771" s="330" t="s">
        <v>7933</v>
      </c>
      <c r="E1771" s="330" t="s">
        <v>37248</v>
      </c>
      <c r="F1771" s="331">
        <v>0.21</v>
      </c>
      <c r="G1771" s="332">
        <v>1574</v>
      </c>
      <c r="H1771" s="333">
        <v>1905</v>
      </c>
    </row>
    <row r="1772" spans="1:8">
      <c r="A1772" s="317" t="s">
        <v>38355</v>
      </c>
      <c r="B1772" s="317" t="s">
        <v>46142</v>
      </c>
      <c r="C1772" s="330" t="s">
        <v>7934</v>
      </c>
      <c r="D1772" s="330" t="s">
        <v>7935</v>
      </c>
      <c r="E1772" s="330" t="s">
        <v>4819</v>
      </c>
      <c r="F1772" s="331">
        <v>0.21</v>
      </c>
      <c r="G1772" s="332">
        <v>1579</v>
      </c>
      <c r="H1772" s="333">
        <v>1911</v>
      </c>
    </row>
    <row r="1773" spans="1:8">
      <c r="A1773" s="317" t="s">
        <v>38356</v>
      </c>
      <c r="B1773" s="317" t="s">
        <v>46143</v>
      </c>
      <c r="C1773" s="330" t="s">
        <v>7936</v>
      </c>
      <c r="D1773" s="330" t="s">
        <v>7933</v>
      </c>
      <c r="E1773" s="330" t="s">
        <v>37248</v>
      </c>
      <c r="F1773" s="331">
        <v>0.21</v>
      </c>
      <c r="G1773" s="332">
        <v>1701</v>
      </c>
      <c r="H1773" s="333">
        <v>2059</v>
      </c>
    </row>
    <row r="1774" spans="1:8">
      <c r="A1774" s="317" t="s">
        <v>38357</v>
      </c>
      <c r="B1774" s="317" t="s">
        <v>46144</v>
      </c>
      <c r="C1774" s="330" t="s">
        <v>7937</v>
      </c>
      <c r="D1774" s="330" t="s">
        <v>7938</v>
      </c>
      <c r="E1774" s="330" t="s">
        <v>37248</v>
      </c>
      <c r="F1774" s="331">
        <v>0.21</v>
      </c>
      <c r="G1774" s="332">
        <v>1983</v>
      </c>
      <c r="H1774" s="333">
        <v>2400</v>
      </c>
    </row>
    <row r="1775" spans="1:8">
      <c r="A1775" s="317" t="s">
        <v>38358</v>
      </c>
      <c r="B1775" s="317" t="s">
        <v>46145</v>
      </c>
      <c r="C1775" s="330" t="s">
        <v>7939</v>
      </c>
      <c r="D1775" s="330" t="s">
        <v>7940</v>
      </c>
      <c r="E1775" s="330" t="s">
        <v>37248</v>
      </c>
      <c r="F1775" s="331">
        <v>0.21</v>
      </c>
      <c r="G1775" s="332">
        <v>22524</v>
      </c>
      <c r="H1775" s="333">
        <v>27255</v>
      </c>
    </row>
    <row r="1776" spans="1:8">
      <c r="A1776" s="317" t="s">
        <v>38359</v>
      </c>
      <c r="B1776" s="317" t="s">
        <v>46146</v>
      </c>
      <c r="C1776" s="330" t="s">
        <v>7941</v>
      </c>
      <c r="D1776" s="330" t="s">
        <v>7942</v>
      </c>
      <c r="E1776" s="330" t="s">
        <v>37248</v>
      </c>
      <c r="F1776" s="331">
        <v>0.21</v>
      </c>
      <c r="G1776" s="332">
        <v>305</v>
      </c>
      <c r="H1776" s="333">
        <v>370</v>
      </c>
    </row>
    <row r="1777" spans="1:8">
      <c r="A1777" s="317" t="s">
        <v>38360</v>
      </c>
      <c r="B1777" s="317" t="s">
        <v>46147</v>
      </c>
      <c r="C1777" s="330" t="s">
        <v>7943</v>
      </c>
      <c r="D1777" s="330" t="s">
        <v>7795</v>
      </c>
      <c r="E1777" s="330" t="s">
        <v>37248</v>
      </c>
      <c r="F1777" s="331">
        <v>0.21</v>
      </c>
      <c r="G1777" s="332">
        <v>515</v>
      </c>
      <c r="H1777" s="333">
        <v>624</v>
      </c>
    </row>
    <row r="1778" spans="1:8">
      <c r="A1778" s="317" t="s">
        <v>38361</v>
      </c>
      <c r="B1778" s="317" t="s">
        <v>46148</v>
      </c>
      <c r="C1778" s="330" t="s">
        <v>7944</v>
      </c>
      <c r="D1778" s="330" t="s">
        <v>7412</v>
      </c>
      <c r="E1778" s="330" t="s">
        <v>37248</v>
      </c>
      <c r="F1778" s="331">
        <v>0.21</v>
      </c>
      <c r="G1778" s="332">
        <v>515</v>
      </c>
      <c r="H1778" s="333">
        <v>624</v>
      </c>
    </row>
    <row r="1779" spans="1:8">
      <c r="A1779" s="317" t="s">
        <v>38362</v>
      </c>
      <c r="B1779" s="317" t="s">
        <v>46149</v>
      </c>
      <c r="C1779" s="330" t="s">
        <v>7945</v>
      </c>
      <c r="D1779" s="330" t="s">
        <v>7946</v>
      </c>
      <c r="E1779" s="330" t="s">
        <v>37248</v>
      </c>
      <c r="F1779" s="331">
        <v>0.21</v>
      </c>
      <c r="G1779" s="332">
        <v>3921</v>
      </c>
      <c r="H1779" s="333">
        <v>4745</v>
      </c>
    </row>
    <row r="1780" spans="1:8">
      <c r="A1780" s="317" t="s">
        <v>38363</v>
      </c>
      <c r="B1780" s="317" t="s">
        <v>46150</v>
      </c>
      <c r="C1780" s="330" t="s">
        <v>7947</v>
      </c>
      <c r="D1780" s="330" t="s">
        <v>7948</v>
      </c>
      <c r="E1780" s="330" t="s">
        <v>37248</v>
      </c>
      <c r="F1780" s="331">
        <v>0.21</v>
      </c>
      <c r="G1780" s="332">
        <v>5382</v>
      </c>
      <c r="H1780" s="333">
        <v>6513</v>
      </c>
    </row>
    <row r="1781" spans="1:8">
      <c r="A1781" s="317" t="s">
        <v>38364</v>
      </c>
      <c r="B1781" s="317" t="s">
        <v>46151</v>
      </c>
      <c r="C1781" s="330" t="s">
        <v>7949</v>
      </c>
      <c r="D1781" s="330" t="s">
        <v>7948</v>
      </c>
      <c r="E1781" s="330" t="s">
        <v>37248</v>
      </c>
      <c r="F1781" s="331">
        <v>0.21</v>
      </c>
      <c r="G1781" s="332">
        <v>5382</v>
      </c>
      <c r="H1781" s="333">
        <v>6513</v>
      </c>
    </row>
    <row r="1782" spans="1:8">
      <c r="A1782" s="317" t="s">
        <v>38365</v>
      </c>
      <c r="B1782" s="317" t="s">
        <v>46152</v>
      </c>
      <c r="C1782" s="330" t="s">
        <v>7950</v>
      </c>
      <c r="D1782" s="330" t="s">
        <v>7951</v>
      </c>
      <c r="E1782" s="330" t="s">
        <v>37248</v>
      </c>
      <c r="F1782" s="331">
        <v>0.21</v>
      </c>
      <c r="G1782" s="332">
        <v>296</v>
      </c>
      <c r="H1782" s="333">
        <v>359</v>
      </c>
    </row>
    <row r="1783" spans="1:8">
      <c r="A1783" s="317" t="s">
        <v>38366</v>
      </c>
      <c r="B1783" s="317" t="s">
        <v>46153</v>
      </c>
      <c r="C1783" s="330" t="s">
        <v>7952</v>
      </c>
      <c r="D1783" s="330" t="s">
        <v>7953</v>
      </c>
      <c r="E1783" s="330" t="s">
        <v>37248</v>
      </c>
      <c r="F1783" s="331">
        <v>0.21</v>
      </c>
      <c r="G1783" s="332">
        <v>1146</v>
      </c>
      <c r="H1783" s="333">
        <v>1387</v>
      </c>
    </row>
    <row r="1784" spans="1:8">
      <c r="A1784" s="317" t="s">
        <v>38367</v>
      </c>
      <c r="B1784" s="317" t="s">
        <v>46154</v>
      </c>
      <c r="C1784" s="330" t="s">
        <v>7954</v>
      </c>
      <c r="D1784" s="330" t="s">
        <v>7955</v>
      </c>
      <c r="E1784" s="330" t="s">
        <v>37248</v>
      </c>
      <c r="F1784" s="331">
        <v>0.21</v>
      </c>
      <c r="G1784" s="332">
        <v>5837</v>
      </c>
      <c r="H1784" s="333">
        <v>7063</v>
      </c>
    </row>
    <row r="1785" spans="1:8">
      <c r="A1785" s="317" t="s">
        <v>38368</v>
      </c>
      <c r="B1785" s="317" t="s">
        <v>46155</v>
      </c>
      <c r="C1785" s="330" t="s">
        <v>7956</v>
      </c>
      <c r="D1785" s="330" t="s">
        <v>7957</v>
      </c>
      <c r="E1785" s="330" t="s">
        <v>4634</v>
      </c>
      <c r="F1785" s="331">
        <v>0.21</v>
      </c>
      <c r="G1785" s="332">
        <v>5382</v>
      </c>
      <c r="H1785" s="333">
        <v>6513</v>
      </c>
    </row>
    <row r="1786" spans="1:8">
      <c r="A1786" s="317" t="s">
        <v>38369</v>
      </c>
      <c r="B1786" s="317" t="s">
        <v>46156</v>
      </c>
      <c r="C1786" s="330" t="s">
        <v>7958</v>
      </c>
      <c r="D1786" s="330" t="s">
        <v>7959</v>
      </c>
      <c r="E1786" s="330" t="s">
        <v>37248</v>
      </c>
      <c r="F1786" s="331">
        <v>0.21</v>
      </c>
      <c r="G1786" s="332">
        <v>2215</v>
      </c>
      <c r="H1786" s="333">
        <v>2681</v>
      </c>
    </row>
    <row r="1787" spans="1:8">
      <c r="A1787" s="317" t="s">
        <v>38370</v>
      </c>
      <c r="B1787" s="317" t="s">
        <v>46157</v>
      </c>
      <c r="C1787" s="330" t="s">
        <v>7960</v>
      </c>
      <c r="D1787" s="330" t="s">
        <v>7961</v>
      </c>
      <c r="E1787" s="330" t="s">
        <v>4819</v>
      </c>
      <c r="F1787" s="331">
        <v>0.21</v>
      </c>
      <c r="G1787" s="332">
        <v>4544</v>
      </c>
      <c r="H1787" s="333">
        <v>5499</v>
      </c>
    </row>
    <row r="1788" spans="1:8">
      <c r="A1788" s="317" t="s">
        <v>38371</v>
      </c>
      <c r="B1788" s="317" t="s">
        <v>46158</v>
      </c>
      <c r="C1788" s="330" t="s">
        <v>7962</v>
      </c>
      <c r="D1788" s="330" t="s">
        <v>7963</v>
      </c>
      <c r="E1788" s="330" t="s">
        <v>37248</v>
      </c>
      <c r="F1788" s="331">
        <v>0.21</v>
      </c>
      <c r="G1788" s="332">
        <v>383</v>
      </c>
      <c r="H1788" s="333">
        <v>464</v>
      </c>
    </row>
    <row r="1789" spans="1:8">
      <c r="A1789" s="317" t="s">
        <v>38372</v>
      </c>
      <c r="B1789" s="317" t="s">
        <v>46159</v>
      </c>
      <c r="C1789" s="330" t="s">
        <v>7964</v>
      </c>
      <c r="D1789" s="330" t="s">
        <v>7965</v>
      </c>
      <c r="E1789" s="330" t="s">
        <v>37248</v>
      </c>
      <c r="F1789" s="331">
        <v>0.21</v>
      </c>
      <c r="G1789" s="332">
        <v>1226</v>
      </c>
      <c r="H1789" s="333">
        <v>1484</v>
      </c>
    </row>
    <row r="1790" spans="1:8">
      <c r="A1790" s="317" t="s">
        <v>38373</v>
      </c>
      <c r="B1790" s="317" t="s">
        <v>46160</v>
      </c>
      <c r="C1790" s="330" t="s">
        <v>7966</v>
      </c>
      <c r="D1790" s="330" t="s">
        <v>7967</v>
      </c>
      <c r="E1790" s="330" t="s">
        <v>37248</v>
      </c>
      <c r="F1790" s="331">
        <v>0.21</v>
      </c>
      <c r="G1790" s="332">
        <v>30688</v>
      </c>
      <c r="H1790" s="333">
        <v>37133</v>
      </c>
    </row>
    <row r="1791" spans="1:8">
      <c r="A1791" s="317" t="s">
        <v>38374</v>
      </c>
      <c r="B1791" s="317" t="s">
        <v>46161</v>
      </c>
      <c r="C1791" s="330" t="s">
        <v>7968</v>
      </c>
      <c r="D1791" s="330" t="s">
        <v>7969</v>
      </c>
      <c r="E1791" s="330" t="s">
        <v>37248</v>
      </c>
      <c r="F1791" s="331">
        <v>0.21</v>
      </c>
      <c r="G1791" s="332">
        <v>519</v>
      </c>
      <c r="H1791" s="333">
        <v>628</v>
      </c>
    </row>
    <row r="1792" spans="1:8">
      <c r="A1792" s="317" t="s">
        <v>38375</v>
      </c>
      <c r="B1792" s="317" t="s">
        <v>46162</v>
      </c>
      <c r="C1792" s="330" t="s">
        <v>7970</v>
      </c>
      <c r="D1792" s="330" t="s">
        <v>7971</v>
      </c>
      <c r="E1792" s="330" t="s">
        <v>37248</v>
      </c>
      <c r="F1792" s="331">
        <v>0.21</v>
      </c>
      <c r="G1792" s="332">
        <v>1579</v>
      </c>
      <c r="H1792" s="333">
        <v>1911</v>
      </c>
    </row>
    <row r="1793" spans="1:8">
      <c r="A1793" s="317" t="s">
        <v>38376</v>
      </c>
      <c r="B1793" s="317" t="s">
        <v>46163</v>
      </c>
      <c r="C1793" s="330" t="s">
        <v>7972</v>
      </c>
      <c r="D1793" s="330" t="s">
        <v>7781</v>
      </c>
      <c r="E1793" s="330" t="s">
        <v>37248</v>
      </c>
      <c r="F1793" s="331">
        <v>0.21</v>
      </c>
      <c r="G1793" s="332">
        <v>238</v>
      </c>
      <c r="H1793" s="333">
        <v>288</v>
      </c>
    </row>
    <row r="1794" spans="1:8">
      <c r="A1794" s="317" t="s">
        <v>38377</v>
      </c>
      <c r="B1794" s="317" t="s">
        <v>46164</v>
      </c>
      <c r="C1794" s="330" t="s">
        <v>7973</v>
      </c>
      <c r="D1794" s="330" t="s">
        <v>7401</v>
      </c>
      <c r="E1794" s="330" t="s">
        <v>37248</v>
      </c>
      <c r="F1794" s="331">
        <v>0.21</v>
      </c>
      <c r="G1794" s="332">
        <v>1034</v>
      </c>
      <c r="H1794" s="333">
        <v>1252</v>
      </c>
    </row>
    <row r="1795" spans="1:8">
      <c r="A1795" s="317" t="s">
        <v>38378</v>
      </c>
      <c r="B1795" s="317" t="s">
        <v>46165</v>
      </c>
      <c r="C1795" s="330" t="s">
        <v>7974</v>
      </c>
      <c r="D1795" s="330" t="s">
        <v>7651</v>
      </c>
      <c r="E1795" s="330" t="s">
        <v>37248</v>
      </c>
      <c r="F1795" s="331">
        <v>0.21</v>
      </c>
      <c r="G1795" s="332">
        <v>25227</v>
      </c>
      <c r="H1795" s="333">
        <v>30525</v>
      </c>
    </row>
    <row r="1796" spans="1:8">
      <c r="A1796" s="317" t="s">
        <v>38379</v>
      </c>
      <c r="B1796" s="317" t="s">
        <v>46166</v>
      </c>
      <c r="C1796" s="330" t="s">
        <v>7975</v>
      </c>
      <c r="D1796" s="330" t="s">
        <v>7976</v>
      </c>
      <c r="E1796" s="330" t="s">
        <v>37248</v>
      </c>
      <c r="F1796" s="331">
        <v>0.21</v>
      </c>
      <c r="G1796" s="332">
        <v>6154</v>
      </c>
      <c r="H1796" s="333">
        <v>7447</v>
      </c>
    </row>
    <row r="1797" spans="1:8">
      <c r="A1797" s="317" t="s">
        <v>38380</v>
      </c>
      <c r="B1797" s="317" t="s">
        <v>46167</v>
      </c>
      <c r="C1797" s="330" t="s">
        <v>7977</v>
      </c>
      <c r="D1797" s="330" t="s">
        <v>7978</v>
      </c>
      <c r="E1797" s="330" t="s">
        <v>37248</v>
      </c>
      <c r="F1797" s="331">
        <v>0.21</v>
      </c>
      <c r="G1797" s="332">
        <v>976</v>
      </c>
      <c r="H1797" s="333">
        <v>1181</v>
      </c>
    </row>
    <row r="1798" spans="1:8">
      <c r="A1798" s="317" t="s">
        <v>38381</v>
      </c>
      <c r="B1798" s="317" t="s">
        <v>46168</v>
      </c>
      <c r="C1798" s="330" t="s">
        <v>7979</v>
      </c>
      <c r="D1798" s="330" t="s">
        <v>7980</v>
      </c>
      <c r="E1798" s="330" t="s">
        <v>37248</v>
      </c>
      <c r="F1798" s="331">
        <v>0.21</v>
      </c>
      <c r="G1798" s="332">
        <v>1920</v>
      </c>
      <c r="H1798" s="333">
        <v>2324</v>
      </c>
    </row>
    <row r="1799" spans="1:8">
      <c r="A1799" s="317" t="s">
        <v>38382</v>
      </c>
      <c r="B1799" s="317" t="s">
        <v>46169</v>
      </c>
      <c r="C1799" s="330" t="s">
        <v>7981</v>
      </c>
      <c r="D1799" s="330" t="s">
        <v>7322</v>
      </c>
      <c r="E1799" s="330" t="s">
        <v>4819</v>
      </c>
      <c r="F1799" s="331">
        <v>0.21</v>
      </c>
      <c r="G1799" s="332">
        <v>25662</v>
      </c>
      <c r="H1799" s="333">
        <v>31052</v>
      </c>
    </row>
    <row r="1800" spans="1:8">
      <c r="A1800" s="317" t="s">
        <v>38383</v>
      </c>
      <c r="B1800" s="317" t="s">
        <v>46170</v>
      </c>
      <c r="C1800" s="330" t="s">
        <v>7982</v>
      </c>
      <c r="D1800" s="330" t="s">
        <v>7588</v>
      </c>
      <c r="E1800" s="330" t="s">
        <v>37248</v>
      </c>
      <c r="F1800" s="331">
        <v>0.21</v>
      </c>
      <c r="G1800" s="332">
        <v>26829</v>
      </c>
      <c r="H1800" s="333">
        <v>32464</v>
      </c>
    </row>
    <row r="1801" spans="1:8">
      <c r="A1801" s="317" t="s">
        <v>38384</v>
      </c>
      <c r="B1801" s="317" t="s">
        <v>46171</v>
      </c>
      <c r="C1801" s="330" t="s">
        <v>7983</v>
      </c>
      <c r="D1801" s="330" t="s">
        <v>7041</v>
      </c>
      <c r="E1801" s="330" t="s">
        <v>37248</v>
      </c>
      <c r="F1801" s="331">
        <v>0.21</v>
      </c>
      <c r="G1801" s="332">
        <v>6690</v>
      </c>
      <c r="H1801" s="333">
        <v>8095</v>
      </c>
    </row>
    <row r="1802" spans="1:8">
      <c r="A1802" s="317" t="s">
        <v>38385</v>
      </c>
      <c r="B1802" s="317" t="s">
        <v>46172</v>
      </c>
      <c r="C1802" s="330" t="s">
        <v>7984</v>
      </c>
      <c r="D1802" s="330" t="s">
        <v>7985</v>
      </c>
      <c r="E1802" s="330" t="s">
        <v>37248</v>
      </c>
      <c r="F1802" s="331">
        <v>0.21</v>
      </c>
      <c r="G1802" s="332">
        <v>2529</v>
      </c>
      <c r="H1802" s="333">
        <v>3061</v>
      </c>
    </row>
    <row r="1803" spans="1:8">
      <c r="A1803" s="317" t="s">
        <v>38386</v>
      </c>
      <c r="B1803" s="317" t="s">
        <v>46173</v>
      </c>
      <c r="C1803" s="330" t="s">
        <v>7986</v>
      </c>
      <c r="D1803" s="330" t="s">
        <v>7987</v>
      </c>
      <c r="E1803" s="330" t="s">
        <v>37248</v>
      </c>
      <c r="F1803" s="331">
        <v>0.21</v>
      </c>
      <c r="G1803" s="332">
        <v>410</v>
      </c>
      <c r="H1803" s="333">
        <v>497</v>
      </c>
    </row>
    <row r="1804" spans="1:8">
      <c r="A1804" s="317" t="s">
        <v>38387</v>
      </c>
      <c r="B1804" s="317" t="s">
        <v>46174</v>
      </c>
      <c r="C1804" s="330" t="s">
        <v>7988</v>
      </c>
      <c r="D1804" s="330" t="s">
        <v>7989</v>
      </c>
      <c r="E1804" s="330" t="s">
        <v>37248</v>
      </c>
      <c r="F1804" s="331">
        <v>0.21</v>
      </c>
      <c r="G1804" s="332">
        <v>28143</v>
      </c>
      <c r="H1804" s="333">
        <v>34054</v>
      </c>
    </row>
    <row r="1805" spans="1:8">
      <c r="A1805" s="317" t="s">
        <v>38388</v>
      </c>
      <c r="B1805" s="317" t="s">
        <v>46175</v>
      </c>
      <c r="C1805" s="330" t="s">
        <v>7990</v>
      </c>
      <c r="D1805" s="330" t="s">
        <v>7991</v>
      </c>
      <c r="E1805" s="330" t="s">
        <v>37248</v>
      </c>
      <c r="F1805" s="331">
        <v>0.21</v>
      </c>
      <c r="G1805" s="332">
        <v>296</v>
      </c>
      <c r="H1805" s="333">
        <v>359</v>
      </c>
    </row>
    <row r="1806" spans="1:8">
      <c r="A1806" s="317" t="s">
        <v>38389</v>
      </c>
      <c r="B1806" s="317" t="s">
        <v>46176</v>
      </c>
      <c r="C1806" s="330" t="s">
        <v>7992</v>
      </c>
      <c r="D1806" s="330" t="s">
        <v>7993</v>
      </c>
      <c r="E1806" s="330" t="s">
        <v>37248</v>
      </c>
      <c r="F1806" s="331">
        <v>0.21</v>
      </c>
      <c r="G1806" s="332">
        <v>243</v>
      </c>
      <c r="H1806" s="333">
        <v>295</v>
      </c>
    </row>
    <row r="1807" spans="1:8">
      <c r="A1807" s="317" t="s">
        <v>38390</v>
      </c>
      <c r="B1807" s="317" t="s">
        <v>46177</v>
      </c>
      <c r="C1807" s="330" t="s">
        <v>7994</v>
      </c>
      <c r="D1807" s="330" t="s">
        <v>7464</v>
      </c>
      <c r="E1807" s="330" t="s">
        <v>37248</v>
      </c>
      <c r="F1807" s="331">
        <v>0.21</v>
      </c>
      <c r="G1807" s="332">
        <v>21660</v>
      </c>
      <c r="H1807" s="333">
        <v>26209</v>
      </c>
    </row>
    <row r="1808" spans="1:8">
      <c r="A1808" s="317" t="s">
        <v>38391</v>
      </c>
      <c r="B1808" s="317" t="s">
        <v>46178</v>
      </c>
      <c r="C1808" s="330" t="s">
        <v>7995</v>
      </c>
      <c r="D1808" s="330" t="s">
        <v>7996</v>
      </c>
      <c r="E1808" s="330" t="s">
        <v>37248</v>
      </c>
      <c r="F1808" s="331">
        <v>0.21</v>
      </c>
      <c r="G1808" s="332">
        <v>40847</v>
      </c>
      <c r="H1808" s="333">
        <v>49425</v>
      </c>
    </row>
    <row r="1809" spans="1:8">
      <c r="A1809" s="317" t="s">
        <v>38392</v>
      </c>
      <c r="B1809" s="317" t="s">
        <v>46179</v>
      </c>
      <c r="C1809" s="330" t="s">
        <v>7997</v>
      </c>
      <c r="D1809" s="330" t="s">
        <v>7843</v>
      </c>
      <c r="E1809" s="330" t="s">
        <v>4819</v>
      </c>
      <c r="F1809" s="331">
        <v>0.21</v>
      </c>
      <c r="G1809" s="332">
        <v>10544</v>
      </c>
      <c r="H1809" s="333">
        <v>12759</v>
      </c>
    </row>
    <row r="1810" spans="1:8">
      <c r="A1810" s="317" t="s">
        <v>38393</v>
      </c>
      <c r="B1810" s="317" t="s">
        <v>46180</v>
      </c>
      <c r="C1810" s="330" t="s">
        <v>7998</v>
      </c>
      <c r="D1810" s="330" t="s">
        <v>7920</v>
      </c>
      <c r="E1810" s="330" t="s">
        <v>37248</v>
      </c>
      <c r="F1810" s="331">
        <v>0.21</v>
      </c>
      <c r="G1810" s="332">
        <v>339</v>
      </c>
      <c r="H1810" s="333">
        <v>411</v>
      </c>
    </row>
    <row r="1811" spans="1:8">
      <c r="A1811" s="317" t="s">
        <v>38394</v>
      </c>
      <c r="B1811" s="317" t="s">
        <v>46181</v>
      </c>
      <c r="C1811" s="330" t="s">
        <v>7999</v>
      </c>
      <c r="D1811" s="330" t="s">
        <v>8000</v>
      </c>
      <c r="E1811" s="330" t="s">
        <v>4819</v>
      </c>
      <c r="F1811" s="331">
        <v>0.21</v>
      </c>
      <c r="G1811" s="332">
        <v>3444202</v>
      </c>
      <c r="H1811" s="333">
        <v>4167485</v>
      </c>
    </row>
    <row r="1812" spans="1:8">
      <c r="A1812" s="317" t="s">
        <v>38395</v>
      </c>
      <c r="B1812" s="317" t="s">
        <v>46182</v>
      </c>
      <c r="C1812" s="330" t="s">
        <v>8001</v>
      </c>
      <c r="D1812" s="330" t="s">
        <v>8002</v>
      </c>
      <c r="E1812" s="330" t="s">
        <v>37248</v>
      </c>
      <c r="F1812" s="331">
        <v>0.21</v>
      </c>
      <c r="G1812" s="332">
        <v>671</v>
      </c>
      <c r="H1812" s="333">
        <v>812</v>
      </c>
    </row>
    <row r="1813" spans="1:8">
      <c r="A1813" s="317" t="s">
        <v>38396</v>
      </c>
      <c r="B1813" s="317" t="s">
        <v>46183</v>
      </c>
      <c r="C1813" s="330" t="s">
        <v>8003</v>
      </c>
      <c r="D1813" s="330" t="s">
        <v>8004</v>
      </c>
      <c r="E1813" s="330" t="s">
        <v>37248</v>
      </c>
      <c r="F1813" s="331">
        <v>0.21</v>
      </c>
      <c r="G1813" s="332">
        <v>20826</v>
      </c>
      <c r="H1813" s="333">
        <v>25200</v>
      </c>
    </row>
    <row r="1814" spans="1:8">
      <c r="A1814" s="317" t="s">
        <v>38397</v>
      </c>
      <c r="B1814" s="317" t="s">
        <v>46184</v>
      </c>
      <c r="C1814" s="330" t="s">
        <v>8005</v>
      </c>
      <c r="D1814" s="330" t="s">
        <v>8006</v>
      </c>
      <c r="E1814" s="330" t="s">
        <v>37248</v>
      </c>
      <c r="F1814" s="331">
        <v>0.21</v>
      </c>
      <c r="G1814" s="332">
        <v>10051</v>
      </c>
      <c r="H1814" s="333">
        <v>12162</v>
      </c>
    </row>
    <row r="1815" spans="1:8">
      <c r="A1815" s="317" t="s">
        <v>38398</v>
      </c>
      <c r="B1815" s="317" t="s">
        <v>46185</v>
      </c>
      <c r="C1815" s="330" t="s">
        <v>8007</v>
      </c>
      <c r="D1815" s="330" t="s">
        <v>8008</v>
      </c>
      <c r="E1815" s="330" t="s">
        <v>37248</v>
      </c>
      <c r="F1815" s="331">
        <v>0.21</v>
      </c>
      <c r="G1815" s="332">
        <v>2823</v>
      </c>
      <c r="H1815" s="333">
        <v>3416</v>
      </c>
    </row>
    <row r="1816" spans="1:8">
      <c r="A1816" s="317" t="s">
        <v>38399</v>
      </c>
      <c r="B1816" s="317" t="s">
        <v>46186</v>
      </c>
      <c r="C1816" s="330" t="s">
        <v>8009</v>
      </c>
      <c r="D1816" s="330" t="s">
        <v>8010</v>
      </c>
      <c r="E1816" s="330" t="s">
        <v>37248</v>
      </c>
      <c r="F1816" s="331">
        <v>0.21</v>
      </c>
      <c r="G1816" s="332">
        <v>3607</v>
      </c>
      <c r="H1816" s="333">
        <v>4365</v>
      </c>
    </row>
    <row r="1817" spans="1:8">
      <c r="A1817" s="317" t="s">
        <v>38400</v>
      </c>
      <c r="B1817" s="317" t="s">
        <v>46187</v>
      </c>
      <c r="C1817" s="330" t="s">
        <v>8011</v>
      </c>
      <c r="D1817" s="330" t="s">
        <v>8012</v>
      </c>
      <c r="E1817" s="330" t="s">
        <v>37248</v>
      </c>
      <c r="F1817" s="331">
        <v>0.21</v>
      </c>
      <c r="G1817" s="332">
        <v>2295</v>
      </c>
      <c r="H1817" s="333">
        <v>2777</v>
      </c>
    </row>
    <row r="1818" spans="1:8">
      <c r="A1818" s="317" t="s">
        <v>38401</v>
      </c>
      <c r="B1818" s="317" t="s">
        <v>46188</v>
      </c>
      <c r="C1818" s="330" t="s">
        <v>8013</v>
      </c>
      <c r="D1818" s="330" t="s">
        <v>8014</v>
      </c>
      <c r="E1818" s="330" t="s">
        <v>37248</v>
      </c>
      <c r="F1818" s="331">
        <v>0.21</v>
      </c>
      <c r="G1818" s="332">
        <v>894</v>
      </c>
      <c r="H1818" s="333">
        <v>1082</v>
      </c>
    </row>
    <row r="1819" spans="1:8">
      <c r="A1819" s="317" t="s">
        <v>38402</v>
      </c>
      <c r="B1819" s="317" t="s">
        <v>46189</v>
      </c>
      <c r="C1819" s="330" t="s">
        <v>8015</v>
      </c>
      <c r="D1819" s="330" t="s">
        <v>8016</v>
      </c>
      <c r="E1819" s="330" t="s">
        <v>37248</v>
      </c>
      <c r="F1819" s="331">
        <v>0.21</v>
      </c>
      <c r="G1819" s="332">
        <v>2237</v>
      </c>
      <c r="H1819" s="333">
        <v>2707</v>
      </c>
    </row>
    <row r="1820" spans="1:8">
      <c r="A1820" s="317" t="s">
        <v>38403</v>
      </c>
      <c r="B1820" s="317" t="s">
        <v>46190</v>
      </c>
      <c r="C1820" s="330" t="s">
        <v>8017</v>
      </c>
      <c r="D1820" s="330" t="s">
        <v>8018</v>
      </c>
      <c r="E1820" s="330" t="s">
        <v>37248</v>
      </c>
      <c r="F1820" s="331">
        <v>0.21</v>
      </c>
      <c r="G1820" s="332">
        <v>1744</v>
      </c>
      <c r="H1820" s="333">
        <v>2111</v>
      </c>
    </row>
    <row r="1821" spans="1:8">
      <c r="A1821" s="317" t="s">
        <v>38404</v>
      </c>
      <c r="B1821" s="317" t="s">
        <v>46191</v>
      </c>
      <c r="C1821" s="330" t="s">
        <v>8019</v>
      </c>
      <c r="D1821" s="330" t="s">
        <v>8020</v>
      </c>
      <c r="E1821" s="330" t="s">
        <v>37248</v>
      </c>
      <c r="F1821" s="331">
        <v>0.21</v>
      </c>
      <c r="G1821" s="332">
        <v>240</v>
      </c>
      <c r="H1821" s="333">
        <v>291</v>
      </c>
    </row>
    <row r="1822" spans="1:8">
      <c r="A1822" s="317" t="s">
        <v>38405</v>
      </c>
      <c r="B1822" s="317" t="s">
        <v>46192</v>
      </c>
      <c r="C1822" s="330" t="s">
        <v>8021</v>
      </c>
      <c r="D1822" s="330" t="s">
        <v>7969</v>
      </c>
      <c r="E1822" s="330" t="s">
        <v>4819</v>
      </c>
      <c r="F1822" s="331">
        <v>0.21</v>
      </c>
      <c r="G1822" s="332">
        <v>383</v>
      </c>
      <c r="H1822" s="333">
        <v>464</v>
      </c>
    </row>
    <row r="1823" spans="1:8">
      <c r="A1823" s="317" t="s">
        <v>38406</v>
      </c>
      <c r="B1823" s="317" t="s">
        <v>46193</v>
      </c>
      <c r="C1823" s="330" t="s">
        <v>8022</v>
      </c>
      <c r="D1823" s="330" t="s">
        <v>8023</v>
      </c>
      <c r="E1823" s="330" t="s">
        <v>37248</v>
      </c>
      <c r="F1823" s="331">
        <v>0.21</v>
      </c>
      <c r="G1823" s="332">
        <v>5797</v>
      </c>
      <c r="H1823" s="333">
        <v>7015</v>
      </c>
    </row>
    <row r="1824" spans="1:8">
      <c r="A1824" s="317" t="s">
        <v>38407</v>
      </c>
      <c r="B1824" s="317" t="s">
        <v>46194</v>
      </c>
      <c r="C1824" s="330" t="s">
        <v>8024</v>
      </c>
      <c r="D1824" s="330" t="s">
        <v>8025</v>
      </c>
      <c r="E1824" s="330" t="s">
        <v>37248</v>
      </c>
      <c r="F1824" s="331">
        <v>0.21</v>
      </c>
      <c r="G1824" s="332">
        <v>6826</v>
      </c>
      <c r="H1824" s="333">
        <v>8260</v>
      </c>
    </row>
    <row r="1825" spans="1:8">
      <c r="A1825" s="317" t="s">
        <v>38408</v>
      </c>
      <c r="B1825" s="317" t="s">
        <v>46195</v>
      </c>
      <c r="C1825" s="330" t="s">
        <v>8026</v>
      </c>
      <c r="D1825" s="330" t="s">
        <v>8027</v>
      </c>
      <c r="E1825" s="330" t="s">
        <v>37248</v>
      </c>
      <c r="F1825" s="331">
        <v>0.21</v>
      </c>
      <c r="G1825" s="332">
        <v>305</v>
      </c>
      <c r="H1825" s="333">
        <v>370</v>
      </c>
    </row>
    <row r="1826" spans="1:8">
      <c r="A1826" s="317" t="s">
        <v>38409</v>
      </c>
      <c r="B1826" s="317" t="s">
        <v>46196</v>
      </c>
      <c r="C1826" s="330" t="s">
        <v>8028</v>
      </c>
      <c r="D1826" s="330" t="s">
        <v>8029</v>
      </c>
      <c r="E1826" s="330" t="s">
        <v>37248</v>
      </c>
      <c r="F1826" s="331">
        <v>0.21</v>
      </c>
      <c r="G1826" s="332">
        <v>14435</v>
      </c>
      <c r="H1826" s="333">
        <v>17467</v>
      </c>
    </row>
    <row r="1827" spans="1:8">
      <c r="A1827" s="317" t="s">
        <v>38410</v>
      </c>
      <c r="B1827" s="317" t="s">
        <v>46197</v>
      </c>
      <c r="C1827" s="330" t="s">
        <v>8030</v>
      </c>
      <c r="D1827" s="330" t="s">
        <v>8031</v>
      </c>
      <c r="E1827" s="330" t="s">
        <v>37248</v>
      </c>
      <c r="F1827" s="331">
        <v>0.21</v>
      </c>
      <c r="G1827" s="332">
        <v>12800</v>
      </c>
      <c r="H1827" s="333">
        <v>15488</v>
      </c>
    </row>
    <row r="1828" spans="1:8">
      <c r="A1828" s="317" t="s">
        <v>38411</v>
      </c>
      <c r="B1828" s="317" t="s">
        <v>46198</v>
      </c>
      <c r="C1828" s="330" t="s">
        <v>8032</v>
      </c>
      <c r="D1828" s="330" t="s">
        <v>8031</v>
      </c>
      <c r="E1828" s="330" t="s">
        <v>37248</v>
      </c>
      <c r="F1828" s="331">
        <v>0.21</v>
      </c>
      <c r="G1828" s="332">
        <v>19086</v>
      </c>
      <c r="H1828" s="333">
        <v>23095</v>
      </c>
    </row>
    <row r="1829" spans="1:8">
      <c r="A1829" s="317" t="s">
        <v>38412</v>
      </c>
      <c r="B1829" s="317" t="s">
        <v>46199</v>
      </c>
      <c r="C1829" s="330" t="s">
        <v>8033</v>
      </c>
      <c r="D1829" s="330" t="s">
        <v>8031</v>
      </c>
      <c r="E1829" s="330" t="s">
        <v>37248</v>
      </c>
      <c r="F1829" s="331">
        <v>0.21</v>
      </c>
      <c r="G1829" s="332">
        <v>12800</v>
      </c>
      <c r="H1829" s="333">
        <v>15488</v>
      </c>
    </row>
    <row r="1830" spans="1:8">
      <c r="A1830" s="317" t="s">
        <v>38413</v>
      </c>
      <c r="B1830" s="317" t="s">
        <v>46200</v>
      </c>
      <c r="C1830" s="330" t="s">
        <v>8034</v>
      </c>
      <c r="D1830" s="330" t="s">
        <v>8031</v>
      </c>
      <c r="E1830" s="330" t="s">
        <v>37248</v>
      </c>
      <c r="F1830" s="331">
        <v>0.21</v>
      </c>
      <c r="G1830" s="332">
        <v>19086</v>
      </c>
      <c r="H1830" s="333">
        <v>23095</v>
      </c>
    </row>
    <row r="1831" spans="1:8">
      <c r="A1831" s="317" t="s">
        <v>38414</v>
      </c>
      <c r="B1831" s="317" t="s">
        <v>46201</v>
      </c>
      <c r="C1831" s="330" t="s">
        <v>8035</v>
      </c>
      <c r="D1831" s="330" t="s">
        <v>8036</v>
      </c>
      <c r="E1831" s="330" t="s">
        <v>37248</v>
      </c>
      <c r="F1831" s="331">
        <v>0.21</v>
      </c>
      <c r="G1831" s="332">
        <v>1117</v>
      </c>
      <c r="H1831" s="333">
        <v>1352</v>
      </c>
    </row>
    <row r="1832" spans="1:8">
      <c r="A1832" s="317" t="s">
        <v>38415</v>
      </c>
      <c r="B1832" s="317" t="s">
        <v>46202</v>
      </c>
      <c r="C1832" s="330" t="s">
        <v>8037</v>
      </c>
      <c r="D1832" s="330" t="s">
        <v>8036</v>
      </c>
      <c r="E1832" s="330" t="s">
        <v>37248</v>
      </c>
      <c r="F1832" s="331">
        <v>0.21</v>
      </c>
      <c r="G1832" s="332">
        <v>1117</v>
      </c>
      <c r="H1832" s="333">
        <v>1352</v>
      </c>
    </row>
    <row r="1833" spans="1:8">
      <c r="A1833" s="317" t="s">
        <v>38416</v>
      </c>
      <c r="B1833" s="317" t="s">
        <v>46203</v>
      </c>
      <c r="C1833" s="330" t="s">
        <v>8038</v>
      </c>
      <c r="D1833" s="330" t="s">
        <v>8039</v>
      </c>
      <c r="E1833" s="330" t="s">
        <v>37248</v>
      </c>
      <c r="F1833" s="331">
        <v>0.21</v>
      </c>
      <c r="G1833" s="332">
        <v>3471</v>
      </c>
      <c r="H1833" s="333">
        <v>4200</v>
      </c>
    </row>
    <row r="1834" spans="1:8">
      <c r="A1834" s="317" t="s">
        <v>38417</v>
      </c>
      <c r="B1834" s="317" t="s">
        <v>46204</v>
      </c>
      <c r="C1834" s="330" t="s">
        <v>8040</v>
      </c>
      <c r="D1834" s="330" t="s">
        <v>8041</v>
      </c>
      <c r="E1834" s="330" t="s">
        <v>37248</v>
      </c>
      <c r="F1834" s="331">
        <v>0.21</v>
      </c>
      <c r="G1834" s="332">
        <v>1383</v>
      </c>
      <c r="H1834" s="333">
        <v>1674</v>
      </c>
    </row>
    <row r="1835" spans="1:8">
      <c r="A1835" s="317" t="s">
        <v>38418</v>
      </c>
      <c r="B1835" s="317" t="s">
        <v>46205</v>
      </c>
      <c r="C1835" s="330" t="s">
        <v>8042</v>
      </c>
      <c r="D1835" s="330" t="s">
        <v>8043</v>
      </c>
      <c r="E1835" s="330" t="s">
        <v>37248</v>
      </c>
      <c r="F1835" s="331">
        <v>0.21</v>
      </c>
      <c r="G1835" s="332">
        <v>11550</v>
      </c>
      <c r="H1835" s="333">
        <v>13976</v>
      </c>
    </row>
    <row r="1836" spans="1:8">
      <c r="A1836" s="317" t="s">
        <v>38419</v>
      </c>
      <c r="B1836" s="317" t="s">
        <v>46206</v>
      </c>
      <c r="C1836" s="330" t="s">
        <v>8044</v>
      </c>
      <c r="D1836" s="330" t="s">
        <v>7993</v>
      </c>
      <c r="E1836" s="330" t="s">
        <v>4819</v>
      </c>
      <c r="F1836" s="331">
        <v>0.21</v>
      </c>
      <c r="G1836" s="332">
        <v>751</v>
      </c>
      <c r="H1836" s="333">
        <v>909</v>
      </c>
    </row>
    <row r="1837" spans="1:8">
      <c r="A1837" s="317" t="s">
        <v>38420</v>
      </c>
      <c r="B1837" s="317" t="s">
        <v>46207</v>
      </c>
      <c r="C1837" s="330" t="s">
        <v>8045</v>
      </c>
      <c r="D1837" s="330" t="s">
        <v>8046</v>
      </c>
      <c r="E1837" s="330" t="s">
        <v>37248</v>
      </c>
      <c r="F1837" s="331">
        <v>0.21</v>
      </c>
      <c r="G1837" s="332">
        <v>4693</v>
      </c>
      <c r="H1837" s="333">
        <v>5679</v>
      </c>
    </row>
    <row r="1838" spans="1:8">
      <c r="A1838" s="317" t="s">
        <v>38421</v>
      </c>
      <c r="B1838" s="317" t="s">
        <v>46208</v>
      </c>
      <c r="C1838" s="330" t="s">
        <v>8047</v>
      </c>
      <c r="D1838" s="330" t="s">
        <v>8048</v>
      </c>
      <c r="E1838" s="330" t="s">
        <v>37248</v>
      </c>
      <c r="F1838" s="331">
        <v>0.21</v>
      </c>
      <c r="G1838" s="332">
        <v>9929</v>
      </c>
      <c r="H1838" s="333">
        <v>12015</v>
      </c>
    </row>
    <row r="1839" spans="1:8">
      <c r="A1839" s="317" t="s">
        <v>38422</v>
      </c>
      <c r="B1839" s="317" t="s">
        <v>46209</v>
      </c>
      <c r="C1839" s="330" t="s">
        <v>8049</v>
      </c>
      <c r="D1839" s="330" t="s">
        <v>8050</v>
      </c>
      <c r="E1839" s="330" t="s">
        <v>37248</v>
      </c>
      <c r="F1839" s="331">
        <v>0.21</v>
      </c>
      <c r="G1839" s="332">
        <v>5124</v>
      </c>
      <c r="H1839" s="333">
        <v>6201</v>
      </c>
    </row>
    <row r="1840" spans="1:8">
      <c r="A1840" s="317" t="s">
        <v>38423</v>
      </c>
      <c r="B1840" s="317" t="s">
        <v>46210</v>
      </c>
      <c r="C1840" s="330" t="s">
        <v>8051</v>
      </c>
      <c r="D1840" s="330" t="s">
        <v>7651</v>
      </c>
      <c r="E1840" s="330" t="s">
        <v>37248</v>
      </c>
      <c r="F1840" s="331">
        <v>0.21</v>
      </c>
      <c r="G1840" s="332">
        <v>9474</v>
      </c>
      <c r="H1840" s="333">
        <v>11464</v>
      </c>
    </row>
    <row r="1841" spans="1:8">
      <c r="A1841" s="317" t="s">
        <v>38424</v>
      </c>
      <c r="B1841" s="317" t="s">
        <v>46211</v>
      </c>
      <c r="C1841" s="330" t="s">
        <v>8052</v>
      </c>
      <c r="D1841" s="330" t="s">
        <v>7588</v>
      </c>
      <c r="E1841" s="330" t="s">
        <v>37248</v>
      </c>
      <c r="F1841" s="331">
        <v>0.21</v>
      </c>
      <c r="G1841" s="332">
        <v>13926</v>
      </c>
      <c r="H1841" s="333">
        <v>16851</v>
      </c>
    </row>
    <row r="1842" spans="1:8">
      <c r="A1842" s="317" t="s">
        <v>38425</v>
      </c>
      <c r="B1842" s="317" t="s">
        <v>46212</v>
      </c>
      <c r="C1842" s="330" t="s">
        <v>8053</v>
      </c>
      <c r="D1842" s="330" t="s">
        <v>8054</v>
      </c>
      <c r="E1842" s="330" t="s">
        <v>37248</v>
      </c>
      <c r="F1842" s="331">
        <v>0.21</v>
      </c>
      <c r="G1842" s="332">
        <v>38471</v>
      </c>
      <c r="H1842" s="333">
        <v>46550</v>
      </c>
    </row>
    <row r="1843" spans="1:8">
      <c r="A1843" s="317" t="s">
        <v>38426</v>
      </c>
      <c r="B1843" s="317" t="s">
        <v>46213</v>
      </c>
      <c r="C1843" s="330" t="s">
        <v>8055</v>
      </c>
      <c r="D1843" s="330" t="s">
        <v>8056</v>
      </c>
      <c r="E1843" s="330" t="s">
        <v>37248</v>
      </c>
      <c r="F1843" s="331">
        <v>0.21</v>
      </c>
      <c r="G1843" s="332">
        <v>2032</v>
      </c>
      <c r="H1843" s="333">
        <v>2459</v>
      </c>
    </row>
    <row r="1844" spans="1:8">
      <c r="A1844" s="317" t="s">
        <v>38427</v>
      </c>
      <c r="B1844" s="317" t="s">
        <v>46214</v>
      </c>
      <c r="C1844" s="330" t="s">
        <v>8057</v>
      </c>
      <c r="D1844" s="330" t="s">
        <v>8058</v>
      </c>
      <c r="E1844" s="330" t="s">
        <v>37248</v>
      </c>
      <c r="F1844" s="331">
        <v>0.21</v>
      </c>
      <c r="G1844" s="332">
        <v>976</v>
      </c>
      <c r="H1844" s="333">
        <v>1181</v>
      </c>
    </row>
    <row r="1845" spans="1:8">
      <c r="A1845" s="317" t="s">
        <v>38428</v>
      </c>
      <c r="B1845" s="317" t="s">
        <v>46215</v>
      </c>
      <c r="C1845" s="330" t="s">
        <v>8059</v>
      </c>
      <c r="D1845" s="330" t="s">
        <v>8060</v>
      </c>
      <c r="E1845" s="330" t="s">
        <v>37248</v>
      </c>
      <c r="F1845" s="331">
        <v>0.21</v>
      </c>
      <c r="G1845" s="332">
        <v>675</v>
      </c>
      <c r="H1845" s="333">
        <v>817</v>
      </c>
    </row>
    <row r="1846" spans="1:8">
      <c r="A1846" s="317" t="s">
        <v>38429</v>
      </c>
      <c r="B1846" s="317" t="s">
        <v>46216</v>
      </c>
      <c r="C1846" s="330" t="s">
        <v>8061</v>
      </c>
      <c r="D1846" s="330" t="s">
        <v>8062</v>
      </c>
      <c r="E1846" s="330" t="s">
        <v>37248</v>
      </c>
      <c r="F1846" s="331">
        <v>0.21</v>
      </c>
      <c r="G1846" s="332">
        <v>13926</v>
      </c>
      <c r="H1846" s="333">
        <v>16851</v>
      </c>
    </row>
    <row r="1847" spans="1:8">
      <c r="A1847" s="317" t="s">
        <v>38430</v>
      </c>
      <c r="B1847" s="317" t="s">
        <v>46217</v>
      </c>
      <c r="C1847" s="330" t="s">
        <v>8063</v>
      </c>
      <c r="D1847" s="330" t="s">
        <v>8064</v>
      </c>
      <c r="E1847" s="330" t="s">
        <v>37248</v>
      </c>
      <c r="F1847" s="331">
        <v>0.21</v>
      </c>
      <c r="G1847" s="332">
        <v>15309</v>
      </c>
      <c r="H1847" s="333">
        <v>18524</v>
      </c>
    </row>
    <row r="1848" spans="1:8">
      <c r="A1848" s="317" t="s">
        <v>38431</v>
      </c>
      <c r="B1848" s="317" t="s">
        <v>46218</v>
      </c>
      <c r="C1848" s="330" t="s">
        <v>8065</v>
      </c>
      <c r="D1848" s="330" t="s">
        <v>8066</v>
      </c>
      <c r="E1848" s="330" t="s">
        <v>37248</v>
      </c>
      <c r="F1848" s="331">
        <v>0.21</v>
      </c>
      <c r="G1848" s="332">
        <v>1579</v>
      </c>
      <c r="H1848" s="333">
        <v>1911</v>
      </c>
    </row>
    <row r="1849" spans="1:8">
      <c r="A1849" s="317" t="s">
        <v>38432</v>
      </c>
      <c r="B1849" s="317" t="s">
        <v>46219</v>
      </c>
      <c r="C1849" s="330" t="s">
        <v>8067</v>
      </c>
      <c r="D1849" s="330" t="s">
        <v>8068</v>
      </c>
      <c r="E1849" s="330" t="s">
        <v>37248</v>
      </c>
      <c r="F1849" s="331">
        <v>0.21</v>
      </c>
      <c r="G1849" s="332">
        <v>976</v>
      </c>
      <c r="H1849" s="333">
        <v>1181</v>
      </c>
    </row>
    <row r="1850" spans="1:8">
      <c r="A1850" s="317" t="s">
        <v>38433</v>
      </c>
      <c r="B1850" s="317" t="s">
        <v>46220</v>
      </c>
      <c r="C1850" s="330" t="s">
        <v>8069</v>
      </c>
      <c r="D1850" s="330" t="s">
        <v>6931</v>
      </c>
      <c r="E1850" s="330" t="s">
        <v>37248</v>
      </c>
      <c r="F1850" s="331">
        <v>0.21</v>
      </c>
      <c r="G1850" s="332">
        <v>5121</v>
      </c>
      <c r="H1850" s="333">
        <v>6197</v>
      </c>
    </row>
    <row r="1851" spans="1:8">
      <c r="A1851" s="317" t="s">
        <v>38434</v>
      </c>
      <c r="B1851" s="317" t="s">
        <v>46221</v>
      </c>
      <c r="C1851" s="330" t="s">
        <v>8070</v>
      </c>
      <c r="D1851" s="330" t="s">
        <v>8071</v>
      </c>
      <c r="E1851" s="330" t="s">
        <v>37248</v>
      </c>
      <c r="F1851" s="331">
        <v>0.21</v>
      </c>
      <c r="G1851" s="332">
        <v>976</v>
      </c>
      <c r="H1851" s="333">
        <v>1181</v>
      </c>
    </row>
    <row r="1852" spans="1:8">
      <c r="A1852" s="317" t="s">
        <v>38435</v>
      </c>
      <c r="B1852" s="317" t="s">
        <v>46222</v>
      </c>
      <c r="C1852" s="330" t="s">
        <v>8072</v>
      </c>
      <c r="D1852" s="330" t="s">
        <v>8071</v>
      </c>
      <c r="E1852" s="330" t="s">
        <v>37248</v>
      </c>
      <c r="F1852" s="331">
        <v>0.21</v>
      </c>
      <c r="G1852" s="332">
        <v>976</v>
      </c>
      <c r="H1852" s="333">
        <v>1181</v>
      </c>
    </row>
    <row r="1853" spans="1:8">
      <c r="A1853" s="317" t="s">
        <v>38436</v>
      </c>
      <c r="B1853" s="317" t="s">
        <v>46223</v>
      </c>
      <c r="C1853" s="330" t="s">
        <v>8073</v>
      </c>
      <c r="D1853" s="330" t="s">
        <v>8071</v>
      </c>
      <c r="E1853" s="330" t="s">
        <v>37248</v>
      </c>
      <c r="F1853" s="331">
        <v>0.21</v>
      </c>
      <c r="G1853" s="332">
        <v>976</v>
      </c>
      <c r="H1853" s="333">
        <v>1181</v>
      </c>
    </row>
    <row r="1854" spans="1:8">
      <c r="A1854" s="317" t="s">
        <v>38437</v>
      </c>
      <c r="B1854" s="317" t="s">
        <v>46224</v>
      </c>
      <c r="C1854" s="330" t="s">
        <v>8074</v>
      </c>
      <c r="D1854" s="330" t="s">
        <v>8071</v>
      </c>
      <c r="E1854" s="330" t="s">
        <v>37248</v>
      </c>
      <c r="F1854" s="331">
        <v>0.21</v>
      </c>
      <c r="G1854" s="332">
        <v>976</v>
      </c>
      <c r="H1854" s="333">
        <v>1181</v>
      </c>
    </row>
    <row r="1855" spans="1:8">
      <c r="A1855" s="317" t="s">
        <v>38438</v>
      </c>
      <c r="B1855" s="317" t="s">
        <v>46225</v>
      </c>
      <c r="C1855" s="330" t="s">
        <v>8075</v>
      </c>
      <c r="D1855" s="330" t="s">
        <v>8071</v>
      </c>
      <c r="E1855" s="330" t="s">
        <v>37248</v>
      </c>
      <c r="F1855" s="331">
        <v>0.21</v>
      </c>
      <c r="G1855" s="332">
        <v>976</v>
      </c>
      <c r="H1855" s="333">
        <v>1181</v>
      </c>
    </row>
    <row r="1856" spans="1:8">
      <c r="A1856" s="317" t="s">
        <v>38439</v>
      </c>
      <c r="B1856" s="317" t="s">
        <v>46226</v>
      </c>
      <c r="C1856" s="330" t="s">
        <v>8076</v>
      </c>
      <c r="D1856" s="330" t="s">
        <v>8077</v>
      </c>
      <c r="E1856" s="330" t="s">
        <v>37248</v>
      </c>
      <c r="F1856" s="331">
        <v>0.21</v>
      </c>
      <c r="G1856" s="332">
        <v>976</v>
      </c>
      <c r="H1856" s="333">
        <v>1181</v>
      </c>
    </row>
    <row r="1857" spans="1:8">
      <c r="A1857" s="317" t="s">
        <v>38440</v>
      </c>
      <c r="B1857" s="317" t="s">
        <v>46227</v>
      </c>
      <c r="C1857" s="330" t="s">
        <v>8078</v>
      </c>
      <c r="D1857" s="330" t="s">
        <v>8079</v>
      </c>
      <c r="E1857" s="330" t="s">
        <v>37248</v>
      </c>
      <c r="F1857" s="331">
        <v>0.21</v>
      </c>
      <c r="G1857" s="332">
        <v>976</v>
      </c>
      <c r="H1857" s="333">
        <v>1181</v>
      </c>
    </row>
    <row r="1858" spans="1:8">
      <c r="A1858" s="317" t="s">
        <v>38441</v>
      </c>
      <c r="B1858" s="317" t="s">
        <v>46228</v>
      </c>
      <c r="C1858" s="330" t="s">
        <v>8080</v>
      </c>
      <c r="D1858" s="330" t="s">
        <v>8081</v>
      </c>
      <c r="E1858" s="330" t="s">
        <v>37248</v>
      </c>
      <c r="F1858" s="331">
        <v>0.21</v>
      </c>
      <c r="G1858" s="332">
        <v>976</v>
      </c>
      <c r="H1858" s="333">
        <v>1181</v>
      </c>
    </row>
    <row r="1859" spans="1:8">
      <c r="A1859" s="317" t="s">
        <v>38442</v>
      </c>
      <c r="B1859" s="317" t="s">
        <v>46229</v>
      </c>
      <c r="C1859" s="330" t="s">
        <v>8082</v>
      </c>
      <c r="D1859" s="330" t="s">
        <v>8083</v>
      </c>
      <c r="E1859" s="330" t="s">
        <v>37248</v>
      </c>
      <c r="F1859" s="331">
        <v>0.21</v>
      </c>
      <c r="G1859" s="332">
        <v>976</v>
      </c>
      <c r="H1859" s="333">
        <v>1181</v>
      </c>
    </row>
    <row r="1860" spans="1:8">
      <c r="A1860" s="317" t="s">
        <v>38443</v>
      </c>
      <c r="B1860" s="317" t="s">
        <v>46230</v>
      </c>
      <c r="C1860" s="330" t="s">
        <v>8084</v>
      </c>
      <c r="D1860" s="330" t="s">
        <v>8085</v>
      </c>
      <c r="E1860" s="330" t="s">
        <v>37248</v>
      </c>
      <c r="F1860" s="331">
        <v>0.21</v>
      </c>
      <c r="G1860" s="332">
        <v>976</v>
      </c>
      <c r="H1860" s="333">
        <v>1181</v>
      </c>
    </row>
    <row r="1861" spans="1:8">
      <c r="A1861" s="317" t="s">
        <v>38444</v>
      </c>
      <c r="B1861" s="317" t="s">
        <v>46231</v>
      </c>
      <c r="C1861" s="330" t="s">
        <v>8086</v>
      </c>
      <c r="D1861" s="330" t="s">
        <v>8087</v>
      </c>
      <c r="E1861" s="330" t="s">
        <v>37248</v>
      </c>
      <c r="F1861" s="331">
        <v>0.21</v>
      </c>
      <c r="G1861" s="332">
        <v>976</v>
      </c>
      <c r="H1861" s="333">
        <v>1181</v>
      </c>
    </row>
    <row r="1862" spans="1:8">
      <c r="A1862" s="317" t="s">
        <v>38445</v>
      </c>
      <c r="B1862" s="317" t="s">
        <v>46232</v>
      </c>
      <c r="C1862" s="330" t="s">
        <v>8088</v>
      </c>
      <c r="D1862" s="330" t="s">
        <v>7645</v>
      </c>
      <c r="E1862" s="330" t="s">
        <v>37248</v>
      </c>
      <c r="F1862" s="331">
        <v>0.21</v>
      </c>
      <c r="G1862" s="332">
        <v>976</v>
      </c>
      <c r="H1862" s="333">
        <v>1181</v>
      </c>
    </row>
    <row r="1863" spans="1:8">
      <c r="A1863" s="317" t="s">
        <v>38446</v>
      </c>
      <c r="B1863" s="317" t="s">
        <v>46233</v>
      </c>
      <c r="C1863" s="330" t="s">
        <v>8089</v>
      </c>
      <c r="D1863" s="330" t="s">
        <v>7653</v>
      </c>
      <c r="E1863" s="330" t="s">
        <v>37248</v>
      </c>
      <c r="F1863" s="331">
        <v>0.21</v>
      </c>
      <c r="G1863" s="332">
        <v>976</v>
      </c>
      <c r="H1863" s="333">
        <v>1181</v>
      </c>
    </row>
    <row r="1864" spans="1:8">
      <c r="A1864" s="317" t="s">
        <v>38447</v>
      </c>
      <c r="B1864" s="317" t="s">
        <v>46234</v>
      </c>
      <c r="C1864" s="330" t="s">
        <v>8090</v>
      </c>
      <c r="D1864" s="330" t="s">
        <v>8091</v>
      </c>
      <c r="E1864" s="330" t="s">
        <v>37248</v>
      </c>
      <c r="F1864" s="331">
        <v>0.21</v>
      </c>
      <c r="G1864" s="332">
        <v>976</v>
      </c>
      <c r="H1864" s="333">
        <v>1181</v>
      </c>
    </row>
    <row r="1865" spans="1:8">
      <c r="A1865" s="317" t="s">
        <v>38448</v>
      </c>
      <c r="B1865" s="317" t="s">
        <v>46235</v>
      </c>
      <c r="C1865" s="330" t="s">
        <v>8092</v>
      </c>
      <c r="D1865" s="330" t="s">
        <v>8091</v>
      </c>
      <c r="E1865" s="330" t="s">
        <v>37248</v>
      </c>
      <c r="F1865" s="331">
        <v>0.21</v>
      </c>
      <c r="G1865" s="332">
        <v>976</v>
      </c>
      <c r="H1865" s="333">
        <v>1181</v>
      </c>
    </row>
    <row r="1866" spans="1:8">
      <c r="A1866" s="317" t="s">
        <v>38449</v>
      </c>
      <c r="B1866" s="317" t="s">
        <v>46236</v>
      </c>
      <c r="C1866" s="330" t="s">
        <v>8093</v>
      </c>
      <c r="D1866" s="330" t="s">
        <v>8094</v>
      </c>
      <c r="E1866" s="330" t="s">
        <v>37248</v>
      </c>
      <c r="F1866" s="331">
        <v>0.21</v>
      </c>
      <c r="G1866" s="332">
        <v>976</v>
      </c>
      <c r="H1866" s="333">
        <v>1181</v>
      </c>
    </row>
    <row r="1867" spans="1:8">
      <c r="A1867" s="317" t="s">
        <v>38450</v>
      </c>
      <c r="B1867" s="317" t="s">
        <v>46237</v>
      </c>
      <c r="C1867" s="330" t="s">
        <v>8095</v>
      </c>
      <c r="D1867" s="330" t="s">
        <v>8094</v>
      </c>
      <c r="E1867" s="330" t="s">
        <v>37248</v>
      </c>
      <c r="F1867" s="331">
        <v>0.21</v>
      </c>
      <c r="G1867" s="332">
        <v>976</v>
      </c>
      <c r="H1867" s="333">
        <v>1181</v>
      </c>
    </row>
    <row r="1868" spans="1:8">
      <c r="A1868" s="317" t="s">
        <v>38451</v>
      </c>
      <c r="B1868" s="317" t="s">
        <v>46238</v>
      </c>
      <c r="C1868" s="330" t="s">
        <v>8096</v>
      </c>
      <c r="D1868" s="330" t="s">
        <v>8094</v>
      </c>
      <c r="E1868" s="330" t="s">
        <v>37248</v>
      </c>
      <c r="F1868" s="331">
        <v>0.21</v>
      </c>
      <c r="G1868" s="332">
        <v>976</v>
      </c>
      <c r="H1868" s="333">
        <v>1181</v>
      </c>
    </row>
    <row r="1869" spans="1:8">
      <c r="A1869" s="317" t="s">
        <v>38452</v>
      </c>
      <c r="B1869" s="317" t="s">
        <v>46239</v>
      </c>
      <c r="C1869" s="330" t="s">
        <v>8097</v>
      </c>
      <c r="D1869" s="330" t="s">
        <v>8094</v>
      </c>
      <c r="E1869" s="330" t="s">
        <v>37248</v>
      </c>
      <c r="F1869" s="331">
        <v>0.21</v>
      </c>
      <c r="G1869" s="332">
        <v>976</v>
      </c>
      <c r="H1869" s="333">
        <v>1181</v>
      </c>
    </row>
    <row r="1870" spans="1:8">
      <c r="A1870" s="317" t="s">
        <v>38453</v>
      </c>
      <c r="B1870" s="317" t="s">
        <v>46240</v>
      </c>
      <c r="C1870" s="330" t="s">
        <v>8098</v>
      </c>
      <c r="D1870" s="330" t="s">
        <v>8094</v>
      </c>
      <c r="E1870" s="330" t="s">
        <v>37248</v>
      </c>
      <c r="F1870" s="331">
        <v>0.21</v>
      </c>
      <c r="G1870" s="332">
        <v>976</v>
      </c>
      <c r="H1870" s="333">
        <v>1181</v>
      </c>
    </row>
    <row r="1871" spans="1:8">
      <c r="A1871" s="317" t="s">
        <v>38454</v>
      </c>
      <c r="B1871" s="317" t="s">
        <v>46241</v>
      </c>
      <c r="C1871" s="330" t="s">
        <v>8099</v>
      </c>
      <c r="D1871" s="330" t="s">
        <v>8094</v>
      </c>
      <c r="E1871" s="330" t="s">
        <v>37248</v>
      </c>
      <c r="F1871" s="331">
        <v>0.21</v>
      </c>
      <c r="G1871" s="332">
        <v>976</v>
      </c>
      <c r="H1871" s="333">
        <v>1181</v>
      </c>
    </row>
    <row r="1872" spans="1:8">
      <c r="A1872" s="317" t="s">
        <v>38455</v>
      </c>
      <c r="B1872" s="317" t="s">
        <v>46242</v>
      </c>
      <c r="C1872" s="330" t="s">
        <v>8100</v>
      </c>
      <c r="D1872" s="330" t="s">
        <v>8101</v>
      </c>
      <c r="E1872" s="330" t="s">
        <v>37248</v>
      </c>
      <c r="F1872" s="331">
        <v>0.21</v>
      </c>
      <c r="G1872" s="332">
        <v>976</v>
      </c>
      <c r="H1872" s="333">
        <v>1181</v>
      </c>
    </row>
    <row r="1873" spans="1:8">
      <c r="A1873" s="317" t="s">
        <v>38456</v>
      </c>
      <c r="B1873" s="317" t="s">
        <v>46243</v>
      </c>
      <c r="C1873" s="330" t="s">
        <v>8102</v>
      </c>
      <c r="D1873" s="330" t="s">
        <v>8101</v>
      </c>
      <c r="E1873" s="330" t="s">
        <v>37248</v>
      </c>
      <c r="F1873" s="331">
        <v>0.21</v>
      </c>
      <c r="G1873" s="332">
        <v>976</v>
      </c>
      <c r="H1873" s="333">
        <v>1181</v>
      </c>
    </row>
    <row r="1874" spans="1:8">
      <c r="A1874" s="317" t="s">
        <v>38457</v>
      </c>
      <c r="B1874" s="317" t="s">
        <v>46244</v>
      </c>
      <c r="C1874" s="330" t="s">
        <v>8103</v>
      </c>
      <c r="D1874" s="330" t="s">
        <v>8101</v>
      </c>
      <c r="E1874" s="330" t="s">
        <v>37248</v>
      </c>
      <c r="F1874" s="331">
        <v>0.21</v>
      </c>
      <c r="G1874" s="332">
        <v>976</v>
      </c>
      <c r="H1874" s="333">
        <v>1181</v>
      </c>
    </row>
    <row r="1875" spans="1:8">
      <c r="A1875" s="317" t="s">
        <v>38458</v>
      </c>
      <c r="B1875" s="317" t="s">
        <v>46245</v>
      </c>
      <c r="C1875" s="330" t="s">
        <v>8104</v>
      </c>
      <c r="D1875" s="330" t="s">
        <v>8105</v>
      </c>
      <c r="E1875" s="330" t="s">
        <v>37248</v>
      </c>
      <c r="F1875" s="331">
        <v>0.21</v>
      </c>
      <c r="G1875" s="332">
        <v>976</v>
      </c>
      <c r="H1875" s="333">
        <v>1181</v>
      </c>
    </row>
    <row r="1876" spans="1:8">
      <c r="A1876" s="317" t="s">
        <v>38459</v>
      </c>
      <c r="B1876" s="317" t="s">
        <v>46246</v>
      </c>
      <c r="C1876" s="330" t="s">
        <v>8106</v>
      </c>
      <c r="D1876" s="330" t="s">
        <v>8107</v>
      </c>
      <c r="E1876" s="330" t="s">
        <v>37248</v>
      </c>
      <c r="F1876" s="331">
        <v>0.21</v>
      </c>
      <c r="G1876" s="332">
        <v>1505</v>
      </c>
      <c r="H1876" s="333">
        <v>1822</v>
      </c>
    </row>
    <row r="1877" spans="1:8">
      <c r="A1877" s="317" t="s">
        <v>38460</v>
      </c>
      <c r="B1877" s="317" t="s">
        <v>46247</v>
      </c>
      <c r="C1877" s="330" t="s">
        <v>8108</v>
      </c>
      <c r="D1877" s="330" t="s">
        <v>8107</v>
      </c>
      <c r="E1877" s="330" t="s">
        <v>37248</v>
      </c>
      <c r="F1877" s="331">
        <v>0.21</v>
      </c>
      <c r="G1877" s="332">
        <v>1072</v>
      </c>
      <c r="H1877" s="333">
        <v>1298</v>
      </c>
    </row>
    <row r="1878" spans="1:8">
      <c r="A1878" s="317" t="s">
        <v>38461</v>
      </c>
      <c r="B1878" s="317" t="s">
        <v>46248</v>
      </c>
      <c r="C1878" s="330" t="s">
        <v>8109</v>
      </c>
      <c r="D1878" s="330" t="s">
        <v>8107</v>
      </c>
      <c r="E1878" s="330" t="s">
        <v>37248</v>
      </c>
      <c r="F1878" s="331">
        <v>0.21</v>
      </c>
      <c r="G1878" s="332">
        <v>976</v>
      </c>
      <c r="H1878" s="333">
        <v>1181</v>
      </c>
    </row>
    <row r="1879" spans="1:8">
      <c r="A1879" s="317" t="s">
        <v>38462</v>
      </c>
      <c r="B1879" s="317" t="s">
        <v>46249</v>
      </c>
      <c r="C1879" s="330" t="s">
        <v>8110</v>
      </c>
      <c r="D1879" s="330" t="s">
        <v>8111</v>
      </c>
      <c r="E1879" s="330" t="s">
        <v>37248</v>
      </c>
      <c r="F1879" s="331">
        <v>0.21</v>
      </c>
      <c r="G1879" s="332">
        <v>976</v>
      </c>
      <c r="H1879" s="333">
        <v>1181</v>
      </c>
    </row>
    <row r="1880" spans="1:8">
      <c r="A1880" s="317" t="s">
        <v>38463</v>
      </c>
      <c r="B1880" s="317" t="s">
        <v>46250</v>
      </c>
      <c r="C1880" s="330" t="s">
        <v>8112</v>
      </c>
      <c r="D1880" s="330" t="s">
        <v>8113</v>
      </c>
      <c r="E1880" s="330" t="s">
        <v>37248</v>
      </c>
      <c r="F1880" s="331">
        <v>0.21</v>
      </c>
      <c r="G1880" s="332">
        <v>976</v>
      </c>
      <c r="H1880" s="333">
        <v>1181</v>
      </c>
    </row>
    <row r="1881" spans="1:8">
      <c r="A1881" s="317" t="s">
        <v>38464</v>
      </c>
      <c r="B1881" s="317" t="s">
        <v>46251</v>
      </c>
      <c r="C1881" s="330" t="s">
        <v>8114</v>
      </c>
      <c r="D1881" s="330" t="s">
        <v>8115</v>
      </c>
      <c r="E1881" s="330" t="s">
        <v>4819</v>
      </c>
      <c r="F1881" s="331">
        <v>0.21</v>
      </c>
      <c r="G1881" s="332">
        <v>976</v>
      </c>
      <c r="H1881" s="333">
        <v>1181</v>
      </c>
    </row>
    <row r="1882" spans="1:8">
      <c r="A1882" s="317" t="s">
        <v>38465</v>
      </c>
      <c r="B1882" s="317" t="s">
        <v>46252</v>
      </c>
      <c r="C1882" s="330" t="s">
        <v>8116</v>
      </c>
      <c r="D1882" s="330" t="s">
        <v>8117</v>
      </c>
      <c r="E1882" s="330" t="s">
        <v>37248</v>
      </c>
      <c r="F1882" s="331">
        <v>0.21</v>
      </c>
      <c r="G1882" s="332">
        <v>1704</v>
      </c>
      <c r="H1882" s="333">
        <v>2062</v>
      </c>
    </row>
    <row r="1883" spans="1:8">
      <c r="A1883" s="317" t="s">
        <v>38466</v>
      </c>
      <c r="B1883" s="317" t="s">
        <v>46253</v>
      </c>
      <c r="C1883" s="330" t="s">
        <v>8118</v>
      </c>
      <c r="D1883" s="330" t="s">
        <v>8117</v>
      </c>
      <c r="E1883" s="330" t="s">
        <v>37248</v>
      </c>
      <c r="F1883" s="331">
        <v>0.21</v>
      </c>
      <c r="G1883" s="332">
        <v>1072</v>
      </c>
      <c r="H1883" s="333">
        <v>1298</v>
      </c>
    </row>
    <row r="1884" spans="1:8">
      <c r="A1884" s="317" t="s">
        <v>38467</v>
      </c>
      <c r="B1884" s="317" t="s">
        <v>46254</v>
      </c>
      <c r="C1884" s="330" t="s">
        <v>8119</v>
      </c>
      <c r="D1884" s="330" t="s">
        <v>8120</v>
      </c>
      <c r="E1884" s="330" t="s">
        <v>37248</v>
      </c>
      <c r="F1884" s="331">
        <v>0.21</v>
      </c>
      <c r="G1884" s="332">
        <v>1072</v>
      </c>
      <c r="H1884" s="333">
        <v>1298</v>
      </c>
    </row>
    <row r="1885" spans="1:8">
      <c r="A1885" s="317" t="s">
        <v>38468</v>
      </c>
      <c r="B1885" s="317" t="s">
        <v>46255</v>
      </c>
      <c r="C1885" s="330" t="s">
        <v>8121</v>
      </c>
      <c r="D1885" s="330" t="s">
        <v>8120</v>
      </c>
      <c r="E1885" s="330" t="s">
        <v>37248</v>
      </c>
      <c r="F1885" s="331">
        <v>0.21</v>
      </c>
      <c r="G1885" s="332">
        <v>976</v>
      </c>
      <c r="H1885" s="333">
        <v>1181</v>
      </c>
    </row>
    <row r="1886" spans="1:8">
      <c r="A1886" s="317" t="s">
        <v>38469</v>
      </c>
      <c r="B1886" s="317" t="s">
        <v>46256</v>
      </c>
      <c r="C1886" s="330" t="s">
        <v>8122</v>
      </c>
      <c r="D1886" s="330" t="s">
        <v>8120</v>
      </c>
      <c r="E1886" s="330" t="s">
        <v>37248</v>
      </c>
      <c r="F1886" s="331">
        <v>0.21</v>
      </c>
      <c r="G1886" s="332">
        <v>1465</v>
      </c>
      <c r="H1886" s="333">
        <v>1773</v>
      </c>
    </row>
    <row r="1887" spans="1:8">
      <c r="A1887" s="317" t="s">
        <v>38470</v>
      </c>
      <c r="B1887" s="317" t="s">
        <v>46257</v>
      </c>
      <c r="C1887" s="330" t="s">
        <v>8123</v>
      </c>
      <c r="D1887" s="330" t="s">
        <v>8120</v>
      </c>
      <c r="E1887" s="330" t="s">
        <v>37248</v>
      </c>
      <c r="F1887" s="331">
        <v>0.21</v>
      </c>
      <c r="G1887" s="332">
        <v>1530</v>
      </c>
      <c r="H1887" s="333">
        <v>1852</v>
      </c>
    </row>
    <row r="1888" spans="1:8">
      <c r="A1888" s="317" t="s">
        <v>38471</v>
      </c>
      <c r="B1888" s="317" t="s">
        <v>46258</v>
      </c>
      <c r="C1888" s="330" t="s">
        <v>8124</v>
      </c>
      <c r="D1888" s="330" t="s">
        <v>8120</v>
      </c>
      <c r="E1888" s="330" t="s">
        <v>37248</v>
      </c>
      <c r="F1888" s="331">
        <v>0.21</v>
      </c>
      <c r="G1888" s="332">
        <v>976</v>
      </c>
      <c r="H1888" s="333">
        <v>1181</v>
      </c>
    </row>
    <row r="1889" spans="1:8">
      <c r="A1889" s="317" t="s">
        <v>38472</v>
      </c>
      <c r="B1889" s="317" t="s">
        <v>46259</v>
      </c>
      <c r="C1889" s="330" t="s">
        <v>8125</v>
      </c>
      <c r="D1889" s="330" t="s">
        <v>8120</v>
      </c>
      <c r="E1889" s="330" t="s">
        <v>37248</v>
      </c>
      <c r="F1889" s="331">
        <v>0.21</v>
      </c>
      <c r="G1889" s="332">
        <v>976</v>
      </c>
      <c r="H1889" s="333">
        <v>1181</v>
      </c>
    </row>
    <row r="1890" spans="1:8">
      <c r="A1890" s="317" t="s">
        <v>38473</v>
      </c>
      <c r="B1890" s="317" t="s">
        <v>46260</v>
      </c>
      <c r="C1890" s="330" t="s">
        <v>8126</v>
      </c>
      <c r="D1890" s="330" t="s">
        <v>8120</v>
      </c>
      <c r="E1890" s="330" t="s">
        <v>37248</v>
      </c>
      <c r="F1890" s="331">
        <v>0.21</v>
      </c>
      <c r="G1890" s="332">
        <v>885</v>
      </c>
      <c r="H1890" s="333">
        <v>1071</v>
      </c>
    </row>
    <row r="1891" spans="1:8">
      <c r="A1891" s="317" t="s">
        <v>38474</v>
      </c>
      <c r="B1891" s="317" t="s">
        <v>46261</v>
      </c>
      <c r="C1891" s="330" t="s">
        <v>8127</v>
      </c>
      <c r="D1891" s="330" t="s">
        <v>8120</v>
      </c>
      <c r="E1891" s="330" t="s">
        <v>37248</v>
      </c>
      <c r="F1891" s="331">
        <v>0.21</v>
      </c>
      <c r="G1891" s="332">
        <v>976</v>
      </c>
      <c r="H1891" s="333">
        <v>1181</v>
      </c>
    </row>
    <row r="1892" spans="1:8">
      <c r="A1892" s="317" t="s">
        <v>38475</v>
      </c>
      <c r="B1892" s="317" t="s">
        <v>46262</v>
      </c>
      <c r="C1892" s="330" t="s">
        <v>8128</v>
      </c>
      <c r="D1892" s="330" t="s">
        <v>8129</v>
      </c>
      <c r="E1892" s="330" t="s">
        <v>37248</v>
      </c>
      <c r="F1892" s="331">
        <v>0.21</v>
      </c>
      <c r="G1892" s="332">
        <v>976</v>
      </c>
      <c r="H1892" s="333">
        <v>1181</v>
      </c>
    </row>
    <row r="1893" spans="1:8">
      <c r="A1893" s="317" t="s">
        <v>38476</v>
      </c>
      <c r="B1893" s="317" t="s">
        <v>46263</v>
      </c>
      <c r="C1893" s="330" t="s">
        <v>8130</v>
      </c>
      <c r="D1893" s="330" t="s">
        <v>8129</v>
      </c>
      <c r="E1893" s="330" t="s">
        <v>37248</v>
      </c>
      <c r="F1893" s="331">
        <v>0.21</v>
      </c>
      <c r="G1893" s="332">
        <v>976</v>
      </c>
      <c r="H1893" s="333">
        <v>1181</v>
      </c>
    </row>
    <row r="1894" spans="1:8">
      <c r="A1894" s="317" t="s">
        <v>38477</v>
      </c>
      <c r="B1894" s="317" t="s">
        <v>46264</v>
      </c>
      <c r="C1894" s="330" t="s">
        <v>8131</v>
      </c>
      <c r="D1894" s="330" t="s">
        <v>8132</v>
      </c>
      <c r="E1894" s="330" t="s">
        <v>37248</v>
      </c>
      <c r="F1894" s="331">
        <v>0.21</v>
      </c>
      <c r="G1894" s="332">
        <v>976</v>
      </c>
      <c r="H1894" s="333">
        <v>1181</v>
      </c>
    </row>
    <row r="1895" spans="1:8">
      <c r="A1895" s="317" t="s">
        <v>38478</v>
      </c>
      <c r="B1895" s="317" t="s">
        <v>46265</v>
      </c>
      <c r="C1895" s="330" t="s">
        <v>8133</v>
      </c>
      <c r="D1895" s="330" t="s">
        <v>8134</v>
      </c>
      <c r="E1895" s="330" t="s">
        <v>37248</v>
      </c>
      <c r="F1895" s="331">
        <v>0.21</v>
      </c>
      <c r="G1895" s="332">
        <v>976</v>
      </c>
      <c r="H1895" s="333">
        <v>1181</v>
      </c>
    </row>
    <row r="1896" spans="1:8">
      <c r="A1896" s="317" t="s">
        <v>38479</v>
      </c>
      <c r="B1896" s="317" t="s">
        <v>46266</v>
      </c>
      <c r="C1896" s="330" t="s">
        <v>8135</v>
      </c>
      <c r="D1896" s="330" t="s">
        <v>8134</v>
      </c>
      <c r="E1896" s="330" t="s">
        <v>37248</v>
      </c>
      <c r="F1896" s="331">
        <v>0.21</v>
      </c>
      <c r="G1896" s="332">
        <v>1958</v>
      </c>
      <c r="H1896" s="333">
        <v>2370</v>
      </c>
    </row>
    <row r="1897" spans="1:8">
      <c r="A1897" s="317" t="s">
        <v>38480</v>
      </c>
      <c r="B1897" s="317" t="s">
        <v>46267</v>
      </c>
      <c r="C1897" s="330" t="s">
        <v>8136</v>
      </c>
      <c r="D1897" s="330" t="s">
        <v>8134</v>
      </c>
      <c r="E1897" s="330" t="s">
        <v>37248</v>
      </c>
      <c r="F1897" s="331">
        <v>0.21</v>
      </c>
      <c r="G1897" s="332">
        <v>6647</v>
      </c>
      <c r="H1897" s="333">
        <v>8043</v>
      </c>
    </row>
    <row r="1898" spans="1:8">
      <c r="A1898" s="317" t="s">
        <v>38481</v>
      </c>
      <c r="B1898" s="317" t="s">
        <v>46268</v>
      </c>
      <c r="C1898" s="330" t="s">
        <v>8137</v>
      </c>
      <c r="D1898" s="330" t="s">
        <v>8134</v>
      </c>
      <c r="E1898" s="330" t="s">
        <v>37248</v>
      </c>
      <c r="F1898" s="331">
        <v>0.21</v>
      </c>
      <c r="G1898" s="332">
        <v>976</v>
      </c>
      <c r="H1898" s="333">
        <v>1181</v>
      </c>
    </row>
    <row r="1899" spans="1:8">
      <c r="A1899" s="317" t="s">
        <v>38482</v>
      </c>
      <c r="B1899" s="317" t="s">
        <v>46269</v>
      </c>
      <c r="C1899" s="330" t="s">
        <v>8138</v>
      </c>
      <c r="D1899" s="330" t="s">
        <v>8134</v>
      </c>
      <c r="E1899" s="330" t="s">
        <v>37248</v>
      </c>
      <c r="F1899" s="331">
        <v>0.21</v>
      </c>
      <c r="G1899" s="332">
        <v>976</v>
      </c>
      <c r="H1899" s="333">
        <v>1181</v>
      </c>
    </row>
    <row r="1900" spans="1:8">
      <c r="A1900" s="317" t="s">
        <v>38483</v>
      </c>
      <c r="B1900" s="317" t="s">
        <v>46270</v>
      </c>
      <c r="C1900" s="330" t="s">
        <v>8139</v>
      </c>
      <c r="D1900" s="330" t="s">
        <v>6617</v>
      </c>
      <c r="E1900" s="330" t="s">
        <v>37248</v>
      </c>
      <c r="F1900" s="331">
        <v>0.21</v>
      </c>
      <c r="G1900" s="332">
        <v>976</v>
      </c>
      <c r="H1900" s="333">
        <v>1181</v>
      </c>
    </row>
    <row r="1901" spans="1:8">
      <c r="A1901" s="317" t="s">
        <v>38484</v>
      </c>
      <c r="B1901" s="317" t="s">
        <v>46271</v>
      </c>
      <c r="C1901" s="330" t="s">
        <v>8140</v>
      </c>
      <c r="D1901" s="330" t="s">
        <v>6617</v>
      </c>
      <c r="E1901" s="330" t="s">
        <v>37248</v>
      </c>
      <c r="F1901" s="331">
        <v>0.21</v>
      </c>
      <c r="G1901" s="332">
        <v>976</v>
      </c>
      <c r="H1901" s="333">
        <v>1181</v>
      </c>
    </row>
    <row r="1902" spans="1:8">
      <c r="A1902" s="317" t="s">
        <v>38485</v>
      </c>
      <c r="B1902" s="317" t="s">
        <v>46272</v>
      </c>
      <c r="C1902" s="330" t="s">
        <v>8141</v>
      </c>
      <c r="D1902" s="330" t="s">
        <v>6617</v>
      </c>
      <c r="E1902" s="330" t="s">
        <v>37248</v>
      </c>
      <c r="F1902" s="331">
        <v>0.21</v>
      </c>
      <c r="G1902" s="332">
        <v>976</v>
      </c>
      <c r="H1902" s="333">
        <v>1181</v>
      </c>
    </row>
    <row r="1903" spans="1:8">
      <c r="A1903" s="317" t="s">
        <v>38486</v>
      </c>
      <c r="B1903" s="317" t="s">
        <v>46273</v>
      </c>
      <c r="C1903" s="330" t="s">
        <v>8142</v>
      </c>
      <c r="D1903" s="330" t="s">
        <v>6617</v>
      </c>
      <c r="E1903" s="330" t="s">
        <v>37248</v>
      </c>
      <c r="F1903" s="331">
        <v>0.21</v>
      </c>
      <c r="G1903" s="332">
        <v>976</v>
      </c>
      <c r="H1903" s="333">
        <v>1181</v>
      </c>
    </row>
    <row r="1904" spans="1:8">
      <c r="A1904" s="317" t="s">
        <v>38487</v>
      </c>
      <c r="B1904" s="317" t="s">
        <v>46274</v>
      </c>
      <c r="C1904" s="330" t="s">
        <v>8143</v>
      </c>
      <c r="D1904" s="330" t="s">
        <v>6617</v>
      </c>
      <c r="E1904" s="330" t="s">
        <v>37248</v>
      </c>
      <c r="F1904" s="331">
        <v>0.21</v>
      </c>
      <c r="G1904" s="332">
        <v>1247</v>
      </c>
      <c r="H1904" s="333">
        <v>1509</v>
      </c>
    </row>
    <row r="1905" spans="1:8">
      <c r="A1905" s="317" t="s">
        <v>38488</v>
      </c>
      <c r="B1905" s="317" t="s">
        <v>46275</v>
      </c>
      <c r="C1905" s="330" t="s">
        <v>8144</v>
      </c>
      <c r="D1905" s="330" t="s">
        <v>6617</v>
      </c>
      <c r="E1905" s="330" t="s">
        <v>37248</v>
      </c>
      <c r="F1905" s="331">
        <v>0.21</v>
      </c>
      <c r="G1905" s="332">
        <v>976</v>
      </c>
      <c r="H1905" s="333">
        <v>1181</v>
      </c>
    </row>
    <row r="1906" spans="1:8">
      <c r="A1906" s="317" t="s">
        <v>38489</v>
      </c>
      <c r="B1906" s="317" t="s">
        <v>46276</v>
      </c>
      <c r="C1906" s="330" t="s">
        <v>8145</v>
      </c>
      <c r="D1906" s="330" t="s">
        <v>6617</v>
      </c>
      <c r="E1906" s="330" t="s">
        <v>37248</v>
      </c>
      <c r="F1906" s="331">
        <v>0.21</v>
      </c>
      <c r="G1906" s="332">
        <v>976</v>
      </c>
      <c r="H1906" s="333">
        <v>1181</v>
      </c>
    </row>
    <row r="1907" spans="1:8">
      <c r="A1907" s="317" t="s">
        <v>38490</v>
      </c>
      <c r="B1907" s="317" t="s">
        <v>46277</v>
      </c>
      <c r="C1907" s="330" t="s">
        <v>8146</v>
      </c>
      <c r="D1907" s="330" t="s">
        <v>7805</v>
      </c>
      <c r="E1907" s="330" t="s">
        <v>37248</v>
      </c>
      <c r="F1907" s="331">
        <v>0.21</v>
      </c>
      <c r="G1907" s="332">
        <v>892</v>
      </c>
      <c r="H1907" s="333">
        <v>1080</v>
      </c>
    </row>
    <row r="1908" spans="1:8">
      <c r="A1908" s="317" t="s">
        <v>38491</v>
      </c>
      <c r="B1908" s="317" t="s">
        <v>46278</v>
      </c>
      <c r="C1908" s="330" t="s">
        <v>8147</v>
      </c>
      <c r="D1908" s="330" t="s">
        <v>7805</v>
      </c>
      <c r="E1908" s="330" t="s">
        <v>37248</v>
      </c>
      <c r="F1908" s="331">
        <v>0.21</v>
      </c>
      <c r="G1908" s="332">
        <v>976</v>
      </c>
      <c r="H1908" s="333">
        <v>1181</v>
      </c>
    </row>
    <row r="1909" spans="1:8">
      <c r="A1909" s="317" t="s">
        <v>38492</v>
      </c>
      <c r="B1909" s="317" t="s">
        <v>46279</v>
      </c>
      <c r="C1909" s="330" t="s">
        <v>8148</v>
      </c>
      <c r="D1909" s="330" t="s">
        <v>8149</v>
      </c>
      <c r="E1909" s="330" t="s">
        <v>4819</v>
      </c>
      <c r="F1909" s="331">
        <v>0.21</v>
      </c>
      <c r="G1909" s="332">
        <v>1019</v>
      </c>
      <c r="H1909" s="333">
        <v>1233</v>
      </c>
    </row>
    <row r="1910" spans="1:8">
      <c r="A1910" s="317" t="s">
        <v>38493</v>
      </c>
      <c r="B1910" s="317" t="s">
        <v>46280</v>
      </c>
      <c r="C1910" s="330" t="s">
        <v>8150</v>
      </c>
      <c r="D1910" s="330" t="s">
        <v>8149</v>
      </c>
      <c r="E1910" s="330" t="s">
        <v>37248</v>
      </c>
      <c r="F1910" s="331">
        <v>0.21</v>
      </c>
      <c r="G1910" s="332">
        <v>976</v>
      </c>
      <c r="H1910" s="333">
        <v>1181</v>
      </c>
    </row>
    <row r="1911" spans="1:8">
      <c r="A1911" s="317" t="s">
        <v>38494</v>
      </c>
      <c r="B1911" s="317" t="s">
        <v>46281</v>
      </c>
      <c r="C1911" s="330" t="s">
        <v>8151</v>
      </c>
      <c r="D1911" s="330" t="s">
        <v>8149</v>
      </c>
      <c r="E1911" s="330" t="s">
        <v>37248</v>
      </c>
      <c r="F1911" s="331">
        <v>0.21</v>
      </c>
      <c r="G1911" s="332">
        <v>976</v>
      </c>
      <c r="H1911" s="333">
        <v>1181</v>
      </c>
    </row>
    <row r="1912" spans="1:8">
      <c r="A1912" s="317" t="s">
        <v>38495</v>
      </c>
      <c r="B1912" s="317" t="s">
        <v>46282</v>
      </c>
      <c r="C1912" s="330" t="s">
        <v>8152</v>
      </c>
      <c r="D1912" s="330" t="s">
        <v>8153</v>
      </c>
      <c r="E1912" s="330" t="s">
        <v>37248</v>
      </c>
      <c r="F1912" s="331">
        <v>0.21</v>
      </c>
      <c r="G1912" s="332">
        <v>976</v>
      </c>
      <c r="H1912" s="333">
        <v>1181</v>
      </c>
    </row>
    <row r="1913" spans="1:8">
      <c r="A1913" s="317" t="s">
        <v>38496</v>
      </c>
      <c r="B1913" s="317" t="s">
        <v>46283</v>
      </c>
      <c r="C1913" s="330" t="s">
        <v>8154</v>
      </c>
      <c r="D1913" s="330" t="s">
        <v>8155</v>
      </c>
      <c r="E1913" s="330" t="s">
        <v>37248</v>
      </c>
      <c r="F1913" s="331">
        <v>0.21</v>
      </c>
      <c r="G1913" s="332">
        <v>2215</v>
      </c>
      <c r="H1913" s="333">
        <v>2681</v>
      </c>
    </row>
    <row r="1914" spans="1:8">
      <c r="A1914" s="317" t="s">
        <v>38497</v>
      </c>
      <c r="B1914" s="317" t="s">
        <v>46284</v>
      </c>
      <c r="C1914" s="330" t="s">
        <v>8156</v>
      </c>
      <c r="D1914" s="330" t="s">
        <v>8157</v>
      </c>
      <c r="E1914" s="330" t="s">
        <v>37248</v>
      </c>
      <c r="F1914" s="331">
        <v>0.21</v>
      </c>
      <c r="G1914" s="332">
        <v>976</v>
      </c>
      <c r="H1914" s="333">
        <v>1181</v>
      </c>
    </row>
    <row r="1915" spans="1:8">
      <c r="A1915" s="317" t="s">
        <v>38498</v>
      </c>
      <c r="B1915" s="317" t="s">
        <v>46285</v>
      </c>
      <c r="C1915" s="330" t="s">
        <v>8158</v>
      </c>
      <c r="D1915" s="330" t="s">
        <v>8159</v>
      </c>
      <c r="E1915" s="330" t="s">
        <v>37248</v>
      </c>
      <c r="F1915" s="331">
        <v>0.21</v>
      </c>
      <c r="G1915" s="332">
        <v>976</v>
      </c>
      <c r="H1915" s="333">
        <v>1181</v>
      </c>
    </row>
    <row r="1916" spans="1:8">
      <c r="A1916" s="317" t="s">
        <v>38499</v>
      </c>
      <c r="B1916" s="317" t="s">
        <v>46286</v>
      </c>
      <c r="C1916" s="330" t="s">
        <v>8160</v>
      </c>
      <c r="D1916" s="330" t="s">
        <v>8159</v>
      </c>
      <c r="E1916" s="330" t="s">
        <v>37248</v>
      </c>
      <c r="F1916" s="331">
        <v>0.21</v>
      </c>
      <c r="G1916" s="332">
        <v>976</v>
      </c>
      <c r="H1916" s="333">
        <v>1181</v>
      </c>
    </row>
    <row r="1917" spans="1:8">
      <c r="A1917" s="317" t="s">
        <v>38500</v>
      </c>
      <c r="B1917" s="317" t="s">
        <v>46287</v>
      </c>
      <c r="C1917" s="330" t="s">
        <v>8161</v>
      </c>
      <c r="D1917" s="330" t="s">
        <v>8162</v>
      </c>
      <c r="E1917" s="330" t="s">
        <v>37248</v>
      </c>
      <c r="F1917" s="331">
        <v>0.21</v>
      </c>
      <c r="G1917" s="332">
        <v>976</v>
      </c>
      <c r="H1917" s="333">
        <v>1181</v>
      </c>
    </row>
    <row r="1918" spans="1:8">
      <c r="A1918" s="317" t="s">
        <v>38501</v>
      </c>
      <c r="B1918" s="317" t="s">
        <v>46288</v>
      </c>
      <c r="C1918" s="330" t="s">
        <v>8163</v>
      </c>
      <c r="D1918" s="330" t="s">
        <v>8164</v>
      </c>
      <c r="E1918" s="330" t="s">
        <v>37248</v>
      </c>
      <c r="F1918" s="331">
        <v>0.21</v>
      </c>
      <c r="G1918" s="332">
        <v>1505</v>
      </c>
      <c r="H1918" s="333">
        <v>1822</v>
      </c>
    </row>
    <row r="1919" spans="1:8">
      <c r="A1919" s="317" t="s">
        <v>38502</v>
      </c>
      <c r="B1919" s="317" t="s">
        <v>46289</v>
      </c>
      <c r="C1919" s="330" t="s">
        <v>8165</v>
      </c>
      <c r="D1919" s="330" t="s">
        <v>8164</v>
      </c>
      <c r="E1919" s="330" t="s">
        <v>37248</v>
      </c>
      <c r="F1919" s="331">
        <v>0.21</v>
      </c>
      <c r="G1919" s="332">
        <v>4117</v>
      </c>
      <c r="H1919" s="333">
        <v>4982</v>
      </c>
    </row>
    <row r="1920" spans="1:8">
      <c r="A1920" s="317" t="s">
        <v>38503</v>
      </c>
      <c r="B1920" s="317" t="s">
        <v>46290</v>
      </c>
      <c r="C1920" s="330" t="s">
        <v>8166</v>
      </c>
      <c r="D1920" s="330" t="s">
        <v>8167</v>
      </c>
      <c r="E1920" s="330" t="s">
        <v>37248</v>
      </c>
      <c r="F1920" s="331">
        <v>0.21</v>
      </c>
      <c r="G1920" s="332">
        <v>4117</v>
      </c>
      <c r="H1920" s="333">
        <v>4982</v>
      </c>
    </row>
    <row r="1921" spans="1:8">
      <c r="A1921" s="317" t="s">
        <v>38504</v>
      </c>
      <c r="B1921" s="317" t="s">
        <v>46291</v>
      </c>
      <c r="C1921" s="330" t="s">
        <v>8168</v>
      </c>
      <c r="D1921" s="330" t="s">
        <v>8169</v>
      </c>
      <c r="E1921" s="330" t="s">
        <v>37248</v>
      </c>
      <c r="F1921" s="331">
        <v>0.21</v>
      </c>
      <c r="G1921" s="332">
        <v>976</v>
      </c>
      <c r="H1921" s="333">
        <v>1181</v>
      </c>
    </row>
    <row r="1922" spans="1:8">
      <c r="A1922" s="317" t="s">
        <v>38505</v>
      </c>
      <c r="B1922" s="317" t="s">
        <v>46292</v>
      </c>
      <c r="C1922" s="330" t="s">
        <v>8170</v>
      </c>
      <c r="D1922" s="330" t="s">
        <v>8171</v>
      </c>
      <c r="E1922" s="330" t="s">
        <v>37248</v>
      </c>
      <c r="F1922" s="331">
        <v>0.21</v>
      </c>
      <c r="G1922" s="332">
        <v>976</v>
      </c>
      <c r="H1922" s="333">
        <v>1181</v>
      </c>
    </row>
    <row r="1923" spans="1:8">
      <c r="A1923" s="317" t="s">
        <v>38506</v>
      </c>
      <c r="B1923" s="317" t="s">
        <v>46293</v>
      </c>
      <c r="C1923" s="330" t="s">
        <v>8172</v>
      </c>
      <c r="D1923" s="330" t="s">
        <v>8068</v>
      </c>
      <c r="E1923" s="330" t="s">
        <v>37248</v>
      </c>
      <c r="F1923" s="331">
        <v>0.21</v>
      </c>
      <c r="G1923" s="332">
        <v>1884</v>
      </c>
      <c r="H1923" s="333">
        <v>2280</v>
      </c>
    </row>
    <row r="1924" spans="1:8">
      <c r="A1924" s="317" t="s">
        <v>38507</v>
      </c>
      <c r="B1924" s="317" t="s">
        <v>46294</v>
      </c>
      <c r="C1924" s="330" t="s">
        <v>8173</v>
      </c>
      <c r="D1924" s="330" t="s">
        <v>8174</v>
      </c>
      <c r="E1924" s="330" t="s">
        <v>37248</v>
      </c>
      <c r="F1924" s="331">
        <v>0.21</v>
      </c>
      <c r="G1924" s="332">
        <v>976</v>
      </c>
      <c r="H1924" s="333">
        <v>1181</v>
      </c>
    </row>
    <row r="1925" spans="1:8">
      <c r="A1925" s="317" t="s">
        <v>38508</v>
      </c>
      <c r="B1925" s="317" t="s">
        <v>46295</v>
      </c>
      <c r="C1925" s="330" t="s">
        <v>8175</v>
      </c>
      <c r="D1925" s="330" t="s">
        <v>8176</v>
      </c>
      <c r="E1925" s="330" t="s">
        <v>37248</v>
      </c>
      <c r="F1925" s="331">
        <v>0.21</v>
      </c>
      <c r="G1925" s="332">
        <v>976</v>
      </c>
      <c r="H1925" s="333">
        <v>1181</v>
      </c>
    </row>
    <row r="1926" spans="1:8">
      <c r="A1926" s="317" t="s">
        <v>38509</v>
      </c>
      <c r="B1926" s="317" t="s">
        <v>46296</v>
      </c>
      <c r="C1926" s="330" t="s">
        <v>8177</v>
      </c>
      <c r="D1926" s="330" t="s">
        <v>8178</v>
      </c>
      <c r="E1926" s="330" t="s">
        <v>37248</v>
      </c>
      <c r="F1926" s="331">
        <v>0.21</v>
      </c>
      <c r="G1926" s="332">
        <v>4117</v>
      </c>
      <c r="H1926" s="333">
        <v>4982</v>
      </c>
    </row>
    <row r="1927" spans="1:8">
      <c r="A1927" s="317" t="s">
        <v>38510</v>
      </c>
      <c r="B1927" s="317" t="s">
        <v>46297</v>
      </c>
      <c r="C1927" s="330" t="s">
        <v>8179</v>
      </c>
      <c r="D1927" s="330" t="s">
        <v>8178</v>
      </c>
      <c r="E1927" s="330" t="s">
        <v>37248</v>
      </c>
      <c r="F1927" s="331">
        <v>0.21</v>
      </c>
      <c r="G1927" s="332">
        <v>20967</v>
      </c>
      <c r="H1927" s="333">
        <v>25371</v>
      </c>
    </row>
    <row r="1928" spans="1:8">
      <c r="A1928" s="317" t="s">
        <v>38511</v>
      </c>
      <c r="B1928" s="317" t="s">
        <v>46298</v>
      </c>
      <c r="C1928" s="330" t="s">
        <v>8180</v>
      </c>
      <c r="D1928" s="330" t="s">
        <v>5233</v>
      </c>
      <c r="E1928" s="330" t="s">
        <v>37248</v>
      </c>
      <c r="F1928" s="331">
        <v>0.21</v>
      </c>
      <c r="G1928" s="332">
        <v>976</v>
      </c>
      <c r="H1928" s="333">
        <v>1181</v>
      </c>
    </row>
    <row r="1929" spans="1:8">
      <c r="A1929" s="317" t="s">
        <v>38512</v>
      </c>
      <c r="B1929" s="317" t="s">
        <v>46299</v>
      </c>
      <c r="C1929" s="330" t="s">
        <v>8181</v>
      </c>
      <c r="D1929" s="330" t="s">
        <v>8182</v>
      </c>
      <c r="E1929" s="330" t="s">
        <v>37248</v>
      </c>
      <c r="F1929" s="331">
        <v>0.21</v>
      </c>
      <c r="G1929" s="332">
        <v>976</v>
      </c>
      <c r="H1929" s="333">
        <v>1181</v>
      </c>
    </row>
    <row r="1930" spans="1:8">
      <c r="A1930" s="317" t="s">
        <v>38513</v>
      </c>
      <c r="B1930" s="317" t="s">
        <v>46300</v>
      </c>
      <c r="C1930" s="330" t="s">
        <v>8183</v>
      </c>
      <c r="D1930" s="330" t="s">
        <v>8184</v>
      </c>
      <c r="E1930" s="330" t="s">
        <v>37248</v>
      </c>
      <c r="F1930" s="331">
        <v>0.21</v>
      </c>
      <c r="G1930" s="332">
        <v>976</v>
      </c>
      <c r="H1930" s="333">
        <v>1181</v>
      </c>
    </row>
    <row r="1931" spans="1:8">
      <c r="A1931" s="317" t="s">
        <v>38514</v>
      </c>
      <c r="B1931" s="317" t="s">
        <v>46301</v>
      </c>
      <c r="C1931" s="330" t="s">
        <v>8185</v>
      </c>
      <c r="D1931" s="330" t="s">
        <v>8186</v>
      </c>
      <c r="E1931" s="330" t="s">
        <v>37248</v>
      </c>
      <c r="F1931" s="331">
        <v>0.21</v>
      </c>
      <c r="G1931" s="332">
        <v>976</v>
      </c>
      <c r="H1931" s="333">
        <v>1181</v>
      </c>
    </row>
    <row r="1932" spans="1:8">
      <c r="A1932" s="317" t="s">
        <v>38515</v>
      </c>
      <c r="B1932" s="317" t="s">
        <v>46302</v>
      </c>
      <c r="C1932" s="330" t="s">
        <v>8187</v>
      </c>
      <c r="D1932" s="330" t="s">
        <v>8186</v>
      </c>
      <c r="E1932" s="330" t="s">
        <v>37248</v>
      </c>
      <c r="F1932" s="331">
        <v>0.21</v>
      </c>
      <c r="G1932" s="332">
        <v>1072</v>
      </c>
      <c r="H1932" s="333">
        <v>1298</v>
      </c>
    </row>
    <row r="1933" spans="1:8">
      <c r="A1933" s="317" t="s">
        <v>38516</v>
      </c>
      <c r="B1933" s="317" t="s">
        <v>46303</v>
      </c>
      <c r="C1933" s="330" t="s">
        <v>8188</v>
      </c>
      <c r="D1933" s="330" t="s">
        <v>7412</v>
      </c>
      <c r="E1933" s="330" t="s">
        <v>37248</v>
      </c>
      <c r="F1933" s="331">
        <v>0.21</v>
      </c>
      <c r="G1933" s="332">
        <v>976</v>
      </c>
      <c r="H1933" s="333">
        <v>1181</v>
      </c>
    </row>
    <row r="1934" spans="1:8">
      <c r="A1934" s="317" t="s">
        <v>38517</v>
      </c>
      <c r="B1934" s="317" t="s">
        <v>46304</v>
      </c>
      <c r="C1934" s="330" t="s">
        <v>8189</v>
      </c>
      <c r="D1934" s="330" t="s">
        <v>8190</v>
      </c>
      <c r="E1934" s="330" t="s">
        <v>37248</v>
      </c>
      <c r="F1934" s="331">
        <v>0.21</v>
      </c>
      <c r="G1934" s="332">
        <v>976</v>
      </c>
      <c r="H1934" s="333">
        <v>1181</v>
      </c>
    </row>
    <row r="1935" spans="1:8">
      <c r="A1935" s="317" t="s">
        <v>38518</v>
      </c>
      <c r="B1935" s="317" t="s">
        <v>46305</v>
      </c>
      <c r="C1935" s="330" t="s">
        <v>8191</v>
      </c>
      <c r="D1935" s="330" t="s">
        <v>7809</v>
      </c>
      <c r="E1935" s="330" t="s">
        <v>37248</v>
      </c>
      <c r="F1935" s="331">
        <v>0.21</v>
      </c>
      <c r="G1935" s="332">
        <v>976</v>
      </c>
      <c r="H1935" s="333">
        <v>1181</v>
      </c>
    </row>
    <row r="1936" spans="1:8">
      <c r="A1936" s="317" t="s">
        <v>38519</v>
      </c>
      <c r="B1936" s="317" t="s">
        <v>46306</v>
      </c>
      <c r="C1936" s="330" t="s">
        <v>8192</v>
      </c>
      <c r="D1936" s="330" t="s">
        <v>8193</v>
      </c>
      <c r="E1936" s="330" t="s">
        <v>37248</v>
      </c>
      <c r="F1936" s="331">
        <v>0.21</v>
      </c>
      <c r="G1936" s="332">
        <v>976</v>
      </c>
      <c r="H1936" s="333">
        <v>1181</v>
      </c>
    </row>
    <row r="1937" spans="1:8">
      <c r="A1937" s="317" t="s">
        <v>38520</v>
      </c>
      <c r="B1937" s="317" t="s">
        <v>46307</v>
      </c>
      <c r="C1937" s="330" t="s">
        <v>8194</v>
      </c>
      <c r="D1937" s="330" t="s">
        <v>8002</v>
      </c>
      <c r="E1937" s="330" t="s">
        <v>37248</v>
      </c>
      <c r="F1937" s="331">
        <v>0.21</v>
      </c>
      <c r="G1937" s="332">
        <v>3102</v>
      </c>
      <c r="H1937" s="333">
        <v>3754</v>
      </c>
    </row>
    <row r="1938" spans="1:8">
      <c r="A1938" s="317" t="s">
        <v>38521</v>
      </c>
      <c r="B1938" s="317" t="s">
        <v>46308</v>
      </c>
      <c r="C1938" s="330" t="s">
        <v>8195</v>
      </c>
      <c r="D1938" s="330" t="s">
        <v>8196</v>
      </c>
      <c r="E1938" s="330" t="s">
        <v>37248</v>
      </c>
      <c r="F1938" s="331">
        <v>0.21</v>
      </c>
      <c r="G1938" s="332">
        <v>976</v>
      </c>
      <c r="H1938" s="333">
        <v>1181</v>
      </c>
    </row>
    <row r="1939" spans="1:8">
      <c r="A1939" s="317" t="s">
        <v>38522</v>
      </c>
      <c r="B1939" s="317" t="s">
        <v>46309</v>
      </c>
      <c r="C1939" s="330" t="s">
        <v>8197</v>
      </c>
      <c r="D1939" s="330" t="s">
        <v>8190</v>
      </c>
      <c r="E1939" s="330" t="s">
        <v>37248</v>
      </c>
      <c r="F1939" s="331">
        <v>0.21</v>
      </c>
      <c r="G1939" s="332">
        <v>976</v>
      </c>
      <c r="H1939" s="333">
        <v>1181</v>
      </c>
    </row>
    <row r="1940" spans="1:8">
      <c r="A1940" s="317" t="s">
        <v>38523</v>
      </c>
      <c r="B1940" s="317" t="s">
        <v>46310</v>
      </c>
      <c r="C1940" s="330" t="s">
        <v>8198</v>
      </c>
      <c r="D1940" s="330" t="s">
        <v>8199</v>
      </c>
      <c r="E1940" s="330" t="s">
        <v>37248</v>
      </c>
      <c r="F1940" s="331">
        <v>0.21</v>
      </c>
      <c r="G1940" s="332">
        <v>976</v>
      </c>
      <c r="H1940" s="333">
        <v>1181</v>
      </c>
    </row>
    <row r="1941" spans="1:8">
      <c r="A1941" s="317" t="s">
        <v>38524</v>
      </c>
      <c r="B1941" s="317" t="s">
        <v>46311</v>
      </c>
      <c r="C1941" s="330" t="s">
        <v>8200</v>
      </c>
      <c r="D1941" s="330" t="s">
        <v>8064</v>
      </c>
      <c r="E1941" s="330" t="s">
        <v>37248</v>
      </c>
      <c r="F1941" s="331">
        <v>0.21</v>
      </c>
      <c r="G1941" s="332">
        <v>1412</v>
      </c>
      <c r="H1941" s="333">
        <v>1709</v>
      </c>
    </row>
    <row r="1942" spans="1:8">
      <c r="A1942" s="317" t="s">
        <v>38525</v>
      </c>
      <c r="B1942" s="317" t="s">
        <v>46312</v>
      </c>
      <c r="C1942" s="330" t="s">
        <v>8201</v>
      </c>
      <c r="D1942" s="330" t="s">
        <v>8202</v>
      </c>
      <c r="E1942" s="330" t="s">
        <v>37248</v>
      </c>
      <c r="F1942" s="331">
        <v>0.21</v>
      </c>
      <c r="G1942" s="332">
        <v>976</v>
      </c>
      <c r="H1942" s="333">
        <v>1181</v>
      </c>
    </row>
    <row r="1943" spans="1:8">
      <c r="A1943" s="317" t="s">
        <v>38526</v>
      </c>
      <c r="B1943" s="317" t="s">
        <v>46313</v>
      </c>
      <c r="C1943" s="330" t="s">
        <v>8203</v>
      </c>
      <c r="D1943" s="330" t="s">
        <v>8204</v>
      </c>
      <c r="E1943" s="330" t="s">
        <v>37248</v>
      </c>
      <c r="F1943" s="331">
        <v>0.21</v>
      </c>
      <c r="G1943" s="332">
        <v>976</v>
      </c>
      <c r="H1943" s="333">
        <v>1181</v>
      </c>
    </row>
    <row r="1944" spans="1:8">
      <c r="A1944" s="317" t="s">
        <v>38527</v>
      </c>
      <c r="B1944" s="317" t="s">
        <v>46314</v>
      </c>
      <c r="C1944" s="330" t="s">
        <v>8205</v>
      </c>
      <c r="D1944" s="330" t="s">
        <v>8071</v>
      </c>
      <c r="E1944" s="330" t="s">
        <v>37248</v>
      </c>
      <c r="F1944" s="331">
        <v>0.21</v>
      </c>
      <c r="G1944" s="332">
        <v>976</v>
      </c>
      <c r="H1944" s="333">
        <v>1181</v>
      </c>
    </row>
    <row r="1945" spans="1:8">
      <c r="A1945" s="317" t="s">
        <v>38528</v>
      </c>
      <c r="B1945" s="317" t="s">
        <v>46315</v>
      </c>
      <c r="C1945" s="330" t="s">
        <v>8206</v>
      </c>
      <c r="D1945" s="330" t="s">
        <v>8207</v>
      </c>
      <c r="E1945" s="330" t="s">
        <v>37248</v>
      </c>
      <c r="F1945" s="331">
        <v>0.21</v>
      </c>
      <c r="G1945" s="332">
        <v>10042</v>
      </c>
      <c r="H1945" s="333">
        <v>12151</v>
      </c>
    </row>
    <row r="1946" spans="1:8">
      <c r="A1946" s="317" t="s">
        <v>38529</v>
      </c>
      <c r="B1946" s="317" t="s">
        <v>46316</v>
      </c>
      <c r="C1946" s="330" t="s">
        <v>8208</v>
      </c>
      <c r="D1946" s="330" t="s">
        <v>8209</v>
      </c>
      <c r="E1946" s="330" t="s">
        <v>4819</v>
      </c>
      <c r="F1946" s="331">
        <v>0.21</v>
      </c>
      <c r="G1946" s="332">
        <v>976</v>
      </c>
      <c r="H1946" s="333">
        <v>1181</v>
      </c>
    </row>
    <row r="1947" spans="1:8">
      <c r="A1947" s="317" t="s">
        <v>38530</v>
      </c>
      <c r="B1947" s="317" t="s">
        <v>46317</v>
      </c>
      <c r="C1947" s="330" t="s">
        <v>8210</v>
      </c>
      <c r="D1947" s="330" t="s">
        <v>8211</v>
      </c>
      <c r="E1947" s="330" t="s">
        <v>4819</v>
      </c>
      <c r="F1947" s="331">
        <v>0.21</v>
      </c>
      <c r="G1947" s="332">
        <v>976</v>
      </c>
      <c r="H1947" s="333">
        <v>1181</v>
      </c>
    </row>
    <row r="1948" spans="1:8">
      <c r="A1948" s="317" t="s">
        <v>38531</v>
      </c>
      <c r="B1948" s="317" t="s">
        <v>46318</v>
      </c>
      <c r="C1948" s="330" t="s">
        <v>8212</v>
      </c>
      <c r="D1948" s="330" t="s">
        <v>8213</v>
      </c>
      <c r="E1948" s="330" t="s">
        <v>37248</v>
      </c>
      <c r="F1948" s="331">
        <v>0.21</v>
      </c>
      <c r="G1948" s="332">
        <v>976</v>
      </c>
      <c r="H1948" s="333">
        <v>1181</v>
      </c>
    </row>
    <row r="1949" spans="1:8">
      <c r="A1949" s="317" t="s">
        <v>38532</v>
      </c>
      <c r="B1949" s="317" t="s">
        <v>46319</v>
      </c>
      <c r="C1949" s="330" t="s">
        <v>8214</v>
      </c>
      <c r="D1949" s="330" t="s">
        <v>8215</v>
      </c>
      <c r="E1949" s="330" t="s">
        <v>37248</v>
      </c>
      <c r="F1949" s="331">
        <v>0.21</v>
      </c>
      <c r="G1949" s="332">
        <v>15588</v>
      </c>
      <c r="H1949" s="333">
        <v>18862</v>
      </c>
    </row>
    <row r="1950" spans="1:8">
      <c r="A1950" s="317" t="s">
        <v>38533</v>
      </c>
      <c r="B1950" s="317" t="s">
        <v>46320</v>
      </c>
      <c r="C1950" s="330" t="s">
        <v>8216</v>
      </c>
      <c r="D1950" s="330" t="s">
        <v>8107</v>
      </c>
      <c r="E1950" s="330" t="s">
        <v>37248</v>
      </c>
      <c r="F1950" s="331">
        <v>0.21</v>
      </c>
      <c r="G1950" s="332">
        <v>1072</v>
      </c>
      <c r="H1950" s="333">
        <v>1298</v>
      </c>
    </row>
    <row r="1951" spans="1:8">
      <c r="A1951" s="317" t="s">
        <v>38534</v>
      </c>
      <c r="B1951" s="317" t="s">
        <v>46321</v>
      </c>
      <c r="C1951" s="330" t="s">
        <v>8217</v>
      </c>
      <c r="D1951" s="330" t="s">
        <v>5573</v>
      </c>
      <c r="E1951" s="330" t="s">
        <v>37248</v>
      </c>
      <c r="F1951" s="331">
        <v>0.21</v>
      </c>
      <c r="G1951" s="332">
        <v>15294</v>
      </c>
      <c r="H1951" s="333">
        <v>18506</v>
      </c>
    </row>
    <row r="1952" spans="1:8">
      <c r="A1952" s="317" t="s">
        <v>38535</v>
      </c>
      <c r="B1952" s="317" t="s">
        <v>46322</v>
      </c>
      <c r="C1952" s="330" t="s">
        <v>8218</v>
      </c>
      <c r="D1952" s="330" t="s">
        <v>8219</v>
      </c>
      <c r="E1952" s="330" t="s">
        <v>37248</v>
      </c>
      <c r="F1952" s="331">
        <v>0.21</v>
      </c>
      <c r="G1952" s="332">
        <v>19086</v>
      </c>
      <c r="H1952" s="333">
        <v>23095</v>
      </c>
    </row>
    <row r="1953" spans="1:8">
      <c r="A1953" s="317" t="s">
        <v>38536</v>
      </c>
      <c r="B1953" s="317" t="s">
        <v>46323</v>
      </c>
      <c r="C1953" s="330" t="s">
        <v>8220</v>
      </c>
      <c r="D1953" s="330" t="s">
        <v>8221</v>
      </c>
      <c r="E1953" s="330" t="s">
        <v>37248</v>
      </c>
      <c r="F1953" s="331">
        <v>0.21</v>
      </c>
      <c r="G1953" s="332">
        <v>2290</v>
      </c>
      <c r="H1953" s="333">
        <v>2771</v>
      </c>
    </row>
    <row r="1954" spans="1:8">
      <c r="A1954" s="317" t="s">
        <v>38537</v>
      </c>
      <c r="B1954" s="317" t="s">
        <v>46324</v>
      </c>
      <c r="C1954" s="330" t="s">
        <v>8222</v>
      </c>
      <c r="D1954" s="330" t="s">
        <v>8223</v>
      </c>
      <c r="E1954" s="330" t="s">
        <v>37248</v>
      </c>
      <c r="F1954" s="331">
        <v>0.21</v>
      </c>
      <c r="G1954" s="332">
        <v>25037</v>
      </c>
      <c r="H1954" s="333">
        <v>30295</v>
      </c>
    </row>
    <row r="1955" spans="1:8">
      <c r="A1955" s="317" t="s">
        <v>38538</v>
      </c>
      <c r="B1955" s="317" t="s">
        <v>46325</v>
      </c>
      <c r="C1955" s="330" t="s">
        <v>8224</v>
      </c>
      <c r="D1955" s="330" t="s">
        <v>7386</v>
      </c>
      <c r="E1955" s="330" t="s">
        <v>37248</v>
      </c>
      <c r="F1955" s="331">
        <v>0.21</v>
      </c>
      <c r="G1955" s="332">
        <v>41436</v>
      </c>
      <c r="H1955" s="333">
        <v>50138</v>
      </c>
    </row>
    <row r="1956" spans="1:8">
      <c r="A1956" s="317" t="s">
        <v>38539</v>
      </c>
      <c r="B1956" s="317" t="s">
        <v>46326</v>
      </c>
      <c r="C1956" s="330" t="s">
        <v>8225</v>
      </c>
      <c r="D1956" s="330" t="s">
        <v>8226</v>
      </c>
      <c r="E1956" s="330" t="s">
        <v>4819</v>
      </c>
      <c r="F1956" s="331">
        <v>0.21</v>
      </c>
      <c r="G1956" s="332">
        <v>1287</v>
      </c>
      <c r="H1956" s="333">
        <v>1558</v>
      </c>
    </row>
    <row r="1957" spans="1:8">
      <c r="A1957" s="317" t="s">
        <v>38540</v>
      </c>
      <c r="B1957" s="317" t="s">
        <v>46327</v>
      </c>
      <c r="C1957" s="330" t="s">
        <v>8227</v>
      </c>
      <c r="D1957" s="330" t="s">
        <v>8186</v>
      </c>
      <c r="E1957" s="330" t="s">
        <v>4819</v>
      </c>
      <c r="F1957" s="331">
        <v>0.21</v>
      </c>
      <c r="G1957" s="332">
        <v>2656</v>
      </c>
      <c r="H1957" s="333">
        <v>3214</v>
      </c>
    </row>
    <row r="1958" spans="1:8">
      <c r="A1958" s="317" t="s">
        <v>38541</v>
      </c>
      <c r="B1958" s="317" t="s">
        <v>46328</v>
      </c>
      <c r="C1958" s="330" t="s">
        <v>8228</v>
      </c>
      <c r="D1958" s="330" t="s">
        <v>8229</v>
      </c>
      <c r="E1958" s="330" t="s">
        <v>37248</v>
      </c>
      <c r="F1958" s="331">
        <v>0.21</v>
      </c>
      <c r="G1958" s="332">
        <v>1701</v>
      </c>
      <c r="H1958" s="333">
        <v>2059</v>
      </c>
    </row>
    <row r="1959" spans="1:8">
      <c r="A1959" s="317" t="s">
        <v>38542</v>
      </c>
      <c r="B1959" s="317" t="s">
        <v>46329</v>
      </c>
      <c r="C1959" s="330" t="s">
        <v>8230</v>
      </c>
      <c r="D1959" s="330" t="s">
        <v>5822</v>
      </c>
      <c r="E1959" s="330" t="s">
        <v>37248</v>
      </c>
      <c r="F1959" s="331">
        <v>0.21</v>
      </c>
      <c r="G1959" s="332">
        <v>5103</v>
      </c>
      <c r="H1959" s="333">
        <v>6175</v>
      </c>
    </row>
    <row r="1960" spans="1:8">
      <c r="A1960" s="317" t="s">
        <v>38543</v>
      </c>
      <c r="B1960" s="317" t="s">
        <v>46330</v>
      </c>
      <c r="C1960" s="330" t="s">
        <v>8231</v>
      </c>
      <c r="D1960" s="330" t="s">
        <v>8190</v>
      </c>
      <c r="E1960" s="330" t="s">
        <v>37248</v>
      </c>
      <c r="F1960" s="331">
        <v>0.21</v>
      </c>
      <c r="G1960" s="332">
        <v>12800</v>
      </c>
      <c r="H1960" s="333">
        <v>15488</v>
      </c>
    </row>
    <row r="1961" spans="1:8">
      <c r="A1961" s="317" t="s">
        <v>38544</v>
      </c>
      <c r="B1961" s="317" t="s">
        <v>46331</v>
      </c>
      <c r="C1961" s="330" t="s">
        <v>8232</v>
      </c>
      <c r="D1961" s="330" t="s">
        <v>8004</v>
      </c>
      <c r="E1961" s="330" t="s">
        <v>37248</v>
      </c>
      <c r="F1961" s="331">
        <v>0.21</v>
      </c>
      <c r="G1961" s="332">
        <v>6177</v>
      </c>
      <c r="H1961" s="333">
        <v>7475</v>
      </c>
    </row>
    <row r="1962" spans="1:8">
      <c r="A1962" s="317" t="s">
        <v>38545</v>
      </c>
      <c r="B1962" s="317" t="s">
        <v>46332</v>
      </c>
      <c r="C1962" s="330" t="s">
        <v>8233</v>
      </c>
      <c r="D1962" s="330" t="s">
        <v>8234</v>
      </c>
      <c r="E1962" s="330" t="s">
        <v>37248</v>
      </c>
      <c r="F1962" s="331">
        <v>0.21</v>
      </c>
      <c r="G1962" s="332">
        <v>2656</v>
      </c>
      <c r="H1962" s="333">
        <v>3214</v>
      </c>
    </row>
    <row r="1963" spans="1:8">
      <c r="A1963" s="317" t="s">
        <v>38546</v>
      </c>
      <c r="B1963" s="317" t="s">
        <v>46333</v>
      </c>
      <c r="C1963" s="330" t="s">
        <v>8235</v>
      </c>
      <c r="D1963" s="330" t="s">
        <v>8236</v>
      </c>
      <c r="E1963" s="330" t="s">
        <v>37248</v>
      </c>
      <c r="F1963" s="331">
        <v>0.21</v>
      </c>
      <c r="G1963" s="332">
        <v>57239</v>
      </c>
      <c r="H1963" s="333">
        <v>69260</v>
      </c>
    </row>
    <row r="1964" spans="1:8">
      <c r="A1964" s="317" t="s">
        <v>38547</v>
      </c>
      <c r="B1964" s="317" t="s">
        <v>46334</v>
      </c>
      <c r="C1964" s="330" t="s">
        <v>8237</v>
      </c>
      <c r="D1964" s="330" t="s">
        <v>8238</v>
      </c>
      <c r="E1964" s="330" t="s">
        <v>37248</v>
      </c>
      <c r="F1964" s="331">
        <v>0.21</v>
      </c>
      <c r="G1964" s="332">
        <v>73135</v>
      </c>
      <c r="H1964" s="333">
        <v>88494</v>
      </c>
    </row>
    <row r="1965" spans="1:8">
      <c r="A1965" s="317" t="s">
        <v>38548</v>
      </c>
      <c r="B1965" s="317" t="s">
        <v>46335</v>
      </c>
      <c r="C1965" s="330" t="s">
        <v>8239</v>
      </c>
      <c r="D1965" s="330" t="s">
        <v>8240</v>
      </c>
      <c r="E1965" s="330" t="s">
        <v>4819</v>
      </c>
      <c r="F1965" s="331">
        <v>0.21</v>
      </c>
      <c r="G1965" s="332">
        <v>13449</v>
      </c>
      <c r="H1965" s="333">
        <v>16274</v>
      </c>
    </row>
    <row r="1966" spans="1:8">
      <c r="A1966" s="317" t="s">
        <v>38549</v>
      </c>
      <c r="B1966" s="317" t="s">
        <v>46336</v>
      </c>
      <c r="C1966" s="330" t="s">
        <v>8241</v>
      </c>
      <c r="D1966" s="330" t="s">
        <v>8242</v>
      </c>
      <c r="E1966" s="330" t="s">
        <v>37248</v>
      </c>
      <c r="F1966" s="331">
        <v>0.21</v>
      </c>
      <c r="G1966" s="332">
        <v>21189</v>
      </c>
      <c r="H1966" s="333">
        <v>25639</v>
      </c>
    </row>
    <row r="1967" spans="1:8">
      <c r="A1967" s="317" t="s">
        <v>38550</v>
      </c>
      <c r="B1967" s="317" t="s">
        <v>46337</v>
      </c>
      <c r="C1967" s="330" t="s">
        <v>8243</v>
      </c>
      <c r="D1967" s="330" t="s">
        <v>8244</v>
      </c>
      <c r="E1967" s="330" t="s">
        <v>4819</v>
      </c>
      <c r="F1967" s="331">
        <v>0.21</v>
      </c>
      <c r="G1967" s="332">
        <v>65859</v>
      </c>
      <c r="H1967" s="333">
        <v>79690</v>
      </c>
    </row>
    <row r="1968" spans="1:8">
      <c r="A1968" s="317" t="s">
        <v>38551</v>
      </c>
      <c r="B1968" s="317" t="s">
        <v>46338</v>
      </c>
      <c r="C1968" s="330" t="s">
        <v>8245</v>
      </c>
      <c r="D1968" s="330" t="s">
        <v>8159</v>
      </c>
      <c r="E1968" s="330" t="s">
        <v>37248</v>
      </c>
      <c r="F1968" s="331">
        <v>0.21</v>
      </c>
      <c r="G1968" s="332">
        <v>976</v>
      </c>
      <c r="H1968" s="333">
        <v>1181</v>
      </c>
    </row>
    <row r="1969" spans="1:8">
      <c r="A1969" s="317" t="s">
        <v>38552</v>
      </c>
      <c r="B1969" s="317" t="s">
        <v>46339</v>
      </c>
      <c r="C1969" s="330" t="s">
        <v>8246</v>
      </c>
      <c r="D1969" s="330" t="s">
        <v>8247</v>
      </c>
      <c r="E1969" s="330" t="s">
        <v>37248</v>
      </c>
      <c r="F1969" s="331">
        <v>0.21</v>
      </c>
      <c r="G1969" s="332">
        <v>976</v>
      </c>
      <c r="H1969" s="333">
        <v>1181</v>
      </c>
    </row>
    <row r="1970" spans="1:8">
      <c r="A1970" s="317" t="s">
        <v>38553</v>
      </c>
      <c r="B1970" s="317" t="s">
        <v>46340</v>
      </c>
      <c r="C1970" s="330" t="s">
        <v>8248</v>
      </c>
      <c r="D1970" s="330" t="s">
        <v>8249</v>
      </c>
      <c r="E1970" s="330" t="s">
        <v>37248</v>
      </c>
      <c r="F1970" s="331">
        <v>0.21</v>
      </c>
      <c r="G1970" s="332">
        <v>976</v>
      </c>
      <c r="H1970" s="333">
        <v>1181</v>
      </c>
    </row>
    <row r="1971" spans="1:8">
      <c r="A1971" s="317" t="s">
        <v>38554</v>
      </c>
      <c r="B1971" s="317" t="s">
        <v>46341</v>
      </c>
      <c r="C1971" s="330" t="s">
        <v>8250</v>
      </c>
      <c r="D1971" s="330" t="s">
        <v>8251</v>
      </c>
      <c r="E1971" s="330" t="s">
        <v>4819</v>
      </c>
      <c r="F1971" s="331">
        <v>0.21</v>
      </c>
      <c r="G1971" s="332">
        <v>6540</v>
      </c>
      <c r="H1971" s="333">
        <v>7914</v>
      </c>
    </row>
    <row r="1972" spans="1:8">
      <c r="A1972" s="317" t="s">
        <v>38555</v>
      </c>
      <c r="B1972" s="317" t="s">
        <v>46342</v>
      </c>
      <c r="C1972" s="330" t="s">
        <v>8252</v>
      </c>
      <c r="D1972" s="330" t="s">
        <v>8253</v>
      </c>
      <c r="E1972" s="330" t="s">
        <v>37248</v>
      </c>
      <c r="F1972" s="331">
        <v>0.21</v>
      </c>
      <c r="G1972" s="332">
        <v>2119</v>
      </c>
      <c r="H1972" s="333">
        <v>2564</v>
      </c>
    </row>
    <row r="1973" spans="1:8">
      <c r="A1973" s="317" t="s">
        <v>38556</v>
      </c>
      <c r="B1973" s="317" t="s">
        <v>46343</v>
      </c>
      <c r="C1973" s="330" t="s">
        <v>8254</v>
      </c>
      <c r="D1973" s="330" t="s">
        <v>8255</v>
      </c>
      <c r="E1973" s="330" t="s">
        <v>37248</v>
      </c>
      <c r="F1973" s="331">
        <v>0.21</v>
      </c>
      <c r="G1973" s="332">
        <v>56549</v>
      </c>
      <c r="H1973" s="333">
        <v>68425</v>
      </c>
    </row>
    <row r="1974" spans="1:8">
      <c r="A1974" s="317" t="s">
        <v>38557</v>
      </c>
      <c r="B1974" s="317" t="s">
        <v>46344</v>
      </c>
      <c r="C1974" s="330" t="s">
        <v>8256</v>
      </c>
      <c r="D1974" s="330" t="s">
        <v>8257</v>
      </c>
      <c r="E1974" s="330" t="s">
        <v>37248</v>
      </c>
      <c r="F1974" s="331">
        <v>0.21</v>
      </c>
      <c r="G1974" s="332">
        <v>8860</v>
      </c>
      <c r="H1974" s="333">
        <v>10721</v>
      </c>
    </row>
    <row r="1975" spans="1:8">
      <c r="A1975" s="317" t="s">
        <v>38558</v>
      </c>
      <c r="B1975" s="317" t="s">
        <v>46345</v>
      </c>
      <c r="C1975" s="330" t="s">
        <v>8258</v>
      </c>
      <c r="D1975" s="330" t="s">
        <v>5131</v>
      </c>
      <c r="E1975" s="330" t="s">
        <v>4634</v>
      </c>
      <c r="F1975" s="331">
        <v>0.21</v>
      </c>
      <c r="G1975" s="332">
        <v>7818</v>
      </c>
      <c r="H1975" s="333">
        <v>9460</v>
      </c>
    </row>
    <row r="1976" spans="1:8">
      <c r="A1976" s="317" t="s">
        <v>38559</v>
      </c>
      <c r="B1976" s="317" t="s">
        <v>46346</v>
      </c>
      <c r="C1976" s="330" t="s">
        <v>8259</v>
      </c>
      <c r="D1976" s="330" t="s">
        <v>8260</v>
      </c>
      <c r="E1976" s="330" t="s">
        <v>37248</v>
      </c>
      <c r="F1976" s="331">
        <v>0.21</v>
      </c>
      <c r="G1976" s="332">
        <v>9174</v>
      </c>
      <c r="H1976" s="333">
        <v>11101</v>
      </c>
    </row>
    <row r="1977" spans="1:8">
      <c r="A1977" s="317" t="s">
        <v>38560</v>
      </c>
      <c r="B1977" s="317" t="s">
        <v>46347</v>
      </c>
      <c r="C1977" s="330" t="s">
        <v>8261</v>
      </c>
      <c r="D1977" s="330" t="s">
        <v>5131</v>
      </c>
      <c r="E1977" s="330" t="s">
        <v>37248</v>
      </c>
      <c r="F1977" s="331">
        <v>0.21</v>
      </c>
      <c r="G1977" s="332">
        <v>9453</v>
      </c>
      <c r="H1977" s="333">
        <v>11439</v>
      </c>
    </row>
    <row r="1978" spans="1:8">
      <c r="A1978" s="317" t="s">
        <v>38561</v>
      </c>
      <c r="B1978" s="317" t="s">
        <v>46348</v>
      </c>
      <c r="C1978" s="330" t="s">
        <v>8262</v>
      </c>
      <c r="D1978" s="330" t="s">
        <v>8263</v>
      </c>
      <c r="E1978" s="330" t="s">
        <v>37248</v>
      </c>
      <c r="F1978" s="331">
        <v>0.21</v>
      </c>
      <c r="G1978" s="332">
        <v>50183</v>
      </c>
      <c r="H1978" s="333">
        <v>60722</v>
      </c>
    </row>
    <row r="1979" spans="1:8">
      <c r="A1979" s="317" t="s">
        <v>38562</v>
      </c>
      <c r="B1979" s="317" t="s">
        <v>46349</v>
      </c>
      <c r="C1979" s="330" t="s">
        <v>8264</v>
      </c>
      <c r="D1979" s="330" t="s">
        <v>8265</v>
      </c>
      <c r="E1979" s="330" t="s">
        <v>37248</v>
      </c>
      <c r="F1979" s="331">
        <v>0.21</v>
      </c>
      <c r="G1979" s="332">
        <v>34587</v>
      </c>
      <c r="H1979" s="333">
        <v>41851</v>
      </c>
    </row>
    <row r="1980" spans="1:8">
      <c r="A1980" s="317" t="s">
        <v>38563</v>
      </c>
      <c r="B1980" s="317" t="s">
        <v>46350</v>
      </c>
      <c r="C1980" s="330" t="s">
        <v>8266</v>
      </c>
      <c r="D1980" s="330" t="s">
        <v>8267</v>
      </c>
      <c r="E1980" s="330" t="s">
        <v>37248</v>
      </c>
      <c r="F1980" s="331">
        <v>0.21</v>
      </c>
      <c r="G1980" s="332">
        <v>16991</v>
      </c>
      <c r="H1980" s="333">
        <v>20560</v>
      </c>
    </row>
    <row r="1981" spans="1:8">
      <c r="A1981" s="317" t="s">
        <v>38564</v>
      </c>
      <c r="B1981" s="317" t="s">
        <v>46351</v>
      </c>
      <c r="C1981" s="330" t="s">
        <v>8268</v>
      </c>
      <c r="D1981" s="330" t="s">
        <v>8269</v>
      </c>
      <c r="E1981" s="330" t="s">
        <v>37248</v>
      </c>
      <c r="F1981" s="331">
        <v>0.21</v>
      </c>
      <c r="G1981" s="332">
        <v>40350</v>
      </c>
      <c r="H1981" s="333">
        <v>48824</v>
      </c>
    </row>
    <row r="1982" spans="1:8">
      <c r="A1982" s="317" t="s">
        <v>38565</v>
      </c>
      <c r="B1982" s="317" t="s">
        <v>46352</v>
      </c>
      <c r="C1982" s="330" t="s">
        <v>8270</v>
      </c>
      <c r="D1982" s="330" t="s">
        <v>8271</v>
      </c>
      <c r="E1982" s="330" t="s">
        <v>37248</v>
      </c>
      <c r="F1982" s="331">
        <v>0.21</v>
      </c>
      <c r="G1982" s="332">
        <v>2509</v>
      </c>
      <c r="H1982" s="333">
        <v>3036</v>
      </c>
    </row>
    <row r="1983" spans="1:8">
      <c r="A1983" s="317" t="s">
        <v>38566</v>
      </c>
      <c r="B1983" s="317" t="s">
        <v>46353</v>
      </c>
      <c r="C1983" s="330" t="s">
        <v>8272</v>
      </c>
      <c r="D1983" s="330" t="s">
        <v>8273</v>
      </c>
      <c r="E1983" s="330" t="s">
        <v>37248</v>
      </c>
      <c r="F1983" s="331">
        <v>0.21</v>
      </c>
      <c r="G1983" s="332">
        <v>62796</v>
      </c>
      <c r="H1983" s="333">
        <v>75984</v>
      </c>
    </row>
    <row r="1984" spans="1:8">
      <c r="A1984" s="317">
        <v>1601000001</v>
      </c>
      <c r="B1984" s="317" t="s">
        <v>46354</v>
      </c>
      <c r="C1984" s="330" t="s">
        <v>8274</v>
      </c>
      <c r="D1984" s="330" t="s">
        <v>8275</v>
      </c>
      <c r="E1984" s="330" t="s">
        <v>4634</v>
      </c>
      <c r="F1984" s="331">
        <v>0.21</v>
      </c>
      <c r="G1984" s="332">
        <v>5344</v>
      </c>
      <c r="H1984" s="333">
        <v>6467</v>
      </c>
    </row>
    <row r="1985" spans="1:8">
      <c r="A1985" s="317">
        <v>1601000013</v>
      </c>
      <c r="B1985" s="317" t="s">
        <v>46355</v>
      </c>
      <c r="C1985" s="330" t="s">
        <v>8276</v>
      </c>
      <c r="D1985" s="330" t="s">
        <v>8277</v>
      </c>
      <c r="E1985" s="330" t="s">
        <v>37248</v>
      </c>
      <c r="F1985" s="331">
        <v>0.21</v>
      </c>
      <c r="G1985" s="332">
        <v>1264</v>
      </c>
      <c r="H1985" s="333">
        <v>1530</v>
      </c>
    </row>
    <row r="1986" spans="1:8">
      <c r="A1986" s="317">
        <v>1601000016</v>
      </c>
      <c r="B1986" s="317" t="s">
        <v>46356</v>
      </c>
      <c r="C1986" s="330" t="s">
        <v>8278</v>
      </c>
      <c r="D1986" s="330" t="s">
        <v>8279</v>
      </c>
      <c r="E1986" s="330" t="s">
        <v>4634</v>
      </c>
      <c r="F1986" s="331">
        <v>0.21</v>
      </c>
      <c r="G1986" s="332">
        <v>254</v>
      </c>
      <c r="H1986" s="333">
        <v>308</v>
      </c>
    </row>
    <row r="1987" spans="1:8">
      <c r="A1987" s="317">
        <v>1601006006</v>
      </c>
      <c r="B1987" s="317" t="s">
        <v>46357</v>
      </c>
      <c r="C1987" s="330" t="s">
        <v>8280</v>
      </c>
      <c r="D1987" s="330" t="s">
        <v>8281</v>
      </c>
      <c r="E1987" s="330" t="s">
        <v>4634</v>
      </c>
      <c r="F1987" s="331">
        <v>0.21</v>
      </c>
      <c r="G1987" s="332">
        <v>678</v>
      </c>
      <c r="H1987" s="333">
        <v>821</v>
      </c>
    </row>
    <row r="1988" spans="1:8">
      <c r="A1988" s="317">
        <v>1601006011</v>
      </c>
      <c r="B1988" s="317" t="s">
        <v>46358</v>
      </c>
      <c r="C1988" s="330" t="s">
        <v>8282</v>
      </c>
      <c r="D1988" s="330" t="s">
        <v>8283</v>
      </c>
      <c r="E1988" s="330" t="s">
        <v>4819</v>
      </c>
      <c r="F1988" s="331">
        <v>0.21</v>
      </c>
      <c r="G1988" s="332">
        <v>2237</v>
      </c>
      <c r="H1988" s="333">
        <v>2707</v>
      </c>
    </row>
    <row r="1989" spans="1:8">
      <c r="A1989" s="317">
        <v>1601006014</v>
      </c>
      <c r="B1989" s="317" t="s">
        <v>46359</v>
      </c>
      <c r="C1989" s="330" t="s">
        <v>8284</v>
      </c>
      <c r="D1989" s="330" t="s">
        <v>8285</v>
      </c>
      <c r="E1989" s="330" t="s">
        <v>4634</v>
      </c>
      <c r="F1989" s="331">
        <v>0.21</v>
      </c>
      <c r="G1989" s="332">
        <v>432</v>
      </c>
      <c r="H1989" s="333">
        <v>523</v>
      </c>
    </row>
    <row r="1990" spans="1:8">
      <c r="A1990" s="317">
        <v>1601008005</v>
      </c>
      <c r="B1990" s="317" t="s">
        <v>46360</v>
      </c>
      <c r="C1990" s="330" t="s">
        <v>8286</v>
      </c>
      <c r="D1990" s="330" t="s">
        <v>8287</v>
      </c>
      <c r="E1990" s="330" t="s">
        <v>4634</v>
      </c>
      <c r="F1990" s="331">
        <v>0.21</v>
      </c>
      <c r="G1990" s="332">
        <v>678</v>
      </c>
      <c r="H1990" s="333">
        <v>821</v>
      </c>
    </row>
    <row r="1991" spans="1:8">
      <c r="A1991" s="317">
        <v>1601010007</v>
      </c>
      <c r="B1991" s="317" t="s">
        <v>46361</v>
      </c>
      <c r="C1991" s="330" t="s">
        <v>8288</v>
      </c>
      <c r="D1991" s="330" t="s">
        <v>8289</v>
      </c>
      <c r="E1991" s="330" t="s">
        <v>4819</v>
      </c>
      <c r="F1991" s="331">
        <v>0.21</v>
      </c>
      <c r="G1991" s="332">
        <v>3896</v>
      </c>
      <c r="H1991" s="333">
        <v>4715</v>
      </c>
    </row>
    <row r="1992" spans="1:8">
      <c r="A1992" s="317">
        <v>1601010009</v>
      </c>
      <c r="B1992" s="317" t="s">
        <v>46362</v>
      </c>
      <c r="C1992" s="330" t="s">
        <v>8290</v>
      </c>
      <c r="D1992" s="330" t="s">
        <v>8291</v>
      </c>
      <c r="E1992" s="330" t="s">
        <v>4819</v>
      </c>
      <c r="F1992" s="331">
        <v>0.21</v>
      </c>
      <c r="G1992" s="332">
        <v>2041</v>
      </c>
      <c r="H1992" s="333">
        <v>2470</v>
      </c>
    </row>
    <row r="1993" spans="1:8">
      <c r="A1993" s="317">
        <v>1601010010</v>
      </c>
      <c r="B1993" s="317" t="s">
        <v>46363</v>
      </c>
      <c r="C1993" s="330" t="s">
        <v>8292</v>
      </c>
      <c r="D1993" s="330" t="s">
        <v>8293</v>
      </c>
      <c r="E1993" s="330" t="s">
        <v>4634</v>
      </c>
      <c r="F1993" s="331">
        <v>0.21</v>
      </c>
      <c r="G1993" s="332">
        <v>1170</v>
      </c>
      <c r="H1993" s="333">
        <v>1416</v>
      </c>
    </row>
    <row r="1994" spans="1:8">
      <c r="A1994" s="317">
        <v>1601010058</v>
      </c>
      <c r="B1994" s="317" t="s">
        <v>46364</v>
      </c>
      <c r="C1994" s="330" t="s">
        <v>8294</v>
      </c>
      <c r="D1994" s="330" t="s">
        <v>8295</v>
      </c>
      <c r="E1994" s="330" t="s">
        <v>4634</v>
      </c>
      <c r="F1994" s="331">
        <v>0.21</v>
      </c>
      <c r="G1994" s="332">
        <v>1371</v>
      </c>
      <c r="H1994" s="333">
        <v>1659</v>
      </c>
    </row>
    <row r="1995" spans="1:8">
      <c r="A1995" s="317">
        <v>1601014000</v>
      </c>
      <c r="B1995" s="317" t="s">
        <v>46365</v>
      </c>
      <c r="C1995" s="330" t="s">
        <v>8296</v>
      </c>
      <c r="D1995" s="330" t="s">
        <v>8297</v>
      </c>
      <c r="E1995" s="330" t="s">
        <v>4634</v>
      </c>
      <c r="F1995" s="331">
        <v>0.21</v>
      </c>
      <c r="G1995" s="332">
        <v>570</v>
      </c>
      <c r="H1995" s="333">
        <v>690</v>
      </c>
    </row>
    <row r="1996" spans="1:8">
      <c r="A1996" s="317">
        <v>1601014005</v>
      </c>
      <c r="B1996" s="317" t="s">
        <v>46366</v>
      </c>
      <c r="C1996" s="330" t="s">
        <v>8298</v>
      </c>
      <c r="D1996" s="330" t="s">
        <v>8299</v>
      </c>
      <c r="E1996" s="330" t="s">
        <v>4634</v>
      </c>
      <c r="F1996" s="331">
        <v>0.21</v>
      </c>
      <c r="G1996" s="332">
        <v>437</v>
      </c>
      <c r="H1996" s="333">
        <v>529</v>
      </c>
    </row>
    <row r="1997" spans="1:8">
      <c r="A1997" s="317">
        <v>1601015011</v>
      </c>
      <c r="B1997" s="317" t="s">
        <v>46367</v>
      </c>
      <c r="C1997" s="330" t="s">
        <v>8300</v>
      </c>
      <c r="D1997" s="330" t="s">
        <v>8301</v>
      </c>
      <c r="E1997" s="330" t="s">
        <v>4634</v>
      </c>
      <c r="F1997" s="331">
        <v>0.21</v>
      </c>
      <c r="G1997" s="332">
        <v>3598</v>
      </c>
      <c r="H1997" s="333">
        <v>4354</v>
      </c>
    </row>
    <row r="1998" spans="1:8">
      <c r="A1998" s="317">
        <v>1601015013</v>
      </c>
      <c r="B1998" s="317" t="s">
        <v>46368</v>
      </c>
      <c r="C1998" s="330" t="s">
        <v>8302</v>
      </c>
      <c r="D1998" s="330" t="s">
        <v>6259</v>
      </c>
      <c r="E1998" s="330" t="s">
        <v>37248</v>
      </c>
      <c r="F1998" s="331">
        <v>0.21</v>
      </c>
      <c r="G1998" s="332">
        <v>2596</v>
      </c>
      <c r="H1998" s="333">
        <v>3142</v>
      </c>
    </row>
    <row r="1999" spans="1:8">
      <c r="A1999" s="317">
        <v>1601015016</v>
      </c>
      <c r="B1999" s="317" t="s">
        <v>46369</v>
      </c>
      <c r="C1999" s="330" t="s">
        <v>8303</v>
      </c>
      <c r="D1999" s="330" t="s">
        <v>8304</v>
      </c>
      <c r="E1999" s="330" t="s">
        <v>4634</v>
      </c>
      <c r="F1999" s="331">
        <v>0.21</v>
      </c>
      <c r="G1999" s="332">
        <v>153</v>
      </c>
      <c r="H1999" s="333">
        <v>186</v>
      </c>
    </row>
    <row r="2000" spans="1:8">
      <c r="A2000" s="317">
        <v>1601015035</v>
      </c>
      <c r="B2000" s="317" t="s">
        <v>46370</v>
      </c>
      <c r="C2000" s="330" t="s">
        <v>8305</v>
      </c>
      <c r="D2000" s="330" t="s">
        <v>8306</v>
      </c>
      <c r="E2000" s="330" t="s">
        <v>4634</v>
      </c>
      <c r="F2000" s="331">
        <v>0.21</v>
      </c>
      <c r="G2000" s="332">
        <v>1115</v>
      </c>
      <c r="H2000" s="333">
        <v>1350</v>
      </c>
    </row>
    <row r="2001" spans="1:8">
      <c r="A2001" s="317">
        <v>1601016013</v>
      </c>
      <c r="B2001" s="317" t="s">
        <v>46371</v>
      </c>
      <c r="C2001" s="330" t="s">
        <v>8307</v>
      </c>
      <c r="D2001" s="330" t="s">
        <v>8308</v>
      </c>
      <c r="E2001" s="330" t="s">
        <v>4634</v>
      </c>
      <c r="F2001" s="331">
        <v>0.21</v>
      </c>
      <c r="G2001" s="332">
        <v>455</v>
      </c>
      <c r="H2001" s="333">
        <v>551</v>
      </c>
    </row>
    <row r="2002" spans="1:8">
      <c r="A2002" s="317">
        <v>1601021005</v>
      </c>
      <c r="B2002" s="317" t="s">
        <v>46372</v>
      </c>
      <c r="C2002" s="330" t="s">
        <v>8309</v>
      </c>
      <c r="D2002" s="330" t="s">
        <v>8310</v>
      </c>
      <c r="E2002" s="330" t="s">
        <v>4819</v>
      </c>
      <c r="F2002" s="331">
        <v>0.21</v>
      </c>
      <c r="G2002" s="332">
        <v>2094</v>
      </c>
      <c r="H2002" s="333">
        <v>2534</v>
      </c>
    </row>
    <row r="2003" spans="1:8">
      <c r="A2003" s="317">
        <v>1601025001</v>
      </c>
      <c r="B2003" s="317" t="s">
        <v>46373</v>
      </c>
      <c r="C2003" s="330" t="s">
        <v>8311</v>
      </c>
      <c r="D2003" s="330" t="s">
        <v>8312</v>
      </c>
      <c r="E2003" s="330" t="s">
        <v>4819</v>
      </c>
      <c r="F2003" s="331">
        <v>0.21</v>
      </c>
      <c r="G2003" s="332">
        <v>910</v>
      </c>
      <c r="H2003" s="333">
        <v>1102</v>
      </c>
    </row>
    <row r="2004" spans="1:8">
      <c r="A2004" s="317">
        <v>1601030022</v>
      </c>
      <c r="B2004" s="317" t="s">
        <v>46374</v>
      </c>
      <c r="C2004" s="330" t="s">
        <v>8313</v>
      </c>
      <c r="D2004" s="330" t="s">
        <v>8314</v>
      </c>
      <c r="E2004" s="330" t="s">
        <v>37248</v>
      </c>
      <c r="F2004" s="331">
        <v>0.21</v>
      </c>
      <c r="G2004" s="332">
        <v>910</v>
      </c>
      <c r="H2004" s="333">
        <v>1102</v>
      </c>
    </row>
    <row r="2005" spans="1:8">
      <c r="A2005" s="317">
        <v>1601030024</v>
      </c>
      <c r="B2005" s="317" t="s">
        <v>46375</v>
      </c>
      <c r="C2005" s="330" t="s">
        <v>8315</v>
      </c>
      <c r="D2005" s="330" t="s">
        <v>8316</v>
      </c>
      <c r="E2005" s="330" t="s">
        <v>4634</v>
      </c>
      <c r="F2005" s="331">
        <v>0.21</v>
      </c>
      <c r="G2005" s="332">
        <v>122</v>
      </c>
      <c r="H2005" s="333">
        <v>148</v>
      </c>
    </row>
    <row r="2006" spans="1:8">
      <c r="A2006" s="317">
        <v>1601030025</v>
      </c>
      <c r="B2006" s="317" t="s">
        <v>46376</v>
      </c>
      <c r="C2006" s="330" t="s">
        <v>8317</v>
      </c>
      <c r="D2006" s="330" t="s">
        <v>8281</v>
      </c>
      <c r="E2006" s="330" t="s">
        <v>4634</v>
      </c>
      <c r="F2006" s="331">
        <v>0.21</v>
      </c>
      <c r="G2006" s="332">
        <v>122</v>
      </c>
      <c r="H2006" s="333">
        <v>148</v>
      </c>
    </row>
    <row r="2007" spans="1:8">
      <c r="A2007" s="317">
        <v>1601034025</v>
      </c>
      <c r="B2007" s="317" t="s">
        <v>46377</v>
      </c>
      <c r="C2007" s="330" t="s">
        <v>8318</v>
      </c>
      <c r="D2007" s="330" t="s">
        <v>8319</v>
      </c>
      <c r="E2007" s="330" t="s">
        <v>4634</v>
      </c>
      <c r="F2007" s="331">
        <v>0.21</v>
      </c>
      <c r="G2007" s="332">
        <v>437</v>
      </c>
      <c r="H2007" s="333">
        <v>529</v>
      </c>
    </row>
    <row r="2008" spans="1:8">
      <c r="A2008" s="317">
        <v>1601034035</v>
      </c>
      <c r="B2008" s="317" t="s">
        <v>46378</v>
      </c>
      <c r="C2008" s="330" t="s">
        <v>8320</v>
      </c>
      <c r="D2008" s="330" t="s">
        <v>8321</v>
      </c>
      <c r="E2008" s="330" t="s">
        <v>4634</v>
      </c>
      <c r="F2008" s="331">
        <v>0.21</v>
      </c>
      <c r="G2008" s="332">
        <v>455</v>
      </c>
      <c r="H2008" s="333">
        <v>551</v>
      </c>
    </row>
    <row r="2009" spans="1:8">
      <c r="A2009" s="317">
        <v>1601035008</v>
      </c>
      <c r="B2009" s="317" t="s">
        <v>46379</v>
      </c>
      <c r="C2009" s="330" t="s">
        <v>8322</v>
      </c>
      <c r="D2009" s="330" t="s">
        <v>8323</v>
      </c>
      <c r="E2009" s="330" t="s">
        <v>37248</v>
      </c>
      <c r="F2009" s="331">
        <v>0.21</v>
      </c>
      <c r="G2009" s="332">
        <v>646</v>
      </c>
      <c r="H2009" s="333">
        <v>782</v>
      </c>
    </row>
    <row r="2010" spans="1:8">
      <c r="A2010" s="317">
        <v>1601037006</v>
      </c>
      <c r="B2010" s="317" t="s">
        <v>46380</v>
      </c>
      <c r="C2010" s="330" t="s">
        <v>8324</v>
      </c>
      <c r="D2010" s="330" t="s">
        <v>8325</v>
      </c>
      <c r="E2010" s="330" t="s">
        <v>4634</v>
      </c>
      <c r="F2010" s="331">
        <v>0.21</v>
      </c>
      <c r="G2010" s="332">
        <v>153</v>
      </c>
      <c r="H2010" s="333">
        <v>186</v>
      </c>
    </row>
    <row r="2011" spans="1:8">
      <c r="A2011" s="317">
        <v>1601037007</v>
      </c>
      <c r="B2011" s="317" t="s">
        <v>46381</v>
      </c>
      <c r="C2011" s="330" t="s">
        <v>8326</v>
      </c>
      <c r="D2011" s="330" t="s">
        <v>8281</v>
      </c>
      <c r="E2011" s="330" t="s">
        <v>4634</v>
      </c>
      <c r="F2011" s="331">
        <v>0.21</v>
      </c>
      <c r="G2011" s="332">
        <v>145</v>
      </c>
      <c r="H2011" s="333">
        <v>176</v>
      </c>
    </row>
    <row r="2012" spans="1:8">
      <c r="A2012" s="317">
        <v>1601038026</v>
      </c>
      <c r="B2012" s="317" t="s">
        <v>46382</v>
      </c>
      <c r="C2012" s="330" t="s">
        <v>8327</v>
      </c>
      <c r="D2012" s="330" t="s">
        <v>8328</v>
      </c>
      <c r="E2012" s="330" t="s">
        <v>4634</v>
      </c>
      <c r="F2012" s="331">
        <v>0.21</v>
      </c>
      <c r="G2012" s="332">
        <v>1474</v>
      </c>
      <c r="H2012" s="333">
        <v>1784</v>
      </c>
    </row>
    <row r="2013" spans="1:8">
      <c r="A2013" s="317">
        <v>1601038029</v>
      </c>
      <c r="B2013" s="317" t="s">
        <v>46383</v>
      </c>
      <c r="C2013" s="330" t="s">
        <v>8329</v>
      </c>
      <c r="D2013" s="330" t="s">
        <v>8330</v>
      </c>
      <c r="E2013" s="330" t="s">
        <v>4634</v>
      </c>
      <c r="F2013" s="331">
        <v>0.21</v>
      </c>
      <c r="G2013" s="332">
        <v>2319</v>
      </c>
      <c r="H2013" s="333">
        <v>2806</v>
      </c>
    </row>
    <row r="2014" spans="1:8">
      <c r="A2014" s="317">
        <v>1601071000</v>
      </c>
      <c r="B2014" s="317" t="s">
        <v>46384</v>
      </c>
      <c r="C2014" s="330" t="s">
        <v>8331</v>
      </c>
      <c r="D2014" s="330" t="s">
        <v>8332</v>
      </c>
      <c r="E2014" s="330" t="s">
        <v>4623</v>
      </c>
      <c r="F2014" s="331">
        <v>0.21</v>
      </c>
      <c r="G2014" s="332">
        <v>1072</v>
      </c>
      <c r="H2014" s="333">
        <v>1298</v>
      </c>
    </row>
    <row r="2015" spans="1:8">
      <c r="A2015" s="317">
        <v>1601098005</v>
      </c>
      <c r="B2015" s="317" t="s">
        <v>46385</v>
      </c>
      <c r="C2015" s="330" t="s">
        <v>8333</v>
      </c>
      <c r="D2015" s="330" t="s">
        <v>8334</v>
      </c>
      <c r="E2015" s="330" t="s">
        <v>4634</v>
      </c>
      <c r="F2015" s="331">
        <v>0.21</v>
      </c>
      <c r="G2015" s="332">
        <v>4983</v>
      </c>
      <c r="H2015" s="333">
        <v>6030</v>
      </c>
    </row>
    <row r="2016" spans="1:8">
      <c r="A2016" s="317">
        <v>1601098006</v>
      </c>
      <c r="B2016" s="317" t="s">
        <v>46386</v>
      </c>
      <c r="C2016" s="330" t="s">
        <v>8335</v>
      </c>
      <c r="D2016" s="330" t="s">
        <v>8336</v>
      </c>
      <c r="E2016" s="330" t="s">
        <v>4634</v>
      </c>
      <c r="F2016" s="331">
        <v>0.21</v>
      </c>
      <c r="G2016" s="332">
        <v>678</v>
      </c>
      <c r="H2016" s="333">
        <v>821</v>
      </c>
    </row>
    <row r="2017" spans="1:8">
      <c r="A2017" s="317">
        <v>1601098008</v>
      </c>
      <c r="B2017" s="317" t="s">
        <v>46387</v>
      </c>
      <c r="C2017" s="330" t="s">
        <v>8337</v>
      </c>
      <c r="D2017" s="330" t="s">
        <v>8338</v>
      </c>
      <c r="E2017" s="330" t="s">
        <v>4634</v>
      </c>
      <c r="F2017" s="331">
        <v>0.21</v>
      </c>
      <c r="G2017" s="332">
        <v>1126</v>
      </c>
      <c r="H2017" s="333">
        <v>1363</v>
      </c>
    </row>
    <row r="2018" spans="1:8">
      <c r="A2018" s="317">
        <v>1601099011</v>
      </c>
      <c r="B2018" s="317" t="s">
        <v>46388</v>
      </c>
      <c r="C2018" s="330" t="s">
        <v>8339</v>
      </c>
      <c r="D2018" s="330" t="s">
        <v>8340</v>
      </c>
      <c r="E2018" s="330" t="s">
        <v>4634</v>
      </c>
      <c r="F2018" s="331">
        <v>0.21</v>
      </c>
      <c r="G2018" s="332">
        <v>437</v>
      </c>
      <c r="H2018" s="333">
        <v>529</v>
      </c>
    </row>
    <row r="2019" spans="1:8">
      <c r="A2019" s="317">
        <v>1601106999</v>
      </c>
      <c r="B2019" s="317" t="s">
        <v>46389</v>
      </c>
      <c r="C2019" s="330" t="s">
        <v>8341</v>
      </c>
      <c r="D2019" s="330" t="s">
        <v>8342</v>
      </c>
      <c r="E2019" s="330" t="s">
        <v>4634</v>
      </c>
      <c r="F2019" s="331">
        <v>0.21</v>
      </c>
      <c r="G2019" s="332">
        <v>1222</v>
      </c>
      <c r="H2019" s="333">
        <v>1479</v>
      </c>
    </row>
    <row r="2020" spans="1:8">
      <c r="A2020" s="317">
        <v>1601118035</v>
      </c>
      <c r="B2020" s="317" t="s">
        <v>46390</v>
      </c>
      <c r="C2020" s="330" t="s">
        <v>8343</v>
      </c>
      <c r="D2020" s="330" t="s">
        <v>8344</v>
      </c>
      <c r="E2020" s="330" t="s">
        <v>4634</v>
      </c>
      <c r="F2020" s="331">
        <v>0.21</v>
      </c>
      <c r="G2020" s="332">
        <v>791</v>
      </c>
      <c r="H2020" s="333">
        <v>958</v>
      </c>
    </row>
    <row r="2021" spans="1:8">
      <c r="A2021" s="317">
        <v>1601118969</v>
      </c>
      <c r="B2021" s="317" t="s">
        <v>46391</v>
      </c>
      <c r="C2021" s="330" t="s">
        <v>8345</v>
      </c>
      <c r="D2021" s="330" t="s">
        <v>8346</v>
      </c>
      <c r="E2021" s="330" t="s">
        <v>4634</v>
      </c>
      <c r="F2021" s="331">
        <v>0.21</v>
      </c>
      <c r="G2021" s="332">
        <v>791</v>
      </c>
      <c r="H2021" s="333">
        <v>958</v>
      </c>
    </row>
    <row r="2022" spans="1:8">
      <c r="A2022" s="317" t="s">
        <v>38567</v>
      </c>
      <c r="B2022" s="317" t="s">
        <v>46392</v>
      </c>
      <c r="C2022" s="330" t="s">
        <v>8347</v>
      </c>
      <c r="D2022" s="330" t="s">
        <v>8348</v>
      </c>
      <c r="E2022" s="330" t="s">
        <v>4634</v>
      </c>
      <c r="F2022" s="331">
        <v>0.21</v>
      </c>
      <c r="G2022" s="332">
        <v>1258</v>
      </c>
      <c r="H2022" s="333">
        <v>1523</v>
      </c>
    </row>
    <row r="2023" spans="1:8">
      <c r="A2023" s="317" t="s">
        <v>38568</v>
      </c>
      <c r="B2023" s="317" t="s">
        <v>46393</v>
      </c>
      <c r="C2023" s="330" t="s">
        <v>8349</v>
      </c>
      <c r="D2023" s="330" t="s">
        <v>8350</v>
      </c>
      <c r="E2023" s="330" t="s">
        <v>4634</v>
      </c>
      <c r="F2023" s="331">
        <v>0.21</v>
      </c>
      <c r="G2023" s="332">
        <v>791</v>
      </c>
      <c r="H2023" s="333">
        <v>958</v>
      </c>
    </row>
    <row r="2024" spans="1:8">
      <c r="A2024" s="317" t="s">
        <v>38569</v>
      </c>
      <c r="B2024" s="317" t="s">
        <v>46394</v>
      </c>
      <c r="C2024" s="330" t="s">
        <v>8351</v>
      </c>
      <c r="D2024" s="330" t="s">
        <v>8352</v>
      </c>
      <c r="E2024" s="330" t="s">
        <v>4634</v>
      </c>
      <c r="F2024" s="331">
        <v>0.21</v>
      </c>
      <c r="G2024" s="332">
        <v>490</v>
      </c>
      <c r="H2024" s="333">
        <v>593</v>
      </c>
    </row>
    <row r="2025" spans="1:8">
      <c r="A2025" s="317" t="s">
        <v>38570</v>
      </c>
      <c r="B2025" s="317" t="s">
        <v>46395</v>
      </c>
      <c r="C2025" s="330" t="s">
        <v>8353</v>
      </c>
      <c r="D2025" s="330" t="s">
        <v>8060</v>
      </c>
      <c r="E2025" s="330" t="s">
        <v>37248</v>
      </c>
      <c r="F2025" s="331">
        <v>0.21</v>
      </c>
      <c r="G2025" s="332">
        <v>910</v>
      </c>
      <c r="H2025" s="333">
        <v>1102</v>
      </c>
    </row>
    <row r="2026" spans="1:8">
      <c r="A2026" s="317" t="s">
        <v>38571</v>
      </c>
      <c r="B2026" s="317" t="s">
        <v>46396</v>
      </c>
      <c r="C2026" s="330" t="s">
        <v>8354</v>
      </c>
      <c r="D2026" s="330" t="s">
        <v>8355</v>
      </c>
      <c r="E2026" s="330" t="s">
        <v>4819</v>
      </c>
      <c r="F2026" s="331">
        <v>0.21</v>
      </c>
      <c r="G2026" s="332">
        <v>780</v>
      </c>
      <c r="H2026" s="333">
        <v>944</v>
      </c>
    </row>
    <row r="2027" spans="1:8">
      <c r="A2027" s="317" t="s">
        <v>38572</v>
      </c>
      <c r="B2027" s="317" t="s">
        <v>46397</v>
      </c>
      <c r="C2027" s="330" t="s">
        <v>8356</v>
      </c>
      <c r="D2027" s="330" t="s">
        <v>7510</v>
      </c>
      <c r="E2027" s="330" t="s">
        <v>37248</v>
      </c>
      <c r="F2027" s="331">
        <v>0.21</v>
      </c>
      <c r="G2027" s="332">
        <v>515</v>
      </c>
      <c r="H2027" s="333">
        <v>624</v>
      </c>
    </row>
    <row r="2028" spans="1:8">
      <c r="A2028" s="317" t="s">
        <v>38573</v>
      </c>
      <c r="B2028" s="317" t="s">
        <v>46398</v>
      </c>
      <c r="C2028" s="330" t="s">
        <v>8357</v>
      </c>
      <c r="D2028" s="330" t="s">
        <v>8358</v>
      </c>
      <c r="E2028" s="330" t="s">
        <v>4634</v>
      </c>
      <c r="F2028" s="331">
        <v>0.21</v>
      </c>
      <c r="G2028" s="332">
        <v>490</v>
      </c>
      <c r="H2028" s="333">
        <v>593</v>
      </c>
    </row>
    <row r="2029" spans="1:8">
      <c r="A2029" s="317" t="s">
        <v>38574</v>
      </c>
      <c r="B2029" s="317" t="s">
        <v>46399</v>
      </c>
      <c r="C2029" s="330" t="s">
        <v>8359</v>
      </c>
      <c r="D2029" s="330" t="s">
        <v>8360</v>
      </c>
      <c r="E2029" s="330" t="s">
        <v>37248</v>
      </c>
      <c r="F2029" s="331">
        <v>0.21</v>
      </c>
      <c r="G2029" s="332">
        <v>515</v>
      </c>
      <c r="H2029" s="333">
        <v>624</v>
      </c>
    </row>
    <row r="2030" spans="1:8">
      <c r="A2030" s="317" t="s">
        <v>38575</v>
      </c>
      <c r="B2030" s="317" t="s">
        <v>46400</v>
      </c>
      <c r="C2030" s="330" t="s">
        <v>8361</v>
      </c>
      <c r="D2030" s="330" t="s">
        <v>7510</v>
      </c>
      <c r="E2030" s="330" t="s">
        <v>4634</v>
      </c>
      <c r="F2030" s="331">
        <v>0.21</v>
      </c>
      <c r="G2030" s="332">
        <v>490</v>
      </c>
      <c r="H2030" s="333">
        <v>593</v>
      </c>
    </row>
    <row r="2031" spans="1:8">
      <c r="A2031" s="317" t="s">
        <v>38576</v>
      </c>
      <c r="B2031" s="317" t="s">
        <v>46401</v>
      </c>
      <c r="C2031" s="330" t="s">
        <v>8362</v>
      </c>
      <c r="D2031" s="330" t="s">
        <v>7508</v>
      </c>
      <c r="E2031" s="330" t="s">
        <v>4819</v>
      </c>
      <c r="F2031" s="331">
        <v>0.21</v>
      </c>
      <c r="G2031" s="332">
        <v>1063</v>
      </c>
      <c r="H2031" s="333">
        <v>1287</v>
      </c>
    </row>
    <row r="2032" spans="1:8">
      <c r="A2032" s="317" t="s">
        <v>38577</v>
      </c>
      <c r="B2032" s="317" t="s">
        <v>46402</v>
      </c>
      <c r="C2032" s="330" t="s">
        <v>8363</v>
      </c>
      <c r="D2032" s="330" t="s">
        <v>8364</v>
      </c>
      <c r="E2032" s="330" t="s">
        <v>4634</v>
      </c>
      <c r="F2032" s="331">
        <v>0.21</v>
      </c>
      <c r="G2032" s="332">
        <v>490</v>
      </c>
      <c r="H2032" s="333">
        <v>593</v>
      </c>
    </row>
    <row r="2033" spans="1:8">
      <c r="A2033" s="317" t="s">
        <v>38578</v>
      </c>
      <c r="B2033" s="317" t="s">
        <v>46403</v>
      </c>
      <c r="C2033" s="330" t="s">
        <v>8365</v>
      </c>
      <c r="D2033" s="330" t="s">
        <v>7510</v>
      </c>
      <c r="E2033" s="330" t="s">
        <v>37248</v>
      </c>
      <c r="F2033" s="331">
        <v>0.21</v>
      </c>
      <c r="G2033" s="332">
        <v>515</v>
      </c>
      <c r="H2033" s="333">
        <v>624</v>
      </c>
    </row>
    <row r="2034" spans="1:8">
      <c r="A2034" s="317" t="s">
        <v>38579</v>
      </c>
      <c r="B2034" s="317" t="s">
        <v>46404</v>
      </c>
      <c r="C2034" s="330" t="s">
        <v>8366</v>
      </c>
      <c r="D2034" s="330" t="s">
        <v>8367</v>
      </c>
      <c r="E2034" s="330" t="s">
        <v>4819</v>
      </c>
      <c r="F2034" s="331">
        <v>0.21</v>
      </c>
      <c r="G2034" s="332">
        <v>1063</v>
      </c>
      <c r="H2034" s="333">
        <v>1287</v>
      </c>
    </row>
    <row r="2035" spans="1:8">
      <c r="A2035" s="317" t="s">
        <v>38580</v>
      </c>
      <c r="B2035" s="317" t="s">
        <v>46405</v>
      </c>
      <c r="C2035" s="330" t="s">
        <v>8368</v>
      </c>
      <c r="D2035" s="330" t="s">
        <v>7510</v>
      </c>
      <c r="E2035" s="330" t="s">
        <v>37248</v>
      </c>
      <c r="F2035" s="331">
        <v>0.21</v>
      </c>
      <c r="G2035" s="332">
        <v>515</v>
      </c>
      <c r="H2035" s="333">
        <v>624</v>
      </c>
    </row>
    <row r="2036" spans="1:8">
      <c r="A2036" s="317" t="s">
        <v>38581</v>
      </c>
      <c r="B2036" s="317" t="s">
        <v>46406</v>
      </c>
      <c r="C2036" s="330" t="s">
        <v>8369</v>
      </c>
      <c r="D2036" s="330" t="s">
        <v>7510</v>
      </c>
      <c r="E2036" s="330" t="s">
        <v>4634</v>
      </c>
      <c r="F2036" s="331">
        <v>0.21</v>
      </c>
      <c r="G2036" s="332">
        <v>475</v>
      </c>
      <c r="H2036" s="333">
        <v>575</v>
      </c>
    </row>
    <row r="2037" spans="1:8">
      <c r="A2037" s="317" t="s">
        <v>38582</v>
      </c>
      <c r="B2037" s="317" t="s">
        <v>46407</v>
      </c>
      <c r="C2037" s="330" t="s">
        <v>8370</v>
      </c>
      <c r="D2037" s="330" t="s">
        <v>7510</v>
      </c>
      <c r="E2037" s="330" t="s">
        <v>37248</v>
      </c>
      <c r="F2037" s="331">
        <v>0.21</v>
      </c>
      <c r="G2037" s="332">
        <v>515</v>
      </c>
      <c r="H2037" s="333">
        <v>624</v>
      </c>
    </row>
    <row r="2038" spans="1:8">
      <c r="A2038" s="317" t="s">
        <v>38583</v>
      </c>
      <c r="B2038" s="317" t="s">
        <v>46408</v>
      </c>
      <c r="C2038" s="330" t="s">
        <v>8371</v>
      </c>
      <c r="D2038" s="330" t="s">
        <v>7510</v>
      </c>
      <c r="E2038" s="330" t="s">
        <v>37248</v>
      </c>
      <c r="F2038" s="331">
        <v>0.21</v>
      </c>
      <c r="G2038" s="332">
        <v>515</v>
      </c>
      <c r="H2038" s="333">
        <v>624</v>
      </c>
    </row>
    <row r="2039" spans="1:8">
      <c r="A2039" s="317" t="s">
        <v>38584</v>
      </c>
      <c r="B2039" s="317" t="s">
        <v>46409</v>
      </c>
      <c r="C2039" s="330" t="s">
        <v>8372</v>
      </c>
      <c r="D2039" s="330" t="s">
        <v>8373</v>
      </c>
      <c r="E2039" s="330" t="s">
        <v>4634</v>
      </c>
      <c r="F2039" s="331">
        <v>0.21</v>
      </c>
      <c r="G2039" s="332">
        <v>490</v>
      </c>
      <c r="H2039" s="333">
        <v>593</v>
      </c>
    </row>
    <row r="2040" spans="1:8">
      <c r="A2040" s="317" t="s">
        <v>38585</v>
      </c>
      <c r="B2040" s="317" t="s">
        <v>46410</v>
      </c>
      <c r="C2040" s="330" t="s">
        <v>8374</v>
      </c>
      <c r="D2040" s="330" t="s">
        <v>8375</v>
      </c>
      <c r="E2040" s="330" t="s">
        <v>37248</v>
      </c>
      <c r="F2040" s="331">
        <v>0.21</v>
      </c>
      <c r="G2040" s="332">
        <v>515</v>
      </c>
      <c r="H2040" s="333">
        <v>624</v>
      </c>
    </row>
    <row r="2041" spans="1:8">
      <c r="A2041" s="317" t="s">
        <v>38586</v>
      </c>
      <c r="B2041" s="317" t="s">
        <v>46411</v>
      </c>
      <c r="C2041" s="330" t="s">
        <v>8376</v>
      </c>
      <c r="D2041" s="330" t="s">
        <v>8377</v>
      </c>
      <c r="E2041" s="330" t="s">
        <v>37248</v>
      </c>
      <c r="F2041" s="331">
        <v>0.21</v>
      </c>
      <c r="G2041" s="332">
        <v>519</v>
      </c>
      <c r="H2041" s="333">
        <v>628</v>
      </c>
    </row>
    <row r="2042" spans="1:8">
      <c r="A2042" s="317" t="s">
        <v>38587</v>
      </c>
      <c r="B2042" s="317" t="s">
        <v>46412</v>
      </c>
      <c r="C2042" s="330" t="s">
        <v>8378</v>
      </c>
      <c r="D2042" s="330" t="s">
        <v>8379</v>
      </c>
      <c r="E2042" s="330" t="s">
        <v>4819</v>
      </c>
      <c r="F2042" s="331">
        <v>0.21</v>
      </c>
      <c r="G2042" s="332">
        <v>780</v>
      </c>
      <c r="H2042" s="333">
        <v>944</v>
      </c>
    </row>
    <row r="2043" spans="1:8">
      <c r="A2043" s="317" t="s">
        <v>38588</v>
      </c>
      <c r="B2043" s="317" t="s">
        <v>46413</v>
      </c>
      <c r="C2043" s="330" t="s">
        <v>8380</v>
      </c>
      <c r="D2043" s="330" t="s">
        <v>7508</v>
      </c>
      <c r="E2043" s="330" t="s">
        <v>37248</v>
      </c>
      <c r="F2043" s="331">
        <v>0.21</v>
      </c>
      <c r="G2043" s="332">
        <v>1063</v>
      </c>
      <c r="H2043" s="333">
        <v>1287</v>
      </c>
    </row>
    <row r="2044" spans="1:8">
      <c r="A2044" s="317" t="s">
        <v>38589</v>
      </c>
      <c r="B2044" s="317" t="s">
        <v>46414</v>
      </c>
      <c r="C2044" s="330" t="s">
        <v>8381</v>
      </c>
      <c r="D2044" s="330" t="s">
        <v>7510</v>
      </c>
      <c r="E2044" s="330" t="s">
        <v>37248</v>
      </c>
      <c r="F2044" s="331">
        <v>0.21</v>
      </c>
      <c r="G2044" s="332">
        <v>515</v>
      </c>
      <c r="H2044" s="333">
        <v>624</v>
      </c>
    </row>
    <row r="2045" spans="1:8">
      <c r="A2045" s="317" t="s">
        <v>38590</v>
      </c>
      <c r="B2045" s="317" t="s">
        <v>46415</v>
      </c>
      <c r="C2045" s="330" t="s">
        <v>8382</v>
      </c>
      <c r="D2045" s="330" t="s">
        <v>8383</v>
      </c>
      <c r="E2045" s="330" t="s">
        <v>37248</v>
      </c>
      <c r="F2045" s="331">
        <v>0.21</v>
      </c>
      <c r="G2045" s="332">
        <v>1063</v>
      </c>
      <c r="H2045" s="333">
        <v>1287</v>
      </c>
    </row>
    <row r="2046" spans="1:8">
      <c r="A2046" s="317" t="s">
        <v>38591</v>
      </c>
      <c r="B2046" s="317" t="s">
        <v>46416</v>
      </c>
      <c r="C2046" s="330" t="s">
        <v>8384</v>
      </c>
      <c r="D2046" s="330" t="s">
        <v>7510</v>
      </c>
      <c r="E2046" s="330" t="s">
        <v>37248</v>
      </c>
      <c r="F2046" s="331">
        <v>0.21</v>
      </c>
      <c r="G2046" s="332">
        <v>515</v>
      </c>
      <c r="H2046" s="333">
        <v>624</v>
      </c>
    </row>
    <row r="2047" spans="1:8">
      <c r="A2047" s="317" t="s">
        <v>38592</v>
      </c>
      <c r="B2047" s="317" t="s">
        <v>46417</v>
      </c>
      <c r="C2047" s="330" t="s">
        <v>8385</v>
      </c>
      <c r="D2047" s="330" t="s">
        <v>7510</v>
      </c>
      <c r="E2047" s="330" t="s">
        <v>4819</v>
      </c>
      <c r="F2047" s="331">
        <v>0.21</v>
      </c>
      <c r="G2047" s="332">
        <v>780</v>
      </c>
      <c r="H2047" s="333">
        <v>944</v>
      </c>
    </row>
    <row r="2048" spans="1:8">
      <c r="A2048" s="317" t="s">
        <v>38593</v>
      </c>
      <c r="B2048" s="317" t="s">
        <v>46418</v>
      </c>
      <c r="C2048" s="330" t="s">
        <v>8386</v>
      </c>
      <c r="D2048" s="330" t="s">
        <v>8387</v>
      </c>
      <c r="E2048" s="330" t="s">
        <v>4819</v>
      </c>
      <c r="F2048" s="331">
        <v>0.21</v>
      </c>
      <c r="G2048" s="332">
        <v>1063</v>
      </c>
      <c r="H2048" s="333">
        <v>1287</v>
      </c>
    </row>
    <row r="2049" spans="1:8">
      <c r="A2049" s="317" t="s">
        <v>38594</v>
      </c>
      <c r="B2049" s="317" t="s">
        <v>46419</v>
      </c>
      <c r="C2049" s="330" t="s">
        <v>8388</v>
      </c>
      <c r="D2049" s="330" t="s">
        <v>7510</v>
      </c>
      <c r="E2049" s="330" t="s">
        <v>4634</v>
      </c>
      <c r="F2049" s="331">
        <v>0.21</v>
      </c>
      <c r="G2049" s="332">
        <v>475</v>
      </c>
      <c r="H2049" s="333">
        <v>575</v>
      </c>
    </row>
    <row r="2050" spans="1:8">
      <c r="A2050" s="317" t="s">
        <v>38595</v>
      </c>
      <c r="B2050" s="317" t="s">
        <v>46420</v>
      </c>
      <c r="C2050" s="330" t="s">
        <v>8389</v>
      </c>
      <c r="D2050" s="330" t="s">
        <v>7508</v>
      </c>
      <c r="E2050" s="330" t="s">
        <v>37248</v>
      </c>
      <c r="F2050" s="331">
        <v>0.21</v>
      </c>
      <c r="G2050" s="332">
        <v>1247</v>
      </c>
      <c r="H2050" s="333">
        <v>1509</v>
      </c>
    </row>
    <row r="2051" spans="1:8">
      <c r="A2051" s="317" t="s">
        <v>38596</v>
      </c>
      <c r="B2051" s="317" t="s">
        <v>46421</v>
      </c>
      <c r="C2051" s="330" t="s">
        <v>8390</v>
      </c>
      <c r="D2051" s="330" t="s">
        <v>8379</v>
      </c>
      <c r="E2051" s="330" t="s">
        <v>37248</v>
      </c>
      <c r="F2051" s="331">
        <v>0.21</v>
      </c>
      <c r="G2051" s="332">
        <v>1063</v>
      </c>
      <c r="H2051" s="333">
        <v>1287</v>
      </c>
    </row>
    <row r="2052" spans="1:8">
      <c r="A2052" s="317" t="s">
        <v>38597</v>
      </c>
      <c r="B2052" s="317" t="s">
        <v>46422</v>
      </c>
      <c r="C2052" s="330" t="s">
        <v>8391</v>
      </c>
      <c r="D2052" s="330" t="s">
        <v>7510</v>
      </c>
      <c r="E2052" s="330" t="s">
        <v>37248</v>
      </c>
      <c r="F2052" s="331">
        <v>0.21</v>
      </c>
      <c r="G2052" s="332">
        <v>1063</v>
      </c>
      <c r="H2052" s="333">
        <v>1287</v>
      </c>
    </row>
    <row r="2053" spans="1:8">
      <c r="A2053" s="317" t="s">
        <v>38598</v>
      </c>
      <c r="B2053" s="317" t="s">
        <v>46423</v>
      </c>
      <c r="C2053" s="330" t="s">
        <v>8392</v>
      </c>
      <c r="D2053" s="330" t="s">
        <v>8379</v>
      </c>
      <c r="E2053" s="330" t="s">
        <v>37248</v>
      </c>
      <c r="F2053" s="331">
        <v>0.21</v>
      </c>
      <c r="G2053" s="332">
        <v>1063</v>
      </c>
      <c r="H2053" s="333">
        <v>1287</v>
      </c>
    </row>
    <row r="2054" spans="1:8">
      <c r="A2054" s="317" t="s">
        <v>38599</v>
      </c>
      <c r="B2054" s="317" t="s">
        <v>46424</v>
      </c>
      <c r="C2054" s="330" t="s">
        <v>8393</v>
      </c>
      <c r="D2054" s="330" t="s">
        <v>7508</v>
      </c>
      <c r="E2054" s="330" t="s">
        <v>4819</v>
      </c>
      <c r="F2054" s="331">
        <v>0.21</v>
      </c>
      <c r="G2054" s="332">
        <v>1063</v>
      </c>
      <c r="H2054" s="333">
        <v>1287</v>
      </c>
    </row>
    <row r="2055" spans="1:8">
      <c r="A2055" s="317" t="s">
        <v>38600</v>
      </c>
      <c r="B2055" s="317" t="s">
        <v>46425</v>
      </c>
      <c r="C2055" s="330" t="s">
        <v>8394</v>
      </c>
      <c r="D2055" s="330" t="s">
        <v>8375</v>
      </c>
      <c r="E2055" s="330" t="s">
        <v>37248</v>
      </c>
      <c r="F2055" s="331">
        <v>0.21</v>
      </c>
      <c r="G2055" s="332">
        <v>515</v>
      </c>
      <c r="H2055" s="333">
        <v>624</v>
      </c>
    </row>
    <row r="2056" spans="1:8">
      <c r="A2056" s="317" t="s">
        <v>38601</v>
      </c>
      <c r="B2056" s="317" t="s">
        <v>46426</v>
      </c>
      <c r="C2056" s="330" t="s">
        <v>8395</v>
      </c>
      <c r="D2056" s="330" t="s">
        <v>8396</v>
      </c>
      <c r="E2056" s="330" t="s">
        <v>4819</v>
      </c>
      <c r="F2056" s="331">
        <v>0.21</v>
      </c>
      <c r="G2056" s="332">
        <v>1063</v>
      </c>
      <c r="H2056" s="333">
        <v>1287</v>
      </c>
    </row>
    <row r="2057" spans="1:8">
      <c r="A2057" s="317" t="s">
        <v>38602</v>
      </c>
      <c r="B2057" s="317" t="s">
        <v>46427</v>
      </c>
      <c r="C2057" s="330" t="s">
        <v>8397</v>
      </c>
      <c r="D2057" s="330" t="s">
        <v>7414</v>
      </c>
      <c r="E2057" s="330" t="s">
        <v>4634</v>
      </c>
      <c r="F2057" s="331">
        <v>0.21</v>
      </c>
      <c r="G2057" s="332">
        <v>490</v>
      </c>
      <c r="H2057" s="333">
        <v>593</v>
      </c>
    </row>
    <row r="2058" spans="1:8">
      <c r="A2058" s="317" t="s">
        <v>38603</v>
      </c>
      <c r="B2058" s="317" t="s">
        <v>46428</v>
      </c>
      <c r="C2058" s="330" t="s">
        <v>8398</v>
      </c>
      <c r="D2058" s="330" t="s">
        <v>7414</v>
      </c>
      <c r="E2058" s="330" t="s">
        <v>4634</v>
      </c>
      <c r="F2058" s="331">
        <v>0.21</v>
      </c>
      <c r="G2058" s="332">
        <v>490</v>
      </c>
      <c r="H2058" s="333">
        <v>593</v>
      </c>
    </row>
    <row r="2059" spans="1:8">
      <c r="A2059" s="317" t="s">
        <v>38604</v>
      </c>
      <c r="B2059" s="317" t="s">
        <v>46429</v>
      </c>
      <c r="C2059" s="330" t="s">
        <v>8399</v>
      </c>
      <c r="D2059" s="330" t="s">
        <v>8400</v>
      </c>
      <c r="E2059" s="330" t="s">
        <v>4634</v>
      </c>
      <c r="F2059" s="331">
        <v>0.21</v>
      </c>
      <c r="G2059" s="332">
        <v>490</v>
      </c>
      <c r="H2059" s="333">
        <v>593</v>
      </c>
    </row>
    <row r="2060" spans="1:8">
      <c r="A2060" s="317" t="s">
        <v>38605</v>
      </c>
      <c r="B2060" s="317" t="s">
        <v>46430</v>
      </c>
      <c r="C2060" s="330" t="s">
        <v>8401</v>
      </c>
      <c r="D2060" s="330" t="s">
        <v>8402</v>
      </c>
      <c r="E2060" s="330" t="s">
        <v>37248</v>
      </c>
      <c r="F2060" s="331">
        <v>0.21</v>
      </c>
      <c r="G2060" s="332">
        <v>548</v>
      </c>
      <c r="H2060" s="333">
        <v>664</v>
      </c>
    </row>
    <row r="2061" spans="1:8">
      <c r="A2061" s="317" t="s">
        <v>38606</v>
      </c>
      <c r="B2061" s="317" t="s">
        <v>46431</v>
      </c>
      <c r="C2061" s="330" t="s">
        <v>8403</v>
      </c>
      <c r="D2061" s="330" t="s">
        <v>7649</v>
      </c>
      <c r="E2061" s="330" t="s">
        <v>37248</v>
      </c>
      <c r="F2061" s="331">
        <v>0.21</v>
      </c>
      <c r="G2061" s="332">
        <v>758</v>
      </c>
      <c r="H2061" s="333">
        <v>918</v>
      </c>
    </row>
    <row r="2062" spans="1:8">
      <c r="A2062" s="317" t="s">
        <v>38607</v>
      </c>
      <c r="B2062" s="317" t="s">
        <v>46432</v>
      </c>
      <c r="C2062" s="330" t="s">
        <v>8404</v>
      </c>
      <c r="D2062" s="330" t="s">
        <v>8405</v>
      </c>
      <c r="E2062" s="330" t="s">
        <v>37248</v>
      </c>
      <c r="F2062" s="331">
        <v>0.21</v>
      </c>
      <c r="G2062" s="332">
        <v>548</v>
      </c>
      <c r="H2062" s="333">
        <v>664</v>
      </c>
    </row>
    <row r="2063" spans="1:8">
      <c r="A2063" s="317" t="s">
        <v>38608</v>
      </c>
      <c r="B2063" s="317" t="s">
        <v>46433</v>
      </c>
      <c r="C2063" s="330" t="s">
        <v>8406</v>
      </c>
      <c r="D2063" s="330" t="s">
        <v>8407</v>
      </c>
      <c r="E2063" s="330" t="s">
        <v>37248</v>
      </c>
      <c r="F2063" s="331">
        <v>0.21</v>
      </c>
      <c r="G2063" s="332">
        <v>240</v>
      </c>
      <c r="H2063" s="333">
        <v>291</v>
      </c>
    </row>
    <row r="2064" spans="1:8">
      <c r="A2064" s="317" t="s">
        <v>38609</v>
      </c>
      <c r="B2064" s="317" t="s">
        <v>46434</v>
      </c>
      <c r="C2064" s="330" t="s">
        <v>8408</v>
      </c>
      <c r="D2064" s="330" t="s">
        <v>8409</v>
      </c>
      <c r="E2064" s="330" t="s">
        <v>37248</v>
      </c>
      <c r="F2064" s="331">
        <v>0.21</v>
      </c>
      <c r="G2064" s="332">
        <v>515</v>
      </c>
      <c r="H2064" s="333">
        <v>624</v>
      </c>
    </row>
    <row r="2065" spans="1:8">
      <c r="A2065" s="317" t="s">
        <v>38610</v>
      </c>
      <c r="B2065" s="317" t="s">
        <v>46435</v>
      </c>
      <c r="C2065" s="330" t="s">
        <v>8410</v>
      </c>
      <c r="D2065" s="330" t="s">
        <v>8375</v>
      </c>
      <c r="E2065" s="330" t="s">
        <v>37248</v>
      </c>
      <c r="F2065" s="331">
        <v>0.21</v>
      </c>
      <c r="G2065" s="332">
        <v>515</v>
      </c>
      <c r="H2065" s="333">
        <v>624</v>
      </c>
    </row>
    <row r="2066" spans="1:8">
      <c r="A2066" s="317" t="s">
        <v>38611</v>
      </c>
      <c r="B2066" s="317" t="s">
        <v>46436</v>
      </c>
      <c r="C2066" s="330" t="s">
        <v>8411</v>
      </c>
      <c r="D2066" s="330" t="s">
        <v>8375</v>
      </c>
      <c r="E2066" s="330" t="s">
        <v>37248</v>
      </c>
      <c r="F2066" s="331">
        <v>0.21</v>
      </c>
      <c r="G2066" s="332">
        <v>515</v>
      </c>
      <c r="H2066" s="333">
        <v>624</v>
      </c>
    </row>
    <row r="2067" spans="1:8">
      <c r="A2067" s="317" t="s">
        <v>38612</v>
      </c>
      <c r="B2067" s="317" t="s">
        <v>46437</v>
      </c>
      <c r="C2067" s="330" t="s">
        <v>8412</v>
      </c>
      <c r="D2067" s="330" t="s">
        <v>8407</v>
      </c>
      <c r="E2067" s="330" t="s">
        <v>37248</v>
      </c>
      <c r="F2067" s="331">
        <v>0.21</v>
      </c>
      <c r="G2067" s="332">
        <v>548</v>
      </c>
      <c r="H2067" s="333">
        <v>664</v>
      </c>
    </row>
    <row r="2068" spans="1:8">
      <c r="A2068" s="317" t="s">
        <v>38613</v>
      </c>
      <c r="B2068" s="317" t="s">
        <v>46438</v>
      </c>
      <c r="C2068" s="330" t="s">
        <v>8413</v>
      </c>
      <c r="D2068" s="330" t="s">
        <v>8414</v>
      </c>
      <c r="E2068" s="330" t="s">
        <v>4819</v>
      </c>
      <c r="F2068" s="331">
        <v>0.21</v>
      </c>
      <c r="G2068" s="332">
        <v>1063</v>
      </c>
      <c r="H2068" s="333">
        <v>1287</v>
      </c>
    </row>
    <row r="2069" spans="1:8">
      <c r="A2069" s="317" t="s">
        <v>38614</v>
      </c>
      <c r="B2069" s="317" t="s">
        <v>46439</v>
      </c>
      <c r="C2069" s="330" t="s">
        <v>8415</v>
      </c>
      <c r="D2069" s="330" t="s">
        <v>8375</v>
      </c>
      <c r="E2069" s="330" t="s">
        <v>37248</v>
      </c>
      <c r="F2069" s="331">
        <v>0.21</v>
      </c>
      <c r="G2069" s="332">
        <v>515</v>
      </c>
      <c r="H2069" s="333">
        <v>624</v>
      </c>
    </row>
    <row r="2070" spans="1:8">
      <c r="A2070" s="317" t="s">
        <v>38615</v>
      </c>
      <c r="B2070" s="317" t="s">
        <v>46440</v>
      </c>
      <c r="C2070" s="330" t="s">
        <v>8416</v>
      </c>
      <c r="D2070" s="330" t="s">
        <v>7649</v>
      </c>
      <c r="E2070" s="330" t="s">
        <v>37248</v>
      </c>
      <c r="F2070" s="331">
        <v>0.21</v>
      </c>
      <c r="G2070" s="332">
        <v>519</v>
      </c>
      <c r="H2070" s="333">
        <v>628</v>
      </c>
    </row>
    <row r="2071" spans="1:8">
      <c r="A2071" s="317" t="s">
        <v>38616</v>
      </c>
      <c r="B2071" s="317" t="s">
        <v>46441</v>
      </c>
      <c r="C2071" s="330" t="s">
        <v>8417</v>
      </c>
      <c r="D2071" s="330" t="s">
        <v>8418</v>
      </c>
      <c r="E2071" s="330" t="s">
        <v>4634</v>
      </c>
      <c r="F2071" s="331">
        <v>0.21</v>
      </c>
      <c r="G2071" s="332">
        <v>490</v>
      </c>
      <c r="H2071" s="333">
        <v>593</v>
      </c>
    </row>
    <row r="2072" spans="1:8">
      <c r="A2072" s="317" t="s">
        <v>38617</v>
      </c>
      <c r="B2072" s="317" t="s">
        <v>46442</v>
      </c>
      <c r="C2072" s="330" t="s">
        <v>8419</v>
      </c>
      <c r="D2072" s="330" t="s">
        <v>8409</v>
      </c>
      <c r="E2072" s="330" t="s">
        <v>37248</v>
      </c>
      <c r="F2072" s="331">
        <v>0.21</v>
      </c>
      <c r="G2072" s="332">
        <v>548</v>
      </c>
      <c r="H2072" s="333">
        <v>664</v>
      </c>
    </row>
    <row r="2073" spans="1:8">
      <c r="A2073" s="317" t="s">
        <v>38618</v>
      </c>
      <c r="B2073" s="317" t="s">
        <v>46443</v>
      </c>
      <c r="C2073" s="330" t="s">
        <v>8420</v>
      </c>
      <c r="D2073" s="330" t="s">
        <v>7649</v>
      </c>
      <c r="E2073" s="330" t="s">
        <v>37248</v>
      </c>
      <c r="F2073" s="331">
        <v>0.21</v>
      </c>
      <c r="G2073" s="332">
        <v>519</v>
      </c>
      <c r="H2073" s="333">
        <v>628</v>
      </c>
    </row>
    <row r="2074" spans="1:8">
      <c r="A2074" s="317" t="s">
        <v>38619</v>
      </c>
      <c r="B2074" s="317" t="s">
        <v>46444</v>
      </c>
      <c r="C2074" s="330" t="s">
        <v>8421</v>
      </c>
      <c r="D2074" s="330" t="s">
        <v>7414</v>
      </c>
      <c r="E2074" s="330" t="s">
        <v>4634</v>
      </c>
      <c r="F2074" s="331">
        <v>0.21</v>
      </c>
      <c r="G2074" s="332">
        <v>490</v>
      </c>
      <c r="H2074" s="333">
        <v>593</v>
      </c>
    </row>
    <row r="2075" spans="1:8">
      <c r="A2075" s="317" t="s">
        <v>38620</v>
      </c>
      <c r="B2075" s="317" t="s">
        <v>46445</v>
      </c>
      <c r="C2075" s="330" t="s">
        <v>8422</v>
      </c>
      <c r="D2075" s="330" t="s">
        <v>8423</v>
      </c>
      <c r="E2075" s="330" t="s">
        <v>4819</v>
      </c>
      <c r="F2075" s="331">
        <v>0.21</v>
      </c>
      <c r="G2075" s="332">
        <v>780</v>
      </c>
      <c r="H2075" s="333">
        <v>944</v>
      </c>
    </row>
    <row r="2076" spans="1:8">
      <c r="A2076" s="317" t="s">
        <v>38621</v>
      </c>
      <c r="B2076" s="317" t="s">
        <v>46446</v>
      </c>
      <c r="C2076" s="330" t="s">
        <v>8424</v>
      </c>
      <c r="D2076" s="330" t="s">
        <v>8375</v>
      </c>
      <c r="E2076" s="330" t="s">
        <v>37248</v>
      </c>
      <c r="F2076" s="331">
        <v>0.21</v>
      </c>
      <c r="G2076" s="332">
        <v>515</v>
      </c>
      <c r="H2076" s="333">
        <v>624</v>
      </c>
    </row>
    <row r="2077" spans="1:8">
      <c r="A2077" s="317" t="s">
        <v>38622</v>
      </c>
      <c r="B2077" s="317" t="s">
        <v>46447</v>
      </c>
      <c r="C2077" s="330" t="s">
        <v>8425</v>
      </c>
      <c r="D2077" s="330" t="s">
        <v>8375</v>
      </c>
      <c r="E2077" s="330" t="s">
        <v>37248</v>
      </c>
      <c r="F2077" s="331">
        <v>0.21</v>
      </c>
      <c r="G2077" s="332">
        <v>515</v>
      </c>
      <c r="H2077" s="333">
        <v>624</v>
      </c>
    </row>
    <row r="2078" spans="1:8">
      <c r="A2078" s="317" t="s">
        <v>38623</v>
      </c>
      <c r="B2078" s="317" t="s">
        <v>46448</v>
      </c>
      <c r="C2078" s="330" t="s">
        <v>8426</v>
      </c>
      <c r="D2078" s="330" t="s">
        <v>8396</v>
      </c>
      <c r="E2078" s="330" t="s">
        <v>37248</v>
      </c>
      <c r="F2078" s="331">
        <v>0.21</v>
      </c>
      <c r="G2078" s="332">
        <v>515</v>
      </c>
      <c r="H2078" s="333">
        <v>624</v>
      </c>
    </row>
    <row r="2079" spans="1:8">
      <c r="A2079" s="317" t="s">
        <v>38624</v>
      </c>
      <c r="B2079" s="317" t="s">
        <v>46449</v>
      </c>
      <c r="C2079" s="330" t="s">
        <v>8427</v>
      </c>
      <c r="D2079" s="330" t="s">
        <v>8428</v>
      </c>
      <c r="E2079" s="330" t="s">
        <v>37248</v>
      </c>
      <c r="F2079" s="331">
        <v>0.21</v>
      </c>
      <c r="G2079" s="332">
        <v>976</v>
      </c>
      <c r="H2079" s="333">
        <v>1181</v>
      </c>
    </row>
    <row r="2080" spans="1:8">
      <c r="A2080" s="317" t="s">
        <v>38625</v>
      </c>
      <c r="B2080" s="317" t="s">
        <v>46450</v>
      </c>
      <c r="C2080" s="330" t="s">
        <v>8429</v>
      </c>
      <c r="D2080" s="330" t="s">
        <v>8375</v>
      </c>
      <c r="E2080" s="330" t="s">
        <v>37248</v>
      </c>
      <c r="F2080" s="331">
        <v>0.21</v>
      </c>
      <c r="G2080" s="332">
        <v>515</v>
      </c>
      <c r="H2080" s="333">
        <v>624</v>
      </c>
    </row>
    <row r="2081" spans="1:8">
      <c r="A2081" s="317" t="s">
        <v>38626</v>
      </c>
      <c r="B2081" s="317" t="s">
        <v>46451</v>
      </c>
      <c r="C2081" s="330" t="s">
        <v>8430</v>
      </c>
      <c r="D2081" s="330" t="s">
        <v>8375</v>
      </c>
      <c r="E2081" s="330" t="s">
        <v>37248</v>
      </c>
      <c r="F2081" s="331">
        <v>0.21</v>
      </c>
      <c r="G2081" s="332">
        <v>515</v>
      </c>
      <c r="H2081" s="333">
        <v>624</v>
      </c>
    </row>
    <row r="2082" spans="1:8">
      <c r="A2082" s="317" t="s">
        <v>38627</v>
      </c>
      <c r="B2082" s="317" t="s">
        <v>46452</v>
      </c>
      <c r="C2082" s="330" t="s">
        <v>8431</v>
      </c>
      <c r="D2082" s="330" t="s">
        <v>8432</v>
      </c>
      <c r="E2082" s="330" t="s">
        <v>37248</v>
      </c>
      <c r="F2082" s="331">
        <v>0.21</v>
      </c>
      <c r="G2082" s="332">
        <v>1063</v>
      </c>
      <c r="H2082" s="333">
        <v>1287</v>
      </c>
    </row>
    <row r="2083" spans="1:8">
      <c r="A2083" s="317" t="s">
        <v>38628</v>
      </c>
      <c r="B2083" s="317" t="s">
        <v>46453</v>
      </c>
      <c r="C2083" s="330" t="s">
        <v>8433</v>
      </c>
      <c r="D2083" s="330" t="s">
        <v>8396</v>
      </c>
      <c r="E2083" s="330" t="s">
        <v>37248</v>
      </c>
      <c r="F2083" s="331">
        <v>0.21</v>
      </c>
      <c r="G2083" s="332">
        <v>1063</v>
      </c>
      <c r="H2083" s="333">
        <v>1287</v>
      </c>
    </row>
    <row r="2084" spans="1:8">
      <c r="A2084" s="317" t="s">
        <v>38629</v>
      </c>
      <c r="B2084" s="317" t="s">
        <v>46454</v>
      </c>
      <c r="C2084" s="330" t="s">
        <v>8434</v>
      </c>
      <c r="D2084" s="330" t="s">
        <v>8435</v>
      </c>
      <c r="E2084" s="330" t="s">
        <v>37248</v>
      </c>
      <c r="F2084" s="331">
        <v>0.21</v>
      </c>
      <c r="G2084" s="332">
        <v>1063</v>
      </c>
      <c r="H2084" s="333">
        <v>1287</v>
      </c>
    </row>
    <row r="2085" spans="1:8">
      <c r="A2085" s="317" t="s">
        <v>38630</v>
      </c>
      <c r="B2085" s="317" t="s">
        <v>46455</v>
      </c>
      <c r="C2085" s="330" t="s">
        <v>8436</v>
      </c>
      <c r="D2085" s="330" t="s">
        <v>8375</v>
      </c>
      <c r="E2085" s="330" t="s">
        <v>37248</v>
      </c>
      <c r="F2085" s="331">
        <v>0.21</v>
      </c>
      <c r="G2085" s="332">
        <v>515</v>
      </c>
      <c r="H2085" s="333">
        <v>624</v>
      </c>
    </row>
    <row r="2086" spans="1:8">
      <c r="A2086" s="317" t="s">
        <v>38631</v>
      </c>
      <c r="B2086" s="317" t="s">
        <v>46456</v>
      </c>
      <c r="C2086" s="330" t="s">
        <v>8437</v>
      </c>
      <c r="D2086" s="330" t="s">
        <v>8407</v>
      </c>
      <c r="E2086" s="330" t="s">
        <v>37248</v>
      </c>
      <c r="F2086" s="331">
        <v>0.21</v>
      </c>
      <c r="G2086" s="332">
        <v>475</v>
      </c>
      <c r="H2086" s="333">
        <v>575</v>
      </c>
    </row>
    <row r="2087" spans="1:8">
      <c r="A2087" s="317" t="s">
        <v>38632</v>
      </c>
      <c r="B2087" s="317" t="s">
        <v>46457</v>
      </c>
      <c r="C2087" s="330" t="s">
        <v>8438</v>
      </c>
      <c r="D2087" s="330" t="s">
        <v>8396</v>
      </c>
      <c r="E2087" s="330" t="s">
        <v>37248</v>
      </c>
      <c r="F2087" s="331">
        <v>0.21</v>
      </c>
      <c r="G2087" s="332">
        <v>1019</v>
      </c>
      <c r="H2087" s="333">
        <v>1233</v>
      </c>
    </row>
    <row r="2088" spans="1:8">
      <c r="A2088" s="317" t="s">
        <v>38633</v>
      </c>
      <c r="B2088" s="317" t="s">
        <v>46458</v>
      </c>
      <c r="C2088" s="330" t="s">
        <v>8439</v>
      </c>
      <c r="D2088" s="330" t="s">
        <v>8440</v>
      </c>
      <c r="E2088" s="330" t="s">
        <v>37248</v>
      </c>
      <c r="F2088" s="331">
        <v>0.21</v>
      </c>
      <c r="G2088" s="332">
        <v>1282</v>
      </c>
      <c r="H2088" s="333">
        <v>1552</v>
      </c>
    </row>
    <row r="2089" spans="1:8">
      <c r="A2089" s="317" t="s">
        <v>38634</v>
      </c>
      <c r="B2089" s="317" t="s">
        <v>46459</v>
      </c>
      <c r="C2089" s="330" t="s">
        <v>8441</v>
      </c>
      <c r="D2089" s="330" t="s">
        <v>8375</v>
      </c>
      <c r="E2089" s="330" t="s">
        <v>37248</v>
      </c>
      <c r="F2089" s="331">
        <v>0.21</v>
      </c>
      <c r="G2089" s="332">
        <v>515</v>
      </c>
      <c r="H2089" s="333">
        <v>624</v>
      </c>
    </row>
    <row r="2090" spans="1:8">
      <c r="A2090" s="317" t="s">
        <v>38635</v>
      </c>
      <c r="B2090" s="317" t="s">
        <v>46460</v>
      </c>
      <c r="C2090" s="330" t="s">
        <v>8442</v>
      </c>
      <c r="D2090" s="330" t="s">
        <v>8443</v>
      </c>
      <c r="E2090" s="330" t="s">
        <v>37248</v>
      </c>
      <c r="F2090" s="331">
        <v>0.21</v>
      </c>
      <c r="G2090" s="332">
        <v>1063</v>
      </c>
      <c r="H2090" s="333">
        <v>1287</v>
      </c>
    </row>
    <row r="2091" spans="1:8">
      <c r="A2091" s="317" t="s">
        <v>38636</v>
      </c>
      <c r="B2091" s="317" t="s">
        <v>46461</v>
      </c>
      <c r="C2091" s="330" t="s">
        <v>8444</v>
      </c>
      <c r="D2091" s="330" t="s">
        <v>8423</v>
      </c>
      <c r="E2091" s="330" t="s">
        <v>4819</v>
      </c>
      <c r="F2091" s="331">
        <v>0.21</v>
      </c>
      <c r="G2091" s="332">
        <v>780</v>
      </c>
      <c r="H2091" s="333">
        <v>944</v>
      </c>
    </row>
    <row r="2092" spans="1:8">
      <c r="A2092" s="317" t="s">
        <v>38637</v>
      </c>
      <c r="B2092" s="317" t="s">
        <v>46462</v>
      </c>
      <c r="C2092" s="330" t="s">
        <v>8445</v>
      </c>
      <c r="D2092" s="330" t="s">
        <v>8423</v>
      </c>
      <c r="E2092" s="330" t="s">
        <v>4819</v>
      </c>
      <c r="F2092" s="331">
        <v>0.21</v>
      </c>
      <c r="G2092" s="332">
        <v>780</v>
      </c>
      <c r="H2092" s="333">
        <v>944</v>
      </c>
    </row>
    <row r="2093" spans="1:8">
      <c r="A2093" s="317" t="s">
        <v>38638</v>
      </c>
      <c r="B2093" s="317" t="s">
        <v>46463</v>
      </c>
      <c r="C2093" s="330" t="s">
        <v>8446</v>
      </c>
      <c r="D2093" s="330" t="s">
        <v>7649</v>
      </c>
      <c r="E2093" s="330" t="s">
        <v>37248</v>
      </c>
      <c r="F2093" s="331">
        <v>0.21</v>
      </c>
      <c r="G2093" s="332">
        <v>519</v>
      </c>
      <c r="H2093" s="333">
        <v>628</v>
      </c>
    </row>
    <row r="2094" spans="1:8">
      <c r="A2094" s="317" t="s">
        <v>38639</v>
      </c>
      <c r="B2094" s="317" t="s">
        <v>46464</v>
      </c>
      <c r="C2094" s="330" t="s">
        <v>8447</v>
      </c>
      <c r="D2094" s="330" t="s">
        <v>8396</v>
      </c>
      <c r="E2094" s="330" t="s">
        <v>4819</v>
      </c>
      <c r="F2094" s="331">
        <v>0.21</v>
      </c>
      <c r="G2094" s="332">
        <v>1063</v>
      </c>
      <c r="H2094" s="333">
        <v>1287</v>
      </c>
    </row>
    <row r="2095" spans="1:8">
      <c r="A2095" s="317" t="s">
        <v>38640</v>
      </c>
      <c r="B2095" s="317" t="s">
        <v>46465</v>
      </c>
      <c r="C2095" s="330" t="s">
        <v>8448</v>
      </c>
      <c r="D2095" s="330" t="s">
        <v>8428</v>
      </c>
      <c r="E2095" s="330" t="s">
        <v>4819</v>
      </c>
      <c r="F2095" s="331">
        <v>0.21</v>
      </c>
      <c r="G2095" s="332">
        <v>1063</v>
      </c>
      <c r="H2095" s="333">
        <v>1287</v>
      </c>
    </row>
    <row r="2096" spans="1:8">
      <c r="A2096" s="317" t="s">
        <v>38641</v>
      </c>
      <c r="B2096" s="317" t="s">
        <v>46466</v>
      </c>
      <c r="C2096" s="330" t="s">
        <v>8449</v>
      </c>
      <c r="D2096" s="330" t="s">
        <v>8396</v>
      </c>
      <c r="E2096" s="330" t="s">
        <v>4819</v>
      </c>
      <c r="F2096" s="331">
        <v>0.21</v>
      </c>
      <c r="G2096" s="332">
        <v>1063</v>
      </c>
      <c r="H2096" s="333">
        <v>1287</v>
      </c>
    </row>
    <row r="2097" spans="1:8">
      <c r="A2097" s="317" t="s">
        <v>38642</v>
      </c>
      <c r="B2097" s="317" t="s">
        <v>46467</v>
      </c>
      <c r="C2097" s="330" t="s">
        <v>8450</v>
      </c>
      <c r="D2097" s="330" t="s">
        <v>8451</v>
      </c>
      <c r="E2097" s="330" t="s">
        <v>4819</v>
      </c>
      <c r="F2097" s="331">
        <v>0.21</v>
      </c>
      <c r="G2097" s="332">
        <v>1063</v>
      </c>
      <c r="H2097" s="333">
        <v>1287</v>
      </c>
    </row>
    <row r="2098" spans="1:8">
      <c r="A2098" s="317" t="s">
        <v>38643</v>
      </c>
      <c r="B2098" s="317" t="s">
        <v>46468</v>
      </c>
      <c r="C2098" s="330" t="s">
        <v>8452</v>
      </c>
      <c r="D2098" s="330" t="s">
        <v>8428</v>
      </c>
      <c r="E2098" s="330" t="s">
        <v>37248</v>
      </c>
      <c r="F2098" s="331">
        <v>0.21</v>
      </c>
      <c r="G2098" s="332">
        <v>1063</v>
      </c>
      <c r="H2098" s="333">
        <v>1287</v>
      </c>
    </row>
    <row r="2099" spans="1:8">
      <c r="A2099" s="317" t="s">
        <v>38644</v>
      </c>
      <c r="B2099" s="317" t="s">
        <v>46469</v>
      </c>
      <c r="C2099" s="330" t="s">
        <v>8453</v>
      </c>
      <c r="D2099" s="330" t="s">
        <v>8396</v>
      </c>
      <c r="E2099" s="330" t="s">
        <v>4819</v>
      </c>
      <c r="F2099" s="331">
        <v>0.21</v>
      </c>
      <c r="G2099" s="332">
        <v>1063</v>
      </c>
      <c r="H2099" s="333">
        <v>1287</v>
      </c>
    </row>
    <row r="2100" spans="1:8">
      <c r="A2100" s="317">
        <v>1601200006</v>
      </c>
      <c r="B2100" s="317" t="s">
        <v>46470</v>
      </c>
      <c r="C2100" s="330" t="s">
        <v>8454</v>
      </c>
      <c r="D2100" s="330" t="s">
        <v>8455</v>
      </c>
      <c r="E2100" s="330" t="s">
        <v>4819</v>
      </c>
      <c r="F2100" s="331">
        <v>0.21</v>
      </c>
      <c r="G2100" s="332">
        <v>919</v>
      </c>
      <c r="H2100" s="333">
        <v>1112</v>
      </c>
    </row>
    <row r="2101" spans="1:8">
      <c r="A2101" s="317" t="s">
        <v>38645</v>
      </c>
      <c r="B2101" s="317" t="s">
        <v>46471</v>
      </c>
      <c r="C2101" s="330" t="s">
        <v>8456</v>
      </c>
      <c r="D2101" s="330" t="s">
        <v>8457</v>
      </c>
      <c r="E2101" s="330" t="s">
        <v>37248</v>
      </c>
      <c r="F2101" s="331">
        <v>0.21</v>
      </c>
      <c r="G2101" s="332">
        <v>3288</v>
      </c>
      <c r="H2101" s="333">
        <v>3979</v>
      </c>
    </row>
    <row r="2102" spans="1:8">
      <c r="A2102" s="317">
        <v>1601234002</v>
      </c>
      <c r="B2102" s="317" t="s">
        <v>46472</v>
      </c>
      <c r="C2102" s="330" t="s">
        <v>8458</v>
      </c>
      <c r="D2102" s="330" t="s">
        <v>8459</v>
      </c>
      <c r="E2102" s="330" t="s">
        <v>4634</v>
      </c>
      <c r="F2102" s="331">
        <v>0.21</v>
      </c>
      <c r="G2102" s="332">
        <v>372</v>
      </c>
      <c r="H2102" s="333">
        <v>451</v>
      </c>
    </row>
    <row r="2103" spans="1:8">
      <c r="A2103" s="317">
        <v>1601253007</v>
      </c>
      <c r="B2103" s="317" t="s">
        <v>46473</v>
      </c>
      <c r="C2103" s="330" t="s">
        <v>8460</v>
      </c>
      <c r="D2103" s="330" t="s">
        <v>7991</v>
      </c>
      <c r="E2103" s="330" t="s">
        <v>4634</v>
      </c>
      <c r="F2103" s="331">
        <v>0.21</v>
      </c>
      <c r="G2103" s="332">
        <v>29</v>
      </c>
      <c r="H2103" s="333">
        <v>36</v>
      </c>
    </row>
    <row r="2104" spans="1:8">
      <c r="A2104" s="317">
        <v>1601290007</v>
      </c>
      <c r="B2104" s="317" t="s">
        <v>46474</v>
      </c>
      <c r="C2104" s="330" t="s">
        <v>8461</v>
      </c>
      <c r="D2104" s="330" t="s">
        <v>8462</v>
      </c>
      <c r="E2104" s="330" t="s">
        <v>37248</v>
      </c>
      <c r="F2104" s="331">
        <v>0.21</v>
      </c>
      <c r="G2104" s="332">
        <v>5208</v>
      </c>
      <c r="H2104" s="333">
        <v>6302</v>
      </c>
    </row>
    <row r="2105" spans="1:8">
      <c r="A2105" s="317">
        <v>1601290008</v>
      </c>
      <c r="B2105" s="317" t="s">
        <v>46475</v>
      </c>
      <c r="C2105" s="330" t="s">
        <v>8463</v>
      </c>
      <c r="D2105" s="330" t="s">
        <v>8464</v>
      </c>
      <c r="E2105" s="330" t="s">
        <v>4634</v>
      </c>
      <c r="F2105" s="331">
        <v>0.21</v>
      </c>
      <c r="G2105" s="332">
        <v>702</v>
      </c>
      <c r="H2105" s="333">
        <v>850</v>
      </c>
    </row>
    <row r="2106" spans="1:8">
      <c r="A2106" s="317">
        <v>1601290013</v>
      </c>
      <c r="B2106" s="317" t="s">
        <v>46476</v>
      </c>
      <c r="C2106" s="330" t="s">
        <v>8465</v>
      </c>
      <c r="D2106" s="330" t="s">
        <v>8466</v>
      </c>
      <c r="E2106" s="330" t="s">
        <v>37248</v>
      </c>
      <c r="F2106" s="331">
        <v>0.21</v>
      </c>
      <c r="G2106" s="332">
        <v>2380</v>
      </c>
      <c r="H2106" s="333">
        <v>2880</v>
      </c>
    </row>
    <row r="2107" spans="1:8">
      <c r="A2107" s="317">
        <v>1601300004</v>
      </c>
      <c r="B2107" s="317" t="s">
        <v>46477</v>
      </c>
      <c r="C2107" s="330" t="s">
        <v>8467</v>
      </c>
      <c r="D2107" s="330" t="s">
        <v>5324</v>
      </c>
      <c r="E2107" s="330" t="s">
        <v>4634</v>
      </c>
      <c r="F2107" s="331">
        <v>0.21</v>
      </c>
      <c r="G2107" s="332">
        <v>412</v>
      </c>
      <c r="H2107" s="333">
        <v>499</v>
      </c>
    </row>
    <row r="2108" spans="1:8">
      <c r="A2108" s="317">
        <v>1601302017</v>
      </c>
      <c r="B2108" s="317" t="s">
        <v>46478</v>
      </c>
      <c r="C2108" s="330" t="s">
        <v>8468</v>
      </c>
      <c r="D2108" s="330" t="s">
        <v>7241</v>
      </c>
      <c r="E2108" s="330" t="s">
        <v>37248</v>
      </c>
      <c r="F2108" s="331">
        <v>0.21</v>
      </c>
      <c r="G2108" s="332">
        <v>1043</v>
      </c>
      <c r="H2108" s="333">
        <v>1263</v>
      </c>
    </row>
    <row r="2109" spans="1:8">
      <c r="A2109" s="317">
        <v>1601302018</v>
      </c>
      <c r="B2109" s="317" t="s">
        <v>46479</v>
      </c>
      <c r="C2109" s="330" t="s">
        <v>8469</v>
      </c>
      <c r="D2109" s="330" t="s">
        <v>8470</v>
      </c>
      <c r="E2109" s="330" t="s">
        <v>37248</v>
      </c>
      <c r="F2109" s="331">
        <v>0.21</v>
      </c>
      <c r="G2109" s="332">
        <v>2705</v>
      </c>
      <c r="H2109" s="333">
        <v>3274</v>
      </c>
    </row>
    <row r="2110" spans="1:8">
      <c r="A2110" s="317">
        <v>1601302019</v>
      </c>
      <c r="B2110" s="317" t="s">
        <v>46480</v>
      </c>
      <c r="C2110" s="330" t="s">
        <v>8471</v>
      </c>
      <c r="D2110" s="330" t="s">
        <v>8472</v>
      </c>
      <c r="E2110" s="330" t="s">
        <v>37248</v>
      </c>
      <c r="F2110" s="331">
        <v>0.21</v>
      </c>
      <c r="G2110" s="332">
        <v>548</v>
      </c>
      <c r="H2110" s="333">
        <v>664</v>
      </c>
    </row>
    <row r="2111" spans="1:8">
      <c r="A2111" s="317">
        <v>1601303003</v>
      </c>
      <c r="B2111" s="317" t="s">
        <v>46481</v>
      </c>
      <c r="C2111" s="330" t="s">
        <v>8473</v>
      </c>
      <c r="D2111" s="330" t="s">
        <v>8474</v>
      </c>
      <c r="E2111" s="330" t="s">
        <v>4634</v>
      </c>
      <c r="F2111" s="331">
        <v>0.21</v>
      </c>
      <c r="G2111" s="332">
        <v>412</v>
      </c>
      <c r="H2111" s="333">
        <v>499</v>
      </c>
    </row>
    <row r="2112" spans="1:8">
      <c r="A2112" s="317">
        <v>1601323007</v>
      </c>
      <c r="B2112" s="317" t="s">
        <v>46482</v>
      </c>
      <c r="C2112" s="330" t="s">
        <v>8475</v>
      </c>
      <c r="D2112" s="330" t="s">
        <v>8476</v>
      </c>
      <c r="E2112" s="330" t="s">
        <v>4634</v>
      </c>
      <c r="F2112" s="331">
        <v>0.21</v>
      </c>
      <c r="G2112" s="332">
        <v>437</v>
      </c>
      <c r="H2112" s="333">
        <v>529</v>
      </c>
    </row>
    <row r="2113" spans="1:8">
      <c r="A2113" s="317">
        <v>1601323023</v>
      </c>
      <c r="B2113" s="317" t="s">
        <v>46483</v>
      </c>
      <c r="C2113" s="330" t="s">
        <v>8477</v>
      </c>
      <c r="D2113" s="330" t="s">
        <v>4710</v>
      </c>
      <c r="E2113" s="330" t="s">
        <v>37248</v>
      </c>
      <c r="F2113" s="331">
        <v>0.21</v>
      </c>
      <c r="G2113" s="332">
        <v>2197</v>
      </c>
      <c r="H2113" s="333">
        <v>2659</v>
      </c>
    </row>
    <row r="2114" spans="1:8">
      <c r="A2114" s="317">
        <v>1601323025</v>
      </c>
      <c r="B2114" s="317" t="s">
        <v>46484</v>
      </c>
      <c r="C2114" s="330" t="s">
        <v>8478</v>
      </c>
      <c r="D2114" s="330" t="s">
        <v>4706</v>
      </c>
      <c r="E2114" s="330" t="s">
        <v>37248</v>
      </c>
      <c r="F2114" s="331">
        <v>0.21</v>
      </c>
      <c r="G2114" s="332">
        <v>4550</v>
      </c>
      <c r="H2114" s="333">
        <v>5506</v>
      </c>
    </row>
    <row r="2115" spans="1:8">
      <c r="A2115" s="317">
        <v>1601323029</v>
      </c>
      <c r="B2115" s="317" t="s">
        <v>46485</v>
      </c>
      <c r="C2115" s="330" t="s">
        <v>8479</v>
      </c>
      <c r="D2115" s="330" t="s">
        <v>8480</v>
      </c>
      <c r="E2115" s="330" t="s">
        <v>37248</v>
      </c>
      <c r="F2115" s="331">
        <v>0.21</v>
      </c>
      <c r="G2115" s="332">
        <v>435</v>
      </c>
      <c r="H2115" s="333">
        <v>527</v>
      </c>
    </row>
    <row r="2116" spans="1:8">
      <c r="A2116" s="317">
        <v>1601328005</v>
      </c>
      <c r="B2116" s="317" t="s">
        <v>46486</v>
      </c>
      <c r="C2116" s="330" t="s">
        <v>8481</v>
      </c>
      <c r="D2116" s="330" t="s">
        <v>8482</v>
      </c>
      <c r="E2116" s="330" t="s">
        <v>4634</v>
      </c>
      <c r="F2116" s="331">
        <v>0.21</v>
      </c>
      <c r="G2116" s="332">
        <v>280</v>
      </c>
      <c r="H2116" s="333">
        <v>339</v>
      </c>
    </row>
    <row r="2117" spans="1:8">
      <c r="A2117" s="317">
        <v>1601329009</v>
      </c>
      <c r="B2117" s="317" t="s">
        <v>46487</v>
      </c>
      <c r="C2117" s="330" t="s">
        <v>8483</v>
      </c>
      <c r="D2117" s="330" t="s">
        <v>8484</v>
      </c>
      <c r="E2117" s="330" t="s">
        <v>4634</v>
      </c>
      <c r="F2117" s="331">
        <v>0.21</v>
      </c>
      <c r="G2117" s="332">
        <v>584</v>
      </c>
      <c r="H2117" s="333">
        <v>707</v>
      </c>
    </row>
    <row r="2118" spans="1:8">
      <c r="A2118" s="317">
        <v>1601329038</v>
      </c>
      <c r="B2118" s="317" t="s">
        <v>46488</v>
      </c>
      <c r="C2118" s="330" t="s">
        <v>8485</v>
      </c>
      <c r="D2118" s="330" t="s">
        <v>8486</v>
      </c>
      <c r="E2118" s="330" t="s">
        <v>4634</v>
      </c>
      <c r="F2118" s="331">
        <v>0.21</v>
      </c>
      <c r="G2118" s="332">
        <v>584</v>
      </c>
      <c r="H2118" s="333">
        <v>707</v>
      </c>
    </row>
    <row r="2119" spans="1:8">
      <c r="A2119" s="317">
        <v>1601329040</v>
      </c>
      <c r="B2119" s="317" t="s">
        <v>46489</v>
      </c>
      <c r="C2119" s="330" t="s">
        <v>8487</v>
      </c>
      <c r="D2119" s="330" t="s">
        <v>8488</v>
      </c>
      <c r="E2119" s="330" t="s">
        <v>4634</v>
      </c>
      <c r="F2119" s="331">
        <v>0.21</v>
      </c>
      <c r="G2119" s="332">
        <v>348</v>
      </c>
      <c r="H2119" s="333">
        <v>422</v>
      </c>
    </row>
    <row r="2120" spans="1:8">
      <c r="A2120" s="317">
        <v>1601330010</v>
      </c>
      <c r="B2120" s="317" t="s">
        <v>46490</v>
      </c>
      <c r="C2120" s="330" t="s">
        <v>8489</v>
      </c>
      <c r="D2120" s="330" t="s">
        <v>8490</v>
      </c>
      <c r="E2120" s="330" t="s">
        <v>4634</v>
      </c>
      <c r="F2120" s="331">
        <v>0.21</v>
      </c>
      <c r="G2120" s="332">
        <v>1170</v>
      </c>
      <c r="H2120" s="333">
        <v>1416</v>
      </c>
    </row>
    <row r="2121" spans="1:8">
      <c r="A2121" s="317">
        <v>1601331032</v>
      </c>
      <c r="B2121" s="317" t="s">
        <v>46491</v>
      </c>
      <c r="C2121" s="330" t="s">
        <v>8491</v>
      </c>
      <c r="D2121" s="330" t="s">
        <v>8492</v>
      </c>
      <c r="E2121" s="330" t="s">
        <v>4634</v>
      </c>
      <c r="F2121" s="331">
        <v>0.21</v>
      </c>
      <c r="G2121" s="332">
        <v>236</v>
      </c>
      <c r="H2121" s="333">
        <v>286</v>
      </c>
    </row>
    <row r="2122" spans="1:8">
      <c r="A2122" s="317">
        <v>1601331039</v>
      </c>
      <c r="B2122" s="317" t="s">
        <v>46492</v>
      </c>
      <c r="C2122" s="330" t="s">
        <v>8493</v>
      </c>
      <c r="D2122" s="330" t="s">
        <v>8494</v>
      </c>
      <c r="E2122" s="330" t="s">
        <v>4634</v>
      </c>
      <c r="F2122" s="331">
        <v>0.21</v>
      </c>
      <c r="G2122" s="332">
        <v>274</v>
      </c>
      <c r="H2122" s="333">
        <v>332</v>
      </c>
    </row>
    <row r="2123" spans="1:8">
      <c r="A2123" s="317">
        <v>1601332010</v>
      </c>
      <c r="B2123" s="317" t="s">
        <v>46493</v>
      </c>
      <c r="C2123" s="330" t="s">
        <v>8495</v>
      </c>
      <c r="D2123" s="330" t="s">
        <v>8496</v>
      </c>
      <c r="E2123" s="330" t="s">
        <v>4634</v>
      </c>
      <c r="F2123" s="331">
        <v>0.21</v>
      </c>
      <c r="G2123" s="332">
        <v>450</v>
      </c>
      <c r="H2123" s="333">
        <v>545</v>
      </c>
    </row>
    <row r="2124" spans="1:8">
      <c r="A2124" s="317">
        <v>1601332018</v>
      </c>
      <c r="B2124" s="317" t="s">
        <v>46494</v>
      </c>
      <c r="C2124" s="330" t="s">
        <v>8497</v>
      </c>
      <c r="D2124" s="330" t="s">
        <v>8498</v>
      </c>
      <c r="E2124" s="330" t="s">
        <v>4634</v>
      </c>
      <c r="F2124" s="331">
        <v>0.21</v>
      </c>
      <c r="G2124" s="332">
        <v>711</v>
      </c>
      <c r="H2124" s="333">
        <v>861</v>
      </c>
    </row>
    <row r="2125" spans="1:8">
      <c r="A2125" s="317">
        <v>1601334008</v>
      </c>
      <c r="B2125" s="317" t="s">
        <v>46495</v>
      </c>
      <c r="C2125" s="330" t="s">
        <v>8499</v>
      </c>
      <c r="D2125" s="330" t="s">
        <v>8500</v>
      </c>
      <c r="E2125" s="330" t="s">
        <v>4634</v>
      </c>
      <c r="F2125" s="331">
        <v>0.21</v>
      </c>
      <c r="G2125" s="332">
        <v>863</v>
      </c>
      <c r="H2125" s="333">
        <v>1045</v>
      </c>
    </row>
    <row r="2126" spans="1:8">
      <c r="A2126" s="317">
        <v>1601334009</v>
      </c>
      <c r="B2126" s="317" t="s">
        <v>46496</v>
      </c>
      <c r="C2126" s="330" t="s">
        <v>8501</v>
      </c>
      <c r="D2126" s="330" t="s">
        <v>8502</v>
      </c>
      <c r="E2126" s="330" t="s">
        <v>4819</v>
      </c>
      <c r="F2126" s="331">
        <v>0.21</v>
      </c>
      <c r="G2126" s="332">
        <v>1077</v>
      </c>
      <c r="H2126" s="333">
        <v>1304</v>
      </c>
    </row>
    <row r="2127" spans="1:8">
      <c r="A2127" s="317">
        <v>1601334010</v>
      </c>
      <c r="B2127" s="317" t="s">
        <v>46497</v>
      </c>
      <c r="C2127" s="330" t="s">
        <v>8503</v>
      </c>
      <c r="D2127" s="330" t="s">
        <v>8504</v>
      </c>
      <c r="E2127" s="330" t="s">
        <v>4634</v>
      </c>
      <c r="F2127" s="331">
        <v>0.21</v>
      </c>
      <c r="G2127" s="332">
        <v>309</v>
      </c>
      <c r="H2127" s="333">
        <v>374</v>
      </c>
    </row>
    <row r="2128" spans="1:8">
      <c r="A2128" s="317">
        <v>1601334011</v>
      </c>
      <c r="B2128" s="317" t="s">
        <v>46498</v>
      </c>
      <c r="C2128" s="330" t="s">
        <v>8505</v>
      </c>
      <c r="D2128" s="330" t="s">
        <v>8506</v>
      </c>
      <c r="E2128" s="330" t="s">
        <v>4634</v>
      </c>
      <c r="F2128" s="331">
        <v>0.21</v>
      </c>
      <c r="G2128" s="332">
        <v>849</v>
      </c>
      <c r="H2128" s="333">
        <v>1028</v>
      </c>
    </row>
    <row r="2129" spans="1:8">
      <c r="A2129" s="317">
        <v>1601990001</v>
      </c>
      <c r="B2129" s="317" t="s">
        <v>46499</v>
      </c>
      <c r="C2129" s="330" t="s">
        <v>8507</v>
      </c>
      <c r="D2129" s="330" t="s">
        <v>8508</v>
      </c>
      <c r="E2129" s="330" t="s">
        <v>4634</v>
      </c>
      <c r="F2129" s="331">
        <v>0.21</v>
      </c>
      <c r="G2129" s="332">
        <v>2491</v>
      </c>
      <c r="H2129" s="333">
        <v>3015</v>
      </c>
    </row>
    <row r="2130" spans="1:8">
      <c r="A2130" s="317">
        <v>1601990002</v>
      </c>
      <c r="B2130" s="317" t="s">
        <v>46500</v>
      </c>
      <c r="C2130" s="330" t="s">
        <v>8509</v>
      </c>
      <c r="D2130" s="330" t="s">
        <v>8510</v>
      </c>
      <c r="E2130" s="330" t="s">
        <v>4634</v>
      </c>
      <c r="F2130" s="331">
        <v>0.21</v>
      </c>
      <c r="G2130" s="332">
        <v>3490</v>
      </c>
      <c r="H2130" s="333">
        <v>4223</v>
      </c>
    </row>
    <row r="2131" spans="1:8">
      <c r="A2131" s="317">
        <v>1601990004</v>
      </c>
      <c r="B2131" s="317" t="s">
        <v>46501</v>
      </c>
      <c r="C2131" s="330" t="s">
        <v>8511</v>
      </c>
      <c r="D2131" s="330" t="s">
        <v>8512</v>
      </c>
      <c r="E2131" s="330" t="s">
        <v>37248</v>
      </c>
      <c r="F2131" s="331">
        <v>0.21</v>
      </c>
      <c r="G2131" s="332">
        <v>4439</v>
      </c>
      <c r="H2131" s="333">
        <v>5372</v>
      </c>
    </row>
    <row r="2132" spans="1:8">
      <c r="A2132" s="317">
        <v>1601990012</v>
      </c>
      <c r="B2132" s="317" t="s">
        <v>46502</v>
      </c>
      <c r="C2132" s="330" t="s">
        <v>8513</v>
      </c>
      <c r="D2132" s="330" t="s">
        <v>8514</v>
      </c>
      <c r="E2132" s="330" t="s">
        <v>37248</v>
      </c>
      <c r="F2132" s="331">
        <v>0.21</v>
      </c>
      <c r="G2132" s="332">
        <v>2255</v>
      </c>
      <c r="H2132" s="333">
        <v>2729</v>
      </c>
    </row>
    <row r="2133" spans="1:8">
      <c r="A2133" s="317">
        <v>1602002006</v>
      </c>
      <c r="B2133" s="317" t="s">
        <v>46503</v>
      </c>
      <c r="C2133" s="330" t="s">
        <v>8515</v>
      </c>
      <c r="D2133" s="330" t="s">
        <v>8516</v>
      </c>
      <c r="E2133" s="330" t="s">
        <v>4819</v>
      </c>
      <c r="F2133" s="331">
        <v>0.21</v>
      </c>
      <c r="G2133" s="332">
        <v>1704</v>
      </c>
      <c r="H2133" s="333">
        <v>2062</v>
      </c>
    </row>
    <row r="2134" spans="1:8">
      <c r="A2134" s="317">
        <v>1602002007</v>
      </c>
      <c r="B2134" s="317" t="s">
        <v>46504</v>
      </c>
      <c r="C2134" s="330" t="s">
        <v>8517</v>
      </c>
      <c r="D2134" s="330" t="s">
        <v>8518</v>
      </c>
      <c r="E2134" s="330" t="s">
        <v>4634</v>
      </c>
      <c r="F2134" s="331">
        <v>0.21</v>
      </c>
      <c r="G2134" s="332">
        <v>519</v>
      </c>
      <c r="H2134" s="333">
        <v>628</v>
      </c>
    </row>
    <row r="2135" spans="1:8">
      <c r="A2135" s="317">
        <v>1602002008</v>
      </c>
      <c r="B2135" s="317" t="s">
        <v>46505</v>
      </c>
      <c r="C2135" s="330" t="s">
        <v>8519</v>
      </c>
      <c r="D2135" s="330" t="s">
        <v>8520</v>
      </c>
      <c r="E2135" s="330" t="s">
        <v>4634</v>
      </c>
      <c r="F2135" s="331">
        <v>0.21</v>
      </c>
      <c r="G2135" s="332">
        <v>1547</v>
      </c>
      <c r="H2135" s="333">
        <v>1872</v>
      </c>
    </row>
    <row r="2136" spans="1:8">
      <c r="A2136" s="317">
        <v>1602002014</v>
      </c>
      <c r="B2136" s="317" t="s">
        <v>46506</v>
      </c>
      <c r="C2136" s="330" t="s">
        <v>8521</v>
      </c>
      <c r="D2136" s="330" t="s">
        <v>8522</v>
      </c>
      <c r="E2136" s="330" t="s">
        <v>4819</v>
      </c>
      <c r="F2136" s="331">
        <v>0.21</v>
      </c>
      <c r="G2136" s="332">
        <v>5833</v>
      </c>
      <c r="H2136" s="333">
        <v>7058</v>
      </c>
    </row>
    <row r="2137" spans="1:8">
      <c r="A2137" s="317">
        <v>1602025022</v>
      </c>
      <c r="B2137" s="317" t="s">
        <v>46507</v>
      </c>
      <c r="C2137" s="330" t="s">
        <v>8523</v>
      </c>
      <c r="D2137" s="330" t="s">
        <v>8524</v>
      </c>
      <c r="E2137" s="330" t="s">
        <v>4634</v>
      </c>
      <c r="F2137" s="331">
        <v>0.21</v>
      </c>
      <c r="G2137" s="332">
        <v>3047</v>
      </c>
      <c r="H2137" s="333">
        <v>3687</v>
      </c>
    </row>
    <row r="2138" spans="1:8">
      <c r="A2138" s="317">
        <v>1602025026</v>
      </c>
      <c r="B2138" s="317" t="s">
        <v>46508</v>
      </c>
      <c r="C2138" s="330" t="s">
        <v>8525</v>
      </c>
      <c r="D2138" s="330" t="s">
        <v>8526</v>
      </c>
      <c r="E2138" s="330" t="s">
        <v>4634</v>
      </c>
      <c r="F2138" s="331">
        <v>0.21</v>
      </c>
      <c r="G2138" s="332">
        <v>18651</v>
      </c>
      <c r="H2138" s="333">
        <v>22568</v>
      </c>
    </row>
    <row r="2139" spans="1:8">
      <c r="A2139" s="317">
        <v>1602025030</v>
      </c>
      <c r="B2139" s="317" t="s">
        <v>46509</v>
      </c>
      <c r="C2139" s="330" t="s">
        <v>8527</v>
      </c>
      <c r="D2139" s="330" t="s">
        <v>8528</v>
      </c>
      <c r="E2139" s="330" t="s">
        <v>4634</v>
      </c>
      <c r="F2139" s="331">
        <v>0.21</v>
      </c>
      <c r="G2139" s="332">
        <v>6321</v>
      </c>
      <c r="H2139" s="333">
        <v>7649</v>
      </c>
    </row>
    <row r="2140" spans="1:8">
      <c r="A2140" s="317" t="s">
        <v>8529</v>
      </c>
      <c r="B2140" s="317" t="s">
        <v>8529</v>
      </c>
      <c r="C2140" s="330" t="s">
        <v>8530</v>
      </c>
      <c r="D2140" s="330" t="s">
        <v>8531</v>
      </c>
      <c r="E2140" s="330" t="s">
        <v>4634</v>
      </c>
      <c r="F2140" s="331">
        <v>0.21</v>
      </c>
      <c r="G2140" s="332">
        <v>580</v>
      </c>
      <c r="H2140" s="333">
        <v>702</v>
      </c>
    </row>
    <row r="2141" spans="1:8">
      <c r="A2141" s="317">
        <v>1602025031</v>
      </c>
      <c r="B2141" s="317" t="s">
        <v>46510</v>
      </c>
      <c r="C2141" s="330" t="s">
        <v>8532</v>
      </c>
      <c r="D2141" s="330" t="s">
        <v>8533</v>
      </c>
      <c r="E2141" s="330" t="s">
        <v>4634</v>
      </c>
      <c r="F2141" s="331">
        <v>0.21</v>
      </c>
      <c r="G2141" s="332">
        <v>3935</v>
      </c>
      <c r="H2141" s="333">
        <v>4762</v>
      </c>
    </row>
    <row r="2142" spans="1:8">
      <c r="A2142" s="317">
        <v>1602025051</v>
      </c>
      <c r="B2142" s="317" t="s">
        <v>46511</v>
      </c>
      <c r="C2142" s="330" t="s">
        <v>8534</v>
      </c>
      <c r="D2142" s="330" t="s">
        <v>8535</v>
      </c>
      <c r="E2142" s="330" t="s">
        <v>37248</v>
      </c>
      <c r="F2142" s="331">
        <v>0.21</v>
      </c>
      <c r="G2142" s="332">
        <v>29495</v>
      </c>
      <c r="H2142" s="333">
        <v>35689</v>
      </c>
    </row>
    <row r="2143" spans="1:8">
      <c r="A2143" s="317">
        <v>1602025052</v>
      </c>
      <c r="B2143" s="317" t="s">
        <v>46512</v>
      </c>
      <c r="C2143" s="330" t="s">
        <v>8536</v>
      </c>
      <c r="D2143" s="330" t="s">
        <v>8537</v>
      </c>
      <c r="E2143" s="330" t="s">
        <v>4634</v>
      </c>
      <c r="F2143" s="331">
        <v>0.21</v>
      </c>
      <c r="G2143" s="332">
        <v>15247</v>
      </c>
      <c r="H2143" s="333">
        <v>18449</v>
      </c>
    </row>
    <row r="2144" spans="1:8">
      <c r="A2144" s="317">
        <v>1602025071</v>
      </c>
      <c r="B2144" s="317" t="s">
        <v>46513</v>
      </c>
      <c r="C2144" s="330" t="s">
        <v>8538</v>
      </c>
      <c r="D2144" s="330" t="s">
        <v>8539</v>
      </c>
      <c r="E2144" s="330" t="s">
        <v>37248</v>
      </c>
      <c r="F2144" s="331">
        <v>0.21</v>
      </c>
      <c r="G2144" s="332">
        <v>240</v>
      </c>
      <c r="H2144" s="333">
        <v>291</v>
      </c>
    </row>
    <row r="2145" spans="1:8">
      <c r="A2145" s="317" t="s">
        <v>38646</v>
      </c>
      <c r="B2145" s="317" t="s">
        <v>46514</v>
      </c>
      <c r="C2145" s="330" t="s">
        <v>8540</v>
      </c>
      <c r="D2145" s="330" t="s">
        <v>8541</v>
      </c>
      <c r="E2145" s="330" t="s">
        <v>37248</v>
      </c>
      <c r="F2145" s="331">
        <v>0.21</v>
      </c>
      <c r="G2145" s="332">
        <v>10596</v>
      </c>
      <c r="H2145" s="333">
        <v>12822</v>
      </c>
    </row>
    <row r="2146" spans="1:8">
      <c r="A2146" s="317" t="s">
        <v>38647</v>
      </c>
      <c r="B2146" s="317" t="s">
        <v>46515</v>
      </c>
      <c r="C2146" s="330" t="s">
        <v>8542</v>
      </c>
      <c r="D2146" s="330" t="s">
        <v>8543</v>
      </c>
      <c r="E2146" s="330" t="s">
        <v>4819</v>
      </c>
      <c r="F2146" s="331">
        <v>0.21</v>
      </c>
      <c r="G2146" s="332">
        <v>9493</v>
      </c>
      <c r="H2146" s="333">
        <v>11487</v>
      </c>
    </row>
    <row r="2147" spans="1:8">
      <c r="A2147" s="317" t="s">
        <v>38648</v>
      </c>
      <c r="B2147" s="317" t="s">
        <v>46516</v>
      </c>
      <c r="C2147" s="330" t="s">
        <v>8544</v>
      </c>
      <c r="D2147" s="330" t="s">
        <v>8545</v>
      </c>
      <c r="E2147" s="330" t="s">
        <v>4634</v>
      </c>
      <c r="F2147" s="331">
        <v>0.21</v>
      </c>
      <c r="G2147" s="332">
        <v>5373</v>
      </c>
      <c r="H2147" s="333">
        <v>6502</v>
      </c>
    </row>
    <row r="2148" spans="1:8">
      <c r="A2148" s="317" t="s">
        <v>38649</v>
      </c>
      <c r="B2148" s="317" t="s">
        <v>46517</v>
      </c>
      <c r="C2148" s="330" t="s">
        <v>8546</v>
      </c>
      <c r="D2148" s="330" t="s">
        <v>8547</v>
      </c>
      <c r="E2148" s="330" t="s">
        <v>37248</v>
      </c>
      <c r="F2148" s="331">
        <v>0.21</v>
      </c>
      <c r="G2148" s="332">
        <v>8104</v>
      </c>
      <c r="H2148" s="333">
        <v>9806</v>
      </c>
    </row>
    <row r="2149" spans="1:8">
      <c r="A2149" s="317" t="s">
        <v>38650</v>
      </c>
      <c r="B2149" s="317" t="s">
        <v>46518</v>
      </c>
      <c r="C2149" s="330" t="s">
        <v>8548</v>
      </c>
      <c r="D2149" s="330" t="s">
        <v>8549</v>
      </c>
      <c r="E2149" s="330" t="s">
        <v>37248</v>
      </c>
      <c r="F2149" s="331">
        <v>0.21</v>
      </c>
      <c r="G2149" s="332">
        <v>29151</v>
      </c>
      <c r="H2149" s="333">
        <v>35273</v>
      </c>
    </row>
    <row r="2150" spans="1:8">
      <c r="A2150" s="317" t="s">
        <v>38651</v>
      </c>
      <c r="B2150" s="317" t="s">
        <v>46519</v>
      </c>
      <c r="C2150" s="330" t="s">
        <v>8550</v>
      </c>
      <c r="D2150" s="330" t="s">
        <v>8535</v>
      </c>
      <c r="E2150" s="330" t="s">
        <v>4819</v>
      </c>
      <c r="F2150" s="331">
        <v>0.21</v>
      </c>
      <c r="G2150" s="332">
        <v>6745</v>
      </c>
      <c r="H2150" s="333">
        <v>8162</v>
      </c>
    </row>
    <row r="2151" spans="1:8">
      <c r="A2151" s="317">
        <v>1602025080</v>
      </c>
      <c r="B2151" s="317" t="s">
        <v>46520</v>
      </c>
      <c r="C2151" s="330" t="s">
        <v>8551</v>
      </c>
      <c r="D2151" s="330" t="s">
        <v>8535</v>
      </c>
      <c r="E2151" s="330" t="s">
        <v>4819</v>
      </c>
      <c r="F2151" s="331">
        <v>0.21</v>
      </c>
      <c r="G2151" s="332">
        <v>3131</v>
      </c>
      <c r="H2151" s="333">
        <v>3789</v>
      </c>
    </row>
    <row r="2152" spans="1:8">
      <c r="A2152" s="317">
        <v>1602025081</v>
      </c>
      <c r="B2152" s="317" t="s">
        <v>46521</v>
      </c>
      <c r="C2152" s="330" t="s">
        <v>8552</v>
      </c>
      <c r="D2152" s="330" t="s">
        <v>8553</v>
      </c>
      <c r="E2152" s="330" t="s">
        <v>4819</v>
      </c>
      <c r="F2152" s="331">
        <v>0.21</v>
      </c>
      <c r="G2152" s="332">
        <v>18178</v>
      </c>
      <c r="H2152" s="333">
        <v>21996</v>
      </c>
    </row>
    <row r="2153" spans="1:8">
      <c r="A2153" s="317">
        <v>1602025082</v>
      </c>
      <c r="B2153" s="317" t="s">
        <v>46522</v>
      </c>
      <c r="C2153" s="330" t="s">
        <v>8554</v>
      </c>
      <c r="D2153" s="330" t="s">
        <v>8555</v>
      </c>
      <c r="E2153" s="330" t="s">
        <v>37248</v>
      </c>
      <c r="F2153" s="331">
        <v>0.21</v>
      </c>
      <c r="G2153" s="332">
        <v>3161</v>
      </c>
      <c r="H2153" s="333">
        <v>3825</v>
      </c>
    </row>
    <row r="2154" spans="1:8">
      <c r="A2154" s="317" t="s">
        <v>38652</v>
      </c>
      <c r="B2154" s="317" t="s">
        <v>46523</v>
      </c>
      <c r="C2154" s="330" t="s">
        <v>8556</v>
      </c>
      <c r="D2154" s="330" t="s">
        <v>8557</v>
      </c>
      <c r="E2154" s="330" t="s">
        <v>37248</v>
      </c>
      <c r="F2154" s="331">
        <v>0.21</v>
      </c>
      <c r="G2154" s="332">
        <v>12585</v>
      </c>
      <c r="H2154" s="333">
        <v>15228</v>
      </c>
    </row>
    <row r="2155" spans="1:8">
      <c r="A2155" s="317">
        <v>160202508</v>
      </c>
      <c r="B2155" s="317">
        <v>160202508</v>
      </c>
      <c r="C2155" s="330" t="s">
        <v>8558</v>
      </c>
      <c r="D2155" s="330" t="s">
        <v>8559</v>
      </c>
      <c r="E2155" s="330" t="s">
        <v>37248</v>
      </c>
      <c r="F2155" s="331">
        <v>0.21</v>
      </c>
      <c r="G2155" s="332">
        <v>34037</v>
      </c>
      <c r="H2155" s="333">
        <v>41185</v>
      </c>
    </row>
    <row r="2156" spans="1:8">
      <c r="A2156" s="317" t="s">
        <v>38653</v>
      </c>
      <c r="B2156" s="317" t="s">
        <v>46524</v>
      </c>
      <c r="C2156" s="330" t="s">
        <v>8560</v>
      </c>
      <c r="D2156" s="330" t="s">
        <v>8553</v>
      </c>
      <c r="E2156" s="330" t="s">
        <v>37248</v>
      </c>
      <c r="F2156" s="331">
        <v>0.21</v>
      </c>
      <c r="G2156" s="332">
        <v>57370</v>
      </c>
      <c r="H2156" s="333">
        <v>69418</v>
      </c>
    </row>
    <row r="2157" spans="1:8">
      <c r="A2157" s="317" t="s">
        <v>38654</v>
      </c>
      <c r="B2157" s="317" t="s">
        <v>46525</v>
      </c>
      <c r="C2157" s="330" t="s">
        <v>8561</v>
      </c>
      <c r="D2157" s="330" t="s">
        <v>8562</v>
      </c>
      <c r="E2157" s="330" t="s">
        <v>37248</v>
      </c>
      <c r="F2157" s="331">
        <v>0.21</v>
      </c>
      <c r="G2157" s="332">
        <v>34924</v>
      </c>
      <c r="H2157" s="333">
        <v>42259</v>
      </c>
    </row>
    <row r="2158" spans="1:8">
      <c r="A2158" s="317" t="s">
        <v>38655</v>
      </c>
      <c r="B2158" s="317" t="s">
        <v>46526</v>
      </c>
      <c r="C2158" s="330" t="s">
        <v>8563</v>
      </c>
      <c r="D2158" s="330" t="s">
        <v>8553</v>
      </c>
      <c r="E2158" s="330" t="s">
        <v>37248</v>
      </c>
      <c r="F2158" s="331">
        <v>0.21</v>
      </c>
      <c r="G2158" s="332">
        <v>33718</v>
      </c>
      <c r="H2158" s="333">
        <v>40799</v>
      </c>
    </row>
    <row r="2159" spans="1:8">
      <c r="A2159" s="317" t="s">
        <v>38656</v>
      </c>
      <c r="B2159" s="317" t="s">
        <v>46527</v>
      </c>
      <c r="C2159" s="330" t="s">
        <v>8564</v>
      </c>
      <c r="D2159" s="330" t="s">
        <v>8565</v>
      </c>
      <c r="E2159" s="330" t="s">
        <v>37248</v>
      </c>
      <c r="F2159" s="331">
        <v>0.21</v>
      </c>
      <c r="G2159" s="332">
        <v>17324</v>
      </c>
      <c r="H2159" s="333">
        <v>20963</v>
      </c>
    </row>
    <row r="2160" spans="1:8">
      <c r="A2160" s="317" t="s">
        <v>38657</v>
      </c>
      <c r="B2160" s="317" t="s">
        <v>46528</v>
      </c>
      <c r="C2160" s="330" t="s">
        <v>8566</v>
      </c>
      <c r="D2160" s="330" t="s">
        <v>8567</v>
      </c>
      <c r="E2160" s="330" t="s">
        <v>4819</v>
      </c>
      <c r="F2160" s="331">
        <v>0.21</v>
      </c>
      <c r="G2160" s="332">
        <v>12342</v>
      </c>
      <c r="H2160" s="333">
        <v>14934</v>
      </c>
    </row>
    <row r="2161" spans="1:8">
      <c r="A2161" s="317">
        <v>1602025090</v>
      </c>
      <c r="B2161" s="317" t="s">
        <v>46529</v>
      </c>
      <c r="C2161" s="330" t="s">
        <v>8568</v>
      </c>
      <c r="D2161" s="330" t="s">
        <v>8569</v>
      </c>
      <c r="E2161" s="330" t="s">
        <v>4819</v>
      </c>
      <c r="F2161" s="331">
        <v>0.21</v>
      </c>
      <c r="G2161" s="332">
        <v>23601</v>
      </c>
      <c r="H2161" s="333">
        <v>28558</v>
      </c>
    </row>
    <row r="2162" spans="1:8">
      <c r="A2162" s="317">
        <v>1602025096</v>
      </c>
      <c r="B2162" s="317" t="s">
        <v>46530</v>
      </c>
      <c r="C2162" s="330" t="s">
        <v>8570</v>
      </c>
      <c r="D2162" s="330" t="s">
        <v>8571</v>
      </c>
      <c r="E2162" s="330" t="s">
        <v>37248</v>
      </c>
      <c r="F2162" s="331">
        <v>0.21</v>
      </c>
      <c r="G2162" s="332">
        <v>1266</v>
      </c>
      <c r="H2162" s="333">
        <v>1532</v>
      </c>
    </row>
    <row r="2163" spans="1:8">
      <c r="A2163" s="317">
        <v>1602025097</v>
      </c>
      <c r="B2163" s="317" t="s">
        <v>46531</v>
      </c>
      <c r="C2163" s="330" t="s">
        <v>8572</v>
      </c>
      <c r="D2163" s="330" t="s">
        <v>8573</v>
      </c>
      <c r="E2163" s="330" t="s">
        <v>37248</v>
      </c>
      <c r="F2163" s="331">
        <v>0.21</v>
      </c>
      <c r="G2163" s="332">
        <v>21346</v>
      </c>
      <c r="H2163" s="333">
        <v>25829</v>
      </c>
    </row>
    <row r="2164" spans="1:8">
      <c r="A2164" s="317">
        <v>1602025098</v>
      </c>
      <c r="B2164" s="317" t="s">
        <v>46532</v>
      </c>
      <c r="C2164" s="330" t="s">
        <v>8574</v>
      </c>
      <c r="D2164" s="330" t="s">
        <v>8575</v>
      </c>
      <c r="E2164" s="330" t="s">
        <v>37248</v>
      </c>
      <c r="F2164" s="331">
        <v>0.21</v>
      </c>
      <c r="G2164" s="332">
        <v>7258</v>
      </c>
      <c r="H2164" s="333">
        <v>8783</v>
      </c>
    </row>
    <row r="2165" spans="1:8">
      <c r="A2165" s="317" t="s">
        <v>38658</v>
      </c>
      <c r="B2165" s="317" t="s">
        <v>46533</v>
      </c>
      <c r="C2165" s="330" t="s">
        <v>8576</v>
      </c>
      <c r="D2165" s="330" t="s">
        <v>8577</v>
      </c>
      <c r="E2165" s="330" t="s">
        <v>37248</v>
      </c>
      <c r="F2165" s="331">
        <v>0.21</v>
      </c>
      <c r="G2165" s="332">
        <v>1648</v>
      </c>
      <c r="H2165" s="333">
        <v>1995</v>
      </c>
    </row>
    <row r="2166" spans="1:8">
      <c r="A2166" s="317" t="s">
        <v>38659</v>
      </c>
      <c r="B2166" s="317" t="s">
        <v>46534</v>
      </c>
      <c r="C2166" s="330" t="s">
        <v>8578</v>
      </c>
      <c r="D2166" s="330" t="s">
        <v>8535</v>
      </c>
      <c r="E2166" s="330" t="s">
        <v>37248</v>
      </c>
      <c r="F2166" s="331">
        <v>0.21</v>
      </c>
      <c r="G2166" s="332">
        <v>789</v>
      </c>
      <c r="H2166" s="333">
        <v>955</v>
      </c>
    </row>
    <row r="2167" spans="1:8">
      <c r="A2167" s="317" t="s">
        <v>38660</v>
      </c>
      <c r="B2167" s="317" t="s">
        <v>46535</v>
      </c>
      <c r="C2167" s="330" t="s">
        <v>8579</v>
      </c>
      <c r="D2167" s="330" t="s">
        <v>8571</v>
      </c>
      <c r="E2167" s="330" t="s">
        <v>37248</v>
      </c>
      <c r="F2167" s="331">
        <v>0.21</v>
      </c>
      <c r="G2167" s="332">
        <v>2128</v>
      </c>
      <c r="H2167" s="333">
        <v>2575</v>
      </c>
    </row>
    <row r="2168" spans="1:8">
      <c r="A2168" s="317" t="s">
        <v>38661</v>
      </c>
      <c r="B2168" s="317" t="s">
        <v>46536</v>
      </c>
      <c r="C2168" s="330" t="s">
        <v>8580</v>
      </c>
      <c r="D2168" s="330" t="s">
        <v>8581</v>
      </c>
      <c r="E2168" s="330" t="s">
        <v>37248</v>
      </c>
      <c r="F2168" s="331">
        <v>0.21</v>
      </c>
      <c r="G2168" s="332">
        <v>11996</v>
      </c>
      <c r="H2168" s="333">
        <v>14516</v>
      </c>
    </row>
    <row r="2169" spans="1:8">
      <c r="A2169" s="317" t="s">
        <v>38662</v>
      </c>
      <c r="B2169" s="317" t="s">
        <v>46537</v>
      </c>
      <c r="C2169" s="330" t="s">
        <v>8582</v>
      </c>
      <c r="D2169" s="330" t="s">
        <v>8535</v>
      </c>
      <c r="E2169" s="330" t="s">
        <v>37248</v>
      </c>
      <c r="F2169" s="331">
        <v>0.21</v>
      </c>
      <c r="G2169" s="332">
        <v>7729</v>
      </c>
      <c r="H2169" s="333">
        <v>9353</v>
      </c>
    </row>
    <row r="2170" spans="1:8">
      <c r="A2170" s="317">
        <v>1602026026</v>
      </c>
      <c r="B2170" s="317" t="s">
        <v>46538</v>
      </c>
      <c r="C2170" s="330" t="s">
        <v>8583</v>
      </c>
      <c r="D2170" s="330" t="s">
        <v>7884</v>
      </c>
      <c r="E2170" s="330" t="s">
        <v>4634</v>
      </c>
      <c r="F2170" s="331">
        <v>0.21</v>
      </c>
      <c r="G2170" s="332">
        <v>22869</v>
      </c>
      <c r="H2170" s="333">
        <v>27672</v>
      </c>
    </row>
    <row r="2171" spans="1:8">
      <c r="A2171" s="317">
        <v>1602026030</v>
      </c>
      <c r="B2171" s="317" t="s">
        <v>46539</v>
      </c>
      <c r="C2171" s="330" t="s">
        <v>8584</v>
      </c>
      <c r="D2171" s="330" t="s">
        <v>8585</v>
      </c>
      <c r="E2171" s="330" t="s">
        <v>4819</v>
      </c>
      <c r="F2171" s="331">
        <v>0.21</v>
      </c>
      <c r="G2171" s="332">
        <v>6448</v>
      </c>
      <c r="H2171" s="333">
        <v>7803</v>
      </c>
    </row>
    <row r="2172" spans="1:8">
      <c r="A2172" s="317">
        <v>1602026038</v>
      </c>
      <c r="B2172" s="317" t="s">
        <v>46540</v>
      </c>
      <c r="C2172" s="330" t="s">
        <v>8586</v>
      </c>
      <c r="D2172" s="330" t="s">
        <v>8587</v>
      </c>
      <c r="E2172" s="330" t="s">
        <v>4634</v>
      </c>
      <c r="F2172" s="331">
        <v>0.21</v>
      </c>
      <c r="G2172" s="332">
        <v>1008</v>
      </c>
      <c r="H2172" s="333">
        <v>1220</v>
      </c>
    </row>
    <row r="2173" spans="1:8">
      <c r="A2173" s="317">
        <v>1602026041</v>
      </c>
      <c r="B2173" s="317" t="s">
        <v>46541</v>
      </c>
      <c r="C2173" s="330" t="s">
        <v>8588</v>
      </c>
      <c r="D2173" s="330" t="s">
        <v>8589</v>
      </c>
      <c r="E2173" s="330" t="s">
        <v>4634</v>
      </c>
      <c r="F2173" s="331">
        <v>0.21</v>
      </c>
      <c r="G2173" s="332">
        <v>1541</v>
      </c>
      <c r="H2173" s="333">
        <v>1865</v>
      </c>
    </row>
    <row r="2174" spans="1:8">
      <c r="A2174" s="317">
        <v>1602026044</v>
      </c>
      <c r="B2174" s="317" t="s">
        <v>46542</v>
      </c>
      <c r="C2174" s="330" t="s">
        <v>8590</v>
      </c>
      <c r="D2174" s="330" t="s">
        <v>8591</v>
      </c>
      <c r="E2174" s="330" t="s">
        <v>4634</v>
      </c>
      <c r="F2174" s="331">
        <v>0.21</v>
      </c>
      <c r="G2174" s="332">
        <v>372</v>
      </c>
      <c r="H2174" s="333">
        <v>451</v>
      </c>
    </row>
    <row r="2175" spans="1:8">
      <c r="A2175" s="317">
        <v>1602026054</v>
      </c>
      <c r="B2175" s="317" t="s">
        <v>46543</v>
      </c>
      <c r="C2175" s="330" t="s">
        <v>8592</v>
      </c>
      <c r="D2175" s="330" t="s">
        <v>8593</v>
      </c>
      <c r="E2175" s="330" t="s">
        <v>4634</v>
      </c>
      <c r="F2175" s="331">
        <v>0.21</v>
      </c>
      <c r="G2175" s="332">
        <v>2616</v>
      </c>
      <c r="H2175" s="333">
        <v>3166</v>
      </c>
    </row>
    <row r="2176" spans="1:8">
      <c r="A2176" s="317">
        <v>1602026055</v>
      </c>
      <c r="B2176" s="317" t="s">
        <v>46544</v>
      </c>
      <c r="C2176" s="330" t="s">
        <v>8594</v>
      </c>
      <c r="D2176" s="330" t="s">
        <v>8595</v>
      </c>
      <c r="E2176" s="330" t="s">
        <v>4634</v>
      </c>
      <c r="F2176" s="331">
        <v>0.21</v>
      </c>
      <c r="G2176" s="332">
        <v>691</v>
      </c>
      <c r="H2176" s="333">
        <v>837</v>
      </c>
    </row>
    <row r="2177" spans="1:8">
      <c r="A2177" s="317">
        <v>1602026064</v>
      </c>
      <c r="B2177" s="317" t="s">
        <v>46545</v>
      </c>
      <c r="C2177" s="330" t="s">
        <v>8596</v>
      </c>
      <c r="D2177" s="330" t="s">
        <v>8597</v>
      </c>
      <c r="E2177" s="330" t="s">
        <v>4634</v>
      </c>
      <c r="F2177" s="331">
        <v>0.21</v>
      </c>
      <c r="G2177" s="332">
        <v>678</v>
      </c>
      <c r="H2177" s="333">
        <v>821</v>
      </c>
    </row>
    <row r="2178" spans="1:8">
      <c r="A2178" s="317">
        <v>1602026068</v>
      </c>
      <c r="B2178" s="317" t="s">
        <v>46546</v>
      </c>
      <c r="C2178" s="330" t="s">
        <v>8598</v>
      </c>
      <c r="D2178" s="330" t="s">
        <v>8599</v>
      </c>
      <c r="E2178" s="330" t="s">
        <v>37248</v>
      </c>
      <c r="F2178" s="331">
        <v>0.21</v>
      </c>
      <c r="G2178" s="332">
        <v>4414</v>
      </c>
      <c r="H2178" s="333">
        <v>5341</v>
      </c>
    </row>
    <row r="2179" spans="1:8">
      <c r="A2179" s="317">
        <v>1602026076</v>
      </c>
      <c r="B2179" s="317" t="s">
        <v>46547</v>
      </c>
      <c r="C2179" s="330" t="s">
        <v>8600</v>
      </c>
      <c r="D2179" s="330" t="s">
        <v>8601</v>
      </c>
      <c r="E2179" s="330" t="s">
        <v>4634</v>
      </c>
      <c r="F2179" s="331">
        <v>0.21</v>
      </c>
      <c r="G2179" s="332">
        <v>28</v>
      </c>
      <c r="H2179" s="333">
        <v>34</v>
      </c>
    </row>
    <row r="2180" spans="1:8">
      <c r="A2180" s="317">
        <v>1602026078</v>
      </c>
      <c r="B2180" s="317" t="s">
        <v>46548</v>
      </c>
      <c r="C2180" s="330" t="s">
        <v>8602</v>
      </c>
      <c r="D2180" s="330" t="s">
        <v>8603</v>
      </c>
      <c r="E2180" s="330" t="s">
        <v>37248</v>
      </c>
      <c r="F2180" s="331">
        <v>0.21</v>
      </c>
      <c r="G2180" s="332">
        <v>2578</v>
      </c>
      <c r="H2180" s="333">
        <v>3120</v>
      </c>
    </row>
    <row r="2181" spans="1:8">
      <c r="A2181" s="317">
        <v>1602026095</v>
      </c>
      <c r="B2181" s="317" t="s">
        <v>46549</v>
      </c>
      <c r="C2181" s="330" t="s">
        <v>8604</v>
      </c>
      <c r="D2181" s="330" t="s">
        <v>8605</v>
      </c>
      <c r="E2181" s="330" t="s">
        <v>37248</v>
      </c>
      <c r="F2181" s="331">
        <v>0.21</v>
      </c>
      <c r="G2181" s="332">
        <v>1247</v>
      </c>
      <c r="H2181" s="333">
        <v>1509</v>
      </c>
    </row>
    <row r="2182" spans="1:8">
      <c r="A2182" s="317" t="s">
        <v>38663</v>
      </c>
      <c r="B2182" s="317" t="s">
        <v>46550</v>
      </c>
      <c r="C2182" s="330" t="s">
        <v>8606</v>
      </c>
      <c r="D2182" s="330" t="s">
        <v>8607</v>
      </c>
      <c r="E2182" s="330" t="s">
        <v>37248</v>
      </c>
      <c r="F2182" s="331">
        <v>0.21</v>
      </c>
      <c r="G2182" s="332">
        <v>1117</v>
      </c>
      <c r="H2182" s="333">
        <v>1352</v>
      </c>
    </row>
    <row r="2183" spans="1:8">
      <c r="A2183" s="317">
        <v>1602051001</v>
      </c>
      <c r="B2183" s="317" t="s">
        <v>46551</v>
      </c>
      <c r="C2183" s="330" t="s">
        <v>8608</v>
      </c>
      <c r="D2183" s="330" t="s">
        <v>7884</v>
      </c>
      <c r="E2183" s="330" t="s">
        <v>4634</v>
      </c>
      <c r="F2183" s="331">
        <v>0.21</v>
      </c>
      <c r="G2183" s="332">
        <v>29</v>
      </c>
      <c r="H2183" s="333">
        <v>36</v>
      </c>
    </row>
    <row r="2184" spans="1:8">
      <c r="A2184" s="317">
        <v>1602098006</v>
      </c>
      <c r="B2184" s="317" t="s">
        <v>46552</v>
      </c>
      <c r="C2184" s="330" t="s">
        <v>8609</v>
      </c>
      <c r="D2184" s="330" t="s">
        <v>8610</v>
      </c>
      <c r="E2184" s="330" t="s">
        <v>37248</v>
      </c>
      <c r="F2184" s="331">
        <v>0.21</v>
      </c>
      <c r="G2184" s="332">
        <v>5248</v>
      </c>
      <c r="H2184" s="333">
        <v>6351</v>
      </c>
    </row>
    <row r="2185" spans="1:8">
      <c r="A2185" s="317">
        <v>1602099001</v>
      </c>
      <c r="B2185" s="317" t="s">
        <v>46553</v>
      </c>
      <c r="C2185" s="330" t="s">
        <v>8611</v>
      </c>
      <c r="D2185" s="330" t="s">
        <v>8612</v>
      </c>
      <c r="E2185" s="330" t="s">
        <v>4634</v>
      </c>
      <c r="F2185" s="331">
        <v>0.21</v>
      </c>
      <c r="G2185" s="332">
        <v>111</v>
      </c>
      <c r="H2185" s="333">
        <v>135</v>
      </c>
    </row>
    <row r="2186" spans="1:8">
      <c r="A2186" s="317">
        <v>1602120006</v>
      </c>
      <c r="B2186" s="317" t="s">
        <v>46554</v>
      </c>
      <c r="C2186" s="330" t="s">
        <v>8613</v>
      </c>
      <c r="D2186" s="330" t="s">
        <v>8614</v>
      </c>
      <c r="E2186" s="330" t="s">
        <v>4634</v>
      </c>
      <c r="F2186" s="331">
        <v>0.21</v>
      </c>
      <c r="G2186" s="332">
        <v>430</v>
      </c>
      <c r="H2186" s="333">
        <v>521</v>
      </c>
    </row>
    <row r="2187" spans="1:8">
      <c r="A2187" s="317">
        <v>1602210012</v>
      </c>
      <c r="B2187" s="317" t="s">
        <v>46555</v>
      </c>
      <c r="C2187" s="330" t="s">
        <v>8615</v>
      </c>
      <c r="D2187" s="330" t="s">
        <v>8616</v>
      </c>
      <c r="E2187" s="330" t="s">
        <v>4634</v>
      </c>
      <c r="F2187" s="331">
        <v>0.21</v>
      </c>
      <c r="G2187" s="332">
        <v>285</v>
      </c>
      <c r="H2187" s="333">
        <v>345</v>
      </c>
    </row>
    <row r="2188" spans="1:8">
      <c r="A2188" s="317">
        <v>1602210015</v>
      </c>
      <c r="B2188" s="317" t="s">
        <v>46556</v>
      </c>
      <c r="C2188" s="330" t="s">
        <v>8617</v>
      </c>
      <c r="D2188" s="330" t="s">
        <v>8618</v>
      </c>
      <c r="E2188" s="330" t="s">
        <v>4634</v>
      </c>
      <c r="F2188" s="331">
        <v>0.21</v>
      </c>
      <c r="G2188" s="332">
        <v>776</v>
      </c>
      <c r="H2188" s="333">
        <v>939</v>
      </c>
    </row>
    <row r="2189" spans="1:8">
      <c r="A2189" s="317">
        <v>1602317006</v>
      </c>
      <c r="B2189" s="317" t="s">
        <v>46557</v>
      </c>
      <c r="C2189" s="330" t="s">
        <v>8619</v>
      </c>
      <c r="D2189" s="330" t="s">
        <v>8620</v>
      </c>
      <c r="E2189" s="330" t="s">
        <v>4634</v>
      </c>
      <c r="F2189" s="331">
        <v>0.21</v>
      </c>
      <c r="G2189" s="332">
        <v>7662</v>
      </c>
      <c r="H2189" s="333">
        <v>9272</v>
      </c>
    </row>
    <row r="2190" spans="1:8">
      <c r="A2190" s="317">
        <v>1602317012</v>
      </c>
      <c r="B2190" s="317" t="s">
        <v>46558</v>
      </c>
      <c r="C2190" s="330" t="s">
        <v>8621</v>
      </c>
      <c r="D2190" s="330" t="s">
        <v>8622</v>
      </c>
      <c r="E2190" s="330" t="s">
        <v>4634</v>
      </c>
      <c r="F2190" s="331">
        <v>0.21</v>
      </c>
      <c r="G2190" s="332">
        <v>13389</v>
      </c>
      <c r="H2190" s="333">
        <v>16201</v>
      </c>
    </row>
    <row r="2191" spans="1:8">
      <c r="A2191" s="317">
        <v>1602319002</v>
      </c>
      <c r="B2191" s="317" t="s">
        <v>46559</v>
      </c>
      <c r="C2191" s="330" t="s">
        <v>8623</v>
      </c>
      <c r="D2191" s="330" t="s">
        <v>8624</v>
      </c>
      <c r="E2191" s="330" t="s">
        <v>4634</v>
      </c>
      <c r="F2191" s="331">
        <v>0.21</v>
      </c>
      <c r="G2191" s="332">
        <v>2882</v>
      </c>
      <c r="H2191" s="333">
        <v>3488</v>
      </c>
    </row>
    <row r="2192" spans="1:8">
      <c r="A2192" s="317">
        <v>1602319007</v>
      </c>
      <c r="B2192" s="317" t="s">
        <v>46560</v>
      </c>
      <c r="C2192" s="330" t="s">
        <v>8625</v>
      </c>
      <c r="D2192" s="330" t="s">
        <v>8626</v>
      </c>
      <c r="E2192" s="330" t="s">
        <v>4634</v>
      </c>
      <c r="F2192" s="331">
        <v>0.21</v>
      </c>
      <c r="G2192" s="332">
        <v>348</v>
      </c>
      <c r="H2192" s="333">
        <v>422</v>
      </c>
    </row>
    <row r="2193" spans="1:8">
      <c r="A2193" s="317">
        <v>1602319009</v>
      </c>
      <c r="B2193" s="317" t="s">
        <v>46561</v>
      </c>
      <c r="C2193" s="330" t="s">
        <v>8627</v>
      </c>
      <c r="D2193" s="330" t="s">
        <v>8628</v>
      </c>
      <c r="E2193" s="330" t="s">
        <v>37248</v>
      </c>
      <c r="F2193" s="331">
        <v>0.21</v>
      </c>
      <c r="G2193" s="332">
        <v>5384</v>
      </c>
      <c r="H2193" s="333">
        <v>6515</v>
      </c>
    </row>
    <row r="2194" spans="1:8">
      <c r="A2194" s="317">
        <v>1602319010</v>
      </c>
      <c r="B2194" s="317" t="s">
        <v>46562</v>
      </c>
      <c r="C2194" s="330" t="s">
        <v>8629</v>
      </c>
      <c r="D2194" s="330" t="s">
        <v>8630</v>
      </c>
      <c r="E2194" s="330" t="s">
        <v>37248</v>
      </c>
      <c r="F2194" s="331">
        <v>0.21</v>
      </c>
      <c r="G2194" s="332">
        <v>3890</v>
      </c>
      <c r="H2194" s="333">
        <v>4707</v>
      </c>
    </row>
    <row r="2195" spans="1:8">
      <c r="A2195" s="317">
        <v>1602319011</v>
      </c>
      <c r="B2195" s="317" t="s">
        <v>46563</v>
      </c>
      <c r="C2195" s="330" t="s">
        <v>8631</v>
      </c>
      <c r="D2195" s="330" t="s">
        <v>8632</v>
      </c>
      <c r="E2195" s="330" t="s">
        <v>37248</v>
      </c>
      <c r="F2195" s="331">
        <v>0.21</v>
      </c>
      <c r="G2195" s="332">
        <v>3459</v>
      </c>
      <c r="H2195" s="333">
        <v>4186</v>
      </c>
    </row>
    <row r="2196" spans="1:8">
      <c r="A2196" s="317">
        <v>1602319013</v>
      </c>
      <c r="B2196" s="317" t="s">
        <v>46564</v>
      </c>
      <c r="C2196" s="330" t="s">
        <v>8633</v>
      </c>
      <c r="D2196" s="330" t="s">
        <v>8634</v>
      </c>
      <c r="E2196" s="330" t="s">
        <v>4634</v>
      </c>
      <c r="F2196" s="331">
        <v>0.21</v>
      </c>
      <c r="G2196" s="332">
        <v>9478</v>
      </c>
      <c r="H2196" s="333">
        <v>11469</v>
      </c>
    </row>
    <row r="2197" spans="1:8">
      <c r="A2197" s="317">
        <v>1602319017</v>
      </c>
      <c r="B2197" s="317" t="s">
        <v>46565</v>
      </c>
      <c r="C2197" s="330" t="s">
        <v>8635</v>
      </c>
      <c r="D2197" s="330" t="s">
        <v>8636</v>
      </c>
      <c r="E2197" s="330" t="s">
        <v>4634</v>
      </c>
      <c r="F2197" s="331">
        <v>0.21</v>
      </c>
      <c r="G2197" s="332">
        <v>678</v>
      </c>
      <c r="H2197" s="333">
        <v>821</v>
      </c>
    </row>
    <row r="2198" spans="1:8">
      <c r="A2198" s="317">
        <v>1602319018</v>
      </c>
      <c r="B2198" s="317" t="s">
        <v>46566</v>
      </c>
      <c r="C2198" s="330" t="s">
        <v>8637</v>
      </c>
      <c r="D2198" s="330" t="s">
        <v>8638</v>
      </c>
      <c r="E2198" s="330" t="s">
        <v>4634</v>
      </c>
      <c r="F2198" s="331">
        <v>0.21</v>
      </c>
      <c r="G2198" s="332">
        <v>992</v>
      </c>
      <c r="H2198" s="333">
        <v>1201</v>
      </c>
    </row>
    <row r="2199" spans="1:8">
      <c r="A2199" s="317">
        <v>1602319019</v>
      </c>
      <c r="B2199" s="317" t="s">
        <v>46567</v>
      </c>
      <c r="C2199" s="330" t="s">
        <v>8639</v>
      </c>
      <c r="D2199" s="330" t="s">
        <v>8640</v>
      </c>
      <c r="E2199" s="330" t="s">
        <v>4634</v>
      </c>
      <c r="F2199" s="331">
        <v>0.21</v>
      </c>
      <c r="G2199" s="332">
        <v>928</v>
      </c>
      <c r="H2199" s="333">
        <v>1123</v>
      </c>
    </row>
    <row r="2200" spans="1:8">
      <c r="A2200" s="317">
        <v>1602319020</v>
      </c>
      <c r="B2200" s="317" t="s">
        <v>46568</v>
      </c>
      <c r="C2200" s="330" t="s">
        <v>8641</v>
      </c>
      <c r="D2200" s="330" t="s">
        <v>8642</v>
      </c>
      <c r="E2200" s="330" t="s">
        <v>4634</v>
      </c>
      <c r="F2200" s="331">
        <v>0.21</v>
      </c>
      <c r="G2200" s="332">
        <v>524</v>
      </c>
      <c r="H2200" s="333">
        <v>635</v>
      </c>
    </row>
    <row r="2201" spans="1:8">
      <c r="A2201" s="317">
        <v>1602319022</v>
      </c>
      <c r="B2201" s="317" t="s">
        <v>46569</v>
      </c>
      <c r="C2201" s="330" t="s">
        <v>8643</v>
      </c>
      <c r="D2201" s="330" t="s">
        <v>8644</v>
      </c>
      <c r="E2201" s="330" t="s">
        <v>4634</v>
      </c>
      <c r="F2201" s="331">
        <v>0.21</v>
      </c>
      <c r="G2201" s="332">
        <v>1064</v>
      </c>
      <c r="H2201" s="333">
        <v>1288</v>
      </c>
    </row>
    <row r="2202" spans="1:8">
      <c r="A2202" s="317">
        <v>1602319023</v>
      </c>
      <c r="B2202" s="317" t="s">
        <v>46570</v>
      </c>
      <c r="C2202" s="330" t="s">
        <v>8645</v>
      </c>
      <c r="D2202" s="330" t="s">
        <v>8646</v>
      </c>
      <c r="E2202" s="330" t="s">
        <v>4819</v>
      </c>
      <c r="F2202" s="331">
        <v>0.21</v>
      </c>
      <c r="G2202" s="332">
        <v>6110</v>
      </c>
      <c r="H2202" s="333">
        <v>7394</v>
      </c>
    </row>
    <row r="2203" spans="1:8">
      <c r="A2203" s="317">
        <v>1602319024</v>
      </c>
      <c r="B2203" s="317" t="s">
        <v>46571</v>
      </c>
      <c r="C2203" s="330" t="s">
        <v>8647</v>
      </c>
      <c r="D2203" s="330" t="s">
        <v>8648</v>
      </c>
      <c r="E2203" s="330" t="s">
        <v>37248</v>
      </c>
      <c r="F2203" s="331">
        <v>0.21</v>
      </c>
      <c r="G2203" s="332">
        <v>3218</v>
      </c>
      <c r="H2203" s="333">
        <v>3894</v>
      </c>
    </row>
    <row r="2204" spans="1:8">
      <c r="A2204" s="317">
        <v>1602319025</v>
      </c>
      <c r="B2204" s="317" t="s">
        <v>46572</v>
      </c>
      <c r="C2204" s="330" t="s">
        <v>8649</v>
      </c>
      <c r="D2204" s="330" t="s">
        <v>8650</v>
      </c>
      <c r="E2204" s="330" t="s">
        <v>4819</v>
      </c>
      <c r="F2204" s="331">
        <v>0.21</v>
      </c>
      <c r="G2204" s="332">
        <v>2221</v>
      </c>
      <c r="H2204" s="333">
        <v>2688</v>
      </c>
    </row>
    <row r="2205" spans="1:8">
      <c r="A2205" s="317">
        <v>1602381001</v>
      </c>
      <c r="B2205" s="317" t="s">
        <v>46573</v>
      </c>
      <c r="C2205" s="330" t="s">
        <v>8651</v>
      </c>
      <c r="D2205" s="330" t="s">
        <v>8281</v>
      </c>
      <c r="E2205" s="330" t="s">
        <v>4634</v>
      </c>
      <c r="F2205" s="331">
        <v>0.21</v>
      </c>
      <c r="G2205" s="332">
        <v>29</v>
      </c>
      <c r="H2205" s="333">
        <v>36</v>
      </c>
    </row>
    <row r="2206" spans="1:8">
      <c r="A2206" s="317">
        <v>1602386002</v>
      </c>
      <c r="B2206" s="317" t="s">
        <v>46574</v>
      </c>
      <c r="C2206" s="330" t="s">
        <v>8652</v>
      </c>
      <c r="D2206" s="330" t="s">
        <v>8653</v>
      </c>
      <c r="E2206" s="330" t="s">
        <v>4634</v>
      </c>
      <c r="F2206" s="331">
        <v>0.21</v>
      </c>
      <c r="G2206" s="332">
        <v>24</v>
      </c>
      <c r="H2206" s="333">
        <v>30</v>
      </c>
    </row>
    <row r="2207" spans="1:8">
      <c r="A2207" s="317">
        <v>1602388006</v>
      </c>
      <c r="B2207" s="317" t="s">
        <v>46575</v>
      </c>
      <c r="C2207" s="330" t="s">
        <v>8654</v>
      </c>
      <c r="D2207" s="330" t="s">
        <v>8655</v>
      </c>
      <c r="E2207" s="330" t="s">
        <v>4634</v>
      </c>
      <c r="F2207" s="331">
        <v>0.21</v>
      </c>
      <c r="G2207" s="332">
        <v>1115</v>
      </c>
      <c r="H2207" s="333">
        <v>1350</v>
      </c>
    </row>
    <row r="2208" spans="1:8">
      <c r="A2208" s="317">
        <v>1602388007</v>
      </c>
      <c r="B2208" s="317" t="s">
        <v>46576</v>
      </c>
      <c r="C2208" s="330" t="s">
        <v>8656</v>
      </c>
      <c r="D2208" s="330" t="s">
        <v>8657</v>
      </c>
      <c r="E2208" s="330" t="s">
        <v>4634</v>
      </c>
      <c r="F2208" s="331">
        <v>0.21</v>
      </c>
      <c r="G2208" s="332">
        <v>2491</v>
      </c>
      <c r="H2208" s="333">
        <v>3015</v>
      </c>
    </row>
    <row r="2209" spans="1:8">
      <c r="A2209" s="317">
        <v>1602388016</v>
      </c>
      <c r="B2209" s="317" t="s">
        <v>46577</v>
      </c>
      <c r="C2209" s="330" t="s">
        <v>8658</v>
      </c>
      <c r="D2209" s="330" t="s">
        <v>8659</v>
      </c>
      <c r="E2209" s="330" t="s">
        <v>4634</v>
      </c>
      <c r="F2209" s="331">
        <v>0.21</v>
      </c>
      <c r="G2209" s="332">
        <v>791</v>
      </c>
      <c r="H2209" s="333">
        <v>958</v>
      </c>
    </row>
    <row r="2210" spans="1:8">
      <c r="A2210" s="317">
        <v>1602388026</v>
      </c>
      <c r="B2210" s="317" t="s">
        <v>46578</v>
      </c>
      <c r="C2210" s="330" t="s">
        <v>8660</v>
      </c>
      <c r="D2210" s="330" t="s">
        <v>8661</v>
      </c>
      <c r="E2210" s="330" t="s">
        <v>4634</v>
      </c>
      <c r="F2210" s="331">
        <v>0.21</v>
      </c>
      <c r="G2210" s="332">
        <v>580</v>
      </c>
      <c r="H2210" s="333">
        <v>702</v>
      </c>
    </row>
    <row r="2211" spans="1:8">
      <c r="A2211" s="317">
        <v>1602388027</v>
      </c>
      <c r="B2211" s="317" t="s">
        <v>46579</v>
      </c>
      <c r="C2211" s="330" t="s">
        <v>8662</v>
      </c>
      <c r="D2211" s="330" t="s">
        <v>8663</v>
      </c>
      <c r="E2211" s="330" t="s">
        <v>4634</v>
      </c>
      <c r="F2211" s="331">
        <v>0.21</v>
      </c>
      <c r="G2211" s="332">
        <v>490</v>
      </c>
      <c r="H2211" s="333">
        <v>593</v>
      </c>
    </row>
    <row r="2212" spans="1:8">
      <c r="A2212" s="317">
        <v>1602388029</v>
      </c>
      <c r="B2212" s="317" t="s">
        <v>46580</v>
      </c>
      <c r="C2212" s="330" t="s">
        <v>8664</v>
      </c>
      <c r="D2212" s="330" t="s">
        <v>8665</v>
      </c>
      <c r="E2212" s="330" t="s">
        <v>4634</v>
      </c>
      <c r="F2212" s="331">
        <v>0.21</v>
      </c>
      <c r="G2212" s="332">
        <v>1824</v>
      </c>
      <c r="H2212" s="333">
        <v>2208</v>
      </c>
    </row>
    <row r="2213" spans="1:8">
      <c r="A2213" s="317">
        <v>1602388035</v>
      </c>
      <c r="B2213" s="317" t="s">
        <v>46581</v>
      </c>
      <c r="C2213" s="330" t="s">
        <v>8666</v>
      </c>
      <c r="D2213" s="330" t="s">
        <v>6788</v>
      </c>
      <c r="E2213" s="330" t="s">
        <v>4819</v>
      </c>
      <c r="F2213" s="331">
        <v>0.21</v>
      </c>
      <c r="G2213" s="332">
        <v>1505</v>
      </c>
      <c r="H2213" s="333">
        <v>1822</v>
      </c>
    </row>
    <row r="2214" spans="1:8">
      <c r="A2214" s="317">
        <v>1603023003</v>
      </c>
      <c r="B2214" s="317" t="s">
        <v>46582</v>
      </c>
      <c r="C2214" s="330" t="s">
        <v>8667</v>
      </c>
      <c r="D2214" s="330" t="s">
        <v>8668</v>
      </c>
      <c r="E2214" s="330" t="s">
        <v>4634</v>
      </c>
      <c r="F2214" s="331">
        <v>0.21</v>
      </c>
      <c r="G2214" s="332">
        <v>1170</v>
      </c>
      <c r="H2214" s="333">
        <v>1416</v>
      </c>
    </row>
    <row r="2215" spans="1:8">
      <c r="A2215" s="317">
        <v>1603100013</v>
      </c>
      <c r="B2215" s="317" t="s">
        <v>46583</v>
      </c>
      <c r="C2215" s="330" t="s">
        <v>8669</v>
      </c>
      <c r="D2215" s="330" t="s">
        <v>8670</v>
      </c>
      <c r="E2215" s="330" t="s">
        <v>4634</v>
      </c>
      <c r="F2215" s="331">
        <v>0.21</v>
      </c>
      <c r="G2215" s="332">
        <v>3171</v>
      </c>
      <c r="H2215" s="333">
        <v>3837</v>
      </c>
    </row>
    <row r="2216" spans="1:8">
      <c r="A2216" s="317">
        <v>1603100036</v>
      </c>
      <c r="B2216" s="317" t="s">
        <v>46584</v>
      </c>
      <c r="C2216" s="330" t="s">
        <v>8671</v>
      </c>
      <c r="D2216" s="330" t="s">
        <v>8672</v>
      </c>
      <c r="E2216" s="330" t="s">
        <v>4634</v>
      </c>
      <c r="F2216" s="331">
        <v>0.21</v>
      </c>
      <c r="G2216" s="332">
        <v>377</v>
      </c>
      <c r="H2216" s="333">
        <v>457</v>
      </c>
    </row>
    <row r="2217" spans="1:8">
      <c r="A2217" s="317">
        <v>1603101018</v>
      </c>
      <c r="B2217" s="317" t="s">
        <v>46585</v>
      </c>
      <c r="C2217" s="330" t="s">
        <v>8673</v>
      </c>
      <c r="D2217" s="330" t="s">
        <v>8674</v>
      </c>
      <c r="E2217" s="330" t="s">
        <v>4634</v>
      </c>
      <c r="F2217" s="331">
        <v>0.21</v>
      </c>
      <c r="G2217" s="332">
        <v>274</v>
      </c>
      <c r="H2217" s="333">
        <v>332</v>
      </c>
    </row>
    <row r="2218" spans="1:8">
      <c r="A2218" s="317">
        <v>1603106001</v>
      </c>
      <c r="B2218" s="317" t="s">
        <v>46586</v>
      </c>
      <c r="C2218" s="330" t="s">
        <v>8675</v>
      </c>
      <c r="D2218" s="330" t="s">
        <v>8676</v>
      </c>
      <c r="E2218" s="330" t="s">
        <v>4634</v>
      </c>
      <c r="F2218" s="331">
        <v>0.21</v>
      </c>
      <c r="G2218" s="332">
        <v>1052</v>
      </c>
      <c r="H2218" s="333">
        <v>1273</v>
      </c>
    </row>
    <row r="2219" spans="1:8">
      <c r="A2219" s="317">
        <v>1603123011</v>
      </c>
      <c r="B2219" s="317" t="s">
        <v>46587</v>
      </c>
      <c r="C2219" s="330" t="s">
        <v>8677</v>
      </c>
      <c r="D2219" s="330" t="s">
        <v>8678</v>
      </c>
      <c r="E2219" s="330" t="s">
        <v>4819</v>
      </c>
      <c r="F2219" s="331">
        <v>0.21</v>
      </c>
      <c r="G2219" s="332">
        <v>97471</v>
      </c>
      <c r="H2219" s="333">
        <v>117940</v>
      </c>
    </row>
    <row r="2220" spans="1:8">
      <c r="A2220" s="317">
        <v>1603123030</v>
      </c>
      <c r="B2220" s="317" t="s">
        <v>46588</v>
      </c>
      <c r="C2220" s="330" t="s">
        <v>8679</v>
      </c>
      <c r="D2220" s="330" t="s">
        <v>8680</v>
      </c>
      <c r="E2220" s="330" t="s">
        <v>4634</v>
      </c>
      <c r="F2220" s="331">
        <v>0.21</v>
      </c>
      <c r="G2220" s="332">
        <v>160</v>
      </c>
      <c r="H2220" s="333">
        <v>194</v>
      </c>
    </row>
    <row r="2221" spans="1:8">
      <c r="A2221" s="317">
        <v>1603123032</v>
      </c>
      <c r="B2221" s="317" t="s">
        <v>46589</v>
      </c>
      <c r="C2221" s="330" t="s">
        <v>8681</v>
      </c>
      <c r="D2221" s="330" t="s">
        <v>8682</v>
      </c>
      <c r="E2221" s="330" t="s">
        <v>37248</v>
      </c>
      <c r="F2221" s="331">
        <v>0.21</v>
      </c>
      <c r="G2221" s="332">
        <v>4557</v>
      </c>
      <c r="H2221" s="333">
        <v>5514</v>
      </c>
    </row>
    <row r="2222" spans="1:8">
      <c r="A2222" s="317">
        <v>1603123045</v>
      </c>
      <c r="B2222" s="317" t="s">
        <v>46590</v>
      </c>
      <c r="C2222" s="330" t="s">
        <v>8683</v>
      </c>
      <c r="D2222" s="330" t="s">
        <v>8684</v>
      </c>
      <c r="E2222" s="330" t="s">
        <v>37248</v>
      </c>
      <c r="F2222" s="331">
        <v>0.21</v>
      </c>
      <c r="G2222" s="332">
        <v>3629</v>
      </c>
      <c r="H2222" s="333">
        <v>4392</v>
      </c>
    </row>
    <row r="2223" spans="1:8">
      <c r="A2223" s="317" t="s">
        <v>38664</v>
      </c>
      <c r="B2223" s="317" t="s">
        <v>46591</v>
      </c>
      <c r="C2223" s="330" t="s">
        <v>8685</v>
      </c>
      <c r="D2223" s="330" t="s">
        <v>8686</v>
      </c>
      <c r="E2223" s="330" t="s">
        <v>37248</v>
      </c>
      <c r="F2223" s="331">
        <v>0.21</v>
      </c>
      <c r="G2223" s="332">
        <v>646</v>
      </c>
      <c r="H2223" s="333">
        <v>782</v>
      </c>
    </row>
    <row r="2224" spans="1:8">
      <c r="A2224" s="317" t="s">
        <v>38665</v>
      </c>
      <c r="B2224" s="317" t="s">
        <v>46592</v>
      </c>
      <c r="C2224" s="330" t="s">
        <v>8687</v>
      </c>
      <c r="D2224" s="330" t="s">
        <v>8688</v>
      </c>
      <c r="E2224" s="330" t="s">
        <v>37248</v>
      </c>
      <c r="F2224" s="331">
        <v>0.21</v>
      </c>
      <c r="G2224" s="332">
        <v>1052</v>
      </c>
      <c r="H2224" s="333">
        <v>1273</v>
      </c>
    </row>
    <row r="2225" spans="1:8">
      <c r="A2225" s="317">
        <v>1603123055</v>
      </c>
      <c r="B2225" s="317" t="s">
        <v>46593</v>
      </c>
      <c r="C2225" s="330" t="s">
        <v>8689</v>
      </c>
      <c r="D2225" s="330" t="s">
        <v>8690</v>
      </c>
      <c r="E2225" s="330" t="s">
        <v>4819</v>
      </c>
      <c r="F2225" s="331">
        <v>0.21</v>
      </c>
      <c r="G2225" s="332">
        <v>240</v>
      </c>
      <c r="H2225" s="333">
        <v>291</v>
      </c>
    </row>
    <row r="2226" spans="1:8">
      <c r="A2226" s="317">
        <v>1603123056</v>
      </c>
      <c r="B2226" s="317" t="s">
        <v>46594</v>
      </c>
      <c r="C2226" s="330" t="s">
        <v>8691</v>
      </c>
      <c r="D2226" s="330" t="s">
        <v>8692</v>
      </c>
      <c r="E2226" s="330" t="s">
        <v>4819</v>
      </c>
      <c r="F2226" s="331">
        <v>0.21</v>
      </c>
      <c r="G2226" s="332">
        <v>1875</v>
      </c>
      <c r="H2226" s="333">
        <v>2269</v>
      </c>
    </row>
    <row r="2227" spans="1:8">
      <c r="A2227" s="317" t="s">
        <v>38666</v>
      </c>
      <c r="B2227" s="317" t="s">
        <v>46595</v>
      </c>
      <c r="C2227" s="330" t="s">
        <v>8693</v>
      </c>
      <c r="D2227" s="330" t="s">
        <v>8694</v>
      </c>
      <c r="E2227" s="330" t="s">
        <v>4634</v>
      </c>
      <c r="F2227" s="331">
        <v>0.21</v>
      </c>
      <c r="G2227" s="332">
        <v>10132</v>
      </c>
      <c r="H2227" s="333">
        <v>12260</v>
      </c>
    </row>
    <row r="2228" spans="1:8">
      <c r="A2228" s="317" t="s">
        <v>38667</v>
      </c>
      <c r="B2228" s="317" t="s">
        <v>46596</v>
      </c>
      <c r="C2228" s="330" t="s">
        <v>8695</v>
      </c>
      <c r="D2228" s="330" t="s">
        <v>8696</v>
      </c>
      <c r="E2228" s="330" t="s">
        <v>37248</v>
      </c>
      <c r="F2228" s="331">
        <v>0.21</v>
      </c>
      <c r="G2228" s="332">
        <v>4544</v>
      </c>
      <c r="H2228" s="333">
        <v>5499</v>
      </c>
    </row>
    <row r="2229" spans="1:8">
      <c r="A2229" s="317" t="s">
        <v>38668</v>
      </c>
      <c r="B2229" s="317" t="s">
        <v>46597</v>
      </c>
      <c r="C2229" s="330" t="s">
        <v>8697</v>
      </c>
      <c r="D2229" s="330" t="s">
        <v>8698</v>
      </c>
      <c r="E2229" s="330" t="s">
        <v>4634</v>
      </c>
      <c r="F2229" s="331">
        <v>0.21</v>
      </c>
      <c r="G2229" s="332">
        <v>17346</v>
      </c>
      <c r="H2229" s="333">
        <v>20989</v>
      </c>
    </row>
    <row r="2230" spans="1:8">
      <c r="A2230" s="317">
        <v>1603123062</v>
      </c>
      <c r="B2230" s="317" t="s">
        <v>46598</v>
      </c>
      <c r="C2230" s="330" t="s">
        <v>8699</v>
      </c>
      <c r="D2230" s="330" t="s">
        <v>8700</v>
      </c>
      <c r="E2230" s="330" t="s">
        <v>4634</v>
      </c>
      <c r="F2230" s="331">
        <v>0.21</v>
      </c>
      <c r="G2230" s="332">
        <v>3729</v>
      </c>
      <c r="H2230" s="333">
        <v>4513</v>
      </c>
    </row>
    <row r="2231" spans="1:8">
      <c r="A2231" s="317">
        <v>1603123067</v>
      </c>
      <c r="B2231" s="317" t="s">
        <v>46599</v>
      </c>
      <c r="C2231" s="330" t="s">
        <v>8701</v>
      </c>
      <c r="D2231" s="330" t="s">
        <v>8702</v>
      </c>
      <c r="E2231" s="330" t="s">
        <v>37248</v>
      </c>
      <c r="F2231" s="331">
        <v>0.21</v>
      </c>
      <c r="G2231" s="332">
        <v>2119</v>
      </c>
      <c r="H2231" s="333">
        <v>2564</v>
      </c>
    </row>
    <row r="2232" spans="1:8">
      <c r="A2232" s="317" t="s">
        <v>38669</v>
      </c>
      <c r="B2232" s="317" t="s">
        <v>46600</v>
      </c>
      <c r="C2232" s="330" t="s">
        <v>8703</v>
      </c>
      <c r="D2232" s="330" t="s">
        <v>8704</v>
      </c>
      <c r="E2232" s="330" t="s">
        <v>37248</v>
      </c>
      <c r="F2232" s="331">
        <v>0.21</v>
      </c>
      <c r="G2232" s="332">
        <v>42234</v>
      </c>
      <c r="H2232" s="333">
        <v>51104</v>
      </c>
    </row>
    <row r="2233" spans="1:8">
      <c r="A2233" s="317">
        <v>1603124035</v>
      </c>
      <c r="B2233" s="317" t="s">
        <v>46601</v>
      </c>
      <c r="C2233" s="330" t="s">
        <v>8705</v>
      </c>
      <c r="D2233" s="330" t="s">
        <v>8698</v>
      </c>
      <c r="E2233" s="330" t="s">
        <v>4634</v>
      </c>
      <c r="F2233" s="331">
        <v>0.21</v>
      </c>
      <c r="G2233" s="332">
        <v>31859</v>
      </c>
      <c r="H2233" s="333">
        <v>38550</v>
      </c>
    </row>
    <row r="2234" spans="1:8">
      <c r="A2234" s="317">
        <v>1603124060</v>
      </c>
      <c r="B2234" s="317" t="s">
        <v>46602</v>
      </c>
      <c r="C2234" s="330" t="s">
        <v>8706</v>
      </c>
      <c r="D2234" s="330" t="s">
        <v>8707</v>
      </c>
      <c r="E2234" s="330" t="s">
        <v>4819</v>
      </c>
      <c r="F2234" s="331">
        <v>0.21</v>
      </c>
      <c r="G2234" s="332">
        <v>4851</v>
      </c>
      <c r="H2234" s="333">
        <v>5870</v>
      </c>
    </row>
    <row r="2235" spans="1:8">
      <c r="A2235" s="317">
        <v>1603124085</v>
      </c>
      <c r="B2235" s="317" t="s">
        <v>46603</v>
      </c>
      <c r="C2235" s="330" t="s">
        <v>8708</v>
      </c>
      <c r="D2235" s="330" t="s">
        <v>8709</v>
      </c>
      <c r="E2235" s="330" t="s">
        <v>4634</v>
      </c>
      <c r="F2235" s="331">
        <v>0.21</v>
      </c>
      <c r="G2235" s="332">
        <v>455</v>
      </c>
      <c r="H2235" s="333">
        <v>551</v>
      </c>
    </row>
    <row r="2236" spans="1:8">
      <c r="A2236" s="317">
        <v>1603124103</v>
      </c>
      <c r="B2236" s="317" t="s">
        <v>46604</v>
      </c>
      <c r="C2236" s="330" t="s">
        <v>8710</v>
      </c>
      <c r="D2236" s="330" t="s">
        <v>8711</v>
      </c>
      <c r="E2236" s="330" t="s">
        <v>4634</v>
      </c>
      <c r="F2236" s="331">
        <v>0.21</v>
      </c>
      <c r="G2236" s="332">
        <v>2837</v>
      </c>
      <c r="H2236" s="333">
        <v>3433</v>
      </c>
    </row>
    <row r="2237" spans="1:8">
      <c r="A2237" s="317">
        <v>1603124105</v>
      </c>
      <c r="B2237" s="317" t="s">
        <v>46605</v>
      </c>
      <c r="C2237" s="330" t="s">
        <v>8712</v>
      </c>
      <c r="D2237" s="330" t="s">
        <v>8713</v>
      </c>
      <c r="E2237" s="330" t="s">
        <v>4634</v>
      </c>
      <c r="F2237" s="331">
        <v>0.21</v>
      </c>
      <c r="G2237" s="332">
        <v>2748</v>
      </c>
      <c r="H2237" s="333">
        <v>3326</v>
      </c>
    </row>
    <row r="2238" spans="1:8">
      <c r="A2238" s="317">
        <v>1603124114</v>
      </c>
      <c r="B2238" s="317" t="s">
        <v>46606</v>
      </c>
      <c r="C2238" s="330" t="s">
        <v>8714</v>
      </c>
      <c r="D2238" s="330" t="s">
        <v>8715</v>
      </c>
      <c r="E2238" s="330" t="s">
        <v>4634</v>
      </c>
      <c r="F2238" s="331">
        <v>0.21</v>
      </c>
      <c r="G2238" s="332">
        <v>2098</v>
      </c>
      <c r="H2238" s="333">
        <v>2539</v>
      </c>
    </row>
    <row r="2239" spans="1:8">
      <c r="A2239" s="317">
        <v>1603129014</v>
      </c>
      <c r="B2239" s="317" t="s">
        <v>46607</v>
      </c>
      <c r="C2239" s="330" t="s">
        <v>8716</v>
      </c>
      <c r="D2239" s="330" t="s">
        <v>8670</v>
      </c>
      <c r="E2239" s="330" t="s">
        <v>4634</v>
      </c>
      <c r="F2239" s="331">
        <v>0.21</v>
      </c>
      <c r="G2239" s="332">
        <v>570</v>
      </c>
      <c r="H2239" s="333">
        <v>690</v>
      </c>
    </row>
    <row r="2240" spans="1:8">
      <c r="A2240" s="317">
        <v>1603201023</v>
      </c>
      <c r="B2240" s="317" t="s">
        <v>46608</v>
      </c>
      <c r="C2240" s="330" t="s">
        <v>8717</v>
      </c>
      <c r="D2240" s="330" t="s">
        <v>8718</v>
      </c>
      <c r="E2240" s="330" t="s">
        <v>4634</v>
      </c>
      <c r="F2240" s="331">
        <v>0.21</v>
      </c>
      <c r="G2240" s="332">
        <v>372</v>
      </c>
      <c r="H2240" s="333">
        <v>451</v>
      </c>
    </row>
    <row r="2241" spans="1:8">
      <c r="A2241" s="317">
        <v>1603231008</v>
      </c>
      <c r="B2241" s="317" t="s">
        <v>46609</v>
      </c>
      <c r="C2241" s="330" t="s">
        <v>8719</v>
      </c>
      <c r="D2241" s="330" t="s">
        <v>8720</v>
      </c>
      <c r="E2241" s="330" t="s">
        <v>4634</v>
      </c>
      <c r="F2241" s="331">
        <v>0.21</v>
      </c>
      <c r="G2241" s="332">
        <v>236</v>
      </c>
      <c r="H2241" s="333">
        <v>286</v>
      </c>
    </row>
    <row r="2242" spans="1:8">
      <c r="A2242" s="317">
        <v>1603231014</v>
      </c>
      <c r="B2242" s="317" t="s">
        <v>46610</v>
      </c>
      <c r="C2242" s="330" t="s">
        <v>8721</v>
      </c>
      <c r="D2242" s="330" t="s">
        <v>8722</v>
      </c>
      <c r="E2242" s="330" t="s">
        <v>4819</v>
      </c>
      <c r="F2242" s="331">
        <v>0.21</v>
      </c>
      <c r="G2242" s="332">
        <v>2478</v>
      </c>
      <c r="H2242" s="333">
        <v>2999</v>
      </c>
    </row>
    <row r="2243" spans="1:8">
      <c r="A2243" s="317">
        <v>1603231020</v>
      </c>
      <c r="B2243" s="317" t="s">
        <v>46611</v>
      </c>
      <c r="C2243" s="330" t="s">
        <v>8723</v>
      </c>
      <c r="D2243" s="330" t="s">
        <v>8724</v>
      </c>
      <c r="E2243" s="330" t="s">
        <v>4634</v>
      </c>
      <c r="F2243" s="331">
        <v>0.21</v>
      </c>
      <c r="G2243" s="332">
        <v>711</v>
      </c>
      <c r="H2243" s="333">
        <v>861</v>
      </c>
    </row>
    <row r="2244" spans="1:8">
      <c r="A2244" s="317">
        <v>1603231023</v>
      </c>
      <c r="B2244" s="317" t="s">
        <v>46612</v>
      </c>
      <c r="C2244" s="330" t="s">
        <v>8725</v>
      </c>
      <c r="D2244" s="330" t="s">
        <v>8726</v>
      </c>
      <c r="E2244" s="330" t="s">
        <v>4634</v>
      </c>
      <c r="F2244" s="331">
        <v>0.21</v>
      </c>
      <c r="G2244" s="332">
        <v>678</v>
      </c>
      <c r="H2244" s="333">
        <v>821</v>
      </c>
    </row>
    <row r="2245" spans="1:8">
      <c r="A2245" s="317">
        <v>1603300009</v>
      </c>
      <c r="B2245" s="317" t="s">
        <v>46613</v>
      </c>
      <c r="C2245" s="330" t="s">
        <v>8727</v>
      </c>
      <c r="D2245" s="330" t="s">
        <v>8728</v>
      </c>
      <c r="E2245" s="330" t="s">
        <v>4634</v>
      </c>
      <c r="F2245" s="331">
        <v>0.21</v>
      </c>
      <c r="G2245" s="332">
        <v>372</v>
      </c>
      <c r="H2245" s="333">
        <v>451</v>
      </c>
    </row>
    <row r="2246" spans="1:8">
      <c r="A2246" s="317">
        <v>1603300017</v>
      </c>
      <c r="B2246" s="317" t="s">
        <v>46614</v>
      </c>
      <c r="C2246" s="330" t="s">
        <v>8729</v>
      </c>
      <c r="D2246" s="330" t="s">
        <v>8730</v>
      </c>
      <c r="E2246" s="330" t="s">
        <v>4819</v>
      </c>
      <c r="F2246" s="331">
        <v>0.21</v>
      </c>
      <c r="G2246" s="332">
        <v>1610</v>
      </c>
      <c r="H2246" s="333">
        <v>1949</v>
      </c>
    </row>
    <row r="2247" spans="1:8">
      <c r="A2247" s="317">
        <v>1603300018</v>
      </c>
      <c r="B2247" s="317" t="s">
        <v>46615</v>
      </c>
      <c r="C2247" s="330" t="s">
        <v>8731</v>
      </c>
      <c r="D2247" s="330" t="s">
        <v>8732</v>
      </c>
      <c r="E2247" s="330" t="s">
        <v>4634</v>
      </c>
      <c r="F2247" s="331">
        <v>0.21</v>
      </c>
      <c r="G2247" s="332">
        <v>820</v>
      </c>
      <c r="H2247" s="333">
        <v>993</v>
      </c>
    </row>
    <row r="2248" spans="1:8">
      <c r="A2248" s="317">
        <v>1603339005</v>
      </c>
      <c r="B2248" s="317" t="s">
        <v>46616</v>
      </c>
      <c r="C2248" s="330" t="s">
        <v>8733</v>
      </c>
      <c r="D2248" s="330" t="s">
        <v>8734</v>
      </c>
      <c r="E2248" s="330" t="s">
        <v>37248</v>
      </c>
      <c r="F2248" s="331">
        <v>0.21</v>
      </c>
      <c r="G2248" s="332">
        <v>947</v>
      </c>
      <c r="H2248" s="333">
        <v>1146</v>
      </c>
    </row>
    <row r="2249" spans="1:8">
      <c r="A2249" s="317">
        <v>1603339006</v>
      </c>
      <c r="B2249" s="317" t="s">
        <v>46617</v>
      </c>
      <c r="C2249" s="330" t="s">
        <v>8735</v>
      </c>
      <c r="D2249" s="330" t="s">
        <v>8736</v>
      </c>
      <c r="E2249" s="330" t="s">
        <v>4634</v>
      </c>
      <c r="F2249" s="331">
        <v>0.21</v>
      </c>
      <c r="G2249" s="332">
        <v>1644</v>
      </c>
      <c r="H2249" s="333">
        <v>1990</v>
      </c>
    </row>
    <row r="2250" spans="1:8">
      <c r="A2250" s="317">
        <v>1603340027</v>
      </c>
      <c r="B2250" s="317" t="s">
        <v>46618</v>
      </c>
      <c r="C2250" s="330" t="s">
        <v>8737</v>
      </c>
      <c r="D2250" s="330" t="s">
        <v>8738</v>
      </c>
      <c r="E2250" s="330" t="s">
        <v>37248</v>
      </c>
      <c r="F2250" s="331">
        <v>0.21</v>
      </c>
      <c r="G2250" s="332">
        <v>43723</v>
      </c>
      <c r="H2250" s="333">
        <v>52905</v>
      </c>
    </row>
    <row r="2251" spans="1:8">
      <c r="A2251" s="317">
        <v>1603344024</v>
      </c>
      <c r="B2251" s="317" t="s">
        <v>46619</v>
      </c>
      <c r="C2251" s="330" t="s">
        <v>8739</v>
      </c>
      <c r="D2251" s="330" t="s">
        <v>8740</v>
      </c>
      <c r="E2251" s="330" t="s">
        <v>4634</v>
      </c>
      <c r="F2251" s="331">
        <v>0.21</v>
      </c>
      <c r="G2251" s="332">
        <v>5081</v>
      </c>
      <c r="H2251" s="333">
        <v>6149</v>
      </c>
    </row>
    <row r="2252" spans="1:8">
      <c r="A2252" s="317">
        <v>1603344029</v>
      </c>
      <c r="B2252" s="317" t="s">
        <v>46620</v>
      </c>
      <c r="C2252" s="330" t="s">
        <v>8741</v>
      </c>
      <c r="D2252" s="330" t="s">
        <v>8742</v>
      </c>
      <c r="E2252" s="330" t="s">
        <v>4634</v>
      </c>
      <c r="F2252" s="331">
        <v>0.21</v>
      </c>
      <c r="G2252" s="332">
        <v>18435</v>
      </c>
      <c r="H2252" s="333">
        <v>22307</v>
      </c>
    </row>
    <row r="2253" spans="1:8">
      <c r="A2253" s="317">
        <v>1603344050</v>
      </c>
      <c r="B2253" s="317" t="s">
        <v>46621</v>
      </c>
      <c r="C2253" s="330" t="s">
        <v>8743</v>
      </c>
      <c r="D2253" s="330" t="s">
        <v>8744</v>
      </c>
      <c r="E2253" s="330" t="s">
        <v>4634</v>
      </c>
      <c r="F2253" s="331">
        <v>0.21</v>
      </c>
      <c r="G2253" s="332">
        <v>87</v>
      </c>
      <c r="H2253" s="333">
        <v>106</v>
      </c>
    </row>
    <row r="2254" spans="1:8">
      <c r="A2254" s="317">
        <v>1603344051</v>
      </c>
      <c r="B2254" s="317" t="s">
        <v>46622</v>
      </c>
      <c r="C2254" s="330" t="s">
        <v>8745</v>
      </c>
      <c r="D2254" s="330" t="s">
        <v>6259</v>
      </c>
      <c r="E2254" s="330" t="s">
        <v>4634</v>
      </c>
      <c r="F2254" s="331">
        <v>0.21</v>
      </c>
      <c r="G2254" s="332">
        <v>657</v>
      </c>
      <c r="H2254" s="333">
        <v>795</v>
      </c>
    </row>
    <row r="2255" spans="1:8">
      <c r="A2255" s="317">
        <v>1603345042</v>
      </c>
      <c r="B2255" s="317" t="s">
        <v>46623</v>
      </c>
      <c r="C2255" s="330" t="s">
        <v>8746</v>
      </c>
      <c r="D2255" s="330" t="s">
        <v>8747</v>
      </c>
      <c r="E2255" s="330" t="s">
        <v>4634</v>
      </c>
      <c r="F2255" s="331">
        <v>0.21</v>
      </c>
      <c r="G2255" s="332">
        <v>1581</v>
      </c>
      <c r="H2255" s="333">
        <v>1914</v>
      </c>
    </row>
    <row r="2256" spans="1:8">
      <c r="A2256" s="317">
        <v>1603349010</v>
      </c>
      <c r="B2256" s="317" t="s">
        <v>46624</v>
      </c>
      <c r="C2256" s="330" t="s">
        <v>8748</v>
      </c>
      <c r="D2256" s="330" t="s">
        <v>8749</v>
      </c>
      <c r="E2256" s="330" t="s">
        <v>4634</v>
      </c>
      <c r="F2256" s="331">
        <v>0.21</v>
      </c>
      <c r="G2256" s="332">
        <v>4336</v>
      </c>
      <c r="H2256" s="333">
        <v>5247</v>
      </c>
    </row>
    <row r="2257" spans="1:8">
      <c r="A2257" s="317">
        <v>1603349014</v>
      </c>
      <c r="B2257" s="317" t="s">
        <v>46625</v>
      </c>
      <c r="C2257" s="330" t="s">
        <v>8750</v>
      </c>
      <c r="D2257" s="330" t="s">
        <v>8751</v>
      </c>
      <c r="E2257" s="330" t="s">
        <v>4634</v>
      </c>
      <c r="F2257" s="331">
        <v>0.21</v>
      </c>
      <c r="G2257" s="332">
        <v>648</v>
      </c>
      <c r="H2257" s="333">
        <v>785</v>
      </c>
    </row>
    <row r="2258" spans="1:8">
      <c r="A2258" s="317">
        <v>1603349017</v>
      </c>
      <c r="B2258" s="317" t="s">
        <v>46626</v>
      </c>
      <c r="C2258" s="330" t="s">
        <v>8752</v>
      </c>
      <c r="D2258" s="330" t="s">
        <v>8753</v>
      </c>
      <c r="E2258" s="330" t="s">
        <v>4634</v>
      </c>
      <c r="F2258" s="331">
        <v>0.21</v>
      </c>
      <c r="G2258" s="332">
        <v>24</v>
      </c>
      <c r="H2258" s="333">
        <v>30</v>
      </c>
    </row>
    <row r="2259" spans="1:8">
      <c r="A2259" s="317">
        <v>1603402002</v>
      </c>
      <c r="B2259" s="317" t="s">
        <v>46627</v>
      </c>
      <c r="C2259" s="330" t="s">
        <v>8754</v>
      </c>
      <c r="D2259" s="330" t="s">
        <v>8755</v>
      </c>
      <c r="E2259" s="330" t="s">
        <v>4634</v>
      </c>
      <c r="F2259" s="331">
        <v>0.21</v>
      </c>
      <c r="G2259" s="332">
        <v>309</v>
      </c>
      <c r="H2259" s="333">
        <v>374</v>
      </c>
    </row>
    <row r="2260" spans="1:8">
      <c r="A2260" s="317">
        <v>1603402004</v>
      </c>
      <c r="B2260" s="317" t="s">
        <v>46628</v>
      </c>
      <c r="C2260" s="330" t="s">
        <v>8756</v>
      </c>
      <c r="D2260" s="330" t="s">
        <v>8757</v>
      </c>
      <c r="E2260" s="330" t="s">
        <v>4634</v>
      </c>
      <c r="F2260" s="331">
        <v>0.21</v>
      </c>
      <c r="G2260" s="332">
        <v>490</v>
      </c>
      <c r="H2260" s="333">
        <v>593</v>
      </c>
    </row>
    <row r="2261" spans="1:8">
      <c r="A2261" s="317">
        <v>1603410014</v>
      </c>
      <c r="B2261" s="317" t="s">
        <v>46629</v>
      </c>
      <c r="C2261" s="330" t="s">
        <v>8758</v>
      </c>
      <c r="D2261" s="330" t="s">
        <v>8759</v>
      </c>
      <c r="E2261" s="330" t="s">
        <v>4634</v>
      </c>
      <c r="F2261" s="331">
        <v>0.21</v>
      </c>
      <c r="G2261" s="332">
        <v>309</v>
      </c>
      <c r="H2261" s="333">
        <v>374</v>
      </c>
    </row>
    <row r="2262" spans="1:8">
      <c r="A2262" s="317">
        <v>1603412005</v>
      </c>
      <c r="B2262" s="317" t="s">
        <v>46630</v>
      </c>
      <c r="C2262" s="330" t="s">
        <v>8760</v>
      </c>
      <c r="D2262" s="330" t="s">
        <v>8761</v>
      </c>
      <c r="E2262" s="330" t="s">
        <v>4634</v>
      </c>
      <c r="F2262" s="331">
        <v>0.21</v>
      </c>
      <c r="G2262" s="332">
        <v>254</v>
      </c>
      <c r="H2262" s="333">
        <v>308</v>
      </c>
    </row>
    <row r="2263" spans="1:8">
      <c r="A2263" s="317">
        <v>1603413005</v>
      </c>
      <c r="B2263" s="317" t="s">
        <v>46631</v>
      </c>
      <c r="C2263" s="330" t="s">
        <v>8762</v>
      </c>
      <c r="D2263" s="330" t="s">
        <v>7235</v>
      </c>
      <c r="E2263" s="330" t="s">
        <v>4634</v>
      </c>
      <c r="F2263" s="331">
        <v>0.21</v>
      </c>
      <c r="G2263" s="332">
        <v>963</v>
      </c>
      <c r="H2263" s="333">
        <v>1166</v>
      </c>
    </row>
    <row r="2264" spans="1:8">
      <c r="A2264" s="317">
        <v>1603414025</v>
      </c>
      <c r="B2264" s="317" t="s">
        <v>46632</v>
      </c>
      <c r="C2264" s="330" t="s">
        <v>8763</v>
      </c>
      <c r="D2264" s="330" t="s">
        <v>8764</v>
      </c>
      <c r="E2264" s="330" t="s">
        <v>4634</v>
      </c>
      <c r="F2264" s="331">
        <v>0.21</v>
      </c>
      <c r="G2264" s="332">
        <v>174</v>
      </c>
      <c r="H2264" s="333">
        <v>211</v>
      </c>
    </row>
    <row r="2265" spans="1:8">
      <c r="A2265" s="317">
        <v>1603414026</v>
      </c>
      <c r="B2265" s="317" t="s">
        <v>46633</v>
      </c>
      <c r="C2265" s="330" t="s">
        <v>8765</v>
      </c>
      <c r="D2265" s="330" t="s">
        <v>4658</v>
      </c>
      <c r="E2265" s="330" t="s">
        <v>37248</v>
      </c>
      <c r="F2265" s="331">
        <v>0.21</v>
      </c>
      <c r="G2265" s="332">
        <v>890</v>
      </c>
      <c r="H2265" s="333">
        <v>1077</v>
      </c>
    </row>
    <row r="2266" spans="1:8">
      <c r="A2266" s="317">
        <v>1603415004</v>
      </c>
      <c r="B2266" s="317" t="s">
        <v>46634</v>
      </c>
      <c r="C2266" s="330" t="s">
        <v>8766</v>
      </c>
      <c r="D2266" s="330" t="s">
        <v>8767</v>
      </c>
      <c r="E2266" s="330" t="s">
        <v>37248</v>
      </c>
      <c r="F2266" s="331">
        <v>0.21</v>
      </c>
      <c r="G2266" s="332">
        <v>435</v>
      </c>
      <c r="H2266" s="333">
        <v>527</v>
      </c>
    </row>
    <row r="2267" spans="1:8">
      <c r="A2267" s="317">
        <v>1603415005</v>
      </c>
      <c r="B2267" s="317" t="s">
        <v>46635</v>
      </c>
      <c r="C2267" s="330" t="s">
        <v>8768</v>
      </c>
      <c r="D2267" s="330" t="s">
        <v>8769</v>
      </c>
      <c r="E2267" s="330" t="s">
        <v>4634</v>
      </c>
      <c r="F2267" s="331">
        <v>0.21</v>
      </c>
      <c r="G2267" s="332">
        <v>426</v>
      </c>
      <c r="H2267" s="333">
        <v>516</v>
      </c>
    </row>
    <row r="2268" spans="1:8">
      <c r="A2268" s="317">
        <v>1603421003</v>
      </c>
      <c r="B2268" s="317" t="s">
        <v>46636</v>
      </c>
      <c r="C2268" s="330" t="s">
        <v>8770</v>
      </c>
      <c r="D2268" s="330" t="s">
        <v>8771</v>
      </c>
      <c r="E2268" s="330" t="s">
        <v>4634</v>
      </c>
      <c r="F2268" s="331">
        <v>0.21</v>
      </c>
      <c r="G2268" s="332">
        <v>274</v>
      </c>
      <c r="H2268" s="333">
        <v>332</v>
      </c>
    </row>
    <row r="2269" spans="1:8">
      <c r="A2269" s="317">
        <v>1603429000</v>
      </c>
      <c r="B2269" s="317" t="s">
        <v>46637</v>
      </c>
      <c r="C2269" s="330" t="s">
        <v>8772</v>
      </c>
      <c r="D2269" s="330" t="s">
        <v>8773</v>
      </c>
      <c r="E2269" s="330" t="s">
        <v>4634</v>
      </c>
      <c r="F2269" s="331">
        <v>0.21</v>
      </c>
      <c r="G2269" s="332">
        <v>580</v>
      </c>
      <c r="H2269" s="333">
        <v>702</v>
      </c>
    </row>
    <row r="2270" spans="1:8">
      <c r="A2270" s="317">
        <v>1603429001</v>
      </c>
      <c r="B2270" s="317" t="s">
        <v>46638</v>
      </c>
      <c r="C2270" s="330" t="s">
        <v>8774</v>
      </c>
      <c r="D2270" s="330" t="s">
        <v>8775</v>
      </c>
      <c r="E2270" s="330" t="s">
        <v>4634</v>
      </c>
      <c r="F2270" s="331">
        <v>0.21</v>
      </c>
      <c r="G2270" s="332">
        <v>153</v>
      </c>
      <c r="H2270" s="333">
        <v>186</v>
      </c>
    </row>
    <row r="2271" spans="1:8">
      <c r="A2271" s="317" t="s">
        <v>38670</v>
      </c>
      <c r="B2271" s="317" t="s">
        <v>46639</v>
      </c>
      <c r="C2271" s="330" t="s">
        <v>8776</v>
      </c>
      <c r="D2271" s="330" t="s">
        <v>8777</v>
      </c>
      <c r="E2271" s="330" t="s">
        <v>4819</v>
      </c>
      <c r="F2271" s="331">
        <v>0.21</v>
      </c>
      <c r="G2271" s="332">
        <v>184</v>
      </c>
      <c r="H2271" s="333">
        <v>223</v>
      </c>
    </row>
    <row r="2272" spans="1:8">
      <c r="A2272" s="317" t="s">
        <v>38671</v>
      </c>
      <c r="B2272" s="317" t="s">
        <v>46640</v>
      </c>
      <c r="C2272" s="330" t="s">
        <v>8778</v>
      </c>
      <c r="D2272" s="330" t="s">
        <v>8779</v>
      </c>
      <c r="E2272" s="330" t="s">
        <v>4819</v>
      </c>
      <c r="F2272" s="331">
        <v>0.21</v>
      </c>
      <c r="G2272" s="332">
        <v>579</v>
      </c>
      <c r="H2272" s="333">
        <v>701</v>
      </c>
    </row>
    <row r="2273" spans="1:8">
      <c r="A2273" s="317" t="s">
        <v>38672</v>
      </c>
      <c r="B2273" s="317" t="s">
        <v>46641</v>
      </c>
      <c r="C2273" s="330" t="s">
        <v>8780</v>
      </c>
      <c r="D2273" s="330" t="s">
        <v>8779</v>
      </c>
      <c r="E2273" s="330" t="s">
        <v>4634</v>
      </c>
      <c r="F2273" s="331">
        <v>0.21</v>
      </c>
      <c r="G2273" s="332">
        <v>836</v>
      </c>
      <c r="H2273" s="333">
        <v>1012</v>
      </c>
    </row>
    <row r="2274" spans="1:8">
      <c r="A2274" s="317" t="s">
        <v>38673</v>
      </c>
      <c r="B2274" s="317" t="s">
        <v>46642</v>
      </c>
      <c r="C2274" s="330" t="s">
        <v>8781</v>
      </c>
      <c r="D2274" s="330" t="s">
        <v>8779</v>
      </c>
      <c r="E2274" s="330" t="s">
        <v>4634</v>
      </c>
      <c r="F2274" s="331">
        <v>0.21</v>
      </c>
      <c r="G2274" s="332">
        <v>1818</v>
      </c>
      <c r="H2274" s="333">
        <v>2200</v>
      </c>
    </row>
    <row r="2275" spans="1:8">
      <c r="A2275" s="317" t="s">
        <v>38674</v>
      </c>
      <c r="B2275" s="317" t="s">
        <v>46643</v>
      </c>
      <c r="C2275" s="330" t="s">
        <v>8782</v>
      </c>
      <c r="D2275" s="330" t="s">
        <v>8783</v>
      </c>
      <c r="E2275" s="330" t="s">
        <v>4819</v>
      </c>
      <c r="F2275" s="331">
        <v>0.21</v>
      </c>
      <c r="G2275" s="332">
        <v>890</v>
      </c>
      <c r="H2275" s="333">
        <v>1077</v>
      </c>
    </row>
    <row r="2276" spans="1:8">
      <c r="A2276" s="317" t="s">
        <v>38675</v>
      </c>
      <c r="B2276" s="317" t="s">
        <v>46644</v>
      </c>
      <c r="C2276" s="330" t="s">
        <v>8784</v>
      </c>
      <c r="D2276" s="330" t="s">
        <v>8785</v>
      </c>
      <c r="E2276" s="330" t="s">
        <v>37248</v>
      </c>
      <c r="F2276" s="331">
        <v>0.21</v>
      </c>
      <c r="G2276" s="332">
        <v>910</v>
      </c>
      <c r="H2276" s="333">
        <v>1102</v>
      </c>
    </row>
    <row r="2277" spans="1:8">
      <c r="A2277" s="317" t="s">
        <v>38676</v>
      </c>
      <c r="B2277" s="317" t="s">
        <v>46645</v>
      </c>
      <c r="C2277" s="330" t="s">
        <v>8786</v>
      </c>
      <c r="D2277" s="330" t="s">
        <v>8787</v>
      </c>
      <c r="E2277" s="330" t="s">
        <v>37248</v>
      </c>
      <c r="F2277" s="331">
        <v>0.21</v>
      </c>
      <c r="G2277" s="332">
        <v>910</v>
      </c>
      <c r="H2277" s="333">
        <v>1102</v>
      </c>
    </row>
    <row r="2278" spans="1:8">
      <c r="A2278" s="317" t="s">
        <v>38677</v>
      </c>
      <c r="B2278" s="317" t="s">
        <v>46646</v>
      </c>
      <c r="C2278" s="330" t="s">
        <v>8788</v>
      </c>
      <c r="D2278" s="330" t="s">
        <v>8789</v>
      </c>
      <c r="E2278" s="330" t="s">
        <v>37248</v>
      </c>
      <c r="F2278" s="331">
        <v>0.21</v>
      </c>
      <c r="G2278" s="332">
        <v>919</v>
      </c>
      <c r="H2278" s="333">
        <v>1112</v>
      </c>
    </row>
    <row r="2279" spans="1:8">
      <c r="A2279" s="317">
        <v>160343001</v>
      </c>
      <c r="B2279" s="317" t="s">
        <v>46647</v>
      </c>
      <c r="C2279" s="330" t="s">
        <v>8790</v>
      </c>
      <c r="D2279" s="330" t="s">
        <v>8787</v>
      </c>
      <c r="E2279" s="330" t="s">
        <v>37248</v>
      </c>
      <c r="F2279" s="331">
        <v>0.21</v>
      </c>
      <c r="G2279" s="332">
        <v>919</v>
      </c>
      <c r="H2279" s="333">
        <v>1112</v>
      </c>
    </row>
    <row r="2280" spans="1:8">
      <c r="A2280" s="317" t="s">
        <v>38678</v>
      </c>
      <c r="B2280" s="317" t="s">
        <v>46648</v>
      </c>
      <c r="C2280" s="330" t="s">
        <v>8791</v>
      </c>
      <c r="D2280" s="330" t="s">
        <v>5342</v>
      </c>
      <c r="E2280" s="330" t="s">
        <v>4819</v>
      </c>
      <c r="F2280" s="331">
        <v>0.21</v>
      </c>
      <c r="G2280" s="332">
        <v>410</v>
      </c>
      <c r="H2280" s="333">
        <v>497</v>
      </c>
    </row>
    <row r="2281" spans="1:8">
      <c r="A2281" s="317" t="s">
        <v>38679</v>
      </c>
      <c r="B2281" s="317" t="s">
        <v>46649</v>
      </c>
      <c r="C2281" s="330" t="s">
        <v>8792</v>
      </c>
      <c r="D2281" s="330" t="s">
        <v>5342</v>
      </c>
      <c r="E2281" s="330" t="s">
        <v>4819</v>
      </c>
      <c r="F2281" s="331">
        <v>0.21</v>
      </c>
      <c r="G2281" s="332">
        <v>579</v>
      </c>
      <c r="H2281" s="333">
        <v>701</v>
      </c>
    </row>
    <row r="2282" spans="1:8">
      <c r="A2282" s="317" t="s">
        <v>38680</v>
      </c>
      <c r="B2282" s="317" t="s">
        <v>46650</v>
      </c>
      <c r="C2282" s="330" t="s">
        <v>8793</v>
      </c>
      <c r="D2282" s="330" t="s">
        <v>5342</v>
      </c>
      <c r="E2282" s="330" t="s">
        <v>4819</v>
      </c>
      <c r="F2282" s="331">
        <v>0.21</v>
      </c>
      <c r="G2282" s="332">
        <v>919</v>
      </c>
      <c r="H2282" s="333">
        <v>1112</v>
      </c>
    </row>
    <row r="2283" spans="1:8">
      <c r="A2283" s="317" t="s">
        <v>38681</v>
      </c>
      <c r="B2283" s="317" t="s">
        <v>46651</v>
      </c>
      <c r="C2283" s="330" t="s">
        <v>8794</v>
      </c>
      <c r="D2283" s="330" t="s">
        <v>5342</v>
      </c>
      <c r="E2283" s="330" t="s">
        <v>4819</v>
      </c>
      <c r="F2283" s="331">
        <v>0.21</v>
      </c>
      <c r="G2283" s="332">
        <v>653</v>
      </c>
      <c r="H2283" s="333">
        <v>791</v>
      </c>
    </row>
    <row r="2284" spans="1:8">
      <c r="A2284" s="317" t="s">
        <v>38682</v>
      </c>
      <c r="B2284" s="317" t="s">
        <v>46652</v>
      </c>
      <c r="C2284" s="330" t="s">
        <v>8795</v>
      </c>
      <c r="D2284" s="330" t="s">
        <v>5342</v>
      </c>
      <c r="E2284" s="330" t="s">
        <v>4819</v>
      </c>
      <c r="F2284" s="331">
        <v>0.21</v>
      </c>
      <c r="G2284" s="332">
        <v>675</v>
      </c>
      <c r="H2284" s="333">
        <v>817</v>
      </c>
    </row>
    <row r="2285" spans="1:8">
      <c r="A2285" s="317" t="s">
        <v>38683</v>
      </c>
      <c r="B2285" s="317" t="s">
        <v>46653</v>
      </c>
      <c r="C2285" s="330" t="s">
        <v>8796</v>
      </c>
      <c r="D2285" s="330" t="s">
        <v>5342</v>
      </c>
      <c r="E2285" s="330" t="s">
        <v>37248</v>
      </c>
      <c r="F2285" s="331">
        <v>0.21</v>
      </c>
      <c r="G2285" s="332">
        <v>2616</v>
      </c>
      <c r="H2285" s="333">
        <v>3166</v>
      </c>
    </row>
    <row r="2286" spans="1:8">
      <c r="A2286" s="317" t="s">
        <v>38684</v>
      </c>
      <c r="B2286" s="317" t="s">
        <v>46654</v>
      </c>
      <c r="C2286" s="330" t="s">
        <v>8797</v>
      </c>
      <c r="D2286" s="330" t="s">
        <v>5342</v>
      </c>
      <c r="E2286" s="330" t="s">
        <v>4819</v>
      </c>
      <c r="F2286" s="331">
        <v>0.21</v>
      </c>
      <c r="G2286" s="332">
        <v>658</v>
      </c>
      <c r="H2286" s="333">
        <v>797</v>
      </c>
    </row>
    <row r="2287" spans="1:8">
      <c r="A2287" s="317" t="s">
        <v>38685</v>
      </c>
      <c r="B2287" s="317" t="s">
        <v>46655</v>
      </c>
      <c r="C2287" s="330" t="s">
        <v>8798</v>
      </c>
      <c r="D2287" s="330" t="s">
        <v>8799</v>
      </c>
      <c r="E2287" s="330" t="s">
        <v>4819</v>
      </c>
      <c r="F2287" s="331">
        <v>0.21</v>
      </c>
      <c r="G2287" s="332">
        <v>318</v>
      </c>
      <c r="H2287" s="333">
        <v>385</v>
      </c>
    </row>
    <row r="2288" spans="1:8">
      <c r="A2288" s="317" t="s">
        <v>38686</v>
      </c>
      <c r="B2288" s="317" t="s">
        <v>46656</v>
      </c>
      <c r="C2288" s="330" t="s">
        <v>8800</v>
      </c>
      <c r="D2288" s="330" t="s">
        <v>8799</v>
      </c>
      <c r="E2288" s="330" t="s">
        <v>4819</v>
      </c>
      <c r="F2288" s="331">
        <v>0.21</v>
      </c>
      <c r="G2288" s="332">
        <v>240</v>
      </c>
      <c r="H2288" s="333">
        <v>291</v>
      </c>
    </row>
    <row r="2289" spans="1:8">
      <c r="A2289" s="317" t="s">
        <v>38687</v>
      </c>
      <c r="B2289" s="317" t="s">
        <v>46657</v>
      </c>
      <c r="C2289" s="330" t="s">
        <v>8801</v>
      </c>
      <c r="D2289" s="330" t="s">
        <v>8802</v>
      </c>
      <c r="E2289" s="330" t="s">
        <v>4819</v>
      </c>
      <c r="F2289" s="331">
        <v>0.21</v>
      </c>
      <c r="G2289" s="332">
        <v>479</v>
      </c>
      <c r="H2289" s="333">
        <v>580</v>
      </c>
    </row>
    <row r="2290" spans="1:8">
      <c r="A2290" s="317" t="s">
        <v>38688</v>
      </c>
      <c r="B2290" s="317" t="s">
        <v>46658</v>
      </c>
      <c r="C2290" s="330" t="s">
        <v>8803</v>
      </c>
      <c r="D2290" s="330" t="s">
        <v>7653</v>
      </c>
      <c r="E2290" s="330" t="s">
        <v>37248</v>
      </c>
      <c r="F2290" s="331">
        <v>0.21</v>
      </c>
      <c r="G2290" s="332">
        <v>240</v>
      </c>
      <c r="H2290" s="333">
        <v>291</v>
      </c>
    </row>
    <row r="2291" spans="1:8">
      <c r="A2291" s="317" t="s">
        <v>38689</v>
      </c>
      <c r="B2291" s="317" t="s">
        <v>46659</v>
      </c>
      <c r="C2291" s="330" t="s">
        <v>8804</v>
      </c>
      <c r="D2291" s="330" t="s">
        <v>8805</v>
      </c>
      <c r="E2291" s="330" t="s">
        <v>4819</v>
      </c>
      <c r="F2291" s="331">
        <v>0.21</v>
      </c>
      <c r="G2291" s="332">
        <v>919</v>
      </c>
      <c r="H2291" s="333">
        <v>1112</v>
      </c>
    </row>
    <row r="2292" spans="1:8">
      <c r="A2292" s="317" t="s">
        <v>38690</v>
      </c>
      <c r="B2292" s="317" t="s">
        <v>46660</v>
      </c>
      <c r="C2292" s="330" t="s">
        <v>8806</v>
      </c>
      <c r="D2292" s="330" t="s">
        <v>8805</v>
      </c>
      <c r="E2292" s="330" t="s">
        <v>4819</v>
      </c>
      <c r="F2292" s="331">
        <v>0.21</v>
      </c>
      <c r="G2292" s="332">
        <v>1115</v>
      </c>
      <c r="H2292" s="333">
        <v>1350</v>
      </c>
    </row>
    <row r="2293" spans="1:8">
      <c r="A2293" s="317">
        <v>1603430046</v>
      </c>
      <c r="B2293" s="317" t="s">
        <v>46661</v>
      </c>
      <c r="C2293" s="330" t="s">
        <v>8807</v>
      </c>
      <c r="D2293" s="330" t="s">
        <v>8808</v>
      </c>
      <c r="E2293" s="330" t="s">
        <v>37248</v>
      </c>
      <c r="F2293" s="331">
        <v>0.21</v>
      </c>
      <c r="G2293" s="332">
        <v>1360</v>
      </c>
      <c r="H2293" s="333">
        <v>1646</v>
      </c>
    </row>
    <row r="2294" spans="1:8">
      <c r="A2294" s="317" t="s">
        <v>38691</v>
      </c>
      <c r="B2294" s="317" t="s">
        <v>46662</v>
      </c>
      <c r="C2294" s="330" t="s">
        <v>8809</v>
      </c>
      <c r="D2294" s="330" t="s">
        <v>7653</v>
      </c>
      <c r="E2294" s="330" t="s">
        <v>37248</v>
      </c>
      <c r="F2294" s="331">
        <v>0.21</v>
      </c>
      <c r="G2294" s="332">
        <v>305</v>
      </c>
      <c r="H2294" s="333">
        <v>370</v>
      </c>
    </row>
    <row r="2295" spans="1:8">
      <c r="A2295" s="317" t="s">
        <v>38692</v>
      </c>
      <c r="B2295" s="317" t="s">
        <v>46663</v>
      </c>
      <c r="C2295" s="330" t="s">
        <v>8810</v>
      </c>
      <c r="D2295" s="330" t="s">
        <v>7235</v>
      </c>
      <c r="E2295" s="330" t="s">
        <v>37248</v>
      </c>
      <c r="F2295" s="331">
        <v>0.21</v>
      </c>
      <c r="G2295" s="332">
        <v>9458</v>
      </c>
      <c r="H2295" s="333">
        <v>11445</v>
      </c>
    </row>
    <row r="2296" spans="1:8">
      <c r="A2296" s="317" t="s">
        <v>38693</v>
      </c>
      <c r="B2296" s="317" t="s">
        <v>46664</v>
      </c>
      <c r="C2296" s="330" t="s">
        <v>8811</v>
      </c>
      <c r="D2296" s="330" t="s">
        <v>7653</v>
      </c>
      <c r="E2296" s="330" t="s">
        <v>37248</v>
      </c>
      <c r="F2296" s="331">
        <v>0.21</v>
      </c>
      <c r="G2296" s="332">
        <v>976</v>
      </c>
      <c r="H2296" s="333">
        <v>1181</v>
      </c>
    </row>
    <row r="2297" spans="1:8">
      <c r="A2297" s="317" t="s">
        <v>38694</v>
      </c>
      <c r="B2297" s="317" t="s">
        <v>46665</v>
      </c>
      <c r="C2297" s="330" t="s">
        <v>8812</v>
      </c>
      <c r="D2297" s="330" t="s">
        <v>7653</v>
      </c>
      <c r="E2297" s="330" t="s">
        <v>37248</v>
      </c>
      <c r="F2297" s="331">
        <v>0.21</v>
      </c>
      <c r="G2297" s="332">
        <v>976</v>
      </c>
      <c r="H2297" s="333">
        <v>1181</v>
      </c>
    </row>
    <row r="2298" spans="1:8">
      <c r="A2298" s="317" t="s">
        <v>38695</v>
      </c>
      <c r="B2298" s="317" t="s">
        <v>46666</v>
      </c>
      <c r="C2298" s="330" t="s">
        <v>8813</v>
      </c>
      <c r="D2298" s="330" t="s">
        <v>7653</v>
      </c>
      <c r="E2298" s="330" t="s">
        <v>37248</v>
      </c>
      <c r="F2298" s="331">
        <v>0.21</v>
      </c>
      <c r="G2298" s="332">
        <v>976</v>
      </c>
      <c r="H2298" s="333">
        <v>1181</v>
      </c>
    </row>
    <row r="2299" spans="1:8">
      <c r="A2299" s="317" t="s">
        <v>38696</v>
      </c>
      <c r="B2299" s="317" t="s">
        <v>46667</v>
      </c>
      <c r="C2299" s="330" t="s">
        <v>8814</v>
      </c>
      <c r="D2299" s="330" t="s">
        <v>7653</v>
      </c>
      <c r="E2299" s="330" t="s">
        <v>37248</v>
      </c>
      <c r="F2299" s="331">
        <v>0.21</v>
      </c>
      <c r="G2299" s="332">
        <v>976</v>
      </c>
      <c r="H2299" s="333">
        <v>1181</v>
      </c>
    </row>
    <row r="2300" spans="1:8">
      <c r="A2300" s="317">
        <v>1603430090</v>
      </c>
      <c r="B2300" s="317" t="s">
        <v>46668</v>
      </c>
      <c r="C2300" s="330" t="s">
        <v>8815</v>
      </c>
      <c r="D2300" s="330" t="s">
        <v>7653</v>
      </c>
      <c r="E2300" s="330" t="s">
        <v>37248</v>
      </c>
      <c r="F2300" s="331">
        <v>0.21</v>
      </c>
      <c r="G2300" s="332">
        <v>976</v>
      </c>
      <c r="H2300" s="333">
        <v>1181</v>
      </c>
    </row>
    <row r="2301" spans="1:8">
      <c r="A2301" s="317">
        <v>1603430091</v>
      </c>
      <c r="B2301" s="317" t="s">
        <v>46669</v>
      </c>
      <c r="C2301" s="330" t="s">
        <v>8816</v>
      </c>
      <c r="D2301" s="330" t="s">
        <v>7653</v>
      </c>
      <c r="E2301" s="330" t="s">
        <v>37248</v>
      </c>
      <c r="F2301" s="331">
        <v>0.21</v>
      </c>
      <c r="G2301" s="332">
        <v>976</v>
      </c>
      <c r="H2301" s="333">
        <v>1181</v>
      </c>
    </row>
    <row r="2302" spans="1:8">
      <c r="A2302" s="317">
        <v>1603430092</v>
      </c>
      <c r="B2302" s="317" t="s">
        <v>46670</v>
      </c>
      <c r="C2302" s="330" t="s">
        <v>8817</v>
      </c>
      <c r="D2302" s="330" t="s">
        <v>7653</v>
      </c>
      <c r="E2302" s="330" t="s">
        <v>37248</v>
      </c>
      <c r="F2302" s="331">
        <v>0.21</v>
      </c>
      <c r="G2302" s="332">
        <v>976</v>
      </c>
      <c r="H2302" s="333">
        <v>1181</v>
      </c>
    </row>
    <row r="2303" spans="1:8">
      <c r="A2303" s="317">
        <v>1603430093</v>
      </c>
      <c r="B2303" s="317" t="s">
        <v>46671</v>
      </c>
      <c r="C2303" s="330" t="s">
        <v>8818</v>
      </c>
      <c r="D2303" s="330" t="s">
        <v>7653</v>
      </c>
      <c r="E2303" s="330" t="s">
        <v>37248</v>
      </c>
      <c r="F2303" s="331">
        <v>0.21</v>
      </c>
      <c r="G2303" s="332">
        <v>976</v>
      </c>
      <c r="H2303" s="333">
        <v>1181</v>
      </c>
    </row>
    <row r="2304" spans="1:8">
      <c r="A2304" s="317">
        <v>1603430094</v>
      </c>
      <c r="B2304" s="317" t="s">
        <v>46672</v>
      </c>
      <c r="C2304" s="330" t="s">
        <v>8819</v>
      </c>
      <c r="D2304" s="330" t="s">
        <v>7653</v>
      </c>
      <c r="E2304" s="330" t="s">
        <v>37248</v>
      </c>
      <c r="F2304" s="331">
        <v>0.21</v>
      </c>
      <c r="G2304" s="332">
        <v>976</v>
      </c>
      <c r="H2304" s="333">
        <v>1181</v>
      </c>
    </row>
    <row r="2305" spans="1:8">
      <c r="A2305" s="317">
        <v>1603430095</v>
      </c>
      <c r="B2305" s="317" t="s">
        <v>46673</v>
      </c>
      <c r="C2305" s="330" t="s">
        <v>8820</v>
      </c>
      <c r="D2305" s="330" t="s">
        <v>7653</v>
      </c>
      <c r="E2305" s="330" t="s">
        <v>37248</v>
      </c>
      <c r="F2305" s="331">
        <v>0.21</v>
      </c>
      <c r="G2305" s="332">
        <v>976</v>
      </c>
      <c r="H2305" s="333">
        <v>1181</v>
      </c>
    </row>
    <row r="2306" spans="1:8">
      <c r="A2306" s="317">
        <v>1603430096</v>
      </c>
      <c r="B2306" s="317" t="s">
        <v>46674</v>
      </c>
      <c r="C2306" s="330" t="s">
        <v>8821</v>
      </c>
      <c r="D2306" s="330" t="s">
        <v>7653</v>
      </c>
      <c r="E2306" s="330" t="s">
        <v>37248</v>
      </c>
      <c r="F2306" s="331">
        <v>0.21</v>
      </c>
      <c r="G2306" s="332">
        <v>976</v>
      </c>
      <c r="H2306" s="333">
        <v>1181</v>
      </c>
    </row>
    <row r="2307" spans="1:8">
      <c r="A2307" s="317">
        <v>1603430097</v>
      </c>
      <c r="B2307" s="317" t="s">
        <v>46675</v>
      </c>
      <c r="C2307" s="330" t="s">
        <v>8822</v>
      </c>
      <c r="D2307" s="330" t="s">
        <v>7653</v>
      </c>
      <c r="E2307" s="330" t="s">
        <v>37248</v>
      </c>
      <c r="F2307" s="331">
        <v>0.21</v>
      </c>
      <c r="G2307" s="332">
        <v>976</v>
      </c>
      <c r="H2307" s="333">
        <v>1181</v>
      </c>
    </row>
    <row r="2308" spans="1:8">
      <c r="A2308" s="317">
        <v>1603430098</v>
      </c>
      <c r="B2308" s="317" t="s">
        <v>46676</v>
      </c>
      <c r="C2308" s="330" t="s">
        <v>8823</v>
      </c>
      <c r="D2308" s="330" t="s">
        <v>7653</v>
      </c>
      <c r="E2308" s="330" t="s">
        <v>37248</v>
      </c>
      <c r="F2308" s="331">
        <v>0.21</v>
      </c>
      <c r="G2308" s="332">
        <v>976</v>
      </c>
      <c r="H2308" s="333">
        <v>1181</v>
      </c>
    </row>
    <row r="2309" spans="1:8">
      <c r="A2309" s="317">
        <v>1603430099</v>
      </c>
      <c r="B2309" s="317" t="s">
        <v>46677</v>
      </c>
      <c r="C2309" s="330" t="s">
        <v>8824</v>
      </c>
      <c r="D2309" s="330" t="s">
        <v>7653</v>
      </c>
      <c r="E2309" s="330" t="s">
        <v>37248</v>
      </c>
      <c r="F2309" s="331">
        <v>0.21</v>
      </c>
      <c r="G2309" s="332">
        <v>976</v>
      </c>
      <c r="H2309" s="333">
        <v>1181</v>
      </c>
    </row>
    <row r="2310" spans="1:8">
      <c r="A2310" s="317" t="s">
        <v>38697</v>
      </c>
      <c r="B2310" s="317" t="s">
        <v>46678</v>
      </c>
      <c r="C2310" s="330" t="s">
        <v>8825</v>
      </c>
      <c r="D2310" s="330" t="s">
        <v>7653</v>
      </c>
      <c r="E2310" s="330" t="s">
        <v>37248</v>
      </c>
      <c r="F2310" s="331">
        <v>0.21</v>
      </c>
      <c r="G2310" s="332">
        <v>976</v>
      </c>
      <c r="H2310" s="333">
        <v>1181</v>
      </c>
    </row>
    <row r="2311" spans="1:8">
      <c r="A2311" s="317" t="s">
        <v>38698</v>
      </c>
      <c r="B2311" s="317" t="s">
        <v>46679</v>
      </c>
      <c r="C2311" s="330" t="s">
        <v>8826</v>
      </c>
      <c r="D2311" s="330" t="s">
        <v>7653</v>
      </c>
      <c r="E2311" s="330" t="s">
        <v>37248</v>
      </c>
      <c r="F2311" s="331">
        <v>0.21</v>
      </c>
      <c r="G2311" s="332">
        <v>976</v>
      </c>
      <c r="H2311" s="333">
        <v>1181</v>
      </c>
    </row>
    <row r="2312" spans="1:8">
      <c r="A2312" s="317" t="s">
        <v>38699</v>
      </c>
      <c r="B2312" s="317" t="s">
        <v>46680</v>
      </c>
      <c r="C2312" s="330" t="s">
        <v>8827</v>
      </c>
      <c r="D2312" s="330" t="s">
        <v>7653</v>
      </c>
      <c r="E2312" s="330" t="s">
        <v>37248</v>
      </c>
      <c r="F2312" s="331">
        <v>0.21</v>
      </c>
      <c r="G2312" s="332">
        <v>976</v>
      </c>
      <c r="H2312" s="333">
        <v>1181</v>
      </c>
    </row>
    <row r="2313" spans="1:8">
      <c r="A2313" s="317" t="s">
        <v>38700</v>
      </c>
      <c r="B2313" s="317" t="s">
        <v>46681</v>
      </c>
      <c r="C2313" s="330" t="s">
        <v>8828</v>
      </c>
      <c r="D2313" s="330" t="s">
        <v>7653</v>
      </c>
      <c r="E2313" s="330" t="s">
        <v>37248</v>
      </c>
      <c r="F2313" s="331">
        <v>0.21</v>
      </c>
      <c r="G2313" s="332">
        <v>976</v>
      </c>
      <c r="H2313" s="333">
        <v>1181</v>
      </c>
    </row>
    <row r="2314" spans="1:8">
      <c r="A2314" s="317">
        <v>160343009</v>
      </c>
      <c r="B2314" s="317" t="s">
        <v>46682</v>
      </c>
      <c r="C2314" s="330" t="s">
        <v>8829</v>
      </c>
      <c r="D2314" s="330" t="s">
        <v>7653</v>
      </c>
      <c r="E2314" s="330" t="s">
        <v>37248</v>
      </c>
      <c r="F2314" s="331">
        <v>0.21</v>
      </c>
      <c r="G2314" s="332">
        <v>976</v>
      </c>
      <c r="H2314" s="333">
        <v>1181</v>
      </c>
    </row>
    <row r="2315" spans="1:8">
      <c r="A2315" s="317" t="s">
        <v>38701</v>
      </c>
      <c r="B2315" s="317" t="s">
        <v>46683</v>
      </c>
      <c r="C2315" s="330" t="s">
        <v>8830</v>
      </c>
      <c r="D2315" s="330" t="s">
        <v>7653</v>
      </c>
      <c r="E2315" s="330" t="s">
        <v>37248</v>
      </c>
      <c r="F2315" s="331">
        <v>0.21</v>
      </c>
      <c r="G2315" s="332">
        <v>976</v>
      </c>
      <c r="H2315" s="333">
        <v>1181</v>
      </c>
    </row>
    <row r="2316" spans="1:8">
      <c r="A2316" s="317" t="s">
        <v>38702</v>
      </c>
      <c r="B2316" s="317" t="s">
        <v>46684</v>
      </c>
      <c r="C2316" s="330" t="s">
        <v>8831</v>
      </c>
      <c r="D2316" s="330" t="s">
        <v>7653</v>
      </c>
      <c r="E2316" s="330" t="s">
        <v>37248</v>
      </c>
      <c r="F2316" s="331">
        <v>0.21</v>
      </c>
      <c r="G2316" s="332">
        <v>976</v>
      </c>
      <c r="H2316" s="333">
        <v>1181</v>
      </c>
    </row>
    <row r="2317" spans="1:8">
      <c r="A2317" s="317" t="s">
        <v>38703</v>
      </c>
      <c r="B2317" s="317" t="s">
        <v>46685</v>
      </c>
      <c r="C2317" s="330" t="s">
        <v>8832</v>
      </c>
      <c r="D2317" s="330" t="s">
        <v>7653</v>
      </c>
      <c r="E2317" s="330" t="s">
        <v>37248</v>
      </c>
      <c r="F2317" s="331">
        <v>0.21</v>
      </c>
      <c r="G2317" s="332">
        <v>976</v>
      </c>
      <c r="H2317" s="333">
        <v>1181</v>
      </c>
    </row>
    <row r="2318" spans="1:8">
      <c r="A2318" s="317" t="s">
        <v>38704</v>
      </c>
      <c r="B2318" s="317" t="s">
        <v>46686</v>
      </c>
      <c r="C2318" s="330" t="s">
        <v>8833</v>
      </c>
      <c r="D2318" s="330" t="s">
        <v>7653</v>
      </c>
      <c r="E2318" s="330" t="s">
        <v>37248</v>
      </c>
      <c r="F2318" s="331">
        <v>0.21</v>
      </c>
      <c r="G2318" s="332">
        <v>976</v>
      </c>
      <c r="H2318" s="333">
        <v>1181</v>
      </c>
    </row>
    <row r="2319" spans="1:8">
      <c r="A2319" s="317" t="s">
        <v>38705</v>
      </c>
      <c r="B2319" s="317" t="s">
        <v>46687</v>
      </c>
      <c r="C2319" s="330" t="s">
        <v>8834</v>
      </c>
      <c r="D2319" s="330" t="s">
        <v>7653</v>
      </c>
      <c r="E2319" s="330" t="s">
        <v>37248</v>
      </c>
      <c r="F2319" s="331">
        <v>0.21</v>
      </c>
      <c r="G2319" s="332">
        <v>976</v>
      </c>
      <c r="H2319" s="333">
        <v>1181</v>
      </c>
    </row>
    <row r="2320" spans="1:8">
      <c r="A2320" s="317" t="s">
        <v>38706</v>
      </c>
      <c r="B2320" s="317" t="s">
        <v>46688</v>
      </c>
      <c r="C2320" s="330" t="s">
        <v>8835</v>
      </c>
      <c r="D2320" s="330" t="s">
        <v>7653</v>
      </c>
      <c r="E2320" s="330" t="s">
        <v>37248</v>
      </c>
      <c r="F2320" s="331">
        <v>0.21</v>
      </c>
      <c r="G2320" s="332">
        <v>976</v>
      </c>
      <c r="H2320" s="333">
        <v>1181</v>
      </c>
    </row>
    <row r="2321" spans="1:8">
      <c r="A2321" s="317" t="s">
        <v>38707</v>
      </c>
      <c r="B2321" s="317" t="s">
        <v>46689</v>
      </c>
      <c r="C2321" s="330" t="s">
        <v>8836</v>
      </c>
      <c r="D2321" s="330" t="s">
        <v>7653</v>
      </c>
      <c r="E2321" s="330" t="s">
        <v>37248</v>
      </c>
      <c r="F2321" s="331">
        <v>0.21</v>
      </c>
      <c r="G2321" s="332">
        <v>976</v>
      </c>
      <c r="H2321" s="333">
        <v>1181</v>
      </c>
    </row>
    <row r="2322" spans="1:8">
      <c r="A2322" s="317" t="s">
        <v>38708</v>
      </c>
      <c r="B2322" s="317" t="s">
        <v>46690</v>
      </c>
      <c r="C2322" s="330" t="s">
        <v>8837</v>
      </c>
      <c r="D2322" s="330" t="s">
        <v>7653</v>
      </c>
      <c r="E2322" s="330" t="s">
        <v>37248</v>
      </c>
      <c r="F2322" s="331">
        <v>0.21</v>
      </c>
      <c r="G2322" s="332">
        <v>976</v>
      </c>
      <c r="H2322" s="333">
        <v>1181</v>
      </c>
    </row>
    <row r="2323" spans="1:8">
      <c r="A2323" s="317" t="s">
        <v>38709</v>
      </c>
      <c r="B2323" s="317" t="s">
        <v>46691</v>
      </c>
      <c r="C2323" s="330" t="s">
        <v>8838</v>
      </c>
      <c r="D2323" s="330" t="s">
        <v>7653</v>
      </c>
      <c r="E2323" s="330" t="s">
        <v>37248</v>
      </c>
      <c r="F2323" s="331">
        <v>0.21</v>
      </c>
      <c r="G2323" s="332">
        <v>976</v>
      </c>
      <c r="H2323" s="333">
        <v>1181</v>
      </c>
    </row>
    <row r="2324" spans="1:8">
      <c r="A2324" s="317">
        <v>1603434003</v>
      </c>
      <c r="B2324" s="317" t="s">
        <v>46692</v>
      </c>
      <c r="C2324" s="330" t="s">
        <v>8839</v>
      </c>
      <c r="D2324" s="330" t="s">
        <v>8840</v>
      </c>
      <c r="E2324" s="330" t="s">
        <v>4634</v>
      </c>
      <c r="F2324" s="331">
        <v>0.21</v>
      </c>
      <c r="G2324" s="332">
        <v>153</v>
      </c>
      <c r="H2324" s="333">
        <v>186</v>
      </c>
    </row>
    <row r="2325" spans="1:8">
      <c r="A2325" s="317">
        <v>1603435006</v>
      </c>
      <c r="B2325" s="317" t="s">
        <v>46693</v>
      </c>
      <c r="C2325" s="330" t="s">
        <v>8841</v>
      </c>
      <c r="D2325" s="330" t="s">
        <v>8842</v>
      </c>
      <c r="E2325" s="330" t="s">
        <v>4634</v>
      </c>
      <c r="F2325" s="331">
        <v>0.21</v>
      </c>
      <c r="G2325" s="332">
        <v>153</v>
      </c>
      <c r="H2325" s="333">
        <v>186</v>
      </c>
    </row>
    <row r="2326" spans="1:8">
      <c r="A2326" s="317">
        <v>1603435008</v>
      </c>
      <c r="B2326" s="317" t="s">
        <v>46694</v>
      </c>
      <c r="C2326" s="330" t="s">
        <v>8843</v>
      </c>
      <c r="D2326" s="330" t="s">
        <v>8844</v>
      </c>
      <c r="E2326" s="330" t="s">
        <v>4634</v>
      </c>
      <c r="F2326" s="331">
        <v>0.21</v>
      </c>
      <c r="G2326" s="332">
        <v>580</v>
      </c>
      <c r="H2326" s="333">
        <v>702</v>
      </c>
    </row>
    <row r="2327" spans="1:8">
      <c r="A2327" s="317">
        <v>1603435015</v>
      </c>
      <c r="B2327" s="317" t="s">
        <v>46695</v>
      </c>
      <c r="C2327" s="330" t="s">
        <v>8845</v>
      </c>
      <c r="D2327" s="330" t="s">
        <v>7235</v>
      </c>
      <c r="E2327" s="330" t="s">
        <v>4634</v>
      </c>
      <c r="F2327" s="331">
        <v>0.21</v>
      </c>
      <c r="G2327" s="332">
        <v>4231</v>
      </c>
      <c r="H2327" s="333">
        <v>5120</v>
      </c>
    </row>
    <row r="2328" spans="1:8">
      <c r="A2328" s="317">
        <v>1603435023</v>
      </c>
      <c r="B2328" s="317" t="s">
        <v>46696</v>
      </c>
      <c r="C2328" s="330" t="s">
        <v>8846</v>
      </c>
      <c r="D2328" s="330" t="s">
        <v>8847</v>
      </c>
      <c r="E2328" s="330" t="s">
        <v>4634</v>
      </c>
      <c r="F2328" s="331">
        <v>0.21</v>
      </c>
      <c r="G2328" s="332">
        <v>309</v>
      </c>
      <c r="H2328" s="333">
        <v>374</v>
      </c>
    </row>
    <row r="2329" spans="1:8">
      <c r="A2329" s="317">
        <v>1603435024</v>
      </c>
      <c r="B2329" s="317" t="s">
        <v>46697</v>
      </c>
      <c r="C2329" s="330" t="s">
        <v>8848</v>
      </c>
      <c r="D2329" s="330" t="s">
        <v>8849</v>
      </c>
      <c r="E2329" s="330" t="s">
        <v>4634</v>
      </c>
      <c r="F2329" s="331">
        <v>0.21</v>
      </c>
      <c r="G2329" s="332">
        <v>309</v>
      </c>
      <c r="H2329" s="333">
        <v>374</v>
      </c>
    </row>
    <row r="2330" spans="1:8">
      <c r="A2330" s="317">
        <v>1603435026</v>
      </c>
      <c r="B2330" s="317" t="s">
        <v>46698</v>
      </c>
      <c r="C2330" s="330" t="s">
        <v>8850</v>
      </c>
      <c r="D2330" s="330" t="s">
        <v>8851</v>
      </c>
      <c r="E2330" s="330" t="s">
        <v>4634</v>
      </c>
      <c r="F2330" s="331">
        <v>0.21</v>
      </c>
      <c r="G2330" s="332">
        <v>412</v>
      </c>
      <c r="H2330" s="333">
        <v>499</v>
      </c>
    </row>
    <row r="2331" spans="1:8">
      <c r="A2331" s="317">
        <v>1603435036</v>
      </c>
      <c r="B2331" s="317" t="s">
        <v>46699</v>
      </c>
      <c r="C2331" s="330" t="s">
        <v>8852</v>
      </c>
      <c r="D2331" s="330" t="s">
        <v>8853</v>
      </c>
      <c r="E2331" s="330" t="s">
        <v>4819</v>
      </c>
      <c r="F2331" s="331">
        <v>0.21</v>
      </c>
      <c r="G2331" s="332">
        <v>1704</v>
      </c>
      <c r="H2331" s="333">
        <v>2062</v>
      </c>
    </row>
    <row r="2332" spans="1:8">
      <c r="A2332" s="317">
        <v>1603435042</v>
      </c>
      <c r="B2332" s="317" t="s">
        <v>46700</v>
      </c>
      <c r="C2332" s="330" t="s">
        <v>8854</v>
      </c>
      <c r="D2332" s="330" t="s">
        <v>8855</v>
      </c>
      <c r="E2332" s="330" t="s">
        <v>4634</v>
      </c>
      <c r="F2332" s="331">
        <v>0.21</v>
      </c>
      <c r="G2332" s="332">
        <v>372</v>
      </c>
      <c r="H2332" s="333">
        <v>451</v>
      </c>
    </row>
    <row r="2333" spans="1:8">
      <c r="A2333" s="317">
        <v>1603435051</v>
      </c>
      <c r="B2333" s="317" t="s">
        <v>46701</v>
      </c>
      <c r="C2333" s="330" t="s">
        <v>8856</v>
      </c>
      <c r="D2333" s="330" t="s">
        <v>8857</v>
      </c>
      <c r="E2333" s="330" t="s">
        <v>4634</v>
      </c>
      <c r="F2333" s="331">
        <v>0.21</v>
      </c>
      <c r="G2333" s="332">
        <v>432</v>
      </c>
      <c r="H2333" s="333">
        <v>523</v>
      </c>
    </row>
    <row r="2334" spans="1:8">
      <c r="A2334" s="317">
        <v>1603435060</v>
      </c>
      <c r="B2334" s="317" t="s">
        <v>46702</v>
      </c>
      <c r="C2334" s="330" t="s">
        <v>8858</v>
      </c>
      <c r="D2334" s="330" t="s">
        <v>8859</v>
      </c>
      <c r="E2334" s="330" t="s">
        <v>37248</v>
      </c>
      <c r="F2334" s="331">
        <v>0.21</v>
      </c>
      <c r="G2334" s="332">
        <v>807</v>
      </c>
      <c r="H2334" s="333">
        <v>977</v>
      </c>
    </row>
    <row r="2335" spans="1:8">
      <c r="A2335" s="317">
        <v>1603435068</v>
      </c>
      <c r="B2335" s="317" t="s">
        <v>46703</v>
      </c>
      <c r="C2335" s="330" t="s">
        <v>8860</v>
      </c>
      <c r="D2335" s="330" t="s">
        <v>8861</v>
      </c>
      <c r="E2335" s="330" t="s">
        <v>4819</v>
      </c>
      <c r="F2335" s="331">
        <v>0.21</v>
      </c>
      <c r="G2335" s="332">
        <v>2792</v>
      </c>
      <c r="H2335" s="333">
        <v>3379</v>
      </c>
    </row>
    <row r="2336" spans="1:8">
      <c r="A2336" s="317">
        <v>1603435071</v>
      </c>
      <c r="B2336" s="317" t="s">
        <v>46704</v>
      </c>
      <c r="C2336" s="330" t="s">
        <v>8862</v>
      </c>
      <c r="D2336" s="330" t="s">
        <v>8863</v>
      </c>
      <c r="E2336" s="330" t="s">
        <v>4634</v>
      </c>
      <c r="F2336" s="331">
        <v>0.21</v>
      </c>
      <c r="G2336" s="332">
        <v>174</v>
      </c>
      <c r="H2336" s="333">
        <v>211</v>
      </c>
    </row>
    <row r="2337" spans="1:8">
      <c r="A2337" s="317">
        <v>1603435075</v>
      </c>
      <c r="B2337" s="317" t="s">
        <v>46705</v>
      </c>
      <c r="C2337" s="330" t="s">
        <v>8864</v>
      </c>
      <c r="D2337" s="330" t="s">
        <v>8865</v>
      </c>
      <c r="E2337" s="330" t="s">
        <v>4634</v>
      </c>
      <c r="F2337" s="331">
        <v>0.21</v>
      </c>
      <c r="G2337" s="332">
        <v>678</v>
      </c>
      <c r="H2337" s="333">
        <v>821</v>
      </c>
    </row>
    <row r="2338" spans="1:8">
      <c r="A2338" s="317">
        <v>1603435076</v>
      </c>
      <c r="B2338" s="317" t="s">
        <v>46706</v>
      </c>
      <c r="C2338" s="330" t="s">
        <v>8866</v>
      </c>
      <c r="D2338" s="330" t="s">
        <v>8867</v>
      </c>
      <c r="E2338" s="330" t="s">
        <v>4819</v>
      </c>
      <c r="F2338" s="331">
        <v>0.21</v>
      </c>
      <c r="G2338" s="332">
        <v>1146</v>
      </c>
      <c r="H2338" s="333">
        <v>1387</v>
      </c>
    </row>
    <row r="2339" spans="1:8">
      <c r="A2339" s="317" t="s">
        <v>38710</v>
      </c>
      <c r="B2339" s="317" t="s">
        <v>46707</v>
      </c>
      <c r="C2339" s="330" t="s">
        <v>8868</v>
      </c>
      <c r="D2339" s="330" t="s">
        <v>8869</v>
      </c>
      <c r="E2339" s="330" t="s">
        <v>4819</v>
      </c>
      <c r="F2339" s="331">
        <v>0.21</v>
      </c>
      <c r="G2339" s="332">
        <v>479</v>
      </c>
      <c r="H2339" s="333">
        <v>580</v>
      </c>
    </row>
    <row r="2340" spans="1:8">
      <c r="A2340" s="317" t="s">
        <v>38711</v>
      </c>
      <c r="B2340" s="317" t="s">
        <v>46708</v>
      </c>
      <c r="C2340" s="330" t="s">
        <v>8870</v>
      </c>
      <c r="D2340" s="330" t="s">
        <v>8783</v>
      </c>
      <c r="E2340" s="330" t="s">
        <v>37248</v>
      </c>
      <c r="F2340" s="331">
        <v>0.21</v>
      </c>
      <c r="G2340" s="332">
        <v>240</v>
      </c>
      <c r="H2340" s="333">
        <v>291</v>
      </c>
    </row>
    <row r="2341" spans="1:8">
      <c r="A2341" s="317" t="s">
        <v>38712</v>
      </c>
      <c r="B2341" s="317" t="s">
        <v>46709</v>
      </c>
      <c r="C2341" s="330" t="s">
        <v>8871</v>
      </c>
      <c r="D2341" s="330" t="s">
        <v>8869</v>
      </c>
      <c r="E2341" s="330" t="s">
        <v>4819</v>
      </c>
      <c r="F2341" s="331">
        <v>0.21</v>
      </c>
      <c r="G2341" s="332">
        <v>479</v>
      </c>
      <c r="H2341" s="333">
        <v>580</v>
      </c>
    </row>
    <row r="2342" spans="1:8">
      <c r="A2342" s="317" t="s">
        <v>38713</v>
      </c>
      <c r="B2342" s="317" t="s">
        <v>46710</v>
      </c>
      <c r="C2342" s="330" t="s">
        <v>8872</v>
      </c>
      <c r="D2342" s="330" t="s">
        <v>8873</v>
      </c>
      <c r="E2342" s="330" t="s">
        <v>37248</v>
      </c>
      <c r="F2342" s="331">
        <v>0.21</v>
      </c>
      <c r="G2342" s="332">
        <v>1034</v>
      </c>
      <c r="H2342" s="333">
        <v>1252</v>
      </c>
    </row>
    <row r="2343" spans="1:8">
      <c r="A2343" s="317" t="s">
        <v>38714</v>
      </c>
      <c r="B2343" s="317" t="s">
        <v>46711</v>
      </c>
      <c r="C2343" s="330" t="s">
        <v>8874</v>
      </c>
      <c r="D2343" s="330" t="s">
        <v>8875</v>
      </c>
      <c r="E2343" s="330" t="s">
        <v>4819</v>
      </c>
      <c r="F2343" s="331">
        <v>0.21</v>
      </c>
      <c r="G2343" s="332">
        <v>994</v>
      </c>
      <c r="H2343" s="333">
        <v>1203</v>
      </c>
    </row>
    <row r="2344" spans="1:8">
      <c r="A2344" s="317" t="s">
        <v>38715</v>
      </c>
      <c r="B2344" s="317" t="s">
        <v>46712</v>
      </c>
      <c r="C2344" s="330" t="s">
        <v>8876</v>
      </c>
      <c r="D2344" s="330" t="s">
        <v>8853</v>
      </c>
      <c r="E2344" s="330" t="s">
        <v>37248</v>
      </c>
      <c r="F2344" s="331">
        <v>0.21</v>
      </c>
      <c r="G2344" s="332">
        <v>296</v>
      </c>
      <c r="H2344" s="333">
        <v>359</v>
      </c>
    </row>
    <row r="2345" spans="1:8">
      <c r="A2345" s="317" t="s">
        <v>38716</v>
      </c>
      <c r="B2345" s="317" t="s">
        <v>46713</v>
      </c>
      <c r="C2345" s="330" t="s">
        <v>8877</v>
      </c>
      <c r="D2345" s="330" t="s">
        <v>8853</v>
      </c>
      <c r="E2345" s="330" t="s">
        <v>37248</v>
      </c>
      <c r="F2345" s="331">
        <v>0.21</v>
      </c>
      <c r="G2345" s="332">
        <v>452</v>
      </c>
      <c r="H2345" s="333">
        <v>547</v>
      </c>
    </row>
    <row r="2346" spans="1:8">
      <c r="A2346" s="317" t="s">
        <v>38717</v>
      </c>
      <c r="B2346" s="317" t="s">
        <v>46714</v>
      </c>
      <c r="C2346" s="330" t="s">
        <v>8878</v>
      </c>
      <c r="D2346" s="330" t="s">
        <v>8853</v>
      </c>
      <c r="E2346" s="330" t="s">
        <v>37248</v>
      </c>
      <c r="F2346" s="331">
        <v>0.21</v>
      </c>
      <c r="G2346" s="332">
        <v>361</v>
      </c>
      <c r="H2346" s="333">
        <v>437</v>
      </c>
    </row>
    <row r="2347" spans="1:8">
      <c r="A2347" s="317">
        <v>1603435082</v>
      </c>
      <c r="B2347" s="317" t="s">
        <v>46715</v>
      </c>
      <c r="C2347" s="330" t="s">
        <v>8879</v>
      </c>
      <c r="D2347" s="330" t="s">
        <v>8853</v>
      </c>
      <c r="E2347" s="330" t="s">
        <v>4819</v>
      </c>
      <c r="F2347" s="331">
        <v>0.21</v>
      </c>
      <c r="G2347" s="332">
        <v>764</v>
      </c>
      <c r="H2347" s="333">
        <v>925</v>
      </c>
    </row>
    <row r="2348" spans="1:8">
      <c r="A2348" s="317">
        <v>1603435086</v>
      </c>
      <c r="B2348" s="317" t="s">
        <v>46716</v>
      </c>
      <c r="C2348" s="330" t="s">
        <v>8880</v>
      </c>
      <c r="D2348" s="330" t="s">
        <v>8881</v>
      </c>
      <c r="E2348" s="330" t="s">
        <v>4819</v>
      </c>
      <c r="F2348" s="331">
        <v>0.21</v>
      </c>
      <c r="G2348" s="332">
        <v>994</v>
      </c>
      <c r="H2348" s="333">
        <v>1203</v>
      </c>
    </row>
    <row r="2349" spans="1:8">
      <c r="A2349" s="317" t="s">
        <v>38718</v>
      </c>
      <c r="B2349" s="317" t="s">
        <v>46717</v>
      </c>
      <c r="C2349" s="330" t="s">
        <v>8882</v>
      </c>
      <c r="D2349" s="330" t="s">
        <v>8853</v>
      </c>
      <c r="E2349" s="330" t="s">
        <v>37248</v>
      </c>
      <c r="F2349" s="331">
        <v>0.21</v>
      </c>
      <c r="G2349" s="332">
        <v>383</v>
      </c>
      <c r="H2349" s="333">
        <v>464</v>
      </c>
    </row>
    <row r="2350" spans="1:8">
      <c r="A2350" s="317" t="s">
        <v>38719</v>
      </c>
      <c r="B2350" s="317" t="s">
        <v>46718</v>
      </c>
      <c r="C2350" s="330" t="s">
        <v>8883</v>
      </c>
      <c r="D2350" s="330" t="s">
        <v>8853</v>
      </c>
      <c r="E2350" s="330" t="s">
        <v>37248</v>
      </c>
      <c r="F2350" s="331">
        <v>0.21</v>
      </c>
      <c r="G2350" s="332">
        <v>334</v>
      </c>
      <c r="H2350" s="333">
        <v>405</v>
      </c>
    </row>
    <row r="2351" spans="1:8">
      <c r="A2351" s="317">
        <v>1603435091</v>
      </c>
      <c r="B2351" s="317" t="s">
        <v>46719</v>
      </c>
      <c r="C2351" s="330" t="s">
        <v>8884</v>
      </c>
      <c r="D2351" s="330" t="s">
        <v>4658</v>
      </c>
      <c r="E2351" s="330" t="s">
        <v>37248</v>
      </c>
      <c r="F2351" s="331">
        <v>0.21</v>
      </c>
      <c r="G2351" s="332">
        <v>383</v>
      </c>
      <c r="H2351" s="333">
        <v>464</v>
      </c>
    </row>
    <row r="2352" spans="1:8">
      <c r="A2352" s="317">
        <v>1603435092</v>
      </c>
      <c r="B2352" s="317" t="s">
        <v>46720</v>
      </c>
      <c r="C2352" s="330" t="s">
        <v>8885</v>
      </c>
      <c r="D2352" s="330" t="s">
        <v>8853</v>
      </c>
      <c r="E2352" s="330" t="s">
        <v>37248</v>
      </c>
      <c r="F2352" s="331">
        <v>0.21</v>
      </c>
      <c r="G2352" s="332">
        <v>976</v>
      </c>
      <c r="H2352" s="333">
        <v>1181</v>
      </c>
    </row>
    <row r="2353" spans="1:8">
      <c r="A2353" s="317">
        <v>1603435098</v>
      </c>
      <c r="B2353" s="317" t="s">
        <v>46721</v>
      </c>
      <c r="C2353" s="330" t="s">
        <v>8886</v>
      </c>
      <c r="D2353" s="330" t="s">
        <v>7653</v>
      </c>
      <c r="E2353" s="330" t="s">
        <v>37248</v>
      </c>
      <c r="F2353" s="331">
        <v>0.21</v>
      </c>
      <c r="G2353" s="332">
        <v>976</v>
      </c>
      <c r="H2353" s="333">
        <v>1181</v>
      </c>
    </row>
    <row r="2354" spans="1:8">
      <c r="A2354" s="317">
        <v>1603480003</v>
      </c>
      <c r="B2354" s="317" t="s">
        <v>46722</v>
      </c>
      <c r="C2354" s="330" t="s">
        <v>8887</v>
      </c>
      <c r="D2354" s="330" t="s">
        <v>8888</v>
      </c>
      <c r="E2354" s="330" t="s">
        <v>4634</v>
      </c>
      <c r="F2354" s="331">
        <v>0.21</v>
      </c>
      <c r="G2354" s="332">
        <v>372</v>
      </c>
      <c r="H2354" s="333">
        <v>451</v>
      </c>
    </row>
    <row r="2355" spans="1:8">
      <c r="A2355" s="317">
        <v>1603480018</v>
      </c>
      <c r="B2355" s="317" t="s">
        <v>46723</v>
      </c>
      <c r="C2355" s="330" t="s">
        <v>8889</v>
      </c>
      <c r="D2355" s="330" t="s">
        <v>8890</v>
      </c>
      <c r="E2355" s="330" t="s">
        <v>37248</v>
      </c>
      <c r="F2355" s="331">
        <v>0.21</v>
      </c>
      <c r="G2355" s="332">
        <v>976</v>
      </c>
      <c r="H2355" s="333">
        <v>1181</v>
      </c>
    </row>
    <row r="2356" spans="1:8">
      <c r="A2356" s="317">
        <v>1603490000</v>
      </c>
      <c r="B2356" s="317" t="s">
        <v>46724</v>
      </c>
      <c r="C2356" s="330" t="s">
        <v>8891</v>
      </c>
      <c r="D2356" s="330" t="s">
        <v>8892</v>
      </c>
      <c r="E2356" s="330" t="s">
        <v>4634</v>
      </c>
      <c r="F2356" s="331">
        <v>0.21</v>
      </c>
      <c r="G2356" s="332">
        <v>153</v>
      </c>
      <c r="H2356" s="333">
        <v>186</v>
      </c>
    </row>
    <row r="2357" spans="1:8">
      <c r="A2357" s="317">
        <v>1603490005</v>
      </c>
      <c r="B2357" s="317" t="s">
        <v>46725</v>
      </c>
      <c r="C2357" s="330" t="s">
        <v>8893</v>
      </c>
      <c r="D2357" s="330" t="s">
        <v>8894</v>
      </c>
      <c r="E2357" s="330" t="s">
        <v>4634</v>
      </c>
      <c r="F2357" s="331">
        <v>0.21</v>
      </c>
      <c r="G2357" s="332">
        <v>174</v>
      </c>
      <c r="H2357" s="333">
        <v>211</v>
      </c>
    </row>
    <row r="2358" spans="1:8">
      <c r="A2358" s="317" t="s">
        <v>38720</v>
      </c>
      <c r="B2358" s="317" t="s">
        <v>46726</v>
      </c>
      <c r="C2358" s="330" t="s">
        <v>8895</v>
      </c>
      <c r="D2358" s="330" t="s">
        <v>8896</v>
      </c>
      <c r="E2358" s="330" t="s">
        <v>37248</v>
      </c>
      <c r="F2358" s="331">
        <v>0.21</v>
      </c>
      <c r="G2358" s="332">
        <v>240</v>
      </c>
      <c r="H2358" s="333">
        <v>291</v>
      </c>
    </row>
    <row r="2359" spans="1:8">
      <c r="A2359" s="317" t="s">
        <v>38721</v>
      </c>
      <c r="B2359" s="317" t="s">
        <v>46727</v>
      </c>
      <c r="C2359" s="330" t="s">
        <v>8897</v>
      </c>
      <c r="D2359" s="330" t="s">
        <v>8896</v>
      </c>
      <c r="E2359" s="330" t="s">
        <v>37248</v>
      </c>
      <c r="F2359" s="331">
        <v>0.21</v>
      </c>
      <c r="G2359" s="332">
        <v>240</v>
      </c>
      <c r="H2359" s="333">
        <v>291</v>
      </c>
    </row>
    <row r="2360" spans="1:8">
      <c r="A2360" s="317" t="s">
        <v>38722</v>
      </c>
      <c r="B2360" s="317" t="s">
        <v>46728</v>
      </c>
      <c r="C2360" s="330" t="s">
        <v>8898</v>
      </c>
      <c r="D2360" s="330" t="s">
        <v>8899</v>
      </c>
      <c r="E2360" s="330" t="s">
        <v>4819</v>
      </c>
      <c r="F2360" s="331">
        <v>0.21</v>
      </c>
      <c r="G2360" s="332">
        <v>910</v>
      </c>
      <c r="H2360" s="333">
        <v>1102</v>
      </c>
    </row>
    <row r="2361" spans="1:8">
      <c r="A2361" s="317">
        <v>1603501018</v>
      </c>
      <c r="B2361" s="317" t="s">
        <v>46729</v>
      </c>
      <c r="C2361" s="330" t="s">
        <v>8900</v>
      </c>
      <c r="D2361" s="330" t="s">
        <v>8901</v>
      </c>
      <c r="E2361" s="330" t="s">
        <v>4634</v>
      </c>
      <c r="F2361" s="331">
        <v>0.21</v>
      </c>
      <c r="G2361" s="332">
        <v>570</v>
      </c>
      <c r="H2361" s="333">
        <v>690</v>
      </c>
    </row>
    <row r="2362" spans="1:8">
      <c r="A2362" s="317">
        <v>1603502000</v>
      </c>
      <c r="B2362" s="317" t="s">
        <v>46730</v>
      </c>
      <c r="C2362" s="330" t="s">
        <v>8902</v>
      </c>
      <c r="D2362" s="330" t="s">
        <v>7235</v>
      </c>
      <c r="E2362" s="330" t="s">
        <v>4634</v>
      </c>
      <c r="F2362" s="331">
        <v>0.21</v>
      </c>
      <c r="G2362" s="332">
        <v>4472</v>
      </c>
      <c r="H2362" s="333">
        <v>5412</v>
      </c>
    </row>
    <row r="2363" spans="1:8">
      <c r="A2363" s="317">
        <v>1603523032</v>
      </c>
      <c r="B2363" s="317" t="s">
        <v>46731</v>
      </c>
      <c r="C2363" s="330" t="s">
        <v>8903</v>
      </c>
      <c r="D2363" s="330" t="s">
        <v>8904</v>
      </c>
      <c r="E2363" s="330" t="s">
        <v>4634</v>
      </c>
      <c r="F2363" s="331">
        <v>0.21</v>
      </c>
      <c r="G2363" s="332">
        <v>4592</v>
      </c>
      <c r="H2363" s="333">
        <v>5557</v>
      </c>
    </row>
    <row r="2364" spans="1:8">
      <c r="A2364" s="317">
        <v>1603523090</v>
      </c>
      <c r="B2364" s="317" t="s">
        <v>46732</v>
      </c>
      <c r="C2364" s="330" t="s">
        <v>8905</v>
      </c>
      <c r="D2364" s="330" t="s">
        <v>8906</v>
      </c>
      <c r="E2364" s="330" t="s">
        <v>4634</v>
      </c>
      <c r="F2364" s="331">
        <v>0.21</v>
      </c>
      <c r="G2364" s="332">
        <v>4737</v>
      </c>
      <c r="H2364" s="333">
        <v>5732</v>
      </c>
    </row>
    <row r="2365" spans="1:8">
      <c r="A2365" s="317">
        <v>1603523100</v>
      </c>
      <c r="B2365" s="317" t="s">
        <v>46733</v>
      </c>
      <c r="C2365" s="330" t="s">
        <v>8907</v>
      </c>
      <c r="D2365" s="330" t="s">
        <v>8908</v>
      </c>
      <c r="E2365" s="330" t="s">
        <v>4634</v>
      </c>
      <c r="F2365" s="331">
        <v>0.21</v>
      </c>
      <c r="G2365" s="332">
        <v>4945</v>
      </c>
      <c r="H2365" s="333">
        <v>5984</v>
      </c>
    </row>
    <row r="2366" spans="1:8">
      <c r="A2366" s="317">
        <v>1603523107</v>
      </c>
      <c r="B2366" s="317" t="s">
        <v>46734</v>
      </c>
      <c r="C2366" s="330" t="s">
        <v>8909</v>
      </c>
      <c r="D2366" s="330" t="s">
        <v>8910</v>
      </c>
      <c r="E2366" s="330" t="s">
        <v>4634</v>
      </c>
      <c r="F2366" s="331">
        <v>0.21</v>
      </c>
      <c r="G2366" s="332">
        <v>11477</v>
      </c>
      <c r="H2366" s="333">
        <v>13888</v>
      </c>
    </row>
    <row r="2367" spans="1:8">
      <c r="A2367" s="317">
        <v>1603523110</v>
      </c>
      <c r="B2367" s="317" t="s">
        <v>46735</v>
      </c>
      <c r="C2367" s="330" t="s">
        <v>8911</v>
      </c>
      <c r="D2367" s="330" t="s">
        <v>8912</v>
      </c>
      <c r="E2367" s="330" t="s">
        <v>4634</v>
      </c>
      <c r="F2367" s="331">
        <v>0.21</v>
      </c>
      <c r="G2367" s="332">
        <v>2939</v>
      </c>
      <c r="H2367" s="333">
        <v>3557</v>
      </c>
    </row>
    <row r="2368" spans="1:8">
      <c r="A2368" s="317">
        <v>1603523111</v>
      </c>
      <c r="B2368" s="317" t="s">
        <v>46736</v>
      </c>
      <c r="C2368" s="330" t="s">
        <v>8913</v>
      </c>
      <c r="D2368" s="330" t="s">
        <v>8914</v>
      </c>
      <c r="E2368" s="330" t="s">
        <v>37248</v>
      </c>
      <c r="F2368" s="331">
        <v>0.21</v>
      </c>
      <c r="G2368" s="332">
        <v>6783</v>
      </c>
      <c r="H2368" s="333">
        <v>8208</v>
      </c>
    </row>
    <row r="2369" spans="1:8">
      <c r="A2369" s="317">
        <v>1603523113</v>
      </c>
      <c r="B2369" s="317" t="s">
        <v>46737</v>
      </c>
      <c r="C2369" s="330" t="s">
        <v>8915</v>
      </c>
      <c r="D2369" s="330" t="s">
        <v>8916</v>
      </c>
      <c r="E2369" s="330" t="s">
        <v>4634</v>
      </c>
      <c r="F2369" s="331">
        <v>0.21</v>
      </c>
      <c r="G2369" s="332">
        <v>12141</v>
      </c>
      <c r="H2369" s="333">
        <v>14691</v>
      </c>
    </row>
    <row r="2370" spans="1:8">
      <c r="A2370" s="317">
        <v>1603523122</v>
      </c>
      <c r="B2370" s="317" t="s">
        <v>46738</v>
      </c>
      <c r="C2370" s="330" t="s">
        <v>8917</v>
      </c>
      <c r="D2370" s="330" t="s">
        <v>8918</v>
      </c>
      <c r="E2370" s="330" t="s">
        <v>4634</v>
      </c>
      <c r="F2370" s="331">
        <v>0.21</v>
      </c>
      <c r="G2370" s="332">
        <v>12215</v>
      </c>
      <c r="H2370" s="333">
        <v>14781</v>
      </c>
    </row>
    <row r="2371" spans="1:8">
      <c r="A2371" s="317">
        <v>1603523123</v>
      </c>
      <c r="B2371" s="317" t="s">
        <v>46739</v>
      </c>
      <c r="C2371" s="330" t="s">
        <v>8919</v>
      </c>
      <c r="D2371" s="330" t="s">
        <v>8920</v>
      </c>
      <c r="E2371" s="330" t="s">
        <v>4634</v>
      </c>
      <c r="F2371" s="331">
        <v>0.21</v>
      </c>
      <c r="G2371" s="332">
        <v>8178</v>
      </c>
      <c r="H2371" s="333">
        <v>9896</v>
      </c>
    </row>
    <row r="2372" spans="1:8">
      <c r="A2372" s="317">
        <v>1603524010</v>
      </c>
      <c r="B2372" s="317" t="s">
        <v>46740</v>
      </c>
      <c r="C2372" s="330" t="s">
        <v>8921</v>
      </c>
      <c r="D2372" s="330" t="s">
        <v>8922</v>
      </c>
      <c r="E2372" s="330" t="s">
        <v>4634</v>
      </c>
      <c r="F2372" s="331">
        <v>0.21</v>
      </c>
      <c r="G2372" s="332">
        <v>437</v>
      </c>
      <c r="H2372" s="333">
        <v>529</v>
      </c>
    </row>
    <row r="2373" spans="1:8">
      <c r="A2373" s="317">
        <v>1604010152</v>
      </c>
      <c r="B2373" s="317" t="s">
        <v>46741</v>
      </c>
      <c r="C2373" s="330" t="s">
        <v>8923</v>
      </c>
      <c r="D2373" s="330" t="s">
        <v>8924</v>
      </c>
      <c r="E2373" s="330" t="s">
        <v>4634</v>
      </c>
      <c r="F2373" s="331">
        <v>0.21</v>
      </c>
      <c r="G2373" s="332">
        <v>22938</v>
      </c>
      <c r="H2373" s="333">
        <v>27755</v>
      </c>
    </row>
    <row r="2374" spans="1:8">
      <c r="A2374" s="317">
        <v>1604010175</v>
      </c>
      <c r="B2374" s="317" t="s">
        <v>46742</v>
      </c>
      <c r="C2374" s="330" t="s">
        <v>8925</v>
      </c>
      <c r="D2374" s="330" t="s">
        <v>8926</v>
      </c>
      <c r="E2374" s="330" t="s">
        <v>4634</v>
      </c>
      <c r="F2374" s="331">
        <v>0.21</v>
      </c>
      <c r="G2374" s="332">
        <v>7379</v>
      </c>
      <c r="H2374" s="333">
        <v>8929</v>
      </c>
    </row>
    <row r="2375" spans="1:8">
      <c r="A2375" s="317">
        <v>1604010183</v>
      </c>
      <c r="B2375" s="317" t="s">
        <v>46743</v>
      </c>
      <c r="C2375" s="330" t="s">
        <v>8927</v>
      </c>
      <c r="D2375" s="330" t="s">
        <v>8928</v>
      </c>
      <c r="E2375" s="330" t="s">
        <v>4634</v>
      </c>
      <c r="F2375" s="331">
        <v>0.21</v>
      </c>
      <c r="G2375" s="332">
        <v>47367</v>
      </c>
      <c r="H2375" s="333">
        <v>57315</v>
      </c>
    </row>
    <row r="2376" spans="1:8">
      <c r="A2376" s="317">
        <v>1604010187</v>
      </c>
      <c r="B2376" s="317" t="s">
        <v>46744</v>
      </c>
      <c r="C2376" s="330" t="s">
        <v>8929</v>
      </c>
      <c r="D2376" s="330" t="s">
        <v>8930</v>
      </c>
      <c r="E2376" s="330" t="s">
        <v>4634</v>
      </c>
      <c r="F2376" s="331">
        <v>0.21</v>
      </c>
      <c r="G2376" s="332">
        <v>11939</v>
      </c>
      <c r="H2376" s="333">
        <v>14447</v>
      </c>
    </row>
    <row r="2377" spans="1:8">
      <c r="A2377" s="317">
        <v>1604010214</v>
      </c>
      <c r="B2377" s="317" t="s">
        <v>46745</v>
      </c>
      <c r="C2377" s="330" t="s">
        <v>8931</v>
      </c>
      <c r="D2377" s="330" t="s">
        <v>8932</v>
      </c>
      <c r="E2377" s="330" t="s">
        <v>4634</v>
      </c>
      <c r="F2377" s="331">
        <v>0.21</v>
      </c>
      <c r="G2377" s="332">
        <v>12579</v>
      </c>
      <c r="H2377" s="333">
        <v>15221</v>
      </c>
    </row>
    <row r="2378" spans="1:8">
      <c r="A2378" s="317">
        <v>1604010228</v>
      </c>
      <c r="B2378" s="317" t="s">
        <v>46746</v>
      </c>
      <c r="C2378" s="330" t="s">
        <v>8933</v>
      </c>
      <c r="D2378" s="330" t="s">
        <v>8934</v>
      </c>
      <c r="E2378" s="330" t="s">
        <v>4634</v>
      </c>
      <c r="F2378" s="331">
        <v>0.21</v>
      </c>
      <c r="G2378" s="332">
        <v>8414</v>
      </c>
      <c r="H2378" s="333">
        <v>10181</v>
      </c>
    </row>
    <row r="2379" spans="1:8">
      <c r="A2379" s="317">
        <v>1604010235</v>
      </c>
      <c r="B2379" s="317" t="s">
        <v>46747</v>
      </c>
      <c r="C2379" s="330" t="s">
        <v>8935</v>
      </c>
      <c r="D2379" s="330" t="s">
        <v>8936</v>
      </c>
      <c r="E2379" s="330" t="s">
        <v>4634</v>
      </c>
      <c r="F2379" s="331">
        <v>0.21</v>
      </c>
      <c r="G2379" s="332">
        <v>9924</v>
      </c>
      <c r="H2379" s="333">
        <v>12009</v>
      </c>
    </row>
    <row r="2380" spans="1:8">
      <c r="A2380" s="317">
        <v>1604010236</v>
      </c>
      <c r="B2380" s="317" t="s">
        <v>46748</v>
      </c>
      <c r="C2380" s="330" t="s">
        <v>8937</v>
      </c>
      <c r="D2380" s="330" t="s">
        <v>8938</v>
      </c>
      <c r="E2380" s="330" t="s">
        <v>4634</v>
      </c>
      <c r="F2380" s="331">
        <v>0.21</v>
      </c>
      <c r="G2380" s="332">
        <v>10033</v>
      </c>
      <c r="H2380" s="333">
        <v>12140</v>
      </c>
    </row>
    <row r="2381" spans="1:8">
      <c r="A2381" s="317">
        <v>1604010240</v>
      </c>
      <c r="B2381" s="317" t="s">
        <v>46749</v>
      </c>
      <c r="C2381" s="330" t="s">
        <v>8939</v>
      </c>
      <c r="D2381" s="330" t="s">
        <v>8940</v>
      </c>
      <c r="E2381" s="330" t="s">
        <v>4634</v>
      </c>
      <c r="F2381" s="331">
        <v>0.21</v>
      </c>
      <c r="G2381" s="332">
        <v>10825</v>
      </c>
      <c r="H2381" s="333">
        <v>13099</v>
      </c>
    </row>
    <row r="2382" spans="1:8">
      <c r="A2382" s="317">
        <v>1604010248</v>
      </c>
      <c r="B2382" s="317" t="s">
        <v>46750</v>
      </c>
      <c r="C2382" s="330" t="s">
        <v>8941</v>
      </c>
      <c r="D2382" s="330" t="s">
        <v>8942</v>
      </c>
      <c r="E2382" s="330" t="s">
        <v>4634</v>
      </c>
      <c r="F2382" s="331">
        <v>0.21</v>
      </c>
      <c r="G2382" s="332">
        <v>10297</v>
      </c>
      <c r="H2382" s="333">
        <v>12460</v>
      </c>
    </row>
    <row r="2383" spans="1:8">
      <c r="A2383" s="317">
        <v>1604010252</v>
      </c>
      <c r="B2383" s="317" t="s">
        <v>46751</v>
      </c>
      <c r="C2383" s="330" t="s">
        <v>8943</v>
      </c>
      <c r="D2383" s="330" t="s">
        <v>8944</v>
      </c>
      <c r="E2383" s="330" t="s">
        <v>4634</v>
      </c>
      <c r="F2383" s="331">
        <v>0.21</v>
      </c>
      <c r="G2383" s="332">
        <v>14694</v>
      </c>
      <c r="H2383" s="333">
        <v>17780</v>
      </c>
    </row>
    <row r="2384" spans="1:8">
      <c r="A2384" s="317">
        <v>1604010332</v>
      </c>
      <c r="B2384" s="317" t="s">
        <v>46752</v>
      </c>
      <c r="C2384" s="330" t="s">
        <v>8945</v>
      </c>
      <c r="D2384" s="330" t="s">
        <v>8946</v>
      </c>
      <c r="E2384" s="330" t="s">
        <v>4634</v>
      </c>
      <c r="F2384" s="331">
        <v>0.21</v>
      </c>
      <c r="G2384" s="332">
        <v>57188</v>
      </c>
      <c r="H2384" s="333">
        <v>69198</v>
      </c>
    </row>
    <row r="2385" spans="1:8">
      <c r="A2385" s="317">
        <v>1604010425</v>
      </c>
      <c r="B2385" s="317" t="s">
        <v>46753</v>
      </c>
      <c r="C2385" s="330" t="s">
        <v>8947</v>
      </c>
      <c r="D2385" s="330" t="s">
        <v>8948</v>
      </c>
      <c r="E2385" s="330" t="s">
        <v>4634</v>
      </c>
      <c r="F2385" s="331">
        <v>0.21</v>
      </c>
      <c r="G2385" s="332">
        <v>7682</v>
      </c>
      <c r="H2385" s="333">
        <v>9296</v>
      </c>
    </row>
    <row r="2386" spans="1:8">
      <c r="A2386" s="317">
        <v>1604010434</v>
      </c>
      <c r="B2386" s="317" t="s">
        <v>46754</v>
      </c>
      <c r="C2386" s="330" t="s">
        <v>8949</v>
      </c>
      <c r="D2386" s="330" t="s">
        <v>8950</v>
      </c>
      <c r="E2386" s="330" t="s">
        <v>4634</v>
      </c>
      <c r="F2386" s="331">
        <v>0.21</v>
      </c>
      <c r="G2386" s="332">
        <v>28729</v>
      </c>
      <c r="H2386" s="333">
        <v>34763</v>
      </c>
    </row>
    <row r="2387" spans="1:8">
      <c r="A2387" s="317">
        <v>1604010445</v>
      </c>
      <c r="B2387" s="317" t="s">
        <v>46755</v>
      </c>
      <c r="C2387" s="330" t="s">
        <v>8951</v>
      </c>
      <c r="D2387" s="330" t="s">
        <v>8952</v>
      </c>
      <c r="E2387" s="330" t="s">
        <v>4634</v>
      </c>
      <c r="F2387" s="331">
        <v>0.21</v>
      </c>
      <c r="G2387" s="332">
        <v>22700</v>
      </c>
      <c r="H2387" s="333">
        <v>27467</v>
      </c>
    </row>
    <row r="2388" spans="1:8">
      <c r="A2388" s="317">
        <v>1604010640</v>
      </c>
      <c r="B2388" s="317" t="s">
        <v>46756</v>
      </c>
      <c r="C2388" s="330" t="s">
        <v>8953</v>
      </c>
      <c r="D2388" s="330" t="s">
        <v>8954</v>
      </c>
      <c r="E2388" s="330" t="s">
        <v>37248</v>
      </c>
      <c r="F2388" s="331">
        <v>0.21</v>
      </c>
      <c r="G2388" s="332">
        <v>81956</v>
      </c>
      <c r="H2388" s="333">
        <v>99167</v>
      </c>
    </row>
    <row r="2389" spans="1:8">
      <c r="A2389" s="317">
        <v>1604010650</v>
      </c>
      <c r="B2389" s="317" t="s">
        <v>46757</v>
      </c>
      <c r="C2389" s="330" t="s">
        <v>8955</v>
      </c>
      <c r="D2389" s="330" t="s">
        <v>8956</v>
      </c>
      <c r="E2389" s="330" t="s">
        <v>37248</v>
      </c>
      <c r="F2389" s="331">
        <v>0.21</v>
      </c>
      <c r="G2389" s="332">
        <v>60819</v>
      </c>
      <c r="H2389" s="333">
        <v>73591</v>
      </c>
    </row>
    <row r="2390" spans="1:8">
      <c r="A2390" s="317">
        <v>1604010654</v>
      </c>
      <c r="B2390" s="317" t="s">
        <v>46758</v>
      </c>
      <c r="C2390" s="330" t="s">
        <v>8957</v>
      </c>
      <c r="D2390" s="330" t="s">
        <v>8958</v>
      </c>
      <c r="E2390" s="330" t="s">
        <v>4819</v>
      </c>
      <c r="F2390" s="331">
        <v>0.21</v>
      </c>
      <c r="G2390" s="332">
        <v>119267</v>
      </c>
      <c r="H2390" s="333">
        <v>144314</v>
      </c>
    </row>
    <row r="2391" spans="1:8">
      <c r="A2391" s="317">
        <v>1604010660</v>
      </c>
      <c r="B2391" s="317" t="s">
        <v>46759</v>
      </c>
      <c r="C2391" s="330" t="s">
        <v>8959</v>
      </c>
      <c r="D2391" s="330" t="s">
        <v>8960</v>
      </c>
      <c r="E2391" s="330" t="s">
        <v>37248</v>
      </c>
      <c r="F2391" s="331">
        <v>0.21</v>
      </c>
      <c r="G2391" s="332">
        <v>47687</v>
      </c>
      <c r="H2391" s="333">
        <v>57702</v>
      </c>
    </row>
    <row r="2392" spans="1:8">
      <c r="A2392" s="317" t="s">
        <v>38723</v>
      </c>
      <c r="B2392" s="317" t="s">
        <v>46760</v>
      </c>
      <c r="C2392" s="330" t="s">
        <v>8961</v>
      </c>
      <c r="D2392" s="330" t="s">
        <v>8962</v>
      </c>
      <c r="E2392" s="330" t="s">
        <v>37248</v>
      </c>
      <c r="F2392" s="331">
        <v>0.21</v>
      </c>
      <c r="G2392" s="332">
        <v>66043</v>
      </c>
      <c r="H2392" s="333">
        <v>79913</v>
      </c>
    </row>
    <row r="2393" spans="1:8">
      <c r="A2393" s="317" t="s">
        <v>38724</v>
      </c>
      <c r="B2393" s="317" t="s">
        <v>46761</v>
      </c>
      <c r="C2393" s="330" t="s">
        <v>8963</v>
      </c>
      <c r="D2393" s="330" t="s">
        <v>8964</v>
      </c>
      <c r="E2393" s="330" t="s">
        <v>37248</v>
      </c>
      <c r="F2393" s="331">
        <v>0.21</v>
      </c>
      <c r="G2393" s="332">
        <v>56413</v>
      </c>
      <c r="H2393" s="333">
        <v>68260</v>
      </c>
    </row>
    <row r="2394" spans="1:8">
      <c r="A2394" s="317" t="s">
        <v>38725</v>
      </c>
      <c r="B2394" s="317" t="s">
        <v>46762</v>
      </c>
      <c r="C2394" s="330" t="s">
        <v>8965</v>
      </c>
      <c r="D2394" s="330" t="s">
        <v>8966</v>
      </c>
      <c r="E2394" s="330" t="s">
        <v>37248</v>
      </c>
      <c r="F2394" s="331">
        <v>0.21</v>
      </c>
      <c r="G2394" s="332">
        <v>74184</v>
      </c>
      <c r="H2394" s="333">
        <v>89763</v>
      </c>
    </row>
    <row r="2395" spans="1:8">
      <c r="A2395" s="317" t="s">
        <v>38726</v>
      </c>
      <c r="B2395" s="317" t="s">
        <v>46763</v>
      </c>
      <c r="C2395" s="330" t="s">
        <v>8967</v>
      </c>
      <c r="D2395" s="330" t="s">
        <v>8968</v>
      </c>
      <c r="E2395" s="330" t="s">
        <v>37248</v>
      </c>
      <c r="F2395" s="331">
        <v>0.21</v>
      </c>
      <c r="G2395" s="332">
        <v>87136</v>
      </c>
      <c r="H2395" s="333">
        <v>105435</v>
      </c>
    </row>
    <row r="2396" spans="1:8">
      <c r="A2396" s="317" t="s">
        <v>38727</v>
      </c>
      <c r="B2396" s="317" t="s">
        <v>46764</v>
      </c>
      <c r="C2396" s="330" t="s">
        <v>8969</v>
      </c>
      <c r="D2396" s="330" t="s">
        <v>8970</v>
      </c>
      <c r="E2396" s="330" t="s">
        <v>4634</v>
      </c>
      <c r="F2396" s="331">
        <v>0.21</v>
      </c>
      <c r="G2396" s="332">
        <v>8048</v>
      </c>
      <c r="H2396" s="333">
        <v>9739</v>
      </c>
    </row>
    <row r="2397" spans="1:8">
      <c r="A2397" s="317" t="s">
        <v>38728</v>
      </c>
      <c r="B2397" s="317" t="s">
        <v>46765</v>
      </c>
      <c r="C2397" s="330" t="s">
        <v>8971</v>
      </c>
      <c r="D2397" s="330" t="s">
        <v>8972</v>
      </c>
      <c r="E2397" s="330" t="s">
        <v>37248</v>
      </c>
      <c r="F2397" s="331">
        <v>0.21</v>
      </c>
      <c r="G2397" s="332">
        <v>113670</v>
      </c>
      <c r="H2397" s="333">
        <v>137541</v>
      </c>
    </row>
    <row r="2398" spans="1:8">
      <c r="A2398" s="317" t="s">
        <v>38729</v>
      </c>
      <c r="B2398" s="317" t="s">
        <v>46766</v>
      </c>
      <c r="C2398" s="330" t="s">
        <v>8973</v>
      </c>
      <c r="D2398" s="330" t="s">
        <v>8974</v>
      </c>
      <c r="E2398" s="330" t="s">
        <v>37248</v>
      </c>
      <c r="F2398" s="331">
        <v>0.21</v>
      </c>
      <c r="G2398" s="332">
        <v>10714</v>
      </c>
      <c r="H2398" s="333">
        <v>12964</v>
      </c>
    </row>
    <row r="2399" spans="1:8">
      <c r="A2399" s="317" t="s">
        <v>38730</v>
      </c>
      <c r="B2399" s="317" t="s">
        <v>46767</v>
      </c>
      <c r="C2399" s="330" t="s">
        <v>8975</v>
      </c>
      <c r="D2399" s="330" t="s">
        <v>8976</v>
      </c>
      <c r="E2399" s="330" t="s">
        <v>37248</v>
      </c>
      <c r="F2399" s="331">
        <v>0.21</v>
      </c>
      <c r="G2399" s="332">
        <v>22776</v>
      </c>
      <c r="H2399" s="333">
        <v>27559</v>
      </c>
    </row>
    <row r="2400" spans="1:8">
      <c r="A2400" s="317" t="s">
        <v>38731</v>
      </c>
      <c r="B2400" s="317" t="s">
        <v>46768</v>
      </c>
      <c r="C2400" s="330" t="s">
        <v>8977</v>
      </c>
      <c r="D2400" s="330" t="s">
        <v>8978</v>
      </c>
      <c r="E2400" s="330" t="s">
        <v>37248</v>
      </c>
      <c r="F2400" s="331">
        <v>0.21</v>
      </c>
      <c r="G2400" s="332">
        <v>29274</v>
      </c>
      <c r="H2400" s="333">
        <v>35422</v>
      </c>
    </row>
    <row r="2401" spans="1:8">
      <c r="A2401" s="317" t="s">
        <v>38732</v>
      </c>
      <c r="B2401" s="317" t="s">
        <v>46769</v>
      </c>
      <c r="C2401" s="330" t="s">
        <v>8979</v>
      </c>
      <c r="D2401" s="330" t="s">
        <v>8980</v>
      </c>
      <c r="E2401" s="330" t="s">
        <v>4634</v>
      </c>
      <c r="F2401" s="331">
        <v>0.21</v>
      </c>
      <c r="G2401" s="332">
        <v>138376</v>
      </c>
      <c r="H2401" s="333">
        <v>167435</v>
      </c>
    </row>
    <row r="2402" spans="1:8">
      <c r="A2402" s="317" t="s">
        <v>38733</v>
      </c>
      <c r="B2402" s="317" t="s">
        <v>46770</v>
      </c>
      <c r="C2402" s="330" t="s">
        <v>8981</v>
      </c>
      <c r="D2402" s="330" t="s">
        <v>8982</v>
      </c>
      <c r="E2402" s="330" t="s">
        <v>37248</v>
      </c>
      <c r="F2402" s="331">
        <v>0.21</v>
      </c>
      <c r="G2402" s="332">
        <v>31520</v>
      </c>
      <c r="H2402" s="333">
        <v>38140</v>
      </c>
    </row>
    <row r="2403" spans="1:8">
      <c r="A2403" s="317" t="s">
        <v>38734</v>
      </c>
      <c r="B2403" s="317" t="s">
        <v>46771</v>
      </c>
      <c r="C2403" s="330" t="s">
        <v>8983</v>
      </c>
      <c r="D2403" s="330" t="s">
        <v>8984</v>
      </c>
      <c r="E2403" s="330" t="s">
        <v>37248</v>
      </c>
      <c r="F2403" s="331">
        <v>0.21</v>
      </c>
      <c r="G2403" s="332">
        <v>14107</v>
      </c>
      <c r="H2403" s="333">
        <v>17070</v>
      </c>
    </row>
    <row r="2404" spans="1:8">
      <c r="A2404" s="317" t="s">
        <v>38735</v>
      </c>
      <c r="B2404" s="317" t="s">
        <v>46772</v>
      </c>
      <c r="C2404" s="330" t="s">
        <v>8985</v>
      </c>
      <c r="D2404" s="330" t="s">
        <v>8986</v>
      </c>
      <c r="E2404" s="330" t="s">
        <v>4819</v>
      </c>
      <c r="F2404" s="331">
        <v>0.21</v>
      </c>
      <c r="G2404" s="332">
        <v>27824</v>
      </c>
      <c r="H2404" s="333">
        <v>33668</v>
      </c>
    </row>
    <row r="2405" spans="1:8">
      <c r="A2405" s="317" t="s">
        <v>38736</v>
      </c>
      <c r="B2405" s="317" t="s">
        <v>46773</v>
      </c>
      <c r="C2405" s="330" t="s">
        <v>8987</v>
      </c>
      <c r="D2405" s="330" t="s">
        <v>8988</v>
      </c>
      <c r="E2405" s="330" t="s">
        <v>37248</v>
      </c>
      <c r="F2405" s="331">
        <v>0.21</v>
      </c>
      <c r="G2405" s="332">
        <v>100870</v>
      </c>
      <c r="H2405" s="333">
        <v>122053</v>
      </c>
    </row>
    <row r="2406" spans="1:8">
      <c r="A2406" s="317" t="s">
        <v>38737</v>
      </c>
      <c r="B2406" s="317" t="s">
        <v>46774</v>
      </c>
      <c r="C2406" s="330" t="s">
        <v>8989</v>
      </c>
      <c r="D2406" s="330" t="s">
        <v>8990</v>
      </c>
      <c r="E2406" s="330" t="s">
        <v>4819</v>
      </c>
      <c r="F2406" s="331">
        <v>0.21</v>
      </c>
      <c r="G2406" s="332">
        <v>16574</v>
      </c>
      <c r="H2406" s="333">
        <v>20055</v>
      </c>
    </row>
    <row r="2407" spans="1:8">
      <c r="A2407" s="317" t="s">
        <v>38738</v>
      </c>
      <c r="B2407" s="317" t="s">
        <v>46775</v>
      </c>
      <c r="C2407" s="330" t="s">
        <v>8991</v>
      </c>
      <c r="D2407" s="330" t="s">
        <v>8992</v>
      </c>
      <c r="E2407" s="330" t="s">
        <v>37248</v>
      </c>
      <c r="F2407" s="331">
        <v>0.21</v>
      </c>
      <c r="G2407" s="332">
        <v>37300</v>
      </c>
      <c r="H2407" s="333">
        <v>45133</v>
      </c>
    </row>
    <row r="2408" spans="1:8">
      <c r="A2408" s="317" t="s">
        <v>38739</v>
      </c>
      <c r="B2408" s="317" t="s">
        <v>46776</v>
      </c>
      <c r="C2408" s="330" t="s">
        <v>8993</v>
      </c>
      <c r="D2408" s="330" t="s">
        <v>8994</v>
      </c>
      <c r="E2408" s="330" t="s">
        <v>37248</v>
      </c>
      <c r="F2408" s="331">
        <v>0.21</v>
      </c>
      <c r="G2408" s="332">
        <v>22510</v>
      </c>
      <c r="H2408" s="333">
        <v>27238</v>
      </c>
    </row>
    <row r="2409" spans="1:8">
      <c r="A2409" s="317" t="s">
        <v>38740</v>
      </c>
      <c r="B2409" s="317" t="s">
        <v>46777</v>
      </c>
      <c r="C2409" s="330" t="s">
        <v>8995</v>
      </c>
      <c r="D2409" s="330" t="s">
        <v>8996</v>
      </c>
      <c r="E2409" s="330" t="s">
        <v>37248</v>
      </c>
      <c r="F2409" s="331">
        <v>0.21</v>
      </c>
      <c r="G2409" s="332">
        <v>61575</v>
      </c>
      <c r="H2409" s="333">
        <v>74506</v>
      </c>
    </row>
    <row r="2410" spans="1:8">
      <c r="A2410" s="317" t="s">
        <v>38741</v>
      </c>
      <c r="B2410" s="317" t="s">
        <v>46778</v>
      </c>
      <c r="C2410" s="330" t="s">
        <v>8997</v>
      </c>
      <c r="D2410" s="330" t="s">
        <v>8998</v>
      </c>
      <c r="E2410" s="330" t="s">
        <v>37248</v>
      </c>
      <c r="F2410" s="331">
        <v>0.21</v>
      </c>
      <c r="G2410" s="332">
        <v>27415</v>
      </c>
      <c r="H2410" s="333">
        <v>33173</v>
      </c>
    </row>
    <row r="2411" spans="1:8">
      <c r="A2411" s="317" t="s">
        <v>38742</v>
      </c>
      <c r="B2411" s="317" t="s">
        <v>46779</v>
      </c>
      <c r="C2411" s="330" t="s">
        <v>8999</v>
      </c>
      <c r="D2411" s="330" t="s">
        <v>9000</v>
      </c>
      <c r="E2411" s="330" t="s">
        <v>4634</v>
      </c>
      <c r="F2411" s="331">
        <v>0.21</v>
      </c>
      <c r="G2411" s="332">
        <v>25656</v>
      </c>
      <c r="H2411" s="333">
        <v>31044</v>
      </c>
    </row>
    <row r="2412" spans="1:8">
      <c r="A2412" s="317" t="s">
        <v>38743</v>
      </c>
      <c r="B2412" s="317" t="s">
        <v>46780</v>
      </c>
      <c r="C2412" s="330" t="s">
        <v>9001</v>
      </c>
      <c r="D2412" s="330" t="s">
        <v>9002</v>
      </c>
      <c r="E2412" s="330" t="s">
        <v>37248</v>
      </c>
      <c r="F2412" s="331">
        <v>0.21</v>
      </c>
      <c r="G2412" s="332">
        <v>39469</v>
      </c>
      <c r="H2412" s="333">
        <v>47758</v>
      </c>
    </row>
    <row r="2413" spans="1:8">
      <c r="A2413" s="317" t="s">
        <v>38744</v>
      </c>
      <c r="B2413" s="317" t="s">
        <v>46781</v>
      </c>
      <c r="C2413" s="330" t="s">
        <v>9003</v>
      </c>
      <c r="D2413" s="330" t="s">
        <v>9004</v>
      </c>
      <c r="E2413" s="330" t="s">
        <v>37248</v>
      </c>
      <c r="F2413" s="331">
        <v>0.21</v>
      </c>
      <c r="G2413" s="332">
        <v>22296</v>
      </c>
      <c r="H2413" s="333">
        <v>26979</v>
      </c>
    </row>
    <row r="2414" spans="1:8">
      <c r="A2414" s="317" t="s">
        <v>38745</v>
      </c>
      <c r="B2414" s="317" t="s">
        <v>46782</v>
      </c>
      <c r="C2414" s="330" t="s">
        <v>9005</v>
      </c>
      <c r="D2414" s="330" t="s">
        <v>8976</v>
      </c>
      <c r="E2414" s="330" t="s">
        <v>37248</v>
      </c>
      <c r="F2414" s="331">
        <v>0.21</v>
      </c>
      <c r="G2414" s="332">
        <v>20739</v>
      </c>
      <c r="H2414" s="333">
        <v>25095</v>
      </c>
    </row>
    <row r="2415" spans="1:8">
      <c r="A2415" s="317" t="s">
        <v>38746</v>
      </c>
      <c r="B2415" s="317" t="s">
        <v>46783</v>
      </c>
      <c r="C2415" s="330" t="s">
        <v>9006</v>
      </c>
      <c r="D2415" s="330" t="s">
        <v>9007</v>
      </c>
      <c r="E2415" s="330" t="s">
        <v>37248</v>
      </c>
      <c r="F2415" s="331">
        <v>0.21</v>
      </c>
      <c r="G2415" s="332">
        <v>30735</v>
      </c>
      <c r="H2415" s="333">
        <v>37190</v>
      </c>
    </row>
    <row r="2416" spans="1:8">
      <c r="A2416" s="317" t="s">
        <v>38747</v>
      </c>
      <c r="B2416" s="317" t="s">
        <v>46784</v>
      </c>
      <c r="C2416" s="330" t="s">
        <v>9008</v>
      </c>
      <c r="D2416" s="330" t="s">
        <v>8976</v>
      </c>
      <c r="E2416" s="330" t="s">
        <v>37248</v>
      </c>
      <c r="F2416" s="331">
        <v>0.21</v>
      </c>
      <c r="G2416" s="332">
        <v>45233</v>
      </c>
      <c r="H2416" s="333">
        <v>54732</v>
      </c>
    </row>
    <row r="2417" spans="1:8">
      <c r="A2417" s="317" t="s">
        <v>38748</v>
      </c>
      <c r="B2417" s="317" t="s">
        <v>46785</v>
      </c>
      <c r="C2417" s="330" t="s">
        <v>9009</v>
      </c>
      <c r="D2417" s="330" t="s">
        <v>9010</v>
      </c>
      <c r="E2417" s="330" t="s">
        <v>37248</v>
      </c>
      <c r="F2417" s="331">
        <v>0.21</v>
      </c>
      <c r="G2417" s="332">
        <v>90731</v>
      </c>
      <c r="H2417" s="333">
        <v>109785</v>
      </c>
    </row>
    <row r="2418" spans="1:8">
      <c r="A2418" s="317" t="s">
        <v>38749</v>
      </c>
      <c r="B2418" s="317" t="s">
        <v>46786</v>
      </c>
      <c r="C2418" s="330" t="s">
        <v>9011</v>
      </c>
      <c r="D2418" s="330" t="s">
        <v>9012</v>
      </c>
      <c r="E2418" s="330" t="s">
        <v>37248</v>
      </c>
      <c r="F2418" s="331">
        <v>0.21</v>
      </c>
      <c r="G2418" s="332">
        <v>85922</v>
      </c>
      <c r="H2418" s="333">
        <v>103966</v>
      </c>
    </row>
    <row r="2419" spans="1:8">
      <c r="A2419" s="317" t="s">
        <v>38750</v>
      </c>
      <c r="B2419" s="317" t="s">
        <v>46787</v>
      </c>
      <c r="C2419" s="330" t="s">
        <v>9013</v>
      </c>
      <c r="D2419" s="330" t="s">
        <v>5155</v>
      </c>
      <c r="E2419" s="330" t="s">
        <v>37248</v>
      </c>
      <c r="F2419" s="331">
        <v>0.21</v>
      </c>
      <c r="G2419" s="332">
        <v>76544</v>
      </c>
      <c r="H2419" s="333">
        <v>92619</v>
      </c>
    </row>
    <row r="2420" spans="1:8">
      <c r="A2420" s="317" t="s">
        <v>38751</v>
      </c>
      <c r="B2420" s="317" t="s">
        <v>46788</v>
      </c>
      <c r="C2420" s="330" t="s">
        <v>9014</v>
      </c>
      <c r="D2420" s="330" t="s">
        <v>5155</v>
      </c>
      <c r="E2420" s="330" t="s">
        <v>37248</v>
      </c>
      <c r="F2420" s="331">
        <v>0.21</v>
      </c>
      <c r="G2420" s="332">
        <v>108178</v>
      </c>
      <c r="H2420" s="333">
        <v>130896</v>
      </c>
    </row>
    <row r="2421" spans="1:8">
      <c r="A2421" s="317" t="s">
        <v>38752</v>
      </c>
      <c r="B2421" s="317" t="s">
        <v>46789</v>
      </c>
      <c r="C2421" s="330" t="s">
        <v>9015</v>
      </c>
      <c r="D2421" s="330" t="s">
        <v>9016</v>
      </c>
      <c r="E2421" s="330" t="s">
        <v>37248</v>
      </c>
      <c r="F2421" s="331">
        <v>0.21</v>
      </c>
      <c r="G2421" s="332">
        <v>38431</v>
      </c>
      <c r="H2421" s="333">
        <v>46502</v>
      </c>
    </row>
    <row r="2422" spans="1:8">
      <c r="A2422" s="317" t="s">
        <v>38753</v>
      </c>
      <c r="B2422" s="317" t="s">
        <v>46790</v>
      </c>
      <c r="C2422" s="330" t="s">
        <v>9017</v>
      </c>
      <c r="D2422" s="330" t="s">
        <v>9018</v>
      </c>
      <c r="E2422" s="330" t="s">
        <v>37248</v>
      </c>
      <c r="F2422" s="331">
        <v>0.21</v>
      </c>
      <c r="G2422" s="332">
        <v>36791</v>
      </c>
      <c r="H2422" s="333">
        <v>44518</v>
      </c>
    </row>
    <row r="2423" spans="1:8">
      <c r="A2423" s="317" t="s">
        <v>38754</v>
      </c>
      <c r="B2423" s="317" t="s">
        <v>46791</v>
      </c>
      <c r="C2423" s="330" t="s">
        <v>9019</v>
      </c>
      <c r="D2423" s="330" t="s">
        <v>9020</v>
      </c>
      <c r="E2423" s="330" t="s">
        <v>37248</v>
      </c>
      <c r="F2423" s="331">
        <v>0.21</v>
      </c>
      <c r="G2423" s="332">
        <v>48037</v>
      </c>
      <c r="H2423" s="333">
        <v>58125</v>
      </c>
    </row>
    <row r="2424" spans="1:8">
      <c r="A2424" s="317" t="s">
        <v>38755</v>
      </c>
      <c r="B2424" s="317" t="s">
        <v>46792</v>
      </c>
      <c r="C2424" s="330" t="s">
        <v>9021</v>
      </c>
      <c r="D2424" s="330" t="s">
        <v>5155</v>
      </c>
      <c r="E2424" s="330" t="s">
        <v>37248</v>
      </c>
      <c r="F2424" s="331">
        <v>0.21</v>
      </c>
      <c r="G2424" s="332">
        <v>62452</v>
      </c>
      <c r="H2424" s="333">
        <v>75567</v>
      </c>
    </row>
    <row r="2425" spans="1:8">
      <c r="A2425" s="317">
        <v>1604011116</v>
      </c>
      <c r="B2425" s="317" t="s">
        <v>46793</v>
      </c>
      <c r="C2425" s="330" t="s">
        <v>9022</v>
      </c>
      <c r="D2425" s="330" t="s">
        <v>9023</v>
      </c>
      <c r="E2425" s="330" t="s">
        <v>4634</v>
      </c>
      <c r="F2425" s="331">
        <v>0.21</v>
      </c>
      <c r="G2425" s="332">
        <v>77418</v>
      </c>
      <c r="H2425" s="333">
        <v>93676</v>
      </c>
    </row>
    <row r="2426" spans="1:8">
      <c r="A2426" s="317">
        <v>1604011121</v>
      </c>
      <c r="B2426" s="317" t="s">
        <v>46794</v>
      </c>
      <c r="C2426" s="330" t="s">
        <v>9024</v>
      </c>
      <c r="D2426" s="330" t="s">
        <v>9025</v>
      </c>
      <c r="E2426" s="330" t="s">
        <v>4634</v>
      </c>
      <c r="F2426" s="331">
        <v>0.21</v>
      </c>
      <c r="G2426" s="332">
        <v>16764</v>
      </c>
      <c r="H2426" s="333">
        <v>20285</v>
      </c>
    </row>
    <row r="2427" spans="1:8">
      <c r="A2427" s="317">
        <v>1604011141</v>
      </c>
      <c r="B2427" s="317" t="s">
        <v>46795</v>
      </c>
      <c r="C2427" s="330" t="s">
        <v>9026</v>
      </c>
      <c r="D2427" s="330" t="s">
        <v>9027</v>
      </c>
      <c r="E2427" s="330" t="s">
        <v>4634</v>
      </c>
      <c r="F2427" s="331">
        <v>0.21</v>
      </c>
      <c r="G2427" s="332">
        <v>17089</v>
      </c>
      <c r="H2427" s="333">
        <v>20678</v>
      </c>
    </row>
    <row r="2428" spans="1:8">
      <c r="A2428" s="317">
        <v>1604011148</v>
      </c>
      <c r="B2428" s="317" t="s">
        <v>46796</v>
      </c>
      <c r="C2428" s="330" t="s">
        <v>9028</v>
      </c>
      <c r="D2428" s="330" t="s">
        <v>9029</v>
      </c>
      <c r="E2428" s="330" t="s">
        <v>4634</v>
      </c>
      <c r="F2428" s="331">
        <v>0.21</v>
      </c>
      <c r="G2428" s="332">
        <v>41398</v>
      </c>
      <c r="H2428" s="333">
        <v>50092</v>
      </c>
    </row>
    <row r="2429" spans="1:8">
      <c r="A2429" s="317">
        <v>1604011149</v>
      </c>
      <c r="B2429" s="317" t="s">
        <v>46797</v>
      </c>
      <c r="C2429" s="330" t="s">
        <v>9030</v>
      </c>
      <c r="D2429" s="330" t="s">
        <v>9031</v>
      </c>
      <c r="E2429" s="330" t="s">
        <v>4634</v>
      </c>
      <c r="F2429" s="331">
        <v>0.21</v>
      </c>
      <c r="G2429" s="332">
        <v>23302</v>
      </c>
      <c r="H2429" s="333">
        <v>28196</v>
      </c>
    </row>
    <row r="2430" spans="1:8">
      <c r="A2430" s="317">
        <v>1604011156</v>
      </c>
      <c r="B2430" s="317" t="s">
        <v>46798</v>
      </c>
      <c r="C2430" s="330" t="s">
        <v>9032</v>
      </c>
      <c r="D2430" s="330" t="s">
        <v>9033</v>
      </c>
      <c r="E2430" s="330" t="s">
        <v>4634</v>
      </c>
      <c r="F2430" s="331">
        <v>0.21</v>
      </c>
      <c r="G2430" s="332">
        <v>137803</v>
      </c>
      <c r="H2430" s="333">
        <v>166742</v>
      </c>
    </row>
    <row r="2431" spans="1:8">
      <c r="A2431" s="317">
        <v>1604011182</v>
      </c>
      <c r="B2431" s="317" t="s">
        <v>46799</v>
      </c>
      <c r="C2431" s="330" t="s">
        <v>9034</v>
      </c>
      <c r="D2431" s="330" t="s">
        <v>9035</v>
      </c>
      <c r="E2431" s="330" t="s">
        <v>4634</v>
      </c>
      <c r="F2431" s="331">
        <v>0.21</v>
      </c>
      <c r="G2431" s="332">
        <v>142940</v>
      </c>
      <c r="H2431" s="333">
        <v>172958</v>
      </c>
    </row>
    <row r="2432" spans="1:8">
      <c r="A2432" s="317">
        <v>1604011223</v>
      </c>
      <c r="B2432" s="317" t="s">
        <v>46800</v>
      </c>
      <c r="C2432" s="330" t="s">
        <v>9036</v>
      </c>
      <c r="D2432" s="330" t="s">
        <v>9037</v>
      </c>
      <c r="E2432" s="330" t="s">
        <v>4634</v>
      </c>
      <c r="F2432" s="331">
        <v>0.21</v>
      </c>
      <c r="G2432" s="332">
        <v>20975</v>
      </c>
      <c r="H2432" s="333">
        <v>25380</v>
      </c>
    </row>
    <row r="2433" spans="1:8">
      <c r="A2433" s="317">
        <v>1604011257</v>
      </c>
      <c r="B2433" s="317" t="s">
        <v>46801</v>
      </c>
      <c r="C2433" s="330" t="s">
        <v>9038</v>
      </c>
      <c r="D2433" s="330" t="s">
        <v>9039</v>
      </c>
      <c r="E2433" s="330" t="s">
        <v>4634</v>
      </c>
      <c r="F2433" s="331">
        <v>0.21</v>
      </c>
      <c r="G2433" s="332">
        <v>66381</v>
      </c>
      <c r="H2433" s="333">
        <v>80322</v>
      </c>
    </row>
    <row r="2434" spans="1:8">
      <c r="A2434" s="317">
        <v>1604011297</v>
      </c>
      <c r="B2434" s="317" t="s">
        <v>46802</v>
      </c>
      <c r="C2434" s="330" t="s">
        <v>9040</v>
      </c>
      <c r="D2434" s="330" t="s">
        <v>9041</v>
      </c>
      <c r="E2434" s="330" t="s">
        <v>37248</v>
      </c>
      <c r="F2434" s="331">
        <v>0.21</v>
      </c>
      <c r="G2434" s="332">
        <v>96123</v>
      </c>
      <c r="H2434" s="333">
        <v>116309</v>
      </c>
    </row>
    <row r="2435" spans="1:8">
      <c r="A2435" s="317">
        <v>1604011298</v>
      </c>
      <c r="B2435" s="317" t="s">
        <v>46803</v>
      </c>
      <c r="C2435" s="330" t="s">
        <v>9042</v>
      </c>
      <c r="D2435" s="330" t="s">
        <v>9043</v>
      </c>
      <c r="E2435" s="330" t="s">
        <v>37248</v>
      </c>
      <c r="F2435" s="331">
        <v>0.21</v>
      </c>
      <c r="G2435" s="332">
        <v>55802</v>
      </c>
      <c r="H2435" s="333">
        <v>67521</v>
      </c>
    </row>
    <row r="2436" spans="1:8">
      <c r="A2436" s="317">
        <v>1604011932</v>
      </c>
      <c r="B2436" s="317" t="s">
        <v>46804</v>
      </c>
      <c r="C2436" s="330" t="s">
        <v>9044</v>
      </c>
      <c r="D2436" s="330" t="s">
        <v>9045</v>
      </c>
      <c r="E2436" s="330" t="s">
        <v>4634</v>
      </c>
      <c r="F2436" s="331">
        <v>0.21</v>
      </c>
      <c r="G2436" s="332">
        <v>96000</v>
      </c>
      <c r="H2436" s="333">
        <v>116160</v>
      </c>
    </row>
    <row r="2437" spans="1:8">
      <c r="A2437" s="317">
        <v>1604012000</v>
      </c>
      <c r="B2437" s="317" t="s">
        <v>46805</v>
      </c>
      <c r="C2437" s="330" t="s">
        <v>9046</v>
      </c>
      <c r="D2437" s="330" t="s">
        <v>9047</v>
      </c>
      <c r="E2437" s="330" t="s">
        <v>4634</v>
      </c>
      <c r="F2437" s="331">
        <v>0.21</v>
      </c>
      <c r="G2437" s="332">
        <v>27175</v>
      </c>
      <c r="H2437" s="333">
        <v>32882</v>
      </c>
    </row>
    <row r="2438" spans="1:8">
      <c r="A2438" s="317">
        <v>1604012039</v>
      </c>
      <c r="B2438" s="317" t="s">
        <v>46806</v>
      </c>
      <c r="C2438" s="330" t="s">
        <v>9048</v>
      </c>
      <c r="D2438" s="330" t="s">
        <v>9049</v>
      </c>
      <c r="E2438" s="330" t="s">
        <v>4634</v>
      </c>
      <c r="F2438" s="331">
        <v>0.21</v>
      </c>
      <c r="G2438" s="332">
        <v>27454</v>
      </c>
      <c r="H2438" s="333">
        <v>33220</v>
      </c>
    </row>
    <row r="2439" spans="1:8">
      <c r="A2439" s="317">
        <v>1604012044</v>
      </c>
      <c r="B2439" s="317" t="s">
        <v>46807</v>
      </c>
      <c r="C2439" s="330" t="s">
        <v>9050</v>
      </c>
      <c r="D2439" s="330" t="s">
        <v>9051</v>
      </c>
      <c r="E2439" s="330" t="s">
        <v>4634</v>
      </c>
      <c r="F2439" s="331">
        <v>0.21</v>
      </c>
      <c r="G2439" s="332">
        <v>17986</v>
      </c>
      <c r="H2439" s="333">
        <v>21764</v>
      </c>
    </row>
    <row r="2440" spans="1:8">
      <c r="A2440" s="317">
        <v>1604080036</v>
      </c>
      <c r="B2440" s="317" t="s">
        <v>46808</v>
      </c>
      <c r="C2440" s="330" t="s">
        <v>9052</v>
      </c>
      <c r="D2440" s="330" t="s">
        <v>9053</v>
      </c>
      <c r="E2440" s="330" t="s">
        <v>4634</v>
      </c>
      <c r="F2440" s="331">
        <v>0.21</v>
      </c>
      <c r="G2440" s="332">
        <v>97357</v>
      </c>
      <c r="H2440" s="333">
        <v>117802</v>
      </c>
    </row>
    <row r="2441" spans="1:8">
      <c r="A2441" s="317">
        <v>1604080038</v>
      </c>
      <c r="B2441" s="317" t="s">
        <v>46809</v>
      </c>
      <c r="C2441" s="330" t="s">
        <v>9054</v>
      </c>
      <c r="D2441" s="330" t="s">
        <v>9055</v>
      </c>
      <c r="E2441" s="330" t="s">
        <v>4634</v>
      </c>
      <c r="F2441" s="331">
        <v>0.21</v>
      </c>
      <c r="G2441" s="332">
        <v>83729</v>
      </c>
      <c r="H2441" s="333">
        <v>101313</v>
      </c>
    </row>
    <row r="2442" spans="1:8">
      <c r="A2442" s="317">
        <v>1604080079</v>
      </c>
      <c r="B2442" s="317" t="s">
        <v>46810</v>
      </c>
      <c r="C2442" s="330" t="s">
        <v>9056</v>
      </c>
      <c r="D2442" s="330" t="s">
        <v>9057</v>
      </c>
      <c r="E2442" s="330" t="s">
        <v>4634</v>
      </c>
      <c r="F2442" s="331">
        <v>0.21</v>
      </c>
      <c r="G2442" s="332">
        <v>66229</v>
      </c>
      <c r="H2442" s="333">
        <v>80138</v>
      </c>
    </row>
    <row r="2443" spans="1:8">
      <c r="A2443" s="317">
        <v>1604220039</v>
      </c>
      <c r="B2443" s="317" t="s">
        <v>46811</v>
      </c>
      <c r="C2443" s="330" t="s">
        <v>9058</v>
      </c>
      <c r="D2443" s="330" t="s">
        <v>9059</v>
      </c>
      <c r="E2443" s="330" t="s">
        <v>4634</v>
      </c>
      <c r="F2443" s="331">
        <v>0.21</v>
      </c>
      <c r="G2443" s="332">
        <v>3245</v>
      </c>
      <c r="H2443" s="333">
        <v>3927</v>
      </c>
    </row>
    <row r="2444" spans="1:8">
      <c r="A2444" s="317">
        <v>1604220109</v>
      </c>
      <c r="B2444" s="317" t="s">
        <v>46812</v>
      </c>
      <c r="C2444" s="330" t="s">
        <v>9060</v>
      </c>
      <c r="D2444" s="330" t="s">
        <v>9061</v>
      </c>
      <c r="E2444" s="330" t="s">
        <v>4634</v>
      </c>
      <c r="F2444" s="331">
        <v>0.21</v>
      </c>
      <c r="G2444" s="332">
        <v>13453</v>
      </c>
      <c r="H2444" s="333">
        <v>16279</v>
      </c>
    </row>
    <row r="2445" spans="1:8">
      <c r="A2445" s="317">
        <v>1604220140</v>
      </c>
      <c r="B2445" s="317" t="s">
        <v>46813</v>
      </c>
      <c r="C2445" s="330" t="s">
        <v>9062</v>
      </c>
      <c r="D2445" s="330" t="s">
        <v>9063</v>
      </c>
      <c r="E2445" s="330" t="s">
        <v>4634</v>
      </c>
      <c r="F2445" s="331">
        <v>0.21</v>
      </c>
      <c r="G2445" s="332">
        <v>3245</v>
      </c>
      <c r="H2445" s="333">
        <v>3927</v>
      </c>
    </row>
    <row r="2446" spans="1:8">
      <c r="A2446" s="317">
        <v>1604220149</v>
      </c>
      <c r="B2446" s="317" t="s">
        <v>46814</v>
      </c>
      <c r="C2446" s="330" t="s">
        <v>9064</v>
      </c>
      <c r="D2446" s="330" t="s">
        <v>9065</v>
      </c>
      <c r="E2446" s="330" t="s">
        <v>4634</v>
      </c>
      <c r="F2446" s="331">
        <v>0.21</v>
      </c>
      <c r="G2446" s="332">
        <v>4423</v>
      </c>
      <c r="H2446" s="333">
        <v>5352</v>
      </c>
    </row>
    <row r="2447" spans="1:8">
      <c r="A2447" s="317">
        <v>1604220159</v>
      </c>
      <c r="B2447" s="317" t="s">
        <v>46815</v>
      </c>
      <c r="C2447" s="330" t="s">
        <v>9066</v>
      </c>
      <c r="D2447" s="330" t="s">
        <v>9067</v>
      </c>
      <c r="E2447" s="330" t="s">
        <v>4634</v>
      </c>
      <c r="F2447" s="331">
        <v>0.21</v>
      </c>
      <c r="G2447" s="332">
        <v>19195</v>
      </c>
      <c r="H2447" s="333">
        <v>23226</v>
      </c>
    </row>
    <row r="2448" spans="1:8">
      <c r="A2448" s="317">
        <v>1604220171</v>
      </c>
      <c r="B2448" s="317" t="s">
        <v>46816</v>
      </c>
      <c r="C2448" s="330" t="s">
        <v>9068</v>
      </c>
      <c r="D2448" s="330" t="s">
        <v>9069</v>
      </c>
      <c r="E2448" s="330" t="s">
        <v>4634</v>
      </c>
      <c r="F2448" s="331">
        <v>0.21</v>
      </c>
      <c r="G2448" s="332">
        <v>6734</v>
      </c>
      <c r="H2448" s="333">
        <v>8149</v>
      </c>
    </row>
    <row r="2449" spans="1:8">
      <c r="A2449" s="317">
        <v>1604220175</v>
      </c>
      <c r="B2449" s="317" t="s">
        <v>46817</v>
      </c>
      <c r="C2449" s="330" t="s">
        <v>9070</v>
      </c>
      <c r="D2449" s="330" t="s">
        <v>9071</v>
      </c>
      <c r="E2449" s="330" t="s">
        <v>4634</v>
      </c>
      <c r="F2449" s="331">
        <v>0.21</v>
      </c>
      <c r="G2449" s="332">
        <v>19644</v>
      </c>
      <c r="H2449" s="333">
        <v>23770</v>
      </c>
    </row>
    <row r="2450" spans="1:8">
      <c r="A2450" s="317">
        <v>1604220194</v>
      </c>
      <c r="B2450" s="317" t="s">
        <v>46818</v>
      </c>
      <c r="C2450" s="330" t="s">
        <v>9072</v>
      </c>
      <c r="D2450" s="330" t="s">
        <v>9073</v>
      </c>
      <c r="E2450" s="330" t="s">
        <v>4634</v>
      </c>
      <c r="F2450" s="331">
        <v>0.21</v>
      </c>
      <c r="G2450" s="332">
        <v>5652</v>
      </c>
      <c r="H2450" s="333">
        <v>6839</v>
      </c>
    </row>
    <row r="2451" spans="1:8">
      <c r="A2451" s="317">
        <v>1604220215</v>
      </c>
      <c r="B2451" s="317" t="s">
        <v>46819</v>
      </c>
      <c r="C2451" s="330" t="s">
        <v>9074</v>
      </c>
      <c r="D2451" s="330" t="s">
        <v>9075</v>
      </c>
      <c r="E2451" s="330" t="s">
        <v>4634</v>
      </c>
      <c r="F2451" s="331">
        <v>0.21</v>
      </c>
      <c r="G2451" s="332">
        <v>122951</v>
      </c>
      <c r="H2451" s="333">
        <v>148771</v>
      </c>
    </row>
    <row r="2452" spans="1:8">
      <c r="A2452" s="317">
        <v>1604220220</v>
      </c>
      <c r="B2452" s="317" t="s">
        <v>46820</v>
      </c>
      <c r="C2452" s="330" t="s">
        <v>9076</v>
      </c>
      <c r="D2452" s="330" t="s">
        <v>9077</v>
      </c>
      <c r="E2452" s="330" t="s">
        <v>4634</v>
      </c>
      <c r="F2452" s="331">
        <v>0.21</v>
      </c>
      <c r="G2452" s="332">
        <v>7787</v>
      </c>
      <c r="H2452" s="333">
        <v>9423</v>
      </c>
    </row>
    <row r="2453" spans="1:8">
      <c r="A2453" s="317">
        <v>1604220228</v>
      </c>
      <c r="B2453" s="317" t="s">
        <v>46821</v>
      </c>
      <c r="C2453" s="330" t="s">
        <v>9078</v>
      </c>
      <c r="D2453" s="330" t="s">
        <v>9079</v>
      </c>
      <c r="E2453" s="330" t="s">
        <v>4634</v>
      </c>
      <c r="F2453" s="331">
        <v>0.21</v>
      </c>
      <c r="G2453" s="332">
        <v>11017</v>
      </c>
      <c r="H2453" s="333">
        <v>13331</v>
      </c>
    </row>
    <row r="2454" spans="1:8">
      <c r="A2454" s="317" t="s">
        <v>38756</v>
      </c>
      <c r="B2454" s="317" t="s">
        <v>46822</v>
      </c>
      <c r="C2454" s="330" t="s">
        <v>9080</v>
      </c>
      <c r="D2454" s="330" t="s">
        <v>9081</v>
      </c>
      <c r="E2454" s="330" t="s">
        <v>37248</v>
      </c>
      <c r="F2454" s="331">
        <v>0.21</v>
      </c>
      <c r="G2454" s="332">
        <v>36829</v>
      </c>
      <c r="H2454" s="333">
        <v>44564</v>
      </c>
    </row>
    <row r="2455" spans="1:8">
      <c r="A2455" s="317">
        <v>1604220245</v>
      </c>
      <c r="B2455" s="317" t="s">
        <v>46823</v>
      </c>
      <c r="C2455" s="330" t="s">
        <v>9082</v>
      </c>
      <c r="D2455" s="330" t="s">
        <v>9083</v>
      </c>
      <c r="E2455" s="330" t="s">
        <v>4634</v>
      </c>
      <c r="F2455" s="331">
        <v>0.21</v>
      </c>
      <c r="G2455" s="332">
        <v>2389</v>
      </c>
      <c r="H2455" s="333">
        <v>2891</v>
      </c>
    </row>
    <row r="2456" spans="1:8">
      <c r="A2456" s="317">
        <v>1604220254</v>
      </c>
      <c r="B2456" s="317" t="s">
        <v>46824</v>
      </c>
      <c r="C2456" s="330" t="s">
        <v>9084</v>
      </c>
      <c r="D2456" s="330" t="s">
        <v>9085</v>
      </c>
      <c r="E2456" s="330" t="s">
        <v>4634</v>
      </c>
      <c r="F2456" s="331">
        <v>0.21</v>
      </c>
      <c r="G2456" s="332">
        <v>8367</v>
      </c>
      <c r="H2456" s="333">
        <v>10125</v>
      </c>
    </row>
    <row r="2457" spans="1:8">
      <c r="A2457" s="317">
        <v>1604220258</v>
      </c>
      <c r="B2457" s="317" t="s">
        <v>46825</v>
      </c>
      <c r="C2457" s="330" t="s">
        <v>9086</v>
      </c>
      <c r="D2457" s="330" t="s">
        <v>9087</v>
      </c>
      <c r="E2457" s="330" t="s">
        <v>4634</v>
      </c>
      <c r="F2457" s="331">
        <v>0.21</v>
      </c>
      <c r="G2457" s="332">
        <v>4314</v>
      </c>
      <c r="H2457" s="333">
        <v>5220</v>
      </c>
    </row>
    <row r="2458" spans="1:8">
      <c r="A2458" s="317">
        <v>1604220262</v>
      </c>
      <c r="B2458" s="317" t="s">
        <v>46826</v>
      </c>
      <c r="C2458" s="330" t="s">
        <v>9088</v>
      </c>
      <c r="D2458" s="330" t="s">
        <v>9089</v>
      </c>
      <c r="E2458" s="330" t="s">
        <v>4634</v>
      </c>
      <c r="F2458" s="331">
        <v>0.21</v>
      </c>
      <c r="G2458" s="332">
        <v>6902</v>
      </c>
      <c r="H2458" s="333">
        <v>8352</v>
      </c>
    </row>
    <row r="2459" spans="1:8">
      <c r="A2459" s="317">
        <v>1604220266</v>
      </c>
      <c r="B2459" s="317" t="s">
        <v>46827</v>
      </c>
      <c r="C2459" s="330" t="s">
        <v>9090</v>
      </c>
      <c r="D2459" s="330" t="s">
        <v>9091</v>
      </c>
      <c r="E2459" s="330" t="s">
        <v>4634</v>
      </c>
      <c r="F2459" s="331">
        <v>0.21</v>
      </c>
      <c r="G2459" s="332">
        <v>12800</v>
      </c>
      <c r="H2459" s="333">
        <v>15488</v>
      </c>
    </row>
    <row r="2460" spans="1:8">
      <c r="A2460" s="317">
        <v>1604220272</v>
      </c>
      <c r="B2460" s="317" t="s">
        <v>46828</v>
      </c>
      <c r="C2460" s="330" t="s">
        <v>9092</v>
      </c>
      <c r="D2460" s="330" t="s">
        <v>9093</v>
      </c>
      <c r="E2460" s="330" t="s">
        <v>4634</v>
      </c>
      <c r="F2460" s="331">
        <v>0.21</v>
      </c>
      <c r="G2460" s="332">
        <v>14078</v>
      </c>
      <c r="H2460" s="333">
        <v>17035</v>
      </c>
    </row>
    <row r="2461" spans="1:8">
      <c r="A2461" s="317">
        <v>1604220282</v>
      </c>
      <c r="B2461" s="317" t="s">
        <v>46829</v>
      </c>
      <c r="C2461" s="330" t="s">
        <v>9094</v>
      </c>
      <c r="D2461" s="330" t="s">
        <v>9095</v>
      </c>
      <c r="E2461" s="330" t="s">
        <v>4634</v>
      </c>
      <c r="F2461" s="331">
        <v>0.21</v>
      </c>
      <c r="G2461" s="332">
        <v>23639</v>
      </c>
      <c r="H2461" s="333">
        <v>28604</v>
      </c>
    </row>
    <row r="2462" spans="1:8">
      <c r="A2462" s="317">
        <v>1604220283</v>
      </c>
      <c r="B2462" s="317" t="s">
        <v>46830</v>
      </c>
      <c r="C2462" s="330" t="s">
        <v>9096</v>
      </c>
      <c r="D2462" s="330" t="s">
        <v>9097</v>
      </c>
      <c r="E2462" s="330" t="s">
        <v>4634</v>
      </c>
      <c r="F2462" s="331">
        <v>0.21</v>
      </c>
      <c r="G2462" s="332">
        <v>19554</v>
      </c>
      <c r="H2462" s="333">
        <v>23661</v>
      </c>
    </row>
    <row r="2463" spans="1:8">
      <c r="A2463" s="317">
        <v>1604220284</v>
      </c>
      <c r="B2463" s="317" t="s">
        <v>46831</v>
      </c>
      <c r="C2463" s="330" t="s">
        <v>9098</v>
      </c>
      <c r="D2463" s="330" t="s">
        <v>9099</v>
      </c>
      <c r="E2463" s="330" t="s">
        <v>4634</v>
      </c>
      <c r="F2463" s="331">
        <v>0.21</v>
      </c>
      <c r="G2463" s="332">
        <v>24855</v>
      </c>
      <c r="H2463" s="333">
        <v>30075</v>
      </c>
    </row>
    <row r="2464" spans="1:8">
      <c r="A2464" s="317">
        <v>1604220301</v>
      </c>
      <c r="B2464" s="317" t="s">
        <v>46832</v>
      </c>
      <c r="C2464" s="330" t="s">
        <v>9100</v>
      </c>
      <c r="D2464" s="330" t="s">
        <v>9101</v>
      </c>
      <c r="E2464" s="330" t="s">
        <v>4634</v>
      </c>
      <c r="F2464" s="331">
        <v>0.21</v>
      </c>
      <c r="G2464" s="332">
        <v>42369</v>
      </c>
      <c r="H2464" s="333">
        <v>51267</v>
      </c>
    </row>
    <row r="2465" spans="1:8">
      <c r="A2465" s="317">
        <v>1604220332</v>
      </c>
      <c r="B2465" s="317" t="s">
        <v>46833</v>
      </c>
      <c r="C2465" s="330" t="s">
        <v>9102</v>
      </c>
      <c r="D2465" s="330" t="s">
        <v>9103</v>
      </c>
      <c r="E2465" s="330" t="s">
        <v>4634</v>
      </c>
      <c r="F2465" s="331">
        <v>0.21</v>
      </c>
      <c r="G2465" s="332">
        <v>17482</v>
      </c>
      <c r="H2465" s="333">
        <v>21154</v>
      </c>
    </row>
    <row r="2466" spans="1:8">
      <c r="A2466" s="317">
        <v>1604220334</v>
      </c>
      <c r="B2466" s="317" t="s">
        <v>46834</v>
      </c>
      <c r="C2466" s="330" t="s">
        <v>9104</v>
      </c>
      <c r="D2466" s="330" t="s">
        <v>9105</v>
      </c>
      <c r="E2466" s="330" t="s">
        <v>4634</v>
      </c>
      <c r="F2466" s="331">
        <v>0.21</v>
      </c>
      <c r="G2466" s="332">
        <v>17014</v>
      </c>
      <c r="H2466" s="333">
        <v>20587</v>
      </c>
    </row>
    <row r="2467" spans="1:8">
      <c r="A2467" s="317">
        <v>1604220343</v>
      </c>
      <c r="B2467" s="317" t="s">
        <v>46835</v>
      </c>
      <c r="C2467" s="330" t="s">
        <v>9106</v>
      </c>
      <c r="D2467" s="330" t="s">
        <v>9107</v>
      </c>
      <c r="E2467" s="330" t="s">
        <v>4819</v>
      </c>
      <c r="F2467" s="331">
        <v>0.21</v>
      </c>
      <c r="G2467" s="332">
        <v>51225</v>
      </c>
      <c r="H2467" s="333">
        <v>61983</v>
      </c>
    </row>
    <row r="2468" spans="1:8">
      <c r="A2468" s="317">
        <v>1604220354</v>
      </c>
      <c r="B2468" s="317" t="s">
        <v>46836</v>
      </c>
      <c r="C2468" s="330" t="s">
        <v>9108</v>
      </c>
      <c r="D2468" s="330" t="s">
        <v>9109</v>
      </c>
      <c r="E2468" s="330" t="s">
        <v>4634</v>
      </c>
      <c r="F2468" s="331">
        <v>0.21</v>
      </c>
      <c r="G2468" s="332">
        <v>8597</v>
      </c>
      <c r="H2468" s="333">
        <v>10403</v>
      </c>
    </row>
    <row r="2469" spans="1:8">
      <c r="A2469" s="317">
        <v>1604220358</v>
      </c>
      <c r="B2469" s="317" t="s">
        <v>46837</v>
      </c>
      <c r="C2469" s="330" t="s">
        <v>9110</v>
      </c>
      <c r="D2469" s="330" t="s">
        <v>9111</v>
      </c>
      <c r="E2469" s="330" t="s">
        <v>4634</v>
      </c>
      <c r="F2469" s="331">
        <v>0.21</v>
      </c>
      <c r="G2469" s="332">
        <v>8351</v>
      </c>
      <c r="H2469" s="333">
        <v>10105</v>
      </c>
    </row>
    <row r="2470" spans="1:8">
      <c r="A2470" s="317">
        <v>1604220375</v>
      </c>
      <c r="B2470" s="317" t="s">
        <v>46838</v>
      </c>
      <c r="C2470" s="330" t="s">
        <v>9112</v>
      </c>
      <c r="D2470" s="330" t="s">
        <v>9113</v>
      </c>
      <c r="E2470" s="330" t="s">
        <v>4634</v>
      </c>
      <c r="F2470" s="331">
        <v>0.21</v>
      </c>
      <c r="G2470" s="332">
        <v>36205</v>
      </c>
      <c r="H2470" s="333">
        <v>43809</v>
      </c>
    </row>
    <row r="2471" spans="1:8">
      <c r="A2471" s="317">
        <v>1604220380</v>
      </c>
      <c r="B2471" s="317" t="s">
        <v>46839</v>
      </c>
      <c r="C2471" s="330" t="s">
        <v>9114</v>
      </c>
      <c r="D2471" s="330" t="s">
        <v>9115</v>
      </c>
      <c r="E2471" s="330" t="s">
        <v>37248</v>
      </c>
      <c r="F2471" s="331">
        <v>0.21</v>
      </c>
      <c r="G2471" s="332">
        <v>42589</v>
      </c>
      <c r="H2471" s="333">
        <v>51533</v>
      </c>
    </row>
    <row r="2472" spans="1:8">
      <c r="A2472" s="317">
        <v>1604220381</v>
      </c>
      <c r="B2472" s="317" t="s">
        <v>46840</v>
      </c>
      <c r="C2472" s="330" t="s">
        <v>9116</v>
      </c>
      <c r="D2472" s="330" t="s">
        <v>9117</v>
      </c>
      <c r="E2472" s="330" t="s">
        <v>4634</v>
      </c>
      <c r="F2472" s="331">
        <v>0.21</v>
      </c>
      <c r="G2472" s="332">
        <v>50982</v>
      </c>
      <c r="H2472" s="333">
        <v>61689</v>
      </c>
    </row>
    <row r="2473" spans="1:8">
      <c r="A2473" s="317">
        <v>1604220382</v>
      </c>
      <c r="B2473" s="317" t="s">
        <v>46841</v>
      </c>
      <c r="C2473" s="330" t="s">
        <v>9118</v>
      </c>
      <c r="D2473" s="330" t="s">
        <v>9119</v>
      </c>
      <c r="E2473" s="330" t="s">
        <v>4634</v>
      </c>
      <c r="F2473" s="331">
        <v>0.21</v>
      </c>
      <c r="G2473" s="332">
        <v>13458</v>
      </c>
      <c r="H2473" s="333">
        <v>16285</v>
      </c>
    </row>
    <row r="2474" spans="1:8">
      <c r="A2474" s="317">
        <v>1604220401</v>
      </c>
      <c r="B2474" s="317" t="s">
        <v>46842</v>
      </c>
      <c r="C2474" s="330" t="s">
        <v>9120</v>
      </c>
      <c r="D2474" s="330" t="s">
        <v>9121</v>
      </c>
      <c r="E2474" s="330" t="s">
        <v>4819</v>
      </c>
      <c r="F2474" s="331">
        <v>0.21</v>
      </c>
      <c r="G2474" s="332">
        <v>10816</v>
      </c>
      <c r="H2474" s="333">
        <v>13088</v>
      </c>
    </row>
    <row r="2475" spans="1:8">
      <c r="A2475" s="317">
        <v>1604220408</v>
      </c>
      <c r="B2475" s="317" t="s">
        <v>46843</v>
      </c>
      <c r="C2475" s="330" t="s">
        <v>9122</v>
      </c>
      <c r="D2475" s="330" t="s">
        <v>9123</v>
      </c>
      <c r="E2475" s="330" t="s">
        <v>37248</v>
      </c>
      <c r="F2475" s="331">
        <v>0.21</v>
      </c>
      <c r="G2475" s="332">
        <v>20587</v>
      </c>
      <c r="H2475" s="333">
        <v>24911</v>
      </c>
    </row>
    <row r="2476" spans="1:8">
      <c r="A2476" s="317">
        <v>1604220411</v>
      </c>
      <c r="B2476" s="317" t="s">
        <v>46844</v>
      </c>
      <c r="C2476" s="330" t="s">
        <v>9124</v>
      </c>
      <c r="D2476" s="330" t="s">
        <v>9125</v>
      </c>
      <c r="E2476" s="330" t="s">
        <v>4634</v>
      </c>
      <c r="F2476" s="331">
        <v>0.21</v>
      </c>
      <c r="G2476" s="332">
        <v>8887</v>
      </c>
      <c r="H2476" s="333">
        <v>10754</v>
      </c>
    </row>
    <row r="2477" spans="1:8">
      <c r="A2477" s="317">
        <v>1604220417</v>
      </c>
      <c r="B2477" s="317" t="s">
        <v>46845</v>
      </c>
      <c r="C2477" s="330" t="s">
        <v>9126</v>
      </c>
      <c r="D2477" s="330" t="s">
        <v>9127</v>
      </c>
      <c r="E2477" s="330" t="s">
        <v>37248</v>
      </c>
      <c r="F2477" s="331">
        <v>0.21</v>
      </c>
      <c r="G2477" s="332">
        <v>59913</v>
      </c>
      <c r="H2477" s="333">
        <v>72495</v>
      </c>
    </row>
    <row r="2478" spans="1:8">
      <c r="A2478" s="317">
        <v>1604220422</v>
      </c>
      <c r="B2478" s="317" t="s">
        <v>46846</v>
      </c>
      <c r="C2478" s="330" t="s">
        <v>9128</v>
      </c>
      <c r="D2478" s="330" t="s">
        <v>9129</v>
      </c>
      <c r="E2478" s="330" t="s">
        <v>4634</v>
      </c>
      <c r="F2478" s="331">
        <v>0.21</v>
      </c>
      <c r="G2478" s="332">
        <v>16119</v>
      </c>
      <c r="H2478" s="333">
        <v>19504</v>
      </c>
    </row>
    <row r="2479" spans="1:8">
      <c r="A2479" s="317">
        <v>1604220429</v>
      </c>
      <c r="B2479" s="317" t="s">
        <v>46847</v>
      </c>
      <c r="C2479" s="330" t="s">
        <v>9130</v>
      </c>
      <c r="D2479" s="330" t="s">
        <v>9131</v>
      </c>
      <c r="E2479" s="330" t="s">
        <v>4634</v>
      </c>
      <c r="F2479" s="331">
        <v>0.21</v>
      </c>
      <c r="G2479" s="332">
        <v>12766</v>
      </c>
      <c r="H2479" s="333">
        <v>15447</v>
      </c>
    </row>
    <row r="2480" spans="1:8">
      <c r="A2480" s="317">
        <v>1604220433</v>
      </c>
      <c r="B2480" s="317" t="s">
        <v>46848</v>
      </c>
      <c r="C2480" s="330" t="s">
        <v>9132</v>
      </c>
      <c r="D2480" s="330" t="s">
        <v>9133</v>
      </c>
      <c r="E2480" s="330" t="s">
        <v>4634</v>
      </c>
      <c r="F2480" s="331">
        <v>0.21</v>
      </c>
      <c r="G2480" s="332">
        <v>7531</v>
      </c>
      <c r="H2480" s="333">
        <v>9113</v>
      </c>
    </row>
    <row r="2481" spans="1:8">
      <c r="A2481" s="317">
        <v>1604220439</v>
      </c>
      <c r="B2481" s="317" t="s">
        <v>46849</v>
      </c>
      <c r="C2481" s="330" t="s">
        <v>9134</v>
      </c>
      <c r="D2481" s="330" t="s">
        <v>9135</v>
      </c>
      <c r="E2481" s="330" t="s">
        <v>4819</v>
      </c>
      <c r="F2481" s="331">
        <v>0.21</v>
      </c>
      <c r="G2481" s="332">
        <v>37309</v>
      </c>
      <c r="H2481" s="333">
        <v>45144</v>
      </c>
    </row>
    <row r="2482" spans="1:8">
      <c r="A2482" s="317">
        <v>1604220459</v>
      </c>
      <c r="B2482" s="317" t="s">
        <v>46850</v>
      </c>
      <c r="C2482" s="330" t="s">
        <v>9136</v>
      </c>
      <c r="D2482" s="330" t="s">
        <v>9137</v>
      </c>
      <c r="E2482" s="330" t="s">
        <v>4819</v>
      </c>
      <c r="F2482" s="331">
        <v>0.21</v>
      </c>
      <c r="G2482" s="332">
        <v>6562</v>
      </c>
      <c r="H2482" s="333">
        <v>7941</v>
      </c>
    </row>
    <row r="2483" spans="1:8">
      <c r="A2483" s="317">
        <v>1604220470</v>
      </c>
      <c r="B2483" s="317" t="s">
        <v>46851</v>
      </c>
      <c r="C2483" s="330" t="s">
        <v>9138</v>
      </c>
      <c r="D2483" s="330" t="s">
        <v>9139</v>
      </c>
      <c r="E2483" s="330" t="s">
        <v>4634</v>
      </c>
      <c r="F2483" s="331">
        <v>0.21</v>
      </c>
      <c r="G2483" s="332">
        <v>10440</v>
      </c>
      <c r="H2483" s="333">
        <v>12633</v>
      </c>
    </row>
    <row r="2484" spans="1:8">
      <c r="A2484" s="317">
        <v>1604220478</v>
      </c>
      <c r="B2484" s="317" t="s">
        <v>46852</v>
      </c>
      <c r="C2484" s="330" t="s">
        <v>9140</v>
      </c>
      <c r="D2484" s="330" t="s">
        <v>9141</v>
      </c>
      <c r="E2484" s="330" t="s">
        <v>4634</v>
      </c>
      <c r="F2484" s="331">
        <v>0.21</v>
      </c>
      <c r="G2484" s="332">
        <v>28502</v>
      </c>
      <c r="H2484" s="333">
        <v>34488</v>
      </c>
    </row>
    <row r="2485" spans="1:8">
      <c r="A2485" s="317">
        <v>1604220501</v>
      </c>
      <c r="B2485" s="317" t="s">
        <v>46853</v>
      </c>
      <c r="C2485" s="330" t="s">
        <v>9142</v>
      </c>
      <c r="D2485" s="330" t="s">
        <v>9143</v>
      </c>
      <c r="E2485" s="330" t="s">
        <v>4634</v>
      </c>
      <c r="F2485" s="331">
        <v>0.21</v>
      </c>
      <c r="G2485" s="332">
        <v>9016</v>
      </c>
      <c r="H2485" s="333">
        <v>10910</v>
      </c>
    </row>
    <row r="2486" spans="1:8">
      <c r="A2486" s="317" t="s">
        <v>38757</v>
      </c>
      <c r="B2486" s="317" t="s">
        <v>46854</v>
      </c>
      <c r="C2486" s="330" t="s">
        <v>9144</v>
      </c>
      <c r="D2486" s="330" t="s">
        <v>9145</v>
      </c>
      <c r="E2486" s="330" t="s">
        <v>4634</v>
      </c>
      <c r="F2486" s="331">
        <v>0.21</v>
      </c>
      <c r="G2486" s="332">
        <v>28881</v>
      </c>
      <c r="H2486" s="333">
        <v>34947</v>
      </c>
    </row>
    <row r="2487" spans="1:8">
      <c r="A2487" s="317" t="s">
        <v>38758</v>
      </c>
      <c r="B2487" s="317" t="s">
        <v>46855</v>
      </c>
      <c r="C2487" s="330" t="s">
        <v>9146</v>
      </c>
      <c r="D2487" s="330" t="s">
        <v>9147</v>
      </c>
      <c r="E2487" s="330" t="s">
        <v>37248</v>
      </c>
      <c r="F2487" s="331">
        <v>0.21</v>
      </c>
      <c r="G2487" s="332">
        <v>146757</v>
      </c>
      <c r="H2487" s="333">
        <v>177576</v>
      </c>
    </row>
    <row r="2488" spans="1:8">
      <c r="A2488" s="317" t="s">
        <v>38759</v>
      </c>
      <c r="B2488" s="317" t="s">
        <v>46856</v>
      </c>
      <c r="C2488" s="330" t="s">
        <v>9148</v>
      </c>
      <c r="D2488" s="330" t="s">
        <v>9149</v>
      </c>
      <c r="E2488" s="330" t="s">
        <v>37248</v>
      </c>
      <c r="F2488" s="331">
        <v>0.21</v>
      </c>
      <c r="G2488" s="332">
        <v>158266</v>
      </c>
      <c r="H2488" s="333">
        <v>191502</v>
      </c>
    </row>
    <row r="2489" spans="1:8">
      <c r="A2489" s="317" t="s">
        <v>38760</v>
      </c>
      <c r="B2489" s="317" t="s">
        <v>46857</v>
      </c>
      <c r="C2489" s="330" t="s">
        <v>9150</v>
      </c>
      <c r="D2489" s="330" t="s">
        <v>9151</v>
      </c>
      <c r="E2489" s="330" t="s">
        <v>37248</v>
      </c>
      <c r="F2489" s="331">
        <v>0.21</v>
      </c>
      <c r="G2489" s="332">
        <v>87111</v>
      </c>
      <c r="H2489" s="333">
        <v>105405</v>
      </c>
    </row>
    <row r="2490" spans="1:8">
      <c r="A2490" s="317" t="s">
        <v>38761</v>
      </c>
      <c r="B2490" s="317" t="s">
        <v>46858</v>
      </c>
      <c r="C2490" s="330" t="s">
        <v>9152</v>
      </c>
      <c r="D2490" s="330" t="s">
        <v>9153</v>
      </c>
      <c r="E2490" s="330" t="s">
        <v>4634</v>
      </c>
      <c r="F2490" s="331">
        <v>0.21</v>
      </c>
      <c r="G2490" s="332">
        <v>5201</v>
      </c>
      <c r="H2490" s="333">
        <v>6294</v>
      </c>
    </row>
    <row r="2491" spans="1:8">
      <c r="A2491" s="317" t="s">
        <v>38762</v>
      </c>
      <c r="B2491" s="317" t="s">
        <v>46859</v>
      </c>
      <c r="C2491" s="330" t="s">
        <v>9154</v>
      </c>
      <c r="D2491" s="330" t="s">
        <v>9073</v>
      </c>
      <c r="E2491" s="330" t="s">
        <v>4634</v>
      </c>
      <c r="F2491" s="331">
        <v>0.21</v>
      </c>
      <c r="G2491" s="332">
        <v>50973</v>
      </c>
      <c r="H2491" s="333">
        <v>61678</v>
      </c>
    </row>
    <row r="2492" spans="1:8">
      <c r="A2492" s="317" t="s">
        <v>38763</v>
      </c>
      <c r="B2492" s="317" t="s">
        <v>46860</v>
      </c>
      <c r="C2492" s="330" t="s">
        <v>9155</v>
      </c>
      <c r="D2492" s="330" t="s">
        <v>9156</v>
      </c>
      <c r="E2492" s="330" t="s">
        <v>37248</v>
      </c>
      <c r="F2492" s="331">
        <v>0.21</v>
      </c>
      <c r="G2492" s="332">
        <v>31781</v>
      </c>
      <c r="H2492" s="333">
        <v>38456</v>
      </c>
    </row>
    <row r="2493" spans="1:8">
      <c r="A2493" s="317">
        <v>1604220532</v>
      </c>
      <c r="B2493" s="317" t="s">
        <v>46861</v>
      </c>
      <c r="C2493" s="330" t="s">
        <v>9157</v>
      </c>
      <c r="D2493" s="330" t="s">
        <v>9158</v>
      </c>
      <c r="E2493" s="330" t="s">
        <v>37248</v>
      </c>
      <c r="F2493" s="331">
        <v>0.21</v>
      </c>
      <c r="G2493" s="332">
        <v>27222</v>
      </c>
      <c r="H2493" s="333">
        <v>32939</v>
      </c>
    </row>
    <row r="2494" spans="1:8">
      <c r="A2494" s="317" t="s">
        <v>38764</v>
      </c>
      <c r="B2494" s="317" t="s">
        <v>46862</v>
      </c>
      <c r="C2494" s="330" t="s">
        <v>9159</v>
      </c>
      <c r="D2494" s="330" t="s">
        <v>9160</v>
      </c>
      <c r="E2494" s="330" t="s">
        <v>37248</v>
      </c>
      <c r="F2494" s="331">
        <v>0.21</v>
      </c>
      <c r="G2494" s="332">
        <v>18202</v>
      </c>
      <c r="H2494" s="333">
        <v>22025</v>
      </c>
    </row>
    <row r="2495" spans="1:8">
      <c r="A2495" s="317" t="s">
        <v>38765</v>
      </c>
      <c r="B2495" s="317" t="s">
        <v>46863</v>
      </c>
      <c r="C2495" s="330" t="s">
        <v>9161</v>
      </c>
      <c r="D2495" s="330" t="s">
        <v>9162</v>
      </c>
      <c r="E2495" s="330" t="s">
        <v>37248</v>
      </c>
      <c r="F2495" s="331">
        <v>0.21</v>
      </c>
      <c r="G2495" s="332">
        <v>13551</v>
      </c>
      <c r="H2495" s="333">
        <v>16397</v>
      </c>
    </row>
    <row r="2496" spans="1:8">
      <c r="A2496" s="317" t="s">
        <v>38766</v>
      </c>
      <c r="B2496" s="317" t="s">
        <v>46864</v>
      </c>
      <c r="C2496" s="330" t="s">
        <v>9163</v>
      </c>
      <c r="D2496" s="330" t="s">
        <v>5175</v>
      </c>
      <c r="E2496" s="330" t="s">
        <v>4634</v>
      </c>
      <c r="F2496" s="331">
        <v>0.21</v>
      </c>
      <c r="G2496" s="332">
        <v>19396</v>
      </c>
      <c r="H2496" s="333">
        <v>23470</v>
      </c>
    </row>
    <row r="2497" spans="1:8">
      <c r="A2497" s="317" t="s">
        <v>38767</v>
      </c>
      <c r="B2497" s="317" t="s">
        <v>46865</v>
      </c>
      <c r="C2497" s="330" t="s">
        <v>9164</v>
      </c>
      <c r="D2497" s="330" t="s">
        <v>9165</v>
      </c>
      <c r="E2497" s="330" t="s">
        <v>37248</v>
      </c>
      <c r="F2497" s="331">
        <v>0.21</v>
      </c>
      <c r="G2497" s="332">
        <v>18274</v>
      </c>
      <c r="H2497" s="333">
        <v>22112</v>
      </c>
    </row>
    <row r="2498" spans="1:8">
      <c r="A2498" s="317" t="s">
        <v>38768</v>
      </c>
      <c r="B2498" s="317" t="s">
        <v>46866</v>
      </c>
      <c r="C2498" s="330" t="s">
        <v>9166</v>
      </c>
      <c r="D2498" s="330" t="s">
        <v>9167</v>
      </c>
      <c r="E2498" s="330" t="s">
        <v>4819</v>
      </c>
      <c r="F2498" s="331">
        <v>0.21</v>
      </c>
      <c r="G2498" s="332">
        <v>22581</v>
      </c>
      <c r="H2498" s="333">
        <v>27324</v>
      </c>
    </row>
    <row r="2499" spans="1:8">
      <c r="A2499" s="317" t="s">
        <v>38769</v>
      </c>
      <c r="B2499" s="317" t="s">
        <v>46867</v>
      </c>
      <c r="C2499" s="330" t="s">
        <v>9168</v>
      </c>
      <c r="D2499" s="330" t="s">
        <v>9169</v>
      </c>
      <c r="E2499" s="330" t="s">
        <v>4819</v>
      </c>
      <c r="F2499" s="331">
        <v>0.21</v>
      </c>
      <c r="G2499" s="332">
        <v>8053</v>
      </c>
      <c r="H2499" s="333">
        <v>9745</v>
      </c>
    </row>
    <row r="2500" spans="1:8">
      <c r="A2500" s="317" t="s">
        <v>38770</v>
      </c>
      <c r="B2500" s="317" t="s">
        <v>46868</v>
      </c>
      <c r="C2500" s="330" t="s">
        <v>9170</v>
      </c>
      <c r="D2500" s="330" t="s">
        <v>9171</v>
      </c>
      <c r="E2500" s="330" t="s">
        <v>4634</v>
      </c>
      <c r="F2500" s="331">
        <v>0.21</v>
      </c>
      <c r="G2500" s="332">
        <v>26302</v>
      </c>
      <c r="H2500" s="333">
        <v>31826</v>
      </c>
    </row>
    <row r="2501" spans="1:8">
      <c r="A2501" s="317" t="s">
        <v>38771</v>
      </c>
      <c r="B2501" s="317" t="s">
        <v>46869</v>
      </c>
      <c r="C2501" s="330" t="s">
        <v>9172</v>
      </c>
      <c r="D2501" s="330" t="s">
        <v>9173</v>
      </c>
      <c r="E2501" s="330" t="s">
        <v>4623</v>
      </c>
      <c r="F2501" s="331">
        <v>0.21</v>
      </c>
      <c r="G2501" s="332">
        <v>13266</v>
      </c>
      <c r="H2501" s="333">
        <v>16052</v>
      </c>
    </row>
    <row r="2502" spans="1:8">
      <c r="A2502" s="317">
        <v>1604220552</v>
      </c>
      <c r="B2502" s="317" t="s">
        <v>46870</v>
      </c>
      <c r="C2502" s="330" t="s">
        <v>9174</v>
      </c>
      <c r="D2502" s="330" t="s">
        <v>9175</v>
      </c>
      <c r="E2502" s="330" t="s">
        <v>37248</v>
      </c>
      <c r="F2502" s="331">
        <v>0.21</v>
      </c>
      <c r="G2502" s="332">
        <v>27550</v>
      </c>
      <c r="H2502" s="333">
        <v>33336</v>
      </c>
    </row>
    <row r="2503" spans="1:8">
      <c r="A2503" s="317">
        <v>1604220558</v>
      </c>
      <c r="B2503" s="317" t="s">
        <v>46871</v>
      </c>
      <c r="C2503" s="330" t="s">
        <v>9176</v>
      </c>
      <c r="D2503" s="330" t="s">
        <v>9177</v>
      </c>
      <c r="E2503" s="330" t="s">
        <v>37248</v>
      </c>
      <c r="F2503" s="331">
        <v>0.21</v>
      </c>
      <c r="G2503" s="332">
        <v>34273</v>
      </c>
      <c r="H2503" s="333">
        <v>41471</v>
      </c>
    </row>
    <row r="2504" spans="1:8">
      <c r="A2504" s="317" t="s">
        <v>38772</v>
      </c>
      <c r="B2504" s="317" t="s">
        <v>46872</v>
      </c>
      <c r="C2504" s="330" t="s">
        <v>9178</v>
      </c>
      <c r="D2504" s="330" t="s">
        <v>9179</v>
      </c>
      <c r="E2504" s="330" t="s">
        <v>37248</v>
      </c>
      <c r="F2504" s="331">
        <v>0.21</v>
      </c>
      <c r="G2504" s="332">
        <v>15090</v>
      </c>
      <c r="H2504" s="333">
        <v>18259</v>
      </c>
    </row>
    <row r="2505" spans="1:8">
      <c r="A2505" s="317">
        <v>1604220570</v>
      </c>
      <c r="B2505" s="317" t="s">
        <v>46873</v>
      </c>
      <c r="C2505" s="330" t="s">
        <v>9180</v>
      </c>
      <c r="D2505" s="330" t="s">
        <v>9181</v>
      </c>
      <c r="E2505" s="330" t="s">
        <v>37248</v>
      </c>
      <c r="F2505" s="331">
        <v>0.21</v>
      </c>
      <c r="G2505" s="332">
        <v>15216</v>
      </c>
      <c r="H2505" s="333">
        <v>18412</v>
      </c>
    </row>
    <row r="2506" spans="1:8">
      <c r="A2506" s="317">
        <v>1604220575</v>
      </c>
      <c r="B2506" s="317" t="s">
        <v>46874</v>
      </c>
      <c r="C2506" s="330" t="s">
        <v>9182</v>
      </c>
      <c r="D2506" s="330" t="s">
        <v>9183</v>
      </c>
      <c r="E2506" s="330" t="s">
        <v>37248</v>
      </c>
      <c r="F2506" s="331">
        <v>0.21</v>
      </c>
      <c r="G2506" s="332">
        <v>33164</v>
      </c>
      <c r="H2506" s="333">
        <v>40129</v>
      </c>
    </row>
    <row r="2507" spans="1:8">
      <c r="A2507" s="317">
        <v>1604220577</v>
      </c>
      <c r="B2507" s="317" t="s">
        <v>46875</v>
      </c>
      <c r="C2507" s="330" t="s">
        <v>9184</v>
      </c>
      <c r="D2507" s="330" t="s">
        <v>9185</v>
      </c>
      <c r="E2507" s="330" t="s">
        <v>37248</v>
      </c>
      <c r="F2507" s="331">
        <v>0.21</v>
      </c>
      <c r="G2507" s="332">
        <v>18249</v>
      </c>
      <c r="H2507" s="333">
        <v>22082</v>
      </c>
    </row>
    <row r="2508" spans="1:8">
      <c r="A2508" s="317" t="s">
        <v>38773</v>
      </c>
      <c r="B2508" s="317" t="s">
        <v>46876</v>
      </c>
      <c r="C2508" s="330" t="s">
        <v>9186</v>
      </c>
      <c r="D2508" s="330" t="s">
        <v>5175</v>
      </c>
      <c r="E2508" s="330" t="s">
        <v>37248</v>
      </c>
      <c r="F2508" s="331">
        <v>0.21</v>
      </c>
      <c r="G2508" s="332">
        <v>48300</v>
      </c>
      <c r="H2508" s="333">
        <v>58443</v>
      </c>
    </row>
    <row r="2509" spans="1:8">
      <c r="A2509" s="317" t="s">
        <v>38774</v>
      </c>
      <c r="B2509" s="317" t="s">
        <v>46877</v>
      </c>
      <c r="C2509" s="330" t="s">
        <v>9187</v>
      </c>
      <c r="D2509" s="330" t="s">
        <v>9188</v>
      </c>
      <c r="E2509" s="330" t="s">
        <v>37248</v>
      </c>
      <c r="F2509" s="331">
        <v>0.21</v>
      </c>
      <c r="G2509" s="332">
        <v>51677</v>
      </c>
      <c r="H2509" s="333">
        <v>62530</v>
      </c>
    </row>
    <row r="2510" spans="1:8">
      <c r="A2510" s="317">
        <v>1604220580</v>
      </c>
      <c r="B2510" s="317" t="s">
        <v>46878</v>
      </c>
      <c r="C2510" s="330" t="s">
        <v>9189</v>
      </c>
      <c r="D2510" s="330" t="s">
        <v>9121</v>
      </c>
      <c r="E2510" s="330" t="s">
        <v>37248</v>
      </c>
      <c r="F2510" s="331">
        <v>0.21</v>
      </c>
      <c r="G2510" s="332">
        <v>42257</v>
      </c>
      <c r="H2510" s="333">
        <v>51131</v>
      </c>
    </row>
    <row r="2511" spans="1:8">
      <c r="A2511" s="317">
        <v>1604220582</v>
      </c>
      <c r="B2511" s="317" t="s">
        <v>46879</v>
      </c>
      <c r="C2511" s="330" t="s">
        <v>9190</v>
      </c>
      <c r="D2511" s="330" t="s">
        <v>9121</v>
      </c>
      <c r="E2511" s="330" t="s">
        <v>37248</v>
      </c>
      <c r="F2511" s="331">
        <v>0.21</v>
      </c>
      <c r="G2511" s="332">
        <v>50720</v>
      </c>
      <c r="H2511" s="333">
        <v>61372</v>
      </c>
    </row>
    <row r="2512" spans="1:8">
      <c r="A2512" s="317" t="s">
        <v>38775</v>
      </c>
      <c r="B2512" s="317" t="s">
        <v>46880</v>
      </c>
      <c r="C2512" s="330" t="s">
        <v>9191</v>
      </c>
      <c r="D2512" s="330" t="s">
        <v>9121</v>
      </c>
      <c r="E2512" s="330" t="s">
        <v>37248</v>
      </c>
      <c r="F2512" s="331">
        <v>0.21</v>
      </c>
      <c r="G2512" s="332">
        <v>33225</v>
      </c>
      <c r="H2512" s="333">
        <v>40203</v>
      </c>
    </row>
    <row r="2513" spans="1:8">
      <c r="A2513" s="317" t="s">
        <v>38776</v>
      </c>
      <c r="B2513" s="317" t="s">
        <v>46881</v>
      </c>
      <c r="C2513" s="330" t="s">
        <v>9192</v>
      </c>
      <c r="D2513" s="330" t="s">
        <v>5175</v>
      </c>
      <c r="E2513" s="330" t="s">
        <v>37248</v>
      </c>
      <c r="F2513" s="331">
        <v>0.21</v>
      </c>
      <c r="G2513" s="332">
        <v>23485</v>
      </c>
      <c r="H2513" s="333">
        <v>28417</v>
      </c>
    </row>
    <row r="2514" spans="1:8">
      <c r="A2514" s="317" t="s">
        <v>38777</v>
      </c>
      <c r="B2514" s="317" t="s">
        <v>46882</v>
      </c>
      <c r="C2514" s="330" t="s">
        <v>9193</v>
      </c>
      <c r="D2514" s="330" t="s">
        <v>9194</v>
      </c>
      <c r="E2514" s="330" t="s">
        <v>37248</v>
      </c>
      <c r="F2514" s="331">
        <v>0.21</v>
      </c>
      <c r="G2514" s="332">
        <v>23057</v>
      </c>
      <c r="H2514" s="333">
        <v>27899</v>
      </c>
    </row>
    <row r="2515" spans="1:8">
      <c r="A2515" s="317" t="s">
        <v>38778</v>
      </c>
      <c r="B2515" s="317" t="s">
        <v>46883</v>
      </c>
      <c r="C2515" s="330" t="s">
        <v>9195</v>
      </c>
      <c r="D2515" s="330" t="s">
        <v>9196</v>
      </c>
      <c r="E2515" s="330" t="s">
        <v>37248</v>
      </c>
      <c r="F2515" s="331">
        <v>0.21</v>
      </c>
      <c r="G2515" s="332">
        <v>28466</v>
      </c>
      <c r="H2515" s="333">
        <v>34444</v>
      </c>
    </row>
    <row r="2516" spans="1:8">
      <c r="A2516" s="317" t="s">
        <v>38779</v>
      </c>
      <c r="B2516" s="317" t="s">
        <v>46884</v>
      </c>
      <c r="C2516" s="330" t="s">
        <v>9197</v>
      </c>
      <c r="D2516" s="330" t="s">
        <v>9198</v>
      </c>
      <c r="E2516" s="330" t="s">
        <v>37248</v>
      </c>
      <c r="F2516" s="331">
        <v>0.21</v>
      </c>
      <c r="G2516" s="332">
        <v>37474</v>
      </c>
      <c r="H2516" s="333">
        <v>45344</v>
      </c>
    </row>
    <row r="2517" spans="1:8">
      <c r="A2517" s="317">
        <v>1604229100</v>
      </c>
      <c r="B2517" s="317" t="s">
        <v>46885</v>
      </c>
      <c r="C2517" s="330" t="s">
        <v>9199</v>
      </c>
      <c r="D2517" s="330" t="s">
        <v>9200</v>
      </c>
      <c r="E2517" s="330" t="s">
        <v>4634</v>
      </c>
      <c r="F2517" s="331">
        <v>0.21</v>
      </c>
      <c r="G2517" s="332">
        <v>122660</v>
      </c>
      <c r="H2517" s="333">
        <v>148419</v>
      </c>
    </row>
    <row r="2518" spans="1:8">
      <c r="A2518" s="317">
        <v>1604229192</v>
      </c>
      <c r="B2518" s="317" t="s">
        <v>46886</v>
      </c>
      <c r="C2518" s="330" t="s">
        <v>9201</v>
      </c>
      <c r="D2518" s="330" t="s">
        <v>9202</v>
      </c>
      <c r="E2518" s="330" t="s">
        <v>4634</v>
      </c>
      <c r="F2518" s="331">
        <v>0.21</v>
      </c>
      <c r="G2518" s="332">
        <v>75448</v>
      </c>
      <c r="H2518" s="333">
        <v>91293</v>
      </c>
    </row>
    <row r="2519" spans="1:8">
      <c r="A2519" s="317">
        <v>1604321129</v>
      </c>
      <c r="B2519" s="317" t="s">
        <v>46887</v>
      </c>
      <c r="C2519" s="330" t="s">
        <v>9203</v>
      </c>
      <c r="D2519" s="330" t="s">
        <v>9204</v>
      </c>
      <c r="E2519" s="330" t="s">
        <v>37248</v>
      </c>
      <c r="F2519" s="331">
        <v>0.21</v>
      </c>
      <c r="G2519" s="332">
        <v>5936</v>
      </c>
      <c r="H2519" s="333">
        <v>7183</v>
      </c>
    </row>
    <row r="2520" spans="1:8">
      <c r="A2520" s="317" t="s">
        <v>38780</v>
      </c>
      <c r="B2520" s="317" t="s">
        <v>46888</v>
      </c>
      <c r="C2520" s="330" t="s">
        <v>9205</v>
      </c>
      <c r="D2520" s="330" t="s">
        <v>9206</v>
      </c>
      <c r="E2520" s="330" t="s">
        <v>4819</v>
      </c>
      <c r="F2520" s="331">
        <v>0.21</v>
      </c>
      <c r="G2520" s="332">
        <v>3218</v>
      </c>
      <c r="H2520" s="333">
        <v>3894</v>
      </c>
    </row>
    <row r="2521" spans="1:8">
      <c r="A2521" s="317" t="s">
        <v>38781</v>
      </c>
      <c r="B2521" s="317" t="s">
        <v>46889</v>
      </c>
      <c r="C2521" s="330" t="s">
        <v>9207</v>
      </c>
      <c r="D2521" s="330" t="s">
        <v>9208</v>
      </c>
      <c r="E2521" s="330" t="s">
        <v>4819</v>
      </c>
      <c r="F2521" s="331">
        <v>0.21</v>
      </c>
      <c r="G2521" s="332">
        <v>2647</v>
      </c>
      <c r="H2521" s="333">
        <v>3203</v>
      </c>
    </row>
    <row r="2522" spans="1:8">
      <c r="A2522" s="317" t="s">
        <v>38782</v>
      </c>
      <c r="B2522" s="317" t="s">
        <v>46890</v>
      </c>
      <c r="C2522" s="330" t="s">
        <v>9209</v>
      </c>
      <c r="D2522" s="330" t="s">
        <v>9210</v>
      </c>
      <c r="E2522" s="330" t="s">
        <v>37248</v>
      </c>
      <c r="F2522" s="331">
        <v>0.21</v>
      </c>
      <c r="G2522" s="332">
        <v>2427</v>
      </c>
      <c r="H2522" s="333">
        <v>2937</v>
      </c>
    </row>
    <row r="2523" spans="1:8">
      <c r="A2523" s="317">
        <v>1604321175</v>
      </c>
      <c r="B2523" s="317" t="s">
        <v>46891</v>
      </c>
      <c r="C2523" s="330" t="s">
        <v>9211</v>
      </c>
      <c r="D2523" s="330" t="s">
        <v>9212</v>
      </c>
      <c r="E2523" s="330" t="s">
        <v>37248</v>
      </c>
      <c r="F2523" s="331">
        <v>0.21</v>
      </c>
      <c r="G2523" s="332">
        <v>8724</v>
      </c>
      <c r="H2523" s="333">
        <v>10557</v>
      </c>
    </row>
    <row r="2524" spans="1:8">
      <c r="A2524" s="317">
        <v>1604321179</v>
      </c>
      <c r="B2524" s="317" t="s">
        <v>46892</v>
      </c>
      <c r="C2524" s="330" t="s">
        <v>9213</v>
      </c>
      <c r="D2524" s="330" t="s">
        <v>9214</v>
      </c>
      <c r="E2524" s="330" t="s">
        <v>37248</v>
      </c>
      <c r="F2524" s="331">
        <v>0.21</v>
      </c>
      <c r="G2524" s="332">
        <v>7644</v>
      </c>
      <c r="H2524" s="333">
        <v>9250</v>
      </c>
    </row>
    <row r="2525" spans="1:8">
      <c r="A2525" s="317" t="s">
        <v>38783</v>
      </c>
      <c r="B2525" s="317" t="s">
        <v>46893</v>
      </c>
      <c r="C2525" s="330" t="s">
        <v>9215</v>
      </c>
      <c r="D2525" s="330" t="s">
        <v>9216</v>
      </c>
      <c r="E2525" s="330" t="s">
        <v>4819</v>
      </c>
      <c r="F2525" s="331">
        <v>0.21</v>
      </c>
      <c r="G2525" s="332">
        <v>3350</v>
      </c>
      <c r="H2525" s="333">
        <v>4054</v>
      </c>
    </row>
    <row r="2526" spans="1:8">
      <c r="A2526" s="317">
        <v>1604321186</v>
      </c>
      <c r="B2526" s="317" t="s">
        <v>46894</v>
      </c>
      <c r="C2526" s="330" t="s">
        <v>9217</v>
      </c>
      <c r="D2526" s="330" t="s">
        <v>9218</v>
      </c>
      <c r="E2526" s="330" t="s">
        <v>37248</v>
      </c>
      <c r="F2526" s="331">
        <v>0.21</v>
      </c>
      <c r="G2526" s="332">
        <v>5688</v>
      </c>
      <c r="H2526" s="333">
        <v>6883</v>
      </c>
    </row>
    <row r="2527" spans="1:8">
      <c r="A2527" s="317">
        <v>1604321900</v>
      </c>
      <c r="B2527" s="317" t="s">
        <v>46895</v>
      </c>
      <c r="C2527" s="330" t="s">
        <v>9219</v>
      </c>
      <c r="D2527" s="330" t="s">
        <v>9220</v>
      </c>
      <c r="E2527" s="330" t="s">
        <v>4634</v>
      </c>
      <c r="F2527" s="331">
        <v>0.21</v>
      </c>
      <c r="G2527" s="332">
        <v>3417</v>
      </c>
      <c r="H2527" s="333">
        <v>4135</v>
      </c>
    </row>
    <row r="2528" spans="1:8">
      <c r="A2528" s="317">
        <v>1604336008</v>
      </c>
      <c r="B2528" s="317" t="s">
        <v>46896</v>
      </c>
      <c r="C2528" s="330" t="s">
        <v>9221</v>
      </c>
      <c r="D2528" s="330" t="s">
        <v>9222</v>
      </c>
      <c r="E2528" s="330" t="s">
        <v>4819</v>
      </c>
      <c r="F2528" s="331">
        <v>0.21</v>
      </c>
      <c r="G2528" s="332">
        <v>6884</v>
      </c>
      <c r="H2528" s="333">
        <v>8330</v>
      </c>
    </row>
    <row r="2529" spans="1:8">
      <c r="A2529" s="317">
        <v>1604336016</v>
      </c>
      <c r="B2529" s="317" t="s">
        <v>46897</v>
      </c>
      <c r="C2529" s="330" t="s">
        <v>9223</v>
      </c>
      <c r="D2529" s="330" t="s">
        <v>9224</v>
      </c>
      <c r="E2529" s="330" t="s">
        <v>4634</v>
      </c>
      <c r="F2529" s="331">
        <v>0.21</v>
      </c>
      <c r="G2529" s="332">
        <v>3395</v>
      </c>
      <c r="H2529" s="333">
        <v>4108</v>
      </c>
    </row>
    <row r="2530" spans="1:8">
      <c r="A2530" s="317">
        <v>1604336017</v>
      </c>
      <c r="B2530" s="317" t="s">
        <v>46898</v>
      </c>
      <c r="C2530" s="330" t="s">
        <v>9225</v>
      </c>
      <c r="D2530" s="330" t="s">
        <v>9226</v>
      </c>
      <c r="E2530" s="330" t="s">
        <v>4634</v>
      </c>
      <c r="F2530" s="331">
        <v>0.21</v>
      </c>
      <c r="G2530" s="332">
        <v>1479</v>
      </c>
      <c r="H2530" s="333">
        <v>1790</v>
      </c>
    </row>
    <row r="2531" spans="1:8">
      <c r="A2531" s="317">
        <v>1604336018</v>
      </c>
      <c r="B2531" s="317" t="s">
        <v>46899</v>
      </c>
      <c r="C2531" s="330" t="s">
        <v>9227</v>
      </c>
      <c r="D2531" s="330" t="s">
        <v>9228</v>
      </c>
      <c r="E2531" s="330" t="s">
        <v>4634</v>
      </c>
      <c r="F2531" s="331">
        <v>0.21</v>
      </c>
      <c r="G2531" s="332">
        <v>289</v>
      </c>
      <c r="H2531" s="333">
        <v>350</v>
      </c>
    </row>
    <row r="2532" spans="1:8">
      <c r="A2532" s="317">
        <v>1604336021</v>
      </c>
      <c r="B2532" s="317" t="s">
        <v>46900</v>
      </c>
      <c r="C2532" s="330" t="s">
        <v>9229</v>
      </c>
      <c r="D2532" s="330" t="s">
        <v>9230</v>
      </c>
      <c r="E2532" s="330" t="s">
        <v>37248</v>
      </c>
      <c r="F2532" s="331">
        <v>0.21</v>
      </c>
      <c r="G2532" s="332">
        <v>5130</v>
      </c>
      <c r="H2532" s="333">
        <v>6208</v>
      </c>
    </row>
    <row r="2533" spans="1:8">
      <c r="A2533" s="317">
        <v>1604336031</v>
      </c>
      <c r="B2533" s="317" t="s">
        <v>46901</v>
      </c>
      <c r="C2533" s="330" t="s">
        <v>9231</v>
      </c>
      <c r="D2533" s="330" t="s">
        <v>9232</v>
      </c>
      <c r="E2533" s="330" t="s">
        <v>4634</v>
      </c>
      <c r="F2533" s="331">
        <v>0.21</v>
      </c>
      <c r="G2533" s="332">
        <v>3225</v>
      </c>
      <c r="H2533" s="333">
        <v>3903</v>
      </c>
    </row>
    <row r="2534" spans="1:8">
      <c r="A2534" s="317">
        <v>1604336035</v>
      </c>
      <c r="B2534" s="317" t="s">
        <v>46902</v>
      </c>
      <c r="C2534" s="330" t="s">
        <v>9233</v>
      </c>
      <c r="D2534" s="330" t="s">
        <v>9234</v>
      </c>
      <c r="E2534" s="330" t="s">
        <v>4634</v>
      </c>
      <c r="F2534" s="331">
        <v>0.21</v>
      </c>
      <c r="G2534" s="332">
        <v>928</v>
      </c>
      <c r="H2534" s="333">
        <v>1123</v>
      </c>
    </row>
    <row r="2535" spans="1:8">
      <c r="A2535" s="317">
        <v>1604336036</v>
      </c>
      <c r="B2535" s="317" t="s">
        <v>46903</v>
      </c>
      <c r="C2535" s="330" t="s">
        <v>9235</v>
      </c>
      <c r="D2535" s="330" t="s">
        <v>9236</v>
      </c>
      <c r="E2535" s="330" t="s">
        <v>4634</v>
      </c>
      <c r="F2535" s="331">
        <v>0.21</v>
      </c>
      <c r="G2535" s="332">
        <v>2005</v>
      </c>
      <c r="H2535" s="333">
        <v>2427</v>
      </c>
    </row>
    <row r="2536" spans="1:8">
      <c r="A2536" s="317">
        <v>1604336052</v>
      </c>
      <c r="B2536" s="317" t="s">
        <v>46904</v>
      </c>
      <c r="C2536" s="330" t="s">
        <v>9237</v>
      </c>
      <c r="D2536" s="330" t="s">
        <v>9238</v>
      </c>
      <c r="E2536" s="330" t="s">
        <v>4634</v>
      </c>
      <c r="F2536" s="331">
        <v>0.21</v>
      </c>
      <c r="G2536" s="332">
        <v>648</v>
      </c>
      <c r="H2536" s="333">
        <v>785</v>
      </c>
    </row>
    <row r="2537" spans="1:8">
      <c r="A2537" s="317">
        <v>1604336053</v>
      </c>
      <c r="B2537" s="317" t="s">
        <v>46905</v>
      </c>
      <c r="C2537" s="330" t="s">
        <v>9239</v>
      </c>
      <c r="D2537" s="330" t="s">
        <v>9240</v>
      </c>
      <c r="E2537" s="330" t="s">
        <v>37248</v>
      </c>
      <c r="F2537" s="331">
        <v>0.21</v>
      </c>
      <c r="G2537" s="332">
        <v>7171</v>
      </c>
      <c r="H2537" s="333">
        <v>8677</v>
      </c>
    </row>
    <row r="2538" spans="1:8">
      <c r="A2538" s="317">
        <v>1604336058</v>
      </c>
      <c r="B2538" s="317" t="s">
        <v>46906</v>
      </c>
      <c r="C2538" s="330" t="s">
        <v>9241</v>
      </c>
      <c r="D2538" s="330" t="s">
        <v>9242</v>
      </c>
      <c r="E2538" s="330" t="s">
        <v>4819</v>
      </c>
      <c r="F2538" s="331">
        <v>0.21</v>
      </c>
      <c r="G2538" s="332">
        <v>919</v>
      </c>
      <c r="H2538" s="333">
        <v>1112</v>
      </c>
    </row>
    <row r="2539" spans="1:8">
      <c r="A2539" s="317">
        <v>1604336059</v>
      </c>
      <c r="B2539" s="317" t="s">
        <v>46907</v>
      </c>
      <c r="C2539" s="330" t="s">
        <v>9243</v>
      </c>
      <c r="D2539" s="330" t="s">
        <v>9244</v>
      </c>
      <c r="E2539" s="330" t="s">
        <v>4819</v>
      </c>
      <c r="F2539" s="331">
        <v>0.21</v>
      </c>
      <c r="G2539" s="332">
        <v>1505</v>
      </c>
      <c r="H2539" s="333">
        <v>1822</v>
      </c>
    </row>
    <row r="2540" spans="1:8">
      <c r="A2540" s="317" t="s">
        <v>38784</v>
      </c>
      <c r="B2540" s="317" t="s">
        <v>46908</v>
      </c>
      <c r="C2540" s="330" t="s">
        <v>9245</v>
      </c>
      <c r="D2540" s="330" t="s">
        <v>9246</v>
      </c>
      <c r="E2540" s="330" t="s">
        <v>4819</v>
      </c>
      <c r="F2540" s="331">
        <v>0.21</v>
      </c>
      <c r="G2540" s="332">
        <v>3616</v>
      </c>
      <c r="H2540" s="333">
        <v>4376</v>
      </c>
    </row>
    <row r="2541" spans="1:8">
      <c r="A2541" s="317" t="s">
        <v>38785</v>
      </c>
      <c r="B2541" s="317" t="s">
        <v>46909</v>
      </c>
      <c r="C2541" s="330" t="s">
        <v>9247</v>
      </c>
      <c r="D2541" s="330" t="s">
        <v>9248</v>
      </c>
      <c r="E2541" s="330" t="s">
        <v>4819</v>
      </c>
      <c r="F2541" s="331">
        <v>0.21</v>
      </c>
      <c r="G2541" s="332">
        <v>18695</v>
      </c>
      <c r="H2541" s="333">
        <v>22621</v>
      </c>
    </row>
    <row r="2542" spans="1:8">
      <c r="A2542" s="317" t="s">
        <v>38786</v>
      </c>
      <c r="B2542" s="317" t="s">
        <v>46910</v>
      </c>
      <c r="C2542" s="330" t="s">
        <v>9249</v>
      </c>
      <c r="D2542" s="330" t="s">
        <v>6991</v>
      </c>
      <c r="E2542" s="330" t="s">
        <v>4819</v>
      </c>
      <c r="F2542" s="331">
        <v>0.21</v>
      </c>
      <c r="G2542" s="332">
        <v>2534</v>
      </c>
      <c r="H2542" s="333">
        <v>3067</v>
      </c>
    </row>
    <row r="2543" spans="1:8">
      <c r="A2543" s="317" t="s">
        <v>38787</v>
      </c>
      <c r="B2543" s="317" t="s">
        <v>46911</v>
      </c>
      <c r="C2543" s="330" t="s">
        <v>9250</v>
      </c>
      <c r="D2543" s="330" t="s">
        <v>9251</v>
      </c>
      <c r="E2543" s="330" t="s">
        <v>37248</v>
      </c>
      <c r="F2543" s="331">
        <v>0.21</v>
      </c>
      <c r="G2543" s="332">
        <v>780</v>
      </c>
      <c r="H2543" s="333">
        <v>944</v>
      </c>
    </row>
    <row r="2544" spans="1:8">
      <c r="A2544" s="317" t="s">
        <v>38788</v>
      </c>
      <c r="B2544" s="317" t="s">
        <v>46912</v>
      </c>
      <c r="C2544" s="330" t="s">
        <v>9252</v>
      </c>
      <c r="D2544" s="330" t="s">
        <v>9251</v>
      </c>
      <c r="E2544" s="330" t="s">
        <v>37248</v>
      </c>
      <c r="F2544" s="331">
        <v>0.21</v>
      </c>
      <c r="G2544" s="332">
        <v>780</v>
      </c>
      <c r="H2544" s="333">
        <v>944</v>
      </c>
    </row>
    <row r="2545" spans="1:8">
      <c r="A2545" s="317" t="s">
        <v>38789</v>
      </c>
      <c r="B2545" s="317" t="s">
        <v>46913</v>
      </c>
      <c r="C2545" s="330" t="s">
        <v>9253</v>
      </c>
      <c r="D2545" s="330" t="s">
        <v>7774</v>
      </c>
      <c r="E2545" s="330" t="s">
        <v>37248</v>
      </c>
      <c r="F2545" s="331">
        <v>0.21</v>
      </c>
      <c r="G2545" s="332">
        <v>1102</v>
      </c>
      <c r="H2545" s="333">
        <v>1334</v>
      </c>
    </row>
    <row r="2546" spans="1:8">
      <c r="A2546" s="317" t="s">
        <v>38790</v>
      </c>
      <c r="B2546" s="317" t="s">
        <v>46914</v>
      </c>
      <c r="C2546" s="330" t="s">
        <v>9254</v>
      </c>
      <c r="D2546" s="330" t="s">
        <v>7774</v>
      </c>
      <c r="E2546" s="330" t="s">
        <v>4623</v>
      </c>
      <c r="F2546" s="331">
        <v>0.21</v>
      </c>
      <c r="G2546" s="332">
        <v>5164</v>
      </c>
      <c r="H2546" s="333">
        <v>6249</v>
      </c>
    </row>
    <row r="2547" spans="1:8">
      <c r="A2547" s="317" t="s">
        <v>38791</v>
      </c>
      <c r="B2547" s="317" t="s">
        <v>46915</v>
      </c>
      <c r="C2547" s="330" t="s">
        <v>9255</v>
      </c>
      <c r="D2547" s="330" t="s">
        <v>7774</v>
      </c>
      <c r="E2547" s="330" t="s">
        <v>37248</v>
      </c>
      <c r="F2547" s="331">
        <v>0.21</v>
      </c>
      <c r="G2547" s="332">
        <v>976</v>
      </c>
      <c r="H2547" s="333">
        <v>1181</v>
      </c>
    </row>
    <row r="2548" spans="1:8">
      <c r="A2548" s="317">
        <v>1604413007</v>
      </c>
      <c r="B2548" s="317" t="s">
        <v>46916</v>
      </c>
      <c r="C2548" s="330" t="s">
        <v>9256</v>
      </c>
      <c r="D2548" s="330" t="s">
        <v>9257</v>
      </c>
      <c r="E2548" s="330" t="s">
        <v>37248</v>
      </c>
      <c r="F2548" s="331">
        <v>0.21</v>
      </c>
      <c r="G2548" s="332">
        <v>1875</v>
      </c>
      <c r="H2548" s="333">
        <v>2269</v>
      </c>
    </row>
    <row r="2549" spans="1:8">
      <c r="A2549" s="317">
        <v>1604413008</v>
      </c>
      <c r="B2549" s="317" t="s">
        <v>46917</v>
      </c>
      <c r="C2549" s="330" t="s">
        <v>9258</v>
      </c>
      <c r="D2549" s="330" t="s">
        <v>9257</v>
      </c>
      <c r="E2549" s="330" t="s">
        <v>4634</v>
      </c>
      <c r="F2549" s="331">
        <v>0.21</v>
      </c>
      <c r="G2549" s="332">
        <v>2755</v>
      </c>
      <c r="H2549" s="333">
        <v>3334</v>
      </c>
    </row>
    <row r="2550" spans="1:8">
      <c r="A2550" s="317">
        <v>1604431005</v>
      </c>
      <c r="B2550" s="317" t="s">
        <v>46918</v>
      </c>
      <c r="C2550" s="330" t="s">
        <v>9259</v>
      </c>
      <c r="D2550" s="330" t="s">
        <v>9260</v>
      </c>
      <c r="E2550" s="330" t="s">
        <v>4634</v>
      </c>
      <c r="F2550" s="331">
        <v>0.21</v>
      </c>
      <c r="G2550" s="332">
        <v>432</v>
      </c>
      <c r="H2550" s="333">
        <v>523</v>
      </c>
    </row>
    <row r="2551" spans="1:8">
      <c r="A2551" s="317">
        <v>1604431006</v>
      </c>
      <c r="B2551" s="317" t="s">
        <v>46919</v>
      </c>
      <c r="C2551" s="330" t="s">
        <v>9261</v>
      </c>
      <c r="D2551" s="330" t="s">
        <v>9260</v>
      </c>
      <c r="E2551" s="330" t="s">
        <v>4634</v>
      </c>
      <c r="F2551" s="331">
        <v>0.21</v>
      </c>
      <c r="G2551" s="332">
        <v>432</v>
      </c>
      <c r="H2551" s="333">
        <v>523</v>
      </c>
    </row>
    <row r="2552" spans="1:8">
      <c r="A2552" s="317">
        <v>1604448005</v>
      </c>
      <c r="B2552" s="317" t="s">
        <v>46920</v>
      </c>
      <c r="C2552" s="330" t="s">
        <v>9262</v>
      </c>
      <c r="D2552" s="330" t="s">
        <v>9263</v>
      </c>
      <c r="E2552" s="330" t="s">
        <v>4634</v>
      </c>
      <c r="F2552" s="331">
        <v>0.21</v>
      </c>
      <c r="G2552" s="332">
        <v>1043</v>
      </c>
      <c r="H2552" s="333">
        <v>1263</v>
      </c>
    </row>
    <row r="2553" spans="1:8">
      <c r="A2553" s="317">
        <v>1604448006</v>
      </c>
      <c r="B2553" s="317" t="s">
        <v>46921</v>
      </c>
      <c r="C2553" s="330" t="s">
        <v>9264</v>
      </c>
      <c r="D2553" s="330" t="s">
        <v>9265</v>
      </c>
      <c r="E2553" s="330" t="s">
        <v>4634</v>
      </c>
      <c r="F2553" s="331">
        <v>0.21</v>
      </c>
      <c r="G2553" s="332">
        <v>673</v>
      </c>
      <c r="H2553" s="333">
        <v>815</v>
      </c>
    </row>
    <row r="2554" spans="1:8">
      <c r="A2554" s="317">
        <v>1604448013</v>
      </c>
      <c r="B2554" s="317" t="s">
        <v>46922</v>
      </c>
      <c r="C2554" s="330" t="s">
        <v>9266</v>
      </c>
      <c r="D2554" s="330" t="s">
        <v>9267</v>
      </c>
      <c r="E2554" s="330" t="s">
        <v>4634</v>
      </c>
      <c r="F2554" s="331">
        <v>0.21</v>
      </c>
      <c r="G2554" s="332">
        <v>412</v>
      </c>
      <c r="H2554" s="333">
        <v>499</v>
      </c>
    </row>
    <row r="2555" spans="1:8">
      <c r="A2555" s="317">
        <v>1604448023</v>
      </c>
      <c r="B2555" s="317" t="s">
        <v>46923</v>
      </c>
      <c r="C2555" s="330" t="s">
        <v>9268</v>
      </c>
      <c r="D2555" s="330" t="s">
        <v>9269</v>
      </c>
      <c r="E2555" s="330" t="s">
        <v>37248</v>
      </c>
      <c r="F2555" s="331">
        <v>0.21</v>
      </c>
      <c r="G2555" s="332">
        <v>463</v>
      </c>
      <c r="H2555" s="333">
        <v>561</v>
      </c>
    </row>
    <row r="2556" spans="1:8">
      <c r="A2556" s="317">
        <v>1604448025</v>
      </c>
      <c r="B2556" s="317" t="s">
        <v>46924</v>
      </c>
      <c r="C2556" s="330" t="s">
        <v>9270</v>
      </c>
      <c r="D2556" s="330" t="s">
        <v>9271</v>
      </c>
      <c r="E2556" s="330" t="s">
        <v>37248</v>
      </c>
      <c r="F2556" s="331">
        <v>0.21</v>
      </c>
      <c r="G2556" s="332">
        <v>689</v>
      </c>
      <c r="H2556" s="333">
        <v>834</v>
      </c>
    </row>
    <row r="2557" spans="1:8">
      <c r="A2557" s="317">
        <v>1604449002</v>
      </c>
      <c r="B2557" s="317" t="s">
        <v>46925</v>
      </c>
      <c r="C2557" s="330" t="s">
        <v>9272</v>
      </c>
      <c r="D2557" s="330" t="s">
        <v>5912</v>
      </c>
      <c r="E2557" s="330" t="s">
        <v>4634</v>
      </c>
      <c r="F2557" s="331">
        <v>0.21</v>
      </c>
      <c r="G2557" s="332">
        <v>348</v>
      </c>
      <c r="H2557" s="333">
        <v>422</v>
      </c>
    </row>
    <row r="2558" spans="1:8">
      <c r="A2558" s="317">
        <v>1604460126</v>
      </c>
      <c r="B2558" s="317" t="s">
        <v>46926</v>
      </c>
      <c r="C2558" s="330" t="s">
        <v>9273</v>
      </c>
      <c r="D2558" s="330" t="s">
        <v>9274</v>
      </c>
      <c r="E2558" s="330" t="s">
        <v>4634</v>
      </c>
      <c r="F2558" s="331">
        <v>0.21</v>
      </c>
      <c r="G2558" s="332">
        <v>3935</v>
      </c>
      <c r="H2558" s="333">
        <v>4762</v>
      </c>
    </row>
    <row r="2559" spans="1:8">
      <c r="A2559" s="317">
        <v>1604460163</v>
      </c>
      <c r="B2559" s="317" t="s">
        <v>46927</v>
      </c>
      <c r="C2559" s="330" t="s">
        <v>9275</v>
      </c>
      <c r="D2559" s="330" t="s">
        <v>9276</v>
      </c>
      <c r="E2559" s="330" t="s">
        <v>4634</v>
      </c>
      <c r="F2559" s="331">
        <v>0.21</v>
      </c>
      <c r="G2559" s="332">
        <v>564</v>
      </c>
      <c r="H2559" s="333">
        <v>683</v>
      </c>
    </row>
    <row r="2560" spans="1:8">
      <c r="A2560" s="317">
        <v>1604460230</v>
      </c>
      <c r="B2560" s="317" t="s">
        <v>46928</v>
      </c>
      <c r="C2560" s="330" t="s">
        <v>9277</v>
      </c>
      <c r="D2560" s="330" t="s">
        <v>9278</v>
      </c>
      <c r="E2560" s="330" t="s">
        <v>4634</v>
      </c>
      <c r="F2560" s="331">
        <v>0.21</v>
      </c>
      <c r="G2560" s="332">
        <v>3935</v>
      </c>
      <c r="H2560" s="333">
        <v>4762</v>
      </c>
    </row>
    <row r="2561" spans="1:8">
      <c r="A2561" s="317">
        <v>1604460231</v>
      </c>
      <c r="B2561" s="317" t="s">
        <v>46929</v>
      </c>
      <c r="C2561" s="330" t="s">
        <v>9279</v>
      </c>
      <c r="D2561" s="330" t="s">
        <v>9280</v>
      </c>
      <c r="E2561" s="330" t="s">
        <v>4634</v>
      </c>
      <c r="F2561" s="331">
        <v>0.21</v>
      </c>
      <c r="G2561" s="332">
        <v>7787</v>
      </c>
      <c r="H2561" s="333">
        <v>9423</v>
      </c>
    </row>
    <row r="2562" spans="1:8">
      <c r="A2562" s="317">
        <v>1604460234</v>
      </c>
      <c r="B2562" s="317" t="s">
        <v>46930</v>
      </c>
      <c r="C2562" s="330" t="s">
        <v>9281</v>
      </c>
      <c r="D2562" s="330" t="s">
        <v>9282</v>
      </c>
      <c r="E2562" s="330" t="s">
        <v>37248</v>
      </c>
      <c r="F2562" s="331">
        <v>0.21</v>
      </c>
      <c r="G2562" s="332">
        <v>13507</v>
      </c>
      <c r="H2562" s="333">
        <v>16344</v>
      </c>
    </row>
    <row r="2563" spans="1:8">
      <c r="A2563" s="317">
        <v>1604460235</v>
      </c>
      <c r="B2563" s="317" t="s">
        <v>46931</v>
      </c>
      <c r="C2563" s="330" t="s">
        <v>9283</v>
      </c>
      <c r="D2563" s="330" t="s">
        <v>9284</v>
      </c>
      <c r="E2563" s="330" t="s">
        <v>4634</v>
      </c>
      <c r="F2563" s="331">
        <v>0.21</v>
      </c>
      <c r="G2563" s="332">
        <v>3317</v>
      </c>
      <c r="H2563" s="333">
        <v>4014</v>
      </c>
    </row>
    <row r="2564" spans="1:8">
      <c r="A2564" s="317">
        <v>1604460240</v>
      </c>
      <c r="B2564" s="317" t="s">
        <v>46932</v>
      </c>
      <c r="C2564" s="330" t="s">
        <v>9285</v>
      </c>
      <c r="D2564" s="330" t="s">
        <v>9286</v>
      </c>
      <c r="E2564" s="330" t="s">
        <v>37248</v>
      </c>
      <c r="F2564" s="331">
        <v>0.21</v>
      </c>
      <c r="G2564" s="332">
        <v>8584</v>
      </c>
      <c r="H2564" s="333">
        <v>10387</v>
      </c>
    </row>
    <row r="2565" spans="1:8">
      <c r="A2565" s="317">
        <v>1604460247</v>
      </c>
      <c r="B2565" s="317" t="s">
        <v>46933</v>
      </c>
      <c r="C2565" s="330" t="s">
        <v>9287</v>
      </c>
      <c r="D2565" s="330" t="s">
        <v>9288</v>
      </c>
      <c r="E2565" s="330" t="s">
        <v>4819</v>
      </c>
      <c r="F2565" s="331">
        <v>0.21</v>
      </c>
      <c r="G2565" s="332">
        <v>6988</v>
      </c>
      <c r="H2565" s="333">
        <v>8456</v>
      </c>
    </row>
    <row r="2566" spans="1:8">
      <c r="A2566" s="317">
        <v>1604460301</v>
      </c>
      <c r="B2566" s="317" t="s">
        <v>46934</v>
      </c>
      <c r="C2566" s="330" t="s">
        <v>9289</v>
      </c>
      <c r="D2566" s="330" t="s">
        <v>9290</v>
      </c>
      <c r="E2566" s="330" t="s">
        <v>4634</v>
      </c>
      <c r="F2566" s="331">
        <v>0.21</v>
      </c>
      <c r="G2566" s="332">
        <v>3421</v>
      </c>
      <c r="H2566" s="333">
        <v>4140</v>
      </c>
    </row>
    <row r="2567" spans="1:8">
      <c r="A2567" s="317">
        <v>1604460394</v>
      </c>
      <c r="B2567" s="317" t="s">
        <v>46935</v>
      </c>
      <c r="C2567" s="330" t="s">
        <v>9291</v>
      </c>
      <c r="D2567" s="330" t="s">
        <v>9292</v>
      </c>
      <c r="E2567" s="330" t="s">
        <v>37248</v>
      </c>
      <c r="F2567" s="331">
        <v>0.21</v>
      </c>
      <c r="G2567" s="332">
        <v>7729</v>
      </c>
      <c r="H2567" s="333">
        <v>9353</v>
      </c>
    </row>
    <row r="2568" spans="1:8">
      <c r="A2568" s="317">
        <v>1604460707</v>
      </c>
      <c r="B2568" s="317" t="s">
        <v>46936</v>
      </c>
      <c r="C2568" s="330" t="s">
        <v>9293</v>
      </c>
      <c r="D2568" s="330" t="s">
        <v>9292</v>
      </c>
      <c r="E2568" s="330" t="s">
        <v>37248</v>
      </c>
      <c r="F2568" s="331">
        <v>0.21</v>
      </c>
      <c r="G2568" s="332">
        <v>8822</v>
      </c>
      <c r="H2568" s="333">
        <v>10675</v>
      </c>
    </row>
    <row r="2569" spans="1:8">
      <c r="A2569" s="317" t="s">
        <v>38792</v>
      </c>
      <c r="B2569" s="317" t="s">
        <v>46937</v>
      </c>
      <c r="C2569" s="330" t="s">
        <v>9294</v>
      </c>
      <c r="D2569" s="330" t="s">
        <v>9295</v>
      </c>
      <c r="E2569" s="330" t="s">
        <v>37248</v>
      </c>
      <c r="F2569" s="331">
        <v>0.21</v>
      </c>
      <c r="G2569" s="332">
        <v>6710</v>
      </c>
      <c r="H2569" s="333">
        <v>8120</v>
      </c>
    </row>
    <row r="2570" spans="1:8">
      <c r="A2570" s="317">
        <v>1604460734</v>
      </c>
      <c r="B2570" s="317" t="s">
        <v>46938</v>
      </c>
      <c r="C2570" s="330" t="s">
        <v>9296</v>
      </c>
      <c r="D2570" s="330" t="s">
        <v>9297</v>
      </c>
      <c r="E2570" s="330" t="s">
        <v>37248</v>
      </c>
      <c r="F2570" s="331">
        <v>0.21</v>
      </c>
      <c r="G2570" s="332">
        <v>8091</v>
      </c>
      <c r="H2570" s="333">
        <v>9791</v>
      </c>
    </row>
    <row r="2571" spans="1:8">
      <c r="A2571" s="317" t="s">
        <v>38793</v>
      </c>
      <c r="B2571" s="317" t="s">
        <v>46939</v>
      </c>
      <c r="C2571" s="330" t="s">
        <v>9298</v>
      </c>
      <c r="D2571" s="330" t="s">
        <v>9299</v>
      </c>
      <c r="E2571" s="330" t="s">
        <v>4819</v>
      </c>
      <c r="F2571" s="331">
        <v>0.21</v>
      </c>
      <c r="G2571" s="332">
        <v>19858</v>
      </c>
      <c r="H2571" s="333">
        <v>24029</v>
      </c>
    </row>
    <row r="2572" spans="1:8">
      <c r="A2572" s="317" t="s">
        <v>38794</v>
      </c>
      <c r="B2572" s="317" t="s">
        <v>46940</v>
      </c>
      <c r="C2572" s="330" t="s">
        <v>9300</v>
      </c>
      <c r="D2572" s="330" t="s">
        <v>9301</v>
      </c>
      <c r="E2572" s="330" t="s">
        <v>4819</v>
      </c>
      <c r="F2572" s="331">
        <v>0.21</v>
      </c>
      <c r="G2572" s="332">
        <v>11359</v>
      </c>
      <c r="H2572" s="333">
        <v>13745</v>
      </c>
    </row>
    <row r="2573" spans="1:8">
      <c r="A2573" s="317" t="s">
        <v>38795</v>
      </c>
      <c r="B2573" s="317" t="s">
        <v>46941</v>
      </c>
      <c r="C2573" s="330" t="s">
        <v>9302</v>
      </c>
      <c r="D2573" s="330" t="s">
        <v>9303</v>
      </c>
      <c r="E2573" s="330" t="s">
        <v>4819</v>
      </c>
      <c r="F2573" s="331">
        <v>0.21</v>
      </c>
      <c r="G2573" s="332">
        <v>13219</v>
      </c>
      <c r="H2573" s="333">
        <v>15995</v>
      </c>
    </row>
    <row r="2574" spans="1:8">
      <c r="A2574" s="317">
        <v>1604460762</v>
      </c>
      <c r="B2574" s="317" t="s">
        <v>46942</v>
      </c>
      <c r="C2574" s="330" t="s">
        <v>9304</v>
      </c>
      <c r="D2574" s="330" t="s">
        <v>9305</v>
      </c>
      <c r="E2574" s="330" t="s">
        <v>4634</v>
      </c>
      <c r="F2574" s="331">
        <v>0.21</v>
      </c>
      <c r="G2574" s="332">
        <v>8893</v>
      </c>
      <c r="H2574" s="333">
        <v>10761</v>
      </c>
    </row>
    <row r="2575" spans="1:8">
      <c r="A2575" s="317">
        <v>1604460765</v>
      </c>
      <c r="B2575" s="317" t="s">
        <v>46943</v>
      </c>
      <c r="C2575" s="330" t="s">
        <v>9306</v>
      </c>
      <c r="D2575" s="330" t="s">
        <v>9307</v>
      </c>
      <c r="E2575" s="330" t="s">
        <v>4634</v>
      </c>
      <c r="F2575" s="331">
        <v>0.21</v>
      </c>
      <c r="G2575" s="332">
        <v>15657</v>
      </c>
      <c r="H2575" s="333">
        <v>18945</v>
      </c>
    </row>
    <row r="2576" spans="1:8">
      <c r="A2576" s="317">
        <v>1604460767</v>
      </c>
      <c r="B2576" s="317" t="s">
        <v>46944</v>
      </c>
      <c r="C2576" s="330" t="s">
        <v>9308</v>
      </c>
      <c r="D2576" s="330" t="s">
        <v>9309</v>
      </c>
      <c r="E2576" s="330" t="s">
        <v>4634</v>
      </c>
      <c r="F2576" s="331">
        <v>0.21</v>
      </c>
      <c r="G2576" s="332">
        <v>2732</v>
      </c>
      <c r="H2576" s="333">
        <v>3306</v>
      </c>
    </row>
    <row r="2577" spans="1:8">
      <c r="A2577" s="317" t="s">
        <v>38796</v>
      </c>
      <c r="B2577" s="317" t="s">
        <v>46945</v>
      </c>
      <c r="C2577" s="330" t="s">
        <v>9310</v>
      </c>
      <c r="D2577" s="330" t="s">
        <v>9311</v>
      </c>
      <c r="E2577" s="330" t="s">
        <v>37248</v>
      </c>
      <c r="F2577" s="331">
        <v>0.21</v>
      </c>
      <c r="G2577" s="332">
        <v>8969</v>
      </c>
      <c r="H2577" s="333">
        <v>10853</v>
      </c>
    </row>
    <row r="2578" spans="1:8">
      <c r="A2578" s="317" t="s">
        <v>38797</v>
      </c>
      <c r="B2578" s="317" t="s">
        <v>46946</v>
      </c>
      <c r="C2578" s="330" t="s">
        <v>9312</v>
      </c>
      <c r="D2578" s="330" t="s">
        <v>9313</v>
      </c>
      <c r="E2578" s="330" t="s">
        <v>4819</v>
      </c>
      <c r="F2578" s="331">
        <v>0.21</v>
      </c>
      <c r="G2578" s="332">
        <v>9496</v>
      </c>
      <c r="H2578" s="333">
        <v>11491</v>
      </c>
    </row>
    <row r="2579" spans="1:8">
      <c r="A2579" s="317">
        <v>160446078</v>
      </c>
      <c r="B2579" s="317">
        <v>160446078</v>
      </c>
      <c r="C2579" s="330" t="s">
        <v>9314</v>
      </c>
      <c r="D2579" s="330" t="s">
        <v>9288</v>
      </c>
      <c r="E2579" s="330" t="s">
        <v>37248</v>
      </c>
      <c r="F2579" s="331">
        <v>0.21</v>
      </c>
      <c r="G2579" s="332">
        <v>3345</v>
      </c>
      <c r="H2579" s="333">
        <v>4048</v>
      </c>
    </row>
    <row r="2580" spans="1:8">
      <c r="A2580" s="317">
        <v>1604465101</v>
      </c>
      <c r="B2580" s="317" t="s">
        <v>46947</v>
      </c>
      <c r="C2580" s="330" t="s">
        <v>9315</v>
      </c>
      <c r="D2580" s="330" t="s">
        <v>9316</v>
      </c>
      <c r="E2580" s="330" t="s">
        <v>4634</v>
      </c>
      <c r="F2580" s="331">
        <v>0.21</v>
      </c>
      <c r="G2580" s="332">
        <v>1030</v>
      </c>
      <c r="H2580" s="333">
        <v>1247</v>
      </c>
    </row>
    <row r="2581" spans="1:8">
      <c r="A2581" s="317">
        <v>1604465103</v>
      </c>
      <c r="B2581" s="317" t="s">
        <v>46948</v>
      </c>
      <c r="C2581" s="330" t="s">
        <v>9317</v>
      </c>
      <c r="D2581" s="330" t="s">
        <v>9318</v>
      </c>
      <c r="E2581" s="330" t="s">
        <v>4634</v>
      </c>
      <c r="F2581" s="331">
        <v>0.21</v>
      </c>
      <c r="G2581" s="332">
        <v>495</v>
      </c>
      <c r="H2581" s="333">
        <v>599</v>
      </c>
    </row>
    <row r="2582" spans="1:8">
      <c r="A2582" s="317">
        <v>1604477005</v>
      </c>
      <c r="B2582" s="317" t="s">
        <v>46949</v>
      </c>
      <c r="C2582" s="330" t="s">
        <v>9319</v>
      </c>
      <c r="D2582" s="330" t="s">
        <v>9320</v>
      </c>
      <c r="E2582" s="330" t="s">
        <v>4819</v>
      </c>
      <c r="F2582" s="331">
        <v>0.21</v>
      </c>
      <c r="G2582" s="332">
        <v>1769</v>
      </c>
      <c r="H2582" s="333">
        <v>2141</v>
      </c>
    </row>
    <row r="2583" spans="1:8">
      <c r="A2583" s="317">
        <v>1604477020</v>
      </c>
      <c r="B2583" s="317" t="s">
        <v>46950</v>
      </c>
      <c r="C2583" s="330" t="s">
        <v>9321</v>
      </c>
      <c r="D2583" s="330" t="s">
        <v>9322</v>
      </c>
      <c r="E2583" s="330" t="s">
        <v>4634</v>
      </c>
      <c r="F2583" s="331">
        <v>0.21</v>
      </c>
      <c r="G2583" s="332">
        <v>455</v>
      </c>
      <c r="H2583" s="333">
        <v>551</v>
      </c>
    </row>
    <row r="2584" spans="1:8">
      <c r="A2584" s="317">
        <v>1604478015</v>
      </c>
      <c r="B2584" s="317" t="s">
        <v>46951</v>
      </c>
      <c r="C2584" s="330" t="s">
        <v>9323</v>
      </c>
      <c r="D2584" s="330" t="s">
        <v>9324</v>
      </c>
      <c r="E2584" s="330" t="s">
        <v>37248</v>
      </c>
      <c r="F2584" s="331">
        <v>0.21</v>
      </c>
      <c r="G2584" s="332">
        <v>1072</v>
      </c>
      <c r="H2584" s="333">
        <v>1298</v>
      </c>
    </row>
    <row r="2585" spans="1:8">
      <c r="A2585" s="317">
        <v>1604503015</v>
      </c>
      <c r="B2585" s="317" t="s">
        <v>46952</v>
      </c>
      <c r="C2585" s="330" t="s">
        <v>9325</v>
      </c>
      <c r="D2585" s="330" t="s">
        <v>9326</v>
      </c>
      <c r="E2585" s="330" t="s">
        <v>37248</v>
      </c>
      <c r="F2585" s="331">
        <v>0.21</v>
      </c>
      <c r="G2585" s="332">
        <v>15291</v>
      </c>
      <c r="H2585" s="333">
        <v>18503</v>
      </c>
    </row>
    <row r="2586" spans="1:8">
      <c r="A2586" s="317">
        <v>1604503017</v>
      </c>
      <c r="B2586" s="317" t="s">
        <v>46953</v>
      </c>
      <c r="C2586" s="330" t="s">
        <v>9327</v>
      </c>
      <c r="D2586" s="330" t="s">
        <v>9328</v>
      </c>
      <c r="E2586" s="330" t="s">
        <v>4634</v>
      </c>
      <c r="F2586" s="331">
        <v>0.21</v>
      </c>
      <c r="G2586" s="332">
        <v>11807</v>
      </c>
      <c r="H2586" s="333">
        <v>14287</v>
      </c>
    </row>
    <row r="2587" spans="1:8">
      <c r="A2587" s="317">
        <v>1604601028</v>
      </c>
      <c r="B2587" s="317" t="s">
        <v>46954</v>
      </c>
      <c r="C2587" s="330" t="s">
        <v>9329</v>
      </c>
      <c r="D2587" s="330" t="s">
        <v>4909</v>
      </c>
      <c r="E2587" s="330" t="s">
        <v>37248</v>
      </c>
      <c r="F2587" s="331">
        <v>0.21</v>
      </c>
      <c r="G2587" s="332">
        <v>1565</v>
      </c>
      <c r="H2587" s="333">
        <v>1894</v>
      </c>
    </row>
    <row r="2588" spans="1:8">
      <c r="A2588" s="317" t="s">
        <v>38798</v>
      </c>
      <c r="B2588" s="317" t="s">
        <v>46955</v>
      </c>
      <c r="C2588" s="330" t="s">
        <v>9330</v>
      </c>
      <c r="D2588" s="330" t="s">
        <v>4909</v>
      </c>
      <c r="E2588" s="330" t="s">
        <v>4819</v>
      </c>
      <c r="F2588" s="331">
        <v>0.21</v>
      </c>
      <c r="G2588" s="332">
        <v>919</v>
      </c>
      <c r="H2588" s="333">
        <v>1112</v>
      </c>
    </row>
    <row r="2589" spans="1:8">
      <c r="A2589" s="317">
        <v>1604601031</v>
      </c>
      <c r="B2589" s="317" t="s">
        <v>46956</v>
      </c>
      <c r="C2589" s="330" t="s">
        <v>9331</v>
      </c>
      <c r="D2589" s="330" t="s">
        <v>4909</v>
      </c>
      <c r="E2589" s="330" t="s">
        <v>37248</v>
      </c>
      <c r="F2589" s="331">
        <v>0.21</v>
      </c>
      <c r="G2589" s="332">
        <v>435</v>
      </c>
      <c r="H2589" s="333">
        <v>527</v>
      </c>
    </row>
    <row r="2590" spans="1:8">
      <c r="A2590" s="317">
        <v>1604601032</v>
      </c>
      <c r="B2590" s="317" t="s">
        <v>46957</v>
      </c>
      <c r="C2590" s="330" t="s">
        <v>9332</v>
      </c>
      <c r="D2590" s="330" t="s">
        <v>4909</v>
      </c>
      <c r="E2590" s="330" t="s">
        <v>37248</v>
      </c>
      <c r="F2590" s="331">
        <v>0.21</v>
      </c>
      <c r="G2590" s="332">
        <v>435</v>
      </c>
      <c r="H2590" s="333">
        <v>527</v>
      </c>
    </row>
    <row r="2591" spans="1:8">
      <c r="A2591" s="317">
        <v>1604601037</v>
      </c>
      <c r="B2591" s="317" t="s">
        <v>46958</v>
      </c>
      <c r="C2591" s="330" t="s">
        <v>9333</v>
      </c>
      <c r="D2591" s="330" t="s">
        <v>4909</v>
      </c>
      <c r="E2591" s="330" t="s">
        <v>37248</v>
      </c>
      <c r="F2591" s="331">
        <v>0.21</v>
      </c>
      <c r="G2591" s="332">
        <v>194</v>
      </c>
      <c r="H2591" s="333">
        <v>235</v>
      </c>
    </row>
    <row r="2592" spans="1:8">
      <c r="A2592" s="317" t="s">
        <v>38799</v>
      </c>
      <c r="B2592" s="317" t="s">
        <v>46959</v>
      </c>
      <c r="C2592" s="330" t="s">
        <v>9334</v>
      </c>
      <c r="D2592" s="330" t="s">
        <v>9335</v>
      </c>
      <c r="E2592" s="330" t="s">
        <v>37248</v>
      </c>
      <c r="F2592" s="331">
        <v>0.21</v>
      </c>
      <c r="G2592" s="332">
        <v>976</v>
      </c>
      <c r="H2592" s="333">
        <v>1181</v>
      </c>
    </row>
    <row r="2593" spans="1:8">
      <c r="A2593" s="317" t="s">
        <v>38800</v>
      </c>
      <c r="B2593" s="317" t="s">
        <v>46960</v>
      </c>
      <c r="C2593" s="330" t="s">
        <v>9336</v>
      </c>
      <c r="D2593" s="330" t="s">
        <v>9337</v>
      </c>
      <c r="E2593" s="330" t="s">
        <v>37248</v>
      </c>
      <c r="F2593" s="331">
        <v>0.21</v>
      </c>
      <c r="G2593" s="332">
        <v>305</v>
      </c>
      <c r="H2593" s="333">
        <v>370</v>
      </c>
    </row>
    <row r="2594" spans="1:8">
      <c r="A2594" s="317">
        <v>1604601040</v>
      </c>
      <c r="B2594" s="317" t="s">
        <v>46961</v>
      </c>
      <c r="C2594" s="330" t="s">
        <v>9338</v>
      </c>
      <c r="D2594" s="330" t="s">
        <v>9337</v>
      </c>
      <c r="E2594" s="330" t="s">
        <v>37248</v>
      </c>
      <c r="F2594" s="331">
        <v>0.21</v>
      </c>
      <c r="G2594" s="332">
        <v>515</v>
      </c>
      <c r="H2594" s="333">
        <v>624</v>
      </c>
    </row>
    <row r="2595" spans="1:8">
      <c r="A2595" s="317">
        <v>1604611004</v>
      </c>
      <c r="B2595" s="317" t="s">
        <v>46962</v>
      </c>
      <c r="C2595" s="330" t="s">
        <v>9339</v>
      </c>
      <c r="D2595" s="330" t="s">
        <v>9340</v>
      </c>
      <c r="E2595" s="330" t="s">
        <v>4819</v>
      </c>
      <c r="F2595" s="331">
        <v>0.21</v>
      </c>
      <c r="G2595" s="332">
        <v>2705</v>
      </c>
      <c r="H2595" s="333">
        <v>3274</v>
      </c>
    </row>
    <row r="2596" spans="1:8">
      <c r="A2596" s="317">
        <v>1604611019</v>
      </c>
      <c r="B2596" s="317" t="s">
        <v>46963</v>
      </c>
      <c r="C2596" s="330" t="s">
        <v>9341</v>
      </c>
      <c r="D2596" s="330" t="s">
        <v>9342</v>
      </c>
      <c r="E2596" s="330" t="s">
        <v>4634</v>
      </c>
      <c r="F2596" s="331">
        <v>0.21</v>
      </c>
      <c r="G2596" s="332">
        <v>372</v>
      </c>
      <c r="H2596" s="333">
        <v>451</v>
      </c>
    </row>
    <row r="2597" spans="1:8">
      <c r="A2597" s="317">
        <v>1604611022</v>
      </c>
      <c r="B2597" s="317" t="s">
        <v>46964</v>
      </c>
      <c r="C2597" s="330" t="s">
        <v>9343</v>
      </c>
      <c r="D2597" s="330" t="s">
        <v>9344</v>
      </c>
      <c r="E2597" s="330" t="s">
        <v>4819</v>
      </c>
      <c r="F2597" s="331">
        <v>0.21</v>
      </c>
      <c r="G2597" s="332">
        <v>1195</v>
      </c>
      <c r="H2597" s="333">
        <v>1446</v>
      </c>
    </row>
    <row r="2598" spans="1:8">
      <c r="A2598" s="317">
        <v>1604611024</v>
      </c>
      <c r="B2598" s="317" t="s">
        <v>46965</v>
      </c>
      <c r="C2598" s="330" t="s">
        <v>9345</v>
      </c>
      <c r="D2598" s="330" t="s">
        <v>9346</v>
      </c>
      <c r="E2598" s="330" t="s">
        <v>4634</v>
      </c>
      <c r="F2598" s="331">
        <v>0.21</v>
      </c>
      <c r="G2598" s="332">
        <v>309</v>
      </c>
      <c r="H2598" s="333">
        <v>374</v>
      </c>
    </row>
    <row r="2599" spans="1:8">
      <c r="A2599" s="317">
        <v>1604611026</v>
      </c>
      <c r="B2599" s="317" t="s">
        <v>46966</v>
      </c>
      <c r="C2599" s="330" t="s">
        <v>9347</v>
      </c>
      <c r="D2599" s="330" t="s">
        <v>9348</v>
      </c>
      <c r="E2599" s="330" t="s">
        <v>37248</v>
      </c>
      <c r="F2599" s="331">
        <v>0.21</v>
      </c>
      <c r="G2599" s="332">
        <v>2696</v>
      </c>
      <c r="H2599" s="333">
        <v>3263</v>
      </c>
    </row>
    <row r="2600" spans="1:8">
      <c r="A2600" s="317">
        <v>1604611037</v>
      </c>
      <c r="B2600" s="317" t="s">
        <v>46967</v>
      </c>
      <c r="C2600" s="330" t="s">
        <v>9349</v>
      </c>
      <c r="D2600" s="330" t="s">
        <v>9350</v>
      </c>
      <c r="E2600" s="330" t="s">
        <v>4634</v>
      </c>
      <c r="F2600" s="331">
        <v>0.21</v>
      </c>
      <c r="G2600" s="332">
        <v>702</v>
      </c>
      <c r="H2600" s="333">
        <v>850</v>
      </c>
    </row>
    <row r="2601" spans="1:8">
      <c r="A2601" s="317">
        <v>1604611039</v>
      </c>
      <c r="B2601" s="317" t="s">
        <v>46968</v>
      </c>
      <c r="C2601" s="330" t="s">
        <v>9351</v>
      </c>
      <c r="D2601" s="330" t="s">
        <v>9352</v>
      </c>
      <c r="E2601" s="330" t="s">
        <v>4634</v>
      </c>
      <c r="F2601" s="331">
        <v>0.21</v>
      </c>
      <c r="G2601" s="332">
        <v>580</v>
      </c>
      <c r="H2601" s="333">
        <v>702</v>
      </c>
    </row>
    <row r="2602" spans="1:8">
      <c r="A2602" s="317">
        <v>1604611041</v>
      </c>
      <c r="B2602" s="317" t="s">
        <v>46969</v>
      </c>
      <c r="C2602" s="330" t="s">
        <v>9353</v>
      </c>
      <c r="D2602" s="330" t="s">
        <v>9354</v>
      </c>
      <c r="E2602" s="330" t="s">
        <v>37248</v>
      </c>
      <c r="F2602" s="331">
        <v>0.21</v>
      </c>
      <c r="G2602" s="332">
        <v>1793</v>
      </c>
      <c r="H2602" s="333">
        <v>2170</v>
      </c>
    </row>
    <row r="2603" spans="1:8">
      <c r="A2603" s="317">
        <v>1604611042</v>
      </c>
      <c r="B2603" s="317" t="s">
        <v>46970</v>
      </c>
      <c r="C2603" s="330" t="s">
        <v>9355</v>
      </c>
      <c r="D2603" s="330" t="s">
        <v>7818</v>
      </c>
      <c r="E2603" s="330" t="s">
        <v>37248</v>
      </c>
      <c r="F2603" s="331">
        <v>0.21</v>
      </c>
      <c r="G2603" s="332">
        <v>1431</v>
      </c>
      <c r="H2603" s="333">
        <v>1732</v>
      </c>
    </row>
    <row r="2604" spans="1:8">
      <c r="A2604" s="317" t="s">
        <v>38801</v>
      </c>
      <c r="B2604" s="317" t="s">
        <v>46971</v>
      </c>
      <c r="C2604" s="330" t="s">
        <v>9356</v>
      </c>
      <c r="D2604" s="330" t="s">
        <v>7818</v>
      </c>
      <c r="E2604" s="330" t="s">
        <v>37248</v>
      </c>
      <c r="F2604" s="331">
        <v>0.21</v>
      </c>
      <c r="G2604" s="332">
        <v>383</v>
      </c>
      <c r="H2604" s="333">
        <v>464</v>
      </c>
    </row>
    <row r="2605" spans="1:8">
      <c r="A2605" s="317" t="s">
        <v>38802</v>
      </c>
      <c r="B2605" s="317" t="s">
        <v>46972</v>
      </c>
      <c r="C2605" s="330" t="s">
        <v>9357</v>
      </c>
      <c r="D2605" s="330" t="s">
        <v>7818</v>
      </c>
      <c r="E2605" s="330" t="s">
        <v>37248</v>
      </c>
      <c r="F2605" s="331">
        <v>0.21</v>
      </c>
      <c r="G2605" s="332">
        <v>305</v>
      </c>
      <c r="H2605" s="333">
        <v>370</v>
      </c>
    </row>
    <row r="2606" spans="1:8">
      <c r="A2606" s="317" t="s">
        <v>38803</v>
      </c>
      <c r="B2606" s="317" t="s">
        <v>46973</v>
      </c>
      <c r="C2606" s="330" t="s">
        <v>9358</v>
      </c>
      <c r="D2606" s="330" t="s">
        <v>9359</v>
      </c>
      <c r="E2606" s="330" t="s">
        <v>37248</v>
      </c>
      <c r="F2606" s="331">
        <v>0.21</v>
      </c>
      <c r="G2606" s="332">
        <v>2059</v>
      </c>
      <c r="H2606" s="333">
        <v>2492</v>
      </c>
    </row>
    <row r="2607" spans="1:8">
      <c r="A2607" s="317">
        <v>160461201</v>
      </c>
      <c r="B2607" s="317" t="s">
        <v>46974</v>
      </c>
      <c r="C2607" s="330" t="s">
        <v>9360</v>
      </c>
      <c r="D2607" s="330" t="s">
        <v>9361</v>
      </c>
      <c r="E2607" s="330" t="s">
        <v>37248</v>
      </c>
      <c r="F2607" s="331">
        <v>0.21</v>
      </c>
      <c r="G2607" s="332">
        <v>680</v>
      </c>
      <c r="H2607" s="333">
        <v>823</v>
      </c>
    </row>
    <row r="2608" spans="1:8">
      <c r="A2608" s="317" t="s">
        <v>38804</v>
      </c>
      <c r="B2608" s="317" t="s">
        <v>46975</v>
      </c>
      <c r="C2608" s="330" t="s">
        <v>9362</v>
      </c>
      <c r="D2608" s="330" t="s">
        <v>9363</v>
      </c>
      <c r="E2608" s="330" t="s">
        <v>4819</v>
      </c>
      <c r="F2608" s="331">
        <v>0.21</v>
      </c>
      <c r="G2608" s="332">
        <v>807</v>
      </c>
      <c r="H2608" s="333">
        <v>977</v>
      </c>
    </row>
    <row r="2609" spans="1:8">
      <c r="A2609" s="317" t="s">
        <v>38805</v>
      </c>
      <c r="B2609" s="317" t="s">
        <v>46976</v>
      </c>
      <c r="C2609" s="330" t="s">
        <v>9364</v>
      </c>
      <c r="D2609" s="330" t="s">
        <v>6179</v>
      </c>
      <c r="E2609" s="330" t="s">
        <v>37248</v>
      </c>
      <c r="F2609" s="331">
        <v>0.21</v>
      </c>
      <c r="G2609" s="332">
        <v>240</v>
      </c>
      <c r="H2609" s="333">
        <v>291</v>
      </c>
    </row>
    <row r="2610" spans="1:8">
      <c r="A2610" s="317" t="s">
        <v>38806</v>
      </c>
      <c r="B2610" s="317" t="s">
        <v>46977</v>
      </c>
      <c r="C2610" s="330" t="s">
        <v>9365</v>
      </c>
      <c r="D2610" s="330" t="s">
        <v>6179</v>
      </c>
      <c r="E2610" s="330" t="s">
        <v>37248</v>
      </c>
      <c r="F2610" s="331">
        <v>0.21</v>
      </c>
      <c r="G2610" s="332">
        <v>240</v>
      </c>
      <c r="H2610" s="333">
        <v>291</v>
      </c>
    </row>
    <row r="2611" spans="1:8">
      <c r="A2611" s="317">
        <v>1604612028</v>
      </c>
      <c r="B2611" s="317" t="s">
        <v>46978</v>
      </c>
      <c r="C2611" s="330" t="s">
        <v>9366</v>
      </c>
      <c r="D2611" s="330" t="s">
        <v>9367</v>
      </c>
      <c r="E2611" s="330" t="s">
        <v>37248</v>
      </c>
      <c r="F2611" s="331">
        <v>0.21</v>
      </c>
      <c r="G2611" s="332">
        <v>1844</v>
      </c>
      <c r="H2611" s="333">
        <v>2232</v>
      </c>
    </row>
    <row r="2612" spans="1:8">
      <c r="A2612" s="317" t="s">
        <v>38807</v>
      </c>
      <c r="B2612" s="317" t="s">
        <v>46979</v>
      </c>
      <c r="C2612" s="330" t="s">
        <v>9368</v>
      </c>
      <c r="D2612" s="330" t="s">
        <v>7818</v>
      </c>
      <c r="E2612" s="330" t="s">
        <v>37248</v>
      </c>
      <c r="F2612" s="331">
        <v>0.21</v>
      </c>
      <c r="G2612" s="332">
        <v>976</v>
      </c>
      <c r="H2612" s="333">
        <v>1181</v>
      </c>
    </row>
    <row r="2613" spans="1:8">
      <c r="A2613" s="317" t="s">
        <v>38808</v>
      </c>
      <c r="B2613" s="317" t="s">
        <v>46980</v>
      </c>
      <c r="C2613" s="330" t="s">
        <v>9369</v>
      </c>
      <c r="D2613" s="330" t="s">
        <v>6179</v>
      </c>
      <c r="E2613" s="330" t="s">
        <v>37248</v>
      </c>
      <c r="F2613" s="331">
        <v>0.21</v>
      </c>
      <c r="G2613" s="332">
        <v>240</v>
      </c>
      <c r="H2613" s="333">
        <v>291</v>
      </c>
    </row>
    <row r="2614" spans="1:8">
      <c r="A2614" s="317">
        <v>1604613006</v>
      </c>
      <c r="B2614" s="317" t="s">
        <v>46981</v>
      </c>
      <c r="C2614" s="330" t="s">
        <v>9370</v>
      </c>
      <c r="D2614" s="330" t="s">
        <v>7991</v>
      </c>
      <c r="E2614" s="330" t="s">
        <v>4634</v>
      </c>
      <c r="F2614" s="331">
        <v>0.21</v>
      </c>
      <c r="G2614" s="332">
        <v>153</v>
      </c>
      <c r="H2614" s="333">
        <v>186</v>
      </c>
    </row>
    <row r="2615" spans="1:8">
      <c r="A2615" s="317">
        <v>1604616022</v>
      </c>
      <c r="B2615" s="317" t="s">
        <v>46982</v>
      </c>
      <c r="C2615" s="330" t="s">
        <v>9371</v>
      </c>
      <c r="D2615" s="330" t="s">
        <v>9372</v>
      </c>
      <c r="E2615" s="330" t="s">
        <v>4819</v>
      </c>
      <c r="F2615" s="331">
        <v>0.21</v>
      </c>
      <c r="G2615" s="332">
        <v>1666</v>
      </c>
      <c r="H2615" s="333">
        <v>2016</v>
      </c>
    </row>
    <row r="2616" spans="1:8">
      <c r="A2616" s="317">
        <v>1604617008</v>
      </c>
      <c r="B2616" s="317" t="s">
        <v>46983</v>
      </c>
      <c r="C2616" s="330" t="s">
        <v>9373</v>
      </c>
      <c r="D2616" s="330" t="s">
        <v>9374</v>
      </c>
      <c r="E2616" s="330" t="s">
        <v>4634</v>
      </c>
      <c r="F2616" s="331">
        <v>0.21</v>
      </c>
      <c r="G2616" s="332">
        <v>274</v>
      </c>
      <c r="H2616" s="333">
        <v>332</v>
      </c>
    </row>
    <row r="2617" spans="1:8">
      <c r="A2617" s="317">
        <v>1604617009</v>
      </c>
      <c r="B2617" s="317" t="s">
        <v>46984</v>
      </c>
      <c r="C2617" s="330" t="s">
        <v>9375</v>
      </c>
      <c r="D2617" s="330" t="s">
        <v>9376</v>
      </c>
      <c r="E2617" s="330" t="s">
        <v>4634</v>
      </c>
      <c r="F2617" s="331">
        <v>0.21</v>
      </c>
      <c r="G2617" s="332">
        <v>274</v>
      </c>
      <c r="H2617" s="333">
        <v>332</v>
      </c>
    </row>
    <row r="2618" spans="1:8">
      <c r="A2618" s="317">
        <v>1604617015</v>
      </c>
      <c r="B2618" s="317" t="s">
        <v>46985</v>
      </c>
      <c r="C2618" s="330" t="s">
        <v>9377</v>
      </c>
      <c r="D2618" s="330" t="s">
        <v>9378</v>
      </c>
      <c r="E2618" s="330" t="s">
        <v>4634</v>
      </c>
      <c r="F2618" s="331">
        <v>0.21</v>
      </c>
      <c r="G2618" s="332">
        <v>274</v>
      </c>
      <c r="H2618" s="333">
        <v>332</v>
      </c>
    </row>
    <row r="2619" spans="1:8">
      <c r="A2619" s="317">
        <v>1604617016</v>
      </c>
      <c r="B2619" s="317" t="s">
        <v>46986</v>
      </c>
      <c r="C2619" s="330" t="s">
        <v>9379</v>
      </c>
      <c r="D2619" s="330" t="s">
        <v>9380</v>
      </c>
      <c r="E2619" s="330" t="s">
        <v>4634</v>
      </c>
      <c r="F2619" s="331">
        <v>0.21</v>
      </c>
      <c r="G2619" s="332">
        <v>243</v>
      </c>
      <c r="H2619" s="333">
        <v>295</v>
      </c>
    </row>
    <row r="2620" spans="1:8">
      <c r="A2620" s="317">
        <v>1604617017</v>
      </c>
      <c r="B2620" s="317" t="s">
        <v>46987</v>
      </c>
      <c r="C2620" s="330" t="s">
        <v>9381</v>
      </c>
      <c r="D2620" s="330" t="s">
        <v>9378</v>
      </c>
      <c r="E2620" s="330" t="s">
        <v>4634</v>
      </c>
      <c r="F2620" s="331">
        <v>0.21</v>
      </c>
      <c r="G2620" s="332">
        <v>274</v>
      </c>
      <c r="H2620" s="333">
        <v>332</v>
      </c>
    </row>
    <row r="2621" spans="1:8">
      <c r="A2621" s="317">
        <v>1604619017</v>
      </c>
      <c r="B2621" s="317" t="s">
        <v>46988</v>
      </c>
      <c r="C2621" s="330" t="s">
        <v>9382</v>
      </c>
      <c r="D2621" s="330" t="s">
        <v>7991</v>
      </c>
      <c r="E2621" s="330" t="s">
        <v>4634</v>
      </c>
      <c r="F2621" s="331">
        <v>0.21</v>
      </c>
      <c r="G2621" s="332">
        <v>564</v>
      </c>
      <c r="H2621" s="333">
        <v>683</v>
      </c>
    </row>
    <row r="2622" spans="1:8">
      <c r="A2622" s="317">
        <v>1604619018</v>
      </c>
      <c r="B2622" s="317" t="s">
        <v>46989</v>
      </c>
      <c r="C2622" s="330" t="s">
        <v>9383</v>
      </c>
      <c r="D2622" s="330" t="s">
        <v>9384</v>
      </c>
      <c r="E2622" s="330" t="s">
        <v>4634</v>
      </c>
      <c r="F2622" s="331">
        <v>0.21</v>
      </c>
      <c r="G2622" s="332">
        <v>236</v>
      </c>
      <c r="H2622" s="333">
        <v>286</v>
      </c>
    </row>
    <row r="2623" spans="1:8">
      <c r="A2623" s="317">
        <v>1604643003</v>
      </c>
      <c r="B2623" s="317" t="s">
        <v>46990</v>
      </c>
      <c r="C2623" s="330" t="s">
        <v>9385</v>
      </c>
      <c r="D2623" s="330" t="s">
        <v>9386</v>
      </c>
      <c r="E2623" s="330" t="s">
        <v>4634</v>
      </c>
      <c r="F2623" s="331">
        <v>0.21</v>
      </c>
      <c r="G2623" s="332">
        <v>1126</v>
      </c>
      <c r="H2623" s="333">
        <v>1363</v>
      </c>
    </row>
    <row r="2624" spans="1:8">
      <c r="A2624" s="317">
        <v>1604643005</v>
      </c>
      <c r="B2624" s="317" t="s">
        <v>46991</v>
      </c>
      <c r="C2624" s="330" t="s">
        <v>9387</v>
      </c>
      <c r="D2624" s="330" t="s">
        <v>9388</v>
      </c>
      <c r="E2624" s="330" t="s">
        <v>4634</v>
      </c>
      <c r="F2624" s="331">
        <v>0.21</v>
      </c>
      <c r="G2624" s="332">
        <v>274</v>
      </c>
      <c r="H2624" s="333">
        <v>332</v>
      </c>
    </row>
    <row r="2625" spans="1:8">
      <c r="A2625" s="317">
        <v>1604650010</v>
      </c>
      <c r="B2625" s="317" t="s">
        <v>46992</v>
      </c>
      <c r="C2625" s="330" t="s">
        <v>9389</v>
      </c>
      <c r="D2625" s="330" t="s">
        <v>9390</v>
      </c>
      <c r="E2625" s="330" t="s">
        <v>4634</v>
      </c>
      <c r="F2625" s="331">
        <v>0.21</v>
      </c>
      <c r="G2625" s="332">
        <v>564</v>
      </c>
      <c r="H2625" s="333">
        <v>683</v>
      </c>
    </row>
    <row r="2626" spans="1:8">
      <c r="A2626" s="317">
        <v>1604650016</v>
      </c>
      <c r="B2626" s="317" t="s">
        <v>46993</v>
      </c>
      <c r="C2626" s="330" t="s">
        <v>9391</v>
      </c>
      <c r="D2626" s="330" t="s">
        <v>9374</v>
      </c>
      <c r="E2626" s="330" t="s">
        <v>4634</v>
      </c>
      <c r="F2626" s="331">
        <v>0.21</v>
      </c>
      <c r="G2626" s="332">
        <v>372</v>
      </c>
      <c r="H2626" s="333">
        <v>451</v>
      </c>
    </row>
    <row r="2627" spans="1:8">
      <c r="A2627" s="317">
        <v>1604651004</v>
      </c>
      <c r="B2627" s="317" t="s">
        <v>46994</v>
      </c>
      <c r="C2627" s="330" t="s">
        <v>9392</v>
      </c>
      <c r="D2627" s="330" t="s">
        <v>9393</v>
      </c>
      <c r="E2627" s="330" t="s">
        <v>4634</v>
      </c>
      <c r="F2627" s="331">
        <v>0.21</v>
      </c>
      <c r="G2627" s="332">
        <v>372</v>
      </c>
      <c r="H2627" s="333">
        <v>451</v>
      </c>
    </row>
    <row r="2628" spans="1:8">
      <c r="A2628" s="317">
        <v>1604651007</v>
      </c>
      <c r="B2628" s="317" t="s">
        <v>46995</v>
      </c>
      <c r="C2628" s="330" t="s">
        <v>9394</v>
      </c>
      <c r="D2628" s="330" t="s">
        <v>9395</v>
      </c>
      <c r="E2628" s="330" t="s">
        <v>4634</v>
      </c>
      <c r="F2628" s="331">
        <v>0.21</v>
      </c>
      <c r="G2628" s="332">
        <v>372</v>
      </c>
      <c r="H2628" s="333">
        <v>451</v>
      </c>
    </row>
    <row r="2629" spans="1:8">
      <c r="A2629" s="317" t="s">
        <v>38809</v>
      </c>
      <c r="B2629" s="317" t="s">
        <v>46996</v>
      </c>
      <c r="C2629" s="330" t="s">
        <v>9396</v>
      </c>
      <c r="D2629" s="330" t="s">
        <v>9397</v>
      </c>
      <c r="E2629" s="330" t="s">
        <v>37248</v>
      </c>
      <c r="F2629" s="331">
        <v>0.21</v>
      </c>
      <c r="G2629" s="332">
        <v>2119</v>
      </c>
      <c r="H2629" s="333">
        <v>2564</v>
      </c>
    </row>
    <row r="2630" spans="1:8">
      <c r="A2630" s="317" t="s">
        <v>38810</v>
      </c>
      <c r="B2630" s="317" t="s">
        <v>46997</v>
      </c>
      <c r="C2630" s="330" t="s">
        <v>9398</v>
      </c>
      <c r="D2630" s="330" t="s">
        <v>9397</v>
      </c>
      <c r="E2630" s="330" t="s">
        <v>37248</v>
      </c>
      <c r="F2630" s="331">
        <v>0.21</v>
      </c>
      <c r="G2630" s="332">
        <v>383</v>
      </c>
      <c r="H2630" s="333">
        <v>464</v>
      </c>
    </row>
    <row r="2631" spans="1:8">
      <c r="A2631" s="317">
        <v>1604652002</v>
      </c>
      <c r="B2631" s="317" t="s">
        <v>46998</v>
      </c>
      <c r="C2631" s="330" t="s">
        <v>9399</v>
      </c>
      <c r="D2631" s="330" t="s">
        <v>9400</v>
      </c>
      <c r="E2631" s="330" t="s">
        <v>4634</v>
      </c>
      <c r="F2631" s="331">
        <v>0.21</v>
      </c>
      <c r="G2631" s="332">
        <v>122</v>
      </c>
      <c r="H2631" s="333">
        <v>148</v>
      </c>
    </row>
    <row r="2632" spans="1:8">
      <c r="A2632" s="317">
        <v>1604652004</v>
      </c>
      <c r="B2632" s="317" t="s">
        <v>46999</v>
      </c>
      <c r="C2632" s="330" t="s">
        <v>9401</v>
      </c>
      <c r="D2632" s="330" t="s">
        <v>9402</v>
      </c>
      <c r="E2632" s="330" t="s">
        <v>4819</v>
      </c>
      <c r="F2632" s="331">
        <v>0.21</v>
      </c>
      <c r="G2632" s="332">
        <v>2041</v>
      </c>
      <c r="H2632" s="333">
        <v>2470</v>
      </c>
    </row>
    <row r="2633" spans="1:8">
      <c r="A2633" s="317">
        <v>1604652006</v>
      </c>
      <c r="B2633" s="317" t="s">
        <v>47000</v>
      </c>
      <c r="C2633" s="330" t="s">
        <v>9403</v>
      </c>
      <c r="D2633" s="330" t="s">
        <v>9404</v>
      </c>
      <c r="E2633" s="330" t="s">
        <v>37248</v>
      </c>
      <c r="F2633" s="331">
        <v>0.21</v>
      </c>
      <c r="G2633" s="332">
        <v>2088</v>
      </c>
      <c r="H2633" s="333">
        <v>2527</v>
      </c>
    </row>
    <row r="2634" spans="1:8">
      <c r="A2634" s="317">
        <v>1604652009</v>
      </c>
      <c r="B2634" s="317" t="s">
        <v>47001</v>
      </c>
      <c r="C2634" s="330" t="s">
        <v>9405</v>
      </c>
      <c r="D2634" s="330" t="s">
        <v>9406</v>
      </c>
      <c r="E2634" s="330" t="s">
        <v>4634</v>
      </c>
      <c r="F2634" s="331">
        <v>0.21</v>
      </c>
      <c r="G2634" s="332">
        <v>274</v>
      </c>
      <c r="H2634" s="333">
        <v>332</v>
      </c>
    </row>
    <row r="2635" spans="1:8">
      <c r="A2635" s="317">
        <v>1604652013</v>
      </c>
      <c r="B2635" s="317" t="s">
        <v>47002</v>
      </c>
      <c r="C2635" s="330" t="s">
        <v>9407</v>
      </c>
      <c r="D2635" s="330" t="s">
        <v>9408</v>
      </c>
      <c r="E2635" s="330" t="s">
        <v>37248</v>
      </c>
      <c r="F2635" s="331">
        <v>0.21</v>
      </c>
      <c r="G2635" s="332">
        <v>2177</v>
      </c>
      <c r="H2635" s="333">
        <v>2635</v>
      </c>
    </row>
    <row r="2636" spans="1:8">
      <c r="A2636" s="317">
        <v>1604652016</v>
      </c>
      <c r="B2636" s="317" t="s">
        <v>47003</v>
      </c>
      <c r="C2636" s="330" t="s">
        <v>9409</v>
      </c>
      <c r="D2636" s="330" t="s">
        <v>9410</v>
      </c>
      <c r="E2636" s="330" t="s">
        <v>4634</v>
      </c>
      <c r="F2636" s="331">
        <v>0.21</v>
      </c>
      <c r="G2636" s="332">
        <v>147</v>
      </c>
      <c r="H2636" s="333">
        <v>178</v>
      </c>
    </row>
    <row r="2637" spans="1:8">
      <c r="A2637" s="317">
        <v>1604652018</v>
      </c>
      <c r="B2637" s="317" t="s">
        <v>47004</v>
      </c>
      <c r="C2637" s="330" t="s">
        <v>9411</v>
      </c>
      <c r="D2637" s="330" t="s">
        <v>9412</v>
      </c>
      <c r="E2637" s="330" t="s">
        <v>4634</v>
      </c>
      <c r="F2637" s="331">
        <v>0.21</v>
      </c>
      <c r="G2637" s="332">
        <v>309</v>
      </c>
      <c r="H2637" s="333">
        <v>374</v>
      </c>
    </row>
    <row r="2638" spans="1:8">
      <c r="A2638" s="317">
        <v>1604652020</v>
      </c>
      <c r="B2638" s="317" t="s">
        <v>47005</v>
      </c>
      <c r="C2638" s="330" t="s">
        <v>9413</v>
      </c>
      <c r="D2638" s="330" t="s">
        <v>9414</v>
      </c>
      <c r="E2638" s="330" t="s">
        <v>4634</v>
      </c>
      <c r="F2638" s="331">
        <v>0.21</v>
      </c>
      <c r="G2638" s="332">
        <v>1170</v>
      </c>
      <c r="H2638" s="333">
        <v>1416</v>
      </c>
    </row>
    <row r="2639" spans="1:8">
      <c r="A2639" s="317">
        <v>1604652021</v>
      </c>
      <c r="B2639" s="317" t="s">
        <v>47006</v>
      </c>
      <c r="C2639" s="330" t="s">
        <v>9415</v>
      </c>
      <c r="D2639" s="330" t="s">
        <v>9404</v>
      </c>
      <c r="E2639" s="330" t="s">
        <v>37248</v>
      </c>
      <c r="F2639" s="331">
        <v>0.21</v>
      </c>
      <c r="G2639" s="332">
        <v>898</v>
      </c>
      <c r="H2639" s="333">
        <v>1087</v>
      </c>
    </row>
    <row r="2640" spans="1:8">
      <c r="A2640" s="317">
        <v>1604652024</v>
      </c>
      <c r="B2640" s="317" t="s">
        <v>47007</v>
      </c>
      <c r="C2640" s="330" t="s">
        <v>9416</v>
      </c>
      <c r="D2640" s="330" t="s">
        <v>9417</v>
      </c>
      <c r="E2640" s="330" t="s">
        <v>4819</v>
      </c>
      <c r="F2640" s="331">
        <v>0.21</v>
      </c>
      <c r="G2640" s="332">
        <v>1626</v>
      </c>
      <c r="H2640" s="333">
        <v>1968</v>
      </c>
    </row>
    <row r="2641" spans="1:8">
      <c r="A2641" s="317">
        <v>1604652027</v>
      </c>
      <c r="B2641" s="317" t="s">
        <v>47008</v>
      </c>
      <c r="C2641" s="330" t="s">
        <v>9418</v>
      </c>
      <c r="D2641" s="330" t="s">
        <v>9419</v>
      </c>
      <c r="E2641" s="330" t="s">
        <v>37248</v>
      </c>
      <c r="F2641" s="331">
        <v>0.21</v>
      </c>
      <c r="G2641" s="332">
        <v>2159</v>
      </c>
      <c r="H2641" s="333">
        <v>2613</v>
      </c>
    </row>
    <row r="2642" spans="1:8">
      <c r="A2642" s="317">
        <v>1604652029</v>
      </c>
      <c r="B2642" s="317" t="s">
        <v>47009</v>
      </c>
      <c r="C2642" s="330" t="s">
        <v>9420</v>
      </c>
      <c r="D2642" s="330" t="s">
        <v>9421</v>
      </c>
      <c r="E2642" s="330" t="s">
        <v>4819</v>
      </c>
      <c r="F2642" s="331">
        <v>0.21</v>
      </c>
      <c r="G2642" s="332">
        <v>814</v>
      </c>
      <c r="H2642" s="333">
        <v>985</v>
      </c>
    </row>
    <row r="2643" spans="1:8">
      <c r="A2643" s="317" t="s">
        <v>38811</v>
      </c>
      <c r="B2643" s="317" t="s">
        <v>47010</v>
      </c>
      <c r="C2643" s="330" t="s">
        <v>9422</v>
      </c>
      <c r="D2643" s="330" t="s">
        <v>9421</v>
      </c>
      <c r="E2643" s="330" t="s">
        <v>4819</v>
      </c>
      <c r="F2643" s="331">
        <v>0.21</v>
      </c>
      <c r="G2643" s="332">
        <v>1802</v>
      </c>
      <c r="H2643" s="333">
        <v>2181</v>
      </c>
    </row>
    <row r="2644" spans="1:8">
      <c r="A2644" s="317" t="s">
        <v>38812</v>
      </c>
      <c r="B2644" s="317" t="s">
        <v>47011</v>
      </c>
      <c r="C2644" s="330" t="s">
        <v>9423</v>
      </c>
      <c r="D2644" s="330" t="s">
        <v>9424</v>
      </c>
      <c r="E2644" s="330" t="s">
        <v>37248</v>
      </c>
      <c r="F2644" s="331">
        <v>0.21</v>
      </c>
      <c r="G2644" s="332">
        <v>1383</v>
      </c>
      <c r="H2644" s="333">
        <v>1674</v>
      </c>
    </row>
    <row r="2645" spans="1:8">
      <c r="A2645" s="317" t="s">
        <v>38813</v>
      </c>
      <c r="B2645" s="317" t="s">
        <v>47012</v>
      </c>
      <c r="C2645" s="330" t="s">
        <v>9425</v>
      </c>
      <c r="D2645" s="330" t="s">
        <v>9419</v>
      </c>
      <c r="E2645" s="330" t="s">
        <v>37248</v>
      </c>
      <c r="F2645" s="331">
        <v>0.21</v>
      </c>
      <c r="G2645" s="332">
        <v>1383</v>
      </c>
      <c r="H2645" s="333">
        <v>1674</v>
      </c>
    </row>
    <row r="2646" spans="1:8">
      <c r="A2646" s="317" t="s">
        <v>38814</v>
      </c>
      <c r="B2646" s="317" t="s">
        <v>47013</v>
      </c>
      <c r="C2646" s="330" t="s">
        <v>9426</v>
      </c>
      <c r="D2646" s="330" t="s">
        <v>9404</v>
      </c>
      <c r="E2646" s="330" t="s">
        <v>37248</v>
      </c>
      <c r="F2646" s="331">
        <v>0.21</v>
      </c>
      <c r="G2646" s="332">
        <v>1155</v>
      </c>
      <c r="H2646" s="333">
        <v>1398</v>
      </c>
    </row>
    <row r="2647" spans="1:8">
      <c r="A2647" s="317">
        <v>1604730001</v>
      </c>
      <c r="B2647" s="317" t="s">
        <v>47014</v>
      </c>
      <c r="C2647" s="330" t="s">
        <v>9427</v>
      </c>
      <c r="D2647" s="330" t="s">
        <v>9428</v>
      </c>
      <c r="E2647" s="330" t="s">
        <v>4634</v>
      </c>
      <c r="F2647" s="331">
        <v>0.21</v>
      </c>
      <c r="G2647" s="332">
        <v>10326</v>
      </c>
      <c r="H2647" s="333">
        <v>12495</v>
      </c>
    </row>
    <row r="2648" spans="1:8">
      <c r="A2648" s="317">
        <v>1604730004</v>
      </c>
      <c r="B2648" s="317" t="s">
        <v>47015</v>
      </c>
      <c r="C2648" s="330" t="s">
        <v>9429</v>
      </c>
      <c r="D2648" s="330" t="s">
        <v>9430</v>
      </c>
      <c r="E2648" s="330" t="s">
        <v>4634</v>
      </c>
      <c r="F2648" s="331">
        <v>0.21</v>
      </c>
      <c r="G2648" s="332">
        <v>15273</v>
      </c>
      <c r="H2648" s="333">
        <v>18481</v>
      </c>
    </row>
    <row r="2649" spans="1:8">
      <c r="A2649" s="317">
        <v>1604736004</v>
      </c>
      <c r="B2649" s="317" t="s">
        <v>47016</v>
      </c>
      <c r="C2649" s="330" t="s">
        <v>9431</v>
      </c>
      <c r="D2649" s="330" t="s">
        <v>9432</v>
      </c>
      <c r="E2649" s="330" t="s">
        <v>4634</v>
      </c>
      <c r="F2649" s="331">
        <v>0.21</v>
      </c>
      <c r="G2649" s="332">
        <v>2462</v>
      </c>
      <c r="H2649" s="333">
        <v>2980</v>
      </c>
    </row>
    <row r="2650" spans="1:8">
      <c r="A2650" s="317">
        <v>1604736005</v>
      </c>
      <c r="B2650" s="317" t="s">
        <v>47017</v>
      </c>
      <c r="C2650" s="330" t="s">
        <v>9433</v>
      </c>
      <c r="D2650" s="330" t="s">
        <v>9434</v>
      </c>
      <c r="E2650" s="330" t="s">
        <v>37248</v>
      </c>
      <c r="F2650" s="331">
        <v>0.21</v>
      </c>
      <c r="G2650" s="332">
        <v>13507</v>
      </c>
      <c r="H2650" s="333">
        <v>16344</v>
      </c>
    </row>
    <row r="2651" spans="1:8">
      <c r="A2651" s="317">
        <v>1605104067</v>
      </c>
      <c r="B2651" s="317" t="s">
        <v>47018</v>
      </c>
      <c r="C2651" s="330" t="s">
        <v>9435</v>
      </c>
      <c r="D2651" s="330" t="s">
        <v>9436</v>
      </c>
      <c r="E2651" s="330" t="s">
        <v>4634</v>
      </c>
      <c r="F2651" s="331">
        <v>0.21</v>
      </c>
      <c r="G2651" s="332">
        <v>2801</v>
      </c>
      <c r="H2651" s="333">
        <v>3390</v>
      </c>
    </row>
    <row r="2652" spans="1:8">
      <c r="A2652" s="317">
        <v>1605108127</v>
      </c>
      <c r="B2652" s="317" t="s">
        <v>47019</v>
      </c>
      <c r="C2652" s="330" t="s">
        <v>9437</v>
      </c>
      <c r="D2652" s="330" t="s">
        <v>9438</v>
      </c>
      <c r="E2652" s="330" t="s">
        <v>4634</v>
      </c>
      <c r="F2652" s="331">
        <v>0.21</v>
      </c>
      <c r="G2652" s="332">
        <v>8916</v>
      </c>
      <c r="H2652" s="333">
        <v>10789</v>
      </c>
    </row>
    <row r="2653" spans="1:8">
      <c r="A2653" s="317">
        <v>1605108137</v>
      </c>
      <c r="B2653" s="317" t="s">
        <v>47020</v>
      </c>
      <c r="C2653" s="330" t="s">
        <v>9439</v>
      </c>
      <c r="D2653" s="330" t="s">
        <v>9440</v>
      </c>
      <c r="E2653" s="330" t="s">
        <v>4634</v>
      </c>
      <c r="F2653" s="331">
        <v>0.21</v>
      </c>
      <c r="G2653" s="332">
        <v>3966</v>
      </c>
      <c r="H2653" s="333">
        <v>4799</v>
      </c>
    </row>
    <row r="2654" spans="1:8">
      <c r="A2654" s="317">
        <v>1605108144</v>
      </c>
      <c r="B2654" s="317" t="s">
        <v>47021</v>
      </c>
      <c r="C2654" s="330" t="s">
        <v>9441</v>
      </c>
      <c r="D2654" s="330" t="s">
        <v>9442</v>
      </c>
      <c r="E2654" s="330" t="s">
        <v>4634</v>
      </c>
      <c r="F2654" s="331">
        <v>0.21</v>
      </c>
      <c r="G2654" s="332">
        <v>23380</v>
      </c>
      <c r="H2654" s="333">
        <v>28290</v>
      </c>
    </row>
    <row r="2655" spans="1:8">
      <c r="A2655" s="317">
        <v>1605108145</v>
      </c>
      <c r="B2655" s="317" t="s">
        <v>47022</v>
      </c>
      <c r="C2655" s="330" t="s">
        <v>9443</v>
      </c>
      <c r="D2655" s="330" t="s">
        <v>9444</v>
      </c>
      <c r="E2655" s="330" t="s">
        <v>4634</v>
      </c>
      <c r="F2655" s="331">
        <v>0.21</v>
      </c>
      <c r="G2655" s="332">
        <v>6065</v>
      </c>
      <c r="H2655" s="333">
        <v>7339</v>
      </c>
    </row>
    <row r="2656" spans="1:8">
      <c r="A2656" s="317">
        <v>1605108151</v>
      </c>
      <c r="B2656" s="317" t="s">
        <v>47023</v>
      </c>
      <c r="C2656" s="330" t="s">
        <v>9445</v>
      </c>
      <c r="D2656" s="330" t="s">
        <v>9446</v>
      </c>
      <c r="E2656" s="330" t="s">
        <v>4634</v>
      </c>
      <c r="F2656" s="331">
        <v>0.21</v>
      </c>
      <c r="G2656" s="332">
        <v>4294</v>
      </c>
      <c r="H2656" s="333">
        <v>5196</v>
      </c>
    </row>
    <row r="2657" spans="1:8">
      <c r="A2657" s="317">
        <v>1605108162</v>
      </c>
      <c r="B2657" s="317" t="s">
        <v>47024</v>
      </c>
      <c r="C2657" s="330" t="s">
        <v>9447</v>
      </c>
      <c r="D2657" s="330" t="s">
        <v>9448</v>
      </c>
      <c r="E2657" s="330" t="s">
        <v>4634</v>
      </c>
      <c r="F2657" s="331">
        <v>0.21</v>
      </c>
      <c r="G2657" s="332">
        <v>5543</v>
      </c>
      <c r="H2657" s="333">
        <v>6708</v>
      </c>
    </row>
    <row r="2658" spans="1:8">
      <c r="A2658" s="317">
        <v>1605108174</v>
      </c>
      <c r="B2658" s="317" t="s">
        <v>47025</v>
      </c>
      <c r="C2658" s="330" t="s">
        <v>9449</v>
      </c>
      <c r="D2658" s="330" t="s">
        <v>9450</v>
      </c>
      <c r="E2658" s="330" t="s">
        <v>4634</v>
      </c>
      <c r="F2658" s="331">
        <v>0.21</v>
      </c>
      <c r="G2658" s="332">
        <v>6234</v>
      </c>
      <c r="H2658" s="333">
        <v>7544</v>
      </c>
    </row>
    <row r="2659" spans="1:8">
      <c r="A2659" s="317">
        <v>1605108180</v>
      </c>
      <c r="B2659" s="317" t="s">
        <v>47026</v>
      </c>
      <c r="C2659" s="330" t="s">
        <v>9451</v>
      </c>
      <c r="D2659" s="330" t="s">
        <v>9452</v>
      </c>
      <c r="E2659" s="330" t="s">
        <v>4634</v>
      </c>
      <c r="F2659" s="331">
        <v>0.21</v>
      </c>
      <c r="G2659" s="332">
        <v>423</v>
      </c>
      <c r="H2659" s="333">
        <v>512</v>
      </c>
    </row>
    <row r="2660" spans="1:8">
      <c r="A2660" s="317">
        <v>1605108190</v>
      </c>
      <c r="B2660" s="317" t="s">
        <v>47027</v>
      </c>
      <c r="C2660" s="330" t="s">
        <v>9453</v>
      </c>
      <c r="D2660" s="330" t="s">
        <v>9454</v>
      </c>
      <c r="E2660" s="330" t="s">
        <v>37248</v>
      </c>
      <c r="F2660" s="331">
        <v>0.21</v>
      </c>
      <c r="G2660" s="332">
        <v>30054</v>
      </c>
      <c r="H2660" s="333">
        <v>36366</v>
      </c>
    </row>
    <row r="2661" spans="1:8">
      <c r="A2661" s="317">
        <v>1605108208</v>
      </c>
      <c r="B2661" s="317" t="s">
        <v>47028</v>
      </c>
      <c r="C2661" s="330" t="s">
        <v>9455</v>
      </c>
      <c r="D2661" s="330" t="s">
        <v>9456</v>
      </c>
      <c r="E2661" s="330" t="s">
        <v>37248</v>
      </c>
      <c r="F2661" s="331">
        <v>0.21</v>
      </c>
      <c r="G2661" s="332">
        <v>18073</v>
      </c>
      <c r="H2661" s="333">
        <v>21869</v>
      </c>
    </row>
    <row r="2662" spans="1:8">
      <c r="A2662" s="317">
        <v>1605108222</v>
      </c>
      <c r="B2662" s="317" t="s">
        <v>47029</v>
      </c>
      <c r="C2662" s="330" t="s">
        <v>9457</v>
      </c>
      <c r="D2662" s="330" t="s">
        <v>9458</v>
      </c>
      <c r="E2662" s="330" t="s">
        <v>37248</v>
      </c>
      <c r="F2662" s="331">
        <v>0.21</v>
      </c>
      <c r="G2662" s="332">
        <v>19055</v>
      </c>
      <c r="H2662" s="333">
        <v>23057</v>
      </c>
    </row>
    <row r="2663" spans="1:8">
      <c r="A2663" s="317">
        <v>1605108231</v>
      </c>
      <c r="B2663" s="317" t="s">
        <v>47030</v>
      </c>
      <c r="C2663" s="330" t="s">
        <v>9459</v>
      </c>
      <c r="D2663" s="330" t="s">
        <v>9460</v>
      </c>
      <c r="E2663" s="330" t="s">
        <v>4634</v>
      </c>
      <c r="F2663" s="331">
        <v>0.21</v>
      </c>
      <c r="G2663" s="332">
        <v>3189</v>
      </c>
      <c r="H2663" s="333">
        <v>3859</v>
      </c>
    </row>
    <row r="2664" spans="1:8">
      <c r="A2664" s="317">
        <v>1605108233</v>
      </c>
      <c r="B2664" s="317" t="s">
        <v>47031</v>
      </c>
      <c r="C2664" s="330" t="s">
        <v>9461</v>
      </c>
      <c r="D2664" s="330" t="s">
        <v>9462</v>
      </c>
      <c r="E2664" s="330" t="s">
        <v>37248</v>
      </c>
      <c r="F2664" s="331">
        <v>0.21</v>
      </c>
      <c r="G2664" s="332">
        <v>14522</v>
      </c>
      <c r="H2664" s="333">
        <v>17572</v>
      </c>
    </row>
    <row r="2665" spans="1:8">
      <c r="A2665" s="317">
        <v>1605108236</v>
      </c>
      <c r="B2665" s="317" t="s">
        <v>47032</v>
      </c>
      <c r="C2665" s="330" t="s">
        <v>9463</v>
      </c>
      <c r="D2665" s="330" t="s">
        <v>9464</v>
      </c>
      <c r="E2665" s="330" t="s">
        <v>4634</v>
      </c>
      <c r="F2665" s="331">
        <v>0.21</v>
      </c>
      <c r="G2665" s="332">
        <v>5344</v>
      </c>
      <c r="H2665" s="333">
        <v>6467</v>
      </c>
    </row>
    <row r="2666" spans="1:8">
      <c r="A2666" s="317">
        <v>1605108239</v>
      </c>
      <c r="B2666" s="317" t="s">
        <v>47033</v>
      </c>
      <c r="C2666" s="330" t="s">
        <v>9465</v>
      </c>
      <c r="D2666" s="330" t="s">
        <v>9466</v>
      </c>
      <c r="E2666" s="330" t="s">
        <v>4634</v>
      </c>
      <c r="F2666" s="331">
        <v>0.21</v>
      </c>
      <c r="G2666" s="332">
        <v>34487</v>
      </c>
      <c r="H2666" s="333">
        <v>41730</v>
      </c>
    </row>
    <row r="2667" spans="1:8">
      <c r="A2667" s="317">
        <v>1605108241</v>
      </c>
      <c r="B2667" s="317" t="s">
        <v>47034</v>
      </c>
      <c r="C2667" s="330" t="s">
        <v>9467</v>
      </c>
      <c r="D2667" s="330" t="s">
        <v>9468</v>
      </c>
      <c r="E2667" s="330" t="s">
        <v>4634</v>
      </c>
      <c r="F2667" s="331">
        <v>0.21</v>
      </c>
      <c r="G2667" s="332">
        <v>1371</v>
      </c>
      <c r="H2667" s="333">
        <v>1659</v>
      </c>
    </row>
    <row r="2668" spans="1:8">
      <c r="A2668" s="317">
        <v>1605108248</v>
      </c>
      <c r="B2668" s="317" t="s">
        <v>47035</v>
      </c>
      <c r="C2668" s="330" t="s">
        <v>9469</v>
      </c>
      <c r="D2668" s="330" t="s">
        <v>9470</v>
      </c>
      <c r="E2668" s="330" t="s">
        <v>37248</v>
      </c>
      <c r="F2668" s="331">
        <v>0.21</v>
      </c>
      <c r="G2668" s="332">
        <v>13902</v>
      </c>
      <c r="H2668" s="333">
        <v>16822</v>
      </c>
    </row>
    <row r="2669" spans="1:8">
      <c r="A2669" s="317">
        <v>1605108249</v>
      </c>
      <c r="B2669" s="317" t="s">
        <v>47036</v>
      </c>
      <c r="C2669" s="330" t="s">
        <v>9471</v>
      </c>
      <c r="D2669" s="330" t="s">
        <v>9472</v>
      </c>
      <c r="E2669" s="330" t="s">
        <v>37248</v>
      </c>
      <c r="F2669" s="331">
        <v>0.21</v>
      </c>
      <c r="G2669" s="332">
        <v>16224</v>
      </c>
      <c r="H2669" s="333">
        <v>19632</v>
      </c>
    </row>
    <row r="2670" spans="1:8">
      <c r="A2670" s="317">
        <v>1605108264</v>
      </c>
      <c r="B2670" s="317" t="s">
        <v>47037</v>
      </c>
      <c r="C2670" s="330" t="s">
        <v>9473</v>
      </c>
      <c r="D2670" s="330" t="s">
        <v>9474</v>
      </c>
      <c r="E2670" s="330" t="s">
        <v>37248</v>
      </c>
      <c r="F2670" s="331">
        <v>0.21</v>
      </c>
      <c r="G2670" s="332">
        <v>17045</v>
      </c>
      <c r="H2670" s="333">
        <v>20625</v>
      </c>
    </row>
    <row r="2671" spans="1:8">
      <c r="A2671" s="317">
        <v>1605108269</v>
      </c>
      <c r="B2671" s="317" t="s">
        <v>47038</v>
      </c>
      <c r="C2671" s="330" t="s">
        <v>9475</v>
      </c>
      <c r="D2671" s="330" t="s">
        <v>9476</v>
      </c>
      <c r="E2671" s="330" t="s">
        <v>37248</v>
      </c>
      <c r="F2671" s="331">
        <v>0.21</v>
      </c>
      <c r="G2671" s="332">
        <v>10475</v>
      </c>
      <c r="H2671" s="333">
        <v>12675</v>
      </c>
    </row>
    <row r="2672" spans="1:8">
      <c r="A2672" s="317">
        <v>1605108270</v>
      </c>
      <c r="B2672" s="317" t="s">
        <v>47039</v>
      </c>
      <c r="C2672" s="330" t="s">
        <v>9477</v>
      </c>
      <c r="D2672" s="330" t="s">
        <v>9478</v>
      </c>
      <c r="E2672" s="330" t="s">
        <v>4634</v>
      </c>
      <c r="F2672" s="331">
        <v>0.21</v>
      </c>
      <c r="G2672" s="332">
        <v>1557</v>
      </c>
      <c r="H2672" s="333">
        <v>1884</v>
      </c>
    </row>
    <row r="2673" spans="1:8">
      <c r="A2673" s="317">
        <v>1605108282</v>
      </c>
      <c r="B2673" s="317" t="s">
        <v>47040</v>
      </c>
      <c r="C2673" s="330" t="s">
        <v>9479</v>
      </c>
      <c r="D2673" s="330" t="s">
        <v>9480</v>
      </c>
      <c r="E2673" s="330" t="s">
        <v>4819</v>
      </c>
      <c r="F2673" s="331">
        <v>0.21</v>
      </c>
      <c r="G2673" s="332">
        <v>20010</v>
      </c>
      <c r="H2673" s="333">
        <v>24213</v>
      </c>
    </row>
    <row r="2674" spans="1:8">
      <c r="A2674" s="317">
        <v>1605108283</v>
      </c>
      <c r="B2674" s="317" t="s">
        <v>47041</v>
      </c>
      <c r="C2674" s="330" t="s">
        <v>9481</v>
      </c>
      <c r="D2674" s="330" t="s">
        <v>9482</v>
      </c>
      <c r="E2674" s="330" t="s">
        <v>4819</v>
      </c>
      <c r="F2674" s="331">
        <v>0.21</v>
      </c>
      <c r="G2674" s="332">
        <v>14317</v>
      </c>
      <c r="H2674" s="333">
        <v>17324</v>
      </c>
    </row>
    <row r="2675" spans="1:8">
      <c r="A2675" s="317">
        <v>1605108287</v>
      </c>
      <c r="B2675" s="317" t="s">
        <v>47042</v>
      </c>
      <c r="C2675" s="330" t="s">
        <v>9483</v>
      </c>
      <c r="D2675" s="330" t="s">
        <v>9484</v>
      </c>
      <c r="E2675" s="330" t="s">
        <v>37248</v>
      </c>
      <c r="F2675" s="331">
        <v>0.21</v>
      </c>
      <c r="G2675" s="332">
        <v>3031</v>
      </c>
      <c r="H2675" s="333">
        <v>3668</v>
      </c>
    </row>
    <row r="2676" spans="1:8">
      <c r="A2676" s="317">
        <v>1605108292</v>
      </c>
      <c r="B2676" s="317" t="s">
        <v>47043</v>
      </c>
      <c r="C2676" s="330" t="s">
        <v>9485</v>
      </c>
      <c r="D2676" s="330" t="s">
        <v>7369</v>
      </c>
      <c r="E2676" s="330" t="s">
        <v>37248</v>
      </c>
      <c r="F2676" s="331">
        <v>0.21</v>
      </c>
      <c r="G2676" s="332">
        <v>6023</v>
      </c>
      <c r="H2676" s="333">
        <v>7288</v>
      </c>
    </row>
    <row r="2677" spans="1:8">
      <c r="A2677" s="317" t="s">
        <v>38815</v>
      </c>
      <c r="B2677" s="317" t="s">
        <v>47044</v>
      </c>
      <c r="C2677" s="330" t="s">
        <v>9486</v>
      </c>
      <c r="D2677" s="330" t="s">
        <v>9487</v>
      </c>
      <c r="E2677" s="330" t="s">
        <v>4819</v>
      </c>
      <c r="F2677" s="331">
        <v>0.21</v>
      </c>
      <c r="G2677" s="332">
        <v>5086</v>
      </c>
      <c r="H2677" s="333">
        <v>6155</v>
      </c>
    </row>
    <row r="2678" spans="1:8">
      <c r="A2678" s="317" t="s">
        <v>38816</v>
      </c>
      <c r="B2678" s="317" t="s">
        <v>47045</v>
      </c>
      <c r="C2678" s="330" t="s">
        <v>9488</v>
      </c>
      <c r="D2678" s="330" t="s">
        <v>9489</v>
      </c>
      <c r="E2678" s="330" t="s">
        <v>4634</v>
      </c>
      <c r="F2678" s="331">
        <v>0.21</v>
      </c>
      <c r="G2678" s="332">
        <v>7075</v>
      </c>
      <c r="H2678" s="333">
        <v>8561</v>
      </c>
    </row>
    <row r="2679" spans="1:8">
      <c r="A2679" s="317" t="s">
        <v>38817</v>
      </c>
      <c r="B2679" s="317" t="s">
        <v>47046</v>
      </c>
      <c r="C2679" s="330" t="s">
        <v>9490</v>
      </c>
      <c r="D2679" s="330" t="s">
        <v>9491</v>
      </c>
      <c r="E2679" s="330" t="s">
        <v>37248</v>
      </c>
      <c r="F2679" s="331">
        <v>0.21</v>
      </c>
      <c r="G2679" s="332">
        <v>27183</v>
      </c>
      <c r="H2679" s="333">
        <v>32892</v>
      </c>
    </row>
    <row r="2680" spans="1:8">
      <c r="A2680" s="317" t="s">
        <v>38818</v>
      </c>
      <c r="B2680" s="317" t="s">
        <v>47047</v>
      </c>
      <c r="C2680" s="330" t="s">
        <v>9492</v>
      </c>
      <c r="D2680" s="330" t="s">
        <v>9493</v>
      </c>
      <c r="E2680" s="330" t="s">
        <v>37248</v>
      </c>
      <c r="F2680" s="331">
        <v>0.21</v>
      </c>
      <c r="G2680" s="332">
        <v>11381</v>
      </c>
      <c r="H2680" s="333">
        <v>13772</v>
      </c>
    </row>
    <row r="2681" spans="1:8">
      <c r="A2681" s="317" t="s">
        <v>38819</v>
      </c>
      <c r="B2681" s="317" t="s">
        <v>47048</v>
      </c>
      <c r="C2681" s="330" t="s">
        <v>9494</v>
      </c>
      <c r="D2681" s="330" t="s">
        <v>5822</v>
      </c>
      <c r="E2681" s="330" t="s">
        <v>4819</v>
      </c>
      <c r="F2681" s="331">
        <v>0.21</v>
      </c>
      <c r="G2681" s="332">
        <v>29753</v>
      </c>
      <c r="H2681" s="333">
        <v>36002</v>
      </c>
    </row>
    <row r="2682" spans="1:8">
      <c r="A2682" s="317" t="s">
        <v>38820</v>
      </c>
      <c r="B2682" s="317" t="s">
        <v>47049</v>
      </c>
      <c r="C2682" s="330" t="s">
        <v>9495</v>
      </c>
      <c r="D2682" s="330" t="s">
        <v>9496</v>
      </c>
      <c r="E2682" s="330" t="s">
        <v>4819</v>
      </c>
      <c r="F2682" s="331">
        <v>0.21</v>
      </c>
      <c r="G2682" s="332">
        <v>4624</v>
      </c>
      <c r="H2682" s="333">
        <v>5596</v>
      </c>
    </row>
    <row r="2683" spans="1:8">
      <c r="A2683" s="317" t="s">
        <v>38821</v>
      </c>
      <c r="B2683" s="317" t="s">
        <v>47050</v>
      </c>
      <c r="C2683" s="330" t="s">
        <v>9497</v>
      </c>
      <c r="D2683" s="330" t="s">
        <v>9498</v>
      </c>
      <c r="E2683" s="330" t="s">
        <v>37248</v>
      </c>
      <c r="F2683" s="331">
        <v>0.21</v>
      </c>
      <c r="G2683" s="332">
        <v>19744</v>
      </c>
      <c r="H2683" s="333">
        <v>23891</v>
      </c>
    </row>
    <row r="2684" spans="1:8">
      <c r="A2684" s="317" t="s">
        <v>38822</v>
      </c>
      <c r="B2684" s="317" t="s">
        <v>47051</v>
      </c>
      <c r="C2684" s="330" t="s">
        <v>9499</v>
      </c>
      <c r="D2684" s="330" t="s">
        <v>9480</v>
      </c>
      <c r="E2684" s="330" t="s">
        <v>4819</v>
      </c>
      <c r="F2684" s="331">
        <v>0.21</v>
      </c>
      <c r="G2684" s="332">
        <v>5768</v>
      </c>
      <c r="H2684" s="333">
        <v>6980</v>
      </c>
    </row>
    <row r="2685" spans="1:8">
      <c r="A2685" s="317" t="s">
        <v>38823</v>
      </c>
      <c r="B2685" s="317" t="s">
        <v>47052</v>
      </c>
      <c r="C2685" s="330" t="s">
        <v>9500</v>
      </c>
      <c r="D2685" s="330" t="s">
        <v>9501</v>
      </c>
      <c r="E2685" s="330" t="s">
        <v>37248</v>
      </c>
      <c r="F2685" s="331">
        <v>0.21</v>
      </c>
      <c r="G2685" s="332">
        <v>3232</v>
      </c>
      <c r="H2685" s="333">
        <v>3911</v>
      </c>
    </row>
    <row r="2686" spans="1:8">
      <c r="A2686" s="317" t="s">
        <v>38824</v>
      </c>
      <c r="B2686" s="317" t="s">
        <v>47053</v>
      </c>
      <c r="C2686" s="330" t="s">
        <v>9502</v>
      </c>
      <c r="D2686" s="330" t="s">
        <v>9503</v>
      </c>
      <c r="E2686" s="330" t="s">
        <v>37248</v>
      </c>
      <c r="F2686" s="331">
        <v>0.21</v>
      </c>
      <c r="G2686" s="332">
        <v>25963</v>
      </c>
      <c r="H2686" s="333">
        <v>31416</v>
      </c>
    </row>
    <row r="2687" spans="1:8">
      <c r="A2687" s="317" t="s">
        <v>38825</v>
      </c>
      <c r="B2687" s="317" t="s">
        <v>47054</v>
      </c>
      <c r="C2687" s="330" t="s">
        <v>9504</v>
      </c>
      <c r="D2687" s="330" t="s">
        <v>9505</v>
      </c>
      <c r="E2687" s="330" t="s">
        <v>4819</v>
      </c>
      <c r="F2687" s="331">
        <v>0.21</v>
      </c>
      <c r="G2687" s="332">
        <v>4544</v>
      </c>
      <c r="H2687" s="333">
        <v>5499</v>
      </c>
    </row>
    <row r="2688" spans="1:8">
      <c r="A2688" s="317" t="s">
        <v>38826</v>
      </c>
      <c r="B2688" s="317" t="s">
        <v>47055</v>
      </c>
      <c r="C2688" s="330" t="s">
        <v>9506</v>
      </c>
      <c r="D2688" s="330" t="s">
        <v>9507</v>
      </c>
      <c r="E2688" s="330" t="s">
        <v>37248</v>
      </c>
      <c r="F2688" s="331">
        <v>0.21</v>
      </c>
      <c r="G2688" s="332">
        <v>13239</v>
      </c>
      <c r="H2688" s="333">
        <v>16020</v>
      </c>
    </row>
    <row r="2689" spans="1:8">
      <c r="A2689" s="317" t="s">
        <v>38827</v>
      </c>
      <c r="B2689" s="317" t="s">
        <v>47056</v>
      </c>
      <c r="C2689" s="330" t="s">
        <v>9508</v>
      </c>
      <c r="D2689" s="330" t="s">
        <v>9509</v>
      </c>
      <c r="E2689" s="330" t="s">
        <v>4819</v>
      </c>
      <c r="F2689" s="331">
        <v>0.21</v>
      </c>
      <c r="G2689" s="332">
        <v>7421</v>
      </c>
      <c r="H2689" s="333">
        <v>8980</v>
      </c>
    </row>
    <row r="2690" spans="1:8">
      <c r="A2690" s="317" t="s">
        <v>38828</v>
      </c>
      <c r="B2690" s="317" t="s">
        <v>47057</v>
      </c>
      <c r="C2690" s="330" t="s">
        <v>9510</v>
      </c>
      <c r="D2690" s="330" t="s">
        <v>9511</v>
      </c>
      <c r="E2690" s="330" t="s">
        <v>37248</v>
      </c>
      <c r="F2690" s="331">
        <v>0.21</v>
      </c>
      <c r="G2690" s="332">
        <v>11620</v>
      </c>
      <c r="H2690" s="333">
        <v>14061</v>
      </c>
    </row>
    <row r="2691" spans="1:8">
      <c r="A2691" s="317" t="s">
        <v>38829</v>
      </c>
      <c r="B2691" s="317" t="s">
        <v>47058</v>
      </c>
      <c r="C2691" s="330" t="s">
        <v>9512</v>
      </c>
      <c r="D2691" s="330" t="s">
        <v>9513</v>
      </c>
      <c r="E2691" s="330" t="s">
        <v>4819</v>
      </c>
      <c r="F2691" s="331">
        <v>0.21</v>
      </c>
      <c r="G2691" s="332">
        <v>28605</v>
      </c>
      <c r="H2691" s="333">
        <v>34613</v>
      </c>
    </row>
    <row r="2692" spans="1:8">
      <c r="A2692" s="317" t="s">
        <v>38830</v>
      </c>
      <c r="B2692" s="317" t="s">
        <v>47059</v>
      </c>
      <c r="C2692" s="330" t="s">
        <v>9514</v>
      </c>
      <c r="D2692" s="330" t="s">
        <v>9515</v>
      </c>
      <c r="E2692" s="330" t="s">
        <v>4819</v>
      </c>
      <c r="F2692" s="331">
        <v>0.21</v>
      </c>
      <c r="G2692" s="332">
        <v>6631</v>
      </c>
      <c r="H2692" s="333">
        <v>8024</v>
      </c>
    </row>
    <row r="2693" spans="1:8">
      <c r="A2693" s="317" t="s">
        <v>38831</v>
      </c>
      <c r="B2693" s="317" t="s">
        <v>47060</v>
      </c>
      <c r="C2693" s="330" t="s">
        <v>9516</v>
      </c>
      <c r="D2693" s="330" t="s">
        <v>9517</v>
      </c>
      <c r="E2693" s="330" t="s">
        <v>37248</v>
      </c>
      <c r="F2693" s="331">
        <v>0.21</v>
      </c>
      <c r="G2693" s="332">
        <v>22441</v>
      </c>
      <c r="H2693" s="333">
        <v>27154</v>
      </c>
    </row>
    <row r="2694" spans="1:8">
      <c r="A2694" s="318">
        <v>1605108200000</v>
      </c>
      <c r="B2694" s="317" t="s">
        <v>47061</v>
      </c>
      <c r="C2694" s="330" t="s">
        <v>9518</v>
      </c>
      <c r="D2694" s="330" t="s">
        <v>9519</v>
      </c>
      <c r="E2694" s="330" t="s">
        <v>4819</v>
      </c>
      <c r="F2694" s="331">
        <v>0.21</v>
      </c>
      <c r="G2694" s="332">
        <v>12686</v>
      </c>
      <c r="H2694" s="333">
        <v>15351</v>
      </c>
    </row>
    <row r="2695" spans="1:8">
      <c r="A2695" s="317" t="s">
        <v>38832</v>
      </c>
      <c r="B2695" s="317" t="s">
        <v>47062</v>
      </c>
      <c r="C2695" s="330" t="s">
        <v>9520</v>
      </c>
      <c r="D2695" s="330" t="s">
        <v>9505</v>
      </c>
      <c r="E2695" s="330" t="s">
        <v>37248</v>
      </c>
      <c r="F2695" s="331">
        <v>0.21</v>
      </c>
      <c r="G2695" s="332">
        <v>5362</v>
      </c>
      <c r="H2695" s="333">
        <v>6489</v>
      </c>
    </row>
    <row r="2696" spans="1:8">
      <c r="A2696" s="317" t="s">
        <v>38833</v>
      </c>
      <c r="B2696" s="317" t="s">
        <v>47063</v>
      </c>
      <c r="C2696" s="330" t="s">
        <v>9521</v>
      </c>
      <c r="D2696" s="330" t="s">
        <v>9522</v>
      </c>
      <c r="E2696" s="330" t="s">
        <v>37248</v>
      </c>
      <c r="F2696" s="331">
        <v>0.21</v>
      </c>
      <c r="G2696" s="332">
        <v>6390</v>
      </c>
      <c r="H2696" s="333">
        <v>7732</v>
      </c>
    </row>
    <row r="2697" spans="1:8">
      <c r="A2697" s="317" t="s">
        <v>38834</v>
      </c>
      <c r="B2697" s="317" t="s">
        <v>47064</v>
      </c>
      <c r="C2697" s="330" t="s">
        <v>9523</v>
      </c>
      <c r="D2697" s="330" t="s">
        <v>9524</v>
      </c>
      <c r="E2697" s="330" t="s">
        <v>4819</v>
      </c>
      <c r="F2697" s="331">
        <v>0.21</v>
      </c>
      <c r="G2697" s="332">
        <v>15077</v>
      </c>
      <c r="H2697" s="333">
        <v>18244</v>
      </c>
    </row>
    <row r="2698" spans="1:8">
      <c r="A2698" s="317" t="s">
        <v>38835</v>
      </c>
      <c r="B2698" s="317" t="s">
        <v>47065</v>
      </c>
      <c r="C2698" s="330" t="s">
        <v>9525</v>
      </c>
      <c r="D2698" s="330" t="s">
        <v>9526</v>
      </c>
      <c r="E2698" s="330" t="s">
        <v>4634</v>
      </c>
      <c r="F2698" s="331">
        <v>0.21</v>
      </c>
      <c r="G2698" s="332">
        <v>10189</v>
      </c>
      <c r="H2698" s="333">
        <v>12329</v>
      </c>
    </row>
    <row r="2699" spans="1:8">
      <c r="A2699" s="317" t="s">
        <v>38836</v>
      </c>
      <c r="B2699" s="317" t="s">
        <v>47066</v>
      </c>
      <c r="C2699" s="330" t="s">
        <v>9527</v>
      </c>
      <c r="D2699" s="330" t="s">
        <v>9528</v>
      </c>
      <c r="E2699" s="330" t="s">
        <v>4634</v>
      </c>
      <c r="F2699" s="331">
        <v>0.21</v>
      </c>
      <c r="G2699" s="332">
        <v>10518</v>
      </c>
      <c r="H2699" s="333">
        <v>12727</v>
      </c>
    </row>
    <row r="2700" spans="1:8">
      <c r="A2700" s="317" t="s">
        <v>38837</v>
      </c>
      <c r="B2700" s="317" t="s">
        <v>47067</v>
      </c>
      <c r="C2700" s="330" t="s">
        <v>9529</v>
      </c>
      <c r="D2700" s="330" t="s">
        <v>9524</v>
      </c>
      <c r="E2700" s="330" t="s">
        <v>4819</v>
      </c>
      <c r="F2700" s="331">
        <v>0.21</v>
      </c>
      <c r="G2700" s="332">
        <v>7430</v>
      </c>
      <c r="H2700" s="333">
        <v>8991</v>
      </c>
    </row>
    <row r="2701" spans="1:8">
      <c r="A2701" s="317" t="s">
        <v>38838</v>
      </c>
      <c r="B2701" s="317" t="s">
        <v>47068</v>
      </c>
      <c r="C2701" s="330" t="s">
        <v>9530</v>
      </c>
      <c r="D2701" s="330" t="s">
        <v>9531</v>
      </c>
      <c r="E2701" s="330" t="s">
        <v>37248</v>
      </c>
      <c r="F2701" s="331">
        <v>0.21</v>
      </c>
      <c r="G2701" s="332">
        <v>3067</v>
      </c>
      <c r="H2701" s="333">
        <v>3712</v>
      </c>
    </row>
    <row r="2702" spans="1:8">
      <c r="A2702" s="317" t="s">
        <v>38839</v>
      </c>
      <c r="B2702" s="317" t="s">
        <v>47069</v>
      </c>
      <c r="C2702" s="330" t="s">
        <v>9532</v>
      </c>
      <c r="D2702" s="330" t="s">
        <v>9501</v>
      </c>
      <c r="E2702" s="330" t="s">
        <v>37248</v>
      </c>
      <c r="F2702" s="331">
        <v>0.21</v>
      </c>
      <c r="G2702" s="332">
        <v>5362</v>
      </c>
      <c r="H2702" s="333">
        <v>6489</v>
      </c>
    </row>
    <row r="2703" spans="1:8">
      <c r="A2703" s="317" t="s">
        <v>38840</v>
      </c>
      <c r="B2703" s="317" t="s">
        <v>47070</v>
      </c>
      <c r="C2703" s="330" t="s">
        <v>9533</v>
      </c>
      <c r="D2703" s="330" t="s">
        <v>9501</v>
      </c>
      <c r="E2703" s="330" t="s">
        <v>37248</v>
      </c>
      <c r="F2703" s="331">
        <v>0.21</v>
      </c>
      <c r="G2703" s="332">
        <v>4729</v>
      </c>
      <c r="H2703" s="333">
        <v>5723</v>
      </c>
    </row>
    <row r="2704" spans="1:8">
      <c r="A2704" s="317" t="s">
        <v>38841</v>
      </c>
      <c r="B2704" s="317" t="s">
        <v>47071</v>
      </c>
      <c r="C2704" s="330" t="s">
        <v>9534</v>
      </c>
      <c r="D2704" s="330" t="s">
        <v>9496</v>
      </c>
      <c r="E2704" s="330" t="s">
        <v>37248</v>
      </c>
      <c r="F2704" s="331">
        <v>0.21</v>
      </c>
      <c r="G2704" s="332">
        <v>19316</v>
      </c>
      <c r="H2704" s="333">
        <v>23373</v>
      </c>
    </row>
    <row r="2705" spans="1:8">
      <c r="A2705" s="317" t="s">
        <v>38842</v>
      </c>
      <c r="B2705" s="317" t="s">
        <v>47072</v>
      </c>
      <c r="C2705" s="330" t="s">
        <v>9535</v>
      </c>
      <c r="D2705" s="330" t="s">
        <v>9496</v>
      </c>
      <c r="E2705" s="330" t="s">
        <v>37248</v>
      </c>
      <c r="F2705" s="331">
        <v>0.21</v>
      </c>
      <c r="G2705" s="332">
        <v>19583</v>
      </c>
      <c r="H2705" s="333">
        <v>23696</v>
      </c>
    </row>
    <row r="2706" spans="1:8">
      <c r="A2706" s="317" t="s">
        <v>38843</v>
      </c>
      <c r="B2706" s="317" t="s">
        <v>47073</v>
      </c>
      <c r="C2706" s="330" t="s">
        <v>9536</v>
      </c>
      <c r="D2706" s="330" t="s">
        <v>9537</v>
      </c>
      <c r="E2706" s="330" t="s">
        <v>37248</v>
      </c>
      <c r="F2706" s="331">
        <v>0.21</v>
      </c>
      <c r="G2706" s="332">
        <v>42397</v>
      </c>
      <c r="H2706" s="333">
        <v>51301</v>
      </c>
    </row>
    <row r="2707" spans="1:8">
      <c r="A2707" s="317" t="s">
        <v>38844</v>
      </c>
      <c r="B2707" s="317" t="s">
        <v>47074</v>
      </c>
      <c r="C2707" s="330" t="s">
        <v>9538</v>
      </c>
      <c r="D2707" s="330" t="s">
        <v>9539</v>
      </c>
      <c r="E2707" s="330" t="s">
        <v>37248</v>
      </c>
      <c r="F2707" s="331">
        <v>0.21</v>
      </c>
      <c r="G2707" s="332">
        <v>45743</v>
      </c>
      <c r="H2707" s="333">
        <v>55350</v>
      </c>
    </row>
    <row r="2708" spans="1:8">
      <c r="A2708" s="317" t="s">
        <v>38845</v>
      </c>
      <c r="B2708" s="317" t="s">
        <v>47075</v>
      </c>
      <c r="C2708" s="330" t="s">
        <v>9540</v>
      </c>
      <c r="D2708" s="330" t="s">
        <v>9541</v>
      </c>
      <c r="E2708" s="330" t="s">
        <v>37248</v>
      </c>
      <c r="F2708" s="331">
        <v>0.21</v>
      </c>
      <c r="G2708" s="332">
        <v>44943</v>
      </c>
      <c r="H2708" s="333">
        <v>54382</v>
      </c>
    </row>
    <row r="2709" spans="1:8">
      <c r="A2709" s="317" t="s">
        <v>38846</v>
      </c>
      <c r="B2709" s="317" t="s">
        <v>47076</v>
      </c>
      <c r="C2709" s="330" t="s">
        <v>9542</v>
      </c>
      <c r="D2709" s="330" t="s">
        <v>9543</v>
      </c>
      <c r="E2709" s="330" t="s">
        <v>37248</v>
      </c>
      <c r="F2709" s="331">
        <v>0.21</v>
      </c>
      <c r="G2709" s="332">
        <v>42397</v>
      </c>
      <c r="H2709" s="333">
        <v>51301</v>
      </c>
    </row>
    <row r="2710" spans="1:8">
      <c r="A2710" s="317" t="s">
        <v>38847</v>
      </c>
      <c r="B2710" s="317" t="s">
        <v>47077</v>
      </c>
      <c r="C2710" s="330" t="s">
        <v>9544</v>
      </c>
      <c r="D2710" s="330" t="s">
        <v>9545</v>
      </c>
      <c r="E2710" s="330" t="s">
        <v>37248</v>
      </c>
      <c r="F2710" s="331">
        <v>0.21</v>
      </c>
      <c r="G2710" s="332">
        <v>45743</v>
      </c>
      <c r="H2710" s="333">
        <v>55350</v>
      </c>
    </row>
    <row r="2711" spans="1:8">
      <c r="A2711" s="317" t="s">
        <v>38848</v>
      </c>
      <c r="B2711" s="317" t="s">
        <v>47078</v>
      </c>
      <c r="C2711" s="330" t="s">
        <v>9546</v>
      </c>
      <c r="D2711" s="330" t="s">
        <v>9547</v>
      </c>
      <c r="E2711" s="330" t="s">
        <v>37248</v>
      </c>
      <c r="F2711" s="331">
        <v>0.21</v>
      </c>
      <c r="G2711" s="332">
        <v>47827</v>
      </c>
      <c r="H2711" s="333">
        <v>57871</v>
      </c>
    </row>
    <row r="2712" spans="1:8">
      <c r="A2712" s="317" t="s">
        <v>38849</v>
      </c>
      <c r="B2712" s="317" t="s">
        <v>47079</v>
      </c>
      <c r="C2712" s="330" t="s">
        <v>9548</v>
      </c>
      <c r="D2712" s="330" t="s">
        <v>9549</v>
      </c>
      <c r="E2712" s="330" t="s">
        <v>37248</v>
      </c>
      <c r="F2712" s="331">
        <v>0.21</v>
      </c>
      <c r="G2712" s="332">
        <v>45743</v>
      </c>
      <c r="H2712" s="333">
        <v>55350</v>
      </c>
    </row>
    <row r="2713" spans="1:8">
      <c r="A2713" s="317" t="s">
        <v>38850</v>
      </c>
      <c r="B2713" s="317" t="s">
        <v>47080</v>
      </c>
      <c r="C2713" s="330" t="s">
        <v>9550</v>
      </c>
      <c r="D2713" s="330" t="s">
        <v>9496</v>
      </c>
      <c r="E2713" s="330" t="s">
        <v>37248</v>
      </c>
      <c r="F2713" s="331">
        <v>0.21</v>
      </c>
      <c r="G2713" s="332">
        <v>36044</v>
      </c>
      <c r="H2713" s="333">
        <v>43614</v>
      </c>
    </row>
    <row r="2714" spans="1:8">
      <c r="A2714" s="317" t="s">
        <v>38851</v>
      </c>
      <c r="B2714" s="317" t="s">
        <v>47081</v>
      </c>
      <c r="C2714" s="330" t="s">
        <v>9551</v>
      </c>
      <c r="D2714" s="330" t="s">
        <v>9496</v>
      </c>
      <c r="E2714" s="330" t="s">
        <v>37248</v>
      </c>
      <c r="F2714" s="331">
        <v>0.21</v>
      </c>
      <c r="G2714" s="332">
        <v>37021</v>
      </c>
      <c r="H2714" s="333">
        <v>44796</v>
      </c>
    </row>
    <row r="2715" spans="1:8">
      <c r="A2715" s="317" t="s">
        <v>38852</v>
      </c>
      <c r="B2715" s="317" t="s">
        <v>47082</v>
      </c>
      <c r="C2715" s="330" t="s">
        <v>9552</v>
      </c>
      <c r="D2715" s="330" t="s">
        <v>9553</v>
      </c>
      <c r="E2715" s="330" t="s">
        <v>37248</v>
      </c>
      <c r="F2715" s="331">
        <v>0.21</v>
      </c>
      <c r="G2715" s="332">
        <v>23057</v>
      </c>
      <c r="H2715" s="333">
        <v>27899</v>
      </c>
    </row>
    <row r="2716" spans="1:8">
      <c r="A2716" s="317" t="s">
        <v>38853</v>
      </c>
      <c r="B2716" s="317" t="s">
        <v>47083</v>
      </c>
      <c r="C2716" s="330" t="s">
        <v>9554</v>
      </c>
      <c r="D2716" s="330" t="s">
        <v>9553</v>
      </c>
      <c r="E2716" s="330" t="s">
        <v>37248</v>
      </c>
      <c r="F2716" s="331">
        <v>0.21</v>
      </c>
      <c r="G2716" s="332">
        <v>29979</v>
      </c>
      <c r="H2716" s="333">
        <v>36275</v>
      </c>
    </row>
    <row r="2717" spans="1:8">
      <c r="A2717" s="317" t="s">
        <v>38854</v>
      </c>
      <c r="B2717" s="317" t="s">
        <v>47084</v>
      </c>
      <c r="C2717" s="330" t="s">
        <v>9555</v>
      </c>
      <c r="D2717" s="330" t="s">
        <v>9496</v>
      </c>
      <c r="E2717" s="330" t="s">
        <v>37248</v>
      </c>
      <c r="F2717" s="331">
        <v>0.21</v>
      </c>
      <c r="G2717" s="332">
        <v>50924</v>
      </c>
      <c r="H2717" s="333">
        <v>61619</v>
      </c>
    </row>
    <row r="2718" spans="1:8">
      <c r="A2718" s="317">
        <v>1605132009</v>
      </c>
      <c r="B2718" s="317" t="s">
        <v>47085</v>
      </c>
      <c r="C2718" s="330" t="s">
        <v>9556</v>
      </c>
      <c r="D2718" s="330" t="s">
        <v>9557</v>
      </c>
      <c r="E2718" s="330" t="s">
        <v>4634</v>
      </c>
      <c r="F2718" s="331">
        <v>0.21</v>
      </c>
      <c r="G2718" s="332">
        <v>12342</v>
      </c>
      <c r="H2718" s="333">
        <v>14934</v>
      </c>
    </row>
    <row r="2719" spans="1:8">
      <c r="A2719" s="317">
        <v>1605132010</v>
      </c>
      <c r="B2719" s="317" t="s">
        <v>47086</v>
      </c>
      <c r="C2719" s="330" t="s">
        <v>9558</v>
      </c>
      <c r="D2719" s="330" t="s">
        <v>9559</v>
      </c>
      <c r="E2719" s="330" t="s">
        <v>37248</v>
      </c>
      <c r="F2719" s="331">
        <v>0.21</v>
      </c>
      <c r="G2719" s="332">
        <v>4439</v>
      </c>
      <c r="H2719" s="333">
        <v>5372</v>
      </c>
    </row>
    <row r="2720" spans="1:8">
      <c r="A2720" s="317">
        <v>1605132067</v>
      </c>
      <c r="B2720" s="317" t="s">
        <v>47087</v>
      </c>
      <c r="C2720" s="330" t="s">
        <v>9560</v>
      </c>
      <c r="D2720" s="330" t="s">
        <v>9561</v>
      </c>
      <c r="E2720" s="330" t="s">
        <v>4634</v>
      </c>
      <c r="F2720" s="331">
        <v>0.21</v>
      </c>
      <c r="G2720" s="332">
        <v>35906</v>
      </c>
      <c r="H2720" s="333">
        <v>43447</v>
      </c>
    </row>
    <row r="2721" spans="1:8">
      <c r="A2721" s="317">
        <v>1605132079</v>
      </c>
      <c r="B2721" s="317" t="s">
        <v>47088</v>
      </c>
      <c r="C2721" s="330" t="s">
        <v>9562</v>
      </c>
      <c r="D2721" s="330" t="s">
        <v>9563</v>
      </c>
      <c r="E2721" s="330" t="s">
        <v>4634</v>
      </c>
      <c r="F2721" s="331">
        <v>0.21</v>
      </c>
      <c r="G2721" s="332">
        <v>3529</v>
      </c>
      <c r="H2721" s="333">
        <v>4271</v>
      </c>
    </row>
    <row r="2722" spans="1:8">
      <c r="A2722" s="317">
        <v>1605132104</v>
      </c>
      <c r="B2722" s="317" t="s">
        <v>47089</v>
      </c>
      <c r="C2722" s="330" t="s">
        <v>9564</v>
      </c>
      <c r="D2722" s="330" t="s">
        <v>9565</v>
      </c>
      <c r="E2722" s="330" t="s">
        <v>4634</v>
      </c>
      <c r="F2722" s="331">
        <v>0.21</v>
      </c>
      <c r="G2722" s="332">
        <v>580</v>
      </c>
      <c r="H2722" s="333">
        <v>702</v>
      </c>
    </row>
    <row r="2723" spans="1:8">
      <c r="A2723" s="317">
        <v>1605132109</v>
      </c>
      <c r="B2723" s="317" t="s">
        <v>47090</v>
      </c>
      <c r="C2723" s="330" t="s">
        <v>9566</v>
      </c>
      <c r="D2723" s="330" t="s">
        <v>9567</v>
      </c>
      <c r="E2723" s="330" t="s">
        <v>4634</v>
      </c>
      <c r="F2723" s="331">
        <v>0.21</v>
      </c>
      <c r="G2723" s="332">
        <v>4887</v>
      </c>
      <c r="H2723" s="333">
        <v>5914</v>
      </c>
    </row>
    <row r="2724" spans="1:8">
      <c r="A2724" s="317">
        <v>1605132122</v>
      </c>
      <c r="B2724" s="317" t="s">
        <v>47091</v>
      </c>
      <c r="C2724" s="330" t="s">
        <v>9568</v>
      </c>
      <c r="D2724" s="330" t="s">
        <v>9569</v>
      </c>
      <c r="E2724" s="330" t="s">
        <v>4634</v>
      </c>
      <c r="F2724" s="331">
        <v>0.21</v>
      </c>
      <c r="G2724" s="332">
        <v>3383</v>
      </c>
      <c r="H2724" s="333">
        <v>4094</v>
      </c>
    </row>
    <row r="2725" spans="1:8">
      <c r="A2725" s="317">
        <v>1605132130</v>
      </c>
      <c r="B2725" s="317" t="s">
        <v>47092</v>
      </c>
      <c r="C2725" s="330" t="s">
        <v>9570</v>
      </c>
      <c r="D2725" s="330" t="s">
        <v>9571</v>
      </c>
      <c r="E2725" s="330" t="s">
        <v>4634</v>
      </c>
      <c r="F2725" s="331">
        <v>0.21</v>
      </c>
      <c r="G2725" s="332">
        <v>14374</v>
      </c>
      <c r="H2725" s="333">
        <v>17393</v>
      </c>
    </row>
    <row r="2726" spans="1:8">
      <c r="A2726" s="317">
        <v>1605132140</v>
      </c>
      <c r="B2726" s="317" t="s">
        <v>47093</v>
      </c>
      <c r="C2726" s="330" t="s">
        <v>9572</v>
      </c>
      <c r="D2726" s="330" t="s">
        <v>9573</v>
      </c>
      <c r="E2726" s="330" t="s">
        <v>4819</v>
      </c>
      <c r="F2726" s="331">
        <v>0.21</v>
      </c>
      <c r="G2726" s="332">
        <v>8113</v>
      </c>
      <c r="H2726" s="333">
        <v>9817</v>
      </c>
    </row>
    <row r="2727" spans="1:8">
      <c r="A2727" s="317">
        <v>1605132144</v>
      </c>
      <c r="B2727" s="317" t="s">
        <v>47094</v>
      </c>
      <c r="C2727" s="330" t="s">
        <v>9574</v>
      </c>
      <c r="D2727" s="330" t="s">
        <v>9575</v>
      </c>
      <c r="E2727" s="330" t="s">
        <v>4634</v>
      </c>
      <c r="F2727" s="331">
        <v>0.21</v>
      </c>
      <c r="G2727" s="332">
        <v>3549</v>
      </c>
      <c r="H2727" s="333">
        <v>4295</v>
      </c>
    </row>
    <row r="2728" spans="1:8">
      <c r="A2728" s="317">
        <v>1605132145</v>
      </c>
      <c r="B2728" s="317" t="s">
        <v>47095</v>
      </c>
      <c r="C2728" s="330" t="s">
        <v>9576</v>
      </c>
      <c r="D2728" s="330" t="s">
        <v>9577</v>
      </c>
      <c r="E2728" s="330" t="s">
        <v>4634</v>
      </c>
      <c r="F2728" s="331">
        <v>0.21</v>
      </c>
      <c r="G2728" s="332">
        <v>11296</v>
      </c>
      <c r="H2728" s="333">
        <v>13669</v>
      </c>
    </row>
    <row r="2729" spans="1:8">
      <c r="A2729" s="317">
        <v>1605132146</v>
      </c>
      <c r="B2729" s="317" t="s">
        <v>47096</v>
      </c>
      <c r="C2729" s="330" t="s">
        <v>9578</v>
      </c>
      <c r="D2729" s="330" t="s">
        <v>9579</v>
      </c>
      <c r="E2729" s="330" t="s">
        <v>4634</v>
      </c>
      <c r="F2729" s="331">
        <v>0.21</v>
      </c>
      <c r="G2729" s="332">
        <v>11345</v>
      </c>
      <c r="H2729" s="333">
        <v>13728</v>
      </c>
    </row>
    <row r="2730" spans="1:8">
      <c r="A2730" s="317">
        <v>1605132147</v>
      </c>
      <c r="B2730" s="317" t="s">
        <v>47097</v>
      </c>
      <c r="C2730" s="330" t="s">
        <v>9580</v>
      </c>
      <c r="D2730" s="330" t="s">
        <v>9581</v>
      </c>
      <c r="E2730" s="330" t="s">
        <v>4634</v>
      </c>
      <c r="F2730" s="331">
        <v>0.21</v>
      </c>
      <c r="G2730" s="332">
        <v>905</v>
      </c>
      <c r="H2730" s="333">
        <v>1096</v>
      </c>
    </row>
    <row r="2731" spans="1:8">
      <c r="A2731" s="317">
        <v>1605132154</v>
      </c>
      <c r="B2731" s="317" t="s">
        <v>47098</v>
      </c>
      <c r="C2731" s="330" t="s">
        <v>9582</v>
      </c>
      <c r="D2731" s="330" t="s">
        <v>9583</v>
      </c>
      <c r="E2731" s="330" t="s">
        <v>4634</v>
      </c>
      <c r="F2731" s="331">
        <v>0.21</v>
      </c>
      <c r="G2731" s="332">
        <v>8896</v>
      </c>
      <c r="H2731" s="333">
        <v>10765</v>
      </c>
    </row>
    <row r="2732" spans="1:8">
      <c r="A2732" s="317">
        <v>1605132155</v>
      </c>
      <c r="B2732" s="317" t="s">
        <v>47099</v>
      </c>
      <c r="C2732" s="330" t="s">
        <v>9584</v>
      </c>
      <c r="D2732" s="330" t="s">
        <v>9585</v>
      </c>
      <c r="E2732" s="330" t="s">
        <v>4634</v>
      </c>
      <c r="F2732" s="331">
        <v>0.21</v>
      </c>
      <c r="G2732" s="332">
        <v>11020</v>
      </c>
      <c r="H2732" s="333">
        <v>13335</v>
      </c>
    </row>
    <row r="2733" spans="1:8">
      <c r="A2733" s="317">
        <v>1605132159</v>
      </c>
      <c r="B2733" s="317" t="s">
        <v>47100</v>
      </c>
      <c r="C2733" s="330" t="s">
        <v>9586</v>
      </c>
      <c r="D2733" s="330" t="s">
        <v>9587</v>
      </c>
      <c r="E2733" s="330" t="s">
        <v>4819</v>
      </c>
      <c r="F2733" s="331">
        <v>0.21</v>
      </c>
      <c r="G2733" s="332">
        <v>1936</v>
      </c>
      <c r="H2733" s="333">
        <v>2343</v>
      </c>
    </row>
    <row r="2734" spans="1:8">
      <c r="A2734" s="317">
        <v>1605132163</v>
      </c>
      <c r="B2734" s="317" t="s">
        <v>47101</v>
      </c>
      <c r="C2734" s="330" t="s">
        <v>9588</v>
      </c>
      <c r="D2734" s="330" t="s">
        <v>9589</v>
      </c>
      <c r="E2734" s="330" t="s">
        <v>37248</v>
      </c>
      <c r="F2734" s="331">
        <v>0.21</v>
      </c>
      <c r="G2734" s="332">
        <v>5286</v>
      </c>
      <c r="H2734" s="333">
        <v>6397</v>
      </c>
    </row>
    <row r="2735" spans="1:8">
      <c r="A2735" s="317" t="s">
        <v>38855</v>
      </c>
      <c r="B2735" s="317" t="s">
        <v>47102</v>
      </c>
      <c r="C2735" s="330" t="s">
        <v>9590</v>
      </c>
      <c r="D2735" s="330" t="s">
        <v>9591</v>
      </c>
      <c r="E2735" s="330" t="s">
        <v>37248</v>
      </c>
      <c r="F2735" s="331">
        <v>0.21</v>
      </c>
      <c r="G2735" s="332">
        <v>15564</v>
      </c>
      <c r="H2735" s="333">
        <v>18833</v>
      </c>
    </row>
    <row r="2736" spans="1:8">
      <c r="A2736" s="317" t="s">
        <v>38856</v>
      </c>
      <c r="B2736" s="317" t="s">
        <v>47103</v>
      </c>
      <c r="C2736" s="330" t="s">
        <v>9592</v>
      </c>
      <c r="D2736" s="330" t="s">
        <v>9593</v>
      </c>
      <c r="E2736" s="330" t="s">
        <v>37248</v>
      </c>
      <c r="F2736" s="331">
        <v>0.21</v>
      </c>
      <c r="G2736" s="332">
        <v>1505</v>
      </c>
      <c r="H2736" s="333">
        <v>1822</v>
      </c>
    </row>
    <row r="2737" spans="1:8">
      <c r="A2737" s="317" t="s">
        <v>38857</v>
      </c>
      <c r="B2737" s="317" t="s">
        <v>47104</v>
      </c>
      <c r="C2737" s="330" t="s">
        <v>9594</v>
      </c>
      <c r="D2737" s="330" t="s">
        <v>9595</v>
      </c>
      <c r="E2737" s="330" t="s">
        <v>4819</v>
      </c>
      <c r="F2737" s="331">
        <v>0.21</v>
      </c>
      <c r="G2737" s="332">
        <v>7778</v>
      </c>
      <c r="H2737" s="333">
        <v>9412</v>
      </c>
    </row>
    <row r="2738" spans="1:8">
      <c r="A2738" s="317" t="s">
        <v>38858</v>
      </c>
      <c r="B2738" s="317" t="s">
        <v>47105</v>
      </c>
      <c r="C2738" s="330" t="s">
        <v>9596</v>
      </c>
      <c r="D2738" s="330" t="s">
        <v>9595</v>
      </c>
      <c r="E2738" s="330" t="s">
        <v>4819</v>
      </c>
      <c r="F2738" s="331">
        <v>0.21</v>
      </c>
      <c r="G2738" s="332">
        <v>7778</v>
      </c>
      <c r="H2738" s="333">
        <v>9412</v>
      </c>
    </row>
    <row r="2739" spans="1:8">
      <c r="A2739" s="317" t="s">
        <v>38859</v>
      </c>
      <c r="B2739" s="317" t="s">
        <v>47106</v>
      </c>
      <c r="C2739" s="330" t="s">
        <v>9597</v>
      </c>
      <c r="D2739" s="330" t="s">
        <v>9598</v>
      </c>
      <c r="E2739" s="330" t="s">
        <v>37248</v>
      </c>
      <c r="F2739" s="331">
        <v>0.21</v>
      </c>
      <c r="G2739" s="332">
        <v>2792</v>
      </c>
      <c r="H2739" s="333">
        <v>3379</v>
      </c>
    </row>
    <row r="2740" spans="1:8">
      <c r="A2740" s="317">
        <v>1605132181</v>
      </c>
      <c r="B2740" s="317" t="s">
        <v>47107</v>
      </c>
      <c r="C2740" s="330" t="s">
        <v>9599</v>
      </c>
      <c r="D2740" s="330" t="s">
        <v>9600</v>
      </c>
      <c r="E2740" s="330" t="s">
        <v>37248</v>
      </c>
      <c r="F2740" s="331">
        <v>0.21</v>
      </c>
      <c r="G2740" s="332">
        <v>1684</v>
      </c>
      <c r="H2740" s="333">
        <v>2038</v>
      </c>
    </row>
    <row r="2741" spans="1:8">
      <c r="A2741" s="317">
        <v>1605132182</v>
      </c>
      <c r="B2741" s="317" t="s">
        <v>47108</v>
      </c>
      <c r="C2741" s="330" t="s">
        <v>9601</v>
      </c>
      <c r="D2741" s="330" t="s">
        <v>9602</v>
      </c>
      <c r="E2741" s="330" t="s">
        <v>37248</v>
      </c>
      <c r="F2741" s="331">
        <v>0.21</v>
      </c>
      <c r="G2741" s="332">
        <v>947</v>
      </c>
      <c r="H2741" s="333">
        <v>1146</v>
      </c>
    </row>
    <row r="2742" spans="1:8">
      <c r="A2742" s="317" t="s">
        <v>38860</v>
      </c>
      <c r="B2742" s="317" t="s">
        <v>47109</v>
      </c>
      <c r="C2742" s="330" t="s">
        <v>9603</v>
      </c>
      <c r="D2742" s="330" t="s">
        <v>9604</v>
      </c>
      <c r="E2742" s="330" t="s">
        <v>37248</v>
      </c>
      <c r="F2742" s="331">
        <v>0.21</v>
      </c>
      <c r="G2742" s="332">
        <v>54607</v>
      </c>
      <c r="H2742" s="333">
        <v>66075</v>
      </c>
    </row>
    <row r="2743" spans="1:8">
      <c r="A2743" s="317" t="s">
        <v>38861</v>
      </c>
      <c r="B2743" s="317" t="s">
        <v>47110</v>
      </c>
      <c r="C2743" s="330" t="s">
        <v>9605</v>
      </c>
      <c r="D2743" s="330" t="s">
        <v>9598</v>
      </c>
      <c r="E2743" s="330" t="s">
        <v>37248</v>
      </c>
      <c r="F2743" s="331">
        <v>0.21</v>
      </c>
      <c r="G2743" s="332">
        <v>5362</v>
      </c>
      <c r="H2743" s="333">
        <v>6489</v>
      </c>
    </row>
    <row r="2744" spans="1:8">
      <c r="A2744" s="317" t="s">
        <v>38862</v>
      </c>
      <c r="B2744" s="317" t="s">
        <v>47111</v>
      </c>
      <c r="C2744" s="330" t="s">
        <v>9606</v>
      </c>
      <c r="D2744" s="330" t="s">
        <v>9604</v>
      </c>
      <c r="E2744" s="330" t="s">
        <v>37248</v>
      </c>
      <c r="F2744" s="331">
        <v>0.21</v>
      </c>
      <c r="G2744" s="332">
        <v>57730</v>
      </c>
      <c r="H2744" s="333">
        <v>69854</v>
      </c>
    </row>
    <row r="2745" spans="1:8">
      <c r="A2745" s="317" t="s">
        <v>38863</v>
      </c>
      <c r="B2745" s="317" t="s">
        <v>47112</v>
      </c>
      <c r="C2745" s="330" t="s">
        <v>9607</v>
      </c>
      <c r="D2745" s="330" t="s">
        <v>9598</v>
      </c>
      <c r="E2745" s="330" t="s">
        <v>37248</v>
      </c>
      <c r="F2745" s="331">
        <v>0.21</v>
      </c>
      <c r="G2745" s="332">
        <v>976</v>
      </c>
      <c r="H2745" s="333">
        <v>1181</v>
      </c>
    </row>
    <row r="2746" spans="1:8">
      <c r="A2746" s="317" t="s">
        <v>38864</v>
      </c>
      <c r="B2746" s="317" t="s">
        <v>47113</v>
      </c>
      <c r="C2746" s="330" t="s">
        <v>9608</v>
      </c>
      <c r="D2746" s="330" t="s">
        <v>9598</v>
      </c>
      <c r="E2746" s="330" t="s">
        <v>37248</v>
      </c>
      <c r="F2746" s="331">
        <v>0.21</v>
      </c>
      <c r="G2746" s="332">
        <v>8048</v>
      </c>
      <c r="H2746" s="333">
        <v>9739</v>
      </c>
    </row>
    <row r="2747" spans="1:8">
      <c r="A2747" s="317" t="s">
        <v>38865</v>
      </c>
      <c r="B2747" s="317" t="s">
        <v>47114</v>
      </c>
      <c r="C2747" s="330" t="s">
        <v>9609</v>
      </c>
      <c r="D2747" s="330" t="s">
        <v>9598</v>
      </c>
      <c r="E2747" s="330" t="s">
        <v>37248</v>
      </c>
      <c r="F2747" s="331">
        <v>0.21</v>
      </c>
      <c r="G2747" s="332">
        <v>3620</v>
      </c>
      <c r="H2747" s="333">
        <v>4381</v>
      </c>
    </row>
    <row r="2748" spans="1:8">
      <c r="A2748" s="317">
        <v>1605133015</v>
      </c>
      <c r="B2748" s="317" t="s">
        <v>47115</v>
      </c>
      <c r="C2748" s="330" t="s">
        <v>9610</v>
      </c>
      <c r="D2748" s="330" t="s">
        <v>9611</v>
      </c>
      <c r="E2748" s="330" t="s">
        <v>4634</v>
      </c>
      <c r="F2748" s="331">
        <v>0.21</v>
      </c>
      <c r="G2748" s="332">
        <v>8807</v>
      </c>
      <c r="H2748" s="333">
        <v>10657</v>
      </c>
    </row>
    <row r="2749" spans="1:8">
      <c r="A2749" s="317">
        <v>1605133029</v>
      </c>
      <c r="B2749" s="317" t="s">
        <v>47116</v>
      </c>
      <c r="C2749" s="330" t="s">
        <v>9612</v>
      </c>
      <c r="D2749" s="330" t="s">
        <v>9613</v>
      </c>
      <c r="E2749" s="330" t="s">
        <v>4634</v>
      </c>
      <c r="F2749" s="331">
        <v>0.21</v>
      </c>
      <c r="G2749" s="332">
        <v>3852</v>
      </c>
      <c r="H2749" s="333">
        <v>4661</v>
      </c>
    </row>
    <row r="2750" spans="1:8">
      <c r="A2750" s="317">
        <v>1605133036</v>
      </c>
      <c r="B2750" s="317" t="s">
        <v>47117</v>
      </c>
      <c r="C2750" s="330" t="s">
        <v>9614</v>
      </c>
      <c r="D2750" s="330" t="s">
        <v>9615</v>
      </c>
      <c r="E2750" s="330" t="s">
        <v>37248</v>
      </c>
      <c r="F2750" s="331">
        <v>0.21</v>
      </c>
      <c r="G2750" s="332">
        <v>10962</v>
      </c>
      <c r="H2750" s="333">
        <v>13265</v>
      </c>
    </row>
    <row r="2751" spans="1:8">
      <c r="A2751" s="317">
        <v>1605133045</v>
      </c>
      <c r="B2751" s="317" t="s">
        <v>47118</v>
      </c>
      <c r="C2751" s="330" t="s">
        <v>9616</v>
      </c>
      <c r="D2751" s="330" t="s">
        <v>9617</v>
      </c>
      <c r="E2751" s="330" t="s">
        <v>4634</v>
      </c>
      <c r="F2751" s="331">
        <v>0.21</v>
      </c>
      <c r="G2751" s="332">
        <v>3154</v>
      </c>
      <c r="H2751" s="333">
        <v>3817</v>
      </c>
    </row>
    <row r="2752" spans="1:8">
      <c r="A2752" s="317">
        <v>1605133046</v>
      </c>
      <c r="B2752" s="317" t="s">
        <v>47119</v>
      </c>
      <c r="C2752" s="330" t="s">
        <v>9618</v>
      </c>
      <c r="D2752" s="330" t="s">
        <v>9619</v>
      </c>
      <c r="E2752" s="330" t="s">
        <v>4634</v>
      </c>
      <c r="F2752" s="331">
        <v>0.21</v>
      </c>
      <c r="G2752" s="332">
        <v>6553</v>
      </c>
      <c r="H2752" s="333">
        <v>7930</v>
      </c>
    </row>
    <row r="2753" spans="1:8">
      <c r="A2753" s="317">
        <v>1605133047</v>
      </c>
      <c r="B2753" s="317" t="s">
        <v>47120</v>
      </c>
      <c r="C2753" s="330" t="s">
        <v>9620</v>
      </c>
      <c r="D2753" s="330" t="s">
        <v>9621</v>
      </c>
      <c r="E2753" s="330" t="s">
        <v>4634</v>
      </c>
      <c r="F2753" s="331">
        <v>0.21</v>
      </c>
      <c r="G2753" s="332">
        <v>4004</v>
      </c>
      <c r="H2753" s="333">
        <v>4845</v>
      </c>
    </row>
    <row r="2754" spans="1:8">
      <c r="A2754" s="317">
        <v>1605190026</v>
      </c>
      <c r="B2754" s="317" t="s">
        <v>47121</v>
      </c>
      <c r="C2754" s="330" t="s">
        <v>9622</v>
      </c>
      <c r="D2754" s="330" t="s">
        <v>9623</v>
      </c>
      <c r="E2754" s="330" t="s">
        <v>4634</v>
      </c>
      <c r="F2754" s="331">
        <v>0.21</v>
      </c>
      <c r="G2754" s="332">
        <v>4004</v>
      </c>
      <c r="H2754" s="333">
        <v>4845</v>
      </c>
    </row>
    <row r="2755" spans="1:8">
      <c r="A2755" s="317">
        <v>1605190038</v>
      </c>
      <c r="B2755" s="317" t="s">
        <v>47122</v>
      </c>
      <c r="C2755" s="330" t="s">
        <v>9624</v>
      </c>
      <c r="D2755" s="330" t="s">
        <v>9625</v>
      </c>
      <c r="E2755" s="330" t="s">
        <v>4634</v>
      </c>
      <c r="F2755" s="331">
        <v>0.21</v>
      </c>
      <c r="G2755" s="332">
        <v>348</v>
      </c>
      <c r="H2755" s="333">
        <v>422</v>
      </c>
    </row>
    <row r="2756" spans="1:8">
      <c r="A2756" s="317">
        <v>1605190048</v>
      </c>
      <c r="B2756" s="317" t="s">
        <v>47123</v>
      </c>
      <c r="C2756" s="330" t="s">
        <v>9626</v>
      </c>
      <c r="D2756" s="330" t="s">
        <v>9627</v>
      </c>
      <c r="E2756" s="330" t="s">
        <v>4634</v>
      </c>
      <c r="F2756" s="331">
        <v>0.21</v>
      </c>
      <c r="G2756" s="332">
        <v>648</v>
      </c>
      <c r="H2756" s="333">
        <v>785</v>
      </c>
    </row>
    <row r="2757" spans="1:8">
      <c r="A2757" s="317">
        <v>1605190068</v>
      </c>
      <c r="B2757" s="317" t="s">
        <v>47124</v>
      </c>
      <c r="C2757" s="330" t="s">
        <v>9628</v>
      </c>
      <c r="D2757" s="330" t="s">
        <v>9629</v>
      </c>
      <c r="E2757" s="330" t="s">
        <v>4819</v>
      </c>
      <c r="F2757" s="331">
        <v>0.21</v>
      </c>
      <c r="G2757" s="332">
        <v>2215</v>
      </c>
      <c r="H2757" s="333">
        <v>2681</v>
      </c>
    </row>
    <row r="2758" spans="1:8">
      <c r="A2758" s="317">
        <v>1605190091</v>
      </c>
      <c r="B2758" s="317" t="s">
        <v>47125</v>
      </c>
      <c r="C2758" s="330" t="s">
        <v>9630</v>
      </c>
      <c r="D2758" s="330" t="s">
        <v>9631</v>
      </c>
      <c r="E2758" s="330" t="s">
        <v>4634</v>
      </c>
      <c r="F2758" s="331">
        <v>0.21</v>
      </c>
      <c r="G2758" s="332">
        <v>584</v>
      </c>
      <c r="H2758" s="333">
        <v>707</v>
      </c>
    </row>
    <row r="2759" spans="1:8">
      <c r="A2759" s="317">
        <v>1605190190</v>
      </c>
      <c r="B2759" s="317" t="s">
        <v>47126</v>
      </c>
      <c r="C2759" s="330" t="s">
        <v>9632</v>
      </c>
      <c r="D2759" s="330" t="s">
        <v>9633</v>
      </c>
      <c r="E2759" s="330" t="s">
        <v>4819</v>
      </c>
      <c r="F2759" s="331">
        <v>0.21</v>
      </c>
      <c r="G2759" s="332">
        <v>3731</v>
      </c>
      <c r="H2759" s="333">
        <v>4515</v>
      </c>
    </row>
    <row r="2760" spans="1:8">
      <c r="A2760" s="317">
        <v>1605190195</v>
      </c>
      <c r="B2760" s="317" t="s">
        <v>47127</v>
      </c>
      <c r="C2760" s="330" t="s">
        <v>9634</v>
      </c>
      <c r="D2760" s="330" t="s">
        <v>9635</v>
      </c>
      <c r="E2760" s="330" t="s">
        <v>4634</v>
      </c>
      <c r="F2760" s="331">
        <v>0.21</v>
      </c>
      <c r="G2760" s="332">
        <v>6016</v>
      </c>
      <c r="H2760" s="333">
        <v>7280</v>
      </c>
    </row>
    <row r="2761" spans="1:8">
      <c r="A2761" s="317">
        <v>1605190228</v>
      </c>
      <c r="B2761" s="317" t="s">
        <v>47128</v>
      </c>
      <c r="C2761" s="330" t="s">
        <v>9636</v>
      </c>
      <c r="D2761" s="330" t="s">
        <v>9637</v>
      </c>
      <c r="E2761" s="330" t="s">
        <v>4634</v>
      </c>
      <c r="F2761" s="331">
        <v>0.21</v>
      </c>
      <c r="G2761" s="332">
        <v>1547</v>
      </c>
      <c r="H2761" s="333">
        <v>1872</v>
      </c>
    </row>
    <row r="2762" spans="1:8">
      <c r="A2762" s="317">
        <v>1605190265</v>
      </c>
      <c r="B2762" s="317" t="s">
        <v>47129</v>
      </c>
      <c r="C2762" s="330" t="s">
        <v>9638</v>
      </c>
      <c r="D2762" s="330" t="s">
        <v>9639</v>
      </c>
      <c r="E2762" s="330" t="s">
        <v>4634</v>
      </c>
      <c r="F2762" s="331">
        <v>0.21</v>
      </c>
      <c r="G2762" s="332">
        <v>2427</v>
      </c>
      <c r="H2762" s="333">
        <v>2937</v>
      </c>
    </row>
    <row r="2763" spans="1:8">
      <c r="A2763" s="317">
        <v>1605405004</v>
      </c>
      <c r="B2763" s="317" t="s">
        <v>47130</v>
      </c>
      <c r="C2763" s="330" t="s">
        <v>9640</v>
      </c>
      <c r="D2763" s="330" t="s">
        <v>9641</v>
      </c>
      <c r="E2763" s="330" t="s">
        <v>4634</v>
      </c>
      <c r="F2763" s="331">
        <v>0.21</v>
      </c>
      <c r="G2763" s="332">
        <v>3490</v>
      </c>
      <c r="H2763" s="333">
        <v>4223</v>
      </c>
    </row>
    <row r="2764" spans="1:8">
      <c r="A2764" s="317" t="s">
        <v>38866</v>
      </c>
      <c r="B2764" s="317" t="s">
        <v>47131</v>
      </c>
      <c r="C2764" s="330" t="s">
        <v>9642</v>
      </c>
      <c r="D2764" s="330" t="s">
        <v>9643</v>
      </c>
      <c r="E2764" s="330" t="s">
        <v>37248</v>
      </c>
      <c r="F2764" s="331">
        <v>0.21</v>
      </c>
      <c r="G2764" s="332">
        <v>2823</v>
      </c>
      <c r="H2764" s="333">
        <v>3416</v>
      </c>
    </row>
    <row r="2765" spans="1:8">
      <c r="A2765" s="317" t="s">
        <v>38867</v>
      </c>
      <c r="B2765" s="317" t="s">
        <v>47132</v>
      </c>
      <c r="C2765" s="330" t="s">
        <v>9644</v>
      </c>
      <c r="D2765" s="330" t="s">
        <v>9643</v>
      </c>
      <c r="E2765" s="330" t="s">
        <v>37248</v>
      </c>
      <c r="F2765" s="331">
        <v>0.21</v>
      </c>
      <c r="G2765" s="332">
        <v>8472</v>
      </c>
      <c r="H2765" s="333">
        <v>10252</v>
      </c>
    </row>
    <row r="2766" spans="1:8">
      <c r="A2766" s="317">
        <v>1605411034</v>
      </c>
      <c r="B2766" s="317" t="s">
        <v>47133</v>
      </c>
      <c r="C2766" s="330" t="s">
        <v>9645</v>
      </c>
      <c r="D2766" s="330" t="s">
        <v>9646</v>
      </c>
      <c r="E2766" s="330" t="s">
        <v>4819</v>
      </c>
      <c r="F2766" s="331">
        <v>0.21</v>
      </c>
      <c r="G2766" s="332">
        <v>5190</v>
      </c>
      <c r="H2766" s="333">
        <v>6280</v>
      </c>
    </row>
    <row r="2767" spans="1:8">
      <c r="A2767" s="317">
        <v>1605430003</v>
      </c>
      <c r="B2767" s="317" t="s">
        <v>47134</v>
      </c>
      <c r="C2767" s="330" t="s">
        <v>9647</v>
      </c>
      <c r="D2767" s="330" t="s">
        <v>9648</v>
      </c>
      <c r="E2767" s="330" t="s">
        <v>37248</v>
      </c>
      <c r="F2767" s="331">
        <v>0.21</v>
      </c>
      <c r="G2767" s="332">
        <v>49306</v>
      </c>
      <c r="H2767" s="333">
        <v>59661</v>
      </c>
    </row>
    <row r="2768" spans="1:8">
      <c r="A2768" s="317">
        <v>1605437003</v>
      </c>
      <c r="B2768" s="317" t="s">
        <v>47135</v>
      </c>
      <c r="C2768" s="330" t="s">
        <v>9649</v>
      </c>
      <c r="D2768" s="330" t="s">
        <v>9650</v>
      </c>
      <c r="E2768" s="330" t="s">
        <v>4634</v>
      </c>
      <c r="F2768" s="331">
        <v>0.21</v>
      </c>
      <c r="G2768" s="332">
        <v>3490</v>
      </c>
      <c r="H2768" s="333">
        <v>4223</v>
      </c>
    </row>
    <row r="2769" spans="1:8">
      <c r="A2769" s="317" t="s">
        <v>38868</v>
      </c>
      <c r="B2769" s="317" t="s">
        <v>47136</v>
      </c>
      <c r="C2769" s="330" t="s">
        <v>9651</v>
      </c>
      <c r="D2769" s="330" t="s">
        <v>9652</v>
      </c>
      <c r="E2769" s="330" t="s">
        <v>37248</v>
      </c>
      <c r="F2769" s="331">
        <v>0.21</v>
      </c>
      <c r="G2769" s="332">
        <v>17263</v>
      </c>
      <c r="H2769" s="333">
        <v>20889</v>
      </c>
    </row>
    <row r="2770" spans="1:8">
      <c r="A2770" s="317">
        <v>1605500089</v>
      </c>
      <c r="B2770" s="317" t="s">
        <v>47137</v>
      </c>
      <c r="C2770" s="330" t="s">
        <v>9653</v>
      </c>
      <c r="D2770" s="330" t="s">
        <v>9654</v>
      </c>
      <c r="E2770" s="330" t="s">
        <v>4819</v>
      </c>
      <c r="F2770" s="331">
        <v>0.21</v>
      </c>
      <c r="G2770" s="332">
        <v>4149</v>
      </c>
      <c r="H2770" s="333">
        <v>5021</v>
      </c>
    </row>
    <row r="2771" spans="1:8">
      <c r="A2771" s="317">
        <v>1605500109</v>
      </c>
      <c r="B2771" s="317" t="s">
        <v>47138</v>
      </c>
      <c r="C2771" s="330" t="s">
        <v>9655</v>
      </c>
      <c r="D2771" s="330" t="s">
        <v>9656</v>
      </c>
      <c r="E2771" s="330" t="s">
        <v>4634</v>
      </c>
      <c r="F2771" s="331">
        <v>0.21</v>
      </c>
      <c r="G2771" s="332">
        <v>131</v>
      </c>
      <c r="H2771" s="333">
        <v>159</v>
      </c>
    </row>
    <row r="2772" spans="1:8">
      <c r="A2772" s="317">
        <v>1605500112</v>
      </c>
      <c r="B2772" s="317" t="s">
        <v>47139</v>
      </c>
      <c r="C2772" s="330" t="s">
        <v>9657</v>
      </c>
      <c r="D2772" s="330" t="s">
        <v>9658</v>
      </c>
      <c r="E2772" s="330" t="s">
        <v>4634</v>
      </c>
      <c r="F2772" s="331">
        <v>0.21</v>
      </c>
      <c r="G2772" s="332">
        <v>314</v>
      </c>
      <c r="H2772" s="333">
        <v>380</v>
      </c>
    </row>
    <row r="2773" spans="1:8">
      <c r="A2773" s="317">
        <v>1605500120</v>
      </c>
      <c r="B2773" s="317" t="s">
        <v>47140</v>
      </c>
      <c r="C2773" s="330" t="s">
        <v>9659</v>
      </c>
      <c r="D2773" s="330" t="s">
        <v>9660</v>
      </c>
      <c r="E2773" s="330" t="s">
        <v>37248</v>
      </c>
      <c r="F2773" s="331">
        <v>0.21</v>
      </c>
      <c r="G2773" s="332">
        <v>4240</v>
      </c>
      <c r="H2773" s="333">
        <v>5131</v>
      </c>
    </row>
    <row r="2774" spans="1:8">
      <c r="A2774" s="317">
        <v>1605500122</v>
      </c>
      <c r="B2774" s="317" t="s">
        <v>47141</v>
      </c>
      <c r="C2774" s="330" t="s">
        <v>9661</v>
      </c>
      <c r="D2774" s="330" t="s">
        <v>9662</v>
      </c>
      <c r="E2774" s="330" t="s">
        <v>37248</v>
      </c>
      <c r="F2774" s="331">
        <v>0.21</v>
      </c>
      <c r="G2774" s="332">
        <v>6058</v>
      </c>
      <c r="H2774" s="333">
        <v>7331</v>
      </c>
    </row>
    <row r="2775" spans="1:8">
      <c r="A2775" s="317">
        <v>1605500124</v>
      </c>
      <c r="B2775" s="317" t="s">
        <v>47142</v>
      </c>
      <c r="C2775" s="330" t="s">
        <v>9663</v>
      </c>
      <c r="D2775" s="330" t="s">
        <v>9613</v>
      </c>
      <c r="E2775" s="330" t="s">
        <v>4634</v>
      </c>
      <c r="F2775" s="331">
        <v>0.21</v>
      </c>
      <c r="G2775" s="332">
        <v>481</v>
      </c>
      <c r="H2775" s="333">
        <v>583</v>
      </c>
    </row>
    <row r="2776" spans="1:8">
      <c r="A2776" s="317">
        <v>1605500139</v>
      </c>
      <c r="B2776" s="317" t="s">
        <v>47143</v>
      </c>
      <c r="C2776" s="330" t="s">
        <v>9664</v>
      </c>
      <c r="D2776" s="330" t="s">
        <v>9665</v>
      </c>
      <c r="E2776" s="330" t="s">
        <v>4634</v>
      </c>
      <c r="F2776" s="331">
        <v>0.21</v>
      </c>
      <c r="G2776" s="332">
        <v>791</v>
      </c>
      <c r="H2776" s="333">
        <v>958</v>
      </c>
    </row>
    <row r="2777" spans="1:8">
      <c r="A2777" s="317">
        <v>1605500150</v>
      </c>
      <c r="B2777" s="317" t="s">
        <v>47144</v>
      </c>
      <c r="C2777" s="330" t="s">
        <v>9666</v>
      </c>
      <c r="D2777" s="330" t="s">
        <v>9667</v>
      </c>
      <c r="E2777" s="330" t="s">
        <v>4819</v>
      </c>
      <c r="F2777" s="331">
        <v>0.21</v>
      </c>
      <c r="G2777" s="332">
        <v>3145</v>
      </c>
      <c r="H2777" s="333">
        <v>3806</v>
      </c>
    </row>
    <row r="2778" spans="1:8">
      <c r="A2778" s="317">
        <v>1605500174</v>
      </c>
      <c r="B2778" s="317" t="s">
        <v>47145</v>
      </c>
      <c r="C2778" s="330" t="s">
        <v>9668</v>
      </c>
      <c r="D2778" s="330" t="s">
        <v>9669</v>
      </c>
      <c r="E2778" s="330" t="s">
        <v>4634</v>
      </c>
      <c r="F2778" s="331">
        <v>0.21</v>
      </c>
      <c r="G2778" s="332">
        <v>2330</v>
      </c>
      <c r="H2778" s="333">
        <v>2820</v>
      </c>
    </row>
    <row r="2779" spans="1:8">
      <c r="A2779" s="317">
        <v>1605500194</v>
      </c>
      <c r="B2779" s="317" t="s">
        <v>47146</v>
      </c>
      <c r="C2779" s="330" t="s">
        <v>9670</v>
      </c>
      <c r="D2779" s="330" t="s">
        <v>9671</v>
      </c>
      <c r="E2779" s="330" t="s">
        <v>37248</v>
      </c>
      <c r="F2779" s="331">
        <v>0.21</v>
      </c>
      <c r="G2779" s="332">
        <v>11577</v>
      </c>
      <c r="H2779" s="333">
        <v>14009</v>
      </c>
    </row>
    <row r="2780" spans="1:8">
      <c r="A2780" s="317">
        <v>1605500206</v>
      </c>
      <c r="B2780" s="317" t="s">
        <v>47147</v>
      </c>
      <c r="C2780" s="330" t="s">
        <v>9672</v>
      </c>
      <c r="D2780" s="330" t="s">
        <v>9673</v>
      </c>
      <c r="E2780" s="330" t="s">
        <v>4634</v>
      </c>
      <c r="F2780" s="331">
        <v>0.21</v>
      </c>
      <c r="G2780" s="332">
        <v>1431</v>
      </c>
      <c r="H2780" s="333">
        <v>1732</v>
      </c>
    </row>
    <row r="2781" spans="1:8">
      <c r="A2781" s="317">
        <v>1605500226</v>
      </c>
      <c r="B2781" s="317" t="s">
        <v>47148</v>
      </c>
      <c r="C2781" s="330" t="s">
        <v>9674</v>
      </c>
      <c r="D2781" s="330" t="s">
        <v>9675</v>
      </c>
      <c r="E2781" s="330" t="s">
        <v>4634</v>
      </c>
      <c r="F2781" s="331">
        <v>0.21</v>
      </c>
      <c r="G2781" s="332">
        <v>1479</v>
      </c>
      <c r="H2781" s="333">
        <v>1790</v>
      </c>
    </row>
    <row r="2782" spans="1:8">
      <c r="A2782" s="317">
        <v>1605500227</v>
      </c>
      <c r="B2782" s="317" t="s">
        <v>47149</v>
      </c>
      <c r="C2782" s="330" t="s">
        <v>9676</v>
      </c>
      <c r="D2782" s="330" t="s">
        <v>9677</v>
      </c>
      <c r="E2782" s="330" t="s">
        <v>37248</v>
      </c>
      <c r="F2782" s="331">
        <v>0.21</v>
      </c>
      <c r="G2782" s="332">
        <v>3593</v>
      </c>
      <c r="H2782" s="333">
        <v>4348</v>
      </c>
    </row>
    <row r="2783" spans="1:8">
      <c r="A2783" s="317">
        <v>1605500228</v>
      </c>
      <c r="B2783" s="317" t="s">
        <v>47150</v>
      </c>
      <c r="C2783" s="330" t="s">
        <v>9678</v>
      </c>
      <c r="D2783" s="330" t="s">
        <v>9679</v>
      </c>
      <c r="E2783" s="330" t="s">
        <v>37248</v>
      </c>
      <c r="F2783" s="331">
        <v>0.21</v>
      </c>
      <c r="G2783" s="332">
        <v>4331</v>
      </c>
      <c r="H2783" s="333">
        <v>5241</v>
      </c>
    </row>
    <row r="2784" spans="1:8">
      <c r="A2784" s="317">
        <v>1605500233</v>
      </c>
      <c r="B2784" s="317" t="s">
        <v>47151</v>
      </c>
      <c r="C2784" s="330" t="s">
        <v>9680</v>
      </c>
      <c r="D2784" s="330" t="s">
        <v>9681</v>
      </c>
      <c r="E2784" s="330" t="s">
        <v>4819</v>
      </c>
      <c r="F2784" s="331">
        <v>0.21</v>
      </c>
      <c r="G2784" s="332">
        <v>3934</v>
      </c>
      <c r="H2784" s="333">
        <v>4761</v>
      </c>
    </row>
    <row r="2785" spans="1:8">
      <c r="A2785" s="317">
        <v>1605500236</v>
      </c>
      <c r="B2785" s="317" t="s">
        <v>47152</v>
      </c>
      <c r="C2785" s="330" t="s">
        <v>9682</v>
      </c>
      <c r="D2785" s="330" t="s">
        <v>9683</v>
      </c>
      <c r="E2785" s="330" t="s">
        <v>4634</v>
      </c>
      <c r="F2785" s="331">
        <v>0.21</v>
      </c>
      <c r="G2785" s="332">
        <v>791</v>
      </c>
      <c r="H2785" s="333">
        <v>958</v>
      </c>
    </row>
    <row r="2786" spans="1:8">
      <c r="A2786" s="317">
        <v>1605500237</v>
      </c>
      <c r="B2786" s="317" t="s">
        <v>47153</v>
      </c>
      <c r="C2786" s="330" t="s">
        <v>9684</v>
      </c>
      <c r="D2786" s="330" t="s">
        <v>9685</v>
      </c>
      <c r="E2786" s="330" t="s">
        <v>4634</v>
      </c>
      <c r="F2786" s="331">
        <v>0.21</v>
      </c>
      <c r="G2786" s="332">
        <v>1641</v>
      </c>
      <c r="H2786" s="333">
        <v>1986</v>
      </c>
    </row>
    <row r="2787" spans="1:8">
      <c r="A2787" s="317">
        <v>1605500251</v>
      </c>
      <c r="B2787" s="317" t="s">
        <v>47154</v>
      </c>
      <c r="C2787" s="330" t="s">
        <v>9686</v>
      </c>
      <c r="D2787" s="330" t="s">
        <v>9687</v>
      </c>
      <c r="E2787" s="330" t="s">
        <v>37248</v>
      </c>
      <c r="F2787" s="331">
        <v>0.21</v>
      </c>
      <c r="G2787" s="332">
        <v>9304</v>
      </c>
      <c r="H2787" s="333">
        <v>11258</v>
      </c>
    </row>
    <row r="2788" spans="1:8">
      <c r="A2788" s="317">
        <v>1605500258</v>
      </c>
      <c r="B2788" s="317" t="s">
        <v>47155</v>
      </c>
      <c r="C2788" s="330" t="s">
        <v>9688</v>
      </c>
      <c r="D2788" s="330" t="s">
        <v>9689</v>
      </c>
      <c r="E2788" s="330" t="s">
        <v>4634</v>
      </c>
      <c r="F2788" s="331">
        <v>0.21</v>
      </c>
      <c r="G2788" s="332">
        <v>455</v>
      </c>
      <c r="H2788" s="333">
        <v>551</v>
      </c>
    </row>
    <row r="2789" spans="1:8">
      <c r="A2789" s="317">
        <v>1605500260</v>
      </c>
      <c r="B2789" s="317" t="s">
        <v>47156</v>
      </c>
      <c r="C2789" s="330" t="s">
        <v>9690</v>
      </c>
      <c r="D2789" s="330" t="s">
        <v>9691</v>
      </c>
      <c r="E2789" s="330" t="s">
        <v>37248</v>
      </c>
      <c r="F2789" s="331">
        <v>0.21</v>
      </c>
      <c r="G2789" s="332">
        <v>3468</v>
      </c>
      <c r="H2789" s="333">
        <v>4197</v>
      </c>
    </row>
    <row r="2790" spans="1:8">
      <c r="A2790" s="317">
        <v>1605500263</v>
      </c>
      <c r="B2790" s="317" t="s">
        <v>47157</v>
      </c>
      <c r="C2790" s="330" t="s">
        <v>9692</v>
      </c>
      <c r="D2790" s="330" t="s">
        <v>9693</v>
      </c>
      <c r="E2790" s="330" t="s">
        <v>37248</v>
      </c>
      <c r="F2790" s="331">
        <v>0.21</v>
      </c>
      <c r="G2790" s="332">
        <v>3035</v>
      </c>
      <c r="H2790" s="333">
        <v>3673</v>
      </c>
    </row>
    <row r="2791" spans="1:8">
      <c r="A2791" s="317">
        <v>1605500264</v>
      </c>
      <c r="B2791" s="317" t="s">
        <v>47158</v>
      </c>
      <c r="C2791" s="330" t="s">
        <v>9694</v>
      </c>
      <c r="D2791" s="330" t="s">
        <v>9695</v>
      </c>
      <c r="E2791" s="330" t="s">
        <v>4819</v>
      </c>
      <c r="F2791" s="331">
        <v>0.21</v>
      </c>
      <c r="G2791" s="332">
        <v>1815</v>
      </c>
      <c r="H2791" s="333">
        <v>2197</v>
      </c>
    </row>
    <row r="2792" spans="1:8">
      <c r="A2792" s="317">
        <v>1605500265</v>
      </c>
      <c r="B2792" s="317" t="s">
        <v>47159</v>
      </c>
      <c r="C2792" s="330" t="s">
        <v>9696</v>
      </c>
      <c r="D2792" s="330" t="s">
        <v>9695</v>
      </c>
      <c r="E2792" s="330" t="s">
        <v>37248</v>
      </c>
      <c r="F2792" s="331">
        <v>0.21</v>
      </c>
      <c r="G2792" s="332">
        <v>1652</v>
      </c>
      <c r="H2792" s="333">
        <v>1999</v>
      </c>
    </row>
    <row r="2793" spans="1:8">
      <c r="A2793" s="317">
        <v>1605500266</v>
      </c>
      <c r="B2793" s="317" t="s">
        <v>47160</v>
      </c>
      <c r="C2793" s="330" t="s">
        <v>9697</v>
      </c>
      <c r="D2793" s="330" t="s">
        <v>9698</v>
      </c>
      <c r="E2793" s="330" t="s">
        <v>4819</v>
      </c>
      <c r="F2793" s="331">
        <v>0.21</v>
      </c>
      <c r="G2793" s="332">
        <v>2041</v>
      </c>
      <c r="H2793" s="333">
        <v>2470</v>
      </c>
    </row>
    <row r="2794" spans="1:8">
      <c r="A2794" s="317">
        <v>1605500275</v>
      </c>
      <c r="B2794" s="317" t="s">
        <v>47161</v>
      </c>
      <c r="C2794" s="330" t="s">
        <v>9699</v>
      </c>
      <c r="D2794" s="330" t="s">
        <v>9700</v>
      </c>
      <c r="E2794" s="330" t="s">
        <v>37248</v>
      </c>
      <c r="F2794" s="331">
        <v>0.21</v>
      </c>
      <c r="G2794" s="332">
        <v>2411</v>
      </c>
      <c r="H2794" s="333">
        <v>2918</v>
      </c>
    </row>
    <row r="2795" spans="1:8">
      <c r="A2795" s="317">
        <v>1605500276</v>
      </c>
      <c r="B2795" s="317" t="s">
        <v>47162</v>
      </c>
      <c r="C2795" s="330" t="s">
        <v>9701</v>
      </c>
      <c r="D2795" s="330" t="s">
        <v>9702</v>
      </c>
      <c r="E2795" s="330" t="s">
        <v>37248</v>
      </c>
      <c r="F2795" s="331">
        <v>0.21</v>
      </c>
      <c r="G2795" s="332">
        <v>6150</v>
      </c>
      <c r="H2795" s="333">
        <v>7442</v>
      </c>
    </row>
    <row r="2796" spans="1:8">
      <c r="A2796" s="317">
        <v>1605500277</v>
      </c>
      <c r="B2796" s="317" t="s">
        <v>47163</v>
      </c>
      <c r="C2796" s="330" t="s">
        <v>9703</v>
      </c>
      <c r="D2796" s="330" t="s">
        <v>9704</v>
      </c>
      <c r="E2796" s="330" t="s">
        <v>37248</v>
      </c>
      <c r="F2796" s="331">
        <v>0.21</v>
      </c>
      <c r="G2796" s="332">
        <v>2221</v>
      </c>
      <c r="H2796" s="333">
        <v>2688</v>
      </c>
    </row>
    <row r="2797" spans="1:8">
      <c r="A2797" s="317">
        <v>1605500278</v>
      </c>
      <c r="B2797" s="317" t="s">
        <v>47164</v>
      </c>
      <c r="C2797" s="330" t="s">
        <v>9705</v>
      </c>
      <c r="D2797" s="330" t="s">
        <v>9706</v>
      </c>
      <c r="E2797" s="330" t="s">
        <v>37248</v>
      </c>
      <c r="F2797" s="331">
        <v>0.21</v>
      </c>
      <c r="G2797" s="332">
        <v>6612</v>
      </c>
      <c r="H2797" s="333">
        <v>8001</v>
      </c>
    </row>
    <row r="2798" spans="1:8">
      <c r="A2798" s="317">
        <v>1605500279</v>
      </c>
      <c r="B2798" s="317" t="s">
        <v>47165</v>
      </c>
      <c r="C2798" s="330" t="s">
        <v>9707</v>
      </c>
      <c r="D2798" s="330" t="s">
        <v>9708</v>
      </c>
      <c r="E2798" s="330" t="s">
        <v>37248</v>
      </c>
      <c r="F2798" s="331">
        <v>0.21</v>
      </c>
      <c r="G2798" s="332">
        <v>2587</v>
      </c>
      <c r="H2798" s="333">
        <v>3131</v>
      </c>
    </row>
    <row r="2799" spans="1:8">
      <c r="A2799" s="317" t="s">
        <v>38869</v>
      </c>
      <c r="B2799" s="317" t="s">
        <v>47166</v>
      </c>
      <c r="C2799" s="330" t="s">
        <v>9709</v>
      </c>
      <c r="D2799" s="330" t="s">
        <v>9710</v>
      </c>
      <c r="E2799" s="330" t="s">
        <v>4634</v>
      </c>
      <c r="F2799" s="331">
        <v>0.21</v>
      </c>
      <c r="G2799" s="332">
        <v>5329</v>
      </c>
      <c r="H2799" s="333">
        <v>6449</v>
      </c>
    </row>
    <row r="2800" spans="1:8">
      <c r="A2800" s="317" t="s">
        <v>38870</v>
      </c>
      <c r="B2800" s="317" t="s">
        <v>47167</v>
      </c>
      <c r="C2800" s="330" t="s">
        <v>9711</v>
      </c>
      <c r="D2800" s="330" t="s">
        <v>9712</v>
      </c>
      <c r="E2800" s="330" t="s">
        <v>37248</v>
      </c>
      <c r="F2800" s="331">
        <v>0.21</v>
      </c>
      <c r="G2800" s="332">
        <v>2520</v>
      </c>
      <c r="H2800" s="333">
        <v>3050</v>
      </c>
    </row>
    <row r="2801" spans="1:8">
      <c r="A2801" s="317" t="s">
        <v>38871</v>
      </c>
      <c r="B2801" s="317" t="s">
        <v>47168</v>
      </c>
      <c r="C2801" s="330" t="s">
        <v>9713</v>
      </c>
      <c r="D2801" s="330" t="s">
        <v>9714</v>
      </c>
      <c r="E2801" s="330" t="s">
        <v>37248</v>
      </c>
      <c r="F2801" s="331">
        <v>0.21</v>
      </c>
      <c r="G2801" s="332">
        <v>1329</v>
      </c>
      <c r="H2801" s="333">
        <v>1609</v>
      </c>
    </row>
    <row r="2802" spans="1:8">
      <c r="A2802" s="317" t="s">
        <v>38872</v>
      </c>
      <c r="B2802" s="317" t="s">
        <v>47169</v>
      </c>
      <c r="C2802" s="330" t="s">
        <v>9715</v>
      </c>
      <c r="D2802" s="330" t="s">
        <v>9716</v>
      </c>
      <c r="E2802" s="330" t="s">
        <v>37248</v>
      </c>
      <c r="F2802" s="331">
        <v>0.21</v>
      </c>
      <c r="G2802" s="332">
        <v>1953</v>
      </c>
      <c r="H2802" s="333">
        <v>2364</v>
      </c>
    </row>
    <row r="2803" spans="1:8">
      <c r="A2803" s="317" t="s">
        <v>38873</v>
      </c>
      <c r="B2803" s="317" t="s">
        <v>47170</v>
      </c>
      <c r="C2803" s="330" t="s">
        <v>9717</v>
      </c>
      <c r="D2803" s="330" t="s">
        <v>9718</v>
      </c>
      <c r="E2803" s="330" t="s">
        <v>37248</v>
      </c>
      <c r="F2803" s="331">
        <v>0.21</v>
      </c>
      <c r="G2803" s="332">
        <v>2823</v>
      </c>
      <c r="H2803" s="333">
        <v>3416</v>
      </c>
    </row>
    <row r="2804" spans="1:8">
      <c r="A2804" s="317" t="s">
        <v>38874</v>
      </c>
      <c r="B2804" s="317" t="s">
        <v>47171</v>
      </c>
      <c r="C2804" s="330" t="s">
        <v>9719</v>
      </c>
      <c r="D2804" s="330" t="s">
        <v>9720</v>
      </c>
      <c r="E2804" s="330" t="s">
        <v>37248</v>
      </c>
      <c r="F2804" s="331">
        <v>0.21</v>
      </c>
      <c r="G2804" s="332">
        <v>3171</v>
      </c>
      <c r="H2804" s="333">
        <v>3837</v>
      </c>
    </row>
    <row r="2805" spans="1:8">
      <c r="A2805" s="317" t="s">
        <v>38875</v>
      </c>
      <c r="B2805" s="317" t="s">
        <v>47172</v>
      </c>
      <c r="C2805" s="330" t="s">
        <v>9721</v>
      </c>
      <c r="D2805" s="330" t="s">
        <v>6216</v>
      </c>
      <c r="E2805" s="330" t="s">
        <v>37248</v>
      </c>
      <c r="F2805" s="331">
        <v>0.21</v>
      </c>
      <c r="G2805" s="332">
        <v>435</v>
      </c>
      <c r="H2805" s="333">
        <v>527</v>
      </c>
    </row>
    <row r="2806" spans="1:8">
      <c r="A2806" s="317" t="s">
        <v>38876</v>
      </c>
      <c r="B2806" s="317" t="s">
        <v>47173</v>
      </c>
      <c r="C2806" s="330" t="s">
        <v>9722</v>
      </c>
      <c r="D2806" s="330" t="s">
        <v>9723</v>
      </c>
      <c r="E2806" s="330" t="s">
        <v>4819</v>
      </c>
      <c r="F2806" s="331">
        <v>0.21</v>
      </c>
      <c r="G2806" s="332">
        <v>2185</v>
      </c>
      <c r="H2806" s="333">
        <v>2644</v>
      </c>
    </row>
    <row r="2807" spans="1:8">
      <c r="A2807" s="317" t="s">
        <v>38877</v>
      </c>
      <c r="B2807" s="317" t="s">
        <v>47174</v>
      </c>
      <c r="C2807" s="330" t="s">
        <v>9724</v>
      </c>
      <c r="D2807" s="330" t="s">
        <v>9725</v>
      </c>
      <c r="E2807" s="330" t="s">
        <v>37248</v>
      </c>
      <c r="F2807" s="331">
        <v>0.21</v>
      </c>
      <c r="G2807" s="332">
        <v>7791</v>
      </c>
      <c r="H2807" s="333">
        <v>9428</v>
      </c>
    </row>
    <row r="2808" spans="1:8">
      <c r="A2808" s="317" t="s">
        <v>38878</v>
      </c>
      <c r="B2808" s="317" t="s">
        <v>47175</v>
      </c>
      <c r="C2808" s="330" t="s">
        <v>9726</v>
      </c>
      <c r="D2808" s="330" t="s">
        <v>7416</v>
      </c>
      <c r="E2808" s="330" t="s">
        <v>37248</v>
      </c>
      <c r="F2808" s="331">
        <v>0.21</v>
      </c>
      <c r="G2808" s="332">
        <v>3022</v>
      </c>
      <c r="H2808" s="333">
        <v>3657</v>
      </c>
    </row>
    <row r="2809" spans="1:8">
      <c r="A2809" s="317" t="s">
        <v>38879</v>
      </c>
      <c r="B2809" s="317" t="s">
        <v>47176</v>
      </c>
      <c r="C2809" s="330" t="s">
        <v>9727</v>
      </c>
      <c r="D2809" s="330" t="s">
        <v>9728</v>
      </c>
      <c r="E2809" s="330" t="s">
        <v>37248</v>
      </c>
      <c r="F2809" s="331">
        <v>0.21</v>
      </c>
      <c r="G2809" s="332">
        <v>1072</v>
      </c>
      <c r="H2809" s="333">
        <v>1298</v>
      </c>
    </row>
    <row r="2810" spans="1:8">
      <c r="A2810" s="317" t="s">
        <v>38880</v>
      </c>
      <c r="B2810" s="317" t="s">
        <v>47177</v>
      </c>
      <c r="C2810" s="330" t="s">
        <v>9729</v>
      </c>
      <c r="D2810" s="330" t="s">
        <v>9730</v>
      </c>
      <c r="E2810" s="330" t="s">
        <v>37248</v>
      </c>
      <c r="F2810" s="331">
        <v>0.21</v>
      </c>
      <c r="G2810" s="332">
        <v>23362</v>
      </c>
      <c r="H2810" s="333">
        <v>28269</v>
      </c>
    </row>
    <row r="2811" spans="1:8">
      <c r="A2811" s="317" t="s">
        <v>38881</v>
      </c>
      <c r="B2811" s="317" t="s">
        <v>47178</v>
      </c>
      <c r="C2811" s="330" t="s">
        <v>9731</v>
      </c>
      <c r="D2811" s="330" t="s">
        <v>9732</v>
      </c>
      <c r="E2811" s="330" t="s">
        <v>37248</v>
      </c>
      <c r="F2811" s="331">
        <v>0.21</v>
      </c>
      <c r="G2811" s="332">
        <v>976</v>
      </c>
      <c r="H2811" s="333">
        <v>1181</v>
      </c>
    </row>
    <row r="2812" spans="1:8">
      <c r="A2812" s="317" t="s">
        <v>38882</v>
      </c>
      <c r="B2812" s="317" t="s">
        <v>47179</v>
      </c>
      <c r="C2812" s="330" t="s">
        <v>9733</v>
      </c>
      <c r="D2812" s="330" t="s">
        <v>7002</v>
      </c>
      <c r="E2812" s="330" t="s">
        <v>37248</v>
      </c>
      <c r="F2812" s="331">
        <v>0.21</v>
      </c>
      <c r="G2812" s="332">
        <v>339</v>
      </c>
      <c r="H2812" s="333">
        <v>411</v>
      </c>
    </row>
    <row r="2813" spans="1:8">
      <c r="A2813" s="317" t="s">
        <v>38883</v>
      </c>
      <c r="B2813" s="317" t="s">
        <v>47180</v>
      </c>
      <c r="C2813" s="330" t="s">
        <v>9734</v>
      </c>
      <c r="D2813" s="330" t="s">
        <v>9732</v>
      </c>
      <c r="E2813" s="330" t="s">
        <v>37248</v>
      </c>
      <c r="F2813" s="331">
        <v>0.21</v>
      </c>
      <c r="G2813" s="332">
        <v>858</v>
      </c>
      <c r="H2813" s="333">
        <v>1039</v>
      </c>
    </row>
    <row r="2814" spans="1:8">
      <c r="A2814" s="317" t="s">
        <v>38884</v>
      </c>
      <c r="B2814" s="317" t="s">
        <v>47181</v>
      </c>
      <c r="C2814" s="330" t="s">
        <v>9735</v>
      </c>
      <c r="D2814" s="330" t="s">
        <v>9736</v>
      </c>
      <c r="E2814" s="330" t="s">
        <v>4819</v>
      </c>
      <c r="F2814" s="331">
        <v>0.21</v>
      </c>
      <c r="G2814" s="332">
        <v>7028</v>
      </c>
      <c r="H2814" s="333">
        <v>8504</v>
      </c>
    </row>
    <row r="2815" spans="1:8">
      <c r="A2815" s="317" t="s">
        <v>38885</v>
      </c>
      <c r="B2815" s="317" t="s">
        <v>47182</v>
      </c>
      <c r="C2815" s="330" t="s">
        <v>9737</v>
      </c>
      <c r="D2815" s="330" t="s">
        <v>9732</v>
      </c>
      <c r="E2815" s="330" t="s">
        <v>37248</v>
      </c>
      <c r="F2815" s="331">
        <v>0.21</v>
      </c>
      <c r="G2815" s="332">
        <v>976</v>
      </c>
      <c r="H2815" s="333">
        <v>1181</v>
      </c>
    </row>
    <row r="2816" spans="1:8">
      <c r="A2816" s="317" t="s">
        <v>38886</v>
      </c>
      <c r="B2816" s="317" t="s">
        <v>47183</v>
      </c>
      <c r="C2816" s="330" t="s">
        <v>9738</v>
      </c>
      <c r="D2816" s="330" t="s">
        <v>9732</v>
      </c>
      <c r="E2816" s="330" t="s">
        <v>37248</v>
      </c>
      <c r="F2816" s="331">
        <v>0.21</v>
      </c>
      <c r="G2816" s="332">
        <v>2529</v>
      </c>
      <c r="H2816" s="333">
        <v>3061</v>
      </c>
    </row>
    <row r="2817" spans="1:8">
      <c r="A2817" s="317" t="s">
        <v>38887</v>
      </c>
      <c r="B2817" s="317" t="s">
        <v>47184</v>
      </c>
      <c r="C2817" s="330" t="s">
        <v>9739</v>
      </c>
      <c r="D2817" s="330" t="s">
        <v>9732</v>
      </c>
      <c r="E2817" s="330" t="s">
        <v>37248</v>
      </c>
      <c r="F2817" s="331">
        <v>0.21</v>
      </c>
      <c r="G2817" s="332">
        <v>976</v>
      </c>
      <c r="H2817" s="333">
        <v>1181</v>
      </c>
    </row>
    <row r="2818" spans="1:8">
      <c r="A2818" s="317" t="s">
        <v>38888</v>
      </c>
      <c r="B2818" s="317" t="s">
        <v>47185</v>
      </c>
      <c r="C2818" s="330" t="s">
        <v>9740</v>
      </c>
      <c r="D2818" s="330" t="s">
        <v>9741</v>
      </c>
      <c r="E2818" s="330" t="s">
        <v>37248</v>
      </c>
      <c r="F2818" s="331">
        <v>0.21</v>
      </c>
      <c r="G2818" s="332">
        <v>8878</v>
      </c>
      <c r="H2818" s="333">
        <v>10743</v>
      </c>
    </row>
    <row r="2819" spans="1:8">
      <c r="A2819" s="317" t="s">
        <v>38889</v>
      </c>
      <c r="B2819" s="317" t="s">
        <v>47186</v>
      </c>
      <c r="C2819" s="330" t="s">
        <v>9742</v>
      </c>
      <c r="D2819" s="330" t="s">
        <v>9741</v>
      </c>
      <c r="E2819" s="330" t="s">
        <v>37248</v>
      </c>
      <c r="F2819" s="331">
        <v>0.21</v>
      </c>
      <c r="G2819" s="332">
        <v>8878</v>
      </c>
      <c r="H2819" s="333">
        <v>10743</v>
      </c>
    </row>
    <row r="2820" spans="1:8">
      <c r="A2820" s="317" t="s">
        <v>38890</v>
      </c>
      <c r="B2820" s="317" t="s">
        <v>47187</v>
      </c>
      <c r="C2820" s="330" t="s">
        <v>9743</v>
      </c>
      <c r="D2820" s="330" t="s">
        <v>9744</v>
      </c>
      <c r="E2820" s="330" t="s">
        <v>37248</v>
      </c>
      <c r="F2820" s="331">
        <v>0.21</v>
      </c>
      <c r="G2820" s="332">
        <v>671</v>
      </c>
      <c r="H2820" s="333">
        <v>812</v>
      </c>
    </row>
    <row r="2821" spans="1:8">
      <c r="A2821" s="317">
        <v>1605510122</v>
      </c>
      <c r="B2821" s="317" t="s">
        <v>47188</v>
      </c>
      <c r="C2821" s="330" t="s">
        <v>9745</v>
      </c>
      <c r="D2821" s="330" t="s">
        <v>9746</v>
      </c>
      <c r="E2821" s="330" t="s">
        <v>4634</v>
      </c>
      <c r="F2821" s="331">
        <v>0.21</v>
      </c>
      <c r="G2821" s="332">
        <v>1150</v>
      </c>
      <c r="H2821" s="333">
        <v>1392</v>
      </c>
    </row>
    <row r="2822" spans="1:8">
      <c r="A2822" s="317">
        <v>1605510125</v>
      </c>
      <c r="B2822" s="317" t="s">
        <v>47189</v>
      </c>
      <c r="C2822" s="330" t="s">
        <v>9747</v>
      </c>
      <c r="D2822" s="330" t="s">
        <v>9748</v>
      </c>
      <c r="E2822" s="330" t="s">
        <v>4634</v>
      </c>
      <c r="F2822" s="331">
        <v>0.21</v>
      </c>
      <c r="G2822" s="332">
        <v>1271</v>
      </c>
      <c r="H2822" s="333">
        <v>1538</v>
      </c>
    </row>
    <row r="2823" spans="1:8">
      <c r="A2823" s="317">
        <v>1605510127</v>
      </c>
      <c r="B2823" s="317" t="s">
        <v>47190</v>
      </c>
      <c r="C2823" s="330" t="s">
        <v>9749</v>
      </c>
      <c r="D2823" s="330" t="s">
        <v>9750</v>
      </c>
      <c r="E2823" s="330" t="s">
        <v>4634</v>
      </c>
      <c r="F2823" s="331">
        <v>0.21</v>
      </c>
      <c r="G2823" s="332">
        <v>3189</v>
      </c>
      <c r="H2823" s="333">
        <v>3859</v>
      </c>
    </row>
    <row r="2824" spans="1:8">
      <c r="A2824" s="317">
        <v>1605510139</v>
      </c>
      <c r="B2824" s="317" t="s">
        <v>47191</v>
      </c>
      <c r="C2824" s="330" t="s">
        <v>9751</v>
      </c>
      <c r="D2824" s="330" t="s">
        <v>9752</v>
      </c>
      <c r="E2824" s="330" t="s">
        <v>4634</v>
      </c>
      <c r="F2824" s="331">
        <v>0.21</v>
      </c>
      <c r="G2824" s="332">
        <v>584</v>
      </c>
      <c r="H2824" s="333">
        <v>707</v>
      </c>
    </row>
    <row r="2825" spans="1:8">
      <c r="A2825" s="317">
        <v>1605510140</v>
      </c>
      <c r="B2825" s="317" t="s">
        <v>47192</v>
      </c>
      <c r="C2825" s="330" t="s">
        <v>9753</v>
      </c>
      <c r="D2825" s="330" t="s">
        <v>9754</v>
      </c>
      <c r="E2825" s="330" t="s">
        <v>4634</v>
      </c>
      <c r="F2825" s="331">
        <v>0.21</v>
      </c>
      <c r="G2825" s="332">
        <v>1547</v>
      </c>
      <c r="H2825" s="333">
        <v>1872</v>
      </c>
    </row>
    <row r="2826" spans="1:8">
      <c r="A2826" s="317">
        <v>1605510141</v>
      </c>
      <c r="B2826" s="317" t="s">
        <v>47193</v>
      </c>
      <c r="C2826" s="330" t="s">
        <v>9755</v>
      </c>
      <c r="D2826" s="330" t="s">
        <v>8219</v>
      </c>
      <c r="E2826" s="330" t="s">
        <v>4634</v>
      </c>
      <c r="F2826" s="331">
        <v>0.21</v>
      </c>
      <c r="G2826" s="332">
        <v>191</v>
      </c>
      <c r="H2826" s="333">
        <v>232</v>
      </c>
    </row>
    <row r="2827" spans="1:8">
      <c r="A2827" s="317">
        <v>1605510142</v>
      </c>
      <c r="B2827" s="317" t="s">
        <v>47194</v>
      </c>
      <c r="C2827" s="330" t="s">
        <v>9756</v>
      </c>
      <c r="D2827" s="330" t="s">
        <v>8219</v>
      </c>
      <c r="E2827" s="330" t="s">
        <v>4634</v>
      </c>
      <c r="F2827" s="331">
        <v>0.21</v>
      </c>
      <c r="G2827" s="332">
        <v>613</v>
      </c>
      <c r="H2827" s="333">
        <v>742</v>
      </c>
    </row>
    <row r="2828" spans="1:8">
      <c r="A2828" s="317">
        <v>1605510173</v>
      </c>
      <c r="B2828" s="317" t="s">
        <v>47195</v>
      </c>
      <c r="C2828" s="330" t="s">
        <v>9757</v>
      </c>
      <c r="D2828" s="330" t="s">
        <v>9758</v>
      </c>
      <c r="E2828" s="330" t="s">
        <v>4634</v>
      </c>
      <c r="F2828" s="331">
        <v>0.21</v>
      </c>
      <c r="G2828" s="332">
        <v>196</v>
      </c>
      <c r="H2828" s="333">
        <v>238</v>
      </c>
    </row>
    <row r="2829" spans="1:8">
      <c r="A2829" s="317">
        <v>1605510227</v>
      </c>
      <c r="B2829" s="317" t="s">
        <v>47196</v>
      </c>
      <c r="C2829" s="330" t="s">
        <v>9759</v>
      </c>
      <c r="D2829" s="330" t="s">
        <v>9760</v>
      </c>
      <c r="E2829" s="330" t="s">
        <v>4634</v>
      </c>
      <c r="F2829" s="331">
        <v>0.21</v>
      </c>
      <c r="G2829" s="332">
        <v>49001</v>
      </c>
      <c r="H2829" s="333">
        <v>59292</v>
      </c>
    </row>
    <row r="2830" spans="1:8">
      <c r="A2830" s="317">
        <v>1605510249</v>
      </c>
      <c r="B2830" s="317" t="s">
        <v>47197</v>
      </c>
      <c r="C2830" s="330" t="s">
        <v>9761</v>
      </c>
      <c r="D2830" s="330" t="s">
        <v>9762</v>
      </c>
      <c r="E2830" s="330" t="s">
        <v>4634</v>
      </c>
      <c r="F2830" s="331">
        <v>0.21</v>
      </c>
      <c r="G2830" s="332">
        <v>46259</v>
      </c>
      <c r="H2830" s="333">
        <v>55974</v>
      </c>
    </row>
    <row r="2831" spans="1:8">
      <c r="A2831" s="317">
        <v>1605510315</v>
      </c>
      <c r="B2831" s="317" t="s">
        <v>47198</v>
      </c>
      <c r="C2831" s="330" t="s">
        <v>9763</v>
      </c>
      <c r="D2831" s="330" t="s">
        <v>9764</v>
      </c>
      <c r="E2831" s="330" t="s">
        <v>4634</v>
      </c>
      <c r="F2831" s="331">
        <v>0.21</v>
      </c>
      <c r="G2831" s="332">
        <v>2059</v>
      </c>
      <c r="H2831" s="333">
        <v>2492</v>
      </c>
    </row>
    <row r="2832" spans="1:8">
      <c r="A2832" s="317">
        <v>1605510329</v>
      </c>
      <c r="B2832" s="317" t="s">
        <v>47199</v>
      </c>
      <c r="C2832" s="330" t="s">
        <v>9765</v>
      </c>
      <c r="D2832" s="330" t="s">
        <v>9766</v>
      </c>
      <c r="E2832" s="330" t="s">
        <v>4634</v>
      </c>
      <c r="F2832" s="331">
        <v>0.21</v>
      </c>
      <c r="G2832" s="332">
        <v>2299</v>
      </c>
      <c r="H2832" s="333">
        <v>2782</v>
      </c>
    </row>
    <row r="2833" spans="1:8">
      <c r="A2833" s="317">
        <v>1605510333</v>
      </c>
      <c r="B2833" s="317" t="s">
        <v>47200</v>
      </c>
      <c r="C2833" s="330" t="s">
        <v>9767</v>
      </c>
      <c r="D2833" s="330" t="s">
        <v>9768</v>
      </c>
      <c r="E2833" s="330" t="s">
        <v>4819</v>
      </c>
      <c r="F2833" s="331">
        <v>0.21</v>
      </c>
      <c r="G2833" s="332">
        <v>20168</v>
      </c>
      <c r="H2833" s="333">
        <v>24404</v>
      </c>
    </row>
    <row r="2834" spans="1:8">
      <c r="A2834" s="317">
        <v>1605510355</v>
      </c>
      <c r="B2834" s="317" t="s">
        <v>47201</v>
      </c>
      <c r="C2834" s="330" t="s">
        <v>9769</v>
      </c>
      <c r="D2834" s="330" t="s">
        <v>9770</v>
      </c>
      <c r="E2834" s="330" t="s">
        <v>4634</v>
      </c>
      <c r="F2834" s="331">
        <v>0.21</v>
      </c>
      <c r="G2834" s="332">
        <v>4610</v>
      </c>
      <c r="H2834" s="333">
        <v>5579</v>
      </c>
    </row>
    <row r="2835" spans="1:8">
      <c r="A2835" s="317">
        <v>1605510356</v>
      </c>
      <c r="B2835" s="317" t="s">
        <v>47202</v>
      </c>
      <c r="C2835" s="330" t="s">
        <v>9771</v>
      </c>
      <c r="D2835" s="330" t="s">
        <v>9772</v>
      </c>
      <c r="E2835" s="330" t="s">
        <v>4634</v>
      </c>
      <c r="F2835" s="331">
        <v>0.21</v>
      </c>
      <c r="G2835" s="332">
        <v>19304</v>
      </c>
      <c r="H2835" s="333">
        <v>23358</v>
      </c>
    </row>
    <row r="2836" spans="1:8">
      <c r="A2836" s="317">
        <v>1605510378</v>
      </c>
      <c r="B2836" s="317" t="s">
        <v>47203</v>
      </c>
      <c r="C2836" s="330" t="s">
        <v>9773</v>
      </c>
      <c r="D2836" s="330" t="s">
        <v>9774</v>
      </c>
      <c r="E2836" s="330" t="s">
        <v>4634</v>
      </c>
      <c r="F2836" s="331">
        <v>0.21</v>
      </c>
      <c r="G2836" s="332">
        <v>40709</v>
      </c>
      <c r="H2836" s="333">
        <v>49258</v>
      </c>
    </row>
    <row r="2837" spans="1:8">
      <c r="A2837" s="317">
        <v>1605510397</v>
      </c>
      <c r="B2837" s="317" t="s">
        <v>47204</v>
      </c>
      <c r="C2837" s="330" t="s">
        <v>9775</v>
      </c>
      <c r="D2837" s="330" t="s">
        <v>9776</v>
      </c>
      <c r="E2837" s="330" t="s">
        <v>4634</v>
      </c>
      <c r="F2837" s="331">
        <v>0.21</v>
      </c>
      <c r="G2837" s="332">
        <v>30784</v>
      </c>
      <c r="H2837" s="333">
        <v>37249</v>
      </c>
    </row>
    <row r="2838" spans="1:8">
      <c r="A2838" s="317">
        <v>1605510398</v>
      </c>
      <c r="B2838" s="317" t="s">
        <v>47205</v>
      </c>
      <c r="C2838" s="330" t="s">
        <v>9777</v>
      </c>
      <c r="D2838" s="330" t="s">
        <v>9778</v>
      </c>
      <c r="E2838" s="330" t="s">
        <v>4634</v>
      </c>
      <c r="F2838" s="331">
        <v>0.21</v>
      </c>
      <c r="G2838" s="332">
        <v>27683</v>
      </c>
      <c r="H2838" s="333">
        <v>33497</v>
      </c>
    </row>
    <row r="2839" spans="1:8">
      <c r="A2839" s="317">
        <v>1605510406</v>
      </c>
      <c r="B2839" s="317" t="s">
        <v>47206</v>
      </c>
      <c r="C2839" s="330" t="s">
        <v>9779</v>
      </c>
      <c r="D2839" s="330" t="s">
        <v>9780</v>
      </c>
      <c r="E2839" s="330" t="s">
        <v>4634</v>
      </c>
      <c r="F2839" s="331">
        <v>0.21</v>
      </c>
      <c r="G2839" s="332">
        <v>13351</v>
      </c>
      <c r="H2839" s="333">
        <v>16155</v>
      </c>
    </row>
    <row r="2840" spans="1:8">
      <c r="A2840" s="317">
        <v>1605510407</v>
      </c>
      <c r="B2840" s="317" t="s">
        <v>47207</v>
      </c>
      <c r="C2840" s="330" t="s">
        <v>9781</v>
      </c>
      <c r="D2840" s="330" t="s">
        <v>9782</v>
      </c>
      <c r="E2840" s="330" t="s">
        <v>4634</v>
      </c>
      <c r="F2840" s="331">
        <v>0.21</v>
      </c>
      <c r="G2840" s="332">
        <v>9866</v>
      </c>
      <c r="H2840" s="333">
        <v>11938</v>
      </c>
    </row>
    <row r="2841" spans="1:8">
      <c r="A2841" s="317">
        <v>1605703061</v>
      </c>
      <c r="B2841" s="317" t="s">
        <v>47208</v>
      </c>
      <c r="C2841" s="330" t="s">
        <v>9783</v>
      </c>
      <c r="D2841" s="330" t="s">
        <v>6518</v>
      </c>
      <c r="E2841" s="330" t="s">
        <v>4634</v>
      </c>
      <c r="F2841" s="331">
        <v>0.21</v>
      </c>
      <c r="G2841" s="332">
        <v>2117</v>
      </c>
      <c r="H2841" s="333">
        <v>2562</v>
      </c>
    </row>
    <row r="2842" spans="1:8">
      <c r="A2842" s="317">
        <v>1605703069</v>
      </c>
      <c r="B2842" s="317" t="s">
        <v>47209</v>
      </c>
      <c r="C2842" s="330" t="s">
        <v>9784</v>
      </c>
      <c r="D2842" s="330" t="s">
        <v>9785</v>
      </c>
      <c r="E2842" s="330" t="s">
        <v>4634</v>
      </c>
      <c r="F2842" s="331">
        <v>0.21</v>
      </c>
      <c r="G2842" s="332">
        <v>437</v>
      </c>
      <c r="H2842" s="333">
        <v>529</v>
      </c>
    </row>
    <row r="2843" spans="1:8">
      <c r="A2843" s="317">
        <v>1605703071</v>
      </c>
      <c r="B2843" s="317" t="s">
        <v>47210</v>
      </c>
      <c r="C2843" s="330" t="s">
        <v>9786</v>
      </c>
      <c r="D2843" s="330" t="s">
        <v>9787</v>
      </c>
      <c r="E2843" s="330" t="s">
        <v>4634</v>
      </c>
      <c r="F2843" s="331">
        <v>0.21</v>
      </c>
      <c r="G2843" s="332">
        <v>2775</v>
      </c>
      <c r="H2843" s="333">
        <v>3358</v>
      </c>
    </row>
    <row r="2844" spans="1:8">
      <c r="A2844" s="317">
        <v>1605703075</v>
      </c>
      <c r="B2844" s="317" t="s">
        <v>47211</v>
      </c>
      <c r="C2844" s="330" t="s">
        <v>9788</v>
      </c>
      <c r="D2844" s="330" t="s">
        <v>9789</v>
      </c>
      <c r="E2844" s="330" t="s">
        <v>4819</v>
      </c>
      <c r="F2844" s="331">
        <v>0.21</v>
      </c>
      <c r="G2844" s="332">
        <v>60542</v>
      </c>
      <c r="H2844" s="333">
        <v>73256</v>
      </c>
    </row>
    <row r="2845" spans="1:8">
      <c r="A2845" s="317">
        <v>1605703107</v>
      </c>
      <c r="B2845" s="317" t="s">
        <v>47212</v>
      </c>
      <c r="C2845" s="330" t="s">
        <v>9790</v>
      </c>
      <c r="D2845" s="330" t="s">
        <v>6213</v>
      </c>
      <c r="E2845" s="330" t="s">
        <v>37248</v>
      </c>
      <c r="F2845" s="331">
        <v>0.21</v>
      </c>
      <c r="G2845" s="332">
        <v>3645</v>
      </c>
      <c r="H2845" s="333">
        <v>4411</v>
      </c>
    </row>
    <row r="2846" spans="1:8">
      <c r="A2846" s="317">
        <v>1605703108</v>
      </c>
      <c r="B2846" s="317" t="s">
        <v>47213</v>
      </c>
      <c r="C2846" s="330" t="s">
        <v>9791</v>
      </c>
      <c r="D2846" s="330" t="s">
        <v>9792</v>
      </c>
      <c r="E2846" s="330" t="s">
        <v>4634</v>
      </c>
      <c r="F2846" s="331">
        <v>0.21</v>
      </c>
      <c r="G2846" s="332">
        <v>648</v>
      </c>
      <c r="H2846" s="333">
        <v>785</v>
      </c>
    </row>
    <row r="2847" spans="1:8">
      <c r="A2847" s="317">
        <v>1605703140</v>
      </c>
      <c r="B2847" s="317" t="s">
        <v>47214</v>
      </c>
      <c r="C2847" s="330" t="s">
        <v>9793</v>
      </c>
      <c r="D2847" s="330" t="s">
        <v>9794</v>
      </c>
      <c r="E2847" s="330" t="s">
        <v>4819</v>
      </c>
      <c r="F2847" s="331">
        <v>0.21</v>
      </c>
      <c r="G2847" s="332">
        <v>3794</v>
      </c>
      <c r="H2847" s="333">
        <v>4591</v>
      </c>
    </row>
    <row r="2848" spans="1:8">
      <c r="A2848" s="317">
        <v>1605801018</v>
      </c>
      <c r="B2848" s="317" t="s">
        <v>47215</v>
      </c>
      <c r="C2848" s="330" t="s">
        <v>9795</v>
      </c>
      <c r="D2848" s="330" t="s">
        <v>9796</v>
      </c>
      <c r="E2848" s="330" t="s">
        <v>4634</v>
      </c>
      <c r="F2848" s="331">
        <v>0.21</v>
      </c>
      <c r="G2848" s="332">
        <v>11124</v>
      </c>
      <c r="H2848" s="333">
        <v>13461</v>
      </c>
    </row>
    <row r="2849" spans="1:8">
      <c r="A2849" s="317">
        <v>1605805022</v>
      </c>
      <c r="B2849" s="317" t="s">
        <v>47216</v>
      </c>
      <c r="C2849" s="330" t="s">
        <v>9797</v>
      </c>
      <c r="D2849" s="330" t="s">
        <v>6518</v>
      </c>
      <c r="E2849" s="330" t="s">
        <v>4634</v>
      </c>
      <c r="F2849" s="331">
        <v>0.21</v>
      </c>
      <c r="G2849" s="332">
        <v>3410</v>
      </c>
      <c r="H2849" s="333">
        <v>4127</v>
      </c>
    </row>
    <row r="2850" spans="1:8">
      <c r="A2850" s="317">
        <v>1605805043</v>
      </c>
      <c r="B2850" s="317" t="s">
        <v>47217</v>
      </c>
      <c r="C2850" s="330" t="s">
        <v>9798</v>
      </c>
      <c r="D2850" s="330" t="s">
        <v>9799</v>
      </c>
      <c r="E2850" s="330" t="s">
        <v>4634</v>
      </c>
      <c r="F2850" s="331">
        <v>0.21</v>
      </c>
      <c r="G2850" s="332">
        <v>836</v>
      </c>
      <c r="H2850" s="333">
        <v>1012</v>
      </c>
    </row>
    <row r="2851" spans="1:8">
      <c r="A2851" s="317">
        <v>1605805054</v>
      </c>
      <c r="B2851" s="317" t="s">
        <v>47218</v>
      </c>
      <c r="C2851" s="330" t="s">
        <v>9800</v>
      </c>
      <c r="D2851" s="330" t="s">
        <v>9801</v>
      </c>
      <c r="E2851" s="330" t="s">
        <v>4634</v>
      </c>
      <c r="F2851" s="331">
        <v>0.21</v>
      </c>
      <c r="G2851" s="332">
        <v>2059</v>
      </c>
      <c r="H2851" s="333">
        <v>2492</v>
      </c>
    </row>
    <row r="2852" spans="1:8">
      <c r="A2852" s="317">
        <v>1605805061</v>
      </c>
      <c r="B2852" s="317" t="s">
        <v>47219</v>
      </c>
      <c r="C2852" s="330" t="s">
        <v>9802</v>
      </c>
      <c r="D2852" s="330" t="s">
        <v>9803</v>
      </c>
      <c r="E2852" s="330" t="s">
        <v>37248</v>
      </c>
      <c r="F2852" s="331">
        <v>0.21</v>
      </c>
      <c r="G2852" s="332">
        <v>13429</v>
      </c>
      <c r="H2852" s="333">
        <v>16250</v>
      </c>
    </row>
    <row r="2853" spans="1:8">
      <c r="A2853" s="317">
        <v>1605805063</v>
      </c>
      <c r="B2853" s="317" t="s">
        <v>47220</v>
      </c>
      <c r="C2853" s="330" t="s">
        <v>9804</v>
      </c>
      <c r="D2853" s="330" t="s">
        <v>9805</v>
      </c>
      <c r="E2853" s="330" t="s">
        <v>4634</v>
      </c>
      <c r="F2853" s="331">
        <v>0.21</v>
      </c>
      <c r="G2853" s="332">
        <v>3047</v>
      </c>
      <c r="H2853" s="333">
        <v>3687</v>
      </c>
    </row>
    <row r="2854" spans="1:8">
      <c r="A2854" s="317">
        <v>1605805065</v>
      </c>
      <c r="B2854" s="317" t="s">
        <v>47221</v>
      </c>
      <c r="C2854" s="330" t="s">
        <v>9806</v>
      </c>
      <c r="D2854" s="330" t="s">
        <v>9807</v>
      </c>
      <c r="E2854" s="330" t="s">
        <v>4634</v>
      </c>
      <c r="F2854" s="331">
        <v>0.21</v>
      </c>
      <c r="G2854" s="332">
        <v>4472</v>
      </c>
      <c r="H2854" s="333">
        <v>5412</v>
      </c>
    </row>
    <row r="2855" spans="1:8">
      <c r="A2855" s="317">
        <v>1605805070</v>
      </c>
      <c r="B2855" s="317" t="s">
        <v>47222</v>
      </c>
      <c r="C2855" s="330" t="s">
        <v>9808</v>
      </c>
      <c r="D2855" s="330" t="s">
        <v>9809</v>
      </c>
      <c r="E2855" s="330" t="s">
        <v>4634</v>
      </c>
      <c r="F2855" s="331">
        <v>0.21</v>
      </c>
      <c r="G2855" s="332">
        <v>1070</v>
      </c>
      <c r="H2855" s="333">
        <v>1295</v>
      </c>
    </row>
    <row r="2856" spans="1:8">
      <c r="A2856" s="317">
        <v>1605805079</v>
      </c>
      <c r="B2856" s="317" t="s">
        <v>47223</v>
      </c>
      <c r="C2856" s="330" t="s">
        <v>9810</v>
      </c>
      <c r="D2856" s="330" t="s">
        <v>9811</v>
      </c>
      <c r="E2856" s="330" t="s">
        <v>37248</v>
      </c>
      <c r="F2856" s="331">
        <v>0.21</v>
      </c>
      <c r="G2856" s="332">
        <v>20661</v>
      </c>
      <c r="H2856" s="333">
        <v>25000</v>
      </c>
    </row>
    <row r="2857" spans="1:8">
      <c r="A2857" s="317">
        <v>1605805090</v>
      </c>
      <c r="B2857" s="317" t="s">
        <v>47224</v>
      </c>
      <c r="C2857" s="330" t="s">
        <v>9812</v>
      </c>
      <c r="D2857" s="330" t="s">
        <v>9813</v>
      </c>
      <c r="E2857" s="330" t="s">
        <v>37248</v>
      </c>
      <c r="F2857" s="331">
        <v>0.21</v>
      </c>
      <c r="G2857" s="332">
        <v>12612</v>
      </c>
      <c r="H2857" s="333">
        <v>15261</v>
      </c>
    </row>
    <row r="2858" spans="1:8">
      <c r="A2858" s="317">
        <v>1605805099</v>
      </c>
      <c r="B2858" s="317" t="s">
        <v>47225</v>
      </c>
      <c r="C2858" s="330" t="s">
        <v>9814</v>
      </c>
      <c r="D2858" s="330" t="s">
        <v>9815</v>
      </c>
      <c r="E2858" s="330" t="s">
        <v>4634</v>
      </c>
      <c r="F2858" s="331">
        <v>0.21</v>
      </c>
      <c r="G2858" s="332">
        <v>285</v>
      </c>
      <c r="H2858" s="333">
        <v>345</v>
      </c>
    </row>
    <row r="2859" spans="1:8">
      <c r="A2859" s="317">
        <v>1605805100</v>
      </c>
      <c r="B2859" s="317" t="s">
        <v>47226</v>
      </c>
      <c r="C2859" s="330" t="s">
        <v>9816</v>
      </c>
      <c r="D2859" s="330" t="s">
        <v>9817</v>
      </c>
      <c r="E2859" s="330" t="s">
        <v>4634</v>
      </c>
      <c r="F2859" s="331">
        <v>0.21</v>
      </c>
      <c r="G2859" s="332">
        <v>2683</v>
      </c>
      <c r="H2859" s="333">
        <v>3247</v>
      </c>
    </row>
    <row r="2860" spans="1:8">
      <c r="A2860" s="317">
        <v>1605805105</v>
      </c>
      <c r="B2860" s="317" t="s">
        <v>47227</v>
      </c>
      <c r="C2860" s="330" t="s">
        <v>9818</v>
      </c>
      <c r="D2860" s="330" t="s">
        <v>9819</v>
      </c>
      <c r="E2860" s="330" t="s">
        <v>4634</v>
      </c>
      <c r="F2860" s="331">
        <v>0.21</v>
      </c>
      <c r="G2860" s="332">
        <v>1954</v>
      </c>
      <c r="H2860" s="333">
        <v>2365</v>
      </c>
    </row>
    <row r="2861" spans="1:8">
      <c r="A2861" s="317">
        <v>1605805126</v>
      </c>
      <c r="B2861" s="317" t="s">
        <v>47228</v>
      </c>
      <c r="C2861" s="330" t="s">
        <v>9820</v>
      </c>
      <c r="D2861" s="330" t="s">
        <v>9821</v>
      </c>
      <c r="E2861" s="330" t="s">
        <v>37248</v>
      </c>
      <c r="F2861" s="331">
        <v>0.21</v>
      </c>
      <c r="G2861" s="332">
        <v>7472</v>
      </c>
      <c r="H2861" s="333">
        <v>9042</v>
      </c>
    </row>
    <row r="2862" spans="1:8">
      <c r="A2862" s="317">
        <v>1605805158</v>
      </c>
      <c r="B2862" s="317" t="s">
        <v>47229</v>
      </c>
      <c r="C2862" s="330" t="s">
        <v>9822</v>
      </c>
      <c r="D2862" s="330" t="s">
        <v>9823</v>
      </c>
      <c r="E2862" s="330" t="s">
        <v>37248</v>
      </c>
      <c r="F2862" s="331">
        <v>0.21</v>
      </c>
      <c r="G2862" s="332">
        <v>35609</v>
      </c>
      <c r="H2862" s="333">
        <v>43087</v>
      </c>
    </row>
    <row r="2863" spans="1:8">
      <c r="A2863" s="317">
        <v>1605805159</v>
      </c>
      <c r="B2863" s="317" t="s">
        <v>47230</v>
      </c>
      <c r="C2863" s="330" t="s">
        <v>9824</v>
      </c>
      <c r="D2863" s="330" t="s">
        <v>9823</v>
      </c>
      <c r="E2863" s="330" t="s">
        <v>37248</v>
      </c>
      <c r="F2863" s="331">
        <v>0.21</v>
      </c>
      <c r="G2863" s="332">
        <v>35674</v>
      </c>
      <c r="H2863" s="333">
        <v>43166</v>
      </c>
    </row>
    <row r="2864" spans="1:8">
      <c r="A2864" s="317" t="s">
        <v>38891</v>
      </c>
      <c r="B2864" s="317" t="s">
        <v>47231</v>
      </c>
      <c r="C2864" s="330" t="s">
        <v>9825</v>
      </c>
      <c r="D2864" s="330" t="s">
        <v>9826</v>
      </c>
      <c r="E2864" s="330" t="s">
        <v>37248</v>
      </c>
      <c r="F2864" s="331">
        <v>0.21</v>
      </c>
      <c r="G2864" s="332">
        <v>2884</v>
      </c>
      <c r="H2864" s="333">
        <v>3490</v>
      </c>
    </row>
    <row r="2865" spans="1:8">
      <c r="A2865" s="317" t="s">
        <v>38892</v>
      </c>
      <c r="B2865" s="317" t="s">
        <v>47232</v>
      </c>
      <c r="C2865" s="330" t="s">
        <v>9827</v>
      </c>
      <c r="D2865" s="330" t="s">
        <v>9828</v>
      </c>
      <c r="E2865" s="330" t="s">
        <v>4819</v>
      </c>
      <c r="F2865" s="331">
        <v>0.21</v>
      </c>
      <c r="G2865" s="332">
        <v>6047</v>
      </c>
      <c r="H2865" s="333">
        <v>7317</v>
      </c>
    </row>
    <row r="2866" spans="1:8">
      <c r="A2866" s="317">
        <v>1605805592</v>
      </c>
      <c r="B2866" s="317" t="s">
        <v>47233</v>
      </c>
      <c r="C2866" s="330" t="s">
        <v>9829</v>
      </c>
      <c r="D2866" s="330" t="s">
        <v>9830</v>
      </c>
      <c r="E2866" s="330" t="s">
        <v>4819</v>
      </c>
      <c r="F2866" s="331">
        <v>0.21</v>
      </c>
      <c r="G2866" s="332">
        <v>34955</v>
      </c>
      <c r="H2866" s="333">
        <v>42296</v>
      </c>
    </row>
    <row r="2867" spans="1:8">
      <c r="A2867" s="317">
        <v>1605806202</v>
      </c>
      <c r="B2867" s="317" t="s">
        <v>47234</v>
      </c>
      <c r="C2867" s="330" t="s">
        <v>9831</v>
      </c>
      <c r="D2867" s="330" t="s">
        <v>9832</v>
      </c>
      <c r="E2867" s="330" t="s">
        <v>4634</v>
      </c>
      <c r="F2867" s="331">
        <v>0.21</v>
      </c>
      <c r="G2867" s="332">
        <v>137953</v>
      </c>
      <c r="H2867" s="333">
        <v>166924</v>
      </c>
    </row>
    <row r="2868" spans="1:8">
      <c r="A2868" s="317">
        <v>1605806368</v>
      </c>
      <c r="B2868" s="317" t="s">
        <v>47235</v>
      </c>
      <c r="C2868" s="330" t="s">
        <v>9833</v>
      </c>
      <c r="D2868" s="330" t="s">
        <v>9834</v>
      </c>
      <c r="E2868" s="330" t="s">
        <v>4634</v>
      </c>
      <c r="F2868" s="331">
        <v>0.21</v>
      </c>
      <c r="G2868" s="332">
        <v>21787</v>
      </c>
      <c r="H2868" s="333">
        <v>26363</v>
      </c>
    </row>
    <row r="2869" spans="1:8">
      <c r="A2869" s="317">
        <v>1605806382</v>
      </c>
      <c r="B2869" s="317" t="s">
        <v>47236</v>
      </c>
      <c r="C2869" s="330" t="s">
        <v>9835</v>
      </c>
      <c r="D2869" s="330" t="s">
        <v>9836</v>
      </c>
      <c r="E2869" s="330" t="s">
        <v>4819</v>
      </c>
      <c r="F2869" s="331">
        <v>0.21</v>
      </c>
      <c r="G2869" s="332">
        <v>138581</v>
      </c>
      <c r="H2869" s="333">
        <v>167684</v>
      </c>
    </row>
    <row r="2870" spans="1:8">
      <c r="A2870" s="317">
        <v>1605806396</v>
      </c>
      <c r="B2870" s="317" t="s">
        <v>47237</v>
      </c>
      <c r="C2870" s="330" t="s">
        <v>9837</v>
      </c>
      <c r="D2870" s="330" t="s">
        <v>9838</v>
      </c>
      <c r="E2870" s="330" t="s">
        <v>4634</v>
      </c>
      <c r="F2870" s="331">
        <v>0.21</v>
      </c>
      <c r="G2870" s="332">
        <v>10013</v>
      </c>
      <c r="H2870" s="333">
        <v>12116</v>
      </c>
    </row>
    <row r="2871" spans="1:8">
      <c r="A2871" s="317">
        <v>1605806401</v>
      </c>
      <c r="B2871" s="317" t="s">
        <v>47238</v>
      </c>
      <c r="C2871" s="330" t="s">
        <v>9839</v>
      </c>
      <c r="D2871" s="330" t="s">
        <v>9840</v>
      </c>
      <c r="E2871" s="330" t="s">
        <v>4634</v>
      </c>
      <c r="F2871" s="331">
        <v>0.21</v>
      </c>
      <c r="G2871" s="332">
        <v>2313</v>
      </c>
      <c r="H2871" s="333">
        <v>2799</v>
      </c>
    </row>
    <row r="2872" spans="1:8">
      <c r="A2872" s="317">
        <v>1605806402</v>
      </c>
      <c r="B2872" s="317" t="s">
        <v>47239</v>
      </c>
      <c r="C2872" s="330" t="s">
        <v>9841</v>
      </c>
      <c r="D2872" s="330" t="s">
        <v>9842</v>
      </c>
      <c r="E2872" s="330" t="s">
        <v>4634</v>
      </c>
      <c r="F2872" s="331">
        <v>0.21</v>
      </c>
      <c r="G2872" s="332">
        <v>437</v>
      </c>
      <c r="H2872" s="333">
        <v>529</v>
      </c>
    </row>
    <row r="2873" spans="1:8">
      <c r="A2873" s="317">
        <v>1605806409</v>
      </c>
      <c r="B2873" s="317" t="s">
        <v>47240</v>
      </c>
      <c r="C2873" s="330" t="s">
        <v>9843</v>
      </c>
      <c r="D2873" s="330" t="s">
        <v>9844</v>
      </c>
      <c r="E2873" s="330" t="s">
        <v>4634</v>
      </c>
      <c r="F2873" s="331">
        <v>0.21</v>
      </c>
      <c r="G2873" s="332">
        <v>5652</v>
      </c>
      <c r="H2873" s="333">
        <v>6839</v>
      </c>
    </row>
    <row r="2874" spans="1:8">
      <c r="A2874" s="317">
        <v>1605806429</v>
      </c>
      <c r="B2874" s="317" t="s">
        <v>47241</v>
      </c>
      <c r="C2874" s="330" t="s">
        <v>9845</v>
      </c>
      <c r="D2874" s="330" t="s">
        <v>9846</v>
      </c>
      <c r="E2874" s="330" t="s">
        <v>4634</v>
      </c>
      <c r="F2874" s="331">
        <v>0.21</v>
      </c>
      <c r="G2874" s="332">
        <v>9393</v>
      </c>
      <c r="H2874" s="333">
        <v>11366</v>
      </c>
    </row>
    <row r="2875" spans="1:8">
      <c r="A2875" s="317">
        <v>1605806437</v>
      </c>
      <c r="B2875" s="317" t="s">
        <v>47242</v>
      </c>
      <c r="C2875" s="330" t="s">
        <v>9847</v>
      </c>
      <c r="D2875" s="330" t="s">
        <v>9848</v>
      </c>
      <c r="E2875" s="330" t="s">
        <v>4634</v>
      </c>
      <c r="F2875" s="331">
        <v>0.21</v>
      </c>
      <c r="G2875" s="332">
        <v>4592</v>
      </c>
      <c r="H2875" s="333">
        <v>5557</v>
      </c>
    </row>
    <row r="2876" spans="1:8">
      <c r="A2876" s="317">
        <v>1605806450</v>
      </c>
      <c r="B2876" s="317" t="s">
        <v>47243</v>
      </c>
      <c r="C2876" s="330" t="s">
        <v>9849</v>
      </c>
      <c r="D2876" s="330" t="s">
        <v>9850</v>
      </c>
      <c r="E2876" s="330" t="s">
        <v>4634</v>
      </c>
      <c r="F2876" s="331">
        <v>0.21</v>
      </c>
      <c r="G2876" s="332">
        <v>1568</v>
      </c>
      <c r="H2876" s="333">
        <v>1898</v>
      </c>
    </row>
    <row r="2877" spans="1:8">
      <c r="A2877" s="317">
        <v>1605806451</v>
      </c>
      <c r="B2877" s="317" t="s">
        <v>47244</v>
      </c>
      <c r="C2877" s="330" t="s">
        <v>9851</v>
      </c>
      <c r="D2877" s="330" t="s">
        <v>9852</v>
      </c>
      <c r="E2877" s="330" t="s">
        <v>4819</v>
      </c>
      <c r="F2877" s="331">
        <v>0.21</v>
      </c>
      <c r="G2877" s="332">
        <v>52788</v>
      </c>
      <c r="H2877" s="333">
        <v>63874</v>
      </c>
    </row>
    <row r="2878" spans="1:8">
      <c r="A2878" s="317">
        <v>1605806465</v>
      </c>
      <c r="B2878" s="317" t="s">
        <v>47245</v>
      </c>
      <c r="C2878" s="330" t="s">
        <v>9853</v>
      </c>
      <c r="D2878" s="330" t="s">
        <v>9854</v>
      </c>
      <c r="E2878" s="330" t="s">
        <v>4634</v>
      </c>
      <c r="F2878" s="331">
        <v>0.21</v>
      </c>
      <c r="G2878" s="332">
        <v>10339</v>
      </c>
      <c r="H2878" s="333">
        <v>12511</v>
      </c>
    </row>
    <row r="2879" spans="1:8">
      <c r="A2879" s="317">
        <v>1605806466</v>
      </c>
      <c r="B2879" s="317" t="s">
        <v>47246</v>
      </c>
      <c r="C2879" s="330" t="s">
        <v>9855</v>
      </c>
      <c r="D2879" s="330" t="s">
        <v>9856</v>
      </c>
      <c r="E2879" s="330" t="s">
        <v>37248</v>
      </c>
      <c r="F2879" s="331">
        <v>0.21</v>
      </c>
      <c r="G2879" s="332">
        <v>35172</v>
      </c>
      <c r="H2879" s="333">
        <v>42559</v>
      </c>
    </row>
    <row r="2880" spans="1:8">
      <c r="A2880" s="317">
        <v>1605806473</v>
      </c>
      <c r="B2880" s="317" t="s">
        <v>47247</v>
      </c>
      <c r="C2880" s="330" t="s">
        <v>9857</v>
      </c>
      <c r="D2880" s="330" t="s">
        <v>9858</v>
      </c>
      <c r="E2880" s="330" t="s">
        <v>4634</v>
      </c>
      <c r="F2880" s="331">
        <v>0.21</v>
      </c>
      <c r="G2880" s="332">
        <v>3558</v>
      </c>
      <c r="H2880" s="333">
        <v>4306</v>
      </c>
    </row>
    <row r="2881" spans="1:8">
      <c r="A2881" s="317">
        <v>1605806509</v>
      </c>
      <c r="B2881" s="317" t="s">
        <v>47248</v>
      </c>
      <c r="C2881" s="330" t="s">
        <v>9859</v>
      </c>
      <c r="D2881" s="330" t="s">
        <v>9860</v>
      </c>
      <c r="E2881" s="330" t="s">
        <v>4634</v>
      </c>
      <c r="F2881" s="331">
        <v>0.21</v>
      </c>
      <c r="G2881" s="332">
        <v>5137</v>
      </c>
      <c r="H2881" s="333">
        <v>6216</v>
      </c>
    </row>
    <row r="2882" spans="1:8">
      <c r="A2882" s="317">
        <v>1605806510</v>
      </c>
      <c r="B2882" s="317" t="s">
        <v>47249</v>
      </c>
      <c r="C2882" s="330" t="s">
        <v>9861</v>
      </c>
      <c r="D2882" s="330" t="s">
        <v>9862</v>
      </c>
      <c r="E2882" s="330" t="s">
        <v>4634</v>
      </c>
      <c r="F2882" s="331">
        <v>0.21</v>
      </c>
      <c r="G2882" s="332">
        <v>8151</v>
      </c>
      <c r="H2882" s="333">
        <v>9863</v>
      </c>
    </row>
    <row r="2883" spans="1:8">
      <c r="A2883" s="317">
        <v>1605806515</v>
      </c>
      <c r="B2883" s="317" t="s">
        <v>47250</v>
      </c>
      <c r="C2883" s="330" t="s">
        <v>9863</v>
      </c>
      <c r="D2883" s="330" t="s">
        <v>9864</v>
      </c>
      <c r="E2883" s="330" t="s">
        <v>4634</v>
      </c>
      <c r="F2883" s="331">
        <v>0.21</v>
      </c>
      <c r="G2883" s="332">
        <v>11055</v>
      </c>
      <c r="H2883" s="333">
        <v>13377</v>
      </c>
    </row>
    <row r="2884" spans="1:8">
      <c r="A2884" s="317">
        <v>1605806518</v>
      </c>
      <c r="B2884" s="317" t="s">
        <v>47251</v>
      </c>
      <c r="C2884" s="330" t="s">
        <v>9865</v>
      </c>
      <c r="D2884" s="330" t="s">
        <v>9866</v>
      </c>
      <c r="E2884" s="330" t="s">
        <v>4634</v>
      </c>
      <c r="F2884" s="331">
        <v>0.21</v>
      </c>
      <c r="G2884" s="332">
        <v>18301</v>
      </c>
      <c r="H2884" s="333">
        <v>22145</v>
      </c>
    </row>
    <row r="2885" spans="1:8">
      <c r="A2885" s="317">
        <v>1605806525</v>
      </c>
      <c r="B2885" s="317" t="s">
        <v>47252</v>
      </c>
      <c r="C2885" s="330" t="s">
        <v>9867</v>
      </c>
      <c r="D2885" s="330" t="s">
        <v>9868</v>
      </c>
      <c r="E2885" s="330" t="s">
        <v>4634</v>
      </c>
      <c r="F2885" s="331">
        <v>0.21</v>
      </c>
      <c r="G2885" s="332">
        <v>10885</v>
      </c>
      <c r="H2885" s="333">
        <v>13171</v>
      </c>
    </row>
    <row r="2886" spans="1:8">
      <c r="A2886" s="317">
        <v>1605806533</v>
      </c>
      <c r="B2886" s="317" t="s">
        <v>47253</v>
      </c>
      <c r="C2886" s="330" t="s">
        <v>9869</v>
      </c>
      <c r="D2886" s="330" t="s">
        <v>9870</v>
      </c>
      <c r="E2886" s="330" t="s">
        <v>37248</v>
      </c>
      <c r="F2886" s="331">
        <v>0.21</v>
      </c>
      <c r="G2886" s="332">
        <v>31826</v>
      </c>
      <c r="H2886" s="333">
        <v>38510</v>
      </c>
    </row>
    <row r="2887" spans="1:8">
      <c r="A2887" s="317" t="s">
        <v>38893</v>
      </c>
      <c r="B2887" s="317" t="s">
        <v>47254</v>
      </c>
      <c r="C2887" s="330" t="s">
        <v>9871</v>
      </c>
      <c r="D2887" s="330" t="s">
        <v>9487</v>
      </c>
      <c r="E2887" s="330" t="s">
        <v>4819</v>
      </c>
      <c r="F2887" s="331">
        <v>0.21</v>
      </c>
      <c r="G2887" s="332">
        <v>32838</v>
      </c>
      <c r="H2887" s="333">
        <v>39734</v>
      </c>
    </row>
    <row r="2888" spans="1:8">
      <c r="A2888" s="317" t="s">
        <v>38894</v>
      </c>
      <c r="B2888" s="317" t="s">
        <v>47255</v>
      </c>
      <c r="C2888" s="330" t="s">
        <v>9872</v>
      </c>
      <c r="D2888" s="330" t="s">
        <v>9873</v>
      </c>
      <c r="E2888" s="330" t="s">
        <v>37248</v>
      </c>
      <c r="F2888" s="331">
        <v>0.21</v>
      </c>
      <c r="G2888" s="332">
        <v>24509</v>
      </c>
      <c r="H2888" s="333">
        <v>29656</v>
      </c>
    </row>
    <row r="2889" spans="1:8">
      <c r="A2889" s="317" t="s">
        <v>38895</v>
      </c>
      <c r="B2889" s="317" t="s">
        <v>47256</v>
      </c>
      <c r="C2889" s="330" t="s">
        <v>9874</v>
      </c>
      <c r="D2889" s="330" t="s">
        <v>9875</v>
      </c>
      <c r="E2889" s="330" t="s">
        <v>4819</v>
      </c>
      <c r="F2889" s="331">
        <v>0.21</v>
      </c>
      <c r="G2889" s="332">
        <v>9509</v>
      </c>
      <c r="H2889" s="333">
        <v>11506</v>
      </c>
    </row>
    <row r="2890" spans="1:8">
      <c r="A2890" s="317" t="s">
        <v>38896</v>
      </c>
      <c r="B2890" s="317" t="s">
        <v>47257</v>
      </c>
      <c r="C2890" s="330" t="s">
        <v>9876</v>
      </c>
      <c r="D2890" s="330" t="s">
        <v>7267</v>
      </c>
      <c r="E2890" s="330" t="s">
        <v>37248</v>
      </c>
      <c r="F2890" s="331">
        <v>0.21</v>
      </c>
      <c r="G2890" s="332">
        <v>2823</v>
      </c>
      <c r="H2890" s="333">
        <v>3416</v>
      </c>
    </row>
    <row r="2891" spans="1:8">
      <c r="A2891" s="317" t="s">
        <v>38897</v>
      </c>
      <c r="B2891" s="317" t="s">
        <v>47258</v>
      </c>
      <c r="C2891" s="330" t="s">
        <v>9877</v>
      </c>
      <c r="D2891" s="330" t="s">
        <v>9878</v>
      </c>
      <c r="E2891" s="330" t="s">
        <v>4819</v>
      </c>
      <c r="F2891" s="331">
        <v>0.21</v>
      </c>
      <c r="G2891" s="332">
        <v>20946</v>
      </c>
      <c r="H2891" s="333">
        <v>25345</v>
      </c>
    </row>
    <row r="2892" spans="1:8">
      <c r="A2892" s="317" t="s">
        <v>38898</v>
      </c>
      <c r="B2892" s="317" t="s">
        <v>47259</v>
      </c>
      <c r="C2892" s="330" t="s">
        <v>9879</v>
      </c>
      <c r="D2892" s="330" t="s">
        <v>9880</v>
      </c>
      <c r="E2892" s="330" t="s">
        <v>4819</v>
      </c>
      <c r="F2892" s="331">
        <v>0.21</v>
      </c>
      <c r="G2892" s="332">
        <v>21495</v>
      </c>
      <c r="H2892" s="333">
        <v>26009</v>
      </c>
    </row>
    <row r="2893" spans="1:8">
      <c r="A2893" s="317" t="s">
        <v>38899</v>
      </c>
      <c r="B2893" s="317" t="s">
        <v>47260</v>
      </c>
      <c r="C2893" s="330" t="s">
        <v>9881</v>
      </c>
      <c r="D2893" s="330" t="s">
        <v>9882</v>
      </c>
      <c r="E2893" s="330" t="s">
        <v>37248</v>
      </c>
      <c r="F2893" s="331">
        <v>0.21</v>
      </c>
      <c r="G2893" s="332">
        <v>22258</v>
      </c>
      <c r="H2893" s="333">
        <v>26933</v>
      </c>
    </row>
    <row r="2894" spans="1:8">
      <c r="A2894" s="317" t="s">
        <v>38900</v>
      </c>
      <c r="B2894" s="317" t="s">
        <v>47261</v>
      </c>
      <c r="C2894" s="330" t="s">
        <v>9883</v>
      </c>
      <c r="D2894" s="330" t="s">
        <v>9884</v>
      </c>
      <c r="E2894" s="330" t="s">
        <v>4819</v>
      </c>
      <c r="F2894" s="331">
        <v>0.21</v>
      </c>
      <c r="G2894" s="332">
        <v>11198</v>
      </c>
      <c r="H2894" s="333">
        <v>13550</v>
      </c>
    </row>
    <row r="2895" spans="1:8">
      <c r="A2895" s="317" t="s">
        <v>38901</v>
      </c>
      <c r="B2895" s="317" t="s">
        <v>47262</v>
      </c>
      <c r="C2895" s="330" t="s">
        <v>9885</v>
      </c>
      <c r="D2895" s="330" t="s">
        <v>9886</v>
      </c>
      <c r="E2895" s="330" t="s">
        <v>37248</v>
      </c>
      <c r="F2895" s="331">
        <v>0.21</v>
      </c>
      <c r="G2895" s="332">
        <v>5661</v>
      </c>
      <c r="H2895" s="333">
        <v>6850</v>
      </c>
    </row>
    <row r="2896" spans="1:8">
      <c r="A2896" s="317" t="s">
        <v>38902</v>
      </c>
      <c r="B2896" s="317" t="s">
        <v>47263</v>
      </c>
      <c r="C2896" s="330" t="s">
        <v>9887</v>
      </c>
      <c r="D2896" s="330" t="s">
        <v>7267</v>
      </c>
      <c r="E2896" s="330" t="s">
        <v>37248</v>
      </c>
      <c r="F2896" s="331">
        <v>0.21</v>
      </c>
      <c r="G2896" s="332">
        <v>6989</v>
      </c>
      <c r="H2896" s="333">
        <v>8457</v>
      </c>
    </row>
    <row r="2897" spans="1:8">
      <c r="A2897" s="317" t="s">
        <v>38903</v>
      </c>
      <c r="B2897" s="317" t="s">
        <v>47264</v>
      </c>
      <c r="C2897" s="330" t="s">
        <v>9888</v>
      </c>
      <c r="D2897" s="330" t="s">
        <v>7369</v>
      </c>
      <c r="E2897" s="330" t="s">
        <v>37248</v>
      </c>
      <c r="F2897" s="331">
        <v>0.21</v>
      </c>
      <c r="G2897" s="332">
        <v>7002</v>
      </c>
      <c r="H2897" s="333">
        <v>8473</v>
      </c>
    </row>
    <row r="2898" spans="1:8">
      <c r="A2898" s="317" t="s">
        <v>38904</v>
      </c>
      <c r="B2898" s="317" t="s">
        <v>47265</v>
      </c>
      <c r="C2898" s="330" t="s">
        <v>9889</v>
      </c>
      <c r="D2898" s="330" t="s">
        <v>7267</v>
      </c>
      <c r="E2898" s="330" t="s">
        <v>4819</v>
      </c>
      <c r="F2898" s="331">
        <v>0.21</v>
      </c>
      <c r="G2898" s="332">
        <v>6884</v>
      </c>
      <c r="H2898" s="333">
        <v>8330</v>
      </c>
    </row>
    <row r="2899" spans="1:8">
      <c r="A2899" s="317" t="s">
        <v>38905</v>
      </c>
      <c r="B2899" s="317" t="s">
        <v>47266</v>
      </c>
      <c r="C2899" s="330" t="s">
        <v>9890</v>
      </c>
      <c r="D2899" s="330" t="s">
        <v>7267</v>
      </c>
      <c r="E2899" s="330" t="s">
        <v>37248</v>
      </c>
      <c r="F2899" s="331">
        <v>0.21</v>
      </c>
      <c r="G2899" s="332">
        <v>5242</v>
      </c>
      <c r="H2899" s="333">
        <v>6343</v>
      </c>
    </row>
    <row r="2900" spans="1:8">
      <c r="A2900" s="317" t="s">
        <v>38906</v>
      </c>
      <c r="B2900" s="317" t="s">
        <v>47267</v>
      </c>
      <c r="C2900" s="330" t="s">
        <v>9891</v>
      </c>
      <c r="D2900" s="330" t="s">
        <v>9892</v>
      </c>
      <c r="E2900" s="330" t="s">
        <v>37248</v>
      </c>
      <c r="F2900" s="331">
        <v>0.21</v>
      </c>
      <c r="G2900" s="332">
        <v>65343</v>
      </c>
      <c r="H2900" s="333">
        <v>79066</v>
      </c>
    </row>
    <row r="2901" spans="1:8">
      <c r="A2901" s="317" t="s">
        <v>38907</v>
      </c>
      <c r="B2901" s="317" t="s">
        <v>47268</v>
      </c>
      <c r="C2901" s="330" t="s">
        <v>9893</v>
      </c>
      <c r="D2901" s="330" t="s">
        <v>9894</v>
      </c>
      <c r="E2901" s="330" t="s">
        <v>37248</v>
      </c>
      <c r="F2901" s="331">
        <v>0.21</v>
      </c>
      <c r="G2901" s="332">
        <v>26307</v>
      </c>
      <c r="H2901" s="333">
        <v>31832</v>
      </c>
    </row>
    <row r="2902" spans="1:8">
      <c r="A2902" s="317" t="s">
        <v>38908</v>
      </c>
      <c r="B2902" s="317" t="s">
        <v>47269</v>
      </c>
      <c r="C2902" s="330" t="s">
        <v>9895</v>
      </c>
      <c r="D2902" s="330" t="s">
        <v>9896</v>
      </c>
      <c r="E2902" s="330" t="s">
        <v>37248</v>
      </c>
      <c r="F2902" s="331">
        <v>0.21</v>
      </c>
      <c r="G2902" s="332">
        <v>19086</v>
      </c>
      <c r="H2902" s="333">
        <v>23095</v>
      </c>
    </row>
    <row r="2903" spans="1:8">
      <c r="A2903" s="317" t="s">
        <v>38909</v>
      </c>
      <c r="B2903" s="317" t="s">
        <v>47270</v>
      </c>
      <c r="C2903" s="330" t="s">
        <v>9897</v>
      </c>
      <c r="D2903" s="330" t="s">
        <v>9898</v>
      </c>
      <c r="E2903" s="330" t="s">
        <v>37248</v>
      </c>
      <c r="F2903" s="331">
        <v>0.21</v>
      </c>
      <c r="G2903" s="332">
        <v>16748</v>
      </c>
      <c r="H2903" s="333">
        <v>20266</v>
      </c>
    </row>
    <row r="2904" spans="1:8">
      <c r="A2904" s="317" t="s">
        <v>38910</v>
      </c>
      <c r="B2904" s="317" t="s">
        <v>47271</v>
      </c>
      <c r="C2904" s="330" t="s">
        <v>9899</v>
      </c>
      <c r="D2904" s="330" t="s">
        <v>9900</v>
      </c>
      <c r="E2904" s="330" t="s">
        <v>37248</v>
      </c>
      <c r="F2904" s="331">
        <v>0.21</v>
      </c>
      <c r="G2904" s="332">
        <v>24558</v>
      </c>
      <c r="H2904" s="333">
        <v>29716</v>
      </c>
    </row>
    <row r="2905" spans="1:8">
      <c r="A2905" s="317" t="s">
        <v>38911</v>
      </c>
      <c r="B2905" s="317" t="s">
        <v>47272</v>
      </c>
      <c r="C2905" s="330" t="s">
        <v>9901</v>
      </c>
      <c r="D2905" s="330" t="s">
        <v>5392</v>
      </c>
      <c r="E2905" s="330" t="s">
        <v>37248</v>
      </c>
      <c r="F2905" s="331">
        <v>0.21</v>
      </c>
      <c r="G2905" s="332">
        <v>20010</v>
      </c>
      <c r="H2905" s="333">
        <v>24213</v>
      </c>
    </row>
    <row r="2906" spans="1:8">
      <c r="A2906" s="317" t="s">
        <v>38912</v>
      </c>
      <c r="B2906" s="317" t="s">
        <v>47273</v>
      </c>
      <c r="C2906" s="330" t="s">
        <v>9902</v>
      </c>
      <c r="D2906" s="330" t="s">
        <v>7369</v>
      </c>
      <c r="E2906" s="330" t="s">
        <v>37248</v>
      </c>
      <c r="F2906" s="331">
        <v>0.21</v>
      </c>
      <c r="G2906" s="332">
        <v>11359</v>
      </c>
      <c r="H2906" s="333">
        <v>13745</v>
      </c>
    </row>
    <row r="2907" spans="1:8">
      <c r="A2907" s="317" t="s">
        <v>38913</v>
      </c>
      <c r="B2907" s="317" t="s">
        <v>47274</v>
      </c>
      <c r="C2907" s="330" t="s">
        <v>9903</v>
      </c>
      <c r="D2907" s="330" t="s">
        <v>5822</v>
      </c>
      <c r="E2907" s="330" t="s">
        <v>37248</v>
      </c>
      <c r="F2907" s="331">
        <v>0.21</v>
      </c>
      <c r="G2907" s="332">
        <v>2429</v>
      </c>
      <c r="H2907" s="333">
        <v>2940</v>
      </c>
    </row>
    <row r="2908" spans="1:8">
      <c r="A2908" s="317" t="s">
        <v>38914</v>
      </c>
      <c r="B2908" s="317" t="s">
        <v>47275</v>
      </c>
      <c r="C2908" s="330" t="s">
        <v>9904</v>
      </c>
      <c r="D2908" s="330" t="s">
        <v>9905</v>
      </c>
      <c r="E2908" s="330" t="s">
        <v>37248</v>
      </c>
      <c r="F2908" s="331">
        <v>0.21</v>
      </c>
      <c r="G2908" s="332">
        <v>47541</v>
      </c>
      <c r="H2908" s="333">
        <v>57525</v>
      </c>
    </row>
    <row r="2909" spans="1:8">
      <c r="A2909" s="317" t="s">
        <v>38915</v>
      </c>
      <c r="B2909" s="317" t="s">
        <v>47276</v>
      </c>
      <c r="C2909" s="330" t="s">
        <v>38916</v>
      </c>
      <c r="D2909" s="330" t="s">
        <v>9906</v>
      </c>
      <c r="E2909" s="330" t="s">
        <v>37248</v>
      </c>
      <c r="F2909" s="335">
        <v>0.21</v>
      </c>
      <c r="G2909" s="336">
        <v>807</v>
      </c>
      <c r="H2909" s="333">
        <v>977</v>
      </c>
    </row>
    <row r="2910" spans="1:8">
      <c r="A2910" s="317" t="s">
        <v>38917</v>
      </c>
      <c r="B2910" s="317" t="s">
        <v>47277</v>
      </c>
      <c r="C2910" s="330" t="s">
        <v>9907</v>
      </c>
      <c r="D2910" s="330" t="s">
        <v>7267</v>
      </c>
      <c r="E2910" s="330" t="s">
        <v>37248</v>
      </c>
      <c r="F2910" s="331">
        <v>0.21</v>
      </c>
      <c r="G2910" s="332">
        <v>4131</v>
      </c>
      <c r="H2910" s="333">
        <v>4999</v>
      </c>
    </row>
    <row r="2911" spans="1:8">
      <c r="A2911" s="317">
        <v>1605806606</v>
      </c>
      <c r="B2911" s="317" t="s">
        <v>47278</v>
      </c>
      <c r="C2911" s="330" t="s">
        <v>9908</v>
      </c>
      <c r="D2911" s="330" t="s">
        <v>7795</v>
      </c>
      <c r="E2911" s="330" t="s">
        <v>37248</v>
      </c>
      <c r="F2911" s="331">
        <v>0.21</v>
      </c>
      <c r="G2911" s="332">
        <v>1360</v>
      </c>
      <c r="H2911" s="333">
        <v>1646</v>
      </c>
    </row>
    <row r="2912" spans="1:8">
      <c r="A2912" s="317" t="s">
        <v>38918</v>
      </c>
      <c r="B2912" s="317" t="s">
        <v>47279</v>
      </c>
      <c r="C2912" s="330" t="s">
        <v>9909</v>
      </c>
      <c r="D2912" s="330" t="s">
        <v>7416</v>
      </c>
      <c r="E2912" s="330" t="s">
        <v>37248</v>
      </c>
      <c r="F2912" s="331">
        <v>0.21</v>
      </c>
      <c r="G2912" s="332">
        <v>1360</v>
      </c>
      <c r="H2912" s="333">
        <v>1646</v>
      </c>
    </row>
    <row r="2913" spans="1:8">
      <c r="A2913" s="317" t="s">
        <v>38919</v>
      </c>
      <c r="B2913" s="317" t="s">
        <v>47280</v>
      </c>
      <c r="C2913" s="330" t="s">
        <v>9910</v>
      </c>
      <c r="D2913" s="330" t="s">
        <v>9911</v>
      </c>
      <c r="E2913" s="330" t="s">
        <v>37248</v>
      </c>
      <c r="F2913" s="331">
        <v>0.21</v>
      </c>
      <c r="G2913" s="332">
        <v>4854</v>
      </c>
      <c r="H2913" s="333">
        <v>5874</v>
      </c>
    </row>
    <row r="2914" spans="1:8">
      <c r="A2914" s="317" t="s">
        <v>38920</v>
      </c>
      <c r="B2914" s="317" t="s">
        <v>47281</v>
      </c>
      <c r="C2914" s="330" t="s">
        <v>9912</v>
      </c>
      <c r="D2914" s="330" t="s">
        <v>9913</v>
      </c>
      <c r="E2914" s="330" t="s">
        <v>37248</v>
      </c>
      <c r="F2914" s="331">
        <v>0.21</v>
      </c>
      <c r="G2914" s="332">
        <v>3067</v>
      </c>
      <c r="H2914" s="333">
        <v>3712</v>
      </c>
    </row>
    <row r="2915" spans="1:8">
      <c r="A2915" s="317" t="s">
        <v>38921</v>
      </c>
      <c r="B2915" s="317" t="s">
        <v>47282</v>
      </c>
      <c r="C2915" s="330" t="s">
        <v>9914</v>
      </c>
      <c r="D2915" s="330" t="s">
        <v>7369</v>
      </c>
      <c r="E2915" s="330" t="s">
        <v>37248</v>
      </c>
      <c r="F2915" s="331">
        <v>0.21</v>
      </c>
      <c r="G2915" s="332">
        <v>1740</v>
      </c>
      <c r="H2915" s="333">
        <v>2106</v>
      </c>
    </row>
    <row r="2916" spans="1:8">
      <c r="A2916" s="317" t="s">
        <v>38922</v>
      </c>
      <c r="B2916" s="317" t="s">
        <v>47283</v>
      </c>
      <c r="C2916" s="330" t="s">
        <v>9915</v>
      </c>
      <c r="D2916" s="330" t="s">
        <v>9598</v>
      </c>
      <c r="E2916" s="330" t="s">
        <v>37248</v>
      </c>
      <c r="F2916" s="331">
        <v>0.21</v>
      </c>
      <c r="G2916" s="332">
        <v>10953</v>
      </c>
      <c r="H2916" s="333">
        <v>13254</v>
      </c>
    </row>
    <row r="2917" spans="1:8">
      <c r="A2917" s="317" t="s">
        <v>38923</v>
      </c>
      <c r="B2917" s="317" t="s">
        <v>47284</v>
      </c>
      <c r="C2917" s="330" t="s">
        <v>9916</v>
      </c>
      <c r="D2917" s="330" t="s">
        <v>9505</v>
      </c>
      <c r="E2917" s="330" t="s">
        <v>37248</v>
      </c>
      <c r="F2917" s="331">
        <v>0.21</v>
      </c>
      <c r="G2917" s="332">
        <v>5862</v>
      </c>
      <c r="H2917" s="333">
        <v>7094</v>
      </c>
    </row>
    <row r="2918" spans="1:8">
      <c r="A2918" s="317" t="s">
        <v>38924</v>
      </c>
      <c r="B2918" s="317" t="s">
        <v>47285</v>
      </c>
      <c r="C2918" s="330" t="s">
        <v>9917</v>
      </c>
      <c r="D2918" s="330" t="s">
        <v>9896</v>
      </c>
      <c r="E2918" s="330" t="s">
        <v>37248</v>
      </c>
      <c r="F2918" s="331">
        <v>0.21</v>
      </c>
      <c r="G2918" s="332">
        <v>19086</v>
      </c>
      <c r="H2918" s="333">
        <v>23095</v>
      </c>
    </row>
    <row r="2919" spans="1:8">
      <c r="A2919" s="317">
        <v>1605807011</v>
      </c>
      <c r="B2919" s="317" t="s">
        <v>47286</v>
      </c>
      <c r="C2919" s="330" t="s">
        <v>9918</v>
      </c>
      <c r="D2919" s="330" t="s">
        <v>9919</v>
      </c>
      <c r="E2919" s="330" t="s">
        <v>4634</v>
      </c>
      <c r="F2919" s="331">
        <v>0.21</v>
      </c>
      <c r="G2919" s="332">
        <v>992</v>
      </c>
      <c r="H2919" s="333">
        <v>1201</v>
      </c>
    </row>
    <row r="2920" spans="1:8">
      <c r="A2920" s="317">
        <v>1605807012</v>
      </c>
      <c r="B2920" s="317" t="s">
        <v>47287</v>
      </c>
      <c r="C2920" s="330" t="s">
        <v>9920</v>
      </c>
      <c r="D2920" s="330" t="s">
        <v>9921</v>
      </c>
      <c r="E2920" s="330" t="s">
        <v>4634</v>
      </c>
      <c r="F2920" s="331">
        <v>0.21</v>
      </c>
      <c r="G2920" s="332">
        <v>437</v>
      </c>
      <c r="H2920" s="333">
        <v>529</v>
      </c>
    </row>
    <row r="2921" spans="1:8">
      <c r="A2921" s="317">
        <v>1605807013</v>
      </c>
      <c r="B2921" s="317" t="s">
        <v>47288</v>
      </c>
      <c r="C2921" s="330" t="s">
        <v>9922</v>
      </c>
      <c r="D2921" s="330" t="s">
        <v>9923</v>
      </c>
      <c r="E2921" s="330" t="s">
        <v>4819</v>
      </c>
      <c r="F2921" s="331">
        <v>0.21</v>
      </c>
      <c r="G2921" s="332">
        <v>10596</v>
      </c>
      <c r="H2921" s="333">
        <v>12822</v>
      </c>
    </row>
    <row r="2922" spans="1:8">
      <c r="A2922" s="317">
        <v>1605808054</v>
      </c>
      <c r="B2922" s="317" t="s">
        <v>47289</v>
      </c>
      <c r="C2922" s="330" t="s">
        <v>9924</v>
      </c>
      <c r="D2922" s="330" t="s">
        <v>9925</v>
      </c>
      <c r="E2922" s="330" t="s">
        <v>4634</v>
      </c>
      <c r="F2922" s="331">
        <v>0.21</v>
      </c>
      <c r="G2922" s="332">
        <v>903</v>
      </c>
      <c r="H2922" s="333">
        <v>1093</v>
      </c>
    </row>
    <row r="2923" spans="1:8">
      <c r="A2923" s="317">
        <v>1605808059</v>
      </c>
      <c r="B2923" s="317" t="s">
        <v>47290</v>
      </c>
      <c r="C2923" s="330" t="s">
        <v>9926</v>
      </c>
      <c r="D2923" s="330" t="s">
        <v>9927</v>
      </c>
      <c r="E2923" s="330" t="s">
        <v>4634</v>
      </c>
      <c r="F2923" s="331">
        <v>0.21</v>
      </c>
      <c r="G2923" s="332">
        <v>3283</v>
      </c>
      <c r="H2923" s="333">
        <v>3973</v>
      </c>
    </row>
    <row r="2924" spans="1:8">
      <c r="A2924" s="317" t="s">
        <v>38925</v>
      </c>
      <c r="B2924" s="317" t="s">
        <v>47291</v>
      </c>
      <c r="C2924" s="330" t="s">
        <v>9928</v>
      </c>
      <c r="D2924" s="330" t="s">
        <v>9929</v>
      </c>
      <c r="E2924" s="330" t="s">
        <v>37248</v>
      </c>
      <c r="F2924" s="331">
        <v>0.21</v>
      </c>
      <c r="G2924" s="332">
        <v>5737</v>
      </c>
      <c r="H2924" s="333">
        <v>6942</v>
      </c>
    </row>
    <row r="2925" spans="1:8">
      <c r="A2925" s="317" t="s">
        <v>38926</v>
      </c>
      <c r="B2925" s="317" t="s">
        <v>47292</v>
      </c>
      <c r="C2925" s="330" t="s">
        <v>9930</v>
      </c>
      <c r="D2925" s="330" t="s">
        <v>9931</v>
      </c>
      <c r="E2925" s="330" t="s">
        <v>37248</v>
      </c>
      <c r="F2925" s="331">
        <v>0.21</v>
      </c>
      <c r="G2925" s="332">
        <v>5242</v>
      </c>
      <c r="H2925" s="333">
        <v>6343</v>
      </c>
    </row>
    <row r="2926" spans="1:8">
      <c r="A2926" s="317" t="s">
        <v>38927</v>
      </c>
      <c r="B2926" s="317" t="s">
        <v>47293</v>
      </c>
      <c r="C2926" s="330" t="s">
        <v>9932</v>
      </c>
      <c r="D2926" s="330" t="s">
        <v>9933</v>
      </c>
      <c r="E2926" s="330" t="s">
        <v>37248</v>
      </c>
      <c r="F2926" s="331">
        <v>0.21</v>
      </c>
      <c r="G2926" s="332">
        <v>25027</v>
      </c>
      <c r="H2926" s="333">
        <v>30283</v>
      </c>
    </row>
    <row r="2927" spans="1:8">
      <c r="A2927" s="317" t="s">
        <v>38928</v>
      </c>
      <c r="B2927" s="317" t="s">
        <v>47294</v>
      </c>
      <c r="C2927" s="330" t="s">
        <v>9934</v>
      </c>
      <c r="D2927" s="330" t="s">
        <v>9935</v>
      </c>
      <c r="E2927" s="330" t="s">
        <v>4819</v>
      </c>
      <c r="F2927" s="331">
        <v>0.21</v>
      </c>
      <c r="G2927" s="332">
        <v>12302</v>
      </c>
      <c r="H2927" s="333">
        <v>14886</v>
      </c>
    </row>
    <row r="2928" spans="1:8">
      <c r="A2928" s="317" t="s">
        <v>38929</v>
      </c>
      <c r="B2928" s="317" t="s">
        <v>47295</v>
      </c>
      <c r="C2928" s="330" t="s">
        <v>9936</v>
      </c>
      <c r="D2928" s="330" t="s">
        <v>9937</v>
      </c>
      <c r="E2928" s="330" t="s">
        <v>37248</v>
      </c>
      <c r="F2928" s="331">
        <v>0.21</v>
      </c>
      <c r="G2928" s="332">
        <v>4060</v>
      </c>
      <c r="H2928" s="333">
        <v>4913</v>
      </c>
    </row>
    <row r="2929" spans="1:8">
      <c r="A2929" s="317" t="s">
        <v>38930</v>
      </c>
      <c r="B2929" s="317" t="s">
        <v>47296</v>
      </c>
      <c r="C2929" s="330" t="s">
        <v>9938</v>
      </c>
      <c r="D2929" s="330" t="s">
        <v>9939</v>
      </c>
      <c r="E2929" s="330" t="s">
        <v>37248</v>
      </c>
      <c r="F2929" s="331">
        <v>0.21</v>
      </c>
      <c r="G2929" s="332">
        <v>1173</v>
      </c>
      <c r="H2929" s="333">
        <v>1420</v>
      </c>
    </row>
    <row r="2930" spans="1:8">
      <c r="A2930" s="317" t="s">
        <v>38931</v>
      </c>
      <c r="B2930" s="317" t="s">
        <v>47297</v>
      </c>
      <c r="C2930" s="330" t="s">
        <v>9940</v>
      </c>
      <c r="D2930" s="330" t="s">
        <v>7803</v>
      </c>
      <c r="E2930" s="330" t="s">
        <v>37248</v>
      </c>
      <c r="F2930" s="331">
        <v>0.21</v>
      </c>
      <c r="G2930" s="332">
        <v>5295</v>
      </c>
      <c r="H2930" s="333">
        <v>6407</v>
      </c>
    </row>
    <row r="2931" spans="1:8">
      <c r="A2931" s="317" t="s">
        <v>38932</v>
      </c>
      <c r="B2931" s="317" t="s">
        <v>47298</v>
      </c>
      <c r="C2931" s="330" t="s">
        <v>9941</v>
      </c>
      <c r="D2931" s="330" t="s">
        <v>7813</v>
      </c>
      <c r="E2931" s="330" t="s">
        <v>37248</v>
      </c>
      <c r="F2931" s="331">
        <v>0.21</v>
      </c>
      <c r="G2931" s="332">
        <v>178</v>
      </c>
      <c r="H2931" s="333">
        <v>216</v>
      </c>
    </row>
    <row r="2932" spans="1:8">
      <c r="A2932" s="317" t="s">
        <v>38933</v>
      </c>
      <c r="B2932" s="317" t="s">
        <v>47299</v>
      </c>
      <c r="C2932" s="330" t="s">
        <v>9942</v>
      </c>
      <c r="D2932" s="330" t="s">
        <v>7967</v>
      </c>
      <c r="E2932" s="330" t="s">
        <v>37248</v>
      </c>
      <c r="F2932" s="331">
        <v>0.21</v>
      </c>
      <c r="G2932" s="332">
        <v>3834</v>
      </c>
      <c r="H2932" s="333">
        <v>4640</v>
      </c>
    </row>
    <row r="2933" spans="1:8">
      <c r="A2933" s="317" t="s">
        <v>38934</v>
      </c>
      <c r="B2933" s="317" t="s">
        <v>47300</v>
      </c>
      <c r="C2933" s="330" t="s">
        <v>9943</v>
      </c>
      <c r="D2933" s="330" t="s">
        <v>9944</v>
      </c>
      <c r="E2933" s="330" t="s">
        <v>37248</v>
      </c>
      <c r="F2933" s="331">
        <v>0.21</v>
      </c>
      <c r="G2933" s="332">
        <v>4300</v>
      </c>
      <c r="H2933" s="333">
        <v>5203</v>
      </c>
    </row>
    <row r="2934" spans="1:8">
      <c r="A2934" s="317">
        <v>1606100039</v>
      </c>
      <c r="B2934" s="317" t="s">
        <v>47301</v>
      </c>
      <c r="C2934" s="330" t="s">
        <v>9945</v>
      </c>
      <c r="D2934" s="330" t="s">
        <v>9946</v>
      </c>
      <c r="E2934" s="330" t="s">
        <v>4819</v>
      </c>
      <c r="F2934" s="331">
        <v>0.21</v>
      </c>
      <c r="G2934" s="332">
        <v>19443</v>
      </c>
      <c r="H2934" s="333">
        <v>23527</v>
      </c>
    </row>
    <row r="2935" spans="1:8">
      <c r="A2935" s="317">
        <v>1606135017</v>
      </c>
      <c r="B2935" s="317" t="s">
        <v>47302</v>
      </c>
      <c r="C2935" s="330" t="s">
        <v>9947</v>
      </c>
      <c r="D2935" s="330" t="s">
        <v>9948</v>
      </c>
      <c r="E2935" s="330" t="s">
        <v>4634</v>
      </c>
      <c r="F2935" s="331">
        <v>0.21</v>
      </c>
      <c r="G2935" s="332">
        <v>11345</v>
      </c>
      <c r="H2935" s="333">
        <v>13728</v>
      </c>
    </row>
    <row r="2936" spans="1:8">
      <c r="A2936" s="317" t="s">
        <v>38935</v>
      </c>
      <c r="B2936" s="317" t="s">
        <v>47303</v>
      </c>
      <c r="C2936" s="330" t="s">
        <v>9949</v>
      </c>
      <c r="D2936" s="330" t="s">
        <v>9950</v>
      </c>
      <c r="E2936" s="330" t="s">
        <v>4819</v>
      </c>
      <c r="F2936" s="331">
        <v>0.21</v>
      </c>
      <c r="G2936" s="332">
        <v>4628</v>
      </c>
      <c r="H2936" s="333">
        <v>5600</v>
      </c>
    </row>
    <row r="2937" spans="1:8">
      <c r="A2937" s="317" t="s">
        <v>38936</v>
      </c>
      <c r="B2937" s="317" t="s">
        <v>47304</v>
      </c>
      <c r="C2937" s="330" t="s">
        <v>9951</v>
      </c>
      <c r="D2937" s="330" t="s">
        <v>9952</v>
      </c>
      <c r="E2937" s="330" t="s">
        <v>4634</v>
      </c>
      <c r="F2937" s="331">
        <v>0.21</v>
      </c>
      <c r="G2937" s="332">
        <v>9143</v>
      </c>
      <c r="H2937" s="333">
        <v>11064</v>
      </c>
    </row>
    <row r="2938" spans="1:8">
      <c r="A2938" s="317" t="s">
        <v>38937</v>
      </c>
      <c r="B2938" s="317" t="s">
        <v>47305</v>
      </c>
      <c r="C2938" s="330" t="s">
        <v>9953</v>
      </c>
      <c r="D2938" s="330" t="s">
        <v>9954</v>
      </c>
      <c r="E2938" s="330" t="s">
        <v>4634</v>
      </c>
      <c r="F2938" s="331">
        <v>0.21</v>
      </c>
      <c r="G2938" s="332">
        <v>23864</v>
      </c>
      <c r="H2938" s="333">
        <v>28876</v>
      </c>
    </row>
    <row r="2939" spans="1:8">
      <c r="A2939" s="317">
        <v>1606300013</v>
      </c>
      <c r="B2939" s="317" t="s">
        <v>47306</v>
      </c>
      <c r="C2939" s="330" t="s">
        <v>9955</v>
      </c>
      <c r="D2939" s="330" t="s">
        <v>9956</v>
      </c>
      <c r="E2939" s="330" t="s">
        <v>37248</v>
      </c>
      <c r="F2939" s="331">
        <v>0.21</v>
      </c>
      <c r="G2939" s="332">
        <v>11669</v>
      </c>
      <c r="H2939" s="333">
        <v>14120</v>
      </c>
    </row>
    <row r="2940" spans="1:8">
      <c r="A2940" s="317">
        <v>1606309036</v>
      </c>
      <c r="B2940" s="317" t="s">
        <v>47307</v>
      </c>
      <c r="C2940" s="330" t="s">
        <v>9957</v>
      </c>
      <c r="D2940" s="330" t="s">
        <v>9958</v>
      </c>
      <c r="E2940" s="330" t="s">
        <v>4634</v>
      </c>
      <c r="F2940" s="331">
        <v>0.21</v>
      </c>
      <c r="G2940" s="332">
        <v>8519</v>
      </c>
      <c r="H2940" s="333">
        <v>10308</v>
      </c>
    </row>
    <row r="2941" spans="1:8">
      <c r="A2941" s="317">
        <v>1606309065</v>
      </c>
      <c r="B2941" s="317" t="s">
        <v>47308</v>
      </c>
      <c r="C2941" s="330" t="s">
        <v>9959</v>
      </c>
      <c r="D2941" s="330" t="s">
        <v>9960</v>
      </c>
      <c r="E2941" s="330" t="s">
        <v>4819</v>
      </c>
      <c r="F2941" s="331">
        <v>0.21</v>
      </c>
      <c r="G2941" s="332">
        <v>117971</v>
      </c>
      <c r="H2941" s="333">
        <v>142745</v>
      </c>
    </row>
    <row r="2942" spans="1:8">
      <c r="A2942" s="317">
        <v>1606309066</v>
      </c>
      <c r="B2942" s="317" t="s">
        <v>47309</v>
      </c>
      <c r="C2942" s="330" t="s">
        <v>9961</v>
      </c>
      <c r="D2942" s="330" t="s">
        <v>9962</v>
      </c>
      <c r="E2942" s="330" t="s">
        <v>37248</v>
      </c>
      <c r="F2942" s="331">
        <v>0.21</v>
      </c>
      <c r="G2942" s="332">
        <v>134472</v>
      </c>
      <c r="H2942" s="333">
        <v>162712</v>
      </c>
    </row>
    <row r="2943" spans="1:8">
      <c r="A2943" s="317">
        <v>1606317074</v>
      </c>
      <c r="B2943" s="317" t="s">
        <v>47310</v>
      </c>
      <c r="C2943" s="330" t="s">
        <v>9963</v>
      </c>
      <c r="D2943" s="330" t="s">
        <v>9964</v>
      </c>
      <c r="E2943" s="330" t="s">
        <v>4634</v>
      </c>
      <c r="F2943" s="331">
        <v>0.21</v>
      </c>
      <c r="G2943" s="332">
        <v>6834</v>
      </c>
      <c r="H2943" s="333">
        <v>8270</v>
      </c>
    </row>
    <row r="2944" spans="1:8">
      <c r="A2944" s="317">
        <v>1606317080</v>
      </c>
      <c r="B2944" s="317" t="s">
        <v>47311</v>
      </c>
      <c r="C2944" s="330" t="s">
        <v>9965</v>
      </c>
      <c r="D2944" s="330" t="s">
        <v>9966</v>
      </c>
      <c r="E2944" s="330" t="s">
        <v>4634</v>
      </c>
      <c r="F2944" s="331">
        <v>0.21</v>
      </c>
      <c r="G2944" s="332">
        <v>6553</v>
      </c>
      <c r="H2944" s="333">
        <v>7930</v>
      </c>
    </row>
    <row r="2945" spans="1:8">
      <c r="A2945" s="317">
        <v>1606317081</v>
      </c>
      <c r="B2945" s="317" t="s">
        <v>47312</v>
      </c>
      <c r="C2945" s="330" t="s">
        <v>9967</v>
      </c>
      <c r="D2945" s="330" t="s">
        <v>9966</v>
      </c>
      <c r="E2945" s="330" t="s">
        <v>4634</v>
      </c>
      <c r="F2945" s="331">
        <v>0.21</v>
      </c>
      <c r="G2945" s="332">
        <v>9527</v>
      </c>
      <c r="H2945" s="333">
        <v>11528</v>
      </c>
    </row>
    <row r="2946" spans="1:8">
      <c r="A2946" s="317">
        <v>1606317082</v>
      </c>
      <c r="B2946" s="317" t="s">
        <v>47313</v>
      </c>
      <c r="C2946" s="330" t="s">
        <v>9968</v>
      </c>
      <c r="D2946" s="330" t="s">
        <v>9964</v>
      </c>
      <c r="E2946" s="330" t="s">
        <v>4819</v>
      </c>
      <c r="F2946" s="331">
        <v>0.21</v>
      </c>
      <c r="G2946" s="332">
        <v>50676</v>
      </c>
      <c r="H2946" s="333">
        <v>61318</v>
      </c>
    </row>
    <row r="2947" spans="1:8">
      <c r="A2947" s="317">
        <v>1606317084</v>
      </c>
      <c r="B2947" s="317" t="s">
        <v>47314</v>
      </c>
      <c r="C2947" s="330" t="s">
        <v>9969</v>
      </c>
      <c r="D2947" s="330" t="s">
        <v>9970</v>
      </c>
      <c r="E2947" s="330" t="s">
        <v>4634</v>
      </c>
      <c r="F2947" s="331">
        <v>0.21</v>
      </c>
      <c r="G2947" s="332">
        <v>8961</v>
      </c>
      <c r="H2947" s="333">
        <v>10843</v>
      </c>
    </row>
    <row r="2948" spans="1:8">
      <c r="A2948" s="317">
        <v>1606320028</v>
      </c>
      <c r="B2948" s="317" t="s">
        <v>47315</v>
      </c>
      <c r="C2948" s="330" t="s">
        <v>9971</v>
      </c>
      <c r="D2948" s="330" t="s">
        <v>9972</v>
      </c>
      <c r="E2948" s="330" t="s">
        <v>4634</v>
      </c>
      <c r="F2948" s="331">
        <v>0.21</v>
      </c>
      <c r="G2948" s="332">
        <v>19269</v>
      </c>
      <c r="H2948" s="333">
        <v>23316</v>
      </c>
    </row>
    <row r="2949" spans="1:8">
      <c r="A2949" s="317">
        <v>1606320040</v>
      </c>
      <c r="B2949" s="317" t="s">
        <v>47316</v>
      </c>
      <c r="C2949" s="330" t="s">
        <v>9973</v>
      </c>
      <c r="D2949" s="330" t="s">
        <v>9974</v>
      </c>
      <c r="E2949" s="330" t="s">
        <v>4634</v>
      </c>
      <c r="F2949" s="331">
        <v>0.21</v>
      </c>
      <c r="G2949" s="332">
        <v>23838</v>
      </c>
      <c r="H2949" s="333">
        <v>28844</v>
      </c>
    </row>
    <row r="2950" spans="1:8">
      <c r="A2950" s="317">
        <v>1606320075</v>
      </c>
      <c r="B2950" s="317" t="s">
        <v>47317</v>
      </c>
      <c r="C2950" s="330" t="s">
        <v>9975</v>
      </c>
      <c r="D2950" s="330" t="s">
        <v>9976</v>
      </c>
      <c r="E2950" s="330" t="s">
        <v>4634</v>
      </c>
      <c r="F2950" s="331">
        <v>0.21</v>
      </c>
      <c r="G2950" s="332">
        <v>2299</v>
      </c>
      <c r="H2950" s="333">
        <v>2782</v>
      </c>
    </row>
    <row r="2951" spans="1:8">
      <c r="A2951" s="317">
        <v>1606320076</v>
      </c>
      <c r="B2951" s="317" t="s">
        <v>47318</v>
      </c>
      <c r="C2951" s="330" t="s">
        <v>9977</v>
      </c>
      <c r="D2951" s="330" t="s">
        <v>9978</v>
      </c>
      <c r="E2951" s="330" t="s">
        <v>4634</v>
      </c>
      <c r="F2951" s="331">
        <v>0.21</v>
      </c>
      <c r="G2951" s="332">
        <v>1440</v>
      </c>
      <c r="H2951" s="333">
        <v>1743</v>
      </c>
    </row>
    <row r="2952" spans="1:8">
      <c r="A2952" s="317">
        <v>1606320077</v>
      </c>
      <c r="B2952" s="317" t="s">
        <v>47319</v>
      </c>
      <c r="C2952" s="330" t="s">
        <v>9979</v>
      </c>
      <c r="D2952" s="330" t="s">
        <v>9966</v>
      </c>
      <c r="E2952" s="330" t="s">
        <v>4634</v>
      </c>
      <c r="F2952" s="331">
        <v>0.21</v>
      </c>
      <c r="G2952" s="332">
        <v>5652</v>
      </c>
      <c r="H2952" s="333">
        <v>6839</v>
      </c>
    </row>
    <row r="2953" spans="1:8">
      <c r="A2953" s="317">
        <v>1606320080</v>
      </c>
      <c r="B2953" s="317" t="s">
        <v>47320</v>
      </c>
      <c r="C2953" s="330" t="s">
        <v>9980</v>
      </c>
      <c r="D2953" s="330" t="s">
        <v>9981</v>
      </c>
      <c r="E2953" s="330" t="s">
        <v>4634</v>
      </c>
      <c r="F2953" s="331">
        <v>0.21</v>
      </c>
      <c r="G2953" s="332">
        <v>2881</v>
      </c>
      <c r="H2953" s="333">
        <v>3487</v>
      </c>
    </row>
    <row r="2954" spans="1:8">
      <c r="A2954" s="317">
        <v>1606325025</v>
      </c>
      <c r="B2954" s="317" t="s">
        <v>47321</v>
      </c>
      <c r="C2954" s="330" t="s">
        <v>9982</v>
      </c>
      <c r="D2954" s="330" t="s">
        <v>9983</v>
      </c>
      <c r="E2954" s="330" t="s">
        <v>4819</v>
      </c>
      <c r="F2954" s="331">
        <v>0.21</v>
      </c>
      <c r="G2954" s="332">
        <v>3934</v>
      </c>
      <c r="H2954" s="333">
        <v>4761</v>
      </c>
    </row>
    <row r="2955" spans="1:8">
      <c r="A2955" s="317">
        <v>1606325027</v>
      </c>
      <c r="B2955" s="317" t="s">
        <v>47322</v>
      </c>
      <c r="C2955" s="330" t="s">
        <v>9984</v>
      </c>
      <c r="D2955" s="330" t="s">
        <v>9983</v>
      </c>
      <c r="E2955" s="330" t="s">
        <v>4819</v>
      </c>
      <c r="F2955" s="331">
        <v>0.21</v>
      </c>
      <c r="G2955" s="332">
        <v>14022</v>
      </c>
      <c r="H2955" s="333">
        <v>16967</v>
      </c>
    </row>
    <row r="2956" spans="1:8">
      <c r="A2956" s="317">
        <v>1606333053</v>
      </c>
      <c r="B2956" s="317" t="s">
        <v>47323</v>
      </c>
      <c r="C2956" s="330" t="s">
        <v>9985</v>
      </c>
      <c r="D2956" s="330" t="s">
        <v>9986</v>
      </c>
      <c r="E2956" s="330" t="s">
        <v>4634</v>
      </c>
      <c r="F2956" s="331">
        <v>0.21</v>
      </c>
      <c r="G2956" s="332">
        <v>570</v>
      </c>
      <c r="H2956" s="333">
        <v>690</v>
      </c>
    </row>
    <row r="2957" spans="1:8">
      <c r="A2957" s="317">
        <v>1606333066</v>
      </c>
      <c r="B2957" s="317" t="s">
        <v>47324</v>
      </c>
      <c r="C2957" s="330" t="s">
        <v>9987</v>
      </c>
      <c r="D2957" s="330" t="s">
        <v>9988</v>
      </c>
      <c r="E2957" s="330" t="s">
        <v>4634</v>
      </c>
      <c r="F2957" s="331">
        <v>0.21</v>
      </c>
      <c r="G2957" s="332">
        <v>7231</v>
      </c>
      <c r="H2957" s="333">
        <v>8750</v>
      </c>
    </row>
    <row r="2958" spans="1:8">
      <c r="A2958" s="317">
        <v>1606333087</v>
      </c>
      <c r="B2958" s="317" t="s">
        <v>47325</v>
      </c>
      <c r="C2958" s="330" t="s">
        <v>9989</v>
      </c>
      <c r="D2958" s="330" t="s">
        <v>9990</v>
      </c>
      <c r="E2958" s="330" t="s">
        <v>4634</v>
      </c>
      <c r="F2958" s="331">
        <v>0.21</v>
      </c>
      <c r="G2958" s="332">
        <v>36963</v>
      </c>
      <c r="H2958" s="333">
        <v>44726</v>
      </c>
    </row>
    <row r="2959" spans="1:8">
      <c r="A2959" s="317">
        <v>1606333119</v>
      </c>
      <c r="B2959" s="317" t="s">
        <v>47326</v>
      </c>
      <c r="C2959" s="330" t="s">
        <v>9991</v>
      </c>
      <c r="D2959" s="330" t="s">
        <v>9992</v>
      </c>
      <c r="E2959" s="330" t="s">
        <v>4634</v>
      </c>
      <c r="F2959" s="331">
        <v>0.21</v>
      </c>
      <c r="G2959" s="332">
        <v>4807</v>
      </c>
      <c r="H2959" s="333">
        <v>5817</v>
      </c>
    </row>
    <row r="2960" spans="1:8">
      <c r="A2960" s="317">
        <v>1606333144</v>
      </c>
      <c r="B2960" s="317" t="s">
        <v>47327</v>
      </c>
      <c r="C2960" s="330" t="s">
        <v>9993</v>
      </c>
      <c r="D2960" s="330" t="s">
        <v>9994</v>
      </c>
      <c r="E2960" s="330" t="s">
        <v>4634</v>
      </c>
      <c r="F2960" s="331">
        <v>0.21</v>
      </c>
      <c r="G2960" s="332">
        <v>31172</v>
      </c>
      <c r="H2960" s="333">
        <v>37719</v>
      </c>
    </row>
    <row r="2961" spans="1:8">
      <c r="A2961" s="317">
        <v>1606333145</v>
      </c>
      <c r="B2961" s="317" t="s">
        <v>47328</v>
      </c>
      <c r="C2961" s="330" t="s">
        <v>9995</v>
      </c>
      <c r="D2961" s="330" t="s">
        <v>9996</v>
      </c>
      <c r="E2961" s="330" t="s">
        <v>4634</v>
      </c>
      <c r="F2961" s="331">
        <v>0.21</v>
      </c>
      <c r="G2961" s="332">
        <v>10941</v>
      </c>
      <c r="H2961" s="333">
        <v>13239</v>
      </c>
    </row>
    <row r="2962" spans="1:8">
      <c r="A2962" s="317">
        <v>1606333147</v>
      </c>
      <c r="B2962" s="317" t="s">
        <v>47329</v>
      </c>
      <c r="C2962" s="330" t="s">
        <v>9997</v>
      </c>
      <c r="D2962" s="330" t="s">
        <v>9998</v>
      </c>
      <c r="E2962" s="330" t="s">
        <v>4634</v>
      </c>
      <c r="F2962" s="331">
        <v>0.21</v>
      </c>
      <c r="G2962" s="332">
        <v>10721</v>
      </c>
      <c r="H2962" s="333">
        <v>12973</v>
      </c>
    </row>
    <row r="2963" spans="1:8">
      <c r="A2963" s="317">
        <v>1606333148</v>
      </c>
      <c r="B2963" s="317" t="s">
        <v>47330</v>
      </c>
      <c r="C2963" s="330" t="s">
        <v>9999</v>
      </c>
      <c r="D2963" s="330" t="s">
        <v>10000</v>
      </c>
      <c r="E2963" s="330" t="s">
        <v>4634</v>
      </c>
      <c r="F2963" s="331">
        <v>0.21</v>
      </c>
      <c r="G2963" s="332">
        <v>5543</v>
      </c>
      <c r="H2963" s="333">
        <v>6708</v>
      </c>
    </row>
    <row r="2964" spans="1:8">
      <c r="A2964" s="317">
        <v>1606333150</v>
      </c>
      <c r="B2964" s="317" t="s">
        <v>47331</v>
      </c>
      <c r="C2964" s="330" t="s">
        <v>10001</v>
      </c>
      <c r="D2964" s="330" t="s">
        <v>10002</v>
      </c>
      <c r="E2964" s="330" t="s">
        <v>4634</v>
      </c>
      <c r="F2964" s="331">
        <v>0.21</v>
      </c>
      <c r="G2964" s="332">
        <v>7787</v>
      </c>
      <c r="H2964" s="333">
        <v>9423</v>
      </c>
    </row>
    <row r="2965" spans="1:8">
      <c r="A2965" s="317">
        <v>1606333168</v>
      </c>
      <c r="B2965" s="317" t="s">
        <v>47332</v>
      </c>
      <c r="C2965" s="330" t="s">
        <v>10003</v>
      </c>
      <c r="D2965" s="330" t="s">
        <v>10004</v>
      </c>
      <c r="E2965" s="330" t="s">
        <v>4634</v>
      </c>
      <c r="F2965" s="331">
        <v>0.21</v>
      </c>
      <c r="G2965" s="332">
        <v>4767</v>
      </c>
      <c r="H2965" s="333">
        <v>5769</v>
      </c>
    </row>
    <row r="2966" spans="1:8">
      <c r="A2966" s="317">
        <v>1606333198</v>
      </c>
      <c r="B2966" s="317" t="s">
        <v>47333</v>
      </c>
      <c r="C2966" s="330" t="s">
        <v>10005</v>
      </c>
      <c r="D2966" s="330" t="s">
        <v>10006</v>
      </c>
      <c r="E2966" s="330" t="s">
        <v>4634</v>
      </c>
      <c r="F2966" s="331">
        <v>0.21</v>
      </c>
      <c r="G2966" s="332">
        <v>30489</v>
      </c>
      <c r="H2966" s="333">
        <v>36892</v>
      </c>
    </row>
    <row r="2967" spans="1:8">
      <c r="A2967" s="317">
        <v>1606333199</v>
      </c>
      <c r="B2967" s="317" t="s">
        <v>47334</v>
      </c>
      <c r="C2967" s="330" t="s">
        <v>10007</v>
      </c>
      <c r="D2967" s="330" t="s">
        <v>10008</v>
      </c>
      <c r="E2967" s="330" t="s">
        <v>4634</v>
      </c>
      <c r="F2967" s="331">
        <v>0.21</v>
      </c>
      <c r="G2967" s="332">
        <v>767</v>
      </c>
      <c r="H2967" s="333">
        <v>929</v>
      </c>
    </row>
    <row r="2968" spans="1:8">
      <c r="A2968" s="317">
        <v>1606333200</v>
      </c>
      <c r="B2968" s="317" t="s">
        <v>47335</v>
      </c>
      <c r="C2968" s="330" t="s">
        <v>10009</v>
      </c>
      <c r="D2968" s="330" t="s">
        <v>10010</v>
      </c>
      <c r="E2968" s="330" t="s">
        <v>4634</v>
      </c>
      <c r="F2968" s="331">
        <v>0.21</v>
      </c>
      <c r="G2968" s="332">
        <v>11155</v>
      </c>
      <c r="H2968" s="333">
        <v>13498</v>
      </c>
    </row>
    <row r="2969" spans="1:8">
      <c r="A2969" s="317">
        <v>1606333201</v>
      </c>
      <c r="B2969" s="317" t="s">
        <v>47336</v>
      </c>
      <c r="C2969" s="330" t="s">
        <v>10011</v>
      </c>
      <c r="D2969" s="330" t="s">
        <v>10012</v>
      </c>
      <c r="E2969" s="330" t="s">
        <v>4634</v>
      </c>
      <c r="F2969" s="331">
        <v>0.21</v>
      </c>
      <c r="G2969" s="332">
        <v>2707</v>
      </c>
      <c r="H2969" s="333">
        <v>3276</v>
      </c>
    </row>
    <row r="2970" spans="1:8">
      <c r="A2970" s="317">
        <v>1606333202</v>
      </c>
      <c r="B2970" s="317" t="s">
        <v>47337</v>
      </c>
      <c r="C2970" s="330" t="s">
        <v>10013</v>
      </c>
      <c r="D2970" s="330" t="s">
        <v>10014</v>
      </c>
      <c r="E2970" s="330" t="s">
        <v>4634</v>
      </c>
      <c r="F2970" s="331">
        <v>0.21</v>
      </c>
      <c r="G2970" s="332">
        <v>2609</v>
      </c>
      <c r="H2970" s="333">
        <v>3157</v>
      </c>
    </row>
    <row r="2971" spans="1:8">
      <c r="A2971" s="317">
        <v>1606333204</v>
      </c>
      <c r="B2971" s="317" t="s">
        <v>47338</v>
      </c>
      <c r="C2971" s="330" t="s">
        <v>10015</v>
      </c>
      <c r="D2971" s="330" t="s">
        <v>10016</v>
      </c>
      <c r="E2971" s="330" t="s">
        <v>4634</v>
      </c>
      <c r="F2971" s="331">
        <v>0.21</v>
      </c>
      <c r="G2971" s="332">
        <v>711</v>
      </c>
      <c r="H2971" s="333">
        <v>861</v>
      </c>
    </row>
    <row r="2972" spans="1:8">
      <c r="A2972" s="317">
        <v>1606333207</v>
      </c>
      <c r="B2972" s="317" t="s">
        <v>47339</v>
      </c>
      <c r="C2972" s="330" t="s">
        <v>10017</v>
      </c>
      <c r="D2972" s="330" t="s">
        <v>10018</v>
      </c>
      <c r="E2972" s="330" t="s">
        <v>4634</v>
      </c>
      <c r="F2972" s="331">
        <v>0.21</v>
      </c>
      <c r="G2972" s="332">
        <v>33204</v>
      </c>
      <c r="H2972" s="333">
        <v>40177</v>
      </c>
    </row>
    <row r="2973" spans="1:8">
      <c r="A2973" s="317">
        <v>1606333208</v>
      </c>
      <c r="B2973" s="317" t="s">
        <v>47340</v>
      </c>
      <c r="C2973" s="330" t="s">
        <v>10019</v>
      </c>
      <c r="D2973" s="330" t="s">
        <v>10020</v>
      </c>
      <c r="E2973" s="330" t="s">
        <v>4634</v>
      </c>
      <c r="F2973" s="331">
        <v>0.21</v>
      </c>
      <c r="G2973" s="332">
        <v>8690</v>
      </c>
      <c r="H2973" s="333">
        <v>10515</v>
      </c>
    </row>
    <row r="2974" spans="1:8">
      <c r="A2974" s="317">
        <v>1606333209</v>
      </c>
      <c r="B2974" s="317" t="s">
        <v>47341</v>
      </c>
      <c r="C2974" s="330" t="s">
        <v>10021</v>
      </c>
      <c r="D2974" s="330" t="s">
        <v>10022</v>
      </c>
      <c r="E2974" s="330" t="s">
        <v>4634</v>
      </c>
      <c r="F2974" s="331">
        <v>0.21</v>
      </c>
      <c r="G2974" s="332">
        <v>13942</v>
      </c>
      <c r="H2974" s="333">
        <v>16870</v>
      </c>
    </row>
    <row r="2975" spans="1:8">
      <c r="A2975" s="317">
        <v>1606333210</v>
      </c>
      <c r="B2975" s="317" t="s">
        <v>47342</v>
      </c>
      <c r="C2975" s="330" t="s">
        <v>10023</v>
      </c>
      <c r="D2975" s="330" t="s">
        <v>10024</v>
      </c>
      <c r="E2975" s="330" t="s">
        <v>4634</v>
      </c>
      <c r="F2975" s="331">
        <v>0.21</v>
      </c>
      <c r="G2975" s="332">
        <v>61205</v>
      </c>
      <c r="H2975" s="333">
        <v>74059</v>
      </c>
    </row>
    <row r="2976" spans="1:8">
      <c r="A2976" s="317">
        <v>1606333216</v>
      </c>
      <c r="B2976" s="317" t="s">
        <v>47343</v>
      </c>
      <c r="C2976" s="330" t="s">
        <v>10025</v>
      </c>
      <c r="D2976" s="330" t="s">
        <v>10026</v>
      </c>
      <c r="E2976" s="330" t="s">
        <v>4634</v>
      </c>
      <c r="F2976" s="331">
        <v>0.21</v>
      </c>
      <c r="G2976" s="332">
        <v>22465</v>
      </c>
      <c r="H2976" s="333">
        <v>27183</v>
      </c>
    </row>
    <row r="2977" spans="1:8">
      <c r="A2977" s="317">
        <v>1606333217</v>
      </c>
      <c r="B2977" s="317" t="s">
        <v>47344</v>
      </c>
      <c r="C2977" s="330" t="s">
        <v>10027</v>
      </c>
      <c r="D2977" s="330" t="s">
        <v>10028</v>
      </c>
      <c r="E2977" s="330" t="s">
        <v>4634</v>
      </c>
      <c r="F2977" s="331">
        <v>0.21</v>
      </c>
      <c r="G2977" s="332">
        <v>22869</v>
      </c>
      <c r="H2977" s="333">
        <v>27672</v>
      </c>
    </row>
    <row r="2978" spans="1:8">
      <c r="A2978" s="317">
        <v>1606333218</v>
      </c>
      <c r="B2978" s="317" t="s">
        <v>47345</v>
      </c>
      <c r="C2978" s="330" t="s">
        <v>10029</v>
      </c>
      <c r="D2978" s="330" t="s">
        <v>10030</v>
      </c>
      <c r="E2978" s="330" t="s">
        <v>4634</v>
      </c>
      <c r="F2978" s="331">
        <v>0.21</v>
      </c>
      <c r="G2978" s="332">
        <v>4432</v>
      </c>
      <c r="H2978" s="333">
        <v>5363</v>
      </c>
    </row>
    <row r="2979" spans="1:8">
      <c r="A2979" s="317">
        <v>1606333234</v>
      </c>
      <c r="B2979" s="317" t="s">
        <v>47346</v>
      </c>
      <c r="C2979" s="330" t="s">
        <v>10031</v>
      </c>
      <c r="D2979" s="330" t="s">
        <v>10032</v>
      </c>
      <c r="E2979" s="330" t="s">
        <v>4634</v>
      </c>
      <c r="F2979" s="331">
        <v>0.21</v>
      </c>
      <c r="G2979" s="332">
        <v>9128</v>
      </c>
      <c r="H2979" s="333">
        <v>11045</v>
      </c>
    </row>
    <row r="2980" spans="1:8">
      <c r="A2980" s="317">
        <v>1606333235</v>
      </c>
      <c r="B2980" s="317" t="s">
        <v>47347</v>
      </c>
      <c r="C2980" s="330" t="s">
        <v>10033</v>
      </c>
      <c r="D2980" s="330" t="s">
        <v>10034</v>
      </c>
      <c r="E2980" s="330" t="s">
        <v>4634</v>
      </c>
      <c r="F2980" s="331">
        <v>0.21</v>
      </c>
      <c r="G2980" s="332">
        <v>16802</v>
      </c>
      <c r="H2980" s="333">
        <v>20331</v>
      </c>
    </row>
    <row r="2981" spans="1:8">
      <c r="A2981" s="317">
        <v>1606333237</v>
      </c>
      <c r="B2981" s="317" t="s">
        <v>47348</v>
      </c>
      <c r="C2981" s="330" t="s">
        <v>10035</v>
      </c>
      <c r="D2981" s="330" t="s">
        <v>10036</v>
      </c>
      <c r="E2981" s="330" t="s">
        <v>4634</v>
      </c>
      <c r="F2981" s="331">
        <v>0.21</v>
      </c>
      <c r="G2981" s="332">
        <v>5288</v>
      </c>
      <c r="H2981" s="333">
        <v>6399</v>
      </c>
    </row>
    <row r="2982" spans="1:8">
      <c r="A2982" s="317">
        <v>1606333239</v>
      </c>
      <c r="B2982" s="317" t="s">
        <v>47349</v>
      </c>
      <c r="C2982" s="330" t="s">
        <v>10037</v>
      </c>
      <c r="D2982" s="330" t="s">
        <v>10038</v>
      </c>
      <c r="E2982" s="330" t="s">
        <v>4634</v>
      </c>
      <c r="F2982" s="331">
        <v>0.21</v>
      </c>
      <c r="G2982" s="332">
        <v>5088</v>
      </c>
      <c r="H2982" s="333">
        <v>6157</v>
      </c>
    </row>
    <row r="2983" spans="1:8">
      <c r="A2983" s="317">
        <v>1606333245</v>
      </c>
      <c r="B2983" s="317" t="s">
        <v>47350</v>
      </c>
      <c r="C2983" s="330" t="s">
        <v>10039</v>
      </c>
      <c r="D2983" s="330" t="s">
        <v>10040</v>
      </c>
      <c r="E2983" s="330" t="s">
        <v>4634</v>
      </c>
      <c r="F2983" s="331">
        <v>0.21</v>
      </c>
      <c r="G2983" s="332">
        <v>8307</v>
      </c>
      <c r="H2983" s="333">
        <v>10052</v>
      </c>
    </row>
    <row r="2984" spans="1:8">
      <c r="A2984" s="317">
        <v>1606333246</v>
      </c>
      <c r="B2984" s="317" t="s">
        <v>47351</v>
      </c>
      <c r="C2984" s="330" t="s">
        <v>10041</v>
      </c>
      <c r="D2984" s="330" t="s">
        <v>10042</v>
      </c>
      <c r="E2984" s="330" t="s">
        <v>4634</v>
      </c>
      <c r="F2984" s="331">
        <v>0.21</v>
      </c>
      <c r="G2984" s="332">
        <v>8307</v>
      </c>
      <c r="H2984" s="333">
        <v>10052</v>
      </c>
    </row>
    <row r="2985" spans="1:8">
      <c r="A2985" s="317">
        <v>1606333247</v>
      </c>
      <c r="B2985" s="317" t="s">
        <v>47352</v>
      </c>
      <c r="C2985" s="330" t="s">
        <v>10043</v>
      </c>
      <c r="D2985" s="330" t="s">
        <v>10044</v>
      </c>
      <c r="E2985" s="330" t="s">
        <v>4634</v>
      </c>
      <c r="F2985" s="331">
        <v>0.21</v>
      </c>
      <c r="G2985" s="332">
        <v>20940</v>
      </c>
      <c r="H2985" s="333">
        <v>25338</v>
      </c>
    </row>
    <row r="2986" spans="1:8">
      <c r="A2986" s="317">
        <v>1606333248</v>
      </c>
      <c r="B2986" s="317" t="s">
        <v>47353</v>
      </c>
      <c r="C2986" s="330" t="s">
        <v>10045</v>
      </c>
      <c r="D2986" s="330" t="s">
        <v>10046</v>
      </c>
      <c r="E2986" s="330" t="s">
        <v>4634</v>
      </c>
      <c r="F2986" s="331">
        <v>0.21</v>
      </c>
      <c r="G2986" s="332">
        <v>19188</v>
      </c>
      <c r="H2986" s="333">
        <v>23218</v>
      </c>
    </row>
    <row r="2987" spans="1:8">
      <c r="A2987" s="317">
        <v>1606333253</v>
      </c>
      <c r="B2987" s="317" t="s">
        <v>47354</v>
      </c>
      <c r="C2987" s="330" t="s">
        <v>10047</v>
      </c>
      <c r="D2987" s="330" t="s">
        <v>10048</v>
      </c>
      <c r="E2987" s="330" t="s">
        <v>4634</v>
      </c>
      <c r="F2987" s="331">
        <v>0.21</v>
      </c>
      <c r="G2987" s="332">
        <v>114565</v>
      </c>
      <c r="H2987" s="333">
        <v>138624</v>
      </c>
    </row>
    <row r="2988" spans="1:8">
      <c r="A2988" s="317">
        <v>1606333259</v>
      </c>
      <c r="B2988" s="317" t="s">
        <v>47355</v>
      </c>
      <c r="C2988" s="330" t="s">
        <v>10049</v>
      </c>
      <c r="D2988" s="330" t="s">
        <v>10050</v>
      </c>
      <c r="E2988" s="330" t="s">
        <v>4634</v>
      </c>
      <c r="F2988" s="331">
        <v>0.21</v>
      </c>
      <c r="G2988" s="332">
        <v>4336</v>
      </c>
      <c r="H2988" s="333">
        <v>5247</v>
      </c>
    </row>
    <row r="2989" spans="1:8">
      <c r="A2989" s="317">
        <v>1606333260</v>
      </c>
      <c r="B2989" s="317" t="s">
        <v>47356</v>
      </c>
      <c r="C2989" s="330" t="s">
        <v>10051</v>
      </c>
      <c r="D2989" s="330" t="s">
        <v>10052</v>
      </c>
      <c r="E2989" s="330" t="s">
        <v>4634</v>
      </c>
      <c r="F2989" s="331">
        <v>0.21</v>
      </c>
      <c r="G2989" s="332">
        <v>19188</v>
      </c>
      <c r="H2989" s="333">
        <v>23218</v>
      </c>
    </row>
    <row r="2990" spans="1:8">
      <c r="A2990" s="317">
        <v>1606333261</v>
      </c>
      <c r="B2990" s="317" t="s">
        <v>47357</v>
      </c>
      <c r="C2990" s="330" t="s">
        <v>10053</v>
      </c>
      <c r="D2990" s="330" t="s">
        <v>10054</v>
      </c>
      <c r="E2990" s="330" t="s">
        <v>4634</v>
      </c>
      <c r="F2990" s="331">
        <v>0.21</v>
      </c>
      <c r="G2990" s="332">
        <v>9373</v>
      </c>
      <c r="H2990" s="333">
        <v>11342</v>
      </c>
    </row>
    <row r="2991" spans="1:8">
      <c r="A2991" s="317">
        <v>1606333262</v>
      </c>
      <c r="B2991" s="317" t="s">
        <v>47358</v>
      </c>
      <c r="C2991" s="330" t="s">
        <v>10055</v>
      </c>
      <c r="D2991" s="330" t="s">
        <v>10056</v>
      </c>
      <c r="E2991" s="330" t="s">
        <v>4634</v>
      </c>
      <c r="F2991" s="331">
        <v>0.21</v>
      </c>
      <c r="G2991" s="332">
        <v>19093</v>
      </c>
      <c r="H2991" s="333">
        <v>23103</v>
      </c>
    </row>
    <row r="2992" spans="1:8">
      <c r="A2992" s="317">
        <v>1606333265</v>
      </c>
      <c r="B2992" s="317" t="s">
        <v>47359</v>
      </c>
      <c r="C2992" s="330" t="s">
        <v>10057</v>
      </c>
      <c r="D2992" s="330" t="s">
        <v>10058</v>
      </c>
      <c r="E2992" s="330" t="s">
        <v>4634</v>
      </c>
      <c r="F2992" s="331">
        <v>0.21</v>
      </c>
      <c r="G2992" s="332">
        <v>5324</v>
      </c>
      <c r="H2992" s="333">
        <v>6443</v>
      </c>
    </row>
    <row r="2993" spans="1:8">
      <c r="A2993" s="317">
        <v>1606333269</v>
      </c>
      <c r="B2993" s="317" t="s">
        <v>47360</v>
      </c>
      <c r="C2993" s="330" t="s">
        <v>10059</v>
      </c>
      <c r="D2993" s="330" t="s">
        <v>10060</v>
      </c>
      <c r="E2993" s="330" t="s">
        <v>4634</v>
      </c>
      <c r="F2993" s="331">
        <v>0.21</v>
      </c>
      <c r="G2993" s="332">
        <v>2330</v>
      </c>
      <c r="H2993" s="333">
        <v>2820</v>
      </c>
    </row>
    <row r="2994" spans="1:8">
      <c r="A2994" s="317">
        <v>1606333274</v>
      </c>
      <c r="B2994" s="317" t="s">
        <v>47361</v>
      </c>
      <c r="C2994" s="330" t="s">
        <v>10061</v>
      </c>
      <c r="D2994" s="330" t="s">
        <v>10062</v>
      </c>
      <c r="E2994" s="330" t="s">
        <v>4634</v>
      </c>
      <c r="F2994" s="331">
        <v>0.21</v>
      </c>
      <c r="G2994" s="332">
        <v>4822</v>
      </c>
      <c r="H2994" s="333">
        <v>5835</v>
      </c>
    </row>
    <row r="2995" spans="1:8">
      <c r="A2995" s="317" t="s">
        <v>38938</v>
      </c>
      <c r="B2995" s="317" t="s">
        <v>47362</v>
      </c>
      <c r="C2995" s="330" t="s">
        <v>10063</v>
      </c>
      <c r="D2995" s="330" t="s">
        <v>10064</v>
      </c>
      <c r="E2995" s="330" t="s">
        <v>37248</v>
      </c>
      <c r="F2995" s="331">
        <v>0.21</v>
      </c>
      <c r="G2995" s="332">
        <v>3589</v>
      </c>
      <c r="H2995" s="333">
        <v>4343</v>
      </c>
    </row>
    <row r="2996" spans="1:8">
      <c r="A2996" s="317" t="s">
        <v>38939</v>
      </c>
      <c r="B2996" s="317" t="s">
        <v>47363</v>
      </c>
      <c r="C2996" s="330" t="s">
        <v>10065</v>
      </c>
      <c r="D2996" s="330" t="s">
        <v>10066</v>
      </c>
      <c r="E2996" s="330" t="s">
        <v>37248</v>
      </c>
      <c r="F2996" s="331">
        <v>0.21</v>
      </c>
      <c r="G2996" s="332">
        <v>956</v>
      </c>
      <c r="H2996" s="333">
        <v>1157</v>
      </c>
    </row>
    <row r="2997" spans="1:8">
      <c r="A2997" s="317">
        <v>1606333601</v>
      </c>
      <c r="B2997" s="317" t="s">
        <v>47364</v>
      </c>
      <c r="C2997" s="330" t="s">
        <v>10067</v>
      </c>
      <c r="D2997" s="330" t="s">
        <v>10068</v>
      </c>
      <c r="E2997" s="330" t="s">
        <v>4634</v>
      </c>
      <c r="F2997" s="331">
        <v>0.21</v>
      </c>
      <c r="G2997" s="332">
        <v>12583</v>
      </c>
      <c r="H2997" s="333">
        <v>15226</v>
      </c>
    </row>
    <row r="2998" spans="1:8">
      <c r="A2998" s="317">
        <v>1606333610</v>
      </c>
      <c r="B2998" s="317" t="s">
        <v>47365</v>
      </c>
      <c r="C2998" s="330" t="s">
        <v>10069</v>
      </c>
      <c r="D2998" s="330" t="s">
        <v>10070</v>
      </c>
      <c r="E2998" s="330" t="s">
        <v>4634</v>
      </c>
      <c r="F2998" s="331">
        <v>0.21</v>
      </c>
      <c r="G2998" s="332">
        <v>4963</v>
      </c>
      <c r="H2998" s="333">
        <v>6006</v>
      </c>
    </row>
    <row r="2999" spans="1:8">
      <c r="A2999" s="317">
        <v>1606333611</v>
      </c>
      <c r="B2999" s="317" t="s">
        <v>47366</v>
      </c>
      <c r="C2999" s="330" t="s">
        <v>10071</v>
      </c>
      <c r="D2999" s="330" t="s">
        <v>10072</v>
      </c>
      <c r="E2999" s="330" t="s">
        <v>4634</v>
      </c>
      <c r="F2999" s="331">
        <v>0.21</v>
      </c>
      <c r="G2999" s="332">
        <v>11974</v>
      </c>
      <c r="H2999" s="333">
        <v>14489</v>
      </c>
    </row>
    <row r="3000" spans="1:8">
      <c r="A3000" s="317">
        <v>1606333617</v>
      </c>
      <c r="B3000" s="317" t="s">
        <v>47367</v>
      </c>
      <c r="C3000" s="330" t="s">
        <v>10073</v>
      </c>
      <c r="D3000" s="330" t="s">
        <v>10074</v>
      </c>
      <c r="E3000" s="330" t="s">
        <v>4634</v>
      </c>
      <c r="F3000" s="331">
        <v>0.21</v>
      </c>
      <c r="G3000" s="332">
        <v>11040</v>
      </c>
      <c r="H3000" s="333">
        <v>13359</v>
      </c>
    </row>
    <row r="3001" spans="1:8">
      <c r="A3001" s="317">
        <v>1606333618</v>
      </c>
      <c r="B3001" s="317" t="s">
        <v>47368</v>
      </c>
      <c r="C3001" s="330" t="s">
        <v>10075</v>
      </c>
      <c r="D3001" s="330" t="s">
        <v>10076</v>
      </c>
      <c r="E3001" s="330" t="s">
        <v>4634</v>
      </c>
      <c r="F3001" s="331">
        <v>0.21</v>
      </c>
      <c r="G3001" s="332">
        <v>27132</v>
      </c>
      <c r="H3001" s="333">
        <v>32830</v>
      </c>
    </row>
    <row r="3002" spans="1:8">
      <c r="A3002" s="317">
        <v>1606333626</v>
      </c>
      <c r="B3002" s="317" t="s">
        <v>47369</v>
      </c>
      <c r="C3002" s="330" t="s">
        <v>10077</v>
      </c>
      <c r="D3002" s="330" t="s">
        <v>10078</v>
      </c>
      <c r="E3002" s="330" t="s">
        <v>4634</v>
      </c>
      <c r="F3002" s="331">
        <v>0.21</v>
      </c>
      <c r="G3002" s="332">
        <v>6297</v>
      </c>
      <c r="H3002" s="333">
        <v>7620</v>
      </c>
    </row>
    <row r="3003" spans="1:8">
      <c r="A3003" s="317">
        <v>1606333627</v>
      </c>
      <c r="B3003" s="317" t="s">
        <v>47370</v>
      </c>
      <c r="C3003" s="330" t="s">
        <v>10079</v>
      </c>
      <c r="D3003" s="330" t="s">
        <v>10080</v>
      </c>
      <c r="E3003" s="330" t="s">
        <v>4819</v>
      </c>
      <c r="F3003" s="331">
        <v>0.21</v>
      </c>
      <c r="G3003" s="332">
        <v>36294</v>
      </c>
      <c r="H3003" s="333">
        <v>43916</v>
      </c>
    </row>
    <row r="3004" spans="1:8">
      <c r="A3004" s="317">
        <v>1606333628</v>
      </c>
      <c r="B3004" s="317" t="s">
        <v>47371</v>
      </c>
      <c r="C3004" s="330" t="s">
        <v>10081</v>
      </c>
      <c r="D3004" s="330" t="s">
        <v>10082</v>
      </c>
      <c r="E3004" s="330" t="s">
        <v>4634</v>
      </c>
      <c r="F3004" s="331">
        <v>0.21</v>
      </c>
      <c r="G3004" s="332">
        <v>4472</v>
      </c>
      <c r="H3004" s="333">
        <v>5412</v>
      </c>
    </row>
    <row r="3005" spans="1:8">
      <c r="A3005" s="317">
        <v>1606333633</v>
      </c>
      <c r="B3005" s="317" t="s">
        <v>47372</v>
      </c>
      <c r="C3005" s="330" t="s">
        <v>10083</v>
      </c>
      <c r="D3005" s="330" t="s">
        <v>10084</v>
      </c>
      <c r="E3005" s="330" t="s">
        <v>4634</v>
      </c>
      <c r="F3005" s="331">
        <v>0.21</v>
      </c>
      <c r="G3005" s="332">
        <v>1409</v>
      </c>
      <c r="H3005" s="333">
        <v>1705</v>
      </c>
    </row>
    <row r="3006" spans="1:8">
      <c r="A3006" s="317">
        <v>1606333634</v>
      </c>
      <c r="B3006" s="317" t="s">
        <v>47373</v>
      </c>
      <c r="C3006" s="330" t="s">
        <v>10085</v>
      </c>
      <c r="D3006" s="330" t="s">
        <v>10086</v>
      </c>
      <c r="E3006" s="330" t="s">
        <v>4634</v>
      </c>
      <c r="F3006" s="331">
        <v>0.21</v>
      </c>
      <c r="G3006" s="332">
        <v>2875</v>
      </c>
      <c r="H3006" s="333">
        <v>3479</v>
      </c>
    </row>
    <row r="3007" spans="1:8">
      <c r="A3007" s="317">
        <v>1606442000</v>
      </c>
      <c r="B3007" s="317" t="s">
        <v>47374</v>
      </c>
      <c r="C3007" s="330" t="s">
        <v>10087</v>
      </c>
      <c r="D3007" s="330" t="s">
        <v>10088</v>
      </c>
      <c r="E3007" s="330" t="s">
        <v>4634</v>
      </c>
      <c r="F3007" s="331">
        <v>0.21</v>
      </c>
      <c r="G3007" s="332">
        <v>1115</v>
      </c>
      <c r="H3007" s="333">
        <v>1350</v>
      </c>
    </row>
    <row r="3008" spans="1:8">
      <c r="A3008" s="317">
        <v>1606610058</v>
      </c>
      <c r="B3008" s="317" t="s">
        <v>47375</v>
      </c>
      <c r="C3008" s="330" t="s">
        <v>10089</v>
      </c>
      <c r="D3008" s="330" t="s">
        <v>10090</v>
      </c>
      <c r="E3008" s="330" t="s">
        <v>4819</v>
      </c>
      <c r="F3008" s="331">
        <v>0.21</v>
      </c>
      <c r="G3008" s="332">
        <v>5663</v>
      </c>
      <c r="H3008" s="333">
        <v>6853</v>
      </c>
    </row>
    <row r="3009" spans="1:8">
      <c r="A3009" s="317">
        <v>1606610069</v>
      </c>
      <c r="B3009" s="317" t="s">
        <v>47376</v>
      </c>
      <c r="C3009" s="330" t="s">
        <v>10091</v>
      </c>
      <c r="D3009" s="330" t="s">
        <v>10092</v>
      </c>
      <c r="E3009" s="330" t="s">
        <v>4634</v>
      </c>
      <c r="F3009" s="331">
        <v>0.21</v>
      </c>
      <c r="G3009" s="332">
        <v>7662</v>
      </c>
      <c r="H3009" s="333">
        <v>9272</v>
      </c>
    </row>
    <row r="3010" spans="1:8">
      <c r="A3010" s="317">
        <v>1606610116</v>
      </c>
      <c r="B3010" s="317" t="s">
        <v>47377</v>
      </c>
      <c r="C3010" s="330" t="s">
        <v>10093</v>
      </c>
      <c r="D3010" s="330" t="s">
        <v>10094</v>
      </c>
      <c r="E3010" s="330" t="s">
        <v>4634</v>
      </c>
      <c r="F3010" s="331">
        <v>0.21</v>
      </c>
      <c r="G3010" s="332">
        <v>678</v>
      </c>
      <c r="H3010" s="333">
        <v>821</v>
      </c>
    </row>
    <row r="3011" spans="1:8">
      <c r="A3011" s="317">
        <v>1606610117</v>
      </c>
      <c r="B3011" s="317" t="s">
        <v>47378</v>
      </c>
      <c r="C3011" s="330" t="s">
        <v>10095</v>
      </c>
      <c r="D3011" s="330" t="s">
        <v>10096</v>
      </c>
      <c r="E3011" s="330" t="s">
        <v>4634</v>
      </c>
      <c r="F3011" s="331">
        <v>0.21</v>
      </c>
      <c r="G3011" s="332">
        <v>372</v>
      </c>
      <c r="H3011" s="333">
        <v>451</v>
      </c>
    </row>
    <row r="3012" spans="1:8">
      <c r="A3012" s="317">
        <v>1606610118</v>
      </c>
      <c r="B3012" s="317" t="s">
        <v>47379</v>
      </c>
      <c r="C3012" s="330" t="s">
        <v>10097</v>
      </c>
      <c r="D3012" s="330" t="s">
        <v>10096</v>
      </c>
      <c r="E3012" s="330" t="s">
        <v>4634</v>
      </c>
      <c r="F3012" s="331">
        <v>0.21</v>
      </c>
      <c r="G3012" s="332">
        <v>564</v>
      </c>
      <c r="H3012" s="333">
        <v>683</v>
      </c>
    </row>
    <row r="3013" spans="1:8">
      <c r="A3013" s="317">
        <v>1606610120</v>
      </c>
      <c r="B3013" s="317" t="s">
        <v>47380</v>
      </c>
      <c r="C3013" s="330" t="s">
        <v>10098</v>
      </c>
      <c r="D3013" s="330" t="s">
        <v>5573</v>
      </c>
      <c r="E3013" s="330" t="s">
        <v>4819</v>
      </c>
      <c r="F3013" s="331">
        <v>0.21</v>
      </c>
      <c r="G3013" s="332">
        <v>3896</v>
      </c>
      <c r="H3013" s="333">
        <v>4715</v>
      </c>
    </row>
    <row r="3014" spans="1:8">
      <c r="A3014" s="317">
        <v>1606610121</v>
      </c>
      <c r="B3014" s="317" t="s">
        <v>47381</v>
      </c>
      <c r="C3014" s="330" t="s">
        <v>10099</v>
      </c>
      <c r="D3014" s="330" t="s">
        <v>10100</v>
      </c>
      <c r="E3014" s="330" t="s">
        <v>4634</v>
      </c>
      <c r="F3014" s="331">
        <v>0.21</v>
      </c>
      <c r="G3014" s="332">
        <v>455</v>
      </c>
      <c r="H3014" s="333">
        <v>551</v>
      </c>
    </row>
    <row r="3015" spans="1:8">
      <c r="A3015" s="317">
        <v>1606610122</v>
      </c>
      <c r="B3015" s="317" t="s">
        <v>47382</v>
      </c>
      <c r="C3015" s="330" t="s">
        <v>10101</v>
      </c>
      <c r="D3015" s="330" t="s">
        <v>10102</v>
      </c>
      <c r="E3015" s="330" t="s">
        <v>4634</v>
      </c>
      <c r="F3015" s="331">
        <v>0.21</v>
      </c>
      <c r="G3015" s="332">
        <v>678</v>
      </c>
      <c r="H3015" s="333">
        <v>821</v>
      </c>
    </row>
    <row r="3016" spans="1:8">
      <c r="A3016" s="317">
        <v>1606610124</v>
      </c>
      <c r="B3016" s="317" t="s">
        <v>47383</v>
      </c>
      <c r="C3016" s="330" t="s">
        <v>10103</v>
      </c>
      <c r="D3016" s="330" t="s">
        <v>10104</v>
      </c>
      <c r="E3016" s="330" t="s">
        <v>4634</v>
      </c>
      <c r="F3016" s="331">
        <v>0.21</v>
      </c>
      <c r="G3016" s="332">
        <v>702</v>
      </c>
      <c r="H3016" s="333">
        <v>850</v>
      </c>
    </row>
    <row r="3017" spans="1:8">
      <c r="A3017" s="317">
        <v>1606610127</v>
      </c>
      <c r="B3017" s="317" t="s">
        <v>47384</v>
      </c>
      <c r="C3017" s="330" t="s">
        <v>10105</v>
      </c>
      <c r="D3017" s="330" t="s">
        <v>10106</v>
      </c>
      <c r="E3017" s="330" t="s">
        <v>4634</v>
      </c>
      <c r="F3017" s="331">
        <v>0.21</v>
      </c>
      <c r="G3017" s="332">
        <v>3830</v>
      </c>
      <c r="H3017" s="333">
        <v>4635</v>
      </c>
    </row>
    <row r="3018" spans="1:8">
      <c r="A3018" s="317">
        <v>1606610129</v>
      </c>
      <c r="B3018" s="317" t="s">
        <v>47385</v>
      </c>
      <c r="C3018" s="330" t="s">
        <v>10107</v>
      </c>
      <c r="D3018" s="330" t="s">
        <v>5573</v>
      </c>
      <c r="E3018" s="330" t="s">
        <v>37248</v>
      </c>
      <c r="F3018" s="331">
        <v>0.21</v>
      </c>
      <c r="G3018" s="332">
        <v>3084</v>
      </c>
      <c r="H3018" s="333">
        <v>3732</v>
      </c>
    </row>
    <row r="3019" spans="1:8">
      <c r="A3019" s="317">
        <v>1606610132</v>
      </c>
      <c r="B3019" s="317" t="s">
        <v>47386</v>
      </c>
      <c r="C3019" s="330" t="s">
        <v>10108</v>
      </c>
      <c r="D3019" s="330" t="s">
        <v>10109</v>
      </c>
      <c r="E3019" s="330" t="s">
        <v>37248</v>
      </c>
      <c r="F3019" s="331">
        <v>0.21</v>
      </c>
      <c r="G3019" s="332">
        <v>3499</v>
      </c>
      <c r="H3019" s="333">
        <v>4234</v>
      </c>
    </row>
    <row r="3020" spans="1:8">
      <c r="A3020" s="317">
        <v>1606610138</v>
      </c>
      <c r="B3020" s="317" t="s">
        <v>47387</v>
      </c>
      <c r="C3020" s="330" t="s">
        <v>10110</v>
      </c>
      <c r="D3020" s="330" t="s">
        <v>10111</v>
      </c>
      <c r="E3020" s="330" t="s">
        <v>4634</v>
      </c>
      <c r="F3020" s="331">
        <v>0.21</v>
      </c>
      <c r="G3020" s="332">
        <v>4432</v>
      </c>
      <c r="H3020" s="333">
        <v>5363</v>
      </c>
    </row>
    <row r="3021" spans="1:8">
      <c r="A3021" s="317">
        <v>1606610141</v>
      </c>
      <c r="B3021" s="317" t="s">
        <v>47388</v>
      </c>
      <c r="C3021" s="330" t="s">
        <v>10112</v>
      </c>
      <c r="D3021" s="330" t="s">
        <v>10113</v>
      </c>
      <c r="E3021" s="330" t="s">
        <v>4819</v>
      </c>
      <c r="F3021" s="331">
        <v>0.21</v>
      </c>
      <c r="G3021" s="332">
        <v>5955</v>
      </c>
      <c r="H3021" s="333">
        <v>7206</v>
      </c>
    </row>
    <row r="3022" spans="1:8">
      <c r="A3022" s="317">
        <v>1606610142</v>
      </c>
      <c r="B3022" s="317" t="s">
        <v>47389</v>
      </c>
      <c r="C3022" s="330" t="s">
        <v>10114</v>
      </c>
      <c r="D3022" s="330" t="s">
        <v>10115</v>
      </c>
      <c r="E3022" s="330" t="s">
        <v>4634</v>
      </c>
      <c r="F3022" s="331">
        <v>0.21</v>
      </c>
      <c r="G3022" s="332">
        <v>5101</v>
      </c>
      <c r="H3022" s="333">
        <v>6173</v>
      </c>
    </row>
    <row r="3023" spans="1:8">
      <c r="A3023" s="317">
        <v>1606610150</v>
      </c>
      <c r="B3023" s="317" t="s">
        <v>47390</v>
      </c>
      <c r="C3023" s="330" t="s">
        <v>10116</v>
      </c>
      <c r="D3023" s="330" t="s">
        <v>10117</v>
      </c>
      <c r="E3023" s="330" t="s">
        <v>4819</v>
      </c>
      <c r="F3023" s="331">
        <v>0.21</v>
      </c>
      <c r="G3023" s="332">
        <v>3035</v>
      </c>
      <c r="H3023" s="333">
        <v>3673</v>
      </c>
    </row>
    <row r="3024" spans="1:8">
      <c r="A3024" s="317">
        <v>1606610151</v>
      </c>
      <c r="B3024" s="317" t="s">
        <v>47391</v>
      </c>
      <c r="C3024" s="330" t="s">
        <v>10118</v>
      </c>
      <c r="D3024" s="330" t="s">
        <v>10119</v>
      </c>
      <c r="E3024" s="330" t="s">
        <v>4634</v>
      </c>
      <c r="F3024" s="331">
        <v>0.21</v>
      </c>
      <c r="G3024" s="332">
        <v>1431</v>
      </c>
      <c r="H3024" s="333">
        <v>1732</v>
      </c>
    </row>
    <row r="3025" spans="1:8">
      <c r="A3025" s="317">
        <v>1606610156</v>
      </c>
      <c r="B3025" s="317" t="s">
        <v>47392</v>
      </c>
      <c r="C3025" s="330" t="s">
        <v>10120</v>
      </c>
      <c r="D3025" s="330" t="s">
        <v>10121</v>
      </c>
      <c r="E3025" s="330" t="s">
        <v>4819</v>
      </c>
      <c r="F3025" s="331">
        <v>0.21</v>
      </c>
      <c r="G3025" s="332">
        <v>2717</v>
      </c>
      <c r="H3025" s="333">
        <v>3288</v>
      </c>
    </row>
    <row r="3026" spans="1:8">
      <c r="A3026" s="317" t="s">
        <v>38940</v>
      </c>
      <c r="B3026" s="317" t="s">
        <v>47393</v>
      </c>
      <c r="C3026" s="330" t="s">
        <v>10122</v>
      </c>
      <c r="D3026" s="330" t="s">
        <v>10123</v>
      </c>
      <c r="E3026" s="330" t="s">
        <v>37248</v>
      </c>
      <c r="F3026" s="331">
        <v>0.21</v>
      </c>
      <c r="G3026" s="332">
        <v>1224</v>
      </c>
      <c r="H3026" s="333">
        <v>1482</v>
      </c>
    </row>
    <row r="3027" spans="1:8">
      <c r="A3027" s="317">
        <v>160661016</v>
      </c>
      <c r="B3027" s="317">
        <v>160661016</v>
      </c>
      <c r="C3027" s="330" t="s">
        <v>10124</v>
      </c>
      <c r="D3027" s="330" t="s">
        <v>5573</v>
      </c>
      <c r="E3027" s="330" t="s">
        <v>37248</v>
      </c>
      <c r="F3027" s="331">
        <v>0.21</v>
      </c>
      <c r="G3027" s="332">
        <v>934</v>
      </c>
      <c r="H3027" s="333">
        <v>1131</v>
      </c>
    </row>
    <row r="3028" spans="1:8">
      <c r="A3028" s="317">
        <v>1606610900</v>
      </c>
      <c r="B3028" s="317" t="s">
        <v>47394</v>
      </c>
      <c r="C3028" s="330" t="s">
        <v>10125</v>
      </c>
      <c r="D3028" s="330" t="s">
        <v>10126</v>
      </c>
      <c r="E3028" s="330" t="s">
        <v>4634</v>
      </c>
      <c r="F3028" s="331">
        <v>0.21</v>
      </c>
      <c r="G3028" s="332">
        <v>7303</v>
      </c>
      <c r="H3028" s="333">
        <v>8837</v>
      </c>
    </row>
    <row r="3029" spans="1:8">
      <c r="A3029" s="317">
        <v>1606625025</v>
      </c>
      <c r="B3029" s="317" t="s">
        <v>47395</v>
      </c>
      <c r="C3029" s="330" t="s">
        <v>10127</v>
      </c>
      <c r="D3029" s="330" t="s">
        <v>10128</v>
      </c>
      <c r="E3029" s="330" t="s">
        <v>4634</v>
      </c>
      <c r="F3029" s="331">
        <v>0.21</v>
      </c>
      <c r="G3029" s="332">
        <v>1217</v>
      </c>
      <c r="H3029" s="333">
        <v>1473</v>
      </c>
    </row>
    <row r="3030" spans="1:8">
      <c r="A3030" s="317">
        <v>1606625026</v>
      </c>
      <c r="B3030" s="317" t="s">
        <v>47396</v>
      </c>
      <c r="C3030" s="330" t="s">
        <v>10129</v>
      </c>
      <c r="D3030" s="330" t="s">
        <v>10130</v>
      </c>
      <c r="E3030" s="330" t="s">
        <v>4634</v>
      </c>
      <c r="F3030" s="331">
        <v>0.21</v>
      </c>
      <c r="G3030" s="332">
        <v>972</v>
      </c>
      <c r="H3030" s="333">
        <v>1177</v>
      </c>
    </row>
    <row r="3031" spans="1:8">
      <c r="A3031" s="317">
        <v>1607000027</v>
      </c>
      <c r="B3031" s="317" t="s">
        <v>47397</v>
      </c>
      <c r="C3031" s="330" t="s">
        <v>10131</v>
      </c>
      <c r="D3031" s="330" t="s">
        <v>10132</v>
      </c>
      <c r="E3031" s="330" t="s">
        <v>4634</v>
      </c>
      <c r="F3031" s="331">
        <v>0.21</v>
      </c>
      <c r="G3031" s="332">
        <v>426</v>
      </c>
      <c r="H3031" s="333">
        <v>516</v>
      </c>
    </row>
    <row r="3032" spans="1:8">
      <c r="A3032" s="317">
        <v>1607000032</v>
      </c>
      <c r="B3032" s="317" t="s">
        <v>47398</v>
      </c>
      <c r="C3032" s="330" t="s">
        <v>10133</v>
      </c>
      <c r="D3032" s="330" t="s">
        <v>10134</v>
      </c>
      <c r="E3032" s="330" t="s">
        <v>4634</v>
      </c>
      <c r="F3032" s="331">
        <v>0.21</v>
      </c>
      <c r="G3032" s="332">
        <v>7910</v>
      </c>
      <c r="H3032" s="333">
        <v>9572</v>
      </c>
    </row>
    <row r="3033" spans="1:8">
      <c r="A3033" s="317">
        <v>1607000036</v>
      </c>
      <c r="B3033" s="317" t="s">
        <v>47399</v>
      </c>
      <c r="C3033" s="330" t="s">
        <v>10135</v>
      </c>
      <c r="D3033" s="330" t="s">
        <v>10136</v>
      </c>
      <c r="E3033" s="330" t="s">
        <v>4634</v>
      </c>
      <c r="F3033" s="331">
        <v>0.21</v>
      </c>
      <c r="G3033" s="332">
        <v>12840</v>
      </c>
      <c r="H3033" s="333">
        <v>15537</v>
      </c>
    </row>
    <row r="3034" spans="1:8">
      <c r="A3034" s="317">
        <v>1607000038</v>
      </c>
      <c r="B3034" s="317" t="s">
        <v>47400</v>
      </c>
      <c r="C3034" s="330" t="s">
        <v>10137</v>
      </c>
      <c r="D3034" s="330" t="s">
        <v>10138</v>
      </c>
      <c r="E3034" s="330" t="s">
        <v>4634</v>
      </c>
      <c r="F3034" s="331">
        <v>0.21</v>
      </c>
      <c r="G3034" s="332">
        <v>2270</v>
      </c>
      <c r="H3034" s="333">
        <v>2747</v>
      </c>
    </row>
    <row r="3035" spans="1:8">
      <c r="A3035" s="317">
        <v>1607000039</v>
      </c>
      <c r="B3035" s="317" t="s">
        <v>47401</v>
      </c>
      <c r="C3035" s="330" t="s">
        <v>10139</v>
      </c>
      <c r="D3035" s="330" t="s">
        <v>10140</v>
      </c>
      <c r="E3035" s="330" t="s">
        <v>4634</v>
      </c>
      <c r="F3035" s="331">
        <v>0.21</v>
      </c>
      <c r="G3035" s="332">
        <v>2768</v>
      </c>
      <c r="H3035" s="333">
        <v>3350</v>
      </c>
    </row>
    <row r="3036" spans="1:8">
      <c r="A3036" s="317">
        <v>1607000044</v>
      </c>
      <c r="B3036" s="317" t="s">
        <v>47402</v>
      </c>
      <c r="C3036" s="330" t="s">
        <v>10141</v>
      </c>
      <c r="D3036" s="330" t="s">
        <v>10140</v>
      </c>
      <c r="E3036" s="330" t="s">
        <v>4634</v>
      </c>
      <c r="F3036" s="331">
        <v>0.21</v>
      </c>
      <c r="G3036" s="332">
        <v>3741</v>
      </c>
      <c r="H3036" s="333">
        <v>4527</v>
      </c>
    </row>
    <row r="3037" spans="1:8">
      <c r="A3037" s="317">
        <v>1607000189</v>
      </c>
      <c r="B3037" s="317" t="s">
        <v>47403</v>
      </c>
      <c r="C3037" s="330" t="s">
        <v>10142</v>
      </c>
      <c r="D3037" s="330" t="s">
        <v>10143</v>
      </c>
      <c r="E3037" s="330" t="s">
        <v>4634</v>
      </c>
      <c r="F3037" s="331">
        <v>0.21</v>
      </c>
      <c r="G3037" s="332">
        <v>2226</v>
      </c>
      <c r="H3037" s="333">
        <v>2694</v>
      </c>
    </row>
    <row r="3038" spans="1:8">
      <c r="A3038" s="317">
        <v>1607000206</v>
      </c>
      <c r="B3038" s="317" t="s">
        <v>47404</v>
      </c>
      <c r="C3038" s="330" t="s">
        <v>10144</v>
      </c>
      <c r="D3038" s="330" t="s">
        <v>10145</v>
      </c>
      <c r="E3038" s="330" t="s">
        <v>4634</v>
      </c>
      <c r="F3038" s="331">
        <v>0.21</v>
      </c>
      <c r="G3038" s="332">
        <v>2212</v>
      </c>
      <c r="H3038" s="333">
        <v>2677</v>
      </c>
    </row>
    <row r="3039" spans="1:8">
      <c r="A3039" s="317">
        <v>1607000218</v>
      </c>
      <c r="B3039" s="317" t="s">
        <v>47405</v>
      </c>
      <c r="C3039" s="330" t="s">
        <v>10146</v>
      </c>
      <c r="D3039" s="330" t="s">
        <v>10147</v>
      </c>
      <c r="E3039" s="330" t="s">
        <v>4634</v>
      </c>
      <c r="F3039" s="331">
        <v>0.21</v>
      </c>
      <c r="G3039" s="332">
        <v>3056</v>
      </c>
      <c r="H3039" s="333">
        <v>3698</v>
      </c>
    </row>
    <row r="3040" spans="1:8">
      <c r="A3040" s="317">
        <v>1607000227</v>
      </c>
      <c r="B3040" s="317" t="s">
        <v>47406</v>
      </c>
      <c r="C3040" s="330" t="s">
        <v>10148</v>
      </c>
      <c r="D3040" s="330" t="s">
        <v>10149</v>
      </c>
      <c r="E3040" s="330" t="s">
        <v>4634</v>
      </c>
      <c r="F3040" s="331">
        <v>0.21</v>
      </c>
      <c r="G3040" s="332">
        <v>5652</v>
      </c>
      <c r="H3040" s="333">
        <v>6839</v>
      </c>
    </row>
    <row r="3041" spans="1:8">
      <c r="A3041" s="317">
        <v>1607000228</v>
      </c>
      <c r="B3041" s="317" t="s">
        <v>47407</v>
      </c>
      <c r="C3041" s="330" t="s">
        <v>10150</v>
      </c>
      <c r="D3041" s="330" t="s">
        <v>10151</v>
      </c>
      <c r="E3041" s="330" t="s">
        <v>4634</v>
      </c>
      <c r="F3041" s="331">
        <v>0.21</v>
      </c>
      <c r="G3041" s="332">
        <v>5909</v>
      </c>
      <c r="H3041" s="333">
        <v>7150</v>
      </c>
    </row>
    <row r="3042" spans="1:8">
      <c r="A3042" s="317">
        <v>1607000231</v>
      </c>
      <c r="B3042" s="317" t="s">
        <v>47408</v>
      </c>
      <c r="C3042" s="330" t="s">
        <v>10152</v>
      </c>
      <c r="D3042" s="330" t="s">
        <v>10153</v>
      </c>
      <c r="E3042" s="330" t="s">
        <v>4819</v>
      </c>
      <c r="F3042" s="331">
        <v>0.21</v>
      </c>
      <c r="G3042" s="332">
        <v>18628</v>
      </c>
      <c r="H3042" s="333">
        <v>22540</v>
      </c>
    </row>
    <row r="3043" spans="1:8">
      <c r="A3043" s="317">
        <v>1607000253</v>
      </c>
      <c r="B3043" s="317" t="s">
        <v>47409</v>
      </c>
      <c r="C3043" s="330" t="s">
        <v>10154</v>
      </c>
      <c r="D3043" s="330" t="s">
        <v>10155</v>
      </c>
      <c r="E3043" s="330" t="s">
        <v>37248</v>
      </c>
      <c r="F3043" s="331">
        <v>0.21</v>
      </c>
      <c r="G3043" s="332">
        <v>5549</v>
      </c>
      <c r="H3043" s="333">
        <v>6715</v>
      </c>
    </row>
    <row r="3044" spans="1:8">
      <c r="A3044" s="317">
        <v>1607000285</v>
      </c>
      <c r="B3044" s="317" t="s">
        <v>47410</v>
      </c>
      <c r="C3044" s="330" t="s">
        <v>10156</v>
      </c>
      <c r="D3044" s="330" t="s">
        <v>10157</v>
      </c>
      <c r="E3044" s="330" t="s">
        <v>4634</v>
      </c>
      <c r="F3044" s="331">
        <v>0.21</v>
      </c>
      <c r="G3044" s="332">
        <v>17669</v>
      </c>
      <c r="H3044" s="333">
        <v>21380</v>
      </c>
    </row>
    <row r="3045" spans="1:8">
      <c r="A3045" s="317">
        <v>1607000295</v>
      </c>
      <c r="B3045" s="317" t="s">
        <v>47411</v>
      </c>
      <c r="C3045" s="330" t="s">
        <v>10158</v>
      </c>
      <c r="D3045" s="330" t="s">
        <v>10159</v>
      </c>
      <c r="E3045" s="330" t="s">
        <v>4634</v>
      </c>
      <c r="F3045" s="331">
        <v>0.21</v>
      </c>
      <c r="G3045" s="332">
        <v>19188</v>
      </c>
      <c r="H3045" s="333">
        <v>23218</v>
      </c>
    </row>
    <row r="3046" spans="1:8">
      <c r="A3046" s="317">
        <v>1607000316</v>
      </c>
      <c r="B3046" s="317" t="s">
        <v>47412</v>
      </c>
      <c r="C3046" s="330" t="s">
        <v>10160</v>
      </c>
      <c r="D3046" s="330" t="s">
        <v>10161</v>
      </c>
      <c r="E3046" s="330" t="s">
        <v>4634</v>
      </c>
      <c r="F3046" s="331">
        <v>0.21</v>
      </c>
      <c r="G3046" s="332">
        <v>1566</v>
      </c>
      <c r="H3046" s="333">
        <v>1895</v>
      </c>
    </row>
    <row r="3047" spans="1:8">
      <c r="A3047" s="317">
        <v>1607000326</v>
      </c>
      <c r="B3047" s="317" t="s">
        <v>47413</v>
      </c>
      <c r="C3047" s="330" t="s">
        <v>10162</v>
      </c>
      <c r="D3047" s="330" t="s">
        <v>10163</v>
      </c>
      <c r="E3047" s="330" t="s">
        <v>4634</v>
      </c>
      <c r="F3047" s="331">
        <v>0.21</v>
      </c>
      <c r="G3047" s="332">
        <v>12452</v>
      </c>
      <c r="H3047" s="333">
        <v>15067</v>
      </c>
    </row>
    <row r="3048" spans="1:8">
      <c r="A3048" s="317">
        <v>1607000342</v>
      </c>
      <c r="B3048" s="317" t="s">
        <v>47414</v>
      </c>
      <c r="C3048" s="330" t="s">
        <v>10164</v>
      </c>
      <c r="D3048" s="330" t="s">
        <v>10165</v>
      </c>
      <c r="E3048" s="330" t="s">
        <v>4819</v>
      </c>
      <c r="F3048" s="331">
        <v>0.21</v>
      </c>
      <c r="G3048" s="332">
        <v>3506</v>
      </c>
      <c r="H3048" s="333">
        <v>4243</v>
      </c>
    </row>
    <row r="3049" spans="1:8">
      <c r="A3049" s="317">
        <v>1607000357</v>
      </c>
      <c r="B3049" s="317" t="s">
        <v>47415</v>
      </c>
      <c r="C3049" s="330" t="s">
        <v>10166</v>
      </c>
      <c r="D3049" s="330" t="s">
        <v>10167</v>
      </c>
      <c r="E3049" s="330" t="s">
        <v>4634</v>
      </c>
      <c r="F3049" s="331">
        <v>0.21</v>
      </c>
      <c r="G3049" s="332">
        <v>17089</v>
      </c>
      <c r="H3049" s="333">
        <v>20678</v>
      </c>
    </row>
    <row r="3050" spans="1:8">
      <c r="A3050" s="317">
        <v>1607000358</v>
      </c>
      <c r="B3050" s="317" t="s">
        <v>47416</v>
      </c>
      <c r="C3050" s="330" t="s">
        <v>10168</v>
      </c>
      <c r="D3050" s="330" t="s">
        <v>10169</v>
      </c>
      <c r="E3050" s="330" t="s">
        <v>4634</v>
      </c>
      <c r="F3050" s="331">
        <v>0.21</v>
      </c>
      <c r="G3050" s="332">
        <v>9909</v>
      </c>
      <c r="H3050" s="333">
        <v>11990</v>
      </c>
    </row>
    <row r="3051" spans="1:8">
      <c r="A3051" s="317">
        <v>1607000360</v>
      </c>
      <c r="B3051" s="317" t="s">
        <v>47417</v>
      </c>
      <c r="C3051" s="330" t="s">
        <v>10170</v>
      </c>
      <c r="D3051" s="330" t="s">
        <v>10171</v>
      </c>
      <c r="E3051" s="330" t="s">
        <v>4634</v>
      </c>
      <c r="F3051" s="331">
        <v>0.21</v>
      </c>
      <c r="G3051" s="332">
        <v>13616</v>
      </c>
      <c r="H3051" s="333">
        <v>16476</v>
      </c>
    </row>
    <row r="3052" spans="1:8">
      <c r="A3052" s="317">
        <v>1607000363</v>
      </c>
      <c r="B3052" s="317" t="s">
        <v>47418</v>
      </c>
      <c r="C3052" s="330" t="s">
        <v>10172</v>
      </c>
      <c r="D3052" s="330" t="s">
        <v>10173</v>
      </c>
      <c r="E3052" s="330" t="s">
        <v>4634</v>
      </c>
      <c r="F3052" s="331">
        <v>0.21</v>
      </c>
      <c r="G3052" s="332">
        <v>9478</v>
      </c>
      <c r="H3052" s="333">
        <v>11469</v>
      </c>
    </row>
    <row r="3053" spans="1:8">
      <c r="A3053" s="317">
        <v>1607000368</v>
      </c>
      <c r="B3053" s="317" t="s">
        <v>47419</v>
      </c>
      <c r="C3053" s="330" t="s">
        <v>10174</v>
      </c>
      <c r="D3053" s="330" t="s">
        <v>10175</v>
      </c>
      <c r="E3053" s="330" t="s">
        <v>4634</v>
      </c>
      <c r="F3053" s="331">
        <v>0.21</v>
      </c>
      <c r="G3053" s="332">
        <v>6902</v>
      </c>
      <c r="H3053" s="333">
        <v>8352</v>
      </c>
    </row>
    <row r="3054" spans="1:8">
      <c r="A3054" s="317">
        <v>1607000374</v>
      </c>
      <c r="B3054" s="317" t="s">
        <v>47420</v>
      </c>
      <c r="C3054" s="330" t="s">
        <v>10176</v>
      </c>
      <c r="D3054" s="330" t="s">
        <v>10177</v>
      </c>
      <c r="E3054" s="330" t="s">
        <v>4634</v>
      </c>
      <c r="F3054" s="331">
        <v>0.21</v>
      </c>
      <c r="G3054" s="332">
        <v>5701</v>
      </c>
      <c r="H3054" s="333">
        <v>6899</v>
      </c>
    </row>
    <row r="3055" spans="1:8">
      <c r="A3055" s="317">
        <v>1607000381</v>
      </c>
      <c r="B3055" s="317" t="s">
        <v>47421</v>
      </c>
      <c r="C3055" s="330" t="s">
        <v>10178</v>
      </c>
      <c r="D3055" s="330" t="s">
        <v>10179</v>
      </c>
      <c r="E3055" s="330" t="s">
        <v>4634</v>
      </c>
      <c r="F3055" s="331">
        <v>0.21</v>
      </c>
      <c r="G3055" s="332">
        <v>16773</v>
      </c>
      <c r="H3055" s="333">
        <v>20296</v>
      </c>
    </row>
    <row r="3056" spans="1:8">
      <c r="A3056" s="317">
        <v>1607000382</v>
      </c>
      <c r="B3056" s="317" t="s">
        <v>47422</v>
      </c>
      <c r="C3056" s="330" t="s">
        <v>10180</v>
      </c>
      <c r="D3056" s="330" t="s">
        <v>10181</v>
      </c>
      <c r="E3056" s="330" t="s">
        <v>4634</v>
      </c>
      <c r="F3056" s="331">
        <v>0.21</v>
      </c>
      <c r="G3056" s="332">
        <v>16094</v>
      </c>
      <c r="H3056" s="333">
        <v>19474</v>
      </c>
    </row>
    <row r="3057" spans="1:8">
      <c r="A3057" s="317">
        <v>1607000385</v>
      </c>
      <c r="B3057" s="317" t="s">
        <v>47423</v>
      </c>
      <c r="C3057" s="330" t="s">
        <v>10182</v>
      </c>
      <c r="D3057" s="330" t="s">
        <v>10183</v>
      </c>
      <c r="E3057" s="330" t="s">
        <v>4634</v>
      </c>
      <c r="F3057" s="331">
        <v>0.21</v>
      </c>
      <c r="G3057" s="332">
        <v>3047</v>
      </c>
      <c r="H3057" s="333">
        <v>3687</v>
      </c>
    </row>
    <row r="3058" spans="1:8">
      <c r="A3058" s="317">
        <v>1607000386</v>
      </c>
      <c r="B3058" s="317" t="s">
        <v>47424</v>
      </c>
      <c r="C3058" s="330" t="s">
        <v>10184</v>
      </c>
      <c r="D3058" s="330" t="s">
        <v>9297</v>
      </c>
      <c r="E3058" s="330" t="s">
        <v>4819</v>
      </c>
      <c r="F3058" s="331">
        <v>0.21</v>
      </c>
      <c r="G3058" s="332">
        <v>7430</v>
      </c>
      <c r="H3058" s="333">
        <v>8991</v>
      </c>
    </row>
    <row r="3059" spans="1:8">
      <c r="A3059" s="317">
        <v>1607000395</v>
      </c>
      <c r="B3059" s="317" t="s">
        <v>47425</v>
      </c>
      <c r="C3059" s="330" t="s">
        <v>10185</v>
      </c>
      <c r="D3059" s="330" t="s">
        <v>10186</v>
      </c>
      <c r="E3059" s="330" t="s">
        <v>4819</v>
      </c>
      <c r="F3059" s="331">
        <v>0.21</v>
      </c>
      <c r="G3059" s="332">
        <v>50908</v>
      </c>
      <c r="H3059" s="333">
        <v>61599</v>
      </c>
    </row>
    <row r="3060" spans="1:8">
      <c r="A3060" s="317">
        <v>1607000397</v>
      </c>
      <c r="B3060" s="317" t="s">
        <v>47426</v>
      </c>
      <c r="C3060" s="330" t="s">
        <v>10187</v>
      </c>
      <c r="D3060" s="330" t="s">
        <v>10188</v>
      </c>
      <c r="E3060" s="330" t="s">
        <v>37248</v>
      </c>
      <c r="F3060" s="331">
        <v>0.21</v>
      </c>
      <c r="G3060" s="332">
        <v>31964</v>
      </c>
      <c r="H3060" s="333">
        <v>38677</v>
      </c>
    </row>
    <row r="3061" spans="1:8">
      <c r="A3061" s="317">
        <v>1607000429</v>
      </c>
      <c r="B3061" s="317" t="s">
        <v>47427</v>
      </c>
      <c r="C3061" s="330" t="s">
        <v>10189</v>
      </c>
      <c r="D3061" s="330" t="s">
        <v>10190</v>
      </c>
      <c r="E3061" s="330" t="s">
        <v>4634</v>
      </c>
      <c r="F3061" s="331">
        <v>0.21</v>
      </c>
      <c r="G3061" s="332">
        <v>39451</v>
      </c>
      <c r="H3061" s="333">
        <v>47736</v>
      </c>
    </row>
    <row r="3062" spans="1:8">
      <c r="A3062" s="317">
        <v>1607000430</v>
      </c>
      <c r="B3062" s="317" t="s">
        <v>47428</v>
      </c>
      <c r="C3062" s="330" t="s">
        <v>10191</v>
      </c>
      <c r="D3062" s="330" t="s">
        <v>10192</v>
      </c>
      <c r="E3062" s="330" t="s">
        <v>4634</v>
      </c>
      <c r="F3062" s="331">
        <v>0.21</v>
      </c>
      <c r="G3062" s="332">
        <v>36899</v>
      </c>
      <c r="H3062" s="333">
        <v>44648</v>
      </c>
    </row>
    <row r="3063" spans="1:8">
      <c r="A3063" s="317">
        <v>1607000431</v>
      </c>
      <c r="B3063" s="317" t="s">
        <v>47429</v>
      </c>
      <c r="C3063" s="330" t="s">
        <v>10193</v>
      </c>
      <c r="D3063" s="330" t="s">
        <v>10194</v>
      </c>
      <c r="E3063" s="330" t="s">
        <v>37248</v>
      </c>
      <c r="F3063" s="331">
        <v>0.21</v>
      </c>
      <c r="G3063" s="332">
        <v>4407</v>
      </c>
      <c r="H3063" s="333">
        <v>5333</v>
      </c>
    </row>
    <row r="3064" spans="1:8">
      <c r="A3064" s="317">
        <v>1607000432</v>
      </c>
      <c r="B3064" s="317" t="s">
        <v>47430</v>
      </c>
      <c r="C3064" s="330" t="s">
        <v>10195</v>
      </c>
      <c r="D3064" s="330" t="s">
        <v>7140</v>
      </c>
      <c r="E3064" s="330" t="s">
        <v>4819</v>
      </c>
      <c r="F3064" s="331">
        <v>0.21</v>
      </c>
      <c r="G3064" s="332">
        <v>658</v>
      </c>
      <c r="H3064" s="333">
        <v>797</v>
      </c>
    </row>
    <row r="3065" spans="1:8">
      <c r="A3065" s="317">
        <v>1607000434</v>
      </c>
      <c r="B3065" s="317" t="s">
        <v>47431</v>
      </c>
      <c r="C3065" s="330" t="s">
        <v>10196</v>
      </c>
      <c r="D3065" s="330" t="s">
        <v>10197</v>
      </c>
      <c r="E3065" s="330" t="s">
        <v>4634</v>
      </c>
      <c r="F3065" s="331">
        <v>0.21</v>
      </c>
      <c r="G3065" s="332">
        <v>42872</v>
      </c>
      <c r="H3065" s="333">
        <v>51876</v>
      </c>
    </row>
    <row r="3066" spans="1:8">
      <c r="A3066" s="317">
        <v>1607000448</v>
      </c>
      <c r="B3066" s="317" t="s">
        <v>47432</v>
      </c>
      <c r="C3066" s="330" t="s">
        <v>10198</v>
      </c>
      <c r="D3066" s="330" t="s">
        <v>10199</v>
      </c>
      <c r="E3066" s="330" t="s">
        <v>4634</v>
      </c>
      <c r="F3066" s="331">
        <v>0.21</v>
      </c>
      <c r="G3066" s="332">
        <v>5384</v>
      </c>
      <c r="H3066" s="333">
        <v>6515</v>
      </c>
    </row>
    <row r="3067" spans="1:8">
      <c r="A3067" s="317">
        <v>1607000449</v>
      </c>
      <c r="B3067" s="317" t="s">
        <v>47433</v>
      </c>
      <c r="C3067" s="330" t="s">
        <v>10200</v>
      </c>
      <c r="D3067" s="330" t="s">
        <v>10201</v>
      </c>
      <c r="E3067" s="330" t="s">
        <v>4634</v>
      </c>
      <c r="F3067" s="331">
        <v>0.21</v>
      </c>
      <c r="G3067" s="332">
        <v>4443</v>
      </c>
      <c r="H3067" s="333">
        <v>5377</v>
      </c>
    </row>
    <row r="3068" spans="1:8">
      <c r="A3068" s="317">
        <v>1607000481</v>
      </c>
      <c r="B3068" s="317" t="s">
        <v>47434</v>
      </c>
      <c r="C3068" s="330" t="s">
        <v>10202</v>
      </c>
      <c r="D3068" s="330" t="s">
        <v>10203</v>
      </c>
      <c r="E3068" s="330" t="s">
        <v>37248</v>
      </c>
      <c r="F3068" s="331">
        <v>0.21</v>
      </c>
      <c r="G3068" s="332">
        <v>126223</v>
      </c>
      <c r="H3068" s="333">
        <v>152730</v>
      </c>
    </row>
    <row r="3069" spans="1:8">
      <c r="A3069" s="317">
        <v>1607000482</v>
      </c>
      <c r="B3069" s="317" t="s">
        <v>47435</v>
      </c>
      <c r="C3069" s="330" t="s">
        <v>10204</v>
      </c>
      <c r="D3069" s="330" t="s">
        <v>10205</v>
      </c>
      <c r="E3069" s="330" t="s">
        <v>37248</v>
      </c>
      <c r="F3069" s="331">
        <v>0.21</v>
      </c>
      <c r="G3069" s="332">
        <v>45733</v>
      </c>
      <c r="H3069" s="333">
        <v>55337</v>
      </c>
    </row>
    <row r="3070" spans="1:8">
      <c r="A3070" s="317">
        <v>1607000494</v>
      </c>
      <c r="B3070" s="317" t="s">
        <v>47436</v>
      </c>
      <c r="C3070" s="330" t="s">
        <v>10206</v>
      </c>
      <c r="D3070" s="330" t="s">
        <v>10207</v>
      </c>
      <c r="E3070" s="330" t="s">
        <v>4819</v>
      </c>
      <c r="F3070" s="331">
        <v>0.21</v>
      </c>
      <c r="G3070" s="332">
        <v>56715</v>
      </c>
      <c r="H3070" s="333">
        <v>68626</v>
      </c>
    </row>
    <row r="3071" spans="1:8">
      <c r="A3071" s="317">
        <v>1607000504</v>
      </c>
      <c r="B3071" s="317" t="s">
        <v>47437</v>
      </c>
      <c r="C3071" s="330" t="s">
        <v>10208</v>
      </c>
      <c r="D3071" s="330" t="s">
        <v>10209</v>
      </c>
      <c r="E3071" s="330" t="s">
        <v>37248</v>
      </c>
      <c r="F3071" s="331">
        <v>0.21</v>
      </c>
      <c r="G3071" s="332">
        <v>6023</v>
      </c>
      <c r="H3071" s="333">
        <v>7288</v>
      </c>
    </row>
    <row r="3072" spans="1:8">
      <c r="A3072" s="317">
        <v>1607000744</v>
      </c>
      <c r="B3072" s="317" t="s">
        <v>47438</v>
      </c>
      <c r="C3072" s="330" t="s">
        <v>10210</v>
      </c>
      <c r="D3072" s="330" t="s">
        <v>10211</v>
      </c>
      <c r="E3072" s="330" t="s">
        <v>37248</v>
      </c>
      <c r="F3072" s="331">
        <v>0.21</v>
      </c>
      <c r="G3072" s="332">
        <v>11055</v>
      </c>
      <c r="H3072" s="333">
        <v>13377</v>
      </c>
    </row>
    <row r="3073" spans="1:8">
      <c r="A3073" s="317">
        <v>1607000751</v>
      </c>
      <c r="B3073" s="317" t="s">
        <v>47439</v>
      </c>
      <c r="C3073" s="330" t="s">
        <v>10212</v>
      </c>
      <c r="D3073" s="330" t="s">
        <v>10213</v>
      </c>
      <c r="E3073" s="330" t="s">
        <v>37248</v>
      </c>
      <c r="F3073" s="331">
        <v>0.21</v>
      </c>
      <c r="G3073" s="332">
        <v>19086</v>
      </c>
      <c r="H3073" s="333">
        <v>23095</v>
      </c>
    </row>
    <row r="3074" spans="1:8">
      <c r="A3074" s="317">
        <v>1607000821</v>
      </c>
      <c r="B3074" s="317" t="s">
        <v>47440</v>
      </c>
      <c r="C3074" s="330" t="s">
        <v>10214</v>
      </c>
      <c r="D3074" s="330" t="s">
        <v>10215</v>
      </c>
      <c r="E3074" s="330" t="s">
        <v>4634</v>
      </c>
      <c r="F3074" s="331">
        <v>0.21</v>
      </c>
      <c r="G3074" s="332">
        <v>38679</v>
      </c>
      <c r="H3074" s="333">
        <v>46802</v>
      </c>
    </row>
    <row r="3075" spans="1:8">
      <c r="A3075" s="317">
        <v>1607000849</v>
      </c>
      <c r="B3075" s="317" t="s">
        <v>47441</v>
      </c>
      <c r="C3075" s="330" t="s">
        <v>10216</v>
      </c>
      <c r="D3075" s="330" t="s">
        <v>10217</v>
      </c>
      <c r="E3075" s="330" t="s">
        <v>4634</v>
      </c>
      <c r="F3075" s="331">
        <v>0.21</v>
      </c>
      <c r="G3075" s="332">
        <v>3154</v>
      </c>
      <c r="H3075" s="333">
        <v>3817</v>
      </c>
    </row>
    <row r="3076" spans="1:8">
      <c r="A3076" s="317">
        <v>1607000850</v>
      </c>
      <c r="B3076" s="317" t="s">
        <v>47442</v>
      </c>
      <c r="C3076" s="330" t="s">
        <v>10218</v>
      </c>
      <c r="D3076" s="330" t="s">
        <v>10219</v>
      </c>
      <c r="E3076" s="330" t="s">
        <v>4634</v>
      </c>
      <c r="F3076" s="331">
        <v>0.21</v>
      </c>
      <c r="G3076" s="332">
        <v>20223</v>
      </c>
      <c r="H3076" s="333">
        <v>24470</v>
      </c>
    </row>
    <row r="3077" spans="1:8">
      <c r="A3077" s="317">
        <v>1607000883</v>
      </c>
      <c r="B3077" s="317" t="s">
        <v>47443</v>
      </c>
      <c r="C3077" s="330" t="s">
        <v>10220</v>
      </c>
      <c r="D3077" s="330" t="s">
        <v>10221</v>
      </c>
      <c r="E3077" s="330" t="s">
        <v>4634</v>
      </c>
      <c r="F3077" s="331">
        <v>0.21</v>
      </c>
      <c r="G3077" s="332">
        <v>6248</v>
      </c>
      <c r="H3077" s="333">
        <v>7561</v>
      </c>
    </row>
    <row r="3078" spans="1:8">
      <c r="A3078" s="317">
        <v>1607000884</v>
      </c>
      <c r="B3078" s="317" t="s">
        <v>47444</v>
      </c>
      <c r="C3078" s="330" t="s">
        <v>10222</v>
      </c>
      <c r="D3078" s="330" t="s">
        <v>10223</v>
      </c>
      <c r="E3078" s="330" t="s">
        <v>4634</v>
      </c>
      <c r="F3078" s="331">
        <v>0.21</v>
      </c>
      <c r="G3078" s="332">
        <v>15307</v>
      </c>
      <c r="H3078" s="333">
        <v>18522</v>
      </c>
    </row>
    <row r="3079" spans="1:8">
      <c r="A3079" s="317">
        <v>1607000885</v>
      </c>
      <c r="B3079" s="317" t="s">
        <v>47445</v>
      </c>
      <c r="C3079" s="330" t="s">
        <v>10224</v>
      </c>
      <c r="D3079" s="330" t="s">
        <v>10225</v>
      </c>
      <c r="E3079" s="330" t="s">
        <v>4634</v>
      </c>
      <c r="F3079" s="331">
        <v>0.21</v>
      </c>
      <c r="G3079" s="332">
        <v>1994</v>
      </c>
      <c r="H3079" s="333">
        <v>2413</v>
      </c>
    </row>
    <row r="3080" spans="1:8">
      <c r="A3080" s="317">
        <v>1607000886</v>
      </c>
      <c r="B3080" s="317" t="s">
        <v>47446</v>
      </c>
      <c r="C3080" s="330" t="s">
        <v>10226</v>
      </c>
      <c r="D3080" s="330" t="s">
        <v>10227</v>
      </c>
      <c r="E3080" s="330" t="s">
        <v>4634</v>
      </c>
      <c r="F3080" s="331">
        <v>0.21</v>
      </c>
      <c r="G3080" s="332">
        <v>2583</v>
      </c>
      <c r="H3080" s="333">
        <v>3126</v>
      </c>
    </row>
    <row r="3081" spans="1:8">
      <c r="A3081" s="317">
        <v>1607000887</v>
      </c>
      <c r="B3081" s="317" t="s">
        <v>47447</v>
      </c>
      <c r="C3081" s="330" t="s">
        <v>10228</v>
      </c>
      <c r="D3081" s="330" t="s">
        <v>10229</v>
      </c>
      <c r="E3081" s="330" t="s">
        <v>4634</v>
      </c>
      <c r="F3081" s="331">
        <v>0.21</v>
      </c>
      <c r="G3081" s="332">
        <v>33901</v>
      </c>
      <c r="H3081" s="333">
        <v>41021</v>
      </c>
    </row>
    <row r="3082" spans="1:8">
      <c r="A3082" s="317">
        <v>1607000896</v>
      </c>
      <c r="B3082" s="317" t="s">
        <v>47448</v>
      </c>
      <c r="C3082" s="330" t="s">
        <v>10230</v>
      </c>
      <c r="D3082" s="330" t="s">
        <v>10231</v>
      </c>
      <c r="E3082" s="330" t="s">
        <v>4634</v>
      </c>
      <c r="F3082" s="331">
        <v>0.21</v>
      </c>
      <c r="G3082" s="332">
        <v>903</v>
      </c>
      <c r="H3082" s="333">
        <v>1093</v>
      </c>
    </row>
    <row r="3083" spans="1:8">
      <c r="A3083" s="317">
        <v>1607000902</v>
      </c>
      <c r="B3083" s="317" t="s">
        <v>47449</v>
      </c>
      <c r="C3083" s="330" t="s">
        <v>10232</v>
      </c>
      <c r="D3083" s="330" t="s">
        <v>10233</v>
      </c>
      <c r="E3083" s="330" t="s">
        <v>4634</v>
      </c>
      <c r="F3083" s="331">
        <v>0.21</v>
      </c>
      <c r="G3083" s="332">
        <v>5307</v>
      </c>
      <c r="H3083" s="333">
        <v>6422</v>
      </c>
    </row>
    <row r="3084" spans="1:8">
      <c r="A3084" s="317">
        <v>1607000907</v>
      </c>
      <c r="B3084" s="317" t="s">
        <v>47450</v>
      </c>
      <c r="C3084" s="330" t="s">
        <v>10234</v>
      </c>
      <c r="D3084" s="330" t="s">
        <v>10235</v>
      </c>
      <c r="E3084" s="330" t="s">
        <v>4634</v>
      </c>
      <c r="F3084" s="331">
        <v>0.21</v>
      </c>
      <c r="G3084" s="332">
        <v>8731</v>
      </c>
      <c r="H3084" s="333">
        <v>10565</v>
      </c>
    </row>
    <row r="3085" spans="1:8">
      <c r="A3085" s="317">
        <v>1607000920</v>
      </c>
      <c r="B3085" s="317" t="s">
        <v>47451</v>
      </c>
      <c r="C3085" s="330" t="s">
        <v>10236</v>
      </c>
      <c r="D3085" s="330" t="s">
        <v>10237</v>
      </c>
      <c r="E3085" s="330" t="s">
        <v>4634</v>
      </c>
      <c r="F3085" s="331">
        <v>0.21</v>
      </c>
      <c r="G3085" s="332">
        <v>57993</v>
      </c>
      <c r="H3085" s="333">
        <v>70172</v>
      </c>
    </row>
    <row r="3086" spans="1:8">
      <c r="A3086" s="317">
        <v>1607000921</v>
      </c>
      <c r="B3086" s="317" t="s">
        <v>47452</v>
      </c>
      <c r="C3086" s="330" t="s">
        <v>10238</v>
      </c>
      <c r="D3086" s="330" t="s">
        <v>10239</v>
      </c>
      <c r="E3086" s="330" t="s">
        <v>4634</v>
      </c>
      <c r="F3086" s="331">
        <v>0.21</v>
      </c>
      <c r="G3086" s="332">
        <v>10962</v>
      </c>
      <c r="H3086" s="333">
        <v>13265</v>
      </c>
    </row>
    <row r="3087" spans="1:8">
      <c r="A3087" s="317">
        <v>1607000922</v>
      </c>
      <c r="B3087" s="317" t="s">
        <v>47453</v>
      </c>
      <c r="C3087" s="330" t="s">
        <v>10240</v>
      </c>
      <c r="D3087" s="330" t="s">
        <v>10241</v>
      </c>
      <c r="E3087" s="330" t="s">
        <v>4634</v>
      </c>
      <c r="F3087" s="331">
        <v>0.21</v>
      </c>
      <c r="G3087" s="332">
        <v>11425</v>
      </c>
      <c r="H3087" s="333">
        <v>13825</v>
      </c>
    </row>
    <row r="3088" spans="1:8">
      <c r="A3088" s="317">
        <v>1607000933</v>
      </c>
      <c r="B3088" s="317" t="s">
        <v>47454</v>
      </c>
      <c r="C3088" s="330" t="s">
        <v>10242</v>
      </c>
      <c r="D3088" s="330" t="s">
        <v>10243</v>
      </c>
      <c r="E3088" s="330" t="s">
        <v>4634</v>
      </c>
      <c r="F3088" s="331">
        <v>0.21</v>
      </c>
      <c r="G3088" s="332">
        <v>4004</v>
      </c>
      <c r="H3088" s="333">
        <v>4845</v>
      </c>
    </row>
    <row r="3089" spans="1:8">
      <c r="A3089" s="317">
        <v>1607000936</v>
      </c>
      <c r="B3089" s="317" t="s">
        <v>47455</v>
      </c>
      <c r="C3089" s="330" t="s">
        <v>10244</v>
      </c>
      <c r="D3089" s="330" t="s">
        <v>10245</v>
      </c>
      <c r="E3089" s="330" t="s">
        <v>4819</v>
      </c>
      <c r="F3089" s="331">
        <v>0.21</v>
      </c>
      <c r="G3089" s="332">
        <v>27436</v>
      </c>
      <c r="H3089" s="333">
        <v>33198</v>
      </c>
    </row>
    <row r="3090" spans="1:8">
      <c r="A3090" s="317">
        <v>1607000938</v>
      </c>
      <c r="B3090" s="317" t="s">
        <v>47456</v>
      </c>
      <c r="C3090" s="330" t="s">
        <v>10246</v>
      </c>
      <c r="D3090" s="330" t="s">
        <v>10247</v>
      </c>
      <c r="E3090" s="330" t="s">
        <v>4634</v>
      </c>
      <c r="F3090" s="331">
        <v>0.21</v>
      </c>
      <c r="G3090" s="332">
        <v>3473</v>
      </c>
      <c r="H3090" s="333">
        <v>4203</v>
      </c>
    </row>
    <row r="3091" spans="1:8">
      <c r="A3091" s="317">
        <v>1607000943</v>
      </c>
      <c r="B3091" s="317" t="s">
        <v>47457</v>
      </c>
      <c r="C3091" s="330" t="s">
        <v>10248</v>
      </c>
      <c r="D3091" s="330" t="s">
        <v>10249</v>
      </c>
      <c r="E3091" s="330" t="s">
        <v>4634</v>
      </c>
      <c r="F3091" s="331">
        <v>0.21</v>
      </c>
      <c r="G3091" s="332">
        <v>10745</v>
      </c>
      <c r="H3091" s="333">
        <v>13002</v>
      </c>
    </row>
    <row r="3092" spans="1:8">
      <c r="A3092" s="317">
        <v>1607000949</v>
      </c>
      <c r="B3092" s="317" t="s">
        <v>47458</v>
      </c>
      <c r="C3092" s="330" t="s">
        <v>10250</v>
      </c>
      <c r="D3092" s="330" t="s">
        <v>10251</v>
      </c>
      <c r="E3092" s="330" t="s">
        <v>4634</v>
      </c>
      <c r="F3092" s="331">
        <v>0.21</v>
      </c>
      <c r="G3092" s="332">
        <v>947</v>
      </c>
      <c r="H3092" s="333">
        <v>1146</v>
      </c>
    </row>
    <row r="3093" spans="1:8">
      <c r="A3093" s="317">
        <v>1607000950</v>
      </c>
      <c r="B3093" s="317" t="s">
        <v>47459</v>
      </c>
      <c r="C3093" s="330" t="s">
        <v>10252</v>
      </c>
      <c r="D3093" s="330" t="s">
        <v>10253</v>
      </c>
      <c r="E3093" s="330" t="s">
        <v>4634</v>
      </c>
      <c r="F3093" s="331">
        <v>0.21</v>
      </c>
      <c r="G3093" s="332">
        <v>2009</v>
      </c>
      <c r="H3093" s="333">
        <v>2431</v>
      </c>
    </row>
    <row r="3094" spans="1:8">
      <c r="A3094" s="317">
        <v>1607000954</v>
      </c>
      <c r="B3094" s="317" t="s">
        <v>47460</v>
      </c>
      <c r="C3094" s="330" t="s">
        <v>10254</v>
      </c>
      <c r="D3094" s="330" t="s">
        <v>10255</v>
      </c>
      <c r="E3094" s="330" t="s">
        <v>4634</v>
      </c>
      <c r="F3094" s="331">
        <v>0.21</v>
      </c>
      <c r="G3094" s="332">
        <v>3673</v>
      </c>
      <c r="H3094" s="333">
        <v>4445</v>
      </c>
    </row>
    <row r="3095" spans="1:8">
      <c r="A3095" s="317">
        <v>1607000968</v>
      </c>
      <c r="B3095" s="317" t="s">
        <v>47461</v>
      </c>
      <c r="C3095" s="330" t="s">
        <v>10256</v>
      </c>
      <c r="D3095" s="330" t="s">
        <v>10257</v>
      </c>
      <c r="E3095" s="330" t="s">
        <v>4634</v>
      </c>
      <c r="F3095" s="331">
        <v>0.21</v>
      </c>
      <c r="G3095" s="332">
        <v>21921</v>
      </c>
      <c r="H3095" s="333">
        <v>26525</v>
      </c>
    </row>
    <row r="3096" spans="1:8">
      <c r="A3096" s="317">
        <v>1607000970</v>
      </c>
      <c r="B3096" s="317" t="s">
        <v>47462</v>
      </c>
      <c r="C3096" s="330" t="s">
        <v>10258</v>
      </c>
      <c r="D3096" s="330" t="s">
        <v>10259</v>
      </c>
      <c r="E3096" s="330" t="s">
        <v>37248</v>
      </c>
      <c r="F3096" s="331">
        <v>0.21</v>
      </c>
      <c r="G3096" s="332">
        <v>60502</v>
      </c>
      <c r="H3096" s="333">
        <v>73208</v>
      </c>
    </row>
    <row r="3097" spans="1:8">
      <c r="A3097" s="317">
        <v>1607000985</v>
      </c>
      <c r="B3097" s="317" t="s">
        <v>47463</v>
      </c>
      <c r="C3097" s="330" t="s">
        <v>10260</v>
      </c>
      <c r="D3097" s="330" t="s">
        <v>10261</v>
      </c>
      <c r="E3097" s="330" t="s">
        <v>4623</v>
      </c>
      <c r="F3097" s="331">
        <v>0.21</v>
      </c>
      <c r="G3097" s="332">
        <v>44831</v>
      </c>
      <c r="H3097" s="333">
        <v>54246</v>
      </c>
    </row>
    <row r="3098" spans="1:8">
      <c r="A3098" s="317">
        <v>1607000986</v>
      </c>
      <c r="B3098" s="317" t="s">
        <v>47464</v>
      </c>
      <c r="C3098" s="330" t="s">
        <v>10262</v>
      </c>
      <c r="D3098" s="330" t="s">
        <v>10263</v>
      </c>
      <c r="E3098" s="330" t="s">
        <v>4634</v>
      </c>
      <c r="F3098" s="331">
        <v>0.21</v>
      </c>
      <c r="G3098" s="332">
        <v>35783</v>
      </c>
      <c r="H3098" s="333">
        <v>43298</v>
      </c>
    </row>
    <row r="3099" spans="1:8">
      <c r="A3099" s="317" t="s">
        <v>38941</v>
      </c>
      <c r="B3099" s="317" t="s">
        <v>47465</v>
      </c>
      <c r="C3099" s="330" t="s">
        <v>10264</v>
      </c>
      <c r="D3099" s="330" t="s">
        <v>10265</v>
      </c>
      <c r="E3099" s="330" t="s">
        <v>37248</v>
      </c>
      <c r="F3099" s="331">
        <v>0.21</v>
      </c>
      <c r="G3099" s="332">
        <v>23737</v>
      </c>
      <c r="H3099" s="333">
        <v>28722</v>
      </c>
    </row>
    <row r="3100" spans="1:8">
      <c r="A3100" s="317" t="s">
        <v>38942</v>
      </c>
      <c r="B3100" s="317" t="s">
        <v>47466</v>
      </c>
      <c r="C3100" s="330" t="s">
        <v>10266</v>
      </c>
      <c r="D3100" s="330" t="s">
        <v>10267</v>
      </c>
      <c r="E3100" s="330" t="s">
        <v>37248</v>
      </c>
      <c r="F3100" s="331">
        <v>0.21</v>
      </c>
      <c r="G3100" s="332">
        <v>128162</v>
      </c>
      <c r="H3100" s="333">
        <v>155077</v>
      </c>
    </row>
    <row r="3101" spans="1:8">
      <c r="A3101" s="317" t="s">
        <v>38943</v>
      </c>
      <c r="B3101" s="317" t="s">
        <v>47467</v>
      </c>
      <c r="C3101" s="330" t="s">
        <v>10268</v>
      </c>
      <c r="D3101" s="330" t="s">
        <v>10269</v>
      </c>
      <c r="E3101" s="330" t="s">
        <v>4634</v>
      </c>
      <c r="F3101" s="331">
        <v>0.21</v>
      </c>
      <c r="G3101" s="332">
        <v>17669</v>
      </c>
      <c r="H3101" s="333">
        <v>21380</v>
      </c>
    </row>
    <row r="3102" spans="1:8">
      <c r="A3102" s="317" t="s">
        <v>38944</v>
      </c>
      <c r="B3102" s="317" t="s">
        <v>47468</v>
      </c>
      <c r="C3102" s="330" t="s">
        <v>10270</v>
      </c>
      <c r="D3102" s="330" t="s">
        <v>10271</v>
      </c>
      <c r="E3102" s="330" t="s">
        <v>4634</v>
      </c>
      <c r="F3102" s="331">
        <v>0.21</v>
      </c>
      <c r="G3102" s="332">
        <v>6065</v>
      </c>
      <c r="H3102" s="333">
        <v>7339</v>
      </c>
    </row>
    <row r="3103" spans="1:8">
      <c r="A3103" s="317" t="s">
        <v>38945</v>
      </c>
      <c r="B3103" s="317" t="s">
        <v>47469</v>
      </c>
      <c r="C3103" s="330" t="s">
        <v>10272</v>
      </c>
      <c r="D3103" s="330" t="s">
        <v>10273</v>
      </c>
      <c r="E3103" s="330" t="s">
        <v>4634</v>
      </c>
      <c r="F3103" s="331">
        <v>0.21</v>
      </c>
      <c r="G3103" s="332">
        <v>4115</v>
      </c>
      <c r="H3103" s="333">
        <v>4980</v>
      </c>
    </row>
    <row r="3104" spans="1:8">
      <c r="A3104" s="317" t="s">
        <v>38946</v>
      </c>
      <c r="B3104" s="317" t="s">
        <v>47470</v>
      </c>
      <c r="C3104" s="330" t="s">
        <v>10274</v>
      </c>
      <c r="D3104" s="330" t="s">
        <v>9468</v>
      </c>
      <c r="E3104" s="330" t="s">
        <v>4819</v>
      </c>
      <c r="F3104" s="331">
        <v>0.21</v>
      </c>
      <c r="G3104" s="332">
        <v>96197</v>
      </c>
      <c r="H3104" s="333">
        <v>116399</v>
      </c>
    </row>
    <row r="3105" spans="1:8">
      <c r="A3105" s="317" t="s">
        <v>38947</v>
      </c>
      <c r="B3105" s="317" t="s">
        <v>47471</v>
      </c>
      <c r="C3105" s="330" t="s">
        <v>10275</v>
      </c>
      <c r="D3105" s="330" t="s">
        <v>10276</v>
      </c>
      <c r="E3105" s="330" t="s">
        <v>4634</v>
      </c>
      <c r="F3105" s="331">
        <v>0.21</v>
      </c>
      <c r="G3105" s="332">
        <v>216969</v>
      </c>
      <c r="H3105" s="333">
        <v>262533</v>
      </c>
    </row>
    <row r="3106" spans="1:8">
      <c r="A3106" s="317" t="s">
        <v>38948</v>
      </c>
      <c r="B3106" s="317" t="s">
        <v>47472</v>
      </c>
      <c r="C3106" s="330" t="s">
        <v>10277</v>
      </c>
      <c r="D3106" s="330" t="s">
        <v>10278</v>
      </c>
      <c r="E3106" s="330" t="s">
        <v>4634</v>
      </c>
      <c r="F3106" s="331">
        <v>0.21</v>
      </c>
      <c r="G3106" s="332">
        <v>20877</v>
      </c>
      <c r="H3106" s="333">
        <v>25262</v>
      </c>
    </row>
    <row r="3107" spans="1:8">
      <c r="A3107" s="317" t="s">
        <v>38949</v>
      </c>
      <c r="B3107" s="317" t="s">
        <v>47473</v>
      </c>
      <c r="C3107" s="330" t="s">
        <v>10279</v>
      </c>
      <c r="D3107" s="330" t="s">
        <v>10280</v>
      </c>
      <c r="E3107" s="330" t="s">
        <v>4634</v>
      </c>
      <c r="F3107" s="331">
        <v>0.21</v>
      </c>
      <c r="G3107" s="332">
        <v>928</v>
      </c>
      <c r="H3107" s="333">
        <v>1123</v>
      </c>
    </row>
    <row r="3108" spans="1:8">
      <c r="A3108" s="317" t="s">
        <v>38950</v>
      </c>
      <c r="B3108" s="317" t="s">
        <v>47474</v>
      </c>
      <c r="C3108" s="330" t="s">
        <v>10281</v>
      </c>
      <c r="D3108" s="330" t="s">
        <v>10282</v>
      </c>
      <c r="E3108" s="330" t="s">
        <v>4634</v>
      </c>
      <c r="F3108" s="331">
        <v>0.21</v>
      </c>
      <c r="G3108" s="332">
        <v>455</v>
      </c>
      <c r="H3108" s="333">
        <v>551</v>
      </c>
    </row>
    <row r="3109" spans="1:8">
      <c r="A3109" s="317" t="s">
        <v>38951</v>
      </c>
      <c r="B3109" s="317" t="s">
        <v>47475</v>
      </c>
      <c r="C3109" s="330" t="s">
        <v>10283</v>
      </c>
      <c r="D3109" s="330" t="s">
        <v>10284</v>
      </c>
      <c r="E3109" s="330" t="s">
        <v>4634</v>
      </c>
      <c r="F3109" s="331">
        <v>0.21</v>
      </c>
      <c r="G3109" s="332">
        <v>4833</v>
      </c>
      <c r="H3109" s="333">
        <v>5848</v>
      </c>
    </row>
    <row r="3110" spans="1:8">
      <c r="A3110" s="317" t="s">
        <v>38952</v>
      </c>
      <c r="B3110" s="317" t="s">
        <v>47476</v>
      </c>
      <c r="C3110" s="330" t="s">
        <v>10285</v>
      </c>
      <c r="D3110" s="330" t="s">
        <v>10286</v>
      </c>
      <c r="E3110" s="330" t="s">
        <v>4634</v>
      </c>
      <c r="F3110" s="331">
        <v>0.21</v>
      </c>
      <c r="G3110" s="332">
        <v>3154</v>
      </c>
      <c r="H3110" s="333">
        <v>3817</v>
      </c>
    </row>
    <row r="3111" spans="1:8">
      <c r="A3111" s="317" t="s">
        <v>38953</v>
      </c>
      <c r="B3111" s="317" t="s">
        <v>47477</v>
      </c>
      <c r="C3111" s="330" t="s">
        <v>10287</v>
      </c>
      <c r="D3111" s="330" t="s">
        <v>10288</v>
      </c>
      <c r="E3111" s="330" t="s">
        <v>4634</v>
      </c>
      <c r="F3111" s="331">
        <v>0.21</v>
      </c>
      <c r="G3111" s="332">
        <v>1664</v>
      </c>
      <c r="H3111" s="333">
        <v>2014</v>
      </c>
    </row>
    <row r="3112" spans="1:8">
      <c r="A3112" s="317" t="s">
        <v>38954</v>
      </c>
      <c r="B3112" s="317" t="s">
        <v>47478</v>
      </c>
      <c r="C3112" s="330" t="s">
        <v>10289</v>
      </c>
      <c r="D3112" s="330" t="s">
        <v>10290</v>
      </c>
      <c r="E3112" s="330" t="s">
        <v>37248</v>
      </c>
      <c r="F3112" s="331">
        <v>0.21</v>
      </c>
      <c r="G3112" s="332">
        <v>4773</v>
      </c>
      <c r="H3112" s="333">
        <v>5776</v>
      </c>
    </row>
    <row r="3113" spans="1:8">
      <c r="A3113" s="317" t="s">
        <v>38955</v>
      </c>
      <c r="B3113" s="317" t="s">
        <v>47479</v>
      </c>
      <c r="C3113" s="330" t="s">
        <v>10291</v>
      </c>
      <c r="D3113" s="330" t="s">
        <v>10292</v>
      </c>
      <c r="E3113" s="330" t="s">
        <v>4634</v>
      </c>
      <c r="F3113" s="331">
        <v>0.21</v>
      </c>
      <c r="G3113" s="332">
        <v>6076</v>
      </c>
      <c r="H3113" s="333">
        <v>7352</v>
      </c>
    </row>
    <row r="3114" spans="1:8">
      <c r="A3114" s="317" t="s">
        <v>38956</v>
      </c>
      <c r="B3114" s="317" t="s">
        <v>47480</v>
      </c>
      <c r="C3114" s="330" t="s">
        <v>10293</v>
      </c>
      <c r="D3114" s="330" t="s">
        <v>10294</v>
      </c>
      <c r="E3114" s="330" t="s">
        <v>4819</v>
      </c>
      <c r="F3114" s="331">
        <v>0.21</v>
      </c>
      <c r="G3114" s="332">
        <v>8423</v>
      </c>
      <c r="H3114" s="333">
        <v>10192</v>
      </c>
    </row>
    <row r="3115" spans="1:8">
      <c r="A3115" s="317" t="s">
        <v>38957</v>
      </c>
      <c r="B3115" s="317" t="s">
        <v>47481</v>
      </c>
      <c r="C3115" s="330" t="s">
        <v>10295</v>
      </c>
      <c r="D3115" s="330" t="s">
        <v>10296</v>
      </c>
      <c r="E3115" s="330" t="s">
        <v>4819</v>
      </c>
      <c r="F3115" s="331">
        <v>0.21</v>
      </c>
      <c r="G3115" s="332">
        <v>41768</v>
      </c>
      <c r="H3115" s="333">
        <v>50540</v>
      </c>
    </row>
    <row r="3116" spans="1:8">
      <c r="A3116" s="317" t="s">
        <v>38958</v>
      </c>
      <c r="B3116" s="317" t="s">
        <v>47482</v>
      </c>
      <c r="C3116" s="330" t="s">
        <v>10297</v>
      </c>
      <c r="D3116" s="330" t="s">
        <v>10298</v>
      </c>
      <c r="E3116" s="330" t="s">
        <v>4819</v>
      </c>
      <c r="F3116" s="331">
        <v>0.21</v>
      </c>
      <c r="G3116" s="332">
        <v>73084</v>
      </c>
      <c r="H3116" s="333">
        <v>88432</v>
      </c>
    </row>
    <row r="3117" spans="1:8">
      <c r="A3117" s="317" t="s">
        <v>38959</v>
      </c>
      <c r="B3117" s="317" t="s">
        <v>47483</v>
      </c>
      <c r="C3117" s="330" t="s">
        <v>10299</v>
      </c>
      <c r="D3117" s="330" t="s">
        <v>10300</v>
      </c>
      <c r="E3117" s="330" t="s">
        <v>4819</v>
      </c>
      <c r="F3117" s="331">
        <v>0.21</v>
      </c>
      <c r="G3117" s="332">
        <v>49650</v>
      </c>
      <c r="H3117" s="333">
        <v>60077</v>
      </c>
    </row>
    <row r="3118" spans="1:8">
      <c r="A3118" s="317" t="s">
        <v>38960</v>
      </c>
      <c r="B3118" s="317" t="s">
        <v>47484</v>
      </c>
      <c r="C3118" s="330" t="s">
        <v>10301</v>
      </c>
      <c r="D3118" s="330" t="s">
        <v>10302</v>
      </c>
      <c r="E3118" s="330" t="s">
        <v>4634</v>
      </c>
      <c r="F3118" s="331">
        <v>0.21</v>
      </c>
      <c r="G3118" s="332">
        <v>7551</v>
      </c>
      <c r="H3118" s="333">
        <v>9137</v>
      </c>
    </row>
    <row r="3119" spans="1:8">
      <c r="A3119" s="317" t="s">
        <v>38961</v>
      </c>
      <c r="B3119" s="317" t="s">
        <v>47485</v>
      </c>
      <c r="C3119" s="330" t="s">
        <v>10303</v>
      </c>
      <c r="D3119" s="330" t="s">
        <v>10304</v>
      </c>
      <c r="E3119" s="330" t="s">
        <v>4634</v>
      </c>
      <c r="F3119" s="331">
        <v>0.21</v>
      </c>
      <c r="G3119" s="332">
        <v>33227</v>
      </c>
      <c r="H3119" s="333">
        <v>40205</v>
      </c>
    </row>
    <row r="3120" spans="1:8">
      <c r="A3120" s="317" t="s">
        <v>38962</v>
      </c>
      <c r="B3120" s="317" t="s">
        <v>47486</v>
      </c>
      <c r="C3120" s="330" t="s">
        <v>10305</v>
      </c>
      <c r="D3120" s="330" t="s">
        <v>10306</v>
      </c>
      <c r="E3120" s="330" t="s">
        <v>37248</v>
      </c>
      <c r="F3120" s="331">
        <v>0.21</v>
      </c>
      <c r="G3120" s="332">
        <v>35172</v>
      </c>
      <c r="H3120" s="333">
        <v>42559</v>
      </c>
    </row>
    <row r="3121" spans="1:8">
      <c r="A3121" s="317" t="s">
        <v>38963</v>
      </c>
      <c r="B3121" s="317" t="s">
        <v>47487</v>
      </c>
      <c r="C3121" s="330" t="s">
        <v>10307</v>
      </c>
      <c r="D3121" s="330" t="s">
        <v>10308</v>
      </c>
      <c r="E3121" s="330" t="s">
        <v>37248</v>
      </c>
      <c r="F3121" s="331">
        <v>0.21</v>
      </c>
      <c r="G3121" s="332">
        <v>60688</v>
      </c>
      <c r="H3121" s="333">
        <v>73433</v>
      </c>
    </row>
    <row r="3122" spans="1:8">
      <c r="A3122" s="317" t="s">
        <v>38964</v>
      </c>
      <c r="B3122" s="317" t="s">
        <v>47488</v>
      </c>
      <c r="C3122" s="330" t="s">
        <v>10309</v>
      </c>
      <c r="D3122" s="330" t="s">
        <v>10310</v>
      </c>
      <c r="E3122" s="330" t="s">
        <v>4819</v>
      </c>
      <c r="F3122" s="331">
        <v>0.21</v>
      </c>
      <c r="G3122" s="332">
        <v>23978</v>
      </c>
      <c r="H3122" s="333">
        <v>29014</v>
      </c>
    </row>
    <row r="3123" spans="1:8">
      <c r="A3123" s="317" t="s">
        <v>38965</v>
      </c>
      <c r="B3123" s="317" t="s">
        <v>47489</v>
      </c>
      <c r="C3123" s="330" t="s">
        <v>10311</v>
      </c>
      <c r="D3123" s="330" t="s">
        <v>10312</v>
      </c>
      <c r="E3123" s="330" t="s">
        <v>4634</v>
      </c>
      <c r="F3123" s="331">
        <v>0.21</v>
      </c>
      <c r="G3123" s="332">
        <v>24899</v>
      </c>
      <c r="H3123" s="333">
        <v>30128</v>
      </c>
    </row>
    <row r="3124" spans="1:8">
      <c r="A3124" s="317" t="s">
        <v>38966</v>
      </c>
      <c r="B3124" s="317" t="s">
        <v>47490</v>
      </c>
      <c r="C3124" s="330" t="s">
        <v>10313</v>
      </c>
      <c r="D3124" s="330" t="s">
        <v>10314</v>
      </c>
      <c r="E3124" s="330" t="s">
        <v>37248</v>
      </c>
      <c r="F3124" s="331">
        <v>0.21</v>
      </c>
      <c r="G3124" s="332">
        <v>41222</v>
      </c>
      <c r="H3124" s="333">
        <v>49879</v>
      </c>
    </row>
    <row r="3125" spans="1:8">
      <c r="A3125" s="317" t="s">
        <v>38967</v>
      </c>
      <c r="B3125" s="317" t="s">
        <v>47491</v>
      </c>
      <c r="C3125" s="330" t="s">
        <v>10315</v>
      </c>
      <c r="D3125" s="330" t="s">
        <v>10316</v>
      </c>
      <c r="E3125" s="330" t="s">
        <v>4819</v>
      </c>
      <c r="F3125" s="331">
        <v>0.21</v>
      </c>
      <c r="G3125" s="332">
        <v>35513</v>
      </c>
      <c r="H3125" s="333">
        <v>42971</v>
      </c>
    </row>
    <row r="3126" spans="1:8">
      <c r="A3126" s="317" t="s">
        <v>38968</v>
      </c>
      <c r="B3126" s="317" t="s">
        <v>47492</v>
      </c>
      <c r="C3126" s="330" t="s">
        <v>10317</v>
      </c>
      <c r="D3126" s="330" t="s">
        <v>10318</v>
      </c>
      <c r="E3126" s="330" t="s">
        <v>4819</v>
      </c>
      <c r="F3126" s="331">
        <v>0.21</v>
      </c>
      <c r="G3126" s="332">
        <v>4169</v>
      </c>
      <c r="H3126" s="333">
        <v>5045</v>
      </c>
    </row>
    <row r="3127" spans="1:8">
      <c r="A3127" s="317" t="s">
        <v>38969</v>
      </c>
      <c r="B3127" s="317" t="s">
        <v>47493</v>
      </c>
      <c r="C3127" s="330" t="s">
        <v>10319</v>
      </c>
      <c r="D3127" s="330" t="s">
        <v>10320</v>
      </c>
      <c r="E3127" s="330" t="s">
        <v>37248</v>
      </c>
      <c r="F3127" s="331">
        <v>0.21</v>
      </c>
      <c r="G3127" s="332">
        <v>86551</v>
      </c>
      <c r="H3127" s="333">
        <v>104727</v>
      </c>
    </row>
    <row r="3128" spans="1:8">
      <c r="A3128" s="317" t="s">
        <v>38970</v>
      </c>
      <c r="B3128" s="317" t="s">
        <v>47494</v>
      </c>
      <c r="C3128" s="330" t="s">
        <v>10321</v>
      </c>
      <c r="D3128" s="330" t="s">
        <v>10322</v>
      </c>
      <c r="E3128" s="330" t="s">
        <v>37248</v>
      </c>
      <c r="F3128" s="331">
        <v>0.21</v>
      </c>
      <c r="G3128" s="332">
        <v>8017</v>
      </c>
      <c r="H3128" s="333">
        <v>9701</v>
      </c>
    </row>
    <row r="3129" spans="1:8">
      <c r="A3129" s="317" t="s">
        <v>38971</v>
      </c>
      <c r="B3129" s="317" t="s">
        <v>47495</v>
      </c>
      <c r="C3129" s="330" t="s">
        <v>10323</v>
      </c>
      <c r="D3129" s="330" t="s">
        <v>10324</v>
      </c>
      <c r="E3129" s="330" t="s">
        <v>37248</v>
      </c>
      <c r="F3129" s="331">
        <v>0.21</v>
      </c>
      <c r="G3129" s="332">
        <v>12380</v>
      </c>
      <c r="H3129" s="333">
        <v>14980</v>
      </c>
    </row>
    <row r="3130" spans="1:8">
      <c r="A3130" s="317" t="s">
        <v>38972</v>
      </c>
      <c r="B3130" s="317" t="s">
        <v>47496</v>
      </c>
      <c r="C3130" s="330" t="s">
        <v>10325</v>
      </c>
      <c r="D3130" s="330" t="s">
        <v>10326</v>
      </c>
      <c r="E3130" s="330" t="s">
        <v>4623</v>
      </c>
      <c r="F3130" s="331">
        <v>0.21</v>
      </c>
      <c r="G3130" s="332">
        <v>149916</v>
      </c>
      <c r="H3130" s="333">
        <v>181399</v>
      </c>
    </row>
    <row r="3131" spans="1:8">
      <c r="A3131" s="317" t="s">
        <v>38973</v>
      </c>
      <c r="B3131" s="317" t="s">
        <v>47497</v>
      </c>
      <c r="C3131" s="330" t="s">
        <v>10327</v>
      </c>
      <c r="D3131" s="330" t="s">
        <v>10328</v>
      </c>
      <c r="E3131" s="330" t="s">
        <v>4623</v>
      </c>
      <c r="F3131" s="331">
        <v>0.21</v>
      </c>
      <c r="G3131" s="332">
        <v>197915</v>
      </c>
      <c r="H3131" s="333">
        <v>239478</v>
      </c>
    </row>
    <row r="3132" spans="1:8">
      <c r="A3132" s="317" t="s">
        <v>38974</v>
      </c>
      <c r="B3132" s="317" t="s">
        <v>47498</v>
      </c>
      <c r="C3132" s="330" t="s">
        <v>10329</v>
      </c>
      <c r="D3132" s="330" t="s">
        <v>10330</v>
      </c>
      <c r="E3132" s="330" t="s">
        <v>37248</v>
      </c>
      <c r="F3132" s="331">
        <v>0.21</v>
      </c>
      <c r="G3132" s="332">
        <v>65314</v>
      </c>
      <c r="H3132" s="333">
        <v>79030</v>
      </c>
    </row>
    <row r="3133" spans="1:8">
      <c r="A3133" s="317" t="s">
        <v>38975</v>
      </c>
      <c r="B3133" s="317" t="s">
        <v>47499</v>
      </c>
      <c r="C3133" s="330" t="s">
        <v>10331</v>
      </c>
      <c r="D3133" s="330" t="s">
        <v>10332</v>
      </c>
      <c r="E3133" s="330" t="s">
        <v>37248</v>
      </c>
      <c r="F3133" s="331">
        <v>0.21</v>
      </c>
      <c r="G3133" s="332">
        <v>141283</v>
      </c>
      <c r="H3133" s="333">
        <v>170953</v>
      </c>
    </row>
    <row r="3134" spans="1:8">
      <c r="A3134" s="317" t="s">
        <v>38976</v>
      </c>
      <c r="B3134" s="317" t="s">
        <v>47500</v>
      </c>
      <c r="C3134" s="330" t="s">
        <v>10333</v>
      </c>
      <c r="D3134" s="330" t="s">
        <v>10334</v>
      </c>
      <c r="E3134" s="330" t="s">
        <v>37248</v>
      </c>
      <c r="F3134" s="331">
        <v>0.21</v>
      </c>
      <c r="G3134" s="332">
        <v>13542</v>
      </c>
      <c r="H3134" s="333">
        <v>16386</v>
      </c>
    </row>
    <row r="3135" spans="1:8">
      <c r="A3135" s="317" t="s">
        <v>38977</v>
      </c>
      <c r="B3135" s="317" t="s">
        <v>47501</v>
      </c>
      <c r="C3135" s="330" t="s">
        <v>10335</v>
      </c>
      <c r="D3135" s="330" t="s">
        <v>6704</v>
      </c>
      <c r="E3135" s="330" t="s">
        <v>37248</v>
      </c>
      <c r="F3135" s="331">
        <v>0.21</v>
      </c>
      <c r="G3135" s="332">
        <v>11823</v>
      </c>
      <c r="H3135" s="333">
        <v>14306</v>
      </c>
    </row>
    <row r="3136" spans="1:8">
      <c r="A3136" s="317" t="s">
        <v>38978</v>
      </c>
      <c r="B3136" s="317" t="s">
        <v>47502</v>
      </c>
      <c r="C3136" s="330" t="s">
        <v>10336</v>
      </c>
      <c r="D3136" s="330" t="s">
        <v>6704</v>
      </c>
      <c r="E3136" s="330" t="s">
        <v>37248</v>
      </c>
      <c r="F3136" s="331">
        <v>0.21</v>
      </c>
      <c r="G3136" s="332">
        <v>14151</v>
      </c>
      <c r="H3136" s="333">
        <v>17123</v>
      </c>
    </row>
    <row r="3137" spans="1:8">
      <c r="A3137" s="317" t="s">
        <v>38979</v>
      </c>
      <c r="B3137" s="317" t="s">
        <v>47503</v>
      </c>
      <c r="C3137" s="330" t="s">
        <v>10337</v>
      </c>
      <c r="D3137" s="330" t="s">
        <v>10338</v>
      </c>
      <c r="E3137" s="330" t="s">
        <v>37248</v>
      </c>
      <c r="F3137" s="331">
        <v>0.21</v>
      </c>
      <c r="G3137" s="332">
        <v>100957</v>
      </c>
      <c r="H3137" s="333">
        <v>122158</v>
      </c>
    </row>
    <row r="3138" spans="1:8">
      <c r="A3138" s="317" t="s">
        <v>38980</v>
      </c>
      <c r="B3138" s="317" t="s">
        <v>47504</v>
      </c>
      <c r="C3138" s="330" t="s">
        <v>10339</v>
      </c>
      <c r="D3138" s="330" t="s">
        <v>10340</v>
      </c>
      <c r="E3138" s="330" t="s">
        <v>37248</v>
      </c>
      <c r="F3138" s="331">
        <v>0.21</v>
      </c>
      <c r="G3138" s="332">
        <v>75984</v>
      </c>
      <c r="H3138" s="333">
        <v>91941</v>
      </c>
    </row>
    <row r="3139" spans="1:8">
      <c r="A3139" s="317" t="s">
        <v>38981</v>
      </c>
      <c r="B3139" s="317" t="s">
        <v>47505</v>
      </c>
      <c r="C3139" s="330" t="s">
        <v>10341</v>
      </c>
      <c r="D3139" s="330" t="s">
        <v>10342</v>
      </c>
      <c r="E3139" s="330" t="s">
        <v>37248</v>
      </c>
      <c r="F3139" s="331">
        <v>0.21</v>
      </c>
      <c r="G3139" s="332">
        <v>134049</v>
      </c>
      <c r="H3139" s="333">
        <v>162200</v>
      </c>
    </row>
    <row r="3140" spans="1:8">
      <c r="A3140" s="317" t="s">
        <v>38982</v>
      </c>
      <c r="B3140" s="317" t="s">
        <v>47506</v>
      </c>
      <c r="C3140" s="330" t="s">
        <v>10343</v>
      </c>
      <c r="D3140" s="330" t="s">
        <v>10344</v>
      </c>
      <c r="E3140" s="330" t="s">
        <v>4819</v>
      </c>
      <c r="F3140" s="331">
        <v>0.21</v>
      </c>
      <c r="G3140" s="332">
        <v>28642</v>
      </c>
      <c r="H3140" s="333">
        <v>34657</v>
      </c>
    </row>
    <row r="3141" spans="1:8">
      <c r="A3141" s="317" t="s">
        <v>38983</v>
      </c>
      <c r="B3141" s="317" t="s">
        <v>47507</v>
      </c>
      <c r="C3141" s="330" t="s">
        <v>10345</v>
      </c>
      <c r="D3141" s="330" t="s">
        <v>10346</v>
      </c>
      <c r="E3141" s="330" t="s">
        <v>37248</v>
      </c>
      <c r="F3141" s="331">
        <v>0.21</v>
      </c>
      <c r="G3141" s="332">
        <v>4925</v>
      </c>
      <c r="H3141" s="333">
        <v>5960</v>
      </c>
    </row>
    <row r="3142" spans="1:8">
      <c r="A3142" s="317" t="s">
        <v>38984</v>
      </c>
      <c r="B3142" s="317" t="s">
        <v>47508</v>
      </c>
      <c r="C3142" s="330" t="s">
        <v>10347</v>
      </c>
      <c r="D3142" s="330" t="s">
        <v>10348</v>
      </c>
      <c r="E3142" s="330" t="s">
        <v>4819</v>
      </c>
      <c r="F3142" s="331">
        <v>0.21</v>
      </c>
      <c r="G3142" s="332">
        <v>22398</v>
      </c>
      <c r="H3142" s="333">
        <v>27102</v>
      </c>
    </row>
    <row r="3143" spans="1:8">
      <c r="A3143" s="317" t="s">
        <v>38985</v>
      </c>
      <c r="B3143" s="317" t="s">
        <v>47509</v>
      </c>
      <c r="C3143" s="330" t="s">
        <v>10349</v>
      </c>
      <c r="D3143" s="330" t="s">
        <v>10350</v>
      </c>
      <c r="E3143" s="330" t="s">
        <v>37248</v>
      </c>
      <c r="F3143" s="331">
        <v>0.21</v>
      </c>
      <c r="G3143" s="332">
        <v>14151</v>
      </c>
      <c r="H3143" s="333">
        <v>17123</v>
      </c>
    </row>
    <row r="3144" spans="1:8">
      <c r="A3144" s="317" t="s">
        <v>38986</v>
      </c>
      <c r="B3144" s="317" t="s">
        <v>47510</v>
      </c>
      <c r="C3144" s="330" t="s">
        <v>10351</v>
      </c>
      <c r="D3144" s="330" t="s">
        <v>10352</v>
      </c>
      <c r="E3144" s="330" t="s">
        <v>37248</v>
      </c>
      <c r="F3144" s="331">
        <v>0.21</v>
      </c>
      <c r="G3144" s="332">
        <v>18174</v>
      </c>
      <c r="H3144" s="333">
        <v>21991</v>
      </c>
    </row>
    <row r="3145" spans="1:8">
      <c r="A3145" s="317" t="s">
        <v>38987</v>
      </c>
      <c r="B3145" s="317" t="s">
        <v>47511</v>
      </c>
      <c r="C3145" s="330" t="s">
        <v>10353</v>
      </c>
      <c r="D3145" s="330" t="s">
        <v>10354</v>
      </c>
      <c r="E3145" s="330" t="s">
        <v>4819</v>
      </c>
      <c r="F3145" s="331">
        <v>0.21</v>
      </c>
      <c r="G3145" s="332">
        <v>14906</v>
      </c>
      <c r="H3145" s="333">
        <v>18037</v>
      </c>
    </row>
    <row r="3146" spans="1:8">
      <c r="A3146" s="317" t="s">
        <v>38988</v>
      </c>
      <c r="B3146" s="317" t="s">
        <v>47512</v>
      </c>
      <c r="C3146" s="330" t="s">
        <v>10355</v>
      </c>
      <c r="D3146" s="330" t="s">
        <v>10356</v>
      </c>
      <c r="E3146" s="330" t="s">
        <v>4819</v>
      </c>
      <c r="F3146" s="331">
        <v>0.21</v>
      </c>
      <c r="G3146" s="332">
        <v>56623</v>
      </c>
      <c r="H3146" s="333">
        <v>68514</v>
      </c>
    </row>
    <row r="3147" spans="1:8">
      <c r="A3147" s="317" t="s">
        <v>38989</v>
      </c>
      <c r="B3147" s="317" t="s">
        <v>47513</v>
      </c>
      <c r="C3147" s="330" t="s">
        <v>10357</v>
      </c>
      <c r="D3147" s="330" t="s">
        <v>10358</v>
      </c>
      <c r="E3147" s="330" t="s">
        <v>4819</v>
      </c>
      <c r="F3147" s="331">
        <v>0.21</v>
      </c>
      <c r="G3147" s="332">
        <v>45144</v>
      </c>
      <c r="H3147" s="333">
        <v>54625</v>
      </c>
    </row>
    <row r="3148" spans="1:8">
      <c r="A3148" s="317" t="s">
        <v>38990</v>
      </c>
      <c r="B3148" s="317" t="s">
        <v>47514</v>
      </c>
      <c r="C3148" s="330" t="s">
        <v>10359</v>
      </c>
      <c r="D3148" s="330" t="s">
        <v>10360</v>
      </c>
      <c r="E3148" s="330" t="s">
        <v>37248</v>
      </c>
      <c r="F3148" s="331">
        <v>0.21</v>
      </c>
      <c r="G3148" s="332">
        <v>29648</v>
      </c>
      <c r="H3148" s="333">
        <v>35875</v>
      </c>
    </row>
    <row r="3149" spans="1:8">
      <c r="A3149" s="317" t="s">
        <v>38991</v>
      </c>
      <c r="B3149" s="317" t="s">
        <v>47515</v>
      </c>
      <c r="C3149" s="330" t="s">
        <v>10361</v>
      </c>
      <c r="D3149" s="330" t="s">
        <v>10362</v>
      </c>
      <c r="E3149" s="330" t="s">
        <v>4819</v>
      </c>
      <c r="F3149" s="331">
        <v>0.21</v>
      </c>
      <c r="G3149" s="332">
        <v>17533</v>
      </c>
      <c r="H3149" s="333">
        <v>21215</v>
      </c>
    </row>
    <row r="3150" spans="1:8">
      <c r="A3150" s="317" t="s">
        <v>38992</v>
      </c>
      <c r="B3150" s="317" t="s">
        <v>47516</v>
      </c>
      <c r="C3150" s="330" t="s">
        <v>10363</v>
      </c>
      <c r="D3150" s="330" t="s">
        <v>10364</v>
      </c>
      <c r="E3150" s="330" t="s">
        <v>4819</v>
      </c>
      <c r="F3150" s="331">
        <v>0.21</v>
      </c>
      <c r="G3150" s="332">
        <v>8385</v>
      </c>
      <c r="H3150" s="333">
        <v>10146</v>
      </c>
    </row>
    <row r="3151" spans="1:8">
      <c r="A3151" s="317" t="s">
        <v>38993</v>
      </c>
      <c r="B3151" s="317" t="s">
        <v>47517</v>
      </c>
      <c r="C3151" s="330" t="s">
        <v>10365</v>
      </c>
      <c r="D3151" s="330" t="s">
        <v>10366</v>
      </c>
      <c r="E3151" s="330" t="s">
        <v>4819</v>
      </c>
      <c r="F3151" s="331">
        <v>0.21</v>
      </c>
      <c r="G3151" s="332">
        <v>40443</v>
      </c>
      <c r="H3151" s="333">
        <v>48937</v>
      </c>
    </row>
    <row r="3152" spans="1:8">
      <c r="A3152" s="317" t="s">
        <v>38994</v>
      </c>
      <c r="B3152" s="317" t="s">
        <v>47518</v>
      </c>
      <c r="C3152" s="330" t="s">
        <v>10367</v>
      </c>
      <c r="D3152" s="330" t="s">
        <v>10368</v>
      </c>
      <c r="E3152" s="330" t="s">
        <v>37248</v>
      </c>
      <c r="F3152" s="331">
        <v>0.21</v>
      </c>
      <c r="G3152" s="332">
        <v>8287</v>
      </c>
      <c r="H3152" s="333">
        <v>10028</v>
      </c>
    </row>
    <row r="3153" spans="1:8">
      <c r="A3153" s="317" t="s">
        <v>38995</v>
      </c>
      <c r="B3153" s="317" t="s">
        <v>47519</v>
      </c>
      <c r="C3153" s="330" t="s">
        <v>10369</v>
      </c>
      <c r="D3153" s="330" t="s">
        <v>10370</v>
      </c>
      <c r="E3153" s="330" t="s">
        <v>37248</v>
      </c>
      <c r="F3153" s="331">
        <v>0.21</v>
      </c>
      <c r="G3153" s="332">
        <v>42103</v>
      </c>
      <c r="H3153" s="333">
        <v>50945</v>
      </c>
    </row>
    <row r="3154" spans="1:8">
      <c r="A3154" s="317" t="s">
        <v>38996</v>
      </c>
      <c r="B3154" s="317" t="s">
        <v>47520</v>
      </c>
      <c r="C3154" s="330" t="s">
        <v>10371</v>
      </c>
      <c r="D3154" s="330" t="s">
        <v>10372</v>
      </c>
      <c r="E3154" s="330" t="s">
        <v>37248</v>
      </c>
      <c r="F3154" s="331">
        <v>0.21</v>
      </c>
      <c r="G3154" s="332">
        <v>8023</v>
      </c>
      <c r="H3154" s="333">
        <v>9708</v>
      </c>
    </row>
    <row r="3155" spans="1:8">
      <c r="A3155" s="317" t="s">
        <v>38997</v>
      </c>
      <c r="B3155" s="317" t="s">
        <v>47521</v>
      </c>
      <c r="C3155" s="330" t="s">
        <v>10373</v>
      </c>
      <c r="D3155" s="330" t="s">
        <v>7322</v>
      </c>
      <c r="E3155" s="330" t="s">
        <v>37248</v>
      </c>
      <c r="F3155" s="331">
        <v>0.21</v>
      </c>
      <c r="G3155" s="332">
        <v>11651</v>
      </c>
      <c r="H3155" s="333">
        <v>14098</v>
      </c>
    </row>
    <row r="3156" spans="1:8">
      <c r="A3156" s="317" t="s">
        <v>38998</v>
      </c>
      <c r="B3156" s="317" t="s">
        <v>47522</v>
      </c>
      <c r="C3156" s="330" t="s">
        <v>10374</v>
      </c>
      <c r="D3156" s="330" t="s">
        <v>10375</v>
      </c>
      <c r="E3156" s="330" t="s">
        <v>4819</v>
      </c>
      <c r="F3156" s="331">
        <v>0.21</v>
      </c>
      <c r="G3156" s="332">
        <v>10422</v>
      </c>
      <c r="H3156" s="333">
        <v>12611</v>
      </c>
    </row>
    <row r="3157" spans="1:8">
      <c r="A3157" s="317" t="s">
        <v>38999</v>
      </c>
      <c r="B3157" s="317" t="s">
        <v>47523</v>
      </c>
      <c r="C3157" s="330" t="s">
        <v>10376</v>
      </c>
      <c r="D3157" s="330" t="s">
        <v>10377</v>
      </c>
      <c r="E3157" s="330" t="s">
        <v>4819</v>
      </c>
      <c r="F3157" s="331">
        <v>0.21</v>
      </c>
      <c r="G3157" s="332">
        <v>6435</v>
      </c>
      <c r="H3157" s="333">
        <v>7787</v>
      </c>
    </row>
    <row r="3158" spans="1:8">
      <c r="A3158" s="317" t="s">
        <v>39000</v>
      </c>
      <c r="B3158" s="317" t="s">
        <v>47524</v>
      </c>
      <c r="C3158" s="330" t="s">
        <v>10378</v>
      </c>
      <c r="D3158" s="330" t="s">
        <v>10379</v>
      </c>
      <c r="E3158" s="330" t="s">
        <v>4819</v>
      </c>
      <c r="F3158" s="331">
        <v>0.21</v>
      </c>
      <c r="G3158" s="332">
        <v>3102</v>
      </c>
      <c r="H3158" s="333">
        <v>3754</v>
      </c>
    </row>
    <row r="3159" spans="1:8">
      <c r="A3159" s="317" t="s">
        <v>39001</v>
      </c>
      <c r="B3159" s="317" t="s">
        <v>47525</v>
      </c>
      <c r="C3159" s="330" t="s">
        <v>10380</v>
      </c>
      <c r="D3159" s="330" t="s">
        <v>10381</v>
      </c>
      <c r="E3159" s="330" t="s">
        <v>4819</v>
      </c>
      <c r="F3159" s="331">
        <v>0.21</v>
      </c>
      <c r="G3159" s="332">
        <v>1505</v>
      </c>
      <c r="H3159" s="333">
        <v>1822</v>
      </c>
    </row>
    <row r="3160" spans="1:8">
      <c r="A3160" s="317" t="s">
        <v>39002</v>
      </c>
      <c r="B3160" s="317" t="s">
        <v>47526</v>
      </c>
      <c r="C3160" s="330" t="s">
        <v>10382</v>
      </c>
      <c r="D3160" s="330" t="s">
        <v>10383</v>
      </c>
      <c r="E3160" s="330" t="s">
        <v>37248</v>
      </c>
      <c r="F3160" s="331">
        <v>0.21</v>
      </c>
      <c r="G3160" s="332">
        <v>256179</v>
      </c>
      <c r="H3160" s="333">
        <v>309977</v>
      </c>
    </row>
    <row r="3161" spans="1:8">
      <c r="A3161" s="317" t="s">
        <v>39003</v>
      </c>
      <c r="B3161" s="317" t="s">
        <v>47527</v>
      </c>
      <c r="C3161" s="330" t="s">
        <v>10384</v>
      </c>
      <c r="D3161" s="330" t="s">
        <v>10385</v>
      </c>
      <c r="E3161" s="330" t="s">
        <v>37248</v>
      </c>
      <c r="F3161" s="331">
        <v>0.21</v>
      </c>
      <c r="G3161" s="332">
        <v>19905</v>
      </c>
      <c r="H3161" s="333">
        <v>24086</v>
      </c>
    </row>
    <row r="3162" spans="1:8">
      <c r="A3162" s="317" t="s">
        <v>39004</v>
      </c>
      <c r="B3162" s="317" t="s">
        <v>47528</v>
      </c>
      <c r="C3162" s="330" t="s">
        <v>10386</v>
      </c>
      <c r="D3162" s="330" t="s">
        <v>10387</v>
      </c>
      <c r="E3162" s="330" t="s">
        <v>4819</v>
      </c>
      <c r="F3162" s="331">
        <v>0.21</v>
      </c>
      <c r="G3162" s="332">
        <v>37690</v>
      </c>
      <c r="H3162" s="333">
        <v>45605</v>
      </c>
    </row>
    <row r="3163" spans="1:8">
      <c r="A3163" s="317" t="s">
        <v>39005</v>
      </c>
      <c r="B3163" s="317" t="s">
        <v>47529</v>
      </c>
      <c r="C3163" s="330" t="s">
        <v>10388</v>
      </c>
      <c r="D3163" s="330" t="s">
        <v>10389</v>
      </c>
      <c r="E3163" s="330" t="s">
        <v>37248</v>
      </c>
      <c r="F3163" s="331">
        <v>0.21</v>
      </c>
      <c r="G3163" s="332">
        <v>34744</v>
      </c>
      <c r="H3163" s="333">
        <v>42041</v>
      </c>
    </row>
    <row r="3164" spans="1:8">
      <c r="A3164" s="317" t="s">
        <v>39006</v>
      </c>
      <c r="B3164" s="317" t="s">
        <v>47530</v>
      </c>
      <c r="C3164" s="330" t="s">
        <v>10390</v>
      </c>
      <c r="D3164" s="330" t="s">
        <v>10391</v>
      </c>
      <c r="E3164" s="330" t="s">
        <v>37248</v>
      </c>
      <c r="F3164" s="331">
        <v>0.21</v>
      </c>
      <c r="G3164" s="332">
        <v>76435</v>
      </c>
      <c r="H3164" s="333">
        <v>92487</v>
      </c>
    </row>
    <row r="3165" spans="1:8">
      <c r="A3165" s="317" t="s">
        <v>39007</v>
      </c>
      <c r="B3165" s="317" t="s">
        <v>47531</v>
      </c>
      <c r="C3165" s="330" t="s">
        <v>10392</v>
      </c>
      <c r="D3165" s="330" t="s">
        <v>10393</v>
      </c>
      <c r="E3165" s="330" t="s">
        <v>4819</v>
      </c>
      <c r="F3165" s="331">
        <v>0.21</v>
      </c>
      <c r="G3165" s="332">
        <v>6274</v>
      </c>
      <c r="H3165" s="333">
        <v>7592</v>
      </c>
    </row>
    <row r="3166" spans="1:8">
      <c r="A3166" s="317" t="s">
        <v>39008</v>
      </c>
      <c r="B3166" s="317" t="s">
        <v>47532</v>
      </c>
      <c r="C3166" s="330" t="s">
        <v>10394</v>
      </c>
      <c r="D3166" s="330" t="s">
        <v>10395</v>
      </c>
      <c r="E3166" s="330" t="s">
        <v>4819</v>
      </c>
      <c r="F3166" s="331">
        <v>0.21</v>
      </c>
      <c r="G3166" s="332">
        <v>4737</v>
      </c>
      <c r="H3166" s="333">
        <v>5732</v>
      </c>
    </row>
    <row r="3167" spans="1:8">
      <c r="A3167" s="317" t="s">
        <v>39009</v>
      </c>
      <c r="B3167" s="317" t="s">
        <v>47533</v>
      </c>
      <c r="C3167" s="330" t="s">
        <v>10396</v>
      </c>
      <c r="D3167" s="330" t="s">
        <v>10397</v>
      </c>
      <c r="E3167" s="330" t="s">
        <v>4819</v>
      </c>
      <c r="F3167" s="331">
        <v>0.21</v>
      </c>
      <c r="G3167" s="332">
        <v>4070</v>
      </c>
      <c r="H3167" s="333">
        <v>4925</v>
      </c>
    </row>
    <row r="3168" spans="1:8">
      <c r="A3168" s="317" t="s">
        <v>39010</v>
      </c>
      <c r="B3168" s="317" t="s">
        <v>47534</v>
      </c>
      <c r="C3168" s="330" t="s">
        <v>10398</v>
      </c>
      <c r="D3168" s="330" t="s">
        <v>10399</v>
      </c>
      <c r="E3168" s="330" t="s">
        <v>4819</v>
      </c>
      <c r="F3168" s="331">
        <v>0.21</v>
      </c>
      <c r="G3168" s="332">
        <v>6274</v>
      </c>
      <c r="H3168" s="333">
        <v>7592</v>
      </c>
    </row>
    <row r="3169" spans="1:8">
      <c r="A3169" s="317" t="s">
        <v>39011</v>
      </c>
      <c r="B3169" s="317" t="s">
        <v>47535</v>
      </c>
      <c r="C3169" s="330" t="s">
        <v>10400</v>
      </c>
      <c r="D3169" s="330" t="s">
        <v>10399</v>
      </c>
      <c r="E3169" s="330" t="s">
        <v>4819</v>
      </c>
      <c r="F3169" s="331">
        <v>0.21</v>
      </c>
      <c r="G3169" s="332">
        <v>6185</v>
      </c>
      <c r="H3169" s="333">
        <v>7484</v>
      </c>
    </row>
    <row r="3170" spans="1:8">
      <c r="A3170" s="317" t="s">
        <v>39012</v>
      </c>
      <c r="B3170" s="317" t="s">
        <v>47536</v>
      </c>
      <c r="C3170" s="330" t="s">
        <v>10401</v>
      </c>
      <c r="D3170" s="330" t="s">
        <v>10402</v>
      </c>
      <c r="E3170" s="330" t="s">
        <v>37248</v>
      </c>
      <c r="F3170" s="331">
        <v>0.21</v>
      </c>
      <c r="G3170" s="332">
        <v>8507</v>
      </c>
      <c r="H3170" s="333">
        <v>10294</v>
      </c>
    </row>
    <row r="3171" spans="1:8">
      <c r="A3171" s="317" t="s">
        <v>39013</v>
      </c>
      <c r="B3171" s="317" t="s">
        <v>47537</v>
      </c>
      <c r="C3171" s="330" t="s">
        <v>10403</v>
      </c>
      <c r="D3171" s="330" t="s">
        <v>7967</v>
      </c>
      <c r="E3171" s="330" t="s">
        <v>37248</v>
      </c>
      <c r="F3171" s="331">
        <v>0.21</v>
      </c>
      <c r="G3171" s="332">
        <v>40180</v>
      </c>
      <c r="H3171" s="333">
        <v>48618</v>
      </c>
    </row>
    <row r="3172" spans="1:8">
      <c r="A3172" s="317" t="s">
        <v>39014</v>
      </c>
      <c r="B3172" s="317" t="s">
        <v>47538</v>
      </c>
      <c r="C3172" s="330" t="s">
        <v>10404</v>
      </c>
      <c r="D3172" s="330" t="s">
        <v>10405</v>
      </c>
      <c r="E3172" s="330" t="s">
        <v>37248</v>
      </c>
      <c r="F3172" s="331">
        <v>0.21</v>
      </c>
      <c r="G3172" s="332">
        <v>4166</v>
      </c>
      <c r="H3172" s="333">
        <v>5041</v>
      </c>
    </row>
    <row r="3173" spans="1:8">
      <c r="A3173" s="317" t="s">
        <v>39015</v>
      </c>
      <c r="B3173" s="317" t="s">
        <v>47539</v>
      </c>
      <c r="C3173" s="330" t="s">
        <v>10406</v>
      </c>
      <c r="D3173" s="330" t="s">
        <v>5392</v>
      </c>
      <c r="E3173" s="330" t="s">
        <v>37248</v>
      </c>
      <c r="F3173" s="331">
        <v>0.21</v>
      </c>
      <c r="G3173" s="332">
        <v>20670</v>
      </c>
      <c r="H3173" s="333">
        <v>25011</v>
      </c>
    </row>
    <row r="3174" spans="1:8">
      <c r="A3174" s="317" t="s">
        <v>39016</v>
      </c>
      <c r="B3174" s="317" t="s">
        <v>47540</v>
      </c>
      <c r="C3174" s="330" t="s">
        <v>10407</v>
      </c>
      <c r="D3174" s="330" t="s">
        <v>10408</v>
      </c>
      <c r="E3174" s="330" t="s">
        <v>4623</v>
      </c>
      <c r="F3174" s="331">
        <v>0.21</v>
      </c>
      <c r="G3174" s="332">
        <v>8333</v>
      </c>
      <c r="H3174" s="333">
        <v>10083</v>
      </c>
    </row>
    <row r="3175" spans="1:8">
      <c r="A3175" s="317" t="s">
        <v>39017</v>
      </c>
      <c r="B3175" s="317" t="s">
        <v>47541</v>
      </c>
      <c r="C3175" s="330" t="s">
        <v>10409</v>
      </c>
      <c r="D3175" s="330" t="s">
        <v>10410</v>
      </c>
      <c r="E3175" s="330" t="s">
        <v>37248</v>
      </c>
      <c r="F3175" s="331">
        <v>0.21</v>
      </c>
      <c r="G3175" s="332">
        <v>3625</v>
      </c>
      <c r="H3175" s="333">
        <v>4387</v>
      </c>
    </row>
    <row r="3176" spans="1:8">
      <c r="A3176" s="317" t="s">
        <v>39018</v>
      </c>
      <c r="B3176" s="317" t="s">
        <v>47542</v>
      </c>
      <c r="C3176" s="330" t="s">
        <v>10411</v>
      </c>
      <c r="D3176" s="330" t="s">
        <v>10412</v>
      </c>
      <c r="E3176" s="330" t="s">
        <v>4634</v>
      </c>
      <c r="F3176" s="331">
        <v>0.21</v>
      </c>
      <c r="G3176" s="332">
        <v>6391</v>
      </c>
      <c r="H3176" s="333">
        <v>7734</v>
      </c>
    </row>
    <row r="3177" spans="1:8">
      <c r="A3177" s="317" t="s">
        <v>39019</v>
      </c>
      <c r="B3177" s="317" t="s">
        <v>47543</v>
      </c>
      <c r="C3177" s="330" t="s">
        <v>10413</v>
      </c>
      <c r="D3177" s="330" t="s">
        <v>10414</v>
      </c>
      <c r="E3177" s="330" t="s">
        <v>37248</v>
      </c>
      <c r="F3177" s="331">
        <v>0.21</v>
      </c>
      <c r="G3177" s="332">
        <v>36782</v>
      </c>
      <c r="H3177" s="333">
        <v>44507</v>
      </c>
    </row>
    <row r="3178" spans="1:8">
      <c r="A3178" s="317" t="s">
        <v>39020</v>
      </c>
      <c r="B3178" s="317" t="s">
        <v>47544</v>
      </c>
      <c r="C3178" s="330" t="s">
        <v>10415</v>
      </c>
      <c r="D3178" s="330" t="s">
        <v>10416</v>
      </c>
      <c r="E3178" s="330" t="s">
        <v>4819</v>
      </c>
      <c r="F3178" s="331">
        <v>0.21</v>
      </c>
      <c r="G3178" s="332">
        <v>1748</v>
      </c>
      <c r="H3178" s="333">
        <v>2116</v>
      </c>
    </row>
    <row r="3179" spans="1:8">
      <c r="A3179" s="317" t="s">
        <v>39021</v>
      </c>
      <c r="B3179" s="317" t="s">
        <v>47545</v>
      </c>
      <c r="C3179" s="330" t="s">
        <v>10417</v>
      </c>
      <c r="D3179" s="330" t="s">
        <v>10418</v>
      </c>
      <c r="E3179" s="330" t="s">
        <v>4819</v>
      </c>
      <c r="F3179" s="331">
        <v>0.21</v>
      </c>
      <c r="G3179" s="332">
        <v>2993</v>
      </c>
      <c r="H3179" s="333">
        <v>3622</v>
      </c>
    </row>
    <row r="3180" spans="1:8">
      <c r="A3180" s="317" t="s">
        <v>39022</v>
      </c>
      <c r="B3180" s="317" t="s">
        <v>47546</v>
      </c>
      <c r="C3180" s="330" t="s">
        <v>10419</v>
      </c>
      <c r="D3180" s="330" t="s">
        <v>10420</v>
      </c>
      <c r="E3180" s="330" t="s">
        <v>4634</v>
      </c>
      <c r="F3180" s="331">
        <v>0.21</v>
      </c>
      <c r="G3180" s="332">
        <v>40403</v>
      </c>
      <c r="H3180" s="333">
        <v>48888</v>
      </c>
    </row>
    <row r="3181" spans="1:8">
      <c r="A3181" s="317" t="s">
        <v>39023</v>
      </c>
      <c r="B3181" s="317" t="s">
        <v>47547</v>
      </c>
      <c r="C3181" s="330" t="s">
        <v>10421</v>
      </c>
      <c r="D3181" s="330" t="s">
        <v>10422</v>
      </c>
      <c r="E3181" s="330" t="s">
        <v>37248</v>
      </c>
      <c r="F3181" s="331">
        <v>0.21</v>
      </c>
      <c r="G3181" s="332">
        <v>33037</v>
      </c>
      <c r="H3181" s="333">
        <v>39975</v>
      </c>
    </row>
    <row r="3182" spans="1:8">
      <c r="A3182" s="317" t="s">
        <v>39024</v>
      </c>
      <c r="B3182" s="317" t="s">
        <v>47548</v>
      </c>
      <c r="C3182" s="330" t="s">
        <v>10423</v>
      </c>
      <c r="D3182" s="330" t="s">
        <v>10424</v>
      </c>
      <c r="E3182" s="330" t="s">
        <v>4634</v>
      </c>
      <c r="F3182" s="331">
        <v>0.21</v>
      </c>
      <c r="G3182" s="332">
        <v>50576</v>
      </c>
      <c r="H3182" s="333">
        <v>61197</v>
      </c>
    </row>
    <row r="3183" spans="1:8">
      <c r="A3183" s="317" t="s">
        <v>39025</v>
      </c>
      <c r="B3183" s="317" t="s">
        <v>47549</v>
      </c>
      <c r="C3183" s="330" t="s">
        <v>10425</v>
      </c>
      <c r="D3183" s="330" t="s">
        <v>10426</v>
      </c>
      <c r="E3183" s="330" t="s">
        <v>37248</v>
      </c>
      <c r="F3183" s="331">
        <v>0.21</v>
      </c>
      <c r="G3183" s="332">
        <v>56589</v>
      </c>
      <c r="H3183" s="333">
        <v>68473</v>
      </c>
    </row>
    <row r="3184" spans="1:8">
      <c r="A3184" s="317" t="s">
        <v>39026</v>
      </c>
      <c r="B3184" s="317" t="s">
        <v>47550</v>
      </c>
      <c r="C3184" s="330" t="s">
        <v>10427</v>
      </c>
      <c r="D3184" s="330" t="s">
        <v>10428</v>
      </c>
      <c r="E3184" s="330" t="s">
        <v>37248</v>
      </c>
      <c r="F3184" s="331">
        <v>0.21</v>
      </c>
      <c r="G3184" s="332">
        <v>46660</v>
      </c>
      <c r="H3184" s="333">
        <v>56459</v>
      </c>
    </row>
    <row r="3185" spans="1:8">
      <c r="A3185" s="317" t="s">
        <v>39027</v>
      </c>
      <c r="B3185" s="317" t="s">
        <v>47551</v>
      </c>
      <c r="C3185" s="330" t="s">
        <v>10429</v>
      </c>
      <c r="D3185" s="330" t="s">
        <v>10430</v>
      </c>
      <c r="E3185" s="330" t="s">
        <v>37248</v>
      </c>
      <c r="F3185" s="331">
        <v>0.21</v>
      </c>
      <c r="G3185" s="332">
        <v>18763</v>
      </c>
      <c r="H3185" s="333">
        <v>22704</v>
      </c>
    </row>
    <row r="3186" spans="1:8">
      <c r="A3186" s="317" t="s">
        <v>39028</v>
      </c>
      <c r="B3186" s="317" t="s">
        <v>47552</v>
      </c>
      <c r="C3186" s="330" t="s">
        <v>10431</v>
      </c>
      <c r="D3186" s="330" t="s">
        <v>10432</v>
      </c>
      <c r="E3186" s="330" t="s">
        <v>37248</v>
      </c>
      <c r="F3186" s="331">
        <v>0.21</v>
      </c>
      <c r="G3186" s="332">
        <v>45572</v>
      </c>
      <c r="H3186" s="333">
        <v>55143</v>
      </c>
    </row>
    <row r="3187" spans="1:8">
      <c r="A3187" s="317" t="s">
        <v>39029</v>
      </c>
      <c r="B3187" s="317" t="s">
        <v>47553</v>
      </c>
      <c r="C3187" s="330" t="s">
        <v>10433</v>
      </c>
      <c r="D3187" s="330" t="s">
        <v>10434</v>
      </c>
      <c r="E3187" s="330" t="s">
        <v>37248</v>
      </c>
      <c r="F3187" s="331">
        <v>0.21</v>
      </c>
      <c r="G3187" s="332">
        <v>26499</v>
      </c>
      <c r="H3187" s="333">
        <v>32064</v>
      </c>
    </row>
    <row r="3188" spans="1:8">
      <c r="A3188" s="317" t="s">
        <v>39030</v>
      </c>
      <c r="B3188" s="317" t="s">
        <v>47554</v>
      </c>
      <c r="C3188" s="330" t="s">
        <v>10435</v>
      </c>
      <c r="D3188" s="330" t="s">
        <v>10436</v>
      </c>
      <c r="E3188" s="330" t="s">
        <v>4634</v>
      </c>
      <c r="F3188" s="331">
        <v>0.21</v>
      </c>
      <c r="G3188" s="332">
        <v>600</v>
      </c>
      <c r="H3188" s="333">
        <v>726</v>
      </c>
    </row>
    <row r="3189" spans="1:8">
      <c r="A3189" s="317" t="s">
        <v>39031</v>
      </c>
      <c r="B3189" s="317" t="s">
        <v>47555</v>
      </c>
      <c r="C3189" s="330" t="s">
        <v>10437</v>
      </c>
      <c r="D3189" s="330" t="s">
        <v>10438</v>
      </c>
      <c r="E3189" s="330" t="s">
        <v>37248</v>
      </c>
      <c r="F3189" s="331">
        <v>0.21</v>
      </c>
      <c r="G3189" s="332">
        <v>17783</v>
      </c>
      <c r="H3189" s="333">
        <v>21518</v>
      </c>
    </row>
    <row r="3190" spans="1:8">
      <c r="A3190" s="317" t="s">
        <v>39032</v>
      </c>
      <c r="B3190" s="317" t="s">
        <v>47556</v>
      </c>
      <c r="C3190" s="330" t="s">
        <v>10439</v>
      </c>
      <c r="D3190" s="330" t="s">
        <v>7375</v>
      </c>
      <c r="E3190" s="330" t="s">
        <v>37248</v>
      </c>
      <c r="F3190" s="331">
        <v>0.21</v>
      </c>
      <c r="G3190" s="332">
        <v>10348</v>
      </c>
      <c r="H3190" s="333">
        <v>12522</v>
      </c>
    </row>
    <row r="3191" spans="1:8">
      <c r="A3191" s="317" t="s">
        <v>39033</v>
      </c>
      <c r="B3191" s="317" t="s">
        <v>47557</v>
      </c>
      <c r="C3191" s="330" t="s">
        <v>10440</v>
      </c>
      <c r="D3191" s="330" t="s">
        <v>10441</v>
      </c>
      <c r="E3191" s="330" t="s">
        <v>37248</v>
      </c>
      <c r="F3191" s="331">
        <v>0.21</v>
      </c>
      <c r="G3191" s="332">
        <v>7830</v>
      </c>
      <c r="H3191" s="333">
        <v>9475</v>
      </c>
    </row>
    <row r="3192" spans="1:8">
      <c r="A3192" s="317" t="s">
        <v>39034</v>
      </c>
      <c r="B3192" s="317" t="s">
        <v>47558</v>
      </c>
      <c r="C3192" s="330" t="s">
        <v>10442</v>
      </c>
      <c r="D3192" s="330" t="s">
        <v>10443</v>
      </c>
      <c r="E3192" s="330" t="s">
        <v>37248</v>
      </c>
      <c r="F3192" s="331">
        <v>0.21</v>
      </c>
      <c r="G3192" s="332">
        <v>1052</v>
      </c>
      <c r="H3192" s="333">
        <v>1273</v>
      </c>
    </row>
    <row r="3193" spans="1:8">
      <c r="A3193" s="317" t="s">
        <v>39035</v>
      </c>
      <c r="B3193" s="317" t="s">
        <v>47559</v>
      </c>
      <c r="C3193" s="330" t="s">
        <v>10444</v>
      </c>
      <c r="D3193" s="330" t="s">
        <v>10445</v>
      </c>
      <c r="E3193" s="330" t="s">
        <v>4634</v>
      </c>
      <c r="F3193" s="331">
        <v>0.21</v>
      </c>
      <c r="G3193" s="332">
        <v>8499</v>
      </c>
      <c r="H3193" s="333">
        <v>10284</v>
      </c>
    </row>
    <row r="3194" spans="1:8">
      <c r="A3194" s="317" t="s">
        <v>39036</v>
      </c>
      <c r="B3194" s="317" t="s">
        <v>47560</v>
      </c>
      <c r="C3194" s="330" t="s">
        <v>10446</v>
      </c>
      <c r="D3194" s="330" t="s">
        <v>7867</v>
      </c>
      <c r="E3194" s="330" t="s">
        <v>37248</v>
      </c>
      <c r="F3194" s="331">
        <v>0.21</v>
      </c>
      <c r="G3194" s="332">
        <v>14020</v>
      </c>
      <c r="H3194" s="333">
        <v>16965</v>
      </c>
    </row>
    <row r="3195" spans="1:8">
      <c r="A3195" s="317" t="s">
        <v>39037</v>
      </c>
      <c r="B3195" s="317" t="s">
        <v>47561</v>
      </c>
      <c r="C3195" s="330" t="s">
        <v>10447</v>
      </c>
      <c r="D3195" s="330" t="s">
        <v>10448</v>
      </c>
      <c r="E3195" s="330" t="s">
        <v>37248</v>
      </c>
      <c r="F3195" s="331">
        <v>0.21</v>
      </c>
      <c r="G3195" s="332">
        <v>8171</v>
      </c>
      <c r="H3195" s="333">
        <v>9887</v>
      </c>
    </row>
    <row r="3196" spans="1:8">
      <c r="A3196" s="317" t="s">
        <v>39038</v>
      </c>
      <c r="B3196" s="317" t="s">
        <v>47562</v>
      </c>
      <c r="C3196" s="330" t="s">
        <v>10449</v>
      </c>
      <c r="D3196" s="330" t="s">
        <v>10450</v>
      </c>
      <c r="E3196" s="330" t="s">
        <v>4819</v>
      </c>
      <c r="F3196" s="331">
        <v>0.21</v>
      </c>
      <c r="G3196" s="332">
        <v>2630</v>
      </c>
      <c r="H3196" s="333">
        <v>3183</v>
      </c>
    </row>
    <row r="3197" spans="1:8">
      <c r="A3197" s="317" t="s">
        <v>39039</v>
      </c>
      <c r="B3197" s="317" t="s">
        <v>47563</v>
      </c>
      <c r="C3197" s="330" t="s">
        <v>10451</v>
      </c>
      <c r="D3197" s="330" t="s">
        <v>7401</v>
      </c>
      <c r="E3197" s="330" t="s">
        <v>37248</v>
      </c>
      <c r="F3197" s="331">
        <v>0.21</v>
      </c>
      <c r="G3197" s="332">
        <v>2826</v>
      </c>
      <c r="H3197" s="333">
        <v>3420</v>
      </c>
    </row>
    <row r="3198" spans="1:8">
      <c r="A3198" s="317" t="s">
        <v>39040</v>
      </c>
      <c r="B3198" s="317" t="s">
        <v>47564</v>
      </c>
      <c r="C3198" s="330" t="s">
        <v>10452</v>
      </c>
      <c r="D3198" s="330" t="s">
        <v>10453</v>
      </c>
      <c r="E3198" s="330" t="s">
        <v>4634</v>
      </c>
      <c r="F3198" s="331">
        <v>0.21</v>
      </c>
      <c r="G3198" s="332">
        <v>40887</v>
      </c>
      <c r="H3198" s="333">
        <v>49474</v>
      </c>
    </row>
    <row r="3199" spans="1:8">
      <c r="A3199" s="317" t="s">
        <v>39041</v>
      </c>
      <c r="B3199" s="317" t="s">
        <v>47565</v>
      </c>
      <c r="C3199" s="330" t="s">
        <v>10454</v>
      </c>
      <c r="D3199" s="330" t="s">
        <v>10455</v>
      </c>
      <c r="E3199" s="330" t="s">
        <v>4634</v>
      </c>
      <c r="F3199" s="331">
        <v>0.21</v>
      </c>
      <c r="G3199" s="332">
        <v>57420</v>
      </c>
      <c r="H3199" s="333">
        <v>69479</v>
      </c>
    </row>
    <row r="3200" spans="1:8">
      <c r="A3200" s="317" t="s">
        <v>39042</v>
      </c>
      <c r="B3200" s="317" t="s">
        <v>47566</v>
      </c>
      <c r="C3200" s="330" t="s">
        <v>10456</v>
      </c>
      <c r="D3200" s="330" t="s">
        <v>5073</v>
      </c>
      <c r="E3200" s="330" t="s">
        <v>37248</v>
      </c>
      <c r="F3200" s="331">
        <v>0.21</v>
      </c>
      <c r="G3200" s="332">
        <v>42739</v>
      </c>
      <c r="H3200" s="333">
        <v>51715</v>
      </c>
    </row>
    <row r="3201" spans="1:8">
      <c r="A3201" s="317" t="s">
        <v>39043</v>
      </c>
      <c r="B3201" s="317" t="s">
        <v>47567</v>
      </c>
      <c r="C3201" s="330" t="s">
        <v>10457</v>
      </c>
      <c r="D3201" s="330" t="s">
        <v>4762</v>
      </c>
      <c r="E3201" s="330" t="s">
        <v>37248</v>
      </c>
      <c r="F3201" s="331">
        <v>0.21</v>
      </c>
      <c r="G3201" s="332">
        <v>49020</v>
      </c>
      <c r="H3201" s="333">
        <v>59315</v>
      </c>
    </row>
    <row r="3202" spans="1:8">
      <c r="A3202" s="317" t="s">
        <v>39044</v>
      </c>
      <c r="B3202" s="317" t="s">
        <v>47568</v>
      </c>
      <c r="C3202" s="330" t="s">
        <v>10458</v>
      </c>
      <c r="D3202" s="330" t="s">
        <v>10459</v>
      </c>
      <c r="E3202" s="330" t="s">
        <v>4819</v>
      </c>
      <c r="F3202" s="331">
        <v>0.21</v>
      </c>
      <c r="G3202" s="332">
        <v>2197</v>
      </c>
      <c r="H3202" s="333">
        <v>2659</v>
      </c>
    </row>
    <row r="3203" spans="1:8">
      <c r="A3203" s="317" t="s">
        <v>39045</v>
      </c>
      <c r="B3203" s="317" t="s">
        <v>47569</v>
      </c>
      <c r="C3203" s="330" t="s">
        <v>10460</v>
      </c>
      <c r="D3203" s="330" t="s">
        <v>5334</v>
      </c>
      <c r="E3203" s="330" t="s">
        <v>4819</v>
      </c>
      <c r="F3203" s="331">
        <v>0.21</v>
      </c>
      <c r="G3203" s="332">
        <v>13964</v>
      </c>
      <c r="H3203" s="333">
        <v>16897</v>
      </c>
    </row>
    <row r="3204" spans="1:8">
      <c r="A3204" s="317" t="s">
        <v>39046</v>
      </c>
      <c r="B3204" s="317" t="s">
        <v>47570</v>
      </c>
      <c r="C3204" s="330" t="s">
        <v>10461</v>
      </c>
      <c r="D3204" s="330" t="s">
        <v>8240</v>
      </c>
      <c r="E3204" s="330" t="s">
        <v>37248</v>
      </c>
      <c r="F3204" s="331">
        <v>0.21</v>
      </c>
      <c r="G3204" s="332">
        <v>18492</v>
      </c>
      <c r="H3204" s="333">
        <v>22376</v>
      </c>
    </row>
    <row r="3205" spans="1:8">
      <c r="A3205" s="317" t="s">
        <v>39047</v>
      </c>
      <c r="B3205" s="317" t="s">
        <v>47571</v>
      </c>
      <c r="C3205" s="330" t="s">
        <v>10462</v>
      </c>
      <c r="D3205" s="330" t="s">
        <v>10463</v>
      </c>
      <c r="E3205" s="330" t="s">
        <v>37248</v>
      </c>
      <c r="F3205" s="331">
        <v>0.21</v>
      </c>
      <c r="G3205" s="332">
        <v>318</v>
      </c>
      <c r="H3205" s="333">
        <v>385</v>
      </c>
    </row>
    <row r="3206" spans="1:8">
      <c r="A3206" s="317" t="s">
        <v>39048</v>
      </c>
      <c r="B3206" s="317" t="s">
        <v>47572</v>
      </c>
      <c r="C3206" s="330" t="s">
        <v>10464</v>
      </c>
      <c r="D3206" s="330" t="s">
        <v>10465</v>
      </c>
      <c r="E3206" s="330" t="s">
        <v>37248</v>
      </c>
      <c r="F3206" s="331">
        <v>0.21</v>
      </c>
      <c r="G3206" s="332">
        <v>14526</v>
      </c>
      <c r="H3206" s="333">
        <v>17577</v>
      </c>
    </row>
    <row r="3207" spans="1:8">
      <c r="A3207" s="317" t="s">
        <v>39049</v>
      </c>
      <c r="B3207" s="317" t="s">
        <v>47573</v>
      </c>
      <c r="C3207" s="330" t="s">
        <v>10466</v>
      </c>
      <c r="D3207" s="330" t="s">
        <v>10467</v>
      </c>
      <c r="E3207" s="330" t="s">
        <v>37248</v>
      </c>
      <c r="F3207" s="331">
        <v>0.21</v>
      </c>
      <c r="G3207" s="332">
        <v>5384</v>
      </c>
      <c r="H3207" s="333">
        <v>6515</v>
      </c>
    </row>
    <row r="3208" spans="1:8">
      <c r="A3208" s="317" t="s">
        <v>39050</v>
      </c>
      <c r="B3208" s="317" t="s">
        <v>47574</v>
      </c>
      <c r="C3208" s="330" t="s">
        <v>10468</v>
      </c>
      <c r="D3208" s="330" t="s">
        <v>10469</v>
      </c>
      <c r="E3208" s="330" t="s">
        <v>4623</v>
      </c>
      <c r="F3208" s="331">
        <v>0.21</v>
      </c>
      <c r="G3208" s="332">
        <v>15588</v>
      </c>
      <c r="H3208" s="333">
        <v>18862</v>
      </c>
    </row>
    <row r="3209" spans="1:8">
      <c r="A3209" s="317" t="s">
        <v>39051</v>
      </c>
      <c r="B3209" s="317" t="s">
        <v>47575</v>
      </c>
      <c r="C3209" s="330" t="s">
        <v>10470</v>
      </c>
      <c r="D3209" s="330" t="s">
        <v>10471</v>
      </c>
      <c r="E3209" s="330" t="s">
        <v>37248</v>
      </c>
      <c r="F3209" s="331">
        <v>0.21</v>
      </c>
      <c r="G3209" s="332">
        <v>10776</v>
      </c>
      <c r="H3209" s="333">
        <v>13039</v>
      </c>
    </row>
    <row r="3210" spans="1:8">
      <c r="A3210" s="317" t="s">
        <v>39052</v>
      </c>
      <c r="B3210" s="317" t="s">
        <v>47576</v>
      </c>
      <c r="C3210" s="330" t="s">
        <v>39053</v>
      </c>
      <c r="D3210" s="330" t="s">
        <v>10472</v>
      </c>
      <c r="E3210" s="330" t="s">
        <v>37248</v>
      </c>
      <c r="F3210" s="335">
        <v>0.21</v>
      </c>
      <c r="G3210" s="336">
        <v>11791</v>
      </c>
      <c r="H3210" s="333">
        <v>14268</v>
      </c>
    </row>
    <row r="3211" spans="1:8">
      <c r="A3211" s="317" t="s">
        <v>39054</v>
      </c>
      <c r="B3211" s="317" t="s">
        <v>47577</v>
      </c>
      <c r="C3211" s="330" t="s">
        <v>39055</v>
      </c>
      <c r="D3211" s="330" t="s">
        <v>10473</v>
      </c>
      <c r="E3211" s="330" t="s">
        <v>37248</v>
      </c>
      <c r="F3211" s="335">
        <v>0.21</v>
      </c>
      <c r="G3211" s="336">
        <v>42893</v>
      </c>
      <c r="H3211" s="333">
        <v>51901</v>
      </c>
    </row>
    <row r="3212" spans="1:8">
      <c r="A3212" s="317" t="s">
        <v>39056</v>
      </c>
      <c r="B3212" s="317" t="s">
        <v>47578</v>
      </c>
      <c r="C3212" s="330" t="s">
        <v>10474</v>
      </c>
      <c r="D3212" s="330" t="s">
        <v>8004</v>
      </c>
      <c r="E3212" s="330" t="s">
        <v>4819</v>
      </c>
      <c r="F3212" s="331">
        <v>0.21</v>
      </c>
      <c r="G3212" s="332">
        <v>40223</v>
      </c>
      <c r="H3212" s="333">
        <v>48670</v>
      </c>
    </row>
    <row r="3213" spans="1:8">
      <c r="A3213" s="317" t="s">
        <v>39057</v>
      </c>
      <c r="B3213" s="317" t="s">
        <v>47579</v>
      </c>
      <c r="C3213" s="330" t="s">
        <v>10475</v>
      </c>
      <c r="D3213" s="330" t="s">
        <v>10476</v>
      </c>
      <c r="E3213" s="330" t="s">
        <v>4819</v>
      </c>
      <c r="F3213" s="331">
        <v>0.21</v>
      </c>
      <c r="G3213" s="332">
        <v>13313</v>
      </c>
      <c r="H3213" s="333">
        <v>16109</v>
      </c>
    </row>
    <row r="3214" spans="1:8">
      <c r="A3214" s="317" t="s">
        <v>39058</v>
      </c>
      <c r="B3214" s="317" t="s">
        <v>47580</v>
      </c>
      <c r="C3214" s="330" t="s">
        <v>10477</v>
      </c>
      <c r="D3214" s="330" t="s">
        <v>10478</v>
      </c>
      <c r="E3214" s="330" t="s">
        <v>37248</v>
      </c>
      <c r="F3214" s="331">
        <v>0.21</v>
      </c>
      <c r="G3214" s="332">
        <v>30570</v>
      </c>
      <c r="H3214" s="333">
        <v>36990</v>
      </c>
    </row>
    <row r="3215" spans="1:8">
      <c r="A3215" s="317" t="s">
        <v>39059</v>
      </c>
      <c r="B3215" s="317" t="s">
        <v>47581</v>
      </c>
      <c r="C3215" s="330" t="s">
        <v>10479</v>
      </c>
      <c r="D3215" s="330" t="s">
        <v>10480</v>
      </c>
      <c r="E3215" s="330" t="s">
        <v>4819</v>
      </c>
      <c r="F3215" s="331">
        <v>0.21</v>
      </c>
      <c r="G3215" s="332">
        <v>12686</v>
      </c>
      <c r="H3215" s="333">
        <v>15351</v>
      </c>
    </row>
    <row r="3216" spans="1:8">
      <c r="A3216" s="317" t="s">
        <v>39060</v>
      </c>
      <c r="B3216" s="317" t="s">
        <v>47582</v>
      </c>
      <c r="C3216" s="330" t="s">
        <v>10481</v>
      </c>
      <c r="D3216" s="330" t="s">
        <v>10482</v>
      </c>
      <c r="E3216" s="330" t="s">
        <v>37248</v>
      </c>
      <c r="F3216" s="331">
        <v>0.21</v>
      </c>
      <c r="G3216" s="332">
        <v>31717</v>
      </c>
      <c r="H3216" s="333">
        <v>38378</v>
      </c>
    </row>
    <row r="3217" spans="1:8">
      <c r="A3217" s="317" t="s">
        <v>39061</v>
      </c>
      <c r="B3217" s="317" t="s">
        <v>47583</v>
      </c>
      <c r="C3217" s="330" t="s">
        <v>10483</v>
      </c>
      <c r="D3217" s="330" t="s">
        <v>10484</v>
      </c>
      <c r="E3217" s="330" t="s">
        <v>37248</v>
      </c>
      <c r="F3217" s="331">
        <v>0.21</v>
      </c>
      <c r="G3217" s="332">
        <v>2993</v>
      </c>
      <c r="H3217" s="333">
        <v>3622</v>
      </c>
    </row>
    <row r="3218" spans="1:8">
      <c r="A3218" s="317" t="s">
        <v>39062</v>
      </c>
      <c r="B3218" s="317" t="s">
        <v>47584</v>
      </c>
      <c r="C3218" s="330" t="s">
        <v>10485</v>
      </c>
      <c r="D3218" s="330" t="s">
        <v>10486</v>
      </c>
      <c r="E3218" s="330" t="s">
        <v>4634</v>
      </c>
      <c r="F3218" s="331">
        <v>0.21</v>
      </c>
      <c r="G3218" s="332">
        <v>9364</v>
      </c>
      <c r="H3218" s="333">
        <v>11331</v>
      </c>
    </row>
    <row r="3219" spans="1:8">
      <c r="A3219" s="317" t="s">
        <v>39063</v>
      </c>
      <c r="B3219" s="317" t="s">
        <v>47585</v>
      </c>
      <c r="C3219" s="330" t="s">
        <v>10487</v>
      </c>
      <c r="D3219" s="330" t="s">
        <v>8062</v>
      </c>
      <c r="E3219" s="330" t="s">
        <v>37248</v>
      </c>
      <c r="F3219" s="331">
        <v>0.21</v>
      </c>
      <c r="G3219" s="332">
        <v>49839</v>
      </c>
      <c r="H3219" s="333">
        <v>60306</v>
      </c>
    </row>
    <row r="3220" spans="1:8">
      <c r="A3220" s="317" t="s">
        <v>39064</v>
      </c>
      <c r="B3220" s="317" t="s">
        <v>47586</v>
      </c>
      <c r="C3220" s="330" t="s">
        <v>10488</v>
      </c>
      <c r="D3220" s="330" t="s">
        <v>10489</v>
      </c>
      <c r="E3220" s="330" t="s">
        <v>37248</v>
      </c>
      <c r="F3220" s="331">
        <v>0.21</v>
      </c>
      <c r="G3220" s="332">
        <v>57990</v>
      </c>
      <c r="H3220" s="333">
        <v>70168</v>
      </c>
    </row>
    <row r="3221" spans="1:8">
      <c r="A3221" s="317" t="s">
        <v>39065</v>
      </c>
      <c r="B3221" s="317" t="s">
        <v>47587</v>
      </c>
      <c r="C3221" s="330" t="s">
        <v>10490</v>
      </c>
      <c r="D3221" s="330" t="s">
        <v>7967</v>
      </c>
      <c r="E3221" s="330" t="s">
        <v>37248</v>
      </c>
      <c r="F3221" s="331">
        <v>0.21</v>
      </c>
      <c r="G3221" s="332">
        <v>27520</v>
      </c>
      <c r="H3221" s="333">
        <v>33300</v>
      </c>
    </row>
    <row r="3222" spans="1:8">
      <c r="A3222" s="317" t="s">
        <v>39066</v>
      </c>
      <c r="B3222" s="317" t="s">
        <v>47588</v>
      </c>
      <c r="C3222" s="330" t="s">
        <v>10491</v>
      </c>
      <c r="D3222" s="330" t="s">
        <v>10486</v>
      </c>
      <c r="E3222" s="330" t="s">
        <v>4634</v>
      </c>
      <c r="F3222" s="331">
        <v>0.21</v>
      </c>
      <c r="G3222" s="332">
        <v>12264</v>
      </c>
      <c r="H3222" s="333">
        <v>14840</v>
      </c>
    </row>
    <row r="3223" spans="1:8">
      <c r="A3223" s="317" t="s">
        <v>39067</v>
      </c>
      <c r="B3223" s="317" t="s">
        <v>47589</v>
      </c>
      <c r="C3223" s="330" t="s">
        <v>10492</v>
      </c>
      <c r="D3223" s="330" t="s">
        <v>10493</v>
      </c>
      <c r="E3223" s="330" t="s">
        <v>37248</v>
      </c>
      <c r="F3223" s="331">
        <v>0.21</v>
      </c>
      <c r="G3223" s="332">
        <v>34289</v>
      </c>
      <c r="H3223" s="333">
        <v>41490</v>
      </c>
    </row>
    <row r="3224" spans="1:8">
      <c r="A3224" s="317" t="s">
        <v>39068</v>
      </c>
      <c r="B3224" s="317" t="s">
        <v>47590</v>
      </c>
      <c r="C3224" s="330" t="s">
        <v>10494</v>
      </c>
      <c r="D3224" s="330" t="s">
        <v>10495</v>
      </c>
      <c r="E3224" s="330" t="s">
        <v>4634</v>
      </c>
      <c r="F3224" s="331">
        <v>0.21</v>
      </c>
      <c r="G3224" s="332">
        <v>490</v>
      </c>
      <c r="H3224" s="333">
        <v>593</v>
      </c>
    </row>
    <row r="3225" spans="1:8">
      <c r="A3225" s="317" t="s">
        <v>39069</v>
      </c>
      <c r="B3225" s="317" t="s">
        <v>47591</v>
      </c>
      <c r="C3225" s="330" t="s">
        <v>10496</v>
      </c>
      <c r="D3225" s="330" t="s">
        <v>10497</v>
      </c>
      <c r="E3225" s="330" t="s">
        <v>4634</v>
      </c>
      <c r="F3225" s="331">
        <v>0.21</v>
      </c>
      <c r="G3225" s="332">
        <v>490</v>
      </c>
      <c r="H3225" s="333">
        <v>593</v>
      </c>
    </row>
    <row r="3226" spans="1:8">
      <c r="A3226" s="317" t="s">
        <v>39070</v>
      </c>
      <c r="B3226" s="317" t="s">
        <v>47592</v>
      </c>
      <c r="C3226" s="330" t="s">
        <v>10498</v>
      </c>
      <c r="D3226" s="330" t="s">
        <v>9896</v>
      </c>
      <c r="E3226" s="330" t="s">
        <v>37248</v>
      </c>
      <c r="F3226" s="331">
        <v>0.21</v>
      </c>
      <c r="G3226" s="332">
        <v>17101</v>
      </c>
      <c r="H3226" s="333">
        <v>20693</v>
      </c>
    </row>
    <row r="3227" spans="1:8">
      <c r="A3227" s="317" t="s">
        <v>39071</v>
      </c>
      <c r="B3227" s="317" t="s">
        <v>47593</v>
      </c>
      <c r="C3227" s="330" t="s">
        <v>10499</v>
      </c>
      <c r="D3227" s="330" t="s">
        <v>7322</v>
      </c>
      <c r="E3227" s="330" t="s">
        <v>37248</v>
      </c>
      <c r="F3227" s="331">
        <v>0.21</v>
      </c>
      <c r="G3227" s="332">
        <v>8472</v>
      </c>
      <c r="H3227" s="333">
        <v>10252</v>
      </c>
    </row>
    <row r="3228" spans="1:8">
      <c r="A3228" s="317" t="s">
        <v>39072</v>
      </c>
      <c r="B3228" s="317" t="s">
        <v>47594</v>
      </c>
      <c r="C3228" s="330" t="s">
        <v>10500</v>
      </c>
      <c r="D3228" s="330" t="s">
        <v>10501</v>
      </c>
      <c r="E3228" s="330" t="s">
        <v>37248</v>
      </c>
      <c r="F3228" s="331">
        <v>0.21</v>
      </c>
      <c r="G3228" s="332">
        <v>29017</v>
      </c>
      <c r="H3228" s="333">
        <v>35111</v>
      </c>
    </row>
    <row r="3229" spans="1:8">
      <c r="A3229" s="317" t="s">
        <v>39073</v>
      </c>
      <c r="B3229" s="317" t="s">
        <v>47595</v>
      </c>
      <c r="C3229" s="330" t="s">
        <v>10502</v>
      </c>
      <c r="D3229" s="330" t="s">
        <v>10503</v>
      </c>
      <c r="E3229" s="330" t="s">
        <v>37248</v>
      </c>
      <c r="F3229" s="331">
        <v>0.21</v>
      </c>
      <c r="G3229" s="332">
        <v>14435</v>
      </c>
      <c r="H3229" s="333">
        <v>17467</v>
      </c>
    </row>
    <row r="3230" spans="1:8">
      <c r="A3230" s="317" t="s">
        <v>39074</v>
      </c>
      <c r="B3230" s="317" t="s">
        <v>47596</v>
      </c>
      <c r="C3230" s="330" t="s">
        <v>10504</v>
      </c>
      <c r="D3230" s="330" t="s">
        <v>4650</v>
      </c>
      <c r="E3230" s="330" t="s">
        <v>37248</v>
      </c>
      <c r="F3230" s="331">
        <v>0.21</v>
      </c>
      <c r="G3230" s="332">
        <v>45364</v>
      </c>
      <c r="H3230" s="333">
        <v>54891</v>
      </c>
    </row>
    <row r="3231" spans="1:8">
      <c r="A3231" s="317" t="s">
        <v>39075</v>
      </c>
      <c r="B3231" s="317" t="s">
        <v>47597</v>
      </c>
      <c r="C3231" s="330" t="s">
        <v>10505</v>
      </c>
      <c r="D3231" s="330" t="s">
        <v>7651</v>
      </c>
      <c r="E3231" s="330" t="s">
        <v>37248</v>
      </c>
      <c r="F3231" s="331">
        <v>0.21</v>
      </c>
      <c r="G3231" s="332">
        <v>25276</v>
      </c>
      <c r="H3231" s="333">
        <v>30584</v>
      </c>
    </row>
    <row r="3232" spans="1:8">
      <c r="A3232" s="317" t="s">
        <v>39076</v>
      </c>
      <c r="B3232" s="317" t="s">
        <v>47598</v>
      </c>
      <c r="C3232" s="330" t="s">
        <v>10506</v>
      </c>
      <c r="D3232" s="330" t="s">
        <v>10503</v>
      </c>
      <c r="E3232" s="330" t="s">
        <v>37248</v>
      </c>
      <c r="F3232" s="331">
        <v>0.21</v>
      </c>
      <c r="G3232" s="332">
        <v>1373</v>
      </c>
      <c r="H3232" s="333">
        <v>1662</v>
      </c>
    </row>
    <row r="3233" spans="1:8">
      <c r="A3233" s="317" t="s">
        <v>39077</v>
      </c>
      <c r="B3233" s="317" t="s">
        <v>47599</v>
      </c>
      <c r="C3233" s="330" t="s">
        <v>10507</v>
      </c>
      <c r="D3233" s="330" t="s">
        <v>10503</v>
      </c>
      <c r="E3233" s="330" t="s">
        <v>37248</v>
      </c>
      <c r="F3233" s="331">
        <v>0.21</v>
      </c>
      <c r="G3233" s="332">
        <v>1052</v>
      </c>
      <c r="H3233" s="333">
        <v>1273</v>
      </c>
    </row>
    <row r="3234" spans="1:8">
      <c r="A3234" s="317" t="s">
        <v>39078</v>
      </c>
      <c r="B3234" s="317" t="s">
        <v>47600</v>
      </c>
      <c r="C3234" s="330" t="s">
        <v>10508</v>
      </c>
      <c r="D3234" s="330" t="s">
        <v>4762</v>
      </c>
      <c r="E3234" s="330" t="s">
        <v>37248</v>
      </c>
      <c r="F3234" s="331">
        <v>0.21</v>
      </c>
      <c r="G3234" s="332">
        <v>7461</v>
      </c>
      <c r="H3234" s="333">
        <v>9028</v>
      </c>
    </row>
    <row r="3235" spans="1:8">
      <c r="A3235" s="317" t="s">
        <v>39079</v>
      </c>
      <c r="B3235" s="317" t="s">
        <v>47601</v>
      </c>
      <c r="C3235" s="330" t="s">
        <v>10509</v>
      </c>
      <c r="D3235" s="330" t="s">
        <v>10510</v>
      </c>
      <c r="E3235" s="330" t="s">
        <v>37248</v>
      </c>
      <c r="F3235" s="331">
        <v>0.21</v>
      </c>
      <c r="G3235" s="332">
        <v>22149</v>
      </c>
      <c r="H3235" s="333">
        <v>26801</v>
      </c>
    </row>
    <row r="3236" spans="1:8">
      <c r="A3236" s="317" t="s">
        <v>39080</v>
      </c>
      <c r="B3236" s="317" t="s">
        <v>47602</v>
      </c>
      <c r="C3236" s="330" t="s">
        <v>10511</v>
      </c>
      <c r="D3236" s="330" t="s">
        <v>5334</v>
      </c>
      <c r="E3236" s="330" t="s">
        <v>37248</v>
      </c>
      <c r="F3236" s="331">
        <v>0.21</v>
      </c>
      <c r="G3236" s="332">
        <v>15651</v>
      </c>
      <c r="H3236" s="333">
        <v>18938</v>
      </c>
    </row>
    <row r="3237" spans="1:8">
      <c r="A3237" s="317" t="s">
        <v>39081</v>
      </c>
      <c r="B3237" s="317" t="s">
        <v>47603</v>
      </c>
      <c r="C3237" s="330" t="s">
        <v>10512</v>
      </c>
      <c r="D3237" s="330" t="s">
        <v>7237</v>
      </c>
      <c r="E3237" s="330" t="s">
        <v>37248</v>
      </c>
      <c r="F3237" s="331">
        <v>0.21</v>
      </c>
      <c r="G3237" s="332">
        <v>16101</v>
      </c>
      <c r="H3237" s="333">
        <v>19483</v>
      </c>
    </row>
    <row r="3238" spans="1:8">
      <c r="A3238" s="317" t="s">
        <v>39082</v>
      </c>
      <c r="B3238" s="317" t="s">
        <v>47604</v>
      </c>
      <c r="C3238" s="330" t="s">
        <v>10513</v>
      </c>
      <c r="D3238" s="330" t="s">
        <v>7000</v>
      </c>
      <c r="E3238" s="330" t="s">
        <v>37248</v>
      </c>
      <c r="F3238" s="331">
        <v>0.21</v>
      </c>
      <c r="G3238" s="332">
        <v>600</v>
      </c>
      <c r="H3238" s="333">
        <v>726</v>
      </c>
    </row>
    <row r="3239" spans="1:8">
      <c r="A3239" s="317" t="s">
        <v>39083</v>
      </c>
      <c r="B3239" s="317" t="s">
        <v>47605</v>
      </c>
      <c r="C3239" s="330" t="s">
        <v>10514</v>
      </c>
      <c r="D3239" s="330" t="s">
        <v>7322</v>
      </c>
      <c r="E3239" s="330" t="s">
        <v>37248</v>
      </c>
      <c r="F3239" s="331">
        <v>0.21</v>
      </c>
      <c r="G3239" s="332">
        <v>4064</v>
      </c>
      <c r="H3239" s="333">
        <v>4918</v>
      </c>
    </row>
    <row r="3240" spans="1:8">
      <c r="A3240" s="317" t="s">
        <v>39084</v>
      </c>
      <c r="B3240" s="317" t="s">
        <v>47606</v>
      </c>
      <c r="C3240" s="330" t="s">
        <v>10515</v>
      </c>
      <c r="D3240" s="330" t="s">
        <v>9931</v>
      </c>
      <c r="E3240" s="330" t="s">
        <v>37248</v>
      </c>
      <c r="F3240" s="331">
        <v>0.21</v>
      </c>
      <c r="G3240" s="332">
        <v>8472</v>
      </c>
      <c r="H3240" s="333">
        <v>10252</v>
      </c>
    </row>
    <row r="3241" spans="1:8">
      <c r="A3241" s="317" t="s">
        <v>39085</v>
      </c>
      <c r="B3241" s="317" t="s">
        <v>47607</v>
      </c>
      <c r="C3241" s="330" t="s">
        <v>10516</v>
      </c>
      <c r="D3241" s="330" t="s">
        <v>4650</v>
      </c>
      <c r="E3241" s="330" t="s">
        <v>37248</v>
      </c>
      <c r="F3241" s="331">
        <v>0.21</v>
      </c>
      <c r="G3241" s="332">
        <v>32906</v>
      </c>
      <c r="H3241" s="333">
        <v>39817</v>
      </c>
    </row>
    <row r="3242" spans="1:8">
      <c r="A3242" s="317" t="s">
        <v>39086</v>
      </c>
      <c r="B3242" s="317" t="s">
        <v>47608</v>
      </c>
      <c r="C3242" s="330" t="s">
        <v>10517</v>
      </c>
      <c r="D3242" s="330" t="s">
        <v>4650</v>
      </c>
      <c r="E3242" s="330" t="s">
        <v>37248</v>
      </c>
      <c r="F3242" s="331">
        <v>0.21</v>
      </c>
      <c r="G3242" s="332">
        <v>2736</v>
      </c>
      <c r="H3242" s="333">
        <v>3311</v>
      </c>
    </row>
    <row r="3243" spans="1:8">
      <c r="A3243" s="317" t="s">
        <v>39087</v>
      </c>
      <c r="B3243" s="317" t="s">
        <v>47609</v>
      </c>
      <c r="C3243" s="330" t="s">
        <v>10518</v>
      </c>
      <c r="D3243" s="330" t="s">
        <v>10519</v>
      </c>
      <c r="E3243" s="330" t="s">
        <v>37248</v>
      </c>
      <c r="F3243" s="331">
        <v>0.21</v>
      </c>
      <c r="G3243" s="332">
        <v>15651</v>
      </c>
      <c r="H3243" s="333">
        <v>18938</v>
      </c>
    </row>
    <row r="3244" spans="1:8">
      <c r="A3244" s="317" t="s">
        <v>39088</v>
      </c>
      <c r="B3244" s="317" t="s">
        <v>47610</v>
      </c>
      <c r="C3244" s="330" t="s">
        <v>10520</v>
      </c>
      <c r="D3244" s="330" t="s">
        <v>10521</v>
      </c>
      <c r="E3244" s="330" t="s">
        <v>4819</v>
      </c>
      <c r="F3244" s="331">
        <v>0.21</v>
      </c>
      <c r="G3244" s="332">
        <v>6863</v>
      </c>
      <c r="H3244" s="333">
        <v>8305</v>
      </c>
    </row>
    <row r="3245" spans="1:8">
      <c r="A3245" s="317" t="s">
        <v>39089</v>
      </c>
      <c r="B3245" s="317" t="s">
        <v>47611</v>
      </c>
      <c r="C3245" s="330" t="s">
        <v>10522</v>
      </c>
      <c r="D3245" s="330" t="s">
        <v>9487</v>
      </c>
      <c r="E3245" s="330" t="s">
        <v>37248</v>
      </c>
      <c r="F3245" s="331">
        <v>0.21</v>
      </c>
      <c r="G3245" s="332">
        <v>8860</v>
      </c>
      <c r="H3245" s="333">
        <v>10721</v>
      </c>
    </row>
    <row r="3246" spans="1:8">
      <c r="A3246" s="317" t="s">
        <v>39090</v>
      </c>
      <c r="B3246" s="317" t="s">
        <v>47612</v>
      </c>
      <c r="C3246" s="330" t="s">
        <v>10523</v>
      </c>
      <c r="D3246" s="330" t="s">
        <v>10524</v>
      </c>
      <c r="E3246" s="330" t="s">
        <v>37248</v>
      </c>
      <c r="F3246" s="331">
        <v>0.21</v>
      </c>
      <c r="G3246" s="332">
        <v>27567</v>
      </c>
      <c r="H3246" s="333">
        <v>33357</v>
      </c>
    </row>
    <row r="3247" spans="1:8">
      <c r="A3247" s="317" t="s">
        <v>39091</v>
      </c>
      <c r="B3247" s="317" t="s">
        <v>47613</v>
      </c>
      <c r="C3247" s="330" t="s">
        <v>10525</v>
      </c>
      <c r="D3247" s="330" t="s">
        <v>10526</v>
      </c>
      <c r="E3247" s="330" t="s">
        <v>37248</v>
      </c>
      <c r="F3247" s="331">
        <v>0.21</v>
      </c>
      <c r="G3247" s="332">
        <v>33343</v>
      </c>
      <c r="H3247" s="333">
        <v>40346</v>
      </c>
    </row>
    <row r="3248" spans="1:8">
      <c r="A3248" s="317" t="s">
        <v>39092</v>
      </c>
      <c r="B3248" s="317" t="s">
        <v>47614</v>
      </c>
      <c r="C3248" s="330" t="s">
        <v>10527</v>
      </c>
      <c r="D3248" s="330" t="s">
        <v>10528</v>
      </c>
      <c r="E3248" s="330" t="s">
        <v>37248</v>
      </c>
      <c r="F3248" s="331">
        <v>0.21</v>
      </c>
      <c r="G3248" s="332">
        <v>5034</v>
      </c>
      <c r="H3248" s="333">
        <v>6092</v>
      </c>
    </row>
    <row r="3249" spans="1:8">
      <c r="A3249" s="317" t="s">
        <v>39093</v>
      </c>
      <c r="B3249" s="317" t="s">
        <v>47615</v>
      </c>
      <c r="C3249" s="330" t="s">
        <v>10529</v>
      </c>
      <c r="D3249" s="330" t="s">
        <v>10530</v>
      </c>
      <c r="E3249" s="330" t="s">
        <v>37248</v>
      </c>
      <c r="F3249" s="331">
        <v>0.21</v>
      </c>
      <c r="G3249" s="332">
        <v>5034</v>
      </c>
      <c r="H3249" s="333">
        <v>6092</v>
      </c>
    </row>
    <row r="3250" spans="1:8">
      <c r="A3250" s="317" t="s">
        <v>39094</v>
      </c>
      <c r="B3250" s="317" t="s">
        <v>47616</v>
      </c>
      <c r="C3250" s="330" t="s">
        <v>10531</v>
      </c>
      <c r="D3250" s="330" t="s">
        <v>10532</v>
      </c>
      <c r="E3250" s="330" t="s">
        <v>37248</v>
      </c>
      <c r="F3250" s="331">
        <v>0.21</v>
      </c>
      <c r="G3250" s="332">
        <v>13685</v>
      </c>
      <c r="H3250" s="333">
        <v>16559</v>
      </c>
    </row>
    <row r="3251" spans="1:8">
      <c r="A3251" s="317" t="s">
        <v>39095</v>
      </c>
      <c r="B3251" s="317" t="s">
        <v>47617</v>
      </c>
      <c r="C3251" s="330" t="s">
        <v>10533</v>
      </c>
      <c r="D3251" s="330" t="s">
        <v>10534</v>
      </c>
      <c r="E3251" s="330" t="s">
        <v>37248</v>
      </c>
      <c r="F3251" s="331">
        <v>0.21</v>
      </c>
      <c r="G3251" s="332">
        <v>6562</v>
      </c>
      <c r="H3251" s="333">
        <v>7941</v>
      </c>
    </row>
    <row r="3252" spans="1:8">
      <c r="A3252" s="317" t="s">
        <v>39096</v>
      </c>
      <c r="B3252" s="317" t="s">
        <v>47618</v>
      </c>
      <c r="C3252" s="330" t="s">
        <v>10535</v>
      </c>
      <c r="D3252" s="330" t="s">
        <v>10534</v>
      </c>
      <c r="E3252" s="330" t="s">
        <v>37248</v>
      </c>
      <c r="F3252" s="331">
        <v>0.21</v>
      </c>
      <c r="G3252" s="332">
        <v>6562</v>
      </c>
      <c r="H3252" s="333">
        <v>7941</v>
      </c>
    </row>
    <row r="3253" spans="1:8">
      <c r="A3253" s="317" t="s">
        <v>39097</v>
      </c>
      <c r="B3253" s="317" t="s">
        <v>47619</v>
      </c>
      <c r="C3253" s="330" t="s">
        <v>10536</v>
      </c>
      <c r="D3253" s="330" t="s">
        <v>10537</v>
      </c>
      <c r="E3253" s="330" t="s">
        <v>37248</v>
      </c>
      <c r="F3253" s="331">
        <v>0.21</v>
      </c>
      <c r="G3253" s="332">
        <v>12686</v>
      </c>
      <c r="H3253" s="333">
        <v>15351</v>
      </c>
    </row>
    <row r="3254" spans="1:8">
      <c r="A3254" s="317" t="s">
        <v>39098</v>
      </c>
      <c r="B3254" s="317" t="s">
        <v>47620</v>
      </c>
      <c r="C3254" s="330" t="s">
        <v>10538</v>
      </c>
      <c r="D3254" s="330" t="s">
        <v>4650</v>
      </c>
      <c r="E3254" s="330" t="s">
        <v>37248</v>
      </c>
      <c r="F3254" s="331">
        <v>0.21</v>
      </c>
      <c r="G3254" s="332">
        <v>35944</v>
      </c>
      <c r="H3254" s="333">
        <v>43493</v>
      </c>
    </row>
    <row r="3255" spans="1:8">
      <c r="A3255" s="317" t="s">
        <v>39099</v>
      </c>
      <c r="B3255" s="317" t="s">
        <v>47621</v>
      </c>
      <c r="C3255" s="330" t="s">
        <v>10539</v>
      </c>
      <c r="D3255" s="330" t="s">
        <v>10540</v>
      </c>
      <c r="E3255" s="330" t="s">
        <v>37248</v>
      </c>
      <c r="F3255" s="331">
        <v>0.21</v>
      </c>
      <c r="G3255" s="332">
        <v>47731</v>
      </c>
      <c r="H3255" s="333">
        <v>57755</v>
      </c>
    </row>
    <row r="3256" spans="1:8">
      <c r="A3256" s="317" t="s">
        <v>39100</v>
      </c>
      <c r="B3256" s="317" t="s">
        <v>47622</v>
      </c>
      <c r="C3256" s="330" t="s">
        <v>10541</v>
      </c>
      <c r="D3256" s="330" t="s">
        <v>7628</v>
      </c>
      <c r="E3256" s="330" t="s">
        <v>37248</v>
      </c>
      <c r="F3256" s="331">
        <v>0.21</v>
      </c>
      <c r="G3256" s="332">
        <v>6627</v>
      </c>
      <c r="H3256" s="333">
        <v>8019</v>
      </c>
    </row>
    <row r="3257" spans="1:8">
      <c r="A3257" s="317" t="s">
        <v>39101</v>
      </c>
      <c r="B3257" s="317" t="s">
        <v>47623</v>
      </c>
      <c r="C3257" s="330" t="s">
        <v>10542</v>
      </c>
      <c r="D3257" s="330" t="s">
        <v>7628</v>
      </c>
      <c r="E3257" s="330" t="s">
        <v>37248</v>
      </c>
      <c r="F3257" s="331">
        <v>0.21</v>
      </c>
      <c r="G3257" s="332">
        <v>6627</v>
      </c>
      <c r="H3257" s="333">
        <v>8019</v>
      </c>
    </row>
    <row r="3258" spans="1:8">
      <c r="A3258" s="317" t="s">
        <v>39102</v>
      </c>
      <c r="B3258" s="317" t="s">
        <v>47624</v>
      </c>
      <c r="C3258" s="330" t="s">
        <v>10543</v>
      </c>
      <c r="D3258" s="330" t="s">
        <v>8535</v>
      </c>
      <c r="E3258" s="330" t="s">
        <v>37248</v>
      </c>
      <c r="F3258" s="331">
        <v>0.21</v>
      </c>
      <c r="G3258" s="332">
        <v>7791</v>
      </c>
      <c r="H3258" s="333">
        <v>9428</v>
      </c>
    </row>
    <row r="3259" spans="1:8">
      <c r="A3259" s="317" t="s">
        <v>39103</v>
      </c>
      <c r="B3259" s="317" t="s">
        <v>47625</v>
      </c>
      <c r="C3259" s="330" t="s">
        <v>10544</v>
      </c>
      <c r="D3259" s="330" t="s">
        <v>5075</v>
      </c>
      <c r="E3259" s="330" t="s">
        <v>37248</v>
      </c>
      <c r="F3259" s="331">
        <v>0.21</v>
      </c>
      <c r="G3259" s="332">
        <v>54881</v>
      </c>
      <c r="H3259" s="333">
        <v>66407</v>
      </c>
    </row>
    <row r="3260" spans="1:8">
      <c r="A3260" s="317" t="s">
        <v>39104</v>
      </c>
      <c r="B3260" s="317" t="s">
        <v>47626</v>
      </c>
      <c r="C3260" s="330" t="s">
        <v>10545</v>
      </c>
      <c r="D3260" s="330" t="s">
        <v>10546</v>
      </c>
      <c r="E3260" s="330" t="s">
        <v>37248</v>
      </c>
      <c r="F3260" s="331">
        <v>0.21</v>
      </c>
      <c r="G3260" s="332">
        <v>8215</v>
      </c>
      <c r="H3260" s="333">
        <v>9941</v>
      </c>
    </row>
    <row r="3261" spans="1:8">
      <c r="A3261" s="317" t="s">
        <v>39105</v>
      </c>
      <c r="B3261" s="317" t="s">
        <v>47627</v>
      </c>
      <c r="C3261" s="330" t="s">
        <v>10547</v>
      </c>
      <c r="D3261" s="330" t="s">
        <v>10548</v>
      </c>
      <c r="E3261" s="330" t="s">
        <v>37248</v>
      </c>
      <c r="F3261" s="331">
        <v>0.21</v>
      </c>
      <c r="G3261" s="332">
        <v>43194</v>
      </c>
      <c r="H3261" s="333">
        <v>52265</v>
      </c>
    </row>
    <row r="3262" spans="1:8">
      <c r="A3262" s="317" t="s">
        <v>39106</v>
      </c>
      <c r="B3262" s="317" t="s">
        <v>47628</v>
      </c>
      <c r="C3262" s="330" t="s">
        <v>10549</v>
      </c>
      <c r="D3262" s="330" t="s">
        <v>10550</v>
      </c>
      <c r="E3262" s="330" t="s">
        <v>37248</v>
      </c>
      <c r="F3262" s="331">
        <v>0.21</v>
      </c>
      <c r="G3262" s="332">
        <v>17232</v>
      </c>
      <c r="H3262" s="333">
        <v>20851</v>
      </c>
    </row>
    <row r="3263" spans="1:8">
      <c r="A3263" s="317" t="s">
        <v>39107</v>
      </c>
      <c r="B3263" s="317" t="s">
        <v>47629</v>
      </c>
      <c r="C3263" s="330" t="s">
        <v>10551</v>
      </c>
      <c r="D3263" s="330" t="s">
        <v>10546</v>
      </c>
      <c r="E3263" s="330" t="s">
        <v>37248</v>
      </c>
      <c r="F3263" s="331">
        <v>0.21</v>
      </c>
      <c r="G3263" s="332">
        <v>10268</v>
      </c>
      <c r="H3263" s="333">
        <v>12425</v>
      </c>
    </row>
    <row r="3264" spans="1:8">
      <c r="A3264" s="317" t="s">
        <v>39108</v>
      </c>
      <c r="B3264" s="317" t="s">
        <v>47630</v>
      </c>
      <c r="C3264" s="330" t="s">
        <v>10552</v>
      </c>
      <c r="D3264" s="330" t="s">
        <v>8054</v>
      </c>
      <c r="E3264" s="330" t="s">
        <v>37248</v>
      </c>
      <c r="F3264" s="331">
        <v>0.21</v>
      </c>
      <c r="G3264" s="332">
        <v>49913</v>
      </c>
      <c r="H3264" s="333">
        <v>60395</v>
      </c>
    </row>
    <row r="3265" spans="1:8">
      <c r="A3265" s="317" t="s">
        <v>39109</v>
      </c>
      <c r="B3265" s="317" t="s">
        <v>47631</v>
      </c>
      <c r="C3265" s="330" t="s">
        <v>10553</v>
      </c>
      <c r="D3265" s="330" t="s">
        <v>10554</v>
      </c>
      <c r="E3265" s="330" t="s">
        <v>37248</v>
      </c>
      <c r="F3265" s="331">
        <v>0.21</v>
      </c>
      <c r="G3265" s="332">
        <v>66737</v>
      </c>
      <c r="H3265" s="333">
        <v>80752</v>
      </c>
    </row>
    <row r="3266" spans="1:8">
      <c r="A3266" s="317" t="s">
        <v>39110</v>
      </c>
      <c r="B3266" s="317" t="s">
        <v>47632</v>
      </c>
      <c r="C3266" s="330" t="s">
        <v>10555</v>
      </c>
      <c r="D3266" s="330" t="s">
        <v>4650</v>
      </c>
      <c r="E3266" s="330" t="s">
        <v>37248</v>
      </c>
      <c r="F3266" s="331">
        <v>0.21</v>
      </c>
      <c r="G3266" s="332">
        <v>68734</v>
      </c>
      <c r="H3266" s="333">
        <v>83169</v>
      </c>
    </row>
    <row r="3267" spans="1:8">
      <c r="A3267" s="317" t="s">
        <v>39111</v>
      </c>
      <c r="B3267" s="317" t="s">
        <v>47633</v>
      </c>
      <c r="C3267" s="330" t="s">
        <v>10556</v>
      </c>
      <c r="D3267" s="330" t="s">
        <v>10546</v>
      </c>
      <c r="E3267" s="330" t="s">
        <v>37248</v>
      </c>
      <c r="F3267" s="331">
        <v>0.21</v>
      </c>
      <c r="G3267" s="332">
        <v>16712</v>
      </c>
      <c r="H3267" s="333">
        <v>20222</v>
      </c>
    </row>
    <row r="3268" spans="1:8">
      <c r="A3268" s="318">
        <v>16070000000000</v>
      </c>
      <c r="B3268" s="317" t="s">
        <v>47634</v>
      </c>
      <c r="C3268" s="330" t="s">
        <v>10557</v>
      </c>
      <c r="D3268" s="330" t="s">
        <v>7867</v>
      </c>
      <c r="E3268" s="330" t="s">
        <v>37248</v>
      </c>
      <c r="F3268" s="331">
        <v>0.21</v>
      </c>
      <c r="G3268" s="332">
        <v>33186</v>
      </c>
      <c r="H3268" s="333">
        <v>40156</v>
      </c>
    </row>
    <row r="3269" spans="1:8">
      <c r="A3269" s="317" t="s">
        <v>39112</v>
      </c>
      <c r="B3269" s="317" t="s">
        <v>47635</v>
      </c>
      <c r="C3269" s="330" t="s">
        <v>10558</v>
      </c>
      <c r="D3269" s="330" t="s">
        <v>10379</v>
      </c>
      <c r="E3269" s="330" t="s">
        <v>4819</v>
      </c>
      <c r="F3269" s="331">
        <v>0.21</v>
      </c>
      <c r="G3269" s="332">
        <v>3421</v>
      </c>
      <c r="H3269" s="333">
        <v>4140</v>
      </c>
    </row>
    <row r="3270" spans="1:8">
      <c r="A3270" s="318">
        <v>1.607E+24</v>
      </c>
      <c r="B3270" s="317" t="s">
        <v>47636</v>
      </c>
      <c r="C3270" s="330" t="s">
        <v>10559</v>
      </c>
      <c r="D3270" s="330" t="s">
        <v>6840</v>
      </c>
      <c r="E3270" s="330" t="s">
        <v>37248</v>
      </c>
      <c r="F3270" s="331">
        <v>0.21</v>
      </c>
      <c r="G3270" s="332">
        <v>4060</v>
      </c>
      <c r="H3270" s="333">
        <v>4913</v>
      </c>
    </row>
    <row r="3271" spans="1:8">
      <c r="A3271" s="317" t="s">
        <v>39113</v>
      </c>
      <c r="B3271" s="317" t="s">
        <v>47637</v>
      </c>
      <c r="C3271" s="330" t="s">
        <v>10560</v>
      </c>
      <c r="D3271" s="330" t="s">
        <v>4762</v>
      </c>
      <c r="E3271" s="330" t="s">
        <v>37248</v>
      </c>
      <c r="F3271" s="331">
        <v>0.21</v>
      </c>
      <c r="G3271" s="332">
        <v>16262</v>
      </c>
      <c r="H3271" s="333">
        <v>19678</v>
      </c>
    </row>
    <row r="3272" spans="1:8">
      <c r="A3272" s="317" t="s">
        <v>39114</v>
      </c>
      <c r="B3272" s="317" t="s">
        <v>47638</v>
      </c>
      <c r="C3272" s="330" t="s">
        <v>10561</v>
      </c>
      <c r="D3272" s="330" t="s">
        <v>8396</v>
      </c>
      <c r="E3272" s="330" t="s">
        <v>4819</v>
      </c>
      <c r="F3272" s="331">
        <v>0.21</v>
      </c>
      <c r="G3272" s="332">
        <v>1561</v>
      </c>
      <c r="H3272" s="333">
        <v>1889</v>
      </c>
    </row>
    <row r="3273" spans="1:8">
      <c r="A3273" s="318">
        <v>1.6069999999999999E+52</v>
      </c>
      <c r="B3273" s="317" t="s">
        <v>47639</v>
      </c>
      <c r="C3273" s="330" t="s">
        <v>10562</v>
      </c>
      <c r="D3273" s="330" t="s">
        <v>10563</v>
      </c>
      <c r="E3273" s="330" t="s">
        <v>37248</v>
      </c>
      <c r="F3273" s="331">
        <v>0.21</v>
      </c>
      <c r="G3273" s="332">
        <v>11620</v>
      </c>
      <c r="H3273" s="333">
        <v>14061</v>
      </c>
    </row>
    <row r="3274" spans="1:8">
      <c r="A3274" s="317" t="s">
        <v>39115</v>
      </c>
      <c r="B3274" s="317" t="s">
        <v>47640</v>
      </c>
      <c r="C3274" s="330" t="s">
        <v>10564</v>
      </c>
      <c r="D3274" s="330" t="s">
        <v>9896</v>
      </c>
      <c r="E3274" s="330" t="s">
        <v>37248</v>
      </c>
      <c r="F3274" s="331">
        <v>0.21</v>
      </c>
      <c r="G3274" s="332">
        <v>5840</v>
      </c>
      <c r="H3274" s="333">
        <v>7067</v>
      </c>
    </row>
    <row r="3275" spans="1:8">
      <c r="A3275" s="318">
        <v>1.6070000000000001E+64</v>
      </c>
      <c r="B3275" s="317" t="s">
        <v>47641</v>
      </c>
      <c r="C3275" s="330" t="s">
        <v>10565</v>
      </c>
      <c r="D3275" s="330" t="s">
        <v>7397</v>
      </c>
      <c r="E3275" s="330" t="s">
        <v>37248</v>
      </c>
      <c r="F3275" s="331">
        <v>0.21</v>
      </c>
      <c r="G3275" s="332">
        <v>1740</v>
      </c>
      <c r="H3275" s="333">
        <v>2106</v>
      </c>
    </row>
    <row r="3276" spans="1:8">
      <c r="A3276" s="318">
        <v>1.6069999999999999E+65</v>
      </c>
      <c r="B3276" s="317" t="s">
        <v>47642</v>
      </c>
      <c r="C3276" s="330" t="s">
        <v>10566</v>
      </c>
      <c r="D3276" s="330" t="s">
        <v>7397</v>
      </c>
      <c r="E3276" s="330" t="s">
        <v>37248</v>
      </c>
      <c r="F3276" s="331">
        <v>0.21</v>
      </c>
      <c r="G3276" s="332">
        <v>1740</v>
      </c>
      <c r="H3276" s="333">
        <v>2106</v>
      </c>
    </row>
    <row r="3277" spans="1:8">
      <c r="A3277" s="317" t="s">
        <v>39116</v>
      </c>
      <c r="B3277" s="317" t="s">
        <v>47643</v>
      </c>
      <c r="C3277" s="330" t="s">
        <v>10567</v>
      </c>
      <c r="D3277" s="330" t="s">
        <v>7397</v>
      </c>
      <c r="E3277" s="330" t="s">
        <v>37248</v>
      </c>
      <c r="F3277" s="331">
        <v>0.21</v>
      </c>
      <c r="G3277" s="332">
        <v>1740</v>
      </c>
      <c r="H3277" s="333">
        <v>2106</v>
      </c>
    </row>
    <row r="3278" spans="1:8">
      <c r="A3278" s="317" t="s">
        <v>39117</v>
      </c>
      <c r="B3278" s="317" t="s">
        <v>47644</v>
      </c>
      <c r="C3278" s="330" t="s">
        <v>10568</v>
      </c>
      <c r="D3278" s="330" t="s">
        <v>7397</v>
      </c>
      <c r="E3278" s="330" t="s">
        <v>37248</v>
      </c>
      <c r="F3278" s="331">
        <v>0.21</v>
      </c>
      <c r="G3278" s="332">
        <v>1740</v>
      </c>
      <c r="H3278" s="333">
        <v>2106</v>
      </c>
    </row>
    <row r="3279" spans="1:8">
      <c r="A3279" s="317" t="s">
        <v>39118</v>
      </c>
      <c r="B3279" s="317" t="s">
        <v>47645</v>
      </c>
      <c r="C3279" s="330" t="s">
        <v>10569</v>
      </c>
      <c r="D3279" s="330" t="s">
        <v>7397</v>
      </c>
      <c r="E3279" s="330" t="s">
        <v>37248</v>
      </c>
      <c r="F3279" s="331">
        <v>0.21</v>
      </c>
      <c r="G3279" s="332">
        <v>1740</v>
      </c>
      <c r="H3279" s="333">
        <v>2106</v>
      </c>
    </row>
    <row r="3280" spans="1:8">
      <c r="A3280" s="317" t="s">
        <v>39119</v>
      </c>
      <c r="B3280" s="317" t="s">
        <v>47646</v>
      </c>
      <c r="C3280" s="330" t="s">
        <v>10570</v>
      </c>
      <c r="D3280" s="330" t="s">
        <v>10571</v>
      </c>
      <c r="E3280" s="330" t="s">
        <v>37248</v>
      </c>
      <c r="F3280" s="331">
        <v>0.21</v>
      </c>
      <c r="G3280" s="332">
        <v>37811</v>
      </c>
      <c r="H3280" s="333">
        <v>45752</v>
      </c>
    </row>
    <row r="3281" spans="1:8">
      <c r="A3281" s="317" t="s">
        <v>39120</v>
      </c>
      <c r="B3281" s="317" t="s">
        <v>47647</v>
      </c>
      <c r="C3281" s="330" t="s">
        <v>10572</v>
      </c>
      <c r="D3281" s="330" t="s">
        <v>10573</v>
      </c>
      <c r="E3281" s="330" t="s">
        <v>37248</v>
      </c>
      <c r="F3281" s="331">
        <v>0.21</v>
      </c>
      <c r="G3281" s="332">
        <v>8073</v>
      </c>
      <c r="H3281" s="333">
        <v>9769</v>
      </c>
    </row>
    <row r="3282" spans="1:8">
      <c r="A3282" s="318">
        <v>1.607E+66</v>
      </c>
      <c r="B3282" s="317" t="s">
        <v>47648</v>
      </c>
      <c r="C3282" s="330" t="s">
        <v>10574</v>
      </c>
      <c r="D3282" s="330" t="s">
        <v>10575</v>
      </c>
      <c r="E3282" s="330" t="s">
        <v>37248</v>
      </c>
      <c r="F3282" s="331">
        <v>0.21</v>
      </c>
      <c r="G3282" s="332">
        <v>2328</v>
      </c>
      <c r="H3282" s="333">
        <v>2817</v>
      </c>
    </row>
    <row r="3283" spans="1:8">
      <c r="A3283" s="318">
        <v>1.607E+67</v>
      </c>
      <c r="B3283" s="317" t="s">
        <v>47649</v>
      </c>
      <c r="C3283" s="330" t="s">
        <v>10576</v>
      </c>
      <c r="D3283" s="330" t="s">
        <v>10534</v>
      </c>
      <c r="E3283" s="330" t="s">
        <v>37248</v>
      </c>
      <c r="F3283" s="331">
        <v>0.21</v>
      </c>
      <c r="G3283" s="332">
        <v>1579</v>
      </c>
      <c r="H3283" s="333">
        <v>1911</v>
      </c>
    </row>
    <row r="3284" spans="1:8">
      <c r="A3284" s="318">
        <v>1.6070000000000001E+68</v>
      </c>
      <c r="B3284" s="317" t="s">
        <v>47650</v>
      </c>
      <c r="C3284" s="330" t="s">
        <v>10577</v>
      </c>
      <c r="D3284" s="330" t="s">
        <v>7639</v>
      </c>
      <c r="E3284" s="330" t="s">
        <v>37248</v>
      </c>
      <c r="F3284" s="331">
        <v>0.21</v>
      </c>
      <c r="G3284" s="332">
        <v>8488</v>
      </c>
      <c r="H3284" s="333">
        <v>10271</v>
      </c>
    </row>
    <row r="3285" spans="1:8">
      <c r="A3285" s="318">
        <v>1.607E+75</v>
      </c>
      <c r="B3285" s="317" t="s">
        <v>47651</v>
      </c>
      <c r="C3285" s="330" t="s">
        <v>10578</v>
      </c>
      <c r="D3285" s="330" t="s">
        <v>8171</v>
      </c>
      <c r="E3285" s="330" t="s">
        <v>37248</v>
      </c>
      <c r="F3285" s="331">
        <v>0.21</v>
      </c>
      <c r="G3285" s="332">
        <v>6023</v>
      </c>
      <c r="H3285" s="333">
        <v>7288</v>
      </c>
    </row>
    <row r="3286" spans="1:8">
      <c r="A3286" s="317" t="s">
        <v>39121</v>
      </c>
      <c r="B3286" s="317" t="s">
        <v>47652</v>
      </c>
      <c r="C3286" s="330" t="s">
        <v>10579</v>
      </c>
      <c r="D3286" s="330" t="s">
        <v>10580</v>
      </c>
      <c r="E3286" s="330" t="s">
        <v>37248</v>
      </c>
      <c r="F3286" s="331">
        <v>0.21</v>
      </c>
      <c r="G3286" s="332">
        <v>3912</v>
      </c>
      <c r="H3286" s="333">
        <v>4734</v>
      </c>
    </row>
    <row r="3287" spans="1:8">
      <c r="A3287" s="317" t="s">
        <v>39122</v>
      </c>
      <c r="B3287" s="317" t="s">
        <v>47653</v>
      </c>
      <c r="C3287" s="330" t="s">
        <v>10581</v>
      </c>
      <c r="D3287" s="330" t="s">
        <v>7418</v>
      </c>
      <c r="E3287" s="330" t="s">
        <v>37248</v>
      </c>
      <c r="F3287" s="331">
        <v>0.21</v>
      </c>
      <c r="G3287" s="332">
        <v>12800</v>
      </c>
      <c r="H3287" s="333">
        <v>15488</v>
      </c>
    </row>
    <row r="3288" spans="1:8">
      <c r="A3288" s="317" t="s">
        <v>39123</v>
      </c>
      <c r="B3288" s="317" t="s">
        <v>47654</v>
      </c>
      <c r="C3288" s="330" t="s">
        <v>10582</v>
      </c>
      <c r="D3288" s="330" t="s">
        <v>10583</v>
      </c>
      <c r="E3288" s="330" t="s">
        <v>37248</v>
      </c>
      <c r="F3288" s="331">
        <v>0.21</v>
      </c>
      <c r="G3288" s="332">
        <v>2476</v>
      </c>
      <c r="H3288" s="333">
        <v>2996</v>
      </c>
    </row>
    <row r="3289" spans="1:8">
      <c r="A3289" s="317" t="s">
        <v>39124</v>
      </c>
      <c r="B3289" s="317" t="s">
        <v>47655</v>
      </c>
      <c r="C3289" s="330" t="s">
        <v>10584</v>
      </c>
      <c r="D3289" s="330" t="s">
        <v>10585</v>
      </c>
      <c r="E3289" s="330" t="s">
        <v>37248</v>
      </c>
      <c r="F3289" s="331">
        <v>0.21</v>
      </c>
      <c r="G3289" s="332">
        <v>21058</v>
      </c>
      <c r="H3289" s="333">
        <v>25481</v>
      </c>
    </row>
    <row r="3290" spans="1:8">
      <c r="A3290" s="317" t="s">
        <v>39125</v>
      </c>
      <c r="B3290" s="317" t="s">
        <v>47656</v>
      </c>
      <c r="C3290" s="330" t="s">
        <v>10586</v>
      </c>
      <c r="D3290" s="330" t="s">
        <v>5073</v>
      </c>
      <c r="E3290" s="330" t="s">
        <v>37248</v>
      </c>
      <c r="F3290" s="331">
        <v>0.21</v>
      </c>
      <c r="G3290" s="332">
        <v>7472</v>
      </c>
      <c r="H3290" s="333">
        <v>9042</v>
      </c>
    </row>
    <row r="3291" spans="1:8">
      <c r="A3291" s="317" t="s">
        <v>39126</v>
      </c>
      <c r="B3291" s="317" t="s">
        <v>47657</v>
      </c>
      <c r="C3291" s="330" t="s">
        <v>10587</v>
      </c>
      <c r="D3291" s="330" t="s">
        <v>8054</v>
      </c>
      <c r="E3291" s="330" t="s">
        <v>37248</v>
      </c>
      <c r="F3291" s="331">
        <v>0.21</v>
      </c>
      <c r="G3291" s="332">
        <v>63132</v>
      </c>
      <c r="H3291" s="333">
        <v>76390</v>
      </c>
    </row>
    <row r="3292" spans="1:8">
      <c r="A3292" s="318">
        <v>1.6070000000000001E+85</v>
      </c>
      <c r="B3292" s="317" t="s">
        <v>47658</v>
      </c>
      <c r="C3292" s="330" t="s">
        <v>10588</v>
      </c>
      <c r="D3292" s="330" t="s">
        <v>10589</v>
      </c>
      <c r="E3292" s="330" t="s">
        <v>4819</v>
      </c>
      <c r="F3292" s="331">
        <v>0.21</v>
      </c>
      <c r="G3292" s="332">
        <v>21498157</v>
      </c>
      <c r="H3292" s="333">
        <v>26012770</v>
      </c>
    </row>
    <row r="3293" spans="1:8">
      <c r="A3293" s="317" t="s">
        <v>39127</v>
      </c>
      <c r="B3293" s="317" t="s">
        <v>47659</v>
      </c>
      <c r="C3293" s="330" t="s">
        <v>10590</v>
      </c>
      <c r="D3293" s="330" t="s">
        <v>10326</v>
      </c>
      <c r="E3293" s="330" t="s">
        <v>37248</v>
      </c>
      <c r="F3293" s="331">
        <v>0.21</v>
      </c>
      <c r="G3293" s="332">
        <v>77227</v>
      </c>
      <c r="H3293" s="333">
        <v>93445</v>
      </c>
    </row>
    <row r="3294" spans="1:8">
      <c r="A3294" s="317" t="s">
        <v>39128</v>
      </c>
      <c r="B3294" s="317" t="s">
        <v>47660</v>
      </c>
      <c r="C3294" s="330" t="s">
        <v>10591</v>
      </c>
      <c r="D3294" s="330" t="s">
        <v>10592</v>
      </c>
      <c r="E3294" s="330" t="s">
        <v>37248</v>
      </c>
      <c r="F3294" s="331">
        <v>0.21</v>
      </c>
      <c r="G3294" s="332">
        <v>11735</v>
      </c>
      <c r="H3294" s="333">
        <v>14200</v>
      </c>
    </row>
    <row r="3295" spans="1:8">
      <c r="A3295" s="317" t="s">
        <v>39129</v>
      </c>
      <c r="B3295" s="317" t="s">
        <v>47661</v>
      </c>
      <c r="C3295" s="330" t="s">
        <v>10593</v>
      </c>
      <c r="D3295" s="330" t="s">
        <v>8004</v>
      </c>
      <c r="E3295" s="330" t="s">
        <v>37248</v>
      </c>
      <c r="F3295" s="331">
        <v>0.21</v>
      </c>
      <c r="G3295" s="332">
        <v>28227</v>
      </c>
      <c r="H3295" s="333">
        <v>34155</v>
      </c>
    </row>
    <row r="3296" spans="1:8">
      <c r="A3296" s="317" t="s">
        <v>39130</v>
      </c>
      <c r="B3296" s="317" t="s">
        <v>47662</v>
      </c>
      <c r="C3296" s="330" t="s">
        <v>10594</v>
      </c>
      <c r="D3296" s="330" t="s">
        <v>10595</v>
      </c>
      <c r="E3296" s="330" t="s">
        <v>4634</v>
      </c>
      <c r="F3296" s="331">
        <v>0.21</v>
      </c>
      <c r="G3296" s="332">
        <v>5824</v>
      </c>
      <c r="H3296" s="333">
        <v>7048</v>
      </c>
    </row>
    <row r="3297" spans="1:8">
      <c r="A3297" s="317" t="s">
        <v>39131</v>
      </c>
      <c r="B3297" s="317" t="s">
        <v>47663</v>
      </c>
      <c r="C3297" s="330" t="s">
        <v>10596</v>
      </c>
      <c r="D3297" s="330" t="s">
        <v>6740</v>
      </c>
      <c r="E3297" s="330" t="s">
        <v>37248</v>
      </c>
      <c r="F3297" s="331">
        <v>0.21</v>
      </c>
      <c r="G3297" s="332">
        <v>6045</v>
      </c>
      <c r="H3297" s="333">
        <v>7315</v>
      </c>
    </row>
    <row r="3298" spans="1:8">
      <c r="A3298" s="317" t="s">
        <v>39132</v>
      </c>
      <c r="B3298" s="317" t="s">
        <v>47664</v>
      </c>
      <c r="C3298" s="330" t="s">
        <v>10597</v>
      </c>
      <c r="D3298" s="330" t="s">
        <v>5073</v>
      </c>
      <c r="E3298" s="330" t="s">
        <v>37248</v>
      </c>
      <c r="F3298" s="331">
        <v>0.21</v>
      </c>
      <c r="G3298" s="332">
        <v>29992</v>
      </c>
      <c r="H3298" s="333">
        <v>36291</v>
      </c>
    </row>
    <row r="3299" spans="1:8">
      <c r="A3299" s="317" t="s">
        <v>39133</v>
      </c>
      <c r="B3299" s="317" t="s">
        <v>47665</v>
      </c>
      <c r="C3299" s="330" t="s">
        <v>10598</v>
      </c>
      <c r="D3299" s="330" t="s">
        <v>8016</v>
      </c>
      <c r="E3299" s="330" t="s">
        <v>4819</v>
      </c>
      <c r="F3299" s="331">
        <v>0.21</v>
      </c>
      <c r="G3299" s="332">
        <v>410</v>
      </c>
      <c r="H3299" s="333">
        <v>497</v>
      </c>
    </row>
    <row r="3300" spans="1:8">
      <c r="A3300" s="317" t="s">
        <v>39134</v>
      </c>
      <c r="B3300" s="317" t="s">
        <v>47666</v>
      </c>
      <c r="C3300" s="330" t="s">
        <v>10599</v>
      </c>
      <c r="D3300" s="330" t="s">
        <v>10600</v>
      </c>
      <c r="E3300" s="330" t="s">
        <v>37248</v>
      </c>
      <c r="F3300" s="331">
        <v>0.21</v>
      </c>
      <c r="G3300" s="332">
        <v>4191</v>
      </c>
      <c r="H3300" s="333">
        <v>5072</v>
      </c>
    </row>
    <row r="3301" spans="1:8">
      <c r="A3301" s="317" t="s">
        <v>39135</v>
      </c>
      <c r="B3301" s="317" t="s">
        <v>47667</v>
      </c>
      <c r="C3301" s="330" t="s">
        <v>10601</v>
      </c>
      <c r="D3301" s="330" t="s">
        <v>10602</v>
      </c>
      <c r="E3301" s="330" t="s">
        <v>4634</v>
      </c>
      <c r="F3301" s="331">
        <v>0.21</v>
      </c>
      <c r="G3301" s="332">
        <v>18178</v>
      </c>
      <c r="H3301" s="333">
        <v>21996</v>
      </c>
    </row>
    <row r="3302" spans="1:8">
      <c r="A3302" s="317" t="s">
        <v>39136</v>
      </c>
      <c r="B3302" s="317" t="s">
        <v>47668</v>
      </c>
      <c r="C3302" s="330" t="s">
        <v>10603</v>
      </c>
      <c r="D3302" s="330" t="s">
        <v>10604</v>
      </c>
      <c r="E3302" s="330" t="s">
        <v>37248</v>
      </c>
      <c r="F3302" s="331">
        <v>0.21</v>
      </c>
      <c r="G3302" s="332">
        <v>33369</v>
      </c>
      <c r="H3302" s="333">
        <v>40377</v>
      </c>
    </row>
    <row r="3303" spans="1:8">
      <c r="A3303" s="317" t="s">
        <v>39137</v>
      </c>
      <c r="B3303" s="317" t="s">
        <v>47669</v>
      </c>
      <c r="C3303" s="330" t="s">
        <v>10605</v>
      </c>
      <c r="D3303" s="330" t="s">
        <v>10606</v>
      </c>
      <c r="E3303" s="330" t="s">
        <v>37248</v>
      </c>
      <c r="F3303" s="331">
        <v>0.21</v>
      </c>
      <c r="G3303" s="332">
        <v>27244</v>
      </c>
      <c r="H3303" s="333">
        <v>32966</v>
      </c>
    </row>
    <row r="3304" spans="1:8">
      <c r="A3304" s="317">
        <v>1607014100</v>
      </c>
      <c r="B3304" s="317" t="s">
        <v>47670</v>
      </c>
      <c r="C3304" s="330" t="s">
        <v>10607</v>
      </c>
      <c r="D3304" s="330" t="s">
        <v>10134</v>
      </c>
      <c r="E3304" s="330" t="s">
        <v>4634</v>
      </c>
      <c r="F3304" s="331">
        <v>0.21</v>
      </c>
      <c r="G3304" s="332">
        <v>613</v>
      </c>
      <c r="H3304" s="333">
        <v>742</v>
      </c>
    </row>
    <row r="3305" spans="1:8">
      <c r="A3305" s="317">
        <v>1607014116</v>
      </c>
      <c r="B3305" s="317" t="s">
        <v>47671</v>
      </c>
      <c r="C3305" s="330" t="s">
        <v>10608</v>
      </c>
      <c r="D3305" s="330" t="s">
        <v>10609</v>
      </c>
      <c r="E3305" s="330" t="s">
        <v>4634</v>
      </c>
      <c r="F3305" s="331">
        <v>0.21</v>
      </c>
      <c r="G3305" s="332">
        <v>3751</v>
      </c>
      <c r="H3305" s="333">
        <v>4539</v>
      </c>
    </row>
    <row r="3306" spans="1:8">
      <c r="A3306" s="317">
        <v>1607014124</v>
      </c>
      <c r="B3306" s="317" t="s">
        <v>47672</v>
      </c>
      <c r="C3306" s="330" t="s">
        <v>10610</v>
      </c>
      <c r="D3306" s="330" t="s">
        <v>10611</v>
      </c>
      <c r="E3306" s="330" t="s">
        <v>4634</v>
      </c>
      <c r="F3306" s="331">
        <v>0.21</v>
      </c>
      <c r="G3306" s="332">
        <v>823</v>
      </c>
      <c r="H3306" s="333">
        <v>996</v>
      </c>
    </row>
    <row r="3307" spans="1:8">
      <c r="A3307" s="317">
        <v>1607014126</v>
      </c>
      <c r="B3307" s="317" t="s">
        <v>47673</v>
      </c>
      <c r="C3307" s="330" t="s">
        <v>10612</v>
      </c>
      <c r="D3307" s="330" t="s">
        <v>10613</v>
      </c>
      <c r="E3307" s="330" t="s">
        <v>4634</v>
      </c>
      <c r="F3307" s="331">
        <v>0.21</v>
      </c>
      <c r="G3307" s="332">
        <v>3239</v>
      </c>
      <c r="H3307" s="333">
        <v>3920</v>
      </c>
    </row>
    <row r="3308" spans="1:8">
      <c r="A3308" s="317">
        <v>1607014128</v>
      </c>
      <c r="B3308" s="317" t="s">
        <v>47674</v>
      </c>
      <c r="C3308" s="330" t="s">
        <v>10614</v>
      </c>
      <c r="D3308" s="330" t="s">
        <v>5876</v>
      </c>
      <c r="E3308" s="330" t="s">
        <v>4634</v>
      </c>
      <c r="F3308" s="331">
        <v>0.21</v>
      </c>
      <c r="G3308" s="332">
        <v>579</v>
      </c>
      <c r="H3308" s="333">
        <v>701</v>
      </c>
    </row>
    <row r="3309" spans="1:8">
      <c r="A3309" s="317">
        <v>1607014129</v>
      </c>
      <c r="B3309" s="317" t="s">
        <v>47675</v>
      </c>
      <c r="C3309" s="330" t="s">
        <v>10615</v>
      </c>
      <c r="D3309" s="330" t="s">
        <v>10616</v>
      </c>
      <c r="E3309" s="330" t="s">
        <v>4634</v>
      </c>
      <c r="F3309" s="331">
        <v>0.21</v>
      </c>
      <c r="G3309" s="332">
        <v>16909</v>
      </c>
      <c r="H3309" s="333">
        <v>20460</v>
      </c>
    </row>
    <row r="3310" spans="1:8">
      <c r="A3310" s="317">
        <v>1607014130</v>
      </c>
      <c r="B3310" s="317" t="s">
        <v>47676</v>
      </c>
      <c r="C3310" s="330" t="s">
        <v>10617</v>
      </c>
      <c r="D3310" s="330" t="s">
        <v>10618</v>
      </c>
      <c r="E3310" s="330" t="s">
        <v>4634</v>
      </c>
      <c r="F3310" s="331">
        <v>0.21</v>
      </c>
      <c r="G3310" s="332">
        <v>805</v>
      </c>
      <c r="H3310" s="333">
        <v>975</v>
      </c>
    </row>
    <row r="3311" spans="1:8">
      <c r="A3311" s="317">
        <v>1607014138</v>
      </c>
      <c r="B3311" s="317" t="s">
        <v>47677</v>
      </c>
      <c r="C3311" s="330" t="s">
        <v>10619</v>
      </c>
      <c r="D3311" s="330" t="s">
        <v>10620</v>
      </c>
      <c r="E3311" s="330" t="s">
        <v>4634</v>
      </c>
      <c r="F3311" s="331">
        <v>0.21</v>
      </c>
      <c r="G3311" s="332">
        <v>122</v>
      </c>
      <c r="H3311" s="333">
        <v>148</v>
      </c>
    </row>
    <row r="3312" spans="1:8">
      <c r="A3312" s="317">
        <v>1607014148</v>
      </c>
      <c r="B3312" s="317" t="s">
        <v>47678</v>
      </c>
      <c r="C3312" s="330" t="s">
        <v>10621</v>
      </c>
      <c r="D3312" s="330" t="s">
        <v>10622</v>
      </c>
      <c r="E3312" s="330" t="s">
        <v>4634</v>
      </c>
      <c r="F3312" s="331">
        <v>0.21</v>
      </c>
      <c r="G3312" s="332">
        <v>23895</v>
      </c>
      <c r="H3312" s="333">
        <v>28913</v>
      </c>
    </row>
    <row r="3313" spans="1:8">
      <c r="A3313" s="317">
        <v>1607014151</v>
      </c>
      <c r="B3313" s="317" t="s">
        <v>47679</v>
      </c>
      <c r="C3313" s="330" t="s">
        <v>10623</v>
      </c>
      <c r="D3313" s="330" t="s">
        <v>10624</v>
      </c>
      <c r="E3313" s="330" t="s">
        <v>4634</v>
      </c>
      <c r="F3313" s="331">
        <v>0.21</v>
      </c>
      <c r="G3313" s="332">
        <v>3062</v>
      </c>
      <c r="H3313" s="333">
        <v>3706</v>
      </c>
    </row>
    <row r="3314" spans="1:8">
      <c r="A3314" s="317">
        <v>1607014154</v>
      </c>
      <c r="B3314" s="317" t="s">
        <v>47680</v>
      </c>
      <c r="C3314" s="330" t="s">
        <v>10625</v>
      </c>
      <c r="D3314" s="330" t="s">
        <v>10626</v>
      </c>
      <c r="E3314" s="330" t="s">
        <v>4634</v>
      </c>
      <c r="F3314" s="331">
        <v>0.21</v>
      </c>
      <c r="G3314" s="332">
        <v>3279</v>
      </c>
      <c r="H3314" s="333">
        <v>3968</v>
      </c>
    </row>
    <row r="3315" spans="1:8">
      <c r="A3315" s="317">
        <v>1607014170</v>
      </c>
      <c r="B3315" s="317" t="s">
        <v>47681</v>
      </c>
      <c r="C3315" s="330" t="s">
        <v>10627</v>
      </c>
      <c r="D3315" s="330" t="s">
        <v>10628</v>
      </c>
      <c r="E3315" s="330" t="s">
        <v>4819</v>
      </c>
      <c r="F3315" s="331">
        <v>0.21</v>
      </c>
      <c r="G3315" s="332">
        <v>25653</v>
      </c>
      <c r="H3315" s="333">
        <v>31041</v>
      </c>
    </row>
    <row r="3316" spans="1:8">
      <c r="A3316" s="317">
        <v>1607014171</v>
      </c>
      <c r="B3316" s="317" t="s">
        <v>47682</v>
      </c>
      <c r="C3316" s="330" t="s">
        <v>10629</v>
      </c>
      <c r="D3316" s="330" t="s">
        <v>10630</v>
      </c>
      <c r="E3316" s="330" t="s">
        <v>4634</v>
      </c>
      <c r="F3316" s="331">
        <v>0.21</v>
      </c>
      <c r="G3316" s="332">
        <v>11227</v>
      </c>
      <c r="H3316" s="333">
        <v>13585</v>
      </c>
    </row>
    <row r="3317" spans="1:8">
      <c r="A3317" s="317">
        <v>1607014172</v>
      </c>
      <c r="B3317" s="317" t="s">
        <v>47683</v>
      </c>
      <c r="C3317" s="330" t="s">
        <v>10631</v>
      </c>
      <c r="D3317" s="330" t="s">
        <v>10632</v>
      </c>
      <c r="E3317" s="330" t="s">
        <v>4634</v>
      </c>
      <c r="F3317" s="331">
        <v>0.21</v>
      </c>
      <c r="G3317" s="332">
        <v>4403</v>
      </c>
      <c r="H3317" s="333">
        <v>5328</v>
      </c>
    </row>
    <row r="3318" spans="1:8">
      <c r="A3318" s="317" t="s">
        <v>39138</v>
      </c>
      <c r="B3318" s="317" t="s">
        <v>47684</v>
      </c>
      <c r="C3318" s="330" t="s">
        <v>10633</v>
      </c>
      <c r="D3318" s="330" t="s">
        <v>10634</v>
      </c>
      <c r="E3318" s="330" t="s">
        <v>37248</v>
      </c>
      <c r="F3318" s="331">
        <v>0.21</v>
      </c>
      <c r="G3318" s="332">
        <v>4515</v>
      </c>
      <c r="H3318" s="333">
        <v>5464</v>
      </c>
    </row>
    <row r="3319" spans="1:8">
      <c r="A3319" s="317" t="s">
        <v>39139</v>
      </c>
      <c r="B3319" s="317" t="s">
        <v>47685</v>
      </c>
      <c r="C3319" s="330" t="s">
        <v>10635</v>
      </c>
      <c r="D3319" s="330" t="s">
        <v>10636</v>
      </c>
      <c r="E3319" s="330" t="s">
        <v>37248</v>
      </c>
      <c r="F3319" s="331">
        <v>0.21</v>
      </c>
      <c r="G3319" s="332">
        <v>31620</v>
      </c>
      <c r="H3319" s="333">
        <v>38261</v>
      </c>
    </row>
    <row r="3320" spans="1:8">
      <c r="A3320" s="317" t="s">
        <v>39140</v>
      </c>
      <c r="B3320" s="317" t="s">
        <v>47686</v>
      </c>
      <c r="C3320" s="330" t="s">
        <v>10637</v>
      </c>
      <c r="D3320" s="330" t="s">
        <v>10638</v>
      </c>
      <c r="E3320" s="330" t="s">
        <v>4819</v>
      </c>
      <c r="F3320" s="331">
        <v>0.21</v>
      </c>
      <c r="G3320" s="332">
        <v>2442</v>
      </c>
      <c r="H3320" s="333">
        <v>2955</v>
      </c>
    </row>
    <row r="3321" spans="1:8">
      <c r="A3321" s="317">
        <v>1607014188</v>
      </c>
      <c r="B3321" s="317" t="s">
        <v>47687</v>
      </c>
      <c r="C3321" s="330" t="s">
        <v>10639</v>
      </c>
      <c r="D3321" s="330" t="s">
        <v>10640</v>
      </c>
      <c r="E3321" s="330" t="s">
        <v>37248</v>
      </c>
      <c r="F3321" s="331">
        <v>0.21</v>
      </c>
      <c r="G3321" s="332">
        <v>4236</v>
      </c>
      <c r="H3321" s="333">
        <v>5126</v>
      </c>
    </row>
    <row r="3322" spans="1:8">
      <c r="A3322" s="317">
        <v>1607014189</v>
      </c>
      <c r="B3322" s="317" t="s">
        <v>47688</v>
      </c>
      <c r="C3322" s="330" t="s">
        <v>10641</v>
      </c>
      <c r="D3322" s="330" t="s">
        <v>10642</v>
      </c>
      <c r="E3322" s="330" t="s">
        <v>37248</v>
      </c>
      <c r="F3322" s="331">
        <v>0.21</v>
      </c>
      <c r="G3322" s="332">
        <v>8246</v>
      </c>
      <c r="H3322" s="333">
        <v>9978</v>
      </c>
    </row>
    <row r="3323" spans="1:8">
      <c r="A3323" s="317" t="s">
        <v>39141</v>
      </c>
      <c r="B3323" s="317" t="s">
        <v>47689</v>
      </c>
      <c r="C3323" s="330" t="s">
        <v>10643</v>
      </c>
      <c r="D3323" s="330" t="s">
        <v>10644</v>
      </c>
      <c r="E3323" s="330" t="s">
        <v>37248</v>
      </c>
      <c r="F3323" s="331">
        <v>0.21</v>
      </c>
      <c r="G3323" s="332">
        <v>19496</v>
      </c>
      <c r="H3323" s="333">
        <v>23591</v>
      </c>
    </row>
    <row r="3324" spans="1:8">
      <c r="A3324" s="317" t="s">
        <v>39142</v>
      </c>
      <c r="B3324" s="317" t="s">
        <v>47690</v>
      </c>
      <c r="C3324" s="330" t="s">
        <v>10645</v>
      </c>
      <c r="D3324" s="330" t="s">
        <v>10646</v>
      </c>
      <c r="E3324" s="330" t="s">
        <v>4634</v>
      </c>
      <c r="F3324" s="331">
        <v>0.21</v>
      </c>
      <c r="G3324" s="332">
        <v>21437</v>
      </c>
      <c r="H3324" s="333">
        <v>25939</v>
      </c>
    </row>
    <row r="3325" spans="1:8">
      <c r="A3325" s="317" t="s">
        <v>39143</v>
      </c>
      <c r="B3325" s="317" t="s">
        <v>47691</v>
      </c>
      <c r="C3325" s="330" t="s">
        <v>10647</v>
      </c>
      <c r="D3325" s="330" t="s">
        <v>10648</v>
      </c>
      <c r="E3325" s="330" t="s">
        <v>4634</v>
      </c>
      <c r="F3325" s="331">
        <v>0.21</v>
      </c>
      <c r="G3325" s="332">
        <v>26546</v>
      </c>
      <c r="H3325" s="333">
        <v>32121</v>
      </c>
    </row>
    <row r="3326" spans="1:8">
      <c r="A3326" s="317" t="s">
        <v>39144</v>
      </c>
      <c r="B3326" s="317" t="s">
        <v>47692</v>
      </c>
      <c r="C3326" s="330" t="s">
        <v>10649</v>
      </c>
      <c r="D3326" s="330" t="s">
        <v>10650</v>
      </c>
      <c r="E3326" s="330" t="s">
        <v>37248</v>
      </c>
      <c r="F3326" s="331">
        <v>0.21</v>
      </c>
      <c r="G3326" s="332">
        <v>5309</v>
      </c>
      <c r="H3326" s="333">
        <v>6424</v>
      </c>
    </row>
    <row r="3327" spans="1:8">
      <c r="A3327" s="317" t="s">
        <v>39145</v>
      </c>
      <c r="B3327" s="317" t="s">
        <v>47693</v>
      </c>
      <c r="C3327" s="330" t="s">
        <v>10651</v>
      </c>
      <c r="D3327" s="330" t="s">
        <v>10652</v>
      </c>
      <c r="E3327" s="330" t="s">
        <v>4634</v>
      </c>
      <c r="F3327" s="331">
        <v>0.21</v>
      </c>
      <c r="G3327" s="332">
        <v>10720</v>
      </c>
      <c r="H3327" s="333">
        <v>12972</v>
      </c>
    </row>
    <row r="3328" spans="1:8">
      <c r="A3328" s="317" t="s">
        <v>39146</v>
      </c>
      <c r="B3328" s="317" t="s">
        <v>47694</v>
      </c>
      <c r="C3328" s="330" t="s">
        <v>10653</v>
      </c>
      <c r="D3328" s="330" t="s">
        <v>10654</v>
      </c>
      <c r="E3328" s="330" t="s">
        <v>37248</v>
      </c>
      <c r="F3328" s="331">
        <v>0.21</v>
      </c>
      <c r="G3328" s="332">
        <v>5797</v>
      </c>
      <c r="H3328" s="333">
        <v>7015</v>
      </c>
    </row>
    <row r="3329" spans="1:8">
      <c r="A3329" s="317" t="s">
        <v>39147</v>
      </c>
      <c r="B3329" s="317" t="s">
        <v>47695</v>
      </c>
      <c r="C3329" s="330" t="s">
        <v>10655</v>
      </c>
      <c r="D3329" s="330" t="s">
        <v>10656</v>
      </c>
      <c r="E3329" s="330" t="s">
        <v>37248</v>
      </c>
      <c r="F3329" s="331">
        <v>0.21</v>
      </c>
      <c r="G3329" s="332">
        <v>6312</v>
      </c>
      <c r="H3329" s="333">
        <v>7638</v>
      </c>
    </row>
    <row r="3330" spans="1:8">
      <c r="A3330" s="317" t="s">
        <v>39148</v>
      </c>
      <c r="B3330" s="317" t="s">
        <v>47696</v>
      </c>
      <c r="C3330" s="330" t="s">
        <v>10657</v>
      </c>
      <c r="D3330" s="330" t="s">
        <v>10658</v>
      </c>
      <c r="E3330" s="330" t="s">
        <v>37248</v>
      </c>
      <c r="F3330" s="331">
        <v>0.21</v>
      </c>
      <c r="G3330" s="332">
        <v>4427</v>
      </c>
      <c r="H3330" s="333">
        <v>5357</v>
      </c>
    </row>
    <row r="3331" spans="1:8">
      <c r="A3331" s="317" t="s">
        <v>39149</v>
      </c>
      <c r="B3331" s="317" t="s">
        <v>47697</v>
      </c>
      <c r="C3331" s="330" t="s">
        <v>10659</v>
      </c>
      <c r="D3331" s="330" t="s">
        <v>10660</v>
      </c>
      <c r="E3331" s="330" t="s">
        <v>37248</v>
      </c>
      <c r="F3331" s="331">
        <v>0.21</v>
      </c>
      <c r="G3331" s="332">
        <v>4838</v>
      </c>
      <c r="H3331" s="333">
        <v>5854</v>
      </c>
    </row>
    <row r="3332" spans="1:8">
      <c r="A3332" s="317" t="s">
        <v>39150</v>
      </c>
      <c r="B3332" s="317" t="s">
        <v>47698</v>
      </c>
      <c r="C3332" s="330" t="s">
        <v>10661</v>
      </c>
      <c r="D3332" s="330" t="s">
        <v>10662</v>
      </c>
      <c r="E3332" s="330" t="s">
        <v>37248</v>
      </c>
      <c r="F3332" s="331">
        <v>0.21</v>
      </c>
      <c r="G3332" s="332">
        <v>5710</v>
      </c>
      <c r="H3332" s="333">
        <v>6910</v>
      </c>
    </row>
    <row r="3333" spans="1:8">
      <c r="A3333" s="317" t="s">
        <v>39151</v>
      </c>
      <c r="B3333" s="317" t="s">
        <v>47699</v>
      </c>
      <c r="C3333" s="330" t="s">
        <v>10663</v>
      </c>
      <c r="D3333" s="330" t="s">
        <v>10664</v>
      </c>
      <c r="E3333" s="330" t="s">
        <v>4634</v>
      </c>
      <c r="F3333" s="331">
        <v>0.21</v>
      </c>
      <c r="G3333" s="332">
        <v>21934</v>
      </c>
      <c r="H3333" s="333">
        <v>26541</v>
      </c>
    </row>
    <row r="3334" spans="1:8">
      <c r="A3334" s="317" t="s">
        <v>39152</v>
      </c>
      <c r="B3334" s="317" t="s">
        <v>47700</v>
      </c>
      <c r="C3334" s="330" t="s">
        <v>10665</v>
      </c>
      <c r="D3334" s="330" t="s">
        <v>10666</v>
      </c>
      <c r="E3334" s="330" t="s">
        <v>37248</v>
      </c>
      <c r="F3334" s="331">
        <v>0.21</v>
      </c>
      <c r="G3334" s="332">
        <v>4847</v>
      </c>
      <c r="H3334" s="333">
        <v>5865</v>
      </c>
    </row>
    <row r="3335" spans="1:8">
      <c r="A3335" s="317" t="s">
        <v>39153</v>
      </c>
      <c r="B3335" s="317" t="s">
        <v>47701</v>
      </c>
      <c r="C3335" s="330" t="s">
        <v>10667</v>
      </c>
      <c r="D3335" s="330" t="s">
        <v>10668</v>
      </c>
      <c r="E3335" s="330" t="s">
        <v>4634</v>
      </c>
      <c r="F3335" s="331">
        <v>0.21</v>
      </c>
      <c r="G3335" s="332">
        <v>30090</v>
      </c>
      <c r="H3335" s="333">
        <v>36409</v>
      </c>
    </row>
    <row r="3336" spans="1:8">
      <c r="A3336" s="317" t="s">
        <v>39154</v>
      </c>
      <c r="B3336" s="317" t="s">
        <v>47702</v>
      </c>
      <c r="C3336" s="330" t="s">
        <v>10669</v>
      </c>
      <c r="D3336" s="330" t="s">
        <v>10670</v>
      </c>
      <c r="E3336" s="330" t="s">
        <v>37248</v>
      </c>
      <c r="F3336" s="331">
        <v>0.21</v>
      </c>
      <c r="G3336" s="332">
        <v>6556</v>
      </c>
      <c r="H3336" s="333">
        <v>7933</v>
      </c>
    </row>
    <row r="3337" spans="1:8">
      <c r="A3337" s="317" t="s">
        <v>39155</v>
      </c>
      <c r="B3337" s="317" t="s">
        <v>47703</v>
      </c>
      <c r="C3337" s="330" t="s">
        <v>10671</v>
      </c>
      <c r="D3337" s="330" t="s">
        <v>10672</v>
      </c>
      <c r="E3337" s="330" t="s">
        <v>37248</v>
      </c>
      <c r="F3337" s="331">
        <v>0.21</v>
      </c>
      <c r="G3337" s="332">
        <v>8603</v>
      </c>
      <c r="H3337" s="333">
        <v>10410</v>
      </c>
    </row>
    <row r="3338" spans="1:8">
      <c r="A3338" s="317" t="s">
        <v>39156</v>
      </c>
      <c r="B3338" s="317" t="s">
        <v>47704</v>
      </c>
      <c r="C3338" s="330" t="s">
        <v>10673</v>
      </c>
      <c r="D3338" s="330" t="s">
        <v>10674</v>
      </c>
      <c r="E3338" s="330" t="s">
        <v>4634</v>
      </c>
      <c r="F3338" s="331">
        <v>0.21</v>
      </c>
      <c r="G3338" s="332">
        <v>2942</v>
      </c>
      <c r="H3338" s="333">
        <v>3560</v>
      </c>
    </row>
    <row r="3339" spans="1:8">
      <c r="A3339" s="317">
        <v>1607016028</v>
      </c>
      <c r="B3339" s="317" t="s">
        <v>47705</v>
      </c>
      <c r="C3339" s="330" t="s">
        <v>10675</v>
      </c>
      <c r="D3339" s="330" t="s">
        <v>10676</v>
      </c>
      <c r="E3339" s="330" t="s">
        <v>4634</v>
      </c>
      <c r="F3339" s="331">
        <v>0.21</v>
      </c>
      <c r="G3339" s="332">
        <v>437</v>
      </c>
      <c r="H3339" s="333">
        <v>529</v>
      </c>
    </row>
    <row r="3340" spans="1:8">
      <c r="A3340" s="317">
        <v>1607022568</v>
      </c>
      <c r="B3340" s="317" t="s">
        <v>47706</v>
      </c>
      <c r="C3340" s="330" t="s">
        <v>10677</v>
      </c>
      <c r="D3340" s="330" t="s">
        <v>10678</v>
      </c>
      <c r="E3340" s="330" t="s">
        <v>4634</v>
      </c>
      <c r="F3340" s="331">
        <v>0.21</v>
      </c>
      <c r="G3340" s="332">
        <v>6148</v>
      </c>
      <c r="H3340" s="333">
        <v>7440</v>
      </c>
    </row>
    <row r="3341" spans="1:8">
      <c r="A3341" s="317">
        <v>1607022604</v>
      </c>
      <c r="B3341" s="317" t="s">
        <v>47707</v>
      </c>
      <c r="C3341" s="330" t="s">
        <v>10679</v>
      </c>
      <c r="D3341" s="330" t="s">
        <v>10680</v>
      </c>
      <c r="E3341" s="330" t="s">
        <v>4819</v>
      </c>
      <c r="F3341" s="331">
        <v>0.21</v>
      </c>
      <c r="G3341" s="332">
        <v>17371</v>
      </c>
      <c r="H3341" s="333">
        <v>21019</v>
      </c>
    </row>
    <row r="3342" spans="1:8">
      <c r="A3342" s="317">
        <v>1607022608</v>
      </c>
      <c r="B3342" s="317" t="s">
        <v>47708</v>
      </c>
      <c r="C3342" s="330" t="s">
        <v>10681</v>
      </c>
      <c r="D3342" s="330" t="s">
        <v>10682</v>
      </c>
      <c r="E3342" s="330" t="s">
        <v>37248</v>
      </c>
      <c r="F3342" s="331">
        <v>0.21</v>
      </c>
      <c r="G3342" s="332">
        <v>69115</v>
      </c>
      <c r="H3342" s="333">
        <v>83630</v>
      </c>
    </row>
    <row r="3343" spans="1:8">
      <c r="A3343" s="317" t="s">
        <v>39157</v>
      </c>
      <c r="B3343" s="317" t="s">
        <v>47709</v>
      </c>
      <c r="C3343" s="330" t="s">
        <v>10683</v>
      </c>
      <c r="D3343" s="330" t="s">
        <v>7867</v>
      </c>
      <c r="E3343" s="330" t="s">
        <v>37248</v>
      </c>
      <c r="F3343" s="331">
        <v>0.21</v>
      </c>
      <c r="G3343" s="332">
        <v>10051</v>
      </c>
      <c r="H3343" s="333">
        <v>12162</v>
      </c>
    </row>
    <row r="3344" spans="1:8">
      <c r="A3344" s="317">
        <v>1607022661</v>
      </c>
      <c r="B3344" s="317" t="s">
        <v>47710</v>
      </c>
      <c r="C3344" s="330" t="s">
        <v>10684</v>
      </c>
      <c r="D3344" s="330" t="s">
        <v>10402</v>
      </c>
      <c r="E3344" s="330" t="s">
        <v>37248</v>
      </c>
      <c r="F3344" s="331">
        <v>0.21</v>
      </c>
      <c r="G3344" s="332">
        <v>28169</v>
      </c>
      <c r="H3344" s="333">
        <v>34085</v>
      </c>
    </row>
    <row r="3345" spans="1:8">
      <c r="A3345" s="317" t="s">
        <v>39158</v>
      </c>
      <c r="B3345" s="317" t="s">
        <v>47711</v>
      </c>
      <c r="C3345" s="330" t="s">
        <v>10685</v>
      </c>
      <c r="D3345" s="330" t="s">
        <v>10686</v>
      </c>
      <c r="E3345" s="330" t="s">
        <v>37248</v>
      </c>
      <c r="F3345" s="331">
        <v>0.21</v>
      </c>
      <c r="G3345" s="332">
        <v>20299</v>
      </c>
      <c r="H3345" s="333">
        <v>24562</v>
      </c>
    </row>
    <row r="3346" spans="1:8">
      <c r="A3346" s="317" t="s">
        <v>39159</v>
      </c>
      <c r="B3346" s="317" t="s">
        <v>47712</v>
      </c>
      <c r="C3346" s="330" t="s">
        <v>10687</v>
      </c>
      <c r="D3346" s="330" t="s">
        <v>10688</v>
      </c>
      <c r="E3346" s="330" t="s">
        <v>37248</v>
      </c>
      <c r="F3346" s="331">
        <v>0.21</v>
      </c>
      <c r="G3346" s="332">
        <v>19933</v>
      </c>
      <c r="H3346" s="333">
        <v>24119</v>
      </c>
    </row>
    <row r="3347" spans="1:8">
      <c r="A3347" s="317" t="s">
        <v>39160</v>
      </c>
      <c r="B3347" s="317" t="s">
        <v>47713</v>
      </c>
      <c r="C3347" s="330" t="s">
        <v>10689</v>
      </c>
      <c r="D3347" s="330" t="s">
        <v>5075</v>
      </c>
      <c r="E3347" s="330" t="s">
        <v>37248</v>
      </c>
      <c r="F3347" s="331">
        <v>0.21</v>
      </c>
      <c r="G3347" s="332">
        <v>23732</v>
      </c>
      <c r="H3347" s="333">
        <v>28716</v>
      </c>
    </row>
    <row r="3348" spans="1:8">
      <c r="A3348" s="317" t="s">
        <v>39161</v>
      </c>
      <c r="B3348" s="317" t="s">
        <v>47714</v>
      </c>
      <c r="C3348" s="330" t="s">
        <v>10690</v>
      </c>
      <c r="D3348" s="330" t="s">
        <v>10691</v>
      </c>
      <c r="E3348" s="330" t="s">
        <v>37248</v>
      </c>
      <c r="F3348" s="331">
        <v>0.21</v>
      </c>
      <c r="G3348" s="332">
        <v>70519</v>
      </c>
      <c r="H3348" s="333">
        <v>85328</v>
      </c>
    </row>
    <row r="3349" spans="1:8">
      <c r="A3349" s="317" t="s">
        <v>39162</v>
      </c>
      <c r="B3349" s="317" t="s">
        <v>47715</v>
      </c>
      <c r="C3349" s="330" t="s">
        <v>10692</v>
      </c>
      <c r="D3349" s="330" t="s">
        <v>10693</v>
      </c>
      <c r="E3349" s="330" t="s">
        <v>37248</v>
      </c>
      <c r="F3349" s="331">
        <v>0.21</v>
      </c>
      <c r="G3349" s="332">
        <v>83145</v>
      </c>
      <c r="H3349" s="333">
        <v>100606</v>
      </c>
    </row>
    <row r="3350" spans="1:8">
      <c r="A3350" s="317" t="s">
        <v>39163</v>
      </c>
      <c r="B3350" s="317" t="s">
        <v>47716</v>
      </c>
      <c r="C3350" s="330" t="s">
        <v>10694</v>
      </c>
      <c r="D3350" s="330" t="s">
        <v>10695</v>
      </c>
      <c r="E3350" s="330" t="s">
        <v>37248</v>
      </c>
      <c r="F3350" s="331">
        <v>0.21</v>
      </c>
      <c r="G3350" s="332">
        <v>27619</v>
      </c>
      <c r="H3350" s="333">
        <v>33419</v>
      </c>
    </row>
    <row r="3351" spans="1:8">
      <c r="A3351" s="317" t="s">
        <v>39164</v>
      </c>
      <c r="B3351" s="317" t="s">
        <v>47717</v>
      </c>
      <c r="C3351" s="330" t="s">
        <v>10696</v>
      </c>
      <c r="D3351" s="330" t="s">
        <v>5075</v>
      </c>
      <c r="E3351" s="330" t="s">
        <v>4819</v>
      </c>
      <c r="F3351" s="331">
        <v>0.21</v>
      </c>
      <c r="G3351" s="332">
        <v>42426</v>
      </c>
      <c r="H3351" s="333">
        <v>51336</v>
      </c>
    </row>
    <row r="3352" spans="1:8">
      <c r="A3352" s="317">
        <v>1607031144</v>
      </c>
      <c r="B3352" s="317" t="s">
        <v>47718</v>
      </c>
      <c r="C3352" s="330" t="s">
        <v>10697</v>
      </c>
      <c r="D3352" s="330" t="s">
        <v>10698</v>
      </c>
      <c r="E3352" s="330" t="s">
        <v>4634</v>
      </c>
      <c r="F3352" s="331">
        <v>0.21</v>
      </c>
      <c r="G3352" s="332">
        <v>7069</v>
      </c>
      <c r="H3352" s="333">
        <v>8554</v>
      </c>
    </row>
    <row r="3353" spans="1:8">
      <c r="A3353" s="317" t="s">
        <v>39165</v>
      </c>
      <c r="B3353" s="317" t="s">
        <v>47719</v>
      </c>
      <c r="C3353" s="330" t="s">
        <v>10699</v>
      </c>
      <c r="D3353" s="330" t="s">
        <v>10700</v>
      </c>
      <c r="E3353" s="330" t="s">
        <v>4819</v>
      </c>
      <c r="F3353" s="331">
        <v>0.21</v>
      </c>
      <c r="G3353" s="332">
        <v>1648</v>
      </c>
      <c r="H3353" s="333">
        <v>1995</v>
      </c>
    </row>
    <row r="3354" spans="1:8">
      <c r="A3354" s="317" t="s">
        <v>39166</v>
      </c>
      <c r="B3354" s="317" t="s">
        <v>47720</v>
      </c>
      <c r="C3354" s="330" t="s">
        <v>10701</v>
      </c>
      <c r="D3354" s="330" t="s">
        <v>10700</v>
      </c>
      <c r="E3354" s="330" t="s">
        <v>4819</v>
      </c>
      <c r="F3354" s="331">
        <v>0.21</v>
      </c>
      <c r="G3354" s="332">
        <v>2417</v>
      </c>
      <c r="H3354" s="333">
        <v>2925</v>
      </c>
    </row>
    <row r="3355" spans="1:8">
      <c r="A3355" s="317" t="s">
        <v>39167</v>
      </c>
      <c r="B3355" s="317" t="s">
        <v>47721</v>
      </c>
      <c r="C3355" s="330" t="s">
        <v>10702</v>
      </c>
      <c r="D3355" s="330" t="s">
        <v>10703</v>
      </c>
      <c r="E3355" s="330" t="s">
        <v>37248</v>
      </c>
      <c r="F3355" s="331">
        <v>0.21</v>
      </c>
      <c r="G3355" s="332">
        <v>2717</v>
      </c>
      <c r="H3355" s="333">
        <v>3288</v>
      </c>
    </row>
    <row r="3356" spans="1:8">
      <c r="A3356" s="317" t="s">
        <v>39168</v>
      </c>
      <c r="B3356" s="317" t="s">
        <v>47722</v>
      </c>
      <c r="C3356" s="330" t="s">
        <v>10704</v>
      </c>
      <c r="D3356" s="330" t="s">
        <v>7678</v>
      </c>
      <c r="E3356" s="330" t="s">
        <v>37248</v>
      </c>
      <c r="F3356" s="331">
        <v>0.21</v>
      </c>
      <c r="G3356" s="332">
        <v>1412</v>
      </c>
      <c r="H3356" s="333">
        <v>1709</v>
      </c>
    </row>
    <row r="3357" spans="1:8">
      <c r="A3357" s="317" t="s">
        <v>39169</v>
      </c>
      <c r="B3357" s="317" t="s">
        <v>47723</v>
      </c>
      <c r="C3357" s="330" t="s">
        <v>10705</v>
      </c>
      <c r="D3357" s="330" t="s">
        <v>10706</v>
      </c>
      <c r="E3357" s="330" t="s">
        <v>4819</v>
      </c>
      <c r="F3357" s="331">
        <v>0.21</v>
      </c>
      <c r="G3357" s="332">
        <v>2435</v>
      </c>
      <c r="H3357" s="333">
        <v>2947</v>
      </c>
    </row>
    <row r="3358" spans="1:8">
      <c r="A3358" s="317" t="s">
        <v>39170</v>
      </c>
      <c r="B3358" s="317" t="s">
        <v>47724</v>
      </c>
      <c r="C3358" s="330" t="s">
        <v>10707</v>
      </c>
      <c r="D3358" s="330" t="s">
        <v>10708</v>
      </c>
      <c r="E3358" s="330" t="s">
        <v>4819</v>
      </c>
      <c r="F3358" s="331">
        <v>0.21</v>
      </c>
      <c r="G3358" s="332">
        <v>954</v>
      </c>
      <c r="H3358" s="333">
        <v>1155</v>
      </c>
    </row>
    <row r="3359" spans="1:8">
      <c r="A3359" s="317" t="s">
        <v>39171</v>
      </c>
      <c r="B3359" s="317" t="s">
        <v>47725</v>
      </c>
      <c r="C3359" s="330" t="s">
        <v>10709</v>
      </c>
      <c r="D3359" s="330" t="s">
        <v>10710</v>
      </c>
      <c r="E3359" s="330" t="s">
        <v>37248</v>
      </c>
      <c r="F3359" s="331">
        <v>0.21</v>
      </c>
      <c r="G3359" s="332">
        <v>7481</v>
      </c>
      <c r="H3359" s="333">
        <v>9053</v>
      </c>
    </row>
    <row r="3360" spans="1:8">
      <c r="A3360" s="317" t="s">
        <v>39172</v>
      </c>
      <c r="B3360" s="317" t="s">
        <v>47726</v>
      </c>
      <c r="C3360" s="330" t="s">
        <v>10711</v>
      </c>
      <c r="D3360" s="330" t="s">
        <v>10712</v>
      </c>
      <c r="E3360" s="330" t="s">
        <v>37248</v>
      </c>
      <c r="F3360" s="331">
        <v>0.21</v>
      </c>
      <c r="G3360" s="332">
        <v>8073</v>
      </c>
      <c r="H3360" s="333">
        <v>9769</v>
      </c>
    </row>
    <row r="3361" spans="1:8">
      <c r="A3361" s="317" t="s">
        <v>39173</v>
      </c>
      <c r="B3361" s="317" t="s">
        <v>47727</v>
      </c>
      <c r="C3361" s="330" t="s">
        <v>10713</v>
      </c>
      <c r="D3361" s="330" t="s">
        <v>10714</v>
      </c>
      <c r="E3361" s="330" t="s">
        <v>37248</v>
      </c>
      <c r="F3361" s="331">
        <v>0.21</v>
      </c>
      <c r="G3361" s="332">
        <v>7258</v>
      </c>
      <c r="H3361" s="333">
        <v>8783</v>
      </c>
    </row>
    <row r="3362" spans="1:8">
      <c r="A3362" s="317" t="s">
        <v>39174</v>
      </c>
      <c r="B3362" s="317" t="s">
        <v>47728</v>
      </c>
      <c r="C3362" s="330" t="s">
        <v>10715</v>
      </c>
      <c r="D3362" s="330" t="s">
        <v>10716</v>
      </c>
      <c r="E3362" s="330" t="s">
        <v>37248</v>
      </c>
      <c r="F3362" s="331">
        <v>0.21</v>
      </c>
      <c r="G3362" s="332">
        <v>4240</v>
      </c>
      <c r="H3362" s="333">
        <v>5131</v>
      </c>
    </row>
    <row r="3363" spans="1:8">
      <c r="A3363" s="317" t="s">
        <v>39175</v>
      </c>
      <c r="B3363" s="317" t="s">
        <v>47729</v>
      </c>
      <c r="C3363" s="330" t="s">
        <v>10717</v>
      </c>
      <c r="D3363" s="330" t="s">
        <v>10718</v>
      </c>
      <c r="E3363" s="330" t="s">
        <v>37248</v>
      </c>
      <c r="F3363" s="331">
        <v>0.21</v>
      </c>
      <c r="G3363" s="332">
        <v>2156</v>
      </c>
      <c r="H3363" s="333">
        <v>2609</v>
      </c>
    </row>
    <row r="3364" spans="1:8">
      <c r="A3364" s="318">
        <v>16070312</v>
      </c>
      <c r="B3364" s="317" t="s">
        <v>47730</v>
      </c>
      <c r="C3364" s="330" t="s">
        <v>10719</v>
      </c>
      <c r="D3364" s="330" t="s">
        <v>10720</v>
      </c>
      <c r="E3364" s="330" t="s">
        <v>37248</v>
      </c>
      <c r="F3364" s="331">
        <v>0.21</v>
      </c>
      <c r="G3364" s="332">
        <v>3555</v>
      </c>
      <c r="H3364" s="333">
        <v>4302</v>
      </c>
    </row>
    <row r="3365" spans="1:8">
      <c r="A3365" s="318">
        <v>160703120000000</v>
      </c>
      <c r="B3365" s="317" t="s">
        <v>47731</v>
      </c>
      <c r="C3365" s="330" t="s">
        <v>10721</v>
      </c>
      <c r="D3365" s="330" t="s">
        <v>8535</v>
      </c>
      <c r="E3365" s="330" t="s">
        <v>37248</v>
      </c>
      <c r="F3365" s="331">
        <v>0.21</v>
      </c>
      <c r="G3365" s="332">
        <v>13685</v>
      </c>
      <c r="H3365" s="333">
        <v>16559</v>
      </c>
    </row>
    <row r="3366" spans="1:8">
      <c r="A3366" s="317">
        <v>1607200006</v>
      </c>
      <c r="B3366" s="317" t="s">
        <v>47732</v>
      </c>
      <c r="C3366" s="330" t="s">
        <v>10722</v>
      </c>
      <c r="D3366" s="330" t="s">
        <v>10723</v>
      </c>
      <c r="E3366" s="330" t="s">
        <v>4634</v>
      </c>
      <c r="F3366" s="331">
        <v>0.21</v>
      </c>
      <c r="G3366" s="332">
        <v>15557</v>
      </c>
      <c r="H3366" s="333">
        <v>18824</v>
      </c>
    </row>
    <row r="3367" spans="1:8">
      <c r="A3367" s="317">
        <v>1607200017</v>
      </c>
      <c r="B3367" s="317" t="s">
        <v>47733</v>
      </c>
      <c r="C3367" s="330" t="s">
        <v>10724</v>
      </c>
      <c r="D3367" s="330" t="s">
        <v>10725</v>
      </c>
      <c r="E3367" s="330" t="s">
        <v>4634</v>
      </c>
      <c r="F3367" s="331">
        <v>0.21</v>
      </c>
      <c r="G3367" s="332">
        <v>27572</v>
      </c>
      <c r="H3367" s="333">
        <v>33363</v>
      </c>
    </row>
    <row r="3368" spans="1:8">
      <c r="A3368" s="317">
        <v>1607200020</v>
      </c>
      <c r="B3368" s="317" t="s">
        <v>47734</v>
      </c>
      <c r="C3368" s="330" t="s">
        <v>10726</v>
      </c>
      <c r="D3368" s="330" t="s">
        <v>10727</v>
      </c>
      <c r="E3368" s="330" t="s">
        <v>4634</v>
      </c>
      <c r="F3368" s="331">
        <v>0.21</v>
      </c>
      <c r="G3368" s="332">
        <v>5215</v>
      </c>
      <c r="H3368" s="333">
        <v>6311</v>
      </c>
    </row>
    <row r="3369" spans="1:8">
      <c r="A3369" s="317">
        <v>1607200025</v>
      </c>
      <c r="B3369" s="317" t="s">
        <v>47735</v>
      </c>
      <c r="C3369" s="330" t="s">
        <v>10728</v>
      </c>
      <c r="D3369" s="330" t="s">
        <v>8273</v>
      </c>
      <c r="E3369" s="330" t="s">
        <v>4634</v>
      </c>
      <c r="F3369" s="331">
        <v>0.21</v>
      </c>
      <c r="G3369" s="332">
        <v>2625</v>
      </c>
      <c r="H3369" s="333">
        <v>3177</v>
      </c>
    </row>
    <row r="3370" spans="1:8">
      <c r="A3370" s="317">
        <v>1607200032</v>
      </c>
      <c r="B3370" s="317" t="s">
        <v>47736</v>
      </c>
      <c r="C3370" s="330" t="s">
        <v>10729</v>
      </c>
      <c r="D3370" s="330" t="s">
        <v>10730</v>
      </c>
      <c r="E3370" s="330" t="s">
        <v>4634</v>
      </c>
      <c r="F3370" s="331">
        <v>0.21</v>
      </c>
      <c r="G3370" s="332">
        <v>5462</v>
      </c>
      <c r="H3370" s="333">
        <v>6610</v>
      </c>
    </row>
    <row r="3371" spans="1:8">
      <c r="A3371" s="317">
        <v>1607200048</v>
      </c>
      <c r="B3371" s="317" t="s">
        <v>47737</v>
      </c>
      <c r="C3371" s="330" t="s">
        <v>10731</v>
      </c>
      <c r="D3371" s="330" t="s">
        <v>10732</v>
      </c>
      <c r="E3371" s="330" t="s">
        <v>4634</v>
      </c>
      <c r="F3371" s="331">
        <v>0.21</v>
      </c>
      <c r="G3371" s="332">
        <v>20987</v>
      </c>
      <c r="H3371" s="333">
        <v>25395</v>
      </c>
    </row>
    <row r="3372" spans="1:8">
      <c r="A3372" s="317">
        <v>1607200060</v>
      </c>
      <c r="B3372" s="317" t="s">
        <v>47738</v>
      </c>
      <c r="C3372" s="330" t="s">
        <v>10733</v>
      </c>
      <c r="D3372" s="330" t="s">
        <v>10734</v>
      </c>
      <c r="E3372" s="330" t="s">
        <v>4634</v>
      </c>
      <c r="F3372" s="331">
        <v>0.21</v>
      </c>
      <c r="G3372" s="332">
        <v>2059</v>
      </c>
      <c r="H3372" s="333">
        <v>2492</v>
      </c>
    </row>
    <row r="3373" spans="1:8">
      <c r="A3373" s="317">
        <v>1607200064</v>
      </c>
      <c r="B3373" s="317" t="s">
        <v>47739</v>
      </c>
      <c r="C3373" s="330" t="s">
        <v>10735</v>
      </c>
      <c r="D3373" s="330" t="s">
        <v>10736</v>
      </c>
      <c r="E3373" s="330" t="s">
        <v>4819</v>
      </c>
      <c r="F3373" s="331">
        <v>0.21</v>
      </c>
      <c r="G3373" s="332">
        <v>49398</v>
      </c>
      <c r="H3373" s="333">
        <v>59772</v>
      </c>
    </row>
    <row r="3374" spans="1:8">
      <c r="A3374" s="317">
        <v>1607200075</v>
      </c>
      <c r="B3374" s="317" t="s">
        <v>47740</v>
      </c>
      <c r="C3374" s="330" t="s">
        <v>10737</v>
      </c>
      <c r="D3374" s="330" t="s">
        <v>10738</v>
      </c>
      <c r="E3374" s="330" t="s">
        <v>4819</v>
      </c>
      <c r="F3374" s="331">
        <v>0.21</v>
      </c>
      <c r="G3374" s="332">
        <v>106782</v>
      </c>
      <c r="H3374" s="333">
        <v>129207</v>
      </c>
    </row>
    <row r="3375" spans="1:8">
      <c r="A3375" s="317">
        <v>1607200078</v>
      </c>
      <c r="B3375" s="317" t="s">
        <v>47741</v>
      </c>
      <c r="C3375" s="330" t="s">
        <v>10739</v>
      </c>
      <c r="D3375" s="330" t="s">
        <v>10740</v>
      </c>
      <c r="E3375" s="330" t="s">
        <v>37248</v>
      </c>
      <c r="F3375" s="331">
        <v>0.21</v>
      </c>
      <c r="G3375" s="332">
        <v>58791</v>
      </c>
      <c r="H3375" s="333">
        <v>71138</v>
      </c>
    </row>
    <row r="3376" spans="1:8">
      <c r="A3376" s="317">
        <v>1607200103</v>
      </c>
      <c r="B3376" s="317" t="s">
        <v>47742</v>
      </c>
      <c r="C3376" s="330" t="s">
        <v>10741</v>
      </c>
      <c r="D3376" s="330" t="s">
        <v>10742</v>
      </c>
      <c r="E3376" s="330" t="s">
        <v>4634</v>
      </c>
      <c r="F3376" s="331">
        <v>0.21</v>
      </c>
      <c r="G3376" s="332">
        <v>9648</v>
      </c>
      <c r="H3376" s="333">
        <v>11675</v>
      </c>
    </row>
    <row r="3377" spans="1:8">
      <c r="A3377" s="317">
        <v>1607200107</v>
      </c>
      <c r="B3377" s="317" t="s">
        <v>47743</v>
      </c>
      <c r="C3377" s="330" t="s">
        <v>10743</v>
      </c>
      <c r="D3377" s="330" t="s">
        <v>10744</v>
      </c>
      <c r="E3377" s="330" t="s">
        <v>4634</v>
      </c>
      <c r="F3377" s="331">
        <v>0.21</v>
      </c>
      <c r="G3377" s="332">
        <v>2707</v>
      </c>
      <c r="H3377" s="333">
        <v>3276</v>
      </c>
    </row>
    <row r="3378" spans="1:8">
      <c r="A3378" s="317">
        <v>1607200113</v>
      </c>
      <c r="B3378" s="317" t="s">
        <v>47744</v>
      </c>
      <c r="C3378" s="330" t="s">
        <v>10745</v>
      </c>
      <c r="D3378" s="330" t="s">
        <v>10746</v>
      </c>
      <c r="E3378" s="330" t="s">
        <v>4634</v>
      </c>
      <c r="F3378" s="331">
        <v>0.21</v>
      </c>
      <c r="G3378" s="332">
        <v>12461</v>
      </c>
      <c r="H3378" s="333">
        <v>15078</v>
      </c>
    </row>
    <row r="3379" spans="1:8">
      <c r="A3379" s="317">
        <v>1607200115</v>
      </c>
      <c r="B3379" s="317" t="s">
        <v>47745</v>
      </c>
      <c r="C3379" s="330" t="s">
        <v>10747</v>
      </c>
      <c r="D3379" s="330" t="s">
        <v>10748</v>
      </c>
      <c r="E3379" s="330" t="s">
        <v>4634</v>
      </c>
      <c r="F3379" s="331">
        <v>0.21</v>
      </c>
      <c r="G3379" s="332">
        <v>2748</v>
      </c>
      <c r="H3379" s="333">
        <v>3326</v>
      </c>
    </row>
    <row r="3380" spans="1:8">
      <c r="A3380" s="317">
        <v>1607200137</v>
      </c>
      <c r="B3380" s="317" t="s">
        <v>47746</v>
      </c>
      <c r="C3380" s="330" t="s">
        <v>10749</v>
      </c>
      <c r="D3380" s="330" t="s">
        <v>10750</v>
      </c>
      <c r="E3380" s="330" t="s">
        <v>4819</v>
      </c>
      <c r="F3380" s="331">
        <v>0.21</v>
      </c>
      <c r="G3380" s="332">
        <v>17638</v>
      </c>
      <c r="H3380" s="333">
        <v>21342</v>
      </c>
    </row>
    <row r="3381" spans="1:8">
      <c r="A3381" s="317">
        <v>1607200146</v>
      </c>
      <c r="B3381" s="317" t="s">
        <v>47747</v>
      </c>
      <c r="C3381" s="330" t="s">
        <v>10751</v>
      </c>
      <c r="D3381" s="330" t="s">
        <v>10752</v>
      </c>
      <c r="E3381" s="330" t="s">
        <v>37248</v>
      </c>
      <c r="F3381" s="331">
        <v>0.21</v>
      </c>
      <c r="G3381" s="332">
        <v>6801</v>
      </c>
      <c r="H3381" s="333">
        <v>8230</v>
      </c>
    </row>
    <row r="3382" spans="1:8">
      <c r="A3382" s="317">
        <v>1607200150</v>
      </c>
      <c r="B3382" s="317" t="s">
        <v>47748</v>
      </c>
      <c r="C3382" s="330" t="s">
        <v>10753</v>
      </c>
      <c r="D3382" s="330" t="s">
        <v>10754</v>
      </c>
      <c r="E3382" s="330" t="s">
        <v>4819</v>
      </c>
      <c r="F3382" s="331">
        <v>0.21</v>
      </c>
      <c r="G3382" s="332">
        <v>18144</v>
      </c>
      <c r="H3382" s="333">
        <v>21955</v>
      </c>
    </row>
    <row r="3383" spans="1:8">
      <c r="A3383" s="317">
        <v>1607200156</v>
      </c>
      <c r="B3383" s="317" t="s">
        <v>47749</v>
      </c>
      <c r="C3383" s="330" t="s">
        <v>10755</v>
      </c>
      <c r="D3383" s="330" t="s">
        <v>10756</v>
      </c>
      <c r="E3383" s="330" t="s">
        <v>4634</v>
      </c>
      <c r="F3383" s="331">
        <v>0.21</v>
      </c>
      <c r="G3383" s="332">
        <v>1641</v>
      </c>
      <c r="H3383" s="333">
        <v>1986</v>
      </c>
    </row>
    <row r="3384" spans="1:8">
      <c r="A3384" s="317">
        <v>1607200158</v>
      </c>
      <c r="B3384" s="317" t="s">
        <v>47750</v>
      </c>
      <c r="C3384" s="330" t="s">
        <v>10757</v>
      </c>
      <c r="D3384" s="330" t="s">
        <v>10758</v>
      </c>
      <c r="E3384" s="330" t="s">
        <v>4634</v>
      </c>
      <c r="F3384" s="331">
        <v>0.21</v>
      </c>
      <c r="G3384" s="332">
        <v>10018</v>
      </c>
      <c r="H3384" s="333">
        <v>12122</v>
      </c>
    </row>
    <row r="3385" spans="1:8">
      <c r="A3385" s="317">
        <v>1607200179</v>
      </c>
      <c r="B3385" s="317" t="s">
        <v>47751</v>
      </c>
      <c r="C3385" s="330" t="s">
        <v>10759</v>
      </c>
      <c r="D3385" s="330" t="s">
        <v>10760</v>
      </c>
      <c r="E3385" s="330" t="s">
        <v>37248</v>
      </c>
      <c r="F3385" s="331">
        <v>0.21</v>
      </c>
      <c r="G3385" s="332">
        <v>17054</v>
      </c>
      <c r="H3385" s="333">
        <v>20636</v>
      </c>
    </row>
    <row r="3386" spans="1:8">
      <c r="A3386" s="317">
        <v>1607200183</v>
      </c>
      <c r="B3386" s="317" t="s">
        <v>47752</v>
      </c>
      <c r="C3386" s="330" t="s">
        <v>10761</v>
      </c>
      <c r="D3386" s="330" t="s">
        <v>10762</v>
      </c>
      <c r="E3386" s="330" t="s">
        <v>4634</v>
      </c>
      <c r="F3386" s="331">
        <v>0.21</v>
      </c>
      <c r="G3386" s="332">
        <v>1199</v>
      </c>
      <c r="H3386" s="333">
        <v>1451</v>
      </c>
    </row>
    <row r="3387" spans="1:8">
      <c r="A3387" s="317">
        <v>1607200187</v>
      </c>
      <c r="B3387" s="317" t="s">
        <v>47753</v>
      </c>
      <c r="C3387" s="330" t="s">
        <v>10763</v>
      </c>
      <c r="D3387" s="330" t="s">
        <v>10764</v>
      </c>
      <c r="E3387" s="330" t="s">
        <v>4634</v>
      </c>
      <c r="F3387" s="331">
        <v>0.21</v>
      </c>
      <c r="G3387" s="332">
        <v>3903</v>
      </c>
      <c r="H3387" s="333">
        <v>4723</v>
      </c>
    </row>
    <row r="3388" spans="1:8">
      <c r="A3388" s="317">
        <v>1607200190</v>
      </c>
      <c r="B3388" s="317" t="s">
        <v>47754</v>
      </c>
      <c r="C3388" s="330" t="s">
        <v>10765</v>
      </c>
      <c r="D3388" s="330" t="s">
        <v>10766</v>
      </c>
      <c r="E3388" s="330" t="s">
        <v>37248</v>
      </c>
      <c r="F3388" s="331">
        <v>0.21</v>
      </c>
      <c r="G3388" s="332">
        <v>12608</v>
      </c>
      <c r="H3388" s="333">
        <v>15256</v>
      </c>
    </row>
    <row r="3389" spans="1:8">
      <c r="A3389" s="317">
        <v>1607200193</v>
      </c>
      <c r="B3389" s="317" t="s">
        <v>47755</v>
      </c>
      <c r="C3389" s="330" t="s">
        <v>10767</v>
      </c>
      <c r="D3389" s="330" t="s">
        <v>10768</v>
      </c>
      <c r="E3389" s="330" t="s">
        <v>4634</v>
      </c>
      <c r="F3389" s="331">
        <v>0.21</v>
      </c>
      <c r="G3389" s="332">
        <v>4802</v>
      </c>
      <c r="H3389" s="333">
        <v>5811</v>
      </c>
    </row>
    <row r="3390" spans="1:8">
      <c r="A3390" s="317">
        <v>1607200195</v>
      </c>
      <c r="B3390" s="317" t="s">
        <v>47756</v>
      </c>
      <c r="C3390" s="330" t="s">
        <v>10769</v>
      </c>
      <c r="D3390" s="330" t="s">
        <v>10770</v>
      </c>
      <c r="E3390" s="330" t="s">
        <v>4634</v>
      </c>
      <c r="F3390" s="331">
        <v>0.21</v>
      </c>
      <c r="G3390" s="332">
        <v>5307</v>
      </c>
      <c r="H3390" s="333">
        <v>6422</v>
      </c>
    </row>
    <row r="3391" spans="1:8">
      <c r="A3391" s="317">
        <v>1607200199</v>
      </c>
      <c r="B3391" s="317" t="s">
        <v>47757</v>
      </c>
      <c r="C3391" s="330" t="s">
        <v>10771</v>
      </c>
      <c r="D3391" s="330" t="s">
        <v>10772</v>
      </c>
      <c r="E3391" s="330" t="s">
        <v>37248</v>
      </c>
      <c r="F3391" s="331">
        <v>0.21</v>
      </c>
      <c r="G3391" s="332">
        <v>16947</v>
      </c>
      <c r="H3391" s="333">
        <v>20506</v>
      </c>
    </row>
    <row r="3392" spans="1:8">
      <c r="A3392" s="317">
        <v>1607200200</v>
      </c>
      <c r="B3392" s="317" t="s">
        <v>47758</v>
      </c>
      <c r="C3392" s="330" t="s">
        <v>10773</v>
      </c>
      <c r="D3392" s="330" t="s">
        <v>10774</v>
      </c>
      <c r="E3392" s="330" t="s">
        <v>37248</v>
      </c>
      <c r="F3392" s="331">
        <v>0.21</v>
      </c>
      <c r="G3392" s="332">
        <v>15051</v>
      </c>
      <c r="H3392" s="333">
        <v>18212</v>
      </c>
    </row>
    <row r="3393" spans="1:8">
      <c r="A3393" s="317">
        <v>1607200256</v>
      </c>
      <c r="B3393" s="317" t="s">
        <v>47759</v>
      </c>
      <c r="C3393" s="330" t="s">
        <v>10775</v>
      </c>
      <c r="D3393" s="330" t="s">
        <v>10776</v>
      </c>
      <c r="E3393" s="330" t="s">
        <v>37248</v>
      </c>
      <c r="F3393" s="331">
        <v>0.21</v>
      </c>
      <c r="G3393" s="332">
        <v>11049</v>
      </c>
      <c r="H3393" s="333">
        <v>13370</v>
      </c>
    </row>
    <row r="3394" spans="1:8">
      <c r="A3394" s="317">
        <v>1607200257</v>
      </c>
      <c r="B3394" s="317" t="s">
        <v>47760</v>
      </c>
      <c r="C3394" s="330" t="s">
        <v>10777</v>
      </c>
      <c r="D3394" s="330" t="s">
        <v>10778</v>
      </c>
      <c r="E3394" s="330" t="s">
        <v>4819</v>
      </c>
      <c r="F3394" s="331">
        <v>0.21</v>
      </c>
      <c r="G3394" s="332">
        <v>26097</v>
      </c>
      <c r="H3394" s="333">
        <v>31578</v>
      </c>
    </row>
    <row r="3395" spans="1:8">
      <c r="A3395" s="317">
        <v>1607200266</v>
      </c>
      <c r="B3395" s="317" t="s">
        <v>47761</v>
      </c>
      <c r="C3395" s="330" t="s">
        <v>10779</v>
      </c>
      <c r="D3395" s="330" t="s">
        <v>10780</v>
      </c>
      <c r="E3395" s="330" t="s">
        <v>37248</v>
      </c>
      <c r="F3395" s="331">
        <v>0.21</v>
      </c>
      <c r="G3395" s="332">
        <v>6690</v>
      </c>
      <c r="H3395" s="333">
        <v>8095</v>
      </c>
    </row>
    <row r="3396" spans="1:8">
      <c r="A3396" s="317" t="s">
        <v>39176</v>
      </c>
      <c r="B3396" s="317" t="s">
        <v>47762</v>
      </c>
      <c r="C3396" s="330" t="s">
        <v>10781</v>
      </c>
      <c r="D3396" s="330" t="s">
        <v>6840</v>
      </c>
      <c r="E3396" s="330" t="s">
        <v>4819</v>
      </c>
      <c r="F3396" s="331">
        <v>0.21</v>
      </c>
      <c r="G3396" s="332">
        <v>19338</v>
      </c>
      <c r="H3396" s="333">
        <v>23399</v>
      </c>
    </row>
    <row r="3397" spans="1:8">
      <c r="A3397" s="317" t="s">
        <v>39177</v>
      </c>
      <c r="B3397" s="317" t="s">
        <v>47763</v>
      </c>
      <c r="C3397" s="330" t="s">
        <v>10782</v>
      </c>
      <c r="D3397" s="330" t="s">
        <v>10783</v>
      </c>
      <c r="E3397" s="330" t="s">
        <v>37248</v>
      </c>
      <c r="F3397" s="331">
        <v>0.21</v>
      </c>
      <c r="G3397" s="332">
        <v>8253</v>
      </c>
      <c r="H3397" s="333">
        <v>9987</v>
      </c>
    </row>
    <row r="3398" spans="1:8">
      <c r="A3398" s="317">
        <v>160720031</v>
      </c>
      <c r="B3398" s="317" t="s">
        <v>47764</v>
      </c>
      <c r="C3398" s="330" t="s">
        <v>10784</v>
      </c>
      <c r="D3398" s="330" t="s">
        <v>10783</v>
      </c>
      <c r="E3398" s="330" t="s">
        <v>37248</v>
      </c>
      <c r="F3398" s="331">
        <v>0.21</v>
      </c>
      <c r="G3398" s="332">
        <v>9005</v>
      </c>
      <c r="H3398" s="333">
        <v>10897</v>
      </c>
    </row>
    <row r="3399" spans="1:8">
      <c r="A3399" s="317" t="s">
        <v>39178</v>
      </c>
      <c r="B3399" s="317" t="s">
        <v>47765</v>
      </c>
      <c r="C3399" s="330" t="s">
        <v>10785</v>
      </c>
      <c r="D3399" s="330" t="s">
        <v>10786</v>
      </c>
      <c r="E3399" s="330" t="s">
        <v>37248</v>
      </c>
      <c r="F3399" s="331">
        <v>0.21</v>
      </c>
      <c r="G3399" s="332">
        <v>7269</v>
      </c>
      <c r="H3399" s="333">
        <v>8796</v>
      </c>
    </row>
    <row r="3400" spans="1:8">
      <c r="A3400" s="317" t="s">
        <v>39179</v>
      </c>
      <c r="B3400" s="317" t="s">
        <v>47766</v>
      </c>
      <c r="C3400" s="330" t="s">
        <v>10787</v>
      </c>
      <c r="D3400" s="330" t="s">
        <v>6840</v>
      </c>
      <c r="E3400" s="330" t="s">
        <v>4819</v>
      </c>
      <c r="F3400" s="331">
        <v>0.21</v>
      </c>
      <c r="G3400" s="332">
        <v>3067</v>
      </c>
      <c r="H3400" s="333">
        <v>3712</v>
      </c>
    </row>
    <row r="3401" spans="1:8">
      <c r="A3401" s="317" t="s">
        <v>39180</v>
      </c>
      <c r="B3401" s="317" t="s">
        <v>47767</v>
      </c>
      <c r="C3401" s="330" t="s">
        <v>10788</v>
      </c>
      <c r="D3401" s="330" t="s">
        <v>10789</v>
      </c>
      <c r="E3401" s="330" t="s">
        <v>37248</v>
      </c>
      <c r="F3401" s="331">
        <v>0.21</v>
      </c>
      <c r="G3401" s="332">
        <v>10247</v>
      </c>
      <c r="H3401" s="333">
        <v>12399</v>
      </c>
    </row>
    <row r="3402" spans="1:8">
      <c r="A3402" s="317" t="s">
        <v>39181</v>
      </c>
      <c r="B3402" s="317" t="s">
        <v>47768</v>
      </c>
      <c r="C3402" s="330" t="s">
        <v>10790</v>
      </c>
      <c r="D3402" s="330" t="s">
        <v>10791</v>
      </c>
      <c r="E3402" s="330" t="s">
        <v>37248</v>
      </c>
      <c r="F3402" s="331">
        <v>0.21</v>
      </c>
      <c r="G3402" s="332">
        <v>5059</v>
      </c>
      <c r="H3402" s="333">
        <v>6122</v>
      </c>
    </row>
    <row r="3403" spans="1:8">
      <c r="A3403" s="317">
        <v>1607200334</v>
      </c>
      <c r="B3403" s="317" t="s">
        <v>47769</v>
      </c>
      <c r="C3403" s="330" t="s">
        <v>10792</v>
      </c>
      <c r="D3403" s="330" t="s">
        <v>10780</v>
      </c>
      <c r="E3403" s="330" t="s">
        <v>4634</v>
      </c>
      <c r="F3403" s="331">
        <v>0.21</v>
      </c>
      <c r="G3403" s="332">
        <v>20835</v>
      </c>
      <c r="H3403" s="333">
        <v>25211</v>
      </c>
    </row>
    <row r="3404" spans="1:8">
      <c r="A3404" s="317" t="s">
        <v>39182</v>
      </c>
      <c r="B3404" s="317" t="s">
        <v>47770</v>
      </c>
      <c r="C3404" s="330" t="s">
        <v>10793</v>
      </c>
      <c r="D3404" s="330" t="s">
        <v>10794</v>
      </c>
      <c r="E3404" s="330" t="s">
        <v>4819</v>
      </c>
      <c r="F3404" s="331">
        <v>0.21</v>
      </c>
      <c r="G3404" s="332">
        <v>4234</v>
      </c>
      <c r="H3404" s="333">
        <v>5124</v>
      </c>
    </row>
    <row r="3405" spans="1:8">
      <c r="A3405" s="317" t="s">
        <v>39183</v>
      </c>
      <c r="B3405" s="317" t="s">
        <v>47771</v>
      </c>
      <c r="C3405" s="330" t="s">
        <v>10795</v>
      </c>
      <c r="D3405" s="330" t="s">
        <v>10796</v>
      </c>
      <c r="E3405" s="330" t="s">
        <v>4634</v>
      </c>
      <c r="F3405" s="331">
        <v>0.21</v>
      </c>
      <c r="G3405" s="332">
        <v>3134</v>
      </c>
      <c r="H3405" s="333">
        <v>3793</v>
      </c>
    </row>
    <row r="3406" spans="1:8">
      <c r="A3406" s="317">
        <v>1607200342</v>
      </c>
      <c r="B3406" s="317" t="s">
        <v>47772</v>
      </c>
      <c r="C3406" s="330" t="s">
        <v>10797</v>
      </c>
      <c r="D3406" s="330" t="s">
        <v>6840</v>
      </c>
      <c r="E3406" s="330" t="s">
        <v>37248</v>
      </c>
      <c r="F3406" s="331">
        <v>0.21</v>
      </c>
      <c r="G3406" s="332">
        <v>8791</v>
      </c>
      <c r="H3406" s="333">
        <v>10638</v>
      </c>
    </row>
    <row r="3407" spans="1:8">
      <c r="A3407" s="317">
        <v>1607200344</v>
      </c>
      <c r="B3407" s="317" t="s">
        <v>47773</v>
      </c>
      <c r="C3407" s="330" t="s">
        <v>10798</v>
      </c>
      <c r="D3407" s="330" t="s">
        <v>10799</v>
      </c>
      <c r="E3407" s="330" t="s">
        <v>37248</v>
      </c>
      <c r="F3407" s="331">
        <v>0.21</v>
      </c>
      <c r="G3407" s="332">
        <v>32348</v>
      </c>
      <c r="H3407" s="333">
        <v>39142</v>
      </c>
    </row>
    <row r="3408" spans="1:8">
      <c r="A3408" s="317">
        <v>160720034</v>
      </c>
      <c r="B3408" s="317" t="s">
        <v>47774</v>
      </c>
      <c r="C3408" s="330" t="s">
        <v>10800</v>
      </c>
      <c r="D3408" s="330" t="s">
        <v>10801</v>
      </c>
      <c r="E3408" s="330" t="s">
        <v>37248</v>
      </c>
      <c r="F3408" s="331">
        <v>0.21</v>
      </c>
      <c r="G3408" s="332">
        <v>29448</v>
      </c>
      <c r="H3408" s="333">
        <v>35633</v>
      </c>
    </row>
    <row r="3409" spans="1:8">
      <c r="A3409" s="317">
        <v>1607200358</v>
      </c>
      <c r="B3409" s="317" t="s">
        <v>47775</v>
      </c>
      <c r="C3409" s="330" t="s">
        <v>10802</v>
      </c>
      <c r="D3409" s="330" t="s">
        <v>6840</v>
      </c>
      <c r="E3409" s="330" t="s">
        <v>37248</v>
      </c>
      <c r="F3409" s="331">
        <v>0.21</v>
      </c>
      <c r="G3409" s="332">
        <v>8554</v>
      </c>
      <c r="H3409" s="333">
        <v>10351</v>
      </c>
    </row>
    <row r="3410" spans="1:8">
      <c r="A3410" s="317" t="s">
        <v>39184</v>
      </c>
      <c r="B3410" s="317" t="s">
        <v>47776</v>
      </c>
      <c r="C3410" s="330" t="s">
        <v>10803</v>
      </c>
      <c r="D3410" s="330" t="s">
        <v>8273</v>
      </c>
      <c r="E3410" s="330" t="s">
        <v>37248</v>
      </c>
      <c r="F3410" s="331">
        <v>0.21</v>
      </c>
      <c r="G3410" s="332">
        <v>10527</v>
      </c>
      <c r="H3410" s="333">
        <v>12738</v>
      </c>
    </row>
    <row r="3411" spans="1:8">
      <c r="A3411" s="317" t="s">
        <v>39185</v>
      </c>
      <c r="B3411" s="317" t="s">
        <v>47777</v>
      </c>
      <c r="C3411" s="330" t="s">
        <v>10804</v>
      </c>
      <c r="D3411" s="330" t="s">
        <v>10805</v>
      </c>
      <c r="E3411" s="330" t="s">
        <v>37248</v>
      </c>
      <c r="F3411" s="331">
        <v>0.21</v>
      </c>
      <c r="G3411" s="332">
        <v>9418</v>
      </c>
      <c r="H3411" s="333">
        <v>11396</v>
      </c>
    </row>
    <row r="3412" spans="1:8">
      <c r="A3412" s="317" t="s">
        <v>39186</v>
      </c>
      <c r="B3412" s="317" t="s">
        <v>47778</v>
      </c>
      <c r="C3412" s="330" t="s">
        <v>10806</v>
      </c>
      <c r="D3412" s="330" t="s">
        <v>10807</v>
      </c>
      <c r="E3412" s="330" t="s">
        <v>37248</v>
      </c>
      <c r="F3412" s="331">
        <v>0.21</v>
      </c>
      <c r="G3412" s="332">
        <v>6603</v>
      </c>
      <c r="H3412" s="333">
        <v>7990</v>
      </c>
    </row>
    <row r="3413" spans="1:8">
      <c r="A3413" s="317" t="s">
        <v>39187</v>
      </c>
      <c r="B3413" s="317" t="s">
        <v>47779</v>
      </c>
      <c r="C3413" s="330" t="s">
        <v>10808</v>
      </c>
      <c r="D3413" s="330" t="s">
        <v>10780</v>
      </c>
      <c r="E3413" s="330" t="s">
        <v>4634</v>
      </c>
      <c r="F3413" s="331">
        <v>0.21</v>
      </c>
      <c r="G3413" s="332">
        <v>8586</v>
      </c>
      <c r="H3413" s="333">
        <v>10390</v>
      </c>
    </row>
    <row r="3414" spans="1:8">
      <c r="A3414" s="317" t="s">
        <v>39188</v>
      </c>
      <c r="B3414" s="317" t="s">
        <v>47780</v>
      </c>
      <c r="C3414" s="330" t="s">
        <v>10809</v>
      </c>
      <c r="D3414" s="330" t="s">
        <v>10810</v>
      </c>
      <c r="E3414" s="330" t="s">
        <v>4819</v>
      </c>
      <c r="F3414" s="331">
        <v>0.21</v>
      </c>
      <c r="G3414" s="332">
        <v>5567</v>
      </c>
      <c r="H3414" s="333">
        <v>6737</v>
      </c>
    </row>
    <row r="3415" spans="1:8">
      <c r="A3415" s="317">
        <v>1607200370</v>
      </c>
      <c r="B3415" s="317" t="s">
        <v>47781</v>
      </c>
      <c r="C3415" s="330" t="s">
        <v>10811</v>
      </c>
      <c r="D3415" s="330" t="s">
        <v>10812</v>
      </c>
      <c r="E3415" s="330" t="s">
        <v>37248</v>
      </c>
      <c r="F3415" s="331">
        <v>0.21</v>
      </c>
      <c r="G3415" s="332">
        <v>19304</v>
      </c>
      <c r="H3415" s="333">
        <v>23358</v>
      </c>
    </row>
    <row r="3416" spans="1:8">
      <c r="A3416" s="317">
        <v>1607200372</v>
      </c>
      <c r="B3416" s="317" t="s">
        <v>47782</v>
      </c>
      <c r="C3416" s="330" t="s">
        <v>10813</v>
      </c>
      <c r="D3416" s="330" t="s">
        <v>6840</v>
      </c>
      <c r="E3416" s="330" t="s">
        <v>37248</v>
      </c>
      <c r="F3416" s="331">
        <v>0.21</v>
      </c>
      <c r="G3416" s="332">
        <v>6197</v>
      </c>
      <c r="H3416" s="333">
        <v>7499</v>
      </c>
    </row>
    <row r="3417" spans="1:8">
      <c r="A3417" s="317" t="s">
        <v>39189</v>
      </c>
      <c r="B3417" s="317" t="s">
        <v>47783</v>
      </c>
      <c r="C3417" s="330" t="s">
        <v>10814</v>
      </c>
      <c r="D3417" s="330" t="s">
        <v>6840</v>
      </c>
      <c r="E3417" s="330" t="s">
        <v>37248</v>
      </c>
      <c r="F3417" s="331">
        <v>0.21</v>
      </c>
      <c r="G3417" s="332">
        <v>6413</v>
      </c>
      <c r="H3417" s="333">
        <v>7760</v>
      </c>
    </row>
    <row r="3418" spans="1:8">
      <c r="A3418" s="317">
        <v>1607200507</v>
      </c>
      <c r="B3418" s="317" t="s">
        <v>47784</v>
      </c>
      <c r="C3418" s="330" t="s">
        <v>10815</v>
      </c>
      <c r="D3418" s="330" t="s">
        <v>10816</v>
      </c>
      <c r="E3418" s="330" t="s">
        <v>4634</v>
      </c>
      <c r="F3418" s="331">
        <v>0.21</v>
      </c>
      <c r="G3418" s="332">
        <v>3716</v>
      </c>
      <c r="H3418" s="333">
        <v>4497</v>
      </c>
    </row>
    <row r="3419" spans="1:8">
      <c r="A3419" s="317">
        <v>1607200515</v>
      </c>
      <c r="B3419" s="317" t="s">
        <v>47785</v>
      </c>
      <c r="C3419" s="330" t="s">
        <v>10817</v>
      </c>
      <c r="D3419" s="330" t="s">
        <v>10818</v>
      </c>
      <c r="E3419" s="330" t="s">
        <v>37248</v>
      </c>
      <c r="F3419" s="331">
        <v>0.21</v>
      </c>
      <c r="G3419" s="332">
        <v>8414</v>
      </c>
      <c r="H3419" s="333">
        <v>10181</v>
      </c>
    </row>
    <row r="3420" spans="1:8">
      <c r="A3420" s="317" t="s">
        <v>39190</v>
      </c>
      <c r="B3420" s="317" t="s">
        <v>47786</v>
      </c>
      <c r="C3420" s="330" t="s">
        <v>10819</v>
      </c>
      <c r="D3420" s="330" t="s">
        <v>10820</v>
      </c>
      <c r="E3420" s="330" t="s">
        <v>37248</v>
      </c>
      <c r="F3420" s="331">
        <v>0.21</v>
      </c>
      <c r="G3420" s="332">
        <v>46118</v>
      </c>
      <c r="H3420" s="333">
        <v>55803</v>
      </c>
    </row>
    <row r="3421" spans="1:8">
      <c r="A3421" s="317">
        <v>1607233008</v>
      </c>
      <c r="B3421" s="317" t="s">
        <v>47787</v>
      </c>
      <c r="C3421" s="330" t="s">
        <v>10821</v>
      </c>
      <c r="D3421" s="330" t="s">
        <v>10822</v>
      </c>
      <c r="E3421" s="330" t="s">
        <v>4634</v>
      </c>
      <c r="F3421" s="331">
        <v>0.21</v>
      </c>
      <c r="G3421" s="332">
        <v>6970</v>
      </c>
      <c r="H3421" s="333">
        <v>8434</v>
      </c>
    </row>
    <row r="3422" spans="1:8">
      <c r="A3422" s="317">
        <v>1607233040</v>
      </c>
      <c r="B3422" s="317" t="s">
        <v>47788</v>
      </c>
      <c r="C3422" s="330" t="s">
        <v>10823</v>
      </c>
      <c r="D3422" s="330" t="s">
        <v>10824</v>
      </c>
      <c r="E3422" s="330" t="s">
        <v>4634</v>
      </c>
      <c r="F3422" s="331">
        <v>0.21</v>
      </c>
      <c r="G3422" s="332">
        <v>71311</v>
      </c>
      <c r="H3422" s="333">
        <v>86287</v>
      </c>
    </row>
    <row r="3423" spans="1:8">
      <c r="A3423" s="317">
        <v>1607233095</v>
      </c>
      <c r="B3423" s="317" t="s">
        <v>47789</v>
      </c>
      <c r="C3423" s="330" t="s">
        <v>10825</v>
      </c>
      <c r="D3423" s="330" t="s">
        <v>10826</v>
      </c>
      <c r="E3423" s="330" t="s">
        <v>4634</v>
      </c>
      <c r="F3423" s="331">
        <v>0.21</v>
      </c>
      <c r="G3423" s="332">
        <v>6467</v>
      </c>
      <c r="H3423" s="333">
        <v>7826</v>
      </c>
    </row>
    <row r="3424" spans="1:8">
      <c r="A3424" s="317">
        <v>1607233110</v>
      </c>
      <c r="B3424" s="317" t="s">
        <v>47790</v>
      </c>
      <c r="C3424" s="330" t="s">
        <v>10827</v>
      </c>
      <c r="D3424" s="330" t="s">
        <v>10828</v>
      </c>
      <c r="E3424" s="330" t="s">
        <v>4634</v>
      </c>
      <c r="F3424" s="331">
        <v>0.21</v>
      </c>
      <c r="G3424" s="332">
        <v>52394</v>
      </c>
      <c r="H3424" s="333">
        <v>63397</v>
      </c>
    </row>
    <row r="3425" spans="1:8">
      <c r="A3425" s="317">
        <v>1607233113</v>
      </c>
      <c r="B3425" s="317" t="s">
        <v>47791</v>
      </c>
      <c r="C3425" s="330" t="s">
        <v>10829</v>
      </c>
      <c r="D3425" s="330" t="s">
        <v>10830</v>
      </c>
      <c r="E3425" s="330" t="s">
        <v>4634</v>
      </c>
      <c r="F3425" s="331">
        <v>0.21</v>
      </c>
      <c r="G3425" s="332">
        <v>56955</v>
      </c>
      <c r="H3425" s="333">
        <v>68916</v>
      </c>
    </row>
    <row r="3426" spans="1:8">
      <c r="A3426" s="317">
        <v>1607233146</v>
      </c>
      <c r="B3426" s="317" t="s">
        <v>47792</v>
      </c>
      <c r="C3426" s="330" t="s">
        <v>10831</v>
      </c>
      <c r="D3426" s="330" t="s">
        <v>10832</v>
      </c>
      <c r="E3426" s="330" t="s">
        <v>4634</v>
      </c>
      <c r="F3426" s="331">
        <v>0.21</v>
      </c>
      <c r="G3426" s="332">
        <v>11767</v>
      </c>
      <c r="H3426" s="333">
        <v>14239</v>
      </c>
    </row>
    <row r="3427" spans="1:8">
      <c r="A3427" s="317">
        <v>1607233148</v>
      </c>
      <c r="B3427" s="317" t="s">
        <v>47793</v>
      </c>
      <c r="C3427" s="330" t="s">
        <v>10833</v>
      </c>
      <c r="D3427" s="330" t="s">
        <v>10834</v>
      </c>
      <c r="E3427" s="330" t="s">
        <v>4634</v>
      </c>
      <c r="F3427" s="331">
        <v>0.21</v>
      </c>
      <c r="G3427" s="332">
        <v>13116</v>
      </c>
      <c r="H3427" s="333">
        <v>15871</v>
      </c>
    </row>
    <row r="3428" spans="1:8">
      <c r="A3428" s="317">
        <v>1607233153</v>
      </c>
      <c r="B3428" s="317" t="s">
        <v>47794</v>
      </c>
      <c r="C3428" s="330" t="s">
        <v>10835</v>
      </c>
      <c r="D3428" s="330" t="s">
        <v>10836</v>
      </c>
      <c r="E3428" s="330" t="s">
        <v>4819</v>
      </c>
      <c r="F3428" s="331">
        <v>0.21</v>
      </c>
      <c r="G3428" s="332">
        <v>94492</v>
      </c>
      <c r="H3428" s="333">
        <v>114336</v>
      </c>
    </row>
    <row r="3429" spans="1:8">
      <c r="A3429" s="317">
        <v>1607233154</v>
      </c>
      <c r="B3429" s="317" t="s">
        <v>47795</v>
      </c>
      <c r="C3429" s="330" t="s">
        <v>10837</v>
      </c>
      <c r="D3429" s="330" t="s">
        <v>10838</v>
      </c>
      <c r="E3429" s="330" t="s">
        <v>4634</v>
      </c>
      <c r="F3429" s="331">
        <v>0.21</v>
      </c>
      <c r="G3429" s="332">
        <v>10767</v>
      </c>
      <c r="H3429" s="333">
        <v>13029</v>
      </c>
    </row>
    <row r="3430" spans="1:8">
      <c r="A3430" s="317">
        <v>1607233156</v>
      </c>
      <c r="B3430" s="317" t="s">
        <v>47796</v>
      </c>
      <c r="C3430" s="330" t="s">
        <v>10839</v>
      </c>
      <c r="D3430" s="330" t="s">
        <v>10840</v>
      </c>
      <c r="E3430" s="330" t="s">
        <v>4634</v>
      </c>
      <c r="F3430" s="331">
        <v>0.21</v>
      </c>
      <c r="G3430" s="332">
        <v>11124</v>
      </c>
      <c r="H3430" s="333">
        <v>13461</v>
      </c>
    </row>
    <row r="3431" spans="1:8">
      <c r="A3431" s="317">
        <v>1607233177</v>
      </c>
      <c r="B3431" s="317" t="s">
        <v>47797</v>
      </c>
      <c r="C3431" s="330" t="s">
        <v>10841</v>
      </c>
      <c r="D3431" s="330" t="s">
        <v>10842</v>
      </c>
      <c r="E3431" s="330" t="s">
        <v>37248</v>
      </c>
      <c r="F3431" s="331">
        <v>0.21</v>
      </c>
      <c r="G3431" s="332">
        <v>15998</v>
      </c>
      <c r="H3431" s="333">
        <v>19358</v>
      </c>
    </row>
    <row r="3432" spans="1:8">
      <c r="A3432" s="317">
        <v>1607233196</v>
      </c>
      <c r="B3432" s="317" t="s">
        <v>47798</v>
      </c>
      <c r="C3432" s="330" t="s">
        <v>10843</v>
      </c>
      <c r="D3432" s="330" t="s">
        <v>10844</v>
      </c>
      <c r="E3432" s="330" t="s">
        <v>37248</v>
      </c>
      <c r="F3432" s="331">
        <v>0.21</v>
      </c>
      <c r="G3432" s="332">
        <v>34007</v>
      </c>
      <c r="H3432" s="333">
        <v>41149</v>
      </c>
    </row>
    <row r="3433" spans="1:8">
      <c r="A3433" s="317">
        <v>1607233209</v>
      </c>
      <c r="B3433" s="317" t="s">
        <v>47799</v>
      </c>
      <c r="C3433" s="330" t="s">
        <v>10845</v>
      </c>
      <c r="D3433" s="330" t="s">
        <v>10846</v>
      </c>
      <c r="E3433" s="330" t="s">
        <v>4634</v>
      </c>
      <c r="F3433" s="331">
        <v>0.21</v>
      </c>
      <c r="G3433" s="332">
        <v>37697</v>
      </c>
      <c r="H3433" s="333">
        <v>45614</v>
      </c>
    </row>
    <row r="3434" spans="1:8">
      <c r="A3434" s="317">
        <v>1607233215</v>
      </c>
      <c r="B3434" s="317" t="s">
        <v>47800</v>
      </c>
      <c r="C3434" s="330" t="s">
        <v>10847</v>
      </c>
      <c r="D3434" s="330" t="s">
        <v>10848</v>
      </c>
      <c r="E3434" s="330" t="s">
        <v>4634</v>
      </c>
      <c r="F3434" s="331">
        <v>0.21</v>
      </c>
      <c r="G3434" s="332">
        <v>18345</v>
      </c>
      <c r="H3434" s="333">
        <v>22198</v>
      </c>
    </row>
    <row r="3435" spans="1:8">
      <c r="A3435" s="317">
        <v>1607233220</v>
      </c>
      <c r="B3435" s="317" t="s">
        <v>47801</v>
      </c>
      <c r="C3435" s="330" t="s">
        <v>10849</v>
      </c>
      <c r="D3435" s="330" t="s">
        <v>10850</v>
      </c>
      <c r="E3435" s="330" t="s">
        <v>4634</v>
      </c>
      <c r="F3435" s="331">
        <v>0.21</v>
      </c>
      <c r="G3435" s="332">
        <v>46850</v>
      </c>
      <c r="H3435" s="333">
        <v>56689</v>
      </c>
    </row>
    <row r="3436" spans="1:8">
      <c r="A3436" s="317">
        <v>1607233256</v>
      </c>
      <c r="B3436" s="317" t="s">
        <v>47802</v>
      </c>
      <c r="C3436" s="330" t="s">
        <v>10851</v>
      </c>
      <c r="D3436" s="330" t="s">
        <v>10852</v>
      </c>
      <c r="E3436" s="330" t="s">
        <v>37248</v>
      </c>
      <c r="F3436" s="331">
        <v>0.21</v>
      </c>
      <c r="G3436" s="332">
        <v>80564</v>
      </c>
      <c r="H3436" s="333">
        <v>97483</v>
      </c>
    </row>
    <row r="3437" spans="1:8">
      <c r="A3437" s="317">
        <v>1607233278</v>
      </c>
      <c r="B3437" s="317" t="s">
        <v>47803</v>
      </c>
      <c r="C3437" s="330" t="s">
        <v>10853</v>
      </c>
      <c r="D3437" s="330" t="s">
        <v>10854</v>
      </c>
      <c r="E3437" s="330" t="s">
        <v>37248</v>
      </c>
      <c r="F3437" s="331">
        <v>0.21</v>
      </c>
      <c r="G3437" s="332">
        <v>55610</v>
      </c>
      <c r="H3437" s="333">
        <v>67289</v>
      </c>
    </row>
    <row r="3438" spans="1:8">
      <c r="A3438" s="317">
        <v>1607233289</v>
      </c>
      <c r="B3438" s="317" t="s">
        <v>47804</v>
      </c>
      <c r="C3438" s="330" t="s">
        <v>10855</v>
      </c>
      <c r="D3438" s="330" t="s">
        <v>10856</v>
      </c>
      <c r="E3438" s="330" t="s">
        <v>37248</v>
      </c>
      <c r="F3438" s="331">
        <v>0.21</v>
      </c>
      <c r="G3438" s="332">
        <v>64707</v>
      </c>
      <c r="H3438" s="333">
        <v>78296</v>
      </c>
    </row>
    <row r="3439" spans="1:8">
      <c r="A3439" s="317">
        <v>1607233292</v>
      </c>
      <c r="B3439" s="317" t="s">
        <v>47805</v>
      </c>
      <c r="C3439" s="330" t="s">
        <v>10857</v>
      </c>
      <c r="D3439" s="330" t="s">
        <v>10858</v>
      </c>
      <c r="E3439" s="330" t="s">
        <v>37248</v>
      </c>
      <c r="F3439" s="331">
        <v>0.21</v>
      </c>
      <c r="G3439" s="332">
        <v>39520</v>
      </c>
      <c r="H3439" s="333">
        <v>47820</v>
      </c>
    </row>
    <row r="3440" spans="1:8">
      <c r="A3440" s="317">
        <v>1607233298</v>
      </c>
      <c r="B3440" s="317" t="s">
        <v>47806</v>
      </c>
      <c r="C3440" s="330" t="s">
        <v>10859</v>
      </c>
      <c r="D3440" s="330" t="s">
        <v>10860</v>
      </c>
      <c r="E3440" s="330" t="s">
        <v>37248</v>
      </c>
      <c r="F3440" s="331">
        <v>0.21</v>
      </c>
      <c r="G3440" s="332">
        <v>74110</v>
      </c>
      <c r="H3440" s="333">
        <v>89674</v>
      </c>
    </row>
    <row r="3441" spans="1:8">
      <c r="A3441" s="317">
        <v>1607233299</v>
      </c>
      <c r="B3441" s="317" t="s">
        <v>47807</v>
      </c>
      <c r="C3441" s="330" t="s">
        <v>10861</v>
      </c>
      <c r="D3441" s="330" t="s">
        <v>10862</v>
      </c>
      <c r="E3441" s="330" t="s">
        <v>4634</v>
      </c>
      <c r="F3441" s="331">
        <v>0.21</v>
      </c>
      <c r="G3441" s="332">
        <v>86107</v>
      </c>
      <c r="H3441" s="333">
        <v>104190</v>
      </c>
    </row>
    <row r="3442" spans="1:8">
      <c r="A3442" s="317">
        <v>1607233300</v>
      </c>
      <c r="B3442" s="317" t="s">
        <v>47808</v>
      </c>
      <c r="C3442" s="330" t="s">
        <v>10863</v>
      </c>
      <c r="D3442" s="330" t="s">
        <v>10864</v>
      </c>
      <c r="E3442" s="330" t="s">
        <v>4819</v>
      </c>
      <c r="F3442" s="331">
        <v>0.21</v>
      </c>
      <c r="G3442" s="332">
        <v>92237</v>
      </c>
      <c r="H3442" s="333">
        <v>111607</v>
      </c>
    </row>
    <row r="3443" spans="1:8">
      <c r="A3443" s="317">
        <v>1607233301</v>
      </c>
      <c r="B3443" s="317" t="s">
        <v>47809</v>
      </c>
      <c r="C3443" s="330" t="s">
        <v>10865</v>
      </c>
      <c r="D3443" s="330" t="s">
        <v>10866</v>
      </c>
      <c r="E3443" s="330" t="s">
        <v>4634</v>
      </c>
      <c r="F3443" s="331">
        <v>0.21</v>
      </c>
      <c r="G3443" s="332">
        <v>25220</v>
      </c>
      <c r="H3443" s="333">
        <v>30517</v>
      </c>
    </row>
    <row r="3444" spans="1:8">
      <c r="A3444" s="317">
        <v>1607233302</v>
      </c>
      <c r="B3444" s="317" t="s">
        <v>47810</v>
      </c>
      <c r="C3444" s="330" t="s">
        <v>10867</v>
      </c>
      <c r="D3444" s="330" t="s">
        <v>10868</v>
      </c>
      <c r="E3444" s="330" t="s">
        <v>4634</v>
      </c>
      <c r="F3444" s="331">
        <v>0.21</v>
      </c>
      <c r="G3444" s="332">
        <v>84334</v>
      </c>
      <c r="H3444" s="333">
        <v>102045</v>
      </c>
    </row>
    <row r="3445" spans="1:8">
      <c r="A3445" s="317">
        <v>1607233311</v>
      </c>
      <c r="B3445" s="317" t="s">
        <v>47811</v>
      </c>
      <c r="C3445" s="330" t="s">
        <v>10869</v>
      </c>
      <c r="D3445" s="330" t="s">
        <v>10870</v>
      </c>
      <c r="E3445" s="330" t="s">
        <v>4634</v>
      </c>
      <c r="F3445" s="331">
        <v>0.21</v>
      </c>
      <c r="G3445" s="332">
        <v>21517</v>
      </c>
      <c r="H3445" s="333">
        <v>26036</v>
      </c>
    </row>
    <row r="3446" spans="1:8">
      <c r="A3446" s="317">
        <v>1607233320</v>
      </c>
      <c r="B3446" s="317" t="s">
        <v>47812</v>
      </c>
      <c r="C3446" s="330" t="s">
        <v>10871</v>
      </c>
      <c r="D3446" s="330" t="s">
        <v>10872</v>
      </c>
      <c r="E3446" s="330" t="s">
        <v>4634</v>
      </c>
      <c r="F3446" s="331">
        <v>0.21</v>
      </c>
      <c r="G3446" s="332">
        <v>12161</v>
      </c>
      <c r="H3446" s="333">
        <v>14715</v>
      </c>
    </row>
    <row r="3447" spans="1:8">
      <c r="A3447" s="317">
        <v>1607233331</v>
      </c>
      <c r="B3447" s="317" t="s">
        <v>47813</v>
      </c>
      <c r="C3447" s="330" t="s">
        <v>10873</v>
      </c>
      <c r="D3447" s="330" t="s">
        <v>10874</v>
      </c>
      <c r="E3447" s="330" t="s">
        <v>4634</v>
      </c>
      <c r="F3447" s="331">
        <v>0.21</v>
      </c>
      <c r="G3447" s="332">
        <v>84530</v>
      </c>
      <c r="H3447" s="333">
        <v>102282</v>
      </c>
    </row>
    <row r="3448" spans="1:8">
      <c r="A3448" s="317">
        <v>1607233334</v>
      </c>
      <c r="B3448" s="317" t="s">
        <v>47814</v>
      </c>
      <c r="C3448" s="330" t="s">
        <v>10875</v>
      </c>
      <c r="D3448" s="330" t="s">
        <v>7198</v>
      </c>
      <c r="E3448" s="330" t="s">
        <v>37248</v>
      </c>
      <c r="F3448" s="331">
        <v>0.21</v>
      </c>
      <c r="G3448" s="332">
        <v>73298</v>
      </c>
      <c r="H3448" s="333">
        <v>88691</v>
      </c>
    </row>
    <row r="3449" spans="1:8">
      <c r="A3449" s="317">
        <v>1607233336</v>
      </c>
      <c r="B3449" s="317" t="s">
        <v>47815</v>
      </c>
      <c r="C3449" s="330" t="s">
        <v>10876</v>
      </c>
      <c r="D3449" s="330" t="s">
        <v>10877</v>
      </c>
      <c r="E3449" s="330" t="s">
        <v>37248</v>
      </c>
      <c r="F3449" s="331">
        <v>0.21</v>
      </c>
      <c r="G3449" s="332">
        <v>33095</v>
      </c>
      <c r="H3449" s="333">
        <v>40045</v>
      </c>
    </row>
    <row r="3450" spans="1:8">
      <c r="A3450" s="317">
        <v>1607233338</v>
      </c>
      <c r="B3450" s="317" t="s">
        <v>47816</v>
      </c>
      <c r="C3450" s="330" t="s">
        <v>10878</v>
      </c>
      <c r="D3450" s="330" t="s">
        <v>10879</v>
      </c>
      <c r="E3450" s="330" t="s">
        <v>4634</v>
      </c>
      <c r="F3450" s="331">
        <v>0.21</v>
      </c>
      <c r="G3450" s="332">
        <v>25716</v>
      </c>
      <c r="H3450" s="333">
        <v>31117</v>
      </c>
    </row>
    <row r="3451" spans="1:8">
      <c r="A3451" s="317">
        <v>1607233340</v>
      </c>
      <c r="B3451" s="317" t="s">
        <v>47817</v>
      </c>
      <c r="C3451" s="330" t="s">
        <v>10880</v>
      </c>
      <c r="D3451" s="330" t="s">
        <v>4650</v>
      </c>
      <c r="E3451" s="330" t="s">
        <v>37248</v>
      </c>
      <c r="F3451" s="331">
        <v>0.21</v>
      </c>
      <c r="G3451" s="332">
        <v>60344</v>
      </c>
      <c r="H3451" s="333">
        <v>73017</v>
      </c>
    </row>
    <row r="3452" spans="1:8">
      <c r="A3452" s="317">
        <v>1607233344</v>
      </c>
      <c r="B3452" s="317" t="s">
        <v>47818</v>
      </c>
      <c r="C3452" s="330" t="s">
        <v>10881</v>
      </c>
      <c r="D3452" s="330" t="s">
        <v>10882</v>
      </c>
      <c r="E3452" s="330" t="s">
        <v>4634</v>
      </c>
      <c r="F3452" s="331">
        <v>0.21</v>
      </c>
      <c r="G3452" s="332">
        <v>40437</v>
      </c>
      <c r="H3452" s="333">
        <v>48929</v>
      </c>
    </row>
    <row r="3453" spans="1:8">
      <c r="A3453" s="317">
        <v>1607233345</v>
      </c>
      <c r="B3453" s="317" t="s">
        <v>47819</v>
      </c>
      <c r="C3453" s="330" t="s">
        <v>10883</v>
      </c>
      <c r="D3453" s="330" t="s">
        <v>10884</v>
      </c>
      <c r="E3453" s="330" t="s">
        <v>4634</v>
      </c>
      <c r="F3453" s="331">
        <v>0.21</v>
      </c>
      <c r="G3453" s="332">
        <v>21368</v>
      </c>
      <c r="H3453" s="333">
        <v>25856</v>
      </c>
    </row>
    <row r="3454" spans="1:8">
      <c r="A3454" s="317">
        <v>1607233348</v>
      </c>
      <c r="B3454" s="317" t="s">
        <v>47820</v>
      </c>
      <c r="C3454" s="330" t="s">
        <v>10885</v>
      </c>
      <c r="D3454" s="330" t="s">
        <v>10886</v>
      </c>
      <c r="E3454" s="330" t="s">
        <v>4634</v>
      </c>
      <c r="F3454" s="331">
        <v>0.21</v>
      </c>
      <c r="G3454" s="332">
        <v>3283</v>
      </c>
      <c r="H3454" s="333">
        <v>3973</v>
      </c>
    </row>
    <row r="3455" spans="1:8">
      <c r="A3455" s="317">
        <v>1607233352</v>
      </c>
      <c r="B3455" s="317" t="s">
        <v>47821</v>
      </c>
      <c r="C3455" s="330" t="s">
        <v>10887</v>
      </c>
      <c r="D3455" s="330" t="s">
        <v>10888</v>
      </c>
      <c r="E3455" s="330" t="s">
        <v>37248</v>
      </c>
      <c r="F3455" s="331">
        <v>0.21</v>
      </c>
      <c r="G3455" s="332">
        <v>94504</v>
      </c>
      <c r="H3455" s="333">
        <v>114350</v>
      </c>
    </row>
    <row r="3456" spans="1:8">
      <c r="A3456" s="317">
        <v>1607233376</v>
      </c>
      <c r="B3456" s="317" t="s">
        <v>47822</v>
      </c>
      <c r="C3456" s="330" t="s">
        <v>10889</v>
      </c>
      <c r="D3456" s="330" t="s">
        <v>10890</v>
      </c>
      <c r="E3456" s="330" t="s">
        <v>4819</v>
      </c>
      <c r="F3456" s="331">
        <v>0.21</v>
      </c>
      <c r="G3456" s="332">
        <v>138421</v>
      </c>
      <c r="H3456" s="333">
        <v>167490</v>
      </c>
    </row>
    <row r="3457" spans="1:8">
      <c r="A3457" s="317">
        <v>1607233377</v>
      </c>
      <c r="B3457" s="317" t="s">
        <v>47823</v>
      </c>
      <c r="C3457" s="330" t="s">
        <v>10891</v>
      </c>
      <c r="D3457" s="330" t="s">
        <v>10892</v>
      </c>
      <c r="E3457" s="330" t="s">
        <v>4634</v>
      </c>
      <c r="F3457" s="331">
        <v>0.21</v>
      </c>
      <c r="G3457" s="332">
        <v>17219</v>
      </c>
      <c r="H3457" s="333">
        <v>20835</v>
      </c>
    </row>
    <row r="3458" spans="1:8">
      <c r="A3458" s="317">
        <v>1607233378</v>
      </c>
      <c r="B3458" s="317" t="s">
        <v>47824</v>
      </c>
      <c r="C3458" s="330" t="s">
        <v>10893</v>
      </c>
      <c r="D3458" s="330" t="s">
        <v>10894</v>
      </c>
      <c r="E3458" s="330" t="s">
        <v>4634</v>
      </c>
      <c r="F3458" s="331">
        <v>0.21</v>
      </c>
      <c r="G3458" s="332">
        <v>10317</v>
      </c>
      <c r="H3458" s="333">
        <v>12484</v>
      </c>
    </row>
    <row r="3459" spans="1:8">
      <c r="A3459" s="317">
        <v>1607233410</v>
      </c>
      <c r="B3459" s="317" t="s">
        <v>47825</v>
      </c>
      <c r="C3459" s="330" t="s">
        <v>10895</v>
      </c>
      <c r="D3459" s="330" t="s">
        <v>10896</v>
      </c>
      <c r="E3459" s="330" t="s">
        <v>4819</v>
      </c>
      <c r="F3459" s="331">
        <v>0.21</v>
      </c>
      <c r="G3459" s="332">
        <v>37204</v>
      </c>
      <c r="H3459" s="333">
        <v>45017</v>
      </c>
    </row>
    <row r="3460" spans="1:8">
      <c r="A3460" s="317">
        <v>1607233414</v>
      </c>
      <c r="B3460" s="317" t="s">
        <v>47826</v>
      </c>
      <c r="C3460" s="330" t="s">
        <v>10897</v>
      </c>
      <c r="D3460" s="330" t="s">
        <v>7651</v>
      </c>
      <c r="E3460" s="330" t="s">
        <v>37248</v>
      </c>
      <c r="F3460" s="331">
        <v>0.21</v>
      </c>
      <c r="G3460" s="332">
        <v>78708</v>
      </c>
      <c r="H3460" s="333">
        <v>95237</v>
      </c>
    </row>
    <row r="3461" spans="1:8">
      <c r="A3461" s="317">
        <v>1607233422</v>
      </c>
      <c r="B3461" s="317" t="s">
        <v>47827</v>
      </c>
      <c r="C3461" s="330" t="s">
        <v>10898</v>
      </c>
      <c r="D3461" s="330" t="s">
        <v>10899</v>
      </c>
      <c r="E3461" s="330" t="s">
        <v>4634</v>
      </c>
      <c r="F3461" s="331">
        <v>0.21</v>
      </c>
      <c r="G3461" s="332">
        <v>19128</v>
      </c>
      <c r="H3461" s="333">
        <v>23145</v>
      </c>
    </row>
    <row r="3462" spans="1:8">
      <c r="A3462" s="317">
        <v>1607233423</v>
      </c>
      <c r="B3462" s="317" t="s">
        <v>47828</v>
      </c>
      <c r="C3462" s="330" t="s">
        <v>10900</v>
      </c>
      <c r="D3462" s="330" t="s">
        <v>4650</v>
      </c>
      <c r="E3462" s="330" t="s">
        <v>37248</v>
      </c>
      <c r="F3462" s="331">
        <v>0.21</v>
      </c>
      <c r="G3462" s="332">
        <v>75562</v>
      </c>
      <c r="H3462" s="333">
        <v>91431</v>
      </c>
    </row>
    <row r="3463" spans="1:8">
      <c r="A3463" s="317">
        <v>1607233437</v>
      </c>
      <c r="B3463" s="317" t="s">
        <v>47829</v>
      </c>
      <c r="C3463" s="330" t="s">
        <v>10901</v>
      </c>
      <c r="D3463" s="330" t="s">
        <v>10902</v>
      </c>
      <c r="E3463" s="330" t="s">
        <v>37248</v>
      </c>
      <c r="F3463" s="331">
        <v>0.21</v>
      </c>
      <c r="G3463" s="332">
        <v>50344</v>
      </c>
      <c r="H3463" s="333">
        <v>60917</v>
      </c>
    </row>
    <row r="3464" spans="1:8">
      <c r="A3464" s="317">
        <v>1607233439</v>
      </c>
      <c r="B3464" s="317" t="s">
        <v>47830</v>
      </c>
      <c r="C3464" s="330" t="s">
        <v>10903</v>
      </c>
      <c r="D3464" s="330" t="s">
        <v>10904</v>
      </c>
      <c r="E3464" s="330" t="s">
        <v>4819</v>
      </c>
      <c r="F3464" s="331">
        <v>0.21</v>
      </c>
      <c r="G3464" s="332">
        <v>50551</v>
      </c>
      <c r="H3464" s="333">
        <v>61167</v>
      </c>
    </row>
    <row r="3465" spans="1:8">
      <c r="A3465" s="317">
        <v>1607233446</v>
      </c>
      <c r="B3465" s="317" t="s">
        <v>47831</v>
      </c>
      <c r="C3465" s="330" t="s">
        <v>10905</v>
      </c>
      <c r="D3465" s="330" t="s">
        <v>10906</v>
      </c>
      <c r="E3465" s="330" t="s">
        <v>37248</v>
      </c>
      <c r="F3465" s="331">
        <v>0.21</v>
      </c>
      <c r="G3465" s="332">
        <v>39520</v>
      </c>
      <c r="H3465" s="333">
        <v>47820</v>
      </c>
    </row>
    <row r="3466" spans="1:8">
      <c r="A3466" s="317">
        <v>1607233459</v>
      </c>
      <c r="B3466" s="317" t="s">
        <v>47832</v>
      </c>
      <c r="C3466" s="330" t="s">
        <v>10907</v>
      </c>
      <c r="D3466" s="330" t="s">
        <v>10908</v>
      </c>
      <c r="E3466" s="330" t="s">
        <v>4634</v>
      </c>
      <c r="F3466" s="331">
        <v>0.21</v>
      </c>
      <c r="G3466" s="332">
        <v>74645</v>
      </c>
      <c r="H3466" s="333">
        <v>90321</v>
      </c>
    </row>
    <row r="3467" spans="1:8">
      <c r="A3467" s="317">
        <v>1607233461</v>
      </c>
      <c r="B3467" s="317" t="s">
        <v>47833</v>
      </c>
      <c r="C3467" s="330" t="s">
        <v>10909</v>
      </c>
      <c r="D3467" s="330" t="s">
        <v>10910</v>
      </c>
      <c r="E3467" s="330" t="s">
        <v>37248</v>
      </c>
      <c r="F3467" s="331">
        <v>0.21</v>
      </c>
      <c r="G3467" s="332">
        <v>39007</v>
      </c>
      <c r="H3467" s="333">
        <v>47199</v>
      </c>
    </row>
    <row r="3468" spans="1:8">
      <c r="A3468" s="317">
        <v>1607233472</v>
      </c>
      <c r="B3468" s="317" t="s">
        <v>47834</v>
      </c>
      <c r="C3468" s="330" t="s">
        <v>10911</v>
      </c>
      <c r="D3468" s="330" t="s">
        <v>10912</v>
      </c>
      <c r="E3468" s="330" t="s">
        <v>4634</v>
      </c>
      <c r="F3468" s="331">
        <v>0.21</v>
      </c>
      <c r="G3468" s="332">
        <v>34452</v>
      </c>
      <c r="H3468" s="333">
        <v>41687</v>
      </c>
    </row>
    <row r="3469" spans="1:8">
      <c r="A3469" s="317">
        <v>1607233479</v>
      </c>
      <c r="B3469" s="317" t="s">
        <v>47835</v>
      </c>
      <c r="C3469" s="330" t="s">
        <v>10913</v>
      </c>
      <c r="D3469" s="330" t="s">
        <v>7651</v>
      </c>
      <c r="E3469" s="330" t="s">
        <v>4819</v>
      </c>
      <c r="F3469" s="331">
        <v>0.21</v>
      </c>
      <c r="G3469" s="332">
        <v>37244</v>
      </c>
      <c r="H3469" s="333">
        <v>45066</v>
      </c>
    </row>
    <row r="3470" spans="1:8">
      <c r="A3470" s="317">
        <v>1607233485</v>
      </c>
      <c r="B3470" s="317" t="s">
        <v>47836</v>
      </c>
      <c r="C3470" s="330" t="s">
        <v>10914</v>
      </c>
      <c r="D3470" s="330" t="s">
        <v>10915</v>
      </c>
      <c r="E3470" s="330" t="s">
        <v>4634</v>
      </c>
      <c r="F3470" s="331">
        <v>0.21</v>
      </c>
      <c r="G3470" s="332">
        <v>17613</v>
      </c>
      <c r="H3470" s="333">
        <v>21312</v>
      </c>
    </row>
    <row r="3471" spans="1:8">
      <c r="A3471" s="317">
        <v>1607233488</v>
      </c>
      <c r="B3471" s="317" t="s">
        <v>47837</v>
      </c>
      <c r="C3471" s="330" t="s">
        <v>10916</v>
      </c>
      <c r="D3471" s="330" t="s">
        <v>10917</v>
      </c>
      <c r="E3471" s="330" t="s">
        <v>37248</v>
      </c>
      <c r="F3471" s="331">
        <v>0.21</v>
      </c>
      <c r="G3471" s="332">
        <v>81403</v>
      </c>
      <c r="H3471" s="333">
        <v>98498</v>
      </c>
    </row>
    <row r="3472" spans="1:8">
      <c r="A3472" s="317">
        <v>1607233493</v>
      </c>
      <c r="B3472" s="317" t="s">
        <v>47838</v>
      </c>
      <c r="C3472" s="330" t="s">
        <v>10918</v>
      </c>
      <c r="D3472" s="330" t="s">
        <v>10919</v>
      </c>
      <c r="E3472" s="330" t="s">
        <v>4634</v>
      </c>
      <c r="F3472" s="331">
        <v>0.21</v>
      </c>
      <c r="G3472" s="332">
        <v>620503</v>
      </c>
      <c r="H3472" s="333">
        <v>750809</v>
      </c>
    </row>
    <row r="3473" spans="1:8">
      <c r="A3473" s="317">
        <v>1607233508</v>
      </c>
      <c r="B3473" s="317" t="s">
        <v>47839</v>
      </c>
      <c r="C3473" s="330" t="s">
        <v>10920</v>
      </c>
      <c r="D3473" s="330" t="s">
        <v>4650</v>
      </c>
      <c r="E3473" s="330" t="s">
        <v>4634</v>
      </c>
      <c r="F3473" s="331">
        <v>0.21</v>
      </c>
      <c r="G3473" s="332">
        <v>68538</v>
      </c>
      <c r="H3473" s="333">
        <v>82931</v>
      </c>
    </row>
    <row r="3474" spans="1:8">
      <c r="A3474" s="317">
        <v>1607233514</v>
      </c>
      <c r="B3474" s="317" t="s">
        <v>47840</v>
      </c>
      <c r="C3474" s="330" t="s">
        <v>10921</v>
      </c>
      <c r="D3474" s="330" t="s">
        <v>8054</v>
      </c>
      <c r="E3474" s="330" t="s">
        <v>37248</v>
      </c>
      <c r="F3474" s="331">
        <v>0.21</v>
      </c>
      <c r="G3474" s="332">
        <v>116309</v>
      </c>
      <c r="H3474" s="333">
        <v>140734</v>
      </c>
    </row>
    <row r="3475" spans="1:8">
      <c r="A3475" s="317">
        <v>1607233515</v>
      </c>
      <c r="B3475" s="317" t="s">
        <v>47841</v>
      </c>
      <c r="C3475" s="330" t="s">
        <v>10922</v>
      </c>
      <c r="D3475" s="330" t="s">
        <v>10923</v>
      </c>
      <c r="E3475" s="330" t="s">
        <v>4634</v>
      </c>
      <c r="F3475" s="331">
        <v>0.21</v>
      </c>
      <c r="G3475" s="332">
        <v>30141</v>
      </c>
      <c r="H3475" s="333">
        <v>36471</v>
      </c>
    </row>
    <row r="3476" spans="1:8">
      <c r="A3476" s="317">
        <v>1607233516</v>
      </c>
      <c r="B3476" s="317" t="s">
        <v>47842</v>
      </c>
      <c r="C3476" s="330" t="s">
        <v>10924</v>
      </c>
      <c r="D3476" s="330" t="s">
        <v>10925</v>
      </c>
      <c r="E3476" s="330" t="s">
        <v>4634</v>
      </c>
      <c r="F3476" s="331">
        <v>0.21</v>
      </c>
      <c r="G3476" s="332">
        <v>3047</v>
      </c>
      <c r="H3476" s="333">
        <v>3687</v>
      </c>
    </row>
    <row r="3477" spans="1:8">
      <c r="A3477" s="317">
        <v>1607233518</v>
      </c>
      <c r="B3477" s="317" t="s">
        <v>47843</v>
      </c>
      <c r="C3477" s="330" t="s">
        <v>10926</v>
      </c>
      <c r="D3477" s="330" t="s">
        <v>10927</v>
      </c>
      <c r="E3477" s="330" t="s">
        <v>37248</v>
      </c>
      <c r="F3477" s="331">
        <v>0.21</v>
      </c>
      <c r="G3477" s="332">
        <v>50624</v>
      </c>
      <c r="H3477" s="333">
        <v>61256</v>
      </c>
    </row>
    <row r="3478" spans="1:8">
      <c r="A3478" s="317">
        <v>1607233520</v>
      </c>
      <c r="B3478" s="317" t="s">
        <v>47844</v>
      </c>
      <c r="C3478" s="330" t="s">
        <v>10928</v>
      </c>
      <c r="D3478" s="330" t="s">
        <v>10929</v>
      </c>
      <c r="E3478" s="330" t="s">
        <v>4634</v>
      </c>
      <c r="F3478" s="331">
        <v>0.21</v>
      </c>
      <c r="G3478" s="332">
        <v>38846</v>
      </c>
      <c r="H3478" s="333">
        <v>47004</v>
      </c>
    </row>
    <row r="3479" spans="1:8">
      <c r="A3479" s="317">
        <v>1607233524</v>
      </c>
      <c r="B3479" s="317" t="s">
        <v>47845</v>
      </c>
      <c r="C3479" s="330" t="s">
        <v>10930</v>
      </c>
      <c r="D3479" s="330" t="s">
        <v>4650</v>
      </c>
      <c r="E3479" s="330" t="s">
        <v>37248</v>
      </c>
      <c r="F3479" s="331">
        <v>0.21</v>
      </c>
      <c r="G3479" s="332">
        <v>45782</v>
      </c>
      <c r="H3479" s="333">
        <v>55397</v>
      </c>
    </row>
    <row r="3480" spans="1:8">
      <c r="A3480" s="317">
        <v>1607233528</v>
      </c>
      <c r="B3480" s="317" t="s">
        <v>47846</v>
      </c>
      <c r="C3480" s="330" t="s">
        <v>10931</v>
      </c>
      <c r="D3480" s="330" t="s">
        <v>4650</v>
      </c>
      <c r="E3480" s="330" t="s">
        <v>37248</v>
      </c>
      <c r="F3480" s="331">
        <v>0.21</v>
      </c>
      <c r="G3480" s="332">
        <v>32200</v>
      </c>
      <c r="H3480" s="333">
        <v>38962</v>
      </c>
    </row>
    <row r="3481" spans="1:8">
      <c r="A3481" s="317">
        <v>1607233542</v>
      </c>
      <c r="B3481" s="317" t="s">
        <v>47847</v>
      </c>
      <c r="C3481" s="330" t="s">
        <v>10932</v>
      </c>
      <c r="D3481" s="330" t="s">
        <v>7651</v>
      </c>
      <c r="E3481" s="330" t="s">
        <v>37248</v>
      </c>
      <c r="F3481" s="331">
        <v>0.21</v>
      </c>
      <c r="G3481" s="332">
        <v>24400</v>
      </c>
      <c r="H3481" s="333">
        <v>29524</v>
      </c>
    </row>
    <row r="3482" spans="1:8">
      <c r="A3482" s="317">
        <v>1607233563</v>
      </c>
      <c r="B3482" s="317" t="s">
        <v>47848</v>
      </c>
      <c r="C3482" s="330" t="s">
        <v>10933</v>
      </c>
      <c r="D3482" s="330" t="s">
        <v>10524</v>
      </c>
      <c r="E3482" s="330" t="s">
        <v>4634</v>
      </c>
      <c r="F3482" s="331">
        <v>0.21</v>
      </c>
      <c r="G3482" s="332">
        <v>28990</v>
      </c>
      <c r="H3482" s="333">
        <v>35078</v>
      </c>
    </row>
    <row r="3483" spans="1:8">
      <c r="A3483" s="317">
        <v>1607233581</v>
      </c>
      <c r="B3483" s="317" t="s">
        <v>47849</v>
      </c>
      <c r="C3483" s="330" t="s">
        <v>10934</v>
      </c>
      <c r="D3483" s="330" t="s">
        <v>4650</v>
      </c>
      <c r="E3483" s="330" t="s">
        <v>37248</v>
      </c>
      <c r="F3483" s="331">
        <v>0.21</v>
      </c>
      <c r="G3483" s="332">
        <v>26200</v>
      </c>
      <c r="H3483" s="333">
        <v>31702</v>
      </c>
    </row>
    <row r="3484" spans="1:8">
      <c r="A3484" s="317" t="s">
        <v>39191</v>
      </c>
      <c r="B3484" s="317" t="s">
        <v>47850</v>
      </c>
      <c r="C3484" s="330" t="s">
        <v>10935</v>
      </c>
      <c r="D3484" s="330" t="s">
        <v>10936</v>
      </c>
      <c r="E3484" s="330" t="s">
        <v>37248</v>
      </c>
      <c r="F3484" s="331">
        <v>0.21</v>
      </c>
      <c r="G3484" s="332">
        <v>37923</v>
      </c>
      <c r="H3484" s="333">
        <v>45887</v>
      </c>
    </row>
    <row r="3485" spans="1:8">
      <c r="A3485" s="317" t="s">
        <v>39192</v>
      </c>
      <c r="B3485" s="317" t="s">
        <v>47851</v>
      </c>
      <c r="C3485" s="330" t="s">
        <v>10937</v>
      </c>
      <c r="D3485" s="330" t="s">
        <v>10938</v>
      </c>
      <c r="E3485" s="330" t="s">
        <v>37248</v>
      </c>
      <c r="F3485" s="331">
        <v>0.21</v>
      </c>
      <c r="G3485" s="332">
        <v>152245</v>
      </c>
      <c r="H3485" s="333">
        <v>184217</v>
      </c>
    </row>
    <row r="3486" spans="1:8">
      <c r="A3486" s="317" t="s">
        <v>39193</v>
      </c>
      <c r="B3486" s="317" t="s">
        <v>47852</v>
      </c>
      <c r="C3486" s="330" t="s">
        <v>10939</v>
      </c>
      <c r="D3486" s="330" t="s">
        <v>10940</v>
      </c>
      <c r="E3486" s="330" t="s">
        <v>37248</v>
      </c>
      <c r="F3486" s="331">
        <v>0.21</v>
      </c>
      <c r="G3486" s="332">
        <v>118426</v>
      </c>
      <c r="H3486" s="333">
        <v>143296</v>
      </c>
    </row>
    <row r="3487" spans="1:8">
      <c r="A3487" s="317" t="s">
        <v>39194</v>
      </c>
      <c r="B3487" s="317" t="s">
        <v>47853</v>
      </c>
      <c r="C3487" s="330" t="s">
        <v>10941</v>
      </c>
      <c r="D3487" s="330" t="s">
        <v>4650</v>
      </c>
      <c r="E3487" s="330" t="s">
        <v>37248</v>
      </c>
      <c r="F3487" s="331">
        <v>0.21</v>
      </c>
      <c r="G3487" s="332">
        <v>19073</v>
      </c>
      <c r="H3487" s="333">
        <v>23079</v>
      </c>
    </row>
    <row r="3488" spans="1:8">
      <c r="A3488" s="317" t="s">
        <v>39195</v>
      </c>
      <c r="B3488" s="317" t="s">
        <v>47854</v>
      </c>
      <c r="C3488" s="330" t="s">
        <v>10942</v>
      </c>
      <c r="D3488" s="330" t="s">
        <v>4650</v>
      </c>
      <c r="E3488" s="330" t="s">
        <v>37248</v>
      </c>
      <c r="F3488" s="331">
        <v>0.21</v>
      </c>
      <c r="G3488" s="332">
        <v>44245</v>
      </c>
      <c r="H3488" s="333">
        <v>53537</v>
      </c>
    </row>
    <row r="3489" spans="1:8">
      <c r="A3489" s="317" t="s">
        <v>39196</v>
      </c>
      <c r="B3489" s="317" t="s">
        <v>47855</v>
      </c>
      <c r="C3489" s="330" t="s">
        <v>10943</v>
      </c>
      <c r="D3489" s="330" t="s">
        <v>4650</v>
      </c>
      <c r="E3489" s="330" t="s">
        <v>37248</v>
      </c>
      <c r="F3489" s="331">
        <v>0.21</v>
      </c>
      <c r="G3489" s="332">
        <v>11861</v>
      </c>
      <c r="H3489" s="333">
        <v>14352</v>
      </c>
    </row>
    <row r="3490" spans="1:8">
      <c r="A3490" s="317" t="s">
        <v>39197</v>
      </c>
      <c r="B3490" s="317" t="s">
        <v>47856</v>
      </c>
      <c r="C3490" s="330" t="s">
        <v>10944</v>
      </c>
      <c r="D3490" s="330" t="s">
        <v>10945</v>
      </c>
      <c r="E3490" s="330" t="s">
        <v>37248</v>
      </c>
      <c r="F3490" s="331">
        <v>0.21</v>
      </c>
      <c r="G3490" s="332">
        <v>32986</v>
      </c>
      <c r="H3490" s="333">
        <v>39914</v>
      </c>
    </row>
    <row r="3491" spans="1:8">
      <c r="A3491" s="317" t="s">
        <v>39198</v>
      </c>
      <c r="B3491" s="317" t="s">
        <v>47857</v>
      </c>
      <c r="C3491" s="330" t="s">
        <v>10946</v>
      </c>
      <c r="D3491" s="330" t="s">
        <v>10947</v>
      </c>
      <c r="E3491" s="330" t="s">
        <v>37248</v>
      </c>
      <c r="F3491" s="331">
        <v>0.21</v>
      </c>
      <c r="G3491" s="332">
        <v>72684</v>
      </c>
      <c r="H3491" s="333">
        <v>87948</v>
      </c>
    </row>
    <row r="3492" spans="1:8">
      <c r="A3492" s="317" t="s">
        <v>39199</v>
      </c>
      <c r="B3492" s="317" t="s">
        <v>47858</v>
      </c>
      <c r="C3492" s="330" t="s">
        <v>10948</v>
      </c>
      <c r="D3492" s="330" t="s">
        <v>10949</v>
      </c>
      <c r="E3492" s="330" t="s">
        <v>4634</v>
      </c>
      <c r="F3492" s="331">
        <v>0.21</v>
      </c>
      <c r="G3492" s="332">
        <v>65301</v>
      </c>
      <c r="H3492" s="333">
        <v>79015</v>
      </c>
    </row>
    <row r="3493" spans="1:8">
      <c r="A3493" s="317" t="s">
        <v>39200</v>
      </c>
      <c r="B3493" s="317" t="s">
        <v>47859</v>
      </c>
      <c r="C3493" s="330" t="s">
        <v>10950</v>
      </c>
      <c r="D3493" s="330" t="s">
        <v>10951</v>
      </c>
      <c r="E3493" s="330" t="s">
        <v>4634</v>
      </c>
      <c r="F3493" s="331">
        <v>0.21</v>
      </c>
      <c r="G3493" s="332">
        <v>13185</v>
      </c>
      <c r="H3493" s="333">
        <v>15954</v>
      </c>
    </row>
    <row r="3494" spans="1:8">
      <c r="A3494" s="317" t="s">
        <v>39201</v>
      </c>
      <c r="B3494" s="317" t="s">
        <v>47860</v>
      </c>
      <c r="C3494" s="330" t="s">
        <v>10952</v>
      </c>
      <c r="D3494" s="330" t="s">
        <v>10953</v>
      </c>
      <c r="E3494" s="330" t="s">
        <v>37248</v>
      </c>
      <c r="F3494" s="331">
        <v>0.21</v>
      </c>
      <c r="G3494" s="332">
        <v>39421</v>
      </c>
      <c r="H3494" s="333">
        <v>47700</v>
      </c>
    </row>
    <row r="3495" spans="1:8">
      <c r="A3495" s="317" t="s">
        <v>39202</v>
      </c>
      <c r="B3495" s="317" t="s">
        <v>47861</v>
      </c>
      <c r="C3495" s="330" t="s">
        <v>10954</v>
      </c>
      <c r="D3495" s="330" t="s">
        <v>4650</v>
      </c>
      <c r="E3495" s="330" t="s">
        <v>37248</v>
      </c>
      <c r="F3495" s="331">
        <v>0.21</v>
      </c>
      <c r="G3495" s="332">
        <v>25830</v>
      </c>
      <c r="H3495" s="333">
        <v>31255</v>
      </c>
    </row>
    <row r="3496" spans="1:8">
      <c r="A3496" s="317" t="s">
        <v>39203</v>
      </c>
      <c r="B3496" s="317" t="s">
        <v>47862</v>
      </c>
      <c r="C3496" s="330" t="s">
        <v>10955</v>
      </c>
      <c r="D3496" s="330" t="s">
        <v>10956</v>
      </c>
      <c r="E3496" s="330" t="s">
        <v>37248</v>
      </c>
      <c r="F3496" s="331">
        <v>0.21</v>
      </c>
      <c r="G3496" s="332">
        <v>24400</v>
      </c>
      <c r="H3496" s="333">
        <v>29524</v>
      </c>
    </row>
    <row r="3497" spans="1:8">
      <c r="A3497" s="317" t="s">
        <v>39204</v>
      </c>
      <c r="B3497" s="317" t="s">
        <v>47863</v>
      </c>
      <c r="C3497" s="330" t="s">
        <v>10957</v>
      </c>
      <c r="D3497" s="330" t="s">
        <v>4650</v>
      </c>
      <c r="E3497" s="330" t="s">
        <v>37248</v>
      </c>
      <c r="F3497" s="331">
        <v>0.21</v>
      </c>
      <c r="G3497" s="332">
        <v>21774</v>
      </c>
      <c r="H3497" s="333">
        <v>26347</v>
      </c>
    </row>
    <row r="3498" spans="1:8">
      <c r="A3498" s="317" t="s">
        <v>39205</v>
      </c>
      <c r="B3498" s="317" t="s">
        <v>47864</v>
      </c>
      <c r="C3498" s="330" t="s">
        <v>10958</v>
      </c>
      <c r="D3498" s="330" t="s">
        <v>10959</v>
      </c>
      <c r="E3498" s="330" t="s">
        <v>37248</v>
      </c>
      <c r="F3498" s="331">
        <v>0.21</v>
      </c>
      <c r="G3498" s="332">
        <v>15307</v>
      </c>
      <c r="H3498" s="333">
        <v>18522</v>
      </c>
    </row>
    <row r="3499" spans="1:8">
      <c r="A3499" s="317" t="s">
        <v>39206</v>
      </c>
      <c r="B3499" s="317" t="s">
        <v>47865</v>
      </c>
      <c r="C3499" s="330" t="s">
        <v>10960</v>
      </c>
      <c r="D3499" s="330" t="s">
        <v>10961</v>
      </c>
      <c r="E3499" s="330" t="s">
        <v>4634</v>
      </c>
      <c r="F3499" s="331">
        <v>0.21</v>
      </c>
      <c r="G3499" s="332">
        <v>11753</v>
      </c>
      <c r="H3499" s="333">
        <v>14222</v>
      </c>
    </row>
    <row r="3500" spans="1:8">
      <c r="A3500" s="317" t="s">
        <v>39207</v>
      </c>
      <c r="B3500" s="317" t="s">
        <v>47866</v>
      </c>
      <c r="C3500" s="330" t="s">
        <v>10962</v>
      </c>
      <c r="D3500" s="330" t="s">
        <v>7651</v>
      </c>
      <c r="E3500" s="330" t="s">
        <v>37248</v>
      </c>
      <c r="F3500" s="331">
        <v>0.21</v>
      </c>
      <c r="G3500" s="332">
        <v>4082</v>
      </c>
      <c r="H3500" s="333">
        <v>4940</v>
      </c>
    </row>
    <row r="3501" spans="1:8">
      <c r="A3501" s="317" t="s">
        <v>39208</v>
      </c>
      <c r="B3501" s="317" t="s">
        <v>47867</v>
      </c>
      <c r="C3501" s="330" t="s">
        <v>10963</v>
      </c>
      <c r="D3501" s="330" t="s">
        <v>7198</v>
      </c>
      <c r="E3501" s="330" t="s">
        <v>37248</v>
      </c>
      <c r="F3501" s="331">
        <v>0.21</v>
      </c>
      <c r="G3501" s="332">
        <v>12686</v>
      </c>
      <c r="H3501" s="333">
        <v>15351</v>
      </c>
    </row>
    <row r="3502" spans="1:8">
      <c r="A3502" s="317" t="s">
        <v>39209</v>
      </c>
      <c r="B3502" s="317" t="s">
        <v>47868</v>
      </c>
      <c r="C3502" s="330" t="s">
        <v>10964</v>
      </c>
      <c r="D3502" s="330" t="s">
        <v>4650</v>
      </c>
      <c r="E3502" s="330" t="s">
        <v>37248</v>
      </c>
      <c r="F3502" s="331">
        <v>0.21</v>
      </c>
      <c r="G3502" s="332">
        <v>36965</v>
      </c>
      <c r="H3502" s="333">
        <v>44728</v>
      </c>
    </row>
    <row r="3503" spans="1:8">
      <c r="A3503" s="317" t="s">
        <v>39210</v>
      </c>
      <c r="B3503" s="317" t="s">
        <v>47869</v>
      </c>
      <c r="C3503" s="330" t="s">
        <v>10965</v>
      </c>
      <c r="D3503" s="330" t="s">
        <v>8054</v>
      </c>
      <c r="E3503" s="330" t="s">
        <v>37248</v>
      </c>
      <c r="F3503" s="331">
        <v>0.21</v>
      </c>
      <c r="G3503" s="332">
        <v>41712</v>
      </c>
      <c r="H3503" s="333">
        <v>50472</v>
      </c>
    </row>
    <row r="3504" spans="1:8">
      <c r="A3504" s="317" t="s">
        <v>39211</v>
      </c>
      <c r="B3504" s="317" t="s">
        <v>47870</v>
      </c>
      <c r="C3504" s="330" t="s">
        <v>10966</v>
      </c>
      <c r="D3504" s="330" t="s">
        <v>8054</v>
      </c>
      <c r="E3504" s="330" t="s">
        <v>37248</v>
      </c>
      <c r="F3504" s="331">
        <v>0.21</v>
      </c>
      <c r="G3504" s="332">
        <v>71788</v>
      </c>
      <c r="H3504" s="333">
        <v>86864</v>
      </c>
    </row>
    <row r="3505" spans="1:8">
      <c r="A3505" s="317" t="s">
        <v>39212</v>
      </c>
      <c r="B3505" s="317" t="s">
        <v>47871</v>
      </c>
      <c r="C3505" s="330" t="s">
        <v>10967</v>
      </c>
      <c r="D3505" s="330" t="s">
        <v>7651</v>
      </c>
      <c r="E3505" s="330" t="s">
        <v>37248</v>
      </c>
      <c r="F3505" s="331">
        <v>0.21</v>
      </c>
      <c r="G3505" s="332">
        <v>2114</v>
      </c>
      <c r="H3505" s="333">
        <v>2558</v>
      </c>
    </row>
    <row r="3506" spans="1:8">
      <c r="A3506" s="317" t="s">
        <v>39213</v>
      </c>
      <c r="B3506" s="317" t="s">
        <v>47872</v>
      </c>
      <c r="C3506" s="330" t="s">
        <v>10968</v>
      </c>
      <c r="D3506" s="330" t="s">
        <v>4650</v>
      </c>
      <c r="E3506" s="330" t="s">
        <v>37248</v>
      </c>
      <c r="F3506" s="331">
        <v>0.21</v>
      </c>
      <c r="G3506" s="332">
        <v>117735</v>
      </c>
      <c r="H3506" s="333">
        <v>142460</v>
      </c>
    </row>
    <row r="3507" spans="1:8">
      <c r="A3507" s="317" t="s">
        <v>39214</v>
      </c>
      <c r="B3507" s="317" t="s">
        <v>47873</v>
      </c>
      <c r="C3507" s="330" t="s">
        <v>10969</v>
      </c>
      <c r="D3507" s="330" t="s">
        <v>7651</v>
      </c>
      <c r="E3507" s="330" t="s">
        <v>37248</v>
      </c>
      <c r="F3507" s="331">
        <v>0.21</v>
      </c>
      <c r="G3507" s="332">
        <v>28513</v>
      </c>
      <c r="H3507" s="333">
        <v>34501</v>
      </c>
    </row>
    <row r="3508" spans="1:8">
      <c r="A3508" s="317" t="s">
        <v>39215</v>
      </c>
      <c r="B3508" s="317" t="s">
        <v>47874</v>
      </c>
      <c r="C3508" s="330" t="s">
        <v>10970</v>
      </c>
      <c r="D3508" s="330" t="s">
        <v>10971</v>
      </c>
      <c r="E3508" s="330" t="s">
        <v>4634</v>
      </c>
      <c r="F3508" s="331">
        <v>0.21</v>
      </c>
      <c r="G3508" s="332">
        <v>11084</v>
      </c>
      <c r="H3508" s="333">
        <v>13412</v>
      </c>
    </row>
    <row r="3509" spans="1:8">
      <c r="A3509" s="317" t="s">
        <v>39216</v>
      </c>
      <c r="B3509" s="317" t="s">
        <v>47875</v>
      </c>
      <c r="C3509" s="330" t="s">
        <v>10972</v>
      </c>
      <c r="D3509" s="330" t="s">
        <v>8054</v>
      </c>
      <c r="E3509" s="330" t="s">
        <v>37248</v>
      </c>
      <c r="F3509" s="331">
        <v>0.21</v>
      </c>
      <c r="G3509" s="332">
        <v>28546</v>
      </c>
      <c r="H3509" s="333">
        <v>34541</v>
      </c>
    </row>
    <row r="3510" spans="1:8">
      <c r="A3510" s="317" t="s">
        <v>39217</v>
      </c>
      <c r="B3510" s="317" t="s">
        <v>47876</v>
      </c>
      <c r="C3510" s="330" t="s">
        <v>10973</v>
      </c>
      <c r="D3510" s="330" t="s">
        <v>8054</v>
      </c>
      <c r="E3510" s="330" t="s">
        <v>4819</v>
      </c>
      <c r="F3510" s="331">
        <v>0.21</v>
      </c>
      <c r="G3510" s="332">
        <v>35852</v>
      </c>
      <c r="H3510" s="333">
        <v>43381</v>
      </c>
    </row>
    <row r="3511" spans="1:8">
      <c r="A3511" s="317" t="s">
        <v>39218</v>
      </c>
      <c r="B3511" s="317" t="s">
        <v>47877</v>
      </c>
      <c r="C3511" s="330" t="s">
        <v>10974</v>
      </c>
      <c r="D3511" s="330" t="s">
        <v>8054</v>
      </c>
      <c r="E3511" s="330" t="s">
        <v>37248</v>
      </c>
      <c r="F3511" s="331">
        <v>0.21</v>
      </c>
      <c r="G3511" s="332">
        <v>89264</v>
      </c>
      <c r="H3511" s="333">
        <v>108010</v>
      </c>
    </row>
    <row r="3512" spans="1:8">
      <c r="A3512" s="317" t="s">
        <v>39219</v>
      </c>
      <c r="B3512" s="317" t="s">
        <v>47878</v>
      </c>
      <c r="C3512" s="330" t="s">
        <v>10975</v>
      </c>
      <c r="D3512" s="330" t="s">
        <v>8054</v>
      </c>
      <c r="E3512" s="330" t="s">
        <v>37248</v>
      </c>
      <c r="F3512" s="331">
        <v>0.21</v>
      </c>
      <c r="G3512" s="332">
        <v>11359</v>
      </c>
      <c r="H3512" s="333">
        <v>13745</v>
      </c>
    </row>
    <row r="3513" spans="1:8">
      <c r="A3513" s="317" t="s">
        <v>39220</v>
      </c>
      <c r="B3513" s="317" t="s">
        <v>47879</v>
      </c>
      <c r="C3513" s="330" t="s">
        <v>10976</v>
      </c>
      <c r="D3513" s="330" t="s">
        <v>4650</v>
      </c>
      <c r="E3513" s="330" t="s">
        <v>4634</v>
      </c>
      <c r="F3513" s="331">
        <v>0.21</v>
      </c>
      <c r="G3513" s="332">
        <v>20748</v>
      </c>
      <c r="H3513" s="333">
        <v>25106</v>
      </c>
    </row>
    <row r="3514" spans="1:8">
      <c r="A3514" s="317" t="s">
        <v>39221</v>
      </c>
      <c r="B3514" s="317" t="s">
        <v>47880</v>
      </c>
      <c r="C3514" s="330" t="s">
        <v>10977</v>
      </c>
      <c r="D3514" s="330" t="s">
        <v>4650</v>
      </c>
      <c r="E3514" s="330" t="s">
        <v>37248</v>
      </c>
      <c r="F3514" s="331">
        <v>0.21</v>
      </c>
      <c r="G3514" s="332">
        <v>30010</v>
      </c>
      <c r="H3514" s="333">
        <v>36313</v>
      </c>
    </row>
    <row r="3515" spans="1:8">
      <c r="A3515" s="317" t="s">
        <v>39222</v>
      </c>
      <c r="B3515" s="317" t="s">
        <v>47881</v>
      </c>
      <c r="C3515" s="330" t="s">
        <v>10978</v>
      </c>
      <c r="D3515" s="330" t="s">
        <v>7198</v>
      </c>
      <c r="E3515" s="330" t="s">
        <v>37248</v>
      </c>
      <c r="F3515" s="331">
        <v>0.21</v>
      </c>
      <c r="G3515" s="332">
        <v>44617</v>
      </c>
      <c r="H3515" s="333">
        <v>53987</v>
      </c>
    </row>
    <row r="3516" spans="1:8">
      <c r="A3516" s="317" t="s">
        <v>39223</v>
      </c>
      <c r="B3516" s="317" t="s">
        <v>47882</v>
      </c>
      <c r="C3516" s="330" t="s">
        <v>10979</v>
      </c>
      <c r="D3516" s="330" t="s">
        <v>4650</v>
      </c>
      <c r="E3516" s="330" t="s">
        <v>37248</v>
      </c>
      <c r="F3516" s="331">
        <v>0.21</v>
      </c>
      <c r="G3516" s="332">
        <v>30382</v>
      </c>
      <c r="H3516" s="333">
        <v>36763</v>
      </c>
    </row>
    <row r="3517" spans="1:8">
      <c r="A3517" s="317" t="s">
        <v>39224</v>
      </c>
      <c r="B3517" s="317" t="s">
        <v>47883</v>
      </c>
      <c r="C3517" s="330" t="s">
        <v>10980</v>
      </c>
      <c r="D3517" s="330" t="s">
        <v>8054</v>
      </c>
      <c r="E3517" s="330" t="s">
        <v>4819</v>
      </c>
      <c r="F3517" s="331">
        <v>0.21</v>
      </c>
      <c r="G3517" s="332">
        <v>9991</v>
      </c>
      <c r="H3517" s="333">
        <v>12090</v>
      </c>
    </row>
    <row r="3518" spans="1:8">
      <c r="A3518" s="317" t="s">
        <v>39225</v>
      </c>
      <c r="B3518" s="317" t="s">
        <v>47884</v>
      </c>
      <c r="C3518" s="330" t="s">
        <v>10981</v>
      </c>
      <c r="D3518" s="330" t="s">
        <v>10524</v>
      </c>
      <c r="E3518" s="330" t="s">
        <v>37248</v>
      </c>
      <c r="F3518" s="331">
        <v>0.21</v>
      </c>
      <c r="G3518" s="332">
        <v>10953</v>
      </c>
      <c r="H3518" s="333">
        <v>13254</v>
      </c>
    </row>
    <row r="3519" spans="1:8">
      <c r="A3519" s="317" t="s">
        <v>39226</v>
      </c>
      <c r="B3519" s="317" t="s">
        <v>47885</v>
      </c>
      <c r="C3519" s="330" t="s">
        <v>10982</v>
      </c>
      <c r="D3519" s="330" t="s">
        <v>10983</v>
      </c>
      <c r="E3519" s="330" t="s">
        <v>37248</v>
      </c>
      <c r="F3519" s="331">
        <v>0.21</v>
      </c>
      <c r="G3519" s="332">
        <v>20556</v>
      </c>
      <c r="H3519" s="333">
        <v>24873</v>
      </c>
    </row>
    <row r="3520" spans="1:8">
      <c r="A3520" s="317" t="s">
        <v>39227</v>
      </c>
      <c r="B3520" s="317" t="s">
        <v>47886</v>
      </c>
      <c r="C3520" s="330" t="s">
        <v>10984</v>
      </c>
      <c r="D3520" s="330" t="s">
        <v>7198</v>
      </c>
      <c r="E3520" s="330" t="s">
        <v>37248</v>
      </c>
      <c r="F3520" s="331">
        <v>0.21</v>
      </c>
      <c r="G3520" s="332">
        <v>8385</v>
      </c>
      <c r="H3520" s="333">
        <v>10146</v>
      </c>
    </row>
    <row r="3521" spans="1:8">
      <c r="A3521" s="317" t="s">
        <v>39228</v>
      </c>
      <c r="B3521" s="317" t="s">
        <v>47887</v>
      </c>
      <c r="C3521" s="330" t="s">
        <v>10985</v>
      </c>
      <c r="D3521" s="330" t="s">
        <v>10986</v>
      </c>
      <c r="E3521" s="330" t="s">
        <v>37248</v>
      </c>
      <c r="F3521" s="331">
        <v>0.21</v>
      </c>
      <c r="G3521" s="332">
        <v>32200</v>
      </c>
      <c r="H3521" s="333">
        <v>38962</v>
      </c>
    </row>
    <row r="3522" spans="1:8">
      <c r="A3522" s="317" t="s">
        <v>39229</v>
      </c>
      <c r="B3522" s="317" t="s">
        <v>47888</v>
      </c>
      <c r="C3522" s="330" t="s">
        <v>10987</v>
      </c>
      <c r="D3522" s="330" t="s">
        <v>10988</v>
      </c>
      <c r="E3522" s="330" t="s">
        <v>37248</v>
      </c>
      <c r="F3522" s="331">
        <v>0.21</v>
      </c>
      <c r="G3522" s="332">
        <v>10953</v>
      </c>
      <c r="H3522" s="333">
        <v>13254</v>
      </c>
    </row>
    <row r="3523" spans="1:8">
      <c r="A3523" s="317" t="s">
        <v>39230</v>
      </c>
      <c r="B3523" s="317" t="s">
        <v>47889</v>
      </c>
      <c r="C3523" s="330" t="s">
        <v>10989</v>
      </c>
      <c r="D3523" s="330" t="s">
        <v>10990</v>
      </c>
      <c r="E3523" s="330" t="s">
        <v>37248</v>
      </c>
      <c r="F3523" s="331">
        <v>0.21</v>
      </c>
      <c r="G3523" s="332">
        <v>63472</v>
      </c>
      <c r="H3523" s="333">
        <v>76802</v>
      </c>
    </row>
    <row r="3524" spans="1:8">
      <c r="A3524" s="317">
        <v>1607328035</v>
      </c>
      <c r="B3524" s="317" t="s">
        <v>47890</v>
      </c>
      <c r="C3524" s="330" t="s">
        <v>10991</v>
      </c>
      <c r="D3524" s="330" t="s">
        <v>10992</v>
      </c>
      <c r="E3524" s="330" t="s">
        <v>4634</v>
      </c>
      <c r="F3524" s="331">
        <v>0.21</v>
      </c>
      <c r="G3524" s="332">
        <v>678</v>
      </c>
      <c r="H3524" s="333">
        <v>821</v>
      </c>
    </row>
    <row r="3525" spans="1:8">
      <c r="A3525" s="317">
        <v>1607328039</v>
      </c>
      <c r="B3525" s="317" t="s">
        <v>47891</v>
      </c>
      <c r="C3525" s="330" t="s">
        <v>10993</v>
      </c>
      <c r="D3525" s="330" t="s">
        <v>10994</v>
      </c>
      <c r="E3525" s="330" t="s">
        <v>4634</v>
      </c>
      <c r="F3525" s="331">
        <v>0.21</v>
      </c>
      <c r="G3525" s="332">
        <v>1802</v>
      </c>
      <c r="H3525" s="333">
        <v>2181</v>
      </c>
    </row>
    <row r="3526" spans="1:8">
      <c r="A3526" s="317">
        <v>1607328042</v>
      </c>
      <c r="B3526" s="317" t="s">
        <v>47892</v>
      </c>
      <c r="C3526" s="330" t="s">
        <v>10995</v>
      </c>
      <c r="D3526" s="330" t="s">
        <v>10996</v>
      </c>
      <c r="E3526" s="330" t="s">
        <v>37248</v>
      </c>
      <c r="F3526" s="331">
        <v>0.21</v>
      </c>
      <c r="G3526" s="332">
        <v>8008</v>
      </c>
      <c r="H3526" s="333">
        <v>9690</v>
      </c>
    </row>
    <row r="3527" spans="1:8">
      <c r="A3527" s="317">
        <v>1607328043</v>
      </c>
      <c r="B3527" s="317" t="s">
        <v>47893</v>
      </c>
      <c r="C3527" s="330" t="s">
        <v>10997</v>
      </c>
      <c r="D3527" s="330" t="s">
        <v>10998</v>
      </c>
      <c r="E3527" s="330" t="s">
        <v>4634</v>
      </c>
      <c r="F3527" s="331">
        <v>0.21</v>
      </c>
      <c r="G3527" s="332">
        <v>2797</v>
      </c>
      <c r="H3527" s="333">
        <v>3385</v>
      </c>
    </row>
    <row r="3528" spans="1:8">
      <c r="A3528" s="317">
        <v>1607328059</v>
      </c>
      <c r="B3528" s="317" t="s">
        <v>47894</v>
      </c>
      <c r="C3528" s="330" t="s">
        <v>10999</v>
      </c>
      <c r="D3528" s="330" t="s">
        <v>11000</v>
      </c>
      <c r="E3528" s="330" t="s">
        <v>4634</v>
      </c>
      <c r="F3528" s="331">
        <v>0.21</v>
      </c>
      <c r="G3528" s="332">
        <v>1547</v>
      </c>
      <c r="H3528" s="333">
        <v>1872</v>
      </c>
    </row>
    <row r="3529" spans="1:8">
      <c r="A3529" s="317">
        <v>1607431000</v>
      </c>
      <c r="B3529" s="317" t="s">
        <v>47895</v>
      </c>
      <c r="C3529" s="330" t="s">
        <v>11001</v>
      </c>
      <c r="D3529" s="330" t="s">
        <v>11002</v>
      </c>
      <c r="E3529" s="330" t="s">
        <v>4634</v>
      </c>
      <c r="F3529" s="331">
        <v>0.21</v>
      </c>
      <c r="G3529" s="332">
        <v>1030</v>
      </c>
      <c r="H3529" s="333">
        <v>1247</v>
      </c>
    </row>
    <row r="3530" spans="1:8">
      <c r="A3530" s="317">
        <v>1607502627</v>
      </c>
      <c r="B3530" s="317" t="s">
        <v>47896</v>
      </c>
      <c r="C3530" s="330" t="s">
        <v>11003</v>
      </c>
      <c r="D3530" s="330" t="s">
        <v>11004</v>
      </c>
      <c r="E3530" s="330" t="s">
        <v>4634</v>
      </c>
      <c r="F3530" s="331">
        <v>0.21</v>
      </c>
      <c r="G3530" s="332">
        <v>10150</v>
      </c>
      <c r="H3530" s="333">
        <v>12282</v>
      </c>
    </row>
    <row r="3531" spans="1:8">
      <c r="A3531" s="317">
        <v>1607502694</v>
      </c>
      <c r="B3531" s="317" t="s">
        <v>47897</v>
      </c>
      <c r="C3531" s="330" t="s">
        <v>11005</v>
      </c>
      <c r="D3531" s="330" t="s">
        <v>11006</v>
      </c>
      <c r="E3531" s="330" t="s">
        <v>4819</v>
      </c>
      <c r="F3531" s="331">
        <v>0.21</v>
      </c>
      <c r="G3531" s="332">
        <v>1351</v>
      </c>
      <c r="H3531" s="333">
        <v>1635</v>
      </c>
    </row>
    <row r="3532" spans="1:8">
      <c r="A3532" s="317">
        <v>1607502832</v>
      </c>
      <c r="B3532" s="317" t="s">
        <v>47898</v>
      </c>
      <c r="C3532" s="330" t="s">
        <v>11007</v>
      </c>
      <c r="D3532" s="330" t="s">
        <v>11008</v>
      </c>
      <c r="E3532" s="330" t="s">
        <v>4819</v>
      </c>
      <c r="F3532" s="331">
        <v>0.21</v>
      </c>
      <c r="G3532" s="332">
        <v>6948</v>
      </c>
      <c r="H3532" s="333">
        <v>8408</v>
      </c>
    </row>
    <row r="3533" spans="1:8">
      <c r="A3533" s="317">
        <v>1607503182</v>
      </c>
      <c r="B3533" s="317" t="s">
        <v>47899</v>
      </c>
      <c r="C3533" s="330" t="s">
        <v>11009</v>
      </c>
      <c r="D3533" s="330" t="s">
        <v>11010</v>
      </c>
      <c r="E3533" s="330" t="s">
        <v>4819</v>
      </c>
      <c r="F3533" s="331">
        <v>0.21</v>
      </c>
      <c r="G3533" s="332">
        <v>3310</v>
      </c>
      <c r="H3533" s="333">
        <v>4006</v>
      </c>
    </row>
    <row r="3534" spans="1:8">
      <c r="A3534" s="317">
        <v>1607503333</v>
      </c>
      <c r="B3534" s="317" t="s">
        <v>47900</v>
      </c>
      <c r="C3534" s="330" t="s">
        <v>11011</v>
      </c>
      <c r="D3534" s="330" t="s">
        <v>11012</v>
      </c>
      <c r="E3534" s="330" t="s">
        <v>37248</v>
      </c>
      <c r="F3534" s="331">
        <v>0.21</v>
      </c>
      <c r="G3534" s="332">
        <v>8900</v>
      </c>
      <c r="H3534" s="333">
        <v>10769</v>
      </c>
    </row>
    <row r="3535" spans="1:8">
      <c r="A3535" s="317">
        <v>1607503369</v>
      </c>
      <c r="B3535" s="317" t="s">
        <v>47901</v>
      </c>
      <c r="C3535" s="330" t="s">
        <v>11013</v>
      </c>
      <c r="D3535" s="330" t="s">
        <v>11012</v>
      </c>
      <c r="E3535" s="330" t="s">
        <v>37248</v>
      </c>
      <c r="F3535" s="331">
        <v>0.21</v>
      </c>
      <c r="G3535" s="332">
        <v>5317</v>
      </c>
      <c r="H3535" s="333">
        <v>6434</v>
      </c>
    </row>
    <row r="3536" spans="1:8">
      <c r="A3536" s="317">
        <v>1607503438</v>
      </c>
      <c r="B3536" s="317" t="s">
        <v>47902</v>
      </c>
      <c r="C3536" s="330" t="s">
        <v>11014</v>
      </c>
      <c r="D3536" s="330" t="s">
        <v>4650</v>
      </c>
      <c r="E3536" s="330" t="s">
        <v>37248</v>
      </c>
      <c r="F3536" s="331">
        <v>0.21</v>
      </c>
      <c r="G3536" s="332">
        <v>3174</v>
      </c>
      <c r="H3536" s="333">
        <v>3841</v>
      </c>
    </row>
    <row r="3537" spans="1:8">
      <c r="A3537" s="317">
        <v>1607503565</v>
      </c>
      <c r="B3537" s="317" t="s">
        <v>47903</v>
      </c>
      <c r="C3537" s="330" t="s">
        <v>11015</v>
      </c>
      <c r="D3537" s="330" t="s">
        <v>11016</v>
      </c>
      <c r="E3537" s="330" t="s">
        <v>37248</v>
      </c>
      <c r="F3537" s="331">
        <v>0.21</v>
      </c>
      <c r="G3537" s="332">
        <v>1182</v>
      </c>
      <c r="H3537" s="333">
        <v>1431</v>
      </c>
    </row>
    <row r="3538" spans="1:8">
      <c r="A3538" s="317">
        <v>1607503566</v>
      </c>
      <c r="B3538" s="317" t="s">
        <v>47904</v>
      </c>
      <c r="C3538" s="330" t="s">
        <v>11017</v>
      </c>
      <c r="D3538" s="330" t="s">
        <v>11018</v>
      </c>
      <c r="E3538" s="330" t="s">
        <v>37248</v>
      </c>
      <c r="F3538" s="331">
        <v>0.21</v>
      </c>
      <c r="G3538" s="332">
        <v>780</v>
      </c>
      <c r="H3538" s="333">
        <v>944</v>
      </c>
    </row>
    <row r="3539" spans="1:8">
      <c r="A3539" s="317">
        <v>1607503567</v>
      </c>
      <c r="B3539" s="317" t="s">
        <v>47905</v>
      </c>
      <c r="C3539" s="330" t="s">
        <v>11019</v>
      </c>
      <c r="D3539" s="330" t="s">
        <v>11020</v>
      </c>
      <c r="E3539" s="330" t="s">
        <v>37248</v>
      </c>
      <c r="F3539" s="331">
        <v>0.21</v>
      </c>
      <c r="G3539" s="332">
        <v>780</v>
      </c>
      <c r="H3539" s="333">
        <v>944</v>
      </c>
    </row>
    <row r="3540" spans="1:8">
      <c r="A3540" s="317">
        <v>1607950052</v>
      </c>
      <c r="B3540" s="317" t="s">
        <v>47906</v>
      </c>
      <c r="C3540" s="330" t="s">
        <v>11021</v>
      </c>
      <c r="D3540" s="330" t="s">
        <v>11022</v>
      </c>
      <c r="E3540" s="330" t="s">
        <v>37248</v>
      </c>
      <c r="F3540" s="331">
        <v>0.21</v>
      </c>
      <c r="G3540" s="332">
        <v>2134</v>
      </c>
      <c r="H3540" s="333">
        <v>2583</v>
      </c>
    </row>
    <row r="3541" spans="1:8">
      <c r="A3541" s="317">
        <v>1607950060</v>
      </c>
      <c r="B3541" s="317" t="s">
        <v>47907</v>
      </c>
      <c r="C3541" s="330" t="s">
        <v>11023</v>
      </c>
      <c r="D3541" s="330" t="s">
        <v>11024</v>
      </c>
      <c r="E3541" s="330" t="s">
        <v>4634</v>
      </c>
      <c r="F3541" s="331">
        <v>0.21</v>
      </c>
      <c r="G3541" s="332">
        <v>3963</v>
      </c>
      <c r="H3541" s="333">
        <v>4796</v>
      </c>
    </row>
    <row r="3542" spans="1:8">
      <c r="A3542" s="317">
        <v>1607950061</v>
      </c>
      <c r="B3542" s="317" t="s">
        <v>47908</v>
      </c>
      <c r="C3542" s="330" t="s">
        <v>11025</v>
      </c>
      <c r="D3542" s="330" t="s">
        <v>11026</v>
      </c>
      <c r="E3542" s="330" t="s">
        <v>4634</v>
      </c>
      <c r="F3542" s="331">
        <v>0.21</v>
      </c>
      <c r="G3542" s="332">
        <v>816</v>
      </c>
      <c r="H3542" s="333">
        <v>988</v>
      </c>
    </row>
    <row r="3543" spans="1:8">
      <c r="A3543" s="317" t="s">
        <v>39231</v>
      </c>
      <c r="B3543" s="317" t="s">
        <v>47909</v>
      </c>
      <c r="C3543" s="330" t="s">
        <v>11027</v>
      </c>
      <c r="D3543" s="330" t="s">
        <v>11028</v>
      </c>
      <c r="E3543" s="330" t="s">
        <v>4634</v>
      </c>
      <c r="F3543" s="331">
        <v>0.21</v>
      </c>
      <c r="G3543" s="332">
        <v>25087</v>
      </c>
      <c r="H3543" s="333">
        <v>30356</v>
      </c>
    </row>
    <row r="3544" spans="1:8">
      <c r="A3544" s="317" t="s">
        <v>39232</v>
      </c>
      <c r="B3544" s="317" t="s">
        <v>47910</v>
      </c>
      <c r="C3544" s="330" t="s">
        <v>11029</v>
      </c>
      <c r="D3544" s="330" t="s">
        <v>11030</v>
      </c>
      <c r="E3544" s="330" t="s">
        <v>4634</v>
      </c>
      <c r="F3544" s="331">
        <v>0.21</v>
      </c>
      <c r="G3544" s="332">
        <v>24168</v>
      </c>
      <c r="H3544" s="333">
        <v>29244</v>
      </c>
    </row>
    <row r="3545" spans="1:8">
      <c r="A3545" s="317" t="s">
        <v>39233</v>
      </c>
      <c r="B3545" s="317" t="s">
        <v>47911</v>
      </c>
      <c r="C3545" s="330" t="s">
        <v>11031</v>
      </c>
      <c r="D3545" s="330" t="s">
        <v>11030</v>
      </c>
      <c r="E3545" s="330" t="s">
        <v>37248</v>
      </c>
      <c r="F3545" s="331">
        <v>0.21</v>
      </c>
      <c r="G3545" s="332">
        <v>46100</v>
      </c>
      <c r="H3545" s="333">
        <v>55781</v>
      </c>
    </row>
    <row r="3546" spans="1:8">
      <c r="A3546" s="317" t="s">
        <v>39234</v>
      </c>
      <c r="B3546" s="317" t="s">
        <v>47912</v>
      </c>
      <c r="C3546" s="330" t="s">
        <v>11032</v>
      </c>
      <c r="D3546" s="330" t="s">
        <v>11033</v>
      </c>
      <c r="E3546" s="330" t="s">
        <v>4634</v>
      </c>
      <c r="F3546" s="331">
        <v>0.21</v>
      </c>
      <c r="G3546" s="332">
        <v>25154</v>
      </c>
      <c r="H3546" s="333">
        <v>30437</v>
      </c>
    </row>
    <row r="3547" spans="1:8">
      <c r="A3547" s="317" t="s">
        <v>39235</v>
      </c>
      <c r="B3547" s="317" t="s">
        <v>47913</v>
      </c>
      <c r="C3547" s="330" t="s">
        <v>11034</v>
      </c>
      <c r="D3547" s="330" t="s">
        <v>11035</v>
      </c>
      <c r="E3547" s="330" t="s">
        <v>37248</v>
      </c>
      <c r="F3547" s="331">
        <v>0.21</v>
      </c>
      <c r="G3547" s="332">
        <v>262885</v>
      </c>
      <c r="H3547" s="333">
        <v>318091</v>
      </c>
    </row>
    <row r="3548" spans="1:8">
      <c r="A3548" s="317" t="s">
        <v>39236</v>
      </c>
      <c r="B3548" s="317" t="s">
        <v>47914</v>
      </c>
      <c r="C3548" s="330" t="s">
        <v>11036</v>
      </c>
      <c r="D3548" s="330" t="s">
        <v>11037</v>
      </c>
      <c r="E3548" s="330" t="s">
        <v>37248</v>
      </c>
      <c r="F3548" s="331">
        <v>0.21</v>
      </c>
      <c r="G3548" s="332">
        <v>65156</v>
      </c>
      <c r="H3548" s="333">
        <v>78839</v>
      </c>
    </row>
    <row r="3549" spans="1:8">
      <c r="A3549" s="317" t="s">
        <v>39237</v>
      </c>
      <c r="B3549" s="317" t="s">
        <v>47915</v>
      </c>
      <c r="C3549" s="330" t="s">
        <v>11038</v>
      </c>
      <c r="D3549" s="330" t="s">
        <v>11030</v>
      </c>
      <c r="E3549" s="330" t="s">
        <v>4634</v>
      </c>
      <c r="F3549" s="331">
        <v>0.21</v>
      </c>
      <c r="G3549" s="332">
        <v>49897</v>
      </c>
      <c r="H3549" s="333">
        <v>60376</v>
      </c>
    </row>
    <row r="3550" spans="1:8">
      <c r="A3550" s="317" t="s">
        <v>39238</v>
      </c>
      <c r="B3550" s="317" t="s">
        <v>47916</v>
      </c>
      <c r="C3550" s="330" t="s">
        <v>11039</v>
      </c>
      <c r="D3550" s="330" t="s">
        <v>11040</v>
      </c>
      <c r="E3550" s="330" t="s">
        <v>4634</v>
      </c>
      <c r="F3550" s="331">
        <v>0.21</v>
      </c>
      <c r="G3550" s="332">
        <v>81583</v>
      </c>
      <c r="H3550" s="333">
        <v>98716</v>
      </c>
    </row>
    <row r="3551" spans="1:8">
      <c r="A3551" s="317" t="s">
        <v>39239</v>
      </c>
      <c r="B3551" s="317" t="s">
        <v>47917</v>
      </c>
      <c r="C3551" s="330" t="s">
        <v>11041</v>
      </c>
      <c r="D3551" s="330" t="s">
        <v>11042</v>
      </c>
      <c r="E3551" s="330" t="s">
        <v>37248</v>
      </c>
      <c r="F3551" s="331">
        <v>0.21</v>
      </c>
      <c r="G3551" s="332">
        <v>54071</v>
      </c>
      <c r="H3551" s="333">
        <v>65426</v>
      </c>
    </row>
    <row r="3552" spans="1:8">
      <c r="A3552" s="317" t="s">
        <v>39240</v>
      </c>
      <c r="B3552" s="317" t="s">
        <v>47918</v>
      </c>
      <c r="C3552" s="330" t="s">
        <v>11043</v>
      </c>
      <c r="D3552" s="330" t="s">
        <v>11044</v>
      </c>
      <c r="E3552" s="330" t="s">
        <v>37248</v>
      </c>
      <c r="F3552" s="331">
        <v>0.21</v>
      </c>
      <c r="G3552" s="332">
        <v>54071</v>
      </c>
      <c r="H3552" s="333">
        <v>65426</v>
      </c>
    </row>
    <row r="3553" spans="1:8">
      <c r="A3553" s="317" t="s">
        <v>39241</v>
      </c>
      <c r="B3553" s="317" t="s">
        <v>47919</v>
      </c>
      <c r="C3553" s="330" t="s">
        <v>11045</v>
      </c>
      <c r="D3553" s="330" t="s">
        <v>11046</v>
      </c>
      <c r="E3553" s="330" t="s">
        <v>4623</v>
      </c>
      <c r="F3553" s="331">
        <v>0.21</v>
      </c>
      <c r="G3553" s="332">
        <v>58164</v>
      </c>
      <c r="H3553" s="333">
        <v>70379</v>
      </c>
    </row>
    <row r="3554" spans="1:8">
      <c r="A3554" s="317" t="s">
        <v>39242</v>
      </c>
      <c r="B3554" s="317" t="s">
        <v>47920</v>
      </c>
      <c r="C3554" s="330" t="s">
        <v>11047</v>
      </c>
      <c r="D3554" s="330" t="s">
        <v>11048</v>
      </c>
      <c r="E3554" s="330" t="s">
        <v>4634</v>
      </c>
      <c r="F3554" s="331">
        <v>0.21</v>
      </c>
      <c r="G3554" s="332">
        <v>70396</v>
      </c>
      <c r="H3554" s="333">
        <v>85180</v>
      </c>
    </row>
    <row r="3555" spans="1:8">
      <c r="A3555" s="317" t="s">
        <v>39243</v>
      </c>
      <c r="B3555" s="317" t="s">
        <v>47921</v>
      </c>
      <c r="C3555" s="330" t="s">
        <v>11049</v>
      </c>
      <c r="D3555" s="330" t="s">
        <v>11050</v>
      </c>
      <c r="E3555" s="330" t="s">
        <v>37248</v>
      </c>
      <c r="F3555" s="331">
        <v>0.21</v>
      </c>
      <c r="G3555" s="332">
        <v>48099</v>
      </c>
      <c r="H3555" s="333">
        <v>58200</v>
      </c>
    </row>
    <row r="3556" spans="1:8">
      <c r="A3556" s="317" t="s">
        <v>39244</v>
      </c>
      <c r="B3556" s="317" t="s">
        <v>47922</v>
      </c>
      <c r="C3556" s="330" t="s">
        <v>11051</v>
      </c>
      <c r="D3556" s="330" t="s">
        <v>11052</v>
      </c>
      <c r="E3556" s="330" t="s">
        <v>4634</v>
      </c>
      <c r="F3556" s="331">
        <v>0.21</v>
      </c>
      <c r="G3556" s="332">
        <v>64404</v>
      </c>
      <c r="H3556" s="333">
        <v>77929</v>
      </c>
    </row>
    <row r="3557" spans="1:8">
      <c r="A3557" s="317">
        <v>1608000064</v>
      </c>
      <c r="B3557" s="317" t="s">
        <v>47923</v>
      </c>
      <c r="C3557" s="330" t="s">
        <v>11053</v>
      </c>
      <c r="D3557" s="330" t="s">
        <v>11054</v>
      </c>
      <c r="E3557" s="330" t="s">
        <v>4634</v>
      </c>
      <c r="F3557" s="331">
        <v>0.21</v>
      </c>
      <c r="G3557" s="332">
        <v>107</v>
      </c>
      <c r="H3557" s="333">
        <v>130</v>
      </c>
    </row>
    <row r="3558" spans="1:8">
      <c r="A3558" s="317">
        <v>1608000091</v>
      </c>
      <c r="B3558" s="317" t="s">
        <v>47924</v>
      </c>
      <c r="C3558" s="330" t="s">
        <v>11055</v>
      </c>
      <c r="D3558" s="330" t="s">
        <v>11056</v>
      </c>
      <c r="E3558" s="330" t="s">
        <v>4634</v>
      </c>
      <c r="F3558" s="331">
        <v>0.21</v>
      </c>
      <c r="G3558" s="332">
        <v>4999</v>
      </c>
      <c r="H3558" s="333">
        <v>6049</v>
      </c>
    </row>
    <row r="3559" spans="1:8">
      <c r="A3559" s="317">
        <v>1608005003</v>
      </c>
      <c r="B3559" s="317" t="s">
        <v>47925</v>
      </c>
      <c r="C3559" s="330" t="s">
        <v>11057</v>
      </c>
      <c r="D3559" s="330" t="s">
        <v>11058</v>
      </c>
      <c r="E3559" s="330" t="s">
        <v>4634</v>
      </c>
      <c r="F3559" s="331">
        <v>0.21</v>
      </c>
      <c r="G3559" s="332">
        <v>3183</v>
      </c>
      <c r="H3559" s="333">
        <v>3852</v>
      </c>
    </row>
    <row r="3560" spans="1:8">
      <c r="A3560" s="317">
        <v>1608040113</v>
      </c>
      <c r="B3560" s="317" t="s">
        <v>47926</v>
      </c>
      <c r="C3560" s="330" t="s">
        <v>11059</v>
      </c>
      <c r="D3560" s="330" t="s">
        <v>11060</v>
      </c>
      <c r="E3560" s="330" t="s">
        <v>4623</v>
      </c>
      <c r="F3560" s="331">
        <v>0.21</v>
      </c>
      <c r="G3560" s="332">
        <v>1766</v>
      </c>
      <c r="H3560" s="333">
        <v>2137</v>
      </c>
    </row>
    <row r="3561" spans="1:8">
      <c r="A3561" s="317">
        <v>1608040114</v>
      </c>
      <c r="B3561" s="317" t="s">
        <v>47927</v>
      </c>
      <c r="C3561" s="330" t="s">
        <v>11061</v>
      </c>
      <c r="D3561" s="330" t="s">
        <v>11062</v>
      </c>
      <c r="E3561" s="330" t="s">
        <v>4634</v>
      </c>
      <c r="F3561" s="331">
        <v>0.21</v>
      </c>
      <c r="G3561" s="332">
        <v>8414</v>
      </c>
      <c r="H3561" s="333">
        <v>10181</v>
      </c>
    </row>
    <row r="3562" spans="1:8">
      <c r="A3562" s="317" t="s">
        <v>39245</v>
      </c>
      <c r="B3562" s="317" t="s">
        <v>47928</v>
      </c>
      <c r="C3562" s="330" t="s">
        <v>11063</v>
      </c>
      <c r="D3562" s="330" t="s">
        <v>11064</v>
      </c>
      <c r="E3562" s="330" t="s">
        <v>4819</v>
      </c>
      <c r="F3562" s="331">
        <v>0.21</v>
      </c>
      <c r="G3562" s="332">
        <v>1077</v>
      </c>
      <c r="H3562" s="333">
        <v>1304</v>
      </c>
    </row>
    <row r="3563" spans="1:8">
      <c r="A3563" s="317">
        <v>1608570025</v>
      </c>
      <c r="B3563" s="317" t="s">
        <v>47929</v>
      </c>
      <c r="C3563" s="330" t="s">
        <v>11065</v>
      </c>
      <c r="D3563" s="330" t="s">
        <v>11066</v>
      </c>
      <c r="E3563" s="330" t="s">
        <v>37248</v>
      </c>
      <c r="F3563" s="331">
        <v>0.21</v>
      </c>
      <c r="G3563" s="332">
        <v>49232</v>
      </c>
      <c r="H3563" s="333">
        <v>59571</v>
      </c>
    </row>
    <row r="3564" spans="1:8">
      <c r="A3564" s="317">
        <v>1608570058</v>
      </c>
      <c r="B3564" s="317" t="s">
        <v>47930</v>
      </c>
      <c r="C3564" s="330" t="s">
        <v>11067</v>
      </c>
      <c r="D3564" s="330" t="s">
        <v>11068</v>
      </c>
      <c r="E3564" s="330" t="s">
        <v>4819</v>
      </c>
      <c r="F3564" s="331">
        <v>0.21</v>
      </c>
      <c r="G3564" s="332">
        <v>45036</v>
      </c>
      <c r="H3564" s="333">
        <v>54494</v>
      </c>
    </row>
    <row r="3565" spans="1:8">
      <c r="A3565" s="317">
        <v>1608571069</v>
      </c>
      <c r="B3565" s="317" t="s">
        <v>47931</v>
      </c>
      <c r="C3565" s="330" t="s">
        <v>11069</v>
      </c>
      <c r="D3565" s="330" t="s">
        <v>11070</v>
      </c>
      <c r="E3565" s="330" t="s">
        <v>4819</v>
      </c>
      <c r="F3565" s="331">
        <v>0.21</v>
      </c>
      <c r="G3565" s="332">
        <v>12197</v>
      </c>
      <c r="H3565" s="333">
        <v>14759</v>
      </c>
    </row>
    <row r="3566" spans="1:8">
      <c r="A3566" s="317">
        <v>1608571079</v>
      </c>
      <c r="B3566" s="317" t="s">
        <v>47932</v>
      </c>
      <c r="C3566" s="330" t="s">
        <v>11071</v>
      </c>
      <c r="D3566" s="330" t="s">
        <v>11072</v>
      </c>
      <c r="E3566" s="330" t="s">
        <v>4634</v>
      </c>
      <c r="F3566" s="331">
        <v>0.21</v>
      </c>
      <c r="G3566" s="332">
        <v>8668</v>
      </c>
      <c r="H3566" s="333">
        <v>10489</v>
      </c>
    </row>
    <row r="3567" spans="1:8">
      <c r="A3567" s="317">
        <v>1608571088</v>
      </c>
      <c r="B3567" s="317" t="s">
        <v>47933</v>
      </c>
      <c r="C3567" s="330" t="s">
        <v>11073</v>
      </c>
      <c r="D3567" s="330" t="s">
        <v>11074</v>
      </c>
      <c r="E3567" s="330" t="s">
        <v>37248</v>
      </c>
      <c r="F3567" s="331">
        <v>0.21</v>
      </c>
      <c r="G3567" s="332">
        <v>9177</v>
      </c>
      <c r="H3567" s="333">
        <v>11105</v>
      </c>
    </row>
    <row r="3568" spans="1:8">
      <c r="A3568" s="317">
        <v>1608571089</v>
      </c>
      <c r="B3568" s="317" t="s">
        <v>47934</v>
      </c>
      <c r="C3568" s="330" t="s">
        <v>11075</v>
      </c>
      <c r="D3568" s="330" t="s">
        <v>11076</v>
      </c>
      <c r="E3568" s="330" t="s">
        <v>37248</v>
      </c>
      <c r="F3568" s="331">
        <v>0.21</v>
      </c>
      <c r="G3568" s="332">
        <v>10953</v>
      </c>
      <c r="H3568" s="333">
        <v>13254</v>
      </c>
    </row>
    <row r="3569" spans="1:8">
      <c r="A3569" s="317">
        <v>1608573003</v>
      </c>
      <c r="B3569" s="317" t="s">
        <v>47935</v>
      </c>
      <c r="C3569" s="330" t="s">
        <v>11077</v>
      </c>
      <c r="D3569" s="330" t="s">
        <v>11078</v>
      </c>
      <c r="E3569" s="330" t="s">
        <v>4634</v>
      </c>
      <c r="F3569" s="331">
        <v>0.21</v>
      </c>
      <c r="G3569" s="332">
        <v>21393</v>
      </c>
      <c r="H3569" s="333">
        <v>25886</v>
      </c>
    </row>
    <row r="3570" spans="1:8">
      <c r="A3570" s="317">
        <v>1609120498</v>
      </c>
      <c r="B3570" s="317" t="s">
        <v>47936</v>
      </c>
      <c r="C3570" s="330" t="s">
        <v>11079</v>
      </c>
      <c r="D3570" s="330" t="s">
        <v>11080</v>
      </c>
      <c r="E3570" s="330" t="s">
        <v>4634</v>
      </c>
      <c r="F3570" s="331">
        <v>0.21</v>
      </c>
      <c r="G3570" s="332">
        <v>0</v>
      </c>
      <c r="H3570" s="333">
        <v>0</v>
      </c>
    </row>
    <row r="3571" spans="1:8">
      <c r="A3571" s="317">
        <v>1609200016</v>
      </c>
      <c r="B3571" s="317" t="s">
        <v>47937</v>
      </c>
      <c r="C3571" s="330" t="s">
        <v>11081</v>
      </c>
      <c r="D3571" s="330" t="s">
        <v>11082</v>
      </c>
      <c r="E3571" s="330" t="s">
        <v>4634</v>
      </c>
      <c r="F3571" s="331">
        <v>0.21</v>
      </c>
      <c r="G3571" s="332">
        <v>2707</v>
      </c>
      <c r="H3571" s="333">
        <v>3276</v>
      </c>
    </row>
    <row r="3572" spans="1:8">
      <c r="A3572" s="317">
        <v>1609200031</v>
      </c>
      <c r="B3572" s="317" t="s">
        <v>47938</v>
      </c>
      <c r="C3572" s="330" t="s">
        <v>11083</v>
      </c>
      <c r="D3572" s="330" t="s">
        <v>6109</v>
      </c>
      <c r="E3572" s="330" t="s">
        <v>4634</v>
      </c>
      <c r="F3572" s="331">
        <v>0.21</v>
      </c>
      <c r="G3572" s="332">
        <v>1238</v>
      </c>
      <c r="H3572" s="333">
        <v>1498</v>
      </c>
    </row>
    <row r="3573" spans="1:8">
      <c r="A3573" s="317">
        <v>1609200039</v>
      </c>
      <c r="B3573" s="317" t="s">
        <v>47939</v>
      </c>
      <c r="C3573" s="330" t="s">
        <v>11084</v>
      </c>
      <c r="D3573" s="330" t="s">
        <v>5015</v>
      </c>
      <c r="E3573" s="330" t="s">
        <v>4634</v>
      </c>
      <c r="F3573" s="331">
        <v>0.21</v>
      </c>
      <c r="G3573" s="332">
        <v>68</v>
      </c>
      <c r="H3573" s="333">
        <v>83</v>
      </c>
    </row>
    <row r="3574" spans="1:8">
      <c r="A3574" s="317">
        <v>1609200043</v>
      </c>
      <c r="B3574" s="317" t="s">
        <v>47940</v>
      </c>
      <c r="C3574" s="330" t="s">
        <v>11085</v>
      </c>
      <c r="D3574" s="330" t="s">
        <v>8281</v>
      </c>
      <c r="E3574" s="330" t="s">
        <v>4634</v>
      </c>
      <c r="F3574" s="331">
        <v>0.21</v>
      </c>
      <c r="G3574" s="332">
        <v>1095</v>
      </c>
      <c r="H3574" s="333">
        <v>1325</v>
      </c>
    </row>
    <row r="3575" spans="1:8">
      <c r="A3575" s="317">
        <v>1609200044</v>
      </c>
      <c r="B3575" s="317" t="s">
        <v>47941</v>
      </c>
      <c r="C3575" s="330" t="s">
        <v>11086</v>
      </c>
      <c r="D3575" s="330" t="s">
        <v>7991</v>
      </c>
      <c r="E3575" s="330" t="s">
        <v>4634</v>
      </c>
      <c r="F3575" s="331">
        <v>0.21</v>
      </c>
      <c r="G3575" s="332">
        <v>339</v>
      </c>
      <c r="H3575" s="333">
        <v>411</v>
      </c>
    </row>
    <row r="3576" spans="1:8">
      <c r="A3576" s="317">
        <v>1609200052</v>
      </c>
      <c r="B3576" s="317" t="s">
        <v>47942</v>
      </c>
      <c r="C3576" s="330" t="s">
        <v>11087</v>
      </c>
      <c r="D3576" s="330" t="s">
        <v>11088</v>
      </c>
      <c r="E3576" s="330" t="s">
        <v>4634</v>
      </c>
      <c r="F3576" s="331">
        <v>0.21</v>
      </c>
      <c r="G3576" s="332">
        <v>274</v>
      </c>
      <c r="H3576" s="333">
        <v>332</v>
      </c>
    </row>
    <row r="3577" spans="1:8">
      <c r="A3577" s="317">
        <v>1609200070</v>
      </c>
      <c r="B3577" s="317" t="s">
        <v>47943</v>
      </c>
      <c r="C3577" s="330" t="s">
        <v>11089</v>
      </c>
      <c r="D3577" s="330" t="s">
        <v>11090</v>
      </c>
      <c r="E3577" s="330" t="s">
        <v>4634</v>
      </c>
      <c r="F3577" s="331">
        <v>0.21</v>
      </c>
      <c r="G3577" s="332">
        <v>8519</v>
      </c>
      <c r="H3577" s="333">
        <v>10308</v>
      </c>
    </row>
    <row r="3578" spans="1:8">
      <c r="A3578" s="317">
        <v>1609200147</v>
      </c>
      <c r="B3578" s="317" t="s">
        <v>47944</v>
      </c>
      <c r="C3578" s="330" t="s">
        <v>11091</v>
      </c>
      <c r="D3578" s="330" t="s">
        <v>11092</v>
      </c>
      <c r="E3578" s="330" t="s">
        <v>4634</v>
      </c>
      <c r="F3578" s="331">
        <v>0.21</v>
      </c>
      <c r="G3578" s="332">
        <v>584</v>
      </c>
      <c r="H3578" s="333">
        <v>707</v>
      </c>
    </row>
    <row r="3579" spans="1:8">
      <c r="A3579" s="317">
        <v>1609200574</v>
      </c>
      <c r="B3579" s="317" t="s">
        <v>47945</v>
      </c>
      <c r="C3579" s="330" t="s">
        <v>11093</v>
      </c>
      <c r="D3579" s="330" t="s">
        <v>11088</v>
      </c>
      <c r="E3579" s="330" t="s">
        <v>4634</v>
      </c>
      <c r="F3579" s="331">
        <v>0.21</v>
      </c>
      <c r="G3579" s="332">
        <v>165</v>
      </c>
      <c r="H3579" s="333">
        <v>200</v>
      </c>
    </row>
    <row r="3580" spans="1:8">
      <c r="A3580" s="317">
        <v>1609200578</v>
      </c>
      <c r="B3580" s="317" t="s">
        <v>47946</v>
      </c>
      <c r="C3580" s="330" t="s">
        <v>11094</v>
      </c>
      <c r="D3580" s="330" t="s">
        <v>5015</v>
      </c>
      <c r="E3580" s="330" t="s">
        <v>4634</v>
      </c>
      <c r="F3580" s="331">
        <v>0.21</v>
      </c>
      <c r="G3580" s="332">
        <v>68</v>
      </c>
      <c r="H3580" s="333">
        <v>83</v>
      </c>
    </row>
    <row r="3581" spans="1:8">
      <c r="A3581" s="317">
        <v>1609200581</v>
      </c>
      <c r="B3581" s="317" t="s">
        <v>47947</v>
      </c>
      <c r="C3581" s="330" t="s">
        <v>11095</v>
      </c>
      <c r="D3581" s="330" t="s">
        <v>11096</v>
      </c>
      <c r="E3581" s="330" t="s">
        <v>4634</v>
      </c>
      <c r="F3581" s="331">
        <v>0.21</v>
      </c>
      <c r="G3581" s="332">
        <v>1989</v>
      </c>
      <c r="H3581" s="333">
        <v>2407</v>
      </c>
    </row>
    <row r="3582" spans="1:8">
      <c r="A3582" s="317">
        <v>1609200582</v>
      </c>
      <c r="B3582" s="317" t="s">
        <v>47948</v>
      </c>
      <c r="C3582" s="330" t="s">
        <v>11097</v>
      </c>
      <c r="D3582" s="330" t="s">
        <v>11098</v>
      </c>
      <c r="E3582" s="330" t="s">
        <v>4634</v>
      </c>
      <c r="F3582" s="331">
        <v>0.21</v>
      </c>
      <c r="G3582" s="332">
        <v>1242</v>
      </c>
      <c r="H3582" s="333">
        <v>1503</v>
      </c>
    </row>
    <row r="3583" spans="1:8">
      <c r="A3583" s="317">
        <v>1609200583</v>
      </c>
      <c r="B3583" s="317" t="s">
        <v>47949</v>
      </c>
      <c r="C3583" s="330" t="s">
        <v>11099</v>
      </c>
      <c r="D3583" s="330" t="s">
        <v>11100</v>
      </c>
      <c r="E3583" s="330" t="s">
        <v>4634</v>
      </c>
      <c r="F3583" s="331">
        <v>0.21</v>
      </c>
      <c r="G3583" s="332">
        <v>7463</v>
      </c>
      <c r="H3583" s="333">
        <v>9031</v>
      </c>
    </row>
    <row r="3584" spans="1:8">
      <c r="A3584" s="317">
        <v>1609200584</v>
      </c>
      <c r="B3584" s="317" t="s">
        <v>47950</v>
      </c>
      <c r="C3584" s="330" t="s">
        <v>11101</v>
      </c>
      <c r="D3584" s="330" t="s">
        <v>11102</v>
      </c>
      <c r="E3584" s="330" t="s">
        <v>4634</v>
      </c>
      <c r="F3584" s="331">
        <v>0.21</v>
      </c>
      <c r="G3584" s="332">
        <v>559</v>
      </c>
      <c r="H3584" s="333">
        <v>677</v>
      </c>
    </row>
    <row r="3585" spans="1:8">
      <c r="A3585" s="317">
        <v>1609200591</v>
      </c>
      <c r="B3585" s="317" t="s">
        <v>47951</v>
      </c>
      <c r="C3585" s="330" t="s">
        <v>11103</v>
      </c>
      <c r="D3585" s="330" t="s">
        <v>11104</v>
      </c>
      <c r="E3585" s="330" t="s">
        <v>4634</v>
      </c>
      <c r="F3585" s="331">
        <v>0.21</v>
      </c>
      <c r="G3585" s="332">
        <v>194</v>
      </c>
      <c r="H3585" s="333">
        <v>235</v>
      </c>
    </row>
    <row r="3586" spans="1:8">
      <c r="A3586" s="317">
        <v>1609200593</v>
      </c>
      <c r="B3586" s="317" t="s">
        <v>47952</v>
      </c>
      <c r="C3586" s="330" t="s">
        <v>11105</v>
      </c>
      <c r="D3586" s="330" t="s">
        <v>11106</v>
      </c>
      <c r="E3586" s="330" t="s">
        <v>4634</v>
      </c>
      <c r="F3586" s="331">
        <v>0.21</v>
      </c>
      <c r="G3586" s="332">
        <v>1518</v>
      </c>
      <c r="H3586" s="333">
        <v>1837</v>
      </c>
    </row>
    <row r="3587" spans="1:8">
      <c r="A3587" s="317">
        <v>1609200597</v>
      </c>
      <c r="B3587" s="317" t="s">
        <v>47953</v>
      </c>
      <c r="C3587" s="330" t="s">
        <v>11107</v>
      </c>
      <c r="D3587" s="330" t="s">
        <v>7991</v>
      </c>
      <c r="E3587" s="330" t="s">
        <v>4634</v>
      </c>
      <c r="F3587" s="331">
        <v>0.21</v>
      </c>
      <c r="G3587" s="332">
        <v>202</v>
      </c>
      <c r="H3587" s="333">
        <v>245</v>
      </c>
    </row>
    <row r="3588" spans="1:8">
      <c r="A3588" s="317">
        <v>1609200598</v>
      </c>
      <c r="B3588" s="317" t="s">
        <v>47954</v>
      </c>
      <c r="C3588" s="330" t="s">
        <v>11108</v>
      </c>
      <c r="D3588" s="330" t="s">
        <v>11109</v>
      </c>
      <c r="E3588" s="330" t="s">
        <v>4634</v>
      </c>
      <c r="F3588" s="331">
        <v>0.21</v>
      </c>
      <c r="G3588" s="332">
        <v>854</v>
      </c>
      <c r="H3588" s="333">
        <v>1034</v>
      </c>
    </row>
    <row r="3589" spans="1:8">
      <c r="A3589" s="317">
        <v>1609200600</v>
      </c>
      <c r="B3589" s="317" t="s">
        <v>47955</v>
      </c>
      <c r="C3589" s="330" t="s">
        <v>11110</v>
      </c>
      <c r="D3589" s="330" t="s">
        <v>11111</v>
      </c>
      <c r="E3589" s="330" t="s">
        <v>4634</v>
      </c>
      <c r="F3589" s="331">
        <v>0.21</v>
      </c>
      <c r="G3589" s="332">
        <v>490</v>
      </c>
      <c r="H3589" s="333">
        <v>593</v>
      </c>
    </row>
    <row r="3590" spans="1:8">
      <c r="A3590" s="317">
        <v>1609200601</v>
      </c>
      <c r="B3590" s="317" t="s">
        <v>47956</v>
      </c>
      <c r="C3590" s="330" t="s">
        <v>11112</v>
      </c>
      <c r="D3590" s="330" t="s">
        <v>11113</v>
      </c>
      <c r="E3590" s="330" t="s">
        <v>4634</v>
      </c>
      <c r="F3590" s="331">
        <v>0.21</v>
      </c>
      <c r="G3590" s="332">
        <v>68</v>
      </c>
      <c r="H3590" s="333">
        <v>83</v>
      </c>
    </row>
    <row r="3591" spans="1:8">
      <c r="A3591" s="317">
        <v>1609200602</v>
      </c>
      <c r="B3591" s="317" t="s">
        <v>47957</v>
      </c>
      <c r="C3591" s="330" t="s">
        <v>11114</v>
      </c>
      <c r="D3591" s="330" t="s">
        <v>11115</v>
      </c>
      <c r="E3591" s="330" t="s">
        <v>4634</v>
      </c>
      <c r="F3591" s="331">
        <v>0.21</v>
      </c>
      <c r="G3591" s="332">
        <v>736</v>
      </c>
      <c r="H3591" s="333">
        <v>891</v>
      </c>
    </row>
    <row r="3592" spans="1:8">
      <c r="A3592" s="317">
        <v>1609200604</v>
      </c>
      <c r="B3592" s="317" t="s">
        <v>47958</v>
      </c>
      <c r="C3592" s="330" t="s">
        <v>11116</v>
      </c>
      <c r="D3592" s="330" t="s">
        <v>11117</v>
      </c>
      <c r="E3592" s="330" t="s">
        <v>4634</v>
      </c>
      <c r="F3592" s="331">
        <v>0.21</v>
      </c>
      <c r="G3592" s="332">
        <v>68</v>
      </c>
      <c r="H3592" s="333">
        <v>83</v>
      </c>
    </row>
    <row r="3593" spans="1:8">
      <c r="A3593" s="317">
        <v>1609200605</v>
      </c>
      <c r="B3593" s="317" t="s">
        <v>47959</v>
      </c>
      <c r="C3593" s="330" t="s">
        <v>11118</v>
      </c>
      <c r="D3593" s="330" t="s">
        <v>7884</v>
      </c>
      <c r="E3593" s="330" t="s">
        <v>4634</v>
      </c>
      <c r="F3593" s="331">
        <v>0.21</v>
      </c>
      <c r="G3593" s="332">
        <v>751</v>
      </c>
      <c r="H3593" s="333">
        <v>909</v>
      </c>
    </row>
    <row r="3594" spans="1:8">
      <c r="A3594" s="317">
        <v>1609200700</v>
      </c>
      <c r="B3594" s="317" t="s">
        <v>47960</v>
      </c>
      <c r="C3594" s="330" t="s">
        <v>11119</v>
      </c>
      <c r="D3594" s="330" t="s">
        <v>5822</v>
      </c>
      <c r="E3594" s="330" t="s">
        <v>4634</v>
      </c>
      <c r="F3594" s="331">
        <v>0.21</v>
      </c>
      <c r="G3594" s="332">
        <v>4871</v>
      </c>
      <c r="H3594" s="333">
        <v>5894</v>
      </c>
    </row>
    <row r="3595" spans="1:8">
      <c r="A3595" s="317">
        <v>1609200704</v>
      </c>
      <c r="B3595" s="317" t="s">
        <v>47961</v>
      </c>
      <c r="C3595" s="330" t="s">
        <v>11120</v>
      </c>
      <c r="D3595" s="330" t="s">
        <v>6257</v>
      </c>
      <c r="E3595" s="330" t="s">
        <v>4634</v>
      </c>
      <c r="F3595" s="331">
        <v>0.21</v>
      </c>
      <c r="G3595" s="332">
        <v>68</v>
      </c>
      <c r="H3595" s="333">
        <v>83</v>
      </c>
    </row>
    <row r="3596" spans="1:8">
      <c r="A3596" s="317">
        <v>1609200705</v>
      </c>
      <c r="B3596" s="317" t="s">
        <v>47962</v>
      </c>
      <c r="C3596" s="330" t="s">
        <v>11121</v>
      </c>
      <c r="D3596" s="330" t="s">
        <v>6257</v>
      </c>
      <c r="E3596" s="330" t="s">
        <v>4634</v>
      </c>
      <c r="F3596" s="331">
        <v>0.21</v>
      </c>
      <c r="G3596" s="332">
        <v>68</v>
      </c>
      <c r="H3596" s="333">
        <v>83</v>
      </c>
    </row>
    <row r="3597" spans="1:8">
      <c r="A3597" s="317">
        <v>1609200706</v>
      </c>
      <c r="B3597" s="317" t="s">
        <v>47963</v>
      </c>
      <c r="C3597" s="330" t="s">
        <v>11122</v>
      </c>
      <c r="D3597" s="330" t="s">
        <v>11098</v>
      </c>
      <c r="E3597" s="330" t="s">
        <v>4634</v>
      </c>
      <c r="F3597" s="331">
        <v>0.21</v>
      </c>
      <c r="G3597" s="332">
        <v>1121</v>
      </c>
      <c r="H3597" s="333">
        <v>1357</v>
      </c>
    </row>
    <row r="3598" spans="1:8">
      <c r="A3598" s="317">
        <v>1609200748</v>
      </c>
      <c r="B3598" s="317" t="s">
        <v>47964</v>
      </c>
      <c r="C3598" s="330" t="s">
        <v>11123</v>
      </c>
      <c r="D3598" s="330" t="s">
        <v>11124</v>
      </c>
      <c r="E3598" s="330" t="s">
        <v>4634</v>
      </c>
      <c r="F3598" s="331">
        <v>0.21</v>
      </c>
      <c r="G3598" s="332">
        <v>1735</v>
      </c>
      <c r="H3598" s="333">
        <v>2100</v>
      </c>
    </row>
    <row r="3599" spans="1:8">
      <c r="A3599" s="317">
        <v>1609200772</v>
      </c>
      <c r="B3599" s="317" t="s">
        <v>47965</v>
      </c>
      <c r="C3599" s="330" t="s">
        <v>11125</v>
      </c>
      <c r="D3599" s="330" t="s">
        <v>11126</v>
      </c>
      <c r="E3599" s="330" t="s">
        <v>4634</v>
      </c>
      <c r="F3599" s="331">
        <v>0.21</v>
      </c>
      <c r="G3599" s="332">
        <v>22938</v>
      </c>
      <c r="H3599" s="333">
        <v>27755</v>
      </c>
    </row>
    <row r="3600" spans="1:8">
      <c r="A3600" s="317">
        <v>1609200833</v>
      </c>
      <c r="B3600" s="317" t="s">
        <v>47966</v>
      </c>
      <c r="C3600" s="330" t="s">
        <v>11127</v>
      </c>
      <c r="D3600" s="330" t="s">
        <v>11128</v>
      </c>
      <c r="E3600" s="330" t="s">
        <v>4634</v>
      </c>
      <c r="F3600" s="331">
        <v>0.21</v>
      </c>
      <c r="G3600" s="332">
        <v>602</v>
      </c>
      <c r="H3600" s="333">
        <v>729</v>
      </c>
    </row>
    <row r="3601" spans="1:8">
      <c r="A3601" s="317">
        <v>1609200847</v>
      </c>
      <c r="B3601" s="317" t="s">
        <v>47967</v>
      </c>
      <c r="C3601" s="330" t="s">
        <v>11129</v>
      </c>
      <c r="D3601" s="330" t="s">
        <v>8281</v>
      </c>
      <c r="E3601" s="330" t="s">
        <v>4634</v>
      </c>
      <c r="F3601" s="331">
        <v>0.21</v>
      </c>
      <c r="G3601" s="332">
        <v>309</v>
      </c>
      <c r="H3601" s="333">
        <v>374</v>
      </c>
    </row>
    <row r="3602" spans="1:8">
      <c r="A3602" s="317">
        <v>1609200889</v>
      </c>
      <c r="B3602" s="317" t="s">
        <v>47968</v>
      </c>
      <c r="C3602" s="330" t="s">
        <v>11130</v>
      </c>
      <c r="D3602" s="330" t="s">
        <v>5099</v>
      </c>
      <c r="E3602" s="330" t="s">
        <v>4634</v>
      </c>
      <c r="F3602" s="331">
        <v>0.21</v>
      </c>
      <c r="G3602" s="332">
        <v>2190</v>
      </c>
      <c r="H3602" s="333">
        <v>2650</v>
      </c>
    </row>
    <row r="3603" spans="1:8">
      <c r="A3603" s="317">
        <v>1609200891</v>
      </c>
      <c r="B3603" s="317" t="s">
        <v>47969</v>
      </c>
      <c r="C3603" s="330" t="s">
        <v>11131</v>
      </c>
      <c r="D3603" s="330" t="s">
        <v>11132</v>
      </c>
      <c r="E3603" s="330" t="s">
        <v>4634</v>
      </c>
      <c r="F3603" s="331">
        <v>0.21</v>
      </c>
      <c r="G3603" s="332">
        <v>957</v>
      </c>
      <c r="H3603" s="333">
        <v>1158</v>
      </c>
    </row>
    <row r="3604" spans="1:8">
      <c r="A3604" s="317">
        <v>1609200893</v>
      </c>
      <c r="B3604" s="317" t="s">
        <v>47970</v>
      </c>
      <c r="C3604" s="330" t="s">
        <v>11133</v>
      </c>
      <c r="D3604" s="330" t="s">
        <v>6257</v>
      </c>
      <c r="E3604" s="330" t="s">
        <v>4634</v>
      </c>
      <c r="F3604" s="331">
        <v>0.21</v>
      </c>
      <c r="G3604" s="332">
        <v>68</v>
      </c>
      <c r="H3604" s="333">
        <v>83</v>
      </c>
    </row>
    <row r="3605" spans="1:8">
      <c r="A3605" s="317">
        <v>1609200894</v>
      </c>
      <c r="B3605" s="317" t="s">
        <v>47971</v>
      </c>
      <c r="C3605" s="330" t="s">
        <v>11134</v>
      </c>
      <c r="D3605" s="330" t="s">
        <v>11135</v>
      </c>
      <c r="E3605" s="330" t="s">
        <v>4634</v>
      </c>
      <c r="F3605" s="331">
        <v>0.21</v>
      </c>
      <c r="G3605" s="332">
        <v>5157</v>
      </c>
      <c r="H3605" s="333">
        <v>6240</v>
      </c>
    </row>
    <row r="3606" spans="1:8">
      <c r="A3606" s="317">
        <v>1609200906</v>
      </c>
      <c r="B3606" s="317" t="s">
        <v>47972</v>
      </c>
      <c r="C3606" s="330" t="s">
        <v>11136</v>
      </c>
      <c r="D3606" s="330" t="s">
        <v>11137</v>
      </c>
      <c r="E3606" s="330" t="s">
        <v>4634</v>
      </c>
      <c r="F3606" s="331">
        <v>0.21</v>
      </c>
      <c r="G3606" s="332">
        <v>1706</v>
      </c>
      <c r="H3606" s="333">
        <v>2065</v>
      </c>
    </row>
    <row r="3607" spans="1:8">
      <c r="A3607" s="317">
        <v>1609200910</v>
      </c>
      <c r="B3607" s="317" t="s">
        <v>47973</v>
      </c>
      <c r="C3607" s="330" t="s">
        <v>11138</v>
      </c>
      <c r="D3607" s="330" t="s">
        <v>11139</v>
      </c>
      <c r="E3607" s="330" t="s">
        <v>4634</v>
      </c>
      <c r="F3607" s="331">
        <v>0.21</v>
      </c>
      <c r="G3607" s="332">
        <v>1170</v>
      </c>
      <c r="H3607" s="333">
        <v>1416</v>
      </c>
    </row>
    <row r="3608" spans="1:8">
      <c r="A3608" s="317">
        <v>1609200914</v>
      </c>
      <c r="B3608" s="317" t="s">
        <v>47974</v>
      </c>
      <c r="C3608" s="330" t="s">
        <v>11140</v>
      </c>
      <c r="D3608" s="330" t="s">
        <v>11141</v>
      </c>
      <c r="E3608" s="330" t="s">
        <v>4634</v>
      </c>
      <c r="F3608" s="331">
        <v>0.21</v>
      </c>
      <c r="G3608" s="332">
        <v>7584</v>
      </c>
      <c r="H3608" s="333">
        <v>9177</v>
      </c>
    </row>
    <row r="3609" spans="1:8">
      <c r="A3609" s="317">
        <v>1609200917</v>
      </c>
      <c r="B3609" s="317" t="s">
        <v>47975</v>
      </c>
      <c r="C3609" s="330" t="s">
        <v>11142</v>
      </c>
      <c r="D3609" s="330" t="s">
        <v>11143</v>
      </c>
      <c r="E3609" s="330" t="s">
        <v>4634</v>
      </c>
      <c r="F3609" s="331">
        <v>0.21</v>
      </c>
      <c r="G3609" s="332">
        <v>437</v>
      </c>
      <c r="H3609" s="333">
        <v>529</v>
      </c>
    </row>
    <row r="3610" spans="1:8">
      <c r="A3610" s="317">
        <v>1609200920</v>
      </c>
      <c r="B3610" s="317" t="s">
        <v>47976</v>
      </c>
      <c r="C3610" s="330" t="s">
        <v>11144</v>
      </c>
      <c r="D3610" s="330" t="s">
        <v>6109</v>
      </c>
      <c r="E3610" s="330" t="s">
        <v>4634</v>
      </c>
      <c r="F3610" s="331">
        <v>0.21</v>
      </c>
      <c r="G3610" s="332">
        <v>131</v>
      </c>
      <c r="H3610" s="333">
        <v>159</v>
      </c>
    </row>
    <row r="3611" spans="1:8">
      <c r="A3611" s="317">
        <v>1609200948</v>
      </c>
      <c r="B3611" s="317" t="s">
        <v>47977</v>
      </c>
      <c r="C3611" s="330" t="s">
        <v>11145</v>
      </c>
      <c r="D3611" s="330" t="s">
        <v>11146</v>
      </c>
      <c r="E3611" s="330" t="s">
        <v>4634</v>
      </c>
      <c r="F3611" s="331">
        <v>0.21</v>
      </c>
      <c r="G3611" s="332">
        <v>4432</v>
      </c>
      <c r="H3611" s="333">
        <v>5363</v>
      </c>
    </row>
    <row r="3612" spans="1:8">
      <c r="A3612" s="317">
        <v>1609200952</v>
      </c>
      <c r="B3612" s="317" t="s">
        <v>47978</v>
      </c>
      <c r="C3612" s="330" t="s">
        <v>11147</v>
      </c>
      <c r="D3612" s="330" t="s">
        <v>11148</v>
      </c>
      <c r="E3612" s="330" t="s">
        <v>4634</v>
      </c>
      <c r="F3612" s="331">
        <v>0.21</v>
      </c>
      <c r="G3612" s="332">
        <v>2063</v>
      </c>
      <c r="H3612" s="333">
        <v>2497</v>
      </c>
    </row>
    <row r="3613" spans="1:8">
      <c r="A3613" s="317">
        <v>1609201215</v>
      </c>
      <c r="B3613" s="317" t="s">
        <v>47979</v>
      </c>
      <c r="C3613" s="330" t="s">
        <v>11149</v>
      </c>
      <c r="D3613" s="330" t="s">
        <v>11150</v>
      </c>
      <c r="E3613" s="330" t="s">
        <v>4819</v>
      </c>
      <c r="F3613" s="331">
        <v>0.21</v>
      </c>
      <c r="G3613" s="332">
        <v>32946</v>
      </c>
      <c r="H3613" s="333">
        <v>39865</v>
      </c>
    </row>
    <row r="3614" spans="1:8">
      <c r="A3614" s="317">
        <v>1609201481</v>
      </c>
      <c r="B3614" s="317" t="s">
        <v>47980</v>
      </c>
      <c r="C3614" s="330" t="s">
        <v>11151</v>
      </c>
      <c r="D3614" s="330" t="s">
        <v>11152</v>
      </c>
      <c r="E3614" s="330" t="s">
        <v>4634</v>
      </c>
      <c r="F3614" s="331">
        <v>0.21</v>
      </c>
      <c r="G3614" s="332">
        <v>5239</v>
      </c>
      <c r="H3614" s="333">
        <v>6340</v>
      </c>
    </row>
    <row r="3615" spans="1:8">
      <c r="A3615" s="317">
        <v>1609201483</v>
      </c>
      <c r="B3615" s="317" t="s">
        <v>47981</v>
      </c>
      <c r="C3615" s="330" t="s">
        <v>11153</v>
      </c>
      <c r="D3615" s="330" t="s">
        <v>11154</v>
      </c>
      <c r="E3615" s="330" t="s">
        <v>4634</v>
      </c>
      <c r="F3615" s="331">
        <v>0.21</v>
      </c>
      <c r="G3615" s="332">
        <v>490</v>
      </c>
      <c r="H3615" s="333">
        <v>593</v>
      </c>
    </row>
    <row r="3616" spans="1:8">
      <c r="A3616" s="317">
        <v>1609201484</v>
      </c>
      <c r="B3616" s="317" t="s">
        <v>47982</v>
      </c>
      <c r="C3616" s="330" t="s">
        <v>11155</v>
      </c>
      <c r="D3616" s="330" t="s">
        <v>11156</v>
      </c>
      <c r="E3616" s="330" t="s">
        <v>4634</v>
      </c>
      <c r="F3616" s="331">
        <v>0.21</v>
      </c>
      <c r="G3616" s="332">
        <v>2059</v>
      </c>
      <c r="H3616" s="333">
        <v>2492</v>
      </c>
    </row>
    <row r="3617" spans="1:8">
      <c r="A3617" s="317">
        <v>1609201490</v>
      </c>
      <c r="B3617" s="317" t="s">
        <v>47983</v>
      </c>
      <c r="C3617" s="330" t="s">
        <v>11157</v>
      </c>
      <c r="D3617" s="330" t="s">
        <v>11158</v>
      </c>
      <c r="E3617" s="330" t="s">
        <v>4634</v>
      </c>
      <c r="F3617" s="331">
        <v>0.21</v>
      </c>
      <c r="G3617" s="332">
        <v>455</v>
      </c>
      <c r="H3617" s="333">
        <v>551</v>
      </c>
    </row>
    <row r="3618" spans="1:8">
      <c r="A3618" s="317">
        <v>1609201491</v>
      </c>
      <c r="B3618" s="317" t="s">
        <v>47984</v>
      </c>
      <c r="C3618" s="330" t="s">
        <v>11159</v>
      </c>
      <c r="D3618" s="330" t="s">
        <v>11158</v>
      </c>
      <c r="E3618" s="330" t="s">
        <v>4634</v>
      </c>
      <c r="F3618" s="331">
        <v>0.21</v>
      </c>
      <c r="G3618" s="332">
        <v>455</v>
      </c>
      <c r="H3618" s="333">
        <v>551</v>
      </c>
    </row>
    <row r="3619" spans="1:8">
      <c r="A3619" s="317">
        <v>1609201500</v>
      </c>
      <c r="B3619" s="317" t="s">
        <v>47985</v>
      </c>
      <c r="C3619" s="330" t="s">
        <v>11160</v>
      </c>
      <c r="D3619" s="330" t="s">
        <v>11161</v>
      </c>
      <c r="E3619" s="330" t="s">
        <v>4634</v>
      </c>
      <c r="F3619" s="331">
        <v>0.21</v>
      </c>
      <c r="G3619" s="332">
        <v>2511</v>
      </c>
      <c r="H3619" s="333">
        <v>3039</v>
      </c>
    </row>
    <row r="3620" spans="1:8">
      <c r="A3620" s="317">
        <v>1609201501</v>
      </c>
      <c r="B3620" s="317" t="s">
        <v>47986</v>
      </c>
      <c r="C3620" s="330" t="s">
        <v>11162</v>
      </c>
      <c r="D3620" s="330" t="s">
        <v>11163</v>
      </c>
      <c r="E3620" s="330" t="s">
        <v>4634</v>
      </c>
      <c r="F3620" s="331">
        <v>0.21</v>
      </c>
      <c r="G3620" s="332">
        <v>11477</v>
      </c>
      <c r="H3620" s="333">
        <v>13888</v>
      </c>
    </row>
    <row r="3621" spans="1:8">
      <c r="A3621" s="317">
        <v>1609201503</v>
      </c>
      <c r="B3621" s="317" t="s">
        <v>47987</v>
      </c>
      <c r="C3621" s="330" t="s">
        <v>11164</v>
      </c>
      <c r="D3621" s="330" t="s">
        <v>11165</v>
      </c>
      <c r="E3621" s="330" t="s">
        <v>4634</v>
      </c>
      <c r="F3621" s="331">
        <v>0.21</v>
      </c>
      <c r="G3621" s="332">
        <v>13116</v>
      </c>
      <c r="H3621" s="333">
        <v>15871</v>
      </c>
    </row>
    <row r="3622" spans="1:8">
      <c r="A3622" s="317">
        <v>1609201505</v>
      </c>
      <c r="B3622" s="317" t="s">
        <v>47988</v>
      </c>
      <c r="C3622" s="330" t="s">
        <v>11166</v>
      </c>
      <c r="D3622" s="330" t="s">
        <v>11167</v>
      </c>
      <c r="E3622" s="330" t="s">
        <v>4634</v>
      </c>
      <c r="F3622" s="331">
        <v>0.21</v>
      </c>
      <c r="G3622" s="332">
        <v>4423</v>
      </c>
      <c r="H3622" s="333">
        <v>5352</v>
      </c>
    </row>
    <row r="3623" spans="1:8">
      <c r="A3623" s="317">
        <v>1609201571</v>
      </c>
      <c r="B3623" s="317" t="s">
        <v>47989</v>
      </c>
      <c r="C3623" s="330" t="s">
        <v>11168</v>
      </c>
      <c r="D3623" s="330" t="s">
        <v>11169</v>
      </c>
      <c r="E3623" s="330" t="s">
        <v>4634</v>
      </c>
      <c r="F3623" s="331">
        <v>0.21</v>
      </c>
      <c r="G3623" s="332">
        <v>2063</v>
      </c>
      <c r="H3623" s="333">
        <v>2497</v>
      </c>
    </row>
    <row r="3624" spans="1:8">
      <c r="A3624" s="317">
        <v>1609201572</v>
      </c>
      <c r="B3624" s="317" t="s">
        <v>47990</v>
      </c>
      <c r="C3624" s="330" t="s">
        <v>11170</v>
      </c>
      <c r="D3624" s="330" t="s">
        <v>11171</v>
      </c>
      <c r="E3624" s="330" t="s">
        <v>4634</v>
      </c>
      <c r="F3624" s="331">
        <v>0.21</v>
      </c>
      <c r="G3624" s="332">
        <v>3903</v>
      </c>
      <c r="H3624" s="333">
        <v>4723</v>
      </c>
    </row>
    <row r="3625" spans="1:8">
      <c r="A3625" s="317">
        <v>1609201654</v>
      </c>
      <c r="B3625" s="317" t="s">
        <v>47991</v>
      </c>
      <c r="C3625" s="330" t="s">
        <v>11172</v>
      </c>
      <c r="D3625" s="330" t="s">
        <v>11173</v>
      </c>
      <c r="E3625" s="330" t="s">
        <v>4634</v>
      </c>
      <c r="F3625" s="331">
        <v>0.21</v>
      </c>
      <c r="G3625" s="332">
        <v>1641</v>
      </c>
      <c r="H3625" s="333">
        <v>1986</v>
      </c>
    </row>
    <row r="3626" spans="1:8">
      <c r="A3626" s="317">
        <v>1609201658</v>
      </c>
      <c r="B3626" s="317" t="s">
        <v>47992</v>
      </c>
      <c r="C3626" s="330" t="s">
        <v>11174</v>
      </c>
      <c r="D3626" s="330" t="s">
        <v>11175</v>
      </c>
      <c r="E3626" s="330" t="s">
        <v>4634</v>
      </c>
      <c r="F3626" s="331">
        <v>0.21</v>
      </c>
      <c r="G3626" s="332">
        <v>10845</v>
      </c>
      <c r="H3626" s="333">
        <v>13123</v>
      </c>
    </row>
    <row r="3627" spans="1:8">
      <c r="A3627" s="317">
        <v>1609201660</v>
      </c>
      <c r="B3627" s="317" t="s">
        <v>47993</v>
      </c>
      <c r="C3627" s="330" t="s">
        <v>11176</v>
      </c>
      <c r="D3627" s="330" t="s">
        <v>11177</v>
      </c>
      <c r="E3627" s="330" t="s">
        <v>4634</v>
      </c>
      <c r="F3627" s="331">
        <v>0.21</v>
      </c>
      <c r="G3627" s="332">
        <v>348</v>
      </c>
      <c r="H3627" s="333">
        <v>422</v>
      </c>
    </row>
    <row r="3628" spans="1:8">
      <c r="A3628" s="317">
        <v>1609201662</v>
      </c>
      <c r="B3628" s="317" t="s">
        <v>47994</v>
      </c>
      <c r="C3628" s="330" t="s">
        <v>11178</v>
      </c>
      <c r="D3628" s="330" t="s">
        <v>11179</v>
      </c>
      <c r="E3628" s="330" t="s">
        <v>4634</v>
      </c>
      <c r="F3628" s="331">
        <v>0.21</v>
      </c>
      <c r="G3628" s="332">
        <v>23838</v>
      </c>
      <c r="H3628" s="333">
        <v>28844</v>
      </c>
    </row>
    <row r="3629" spans="1:8">
      <c r="A3629" s="317">
        <v>1609201663</v>
      </c>
      <c r="B3629" s="317" t="s">
        <v>47995</v>
      </c>
      <c r="C3629" s="330" t="s">
        <v>11180</v>
      </c>
      <c r="D3629" s="330" t="s">
        <v>11181</v>
      </c>
      <c r="E3629" s="330" t="s">
        <v>4634</v>
      </c>
      <c r="F3629" s="331">
        <v>0.21</v>
      </c>
      <c r="G3629" s="332">
        <v>584</v>
      </c>
      <c r="H3629" s="333">
        <v>707</v>
      </c>
    </row>
    <row r="3630" spans="1:8">
      <c r="A3630" s="317">
        <v>1609201666</v>
      </c>
      <c r="B3630" s="317" t="s">
        <v>47996</v>
      </c>
      <c r="C3630" s="330" t="s">
        <v>11182</v>
      </c>
      <c r="D3630" s="330" t="s">
        <v>11183</v>
      </c>
      <c r="E3630" s="330" t="s">
        <v>4634</v>
      </c>
      <c r="F3630" s="331">
        <v>0.21</v>
      </c>
      <c r="G3630" s="332">
        <v>928</v>
      </c>
      <c r="H3630" s="333">
        <v>1123</v>
      </c>
    </row>
    <row r="3631" spans="1:8">
      <c r="A3631" s="317">
        <v>1609201668</v>
      </c>
      <c r="B3631" s="317" t="s">
        <v>47997</v>
      </c>
      <c r="C3631" s="330" t="s">
        <v>11184</v>
      </c>
      <c r="D3631" s="330" t="s">
        <v>11185</v>
      </c>
      <c r="E3631" s="330" t="s">
        <v>4634</v>
      </c>
      <c r="F3631" s="331">
        <v>0.21</v>
      </c>
      <c r="G3631" s="332">
        <v>455</v>
      </c>
      <c r="H3631" s="333">
        <v>551</v>
      </c>
    </row>
    <row r="3632" spans="1:8">
      <c r="A3632" s="317">
        <v>1609201669</v>
      </c>
      <c r="B3632" s="317" t="s">
        <v>47998</v>
      </c>
      <c r="C3632" s="330" t="s">
        <v>11186</v>
      </c>
      <c r="D3632" s="330" t="s">
        <v>11187</v>
      </c>
      <c r="E3632" s="330" t="s">
        <v>4634</v>
      </c>
      <c r="F3632" s="331">
        <v>0.21</v>
      </c>
      <c r="G3632" s="332">
        <v>1170</v>
      </c>
      <c r="H3632" s="333">
        <v>1416</v>
      </c>
    </row>
    <row r="3633" spans="1:8">
      <c r="A3633" s="317">
        <v>1609201676</v>
      </c>
      <c r="B3633" s="317" t="s">
        <v>47999</v>
      </c>
      <c r="C3633" s="330" t="s">
        <v>11188</v>
      </c>
      <c r="D3633" s="330" t="s">
        <v>11189</v>
      </c>
      <c r="E3633" s="330" t="s">
        <v>4634</v>
      </c>
      <c r="F3633" s="331">
        <v>0.21</v>
      </c>
      <c r="G3633" s="332">
        <v>1547</v>
      </c>
      <c r="H3633" s="333">
        <v>1872</v>
      </c>
    </row>
    <row r="3634" spans="1:8">
      <c r="A3634" s="317">
        <v>1609201677</v>
      </c>
      <c r="B3634" s="317" t="s">
        <v>48000</v>
      </c>
      <c r="C3634" s="330" t="s">
        <v>11190</v>
      </c>
      <c r="D3634" s="330" t="s">
        <v>11191</v>
      </c>
      <c r="E3634" s="330" t="s">
        <v>4634</v>
      </c>
      <c r="F3634" s="331">
        <v>0.21</v>
      </c>
      <c r="G3634" s="332">
        <v>455</v>
      </c>
      <c r="H3634" s="333">
        <v>551</v>
      </c>
    </row>
    <row r="3635" spans="1:8">
      <c r="A3635" s="317">
        <v>1609201684</v>
      </c>
      <c r="B3635" s="317" t="s">
        <v>48001</v>
      </c>
      <c r="C3635" s="330" t="s">
        <v>11192</v>
      </c>
      <c r="D3635" s="330" t="s">
        <v>11193</v>
      </c>
      <c r="E3635" s="330" t="s">
        <v>4634</v>
      </c>
      <c r="F3635" s="331">
        <v>0.21</v>
      </c>
      <c r="G3635" s="332">
        <v>1371</v>
      </c>
      <c r="H3635" s="333">
        <v>1659</v>
      </c>
    </row>
    <row r="3636" spans="1:8">
      <c r="A3636" s="317">
        <v>1609201685</v>
      </c>
      <c r="B3636" s="317" t="s">
        <v>48002</v>
      </c>
      <c r="C3636" s="330" t="s">
        <v>11194</v>
      </c>
      <c r="D3636" s="330" t="s">
        <v>11195</v>
      </c>
      <c r="E3636" s="330" t="s">
        <v>4634</v>
      </c>
      <c r="F3636" s="331">
        <v>0.21</v>
      </c>
      <c r="G3636" s="332">
        <v>455</v>
      </c>
      <c r="H3636" s="333">
        <v>551</v>
      </c>
    </row>
    <row r="3637" spans="1:8">
      <c r="A3637" s="317">
        <v>1609201721</v>
      </c>
      <c r="B3637" s="317" t="s">
        <v>48003</v>
      </c>
      <c r="C3637" s="330" t="s">
        <v>11196</v>
      </c>
      <c r="D3637" s="330" t="s">
        <v>11197</v>
      </c>
      <c r="E3637" s="330" t="s">
        <v>4634</v>
      </c>
      <c r="F3637" s="331">
        <v>0.21</v>
      </c>
      <c r="G3637" s="332">
        <v>7551</v>
      </c>
      <c r="H3637" s="333">
        <v>9137</v>
      </c>
    </row>
    <row r="3638" spans="1:8">
      <c r="A3638" s="317">
        <v>1609201722</v>
      </c>
      <c r="B3638" s="317" t="s">
        <v>48004</v>
      </c>
      <c r="C3638" s="330" t="s">
        <v>11198</v>
      </c>
      <c r="D3638" s="330" t="s">
        <v>11199</v>
      </c>
      <c r="E3638" s="330" t="s">
        <v>4634</v>
      </c>
      <c r="F3638" s="331">
        <v>0.21</v>
      </c>
      <c r="G3638" s="332">
        <v>5239</v>
      </c>
      <c r="H3638" s="333">
        <v>6340</v>
      </c>
    </row>
    <row r="3639" spans="1:8">
      <c r="A3639" s="317">
        <v>1609201724</v>
      </c>
      <c r="B3639" s="317" t="s">
        <v>48005</v>
      </c>
      <c r="C3639" s="330" t="s">
        <v>11200</v>
      </c>
      <c r="D3639" s="330" t="s">
        <v>11201</v>
      </c>
      <c r="E3639" s="330" t="s">
        <v>4634</v>
      </c>
      <c r="F3639" s="331">
        <v>0.21</v>
      </c>
      <c r="G3639" s="332">
        <v>9222</v>
      </c>
      <c r="H3639" s="333">
        <v>11159</v>
      </c>
    </row>
    <row r="3640" spans="1:8">
      <c r="A3640" s="317">
        <v>1609201728</v>
      </c>
      <c r="B3640" s="317" t="s">
        <v>48006</v>
      </c>
      <c r="C3640" s="330" t="s">
        <v>11202</v>
      </c>
      <c r="D3640" s="330" t="s">
        <v>11203</v>
      </c>
      <c r="E3640" s="330" t="s">
        <v>4634</v>
      </c>
      <c r="F3640" s="331">
        <v>0.21</v>
      </c>
      <c r="G3640" s="332">
        <v>2063</v>
      </c>
      <c r="H3640" s="333">
        <v>2497</v>
      </c>
    </row>
    <row r="3641" spans="1:8">
      <c r="A3641" s="317">
        <v>1609201729</v>
      </c>
      <c r="B3641" s="317" t="s">
        <v>48007</v>
      </c>
      <c r="C3641" s="330" t="s">
        <v>11204</v>
      </c>
      <c r="D3641" s="330" t="s">
        <v>11205</v>
      </c>
      <c r="E3641" s="330" t="s">
        <v>4634</v>
      </c>
      <c r="F3641" s="331">
        <v>0.21</v>
      </c>
      <c r="G3641" s="332">
        <v>11345</v>
      </c>
      <c r="H3641" s="333">
        <v>13728</v>
      </c>
    </row>
    <row r="3642" spans="1:8">
      <c r="A3642" s="317">
        <v>1609201770</v>
      </c>
      <c r="B3642" s="317" t="s">
        <v>48008</v>
      </c>
      <c r="C3642" s="330" t="s">
        <v>11206</v>
      </c>
      <c r="D3642" s="330" t="s">
        <v>11207</v>
      </c>
      <c r="E3642" s="330" t="s">
        <v>4634</v>
      </c>
      <c r="F3642" s="331">
        <v>0.21</v>
      </c>
      <c r="G3642" s="332">
        <v>3528</v>
      </c>
      <c r="H3642" s="333">
        <v>4269</v>
      </c>
    </row>
    <row r="3643" spans="1:8">
      <c r="A3643" s="317">
        <v>1609201893</v>
      </c>
      <c r="B3643" s="317" t="s">
        <v>48009</v>
      </c>
      <c r="C3643" s="330" t="s">
        <v>11208</v>
      </c>
      <c r="D3643" s="330" t="s">
        <v>11209</v>
      </c>
      <c r="E3643" s="330" t="s">
        <v>4634</v>
      </c>
      <c r="F3643" s="331">
        <v>0.21</v>
      </c>
      <c r="G3643" s="332">
        <v>97</v>
      </c>
      <c r="H3643" s="333">
        <v>118</v>
      </c>
    </row>
    <row r="3644" spans="1:8">
      <c r="A3644" s="317">
        <v>1609201894</v>
      </c>
      <c r="B3644" s="317" t="s">
        <v>48010</v>
      </c>
      <c r="C3644" s="330" t="s">
        <v>11210</v>
      </c>
      <c r="D3644" s="330" t="s">
        <v>11211</v>
      </c>
      <c r="E3644" s="330" t="s">
        <v>4634</v>
      </c>
      <c r="F3644" s="331">
        <v>0.21</v>
      </c>
      <c r="G3644" s="332">
        <v>3171</v>
      </c>
      <c r="H3644" s="333">
        <v>3837</v>
      </c>
    </row>
    <row r="3645" spans="1:8">
      <c r="A3645" s="317">
        <v>1609201898</v>
      </c>
      <c r="B3645" s="317" t="s">
        <v>48011</v>
      </c>
      <c r="C3645" s="330" t="s">
        <v>11212</v>
      </c>
      <c r="D3645" s="330" t="s">
        <v>11213</v>
      </c>
      <c r="E3645" s="330" t="s">
        <v>4634</v>
      </c>
      <c r="F3645" s="331">
        <v>0.21</v>
      </c>
      <c r="G3645" s="332">
        <v>107</v>
      </c>
      <c r="H3645" s="333">
        <v>130</v>
      </c>
    </row>
    <row r="3646" spans="1:8">
      <c r="A3646" s="317">
        <v>1609202009</v>
      </c>
      <c r="B3646" s="317" t="s">
        <v>48012</v>
      </c>
      <c r="C3646" s="330" t="s">
        <v>11214</v>
      </c>
      <c r="D3646" s="330" t="s">
        <v>6378</v>
      </c>
      <c r="E3646" s="330" t="s">
        <v>4634</v>
      </c>
      <c r="F3646" s="331">
        <v>0.21</v>
      </c>
      <c r="G3646" s="332">
        <v>885</v>
      </c>
      <c r="H3646" s="333">
        <v>1071</v>
      </c>
    </row>
    <row r="3647" spans="1:8">
      <c r="A3647" s="317">
        <v>1609202193</v>
      </c>
      <c r="B3647" s="317" t="s">
        <v>48013</v>
      </c>
      <c r="C3647" s="330" t="s">
        <v>11215</v>
      </c>
      <c r="D3647" s="330" t="s">
        <v>11175</v>
      </c>
      <c r="E3647" s="330" t="s">
        <v>4634</v>
      </c>
      <c r="F3647" s="331">
        <v>0.21</v>
      </c>
      <c r="G3647" s="332">
        <v>14143</v>
      </c>
      <c r="H3647" s="333">
        <v>17114</v>
      </c>
    </row>
    <row r="3648" spans="1:8">
      <c r="A3648" s="317">
        <v>1609202313</v>
      </c>
      <c r="B3648" s="317" t="s">
        <v>48014</v>
      </c>
      <c r="C3648" s="330" t="s">
        <v>11216</v>
      </c>
      <c r="D3648" s="330" t="s">
        <v>11217</v>
      </c>
      <c r="E3648" s="330" t="s">
        <v>4634</v>
      </c>
      <c r="F3648" s="331">
        <v>0.21</v>
      </c>
      <c r="G3648" s="332">
        <v>2478</v>
      </c>
      <c r="H3648" s="333">
        <v>2999</v>
      </c>
    </row>
    <row r="3649" spans="1:8">
      <c r="A3649" s="317">
        <v>1609202315</v>
      </c>
      <c r="B3649" s="317" t="s">
        <v>48015</v>
      </c>
      <c r="C3649" s="330" t="s">
        <v>11218</v>
      </c>
      <c r="D3649" s="330" t="s">
        <v>11219</v>
      </c>
      <c r="E3649" s="330" t="s">
        <v>4634</v>
      </c>
      <c r="F3649" s="331">
        <v>0.21</v>
      </c>
      <c r="G3649" s="332">
        <v>6420</v>
      </c>
      <c r="H3649" s="333">
        <v>7769</v>
      </c>
    </row>
    <row r="3650" spans="1:8">
      <c r="A3650" s="317">
        <v>1609202316</v>
      </c>
      <c r="B3650" s="317" t="s">
        <v>48016</v>
      </c>
      <c r="C3650" s="330" t="s">
        <v>11220</v>
      </c>
      <c r="D3650" s="330" t="s">
        <v>11221</v>
      </c>
      <c r="E3650" s="330" t="s">
        <v>4634</v>
      </c>
      <c r="F3650" s="331">
        <v>0.21</v>
      </c>
      <c r="G3650" s="332">
        <v>1534</v>
      </c>
      <c r="H3650" s="333">
        <v>1857</v>
      </c>
    </row>
    <row r="3651" spans="1:8">
      <c r="A3651" s="317">
        <v>1609202317</v>
      </c>
      <c r="B3651" s="317" t="s">
        <v>48017</v>
      </c>
      <c r="C3651" s="330" t="s">
        <v>11222</v>
      </c>
      <c r="D3651" s="330" t="s">
        <v>11223</v>
      </c>
      <c r="E3651" s="330" t="s">
        <v>4634</v>
      </c>
      <c r="F3651" s="331">
        <v>0.21</v>
      </c>
      <c r="G3651" s="332">
        <v>251</v>
      </c>
      <c r="H3651" s="333">
        <v>304</v>
      </c>
    </row>
    <row r="3652" spans="1:8">
      <c r="A3652" s="317">
        <v>1609202319</v>
      </c>
      <c r="B3652" s="317" t="s">
        <v>48018</v>
      </c>
      <c r="C3652" s="330" t="s">
        <v>11224</v>
      </c>
      <c r="D3652" s="330" t="s">
        <v>8293</v>
      </c>
      <c r="E3652" s="330" t="s">
        <v>4634</v>
      </c>
      <c r="F3652" s="331">
        <v>0.21</v>
      </c>
      <c r="G3652" s="332">
        <v>191</v>
      </c>
      <c r="H3652" s="333">
        <v>232</v>
      </c>
    </row>
    <row r="3653" spans="1:8">
      <c r="A3653" s="317">
        <v>1609202322</v>
      </c>
      <c r="B3653" s="317" t="s">
        <v>48019</v>
      </c>
      <c r="C3653" s="330" t="s">
        <v>11225</v>
      </c>
      <c r="D3653" s="330" t="s">
        <v>11226</v>
      </c>
      <c r="E3653" s="330" t="s">
        <v>4634</v>
      </c>
      <c r="F3653" s="331">
        <v>0.21</v>
      </c>
      <c r="G3653" s="332">
        <v>8351</v>
      </c>
      <c r="H3653" s="333">
        <v>10105</v>
      </c>
    </row>
    <row r="3654" spans="1:8">
      <c r="A3654" s="317">
        <v>1609202323</v>
      </c>
      <c r="B3654" s="317" t="s">
        <v>48020</v>
      </c>
      <c r="C3654" s="330" t="s">
        <v>11227</v>
      </c>
      <c r="D3654" s="330" t="s">
        <v>11213</v>
      </c>
      <c r="E3654" s="330" t="s">
        <v>4634</v>
      </c>
      <c r="F3654" s="331">
        <v>0.21</v>
      </c>
      <c r="G3654" s="332">
        <v>1126</v>
      </c>
      <c r="H3654" s="333">
        <v>1363</v>
      </c>
    </row>
    <row r="3655" spans="1:8">
      <c r="A3655" s="317">
        <v>1609202324</v>
      </c>
      <c r="B3655" s="317" t="s">
        <v>48021</v>
      </c>
      <c r="C3655" s="330" t="s">
        <v>11228</v>
      </c>
      <c r="D3655" s="330" t="s">
        <v>11229</v>
      </c>
      <c r="E3655" s="330" t="s">
        <v>4634</v>
      </c>
      <c r="F3655" s="331">
        <v>0.21</v>
      </c>
      <c r="G3655" s="332">
        <v>791</v>
      </c>
      <c r="H3655" s="333">
        <v>958</v>
      </c>
    </row>
    <row r="3656" spans="1:8">
      <c r="A3656" s="317">
        <v>1609202408</v>
      </c>
      <c r="B3656" s="317" t="s">
        <v>48022</v>
      </c>
      <c r="C3656" s="330" t="s">
        <v>11230</v>
      </c>
      <c r="D3656" s="330" t="s">
        <v>11231</v>
      </c>
      <c r="E3656" s="330" t="s">
        <v>4634</v>
      </c>
      <c r="F3656" s="331">
        <v>0.21</v>
      </c>
      <c r="G3656" s="332">
        <v>15987</v>
      </c>
      <c r="H3656" s="333">
        <v>19345</v>
      </c>
    </row>
    <row r="3657" spans="1:8">
      <c r="A3657" s="317">
        <v>1609202525</v>
      </c>
      <c r="B3657" s="317" t="s">
        <v>48023</v>
      </c>
      <c r="C3657" s="330" t="s">
        <v>11232</v>
      </c>
      <c r="D3657" s="330" t="s">
        <v>11233</v>
      </c>
      <c r="E3657" s="330" t="s">
        <v>4634</v>
      </c>
      <c r="F3657" s="331">
        <v>0.21</v>
      </c>
      <c r="G3657" s="332">
        <v>6553</v>
      </c>
      <c r="H3657" s="333">
        <v>7930</v>
      </c>
    </row>
    <row r="3658" spans="1:8">
      <c r="A3658" s="317">
        <v>1609202526</v>
      </c>
      <c r="B3658" s="317" t="s">
        <v>48024</v>
      </c>
      <c r="C3658" s="330" t="s">
        <v>11234</v>
      </c>
      <c r="D3658" s="330" t="s">
        <v>11235</v>
      </c>
      <c r="E3658" s="330" t="s">
        <v>4634</v>
      </c>
      <c r="F3658" s="331">
        <v>0.21</v>
      </c>
      <c r="G3658" s="332">
        <v>4472</v>
      </c>
      <c r="H3658" s="333">
        <v>5412</v>
      </c>
    </row>
    <row r="3659" spans="1:8">
      <c r="A3659" s="317">
        <v>1609202527</v>
      </c>
      <c r="B3659" s="317" t="s">
        <v>48025</v>
      </c>
      <c r="C3659" s="330" t="s">
        <v>11236</v>
      </c>
      <c r="D3659" s="330" t="s">
        <v>11237</v>
      </c>
      <c r="E3659" s="330" t="s">
        <v>4634</v>
      </c>
      <c r="F3659" s="331">
        <v>0.21</v>
      </c>
      <c r="G3659" s="332">
        <v>3935</v>
      </c>
      <c r="H3659" s="333">
        <v>4762</v>
      </c>
    </row>
    <row r="3660" spans="1:8">
      <c r="A3660" s="317">
        <v>1609202532</v>
      </c>
      <c r="B3660" s="317" t="s">
        <v>48026</v>
      </c>
      <c r="C3660" s="330" t="s">
        <v>11238</v>
      </c>
      <c r="D3660" s="330" t="s">
        <v>11239</v>
      </c>
      <c r="E3660" s="330" t="s">
        <v>4634</v>
      </c>
      <c r="F3660" s="331">
        <v>0.21</v>
      </c>
      <c r="G3660" s="332">
        <v>1956</v>
      </c>
      <c r="H3660" s="333">
        <v>2367</v>
      </c>
    </row>
    <row r="3661" spans="1:8">
      <c r="A3661" s="317">
        <v>1609202551</v>
      </c>
      <c r="B3661" s="317" t="s">
        <v>48027</v>
      </c>
      <c r="C3661" s="330" t="s">
        <v>11240</v>
      </c>
      <c r="D3661" s="330" t="s">
        <v>11241</v>
      </c>
      <c r="E3661" s="330" t="s">
        <v>4634</v>
      </c>
      <c r="F3661" s="331">
        <v>0.21</v>
      </c>
      <c r="G3661" s="332">
        <v>8075</v>
      </c>
      <c r="H3661" s="333">
        <v>9771</v>
      </c>
    </row>
    <row r="3662" spans="1:8">
      <c r="A3662" s="317">
        <v>1609202552</v>
      </c>
      <c r="B3662" s="317" t="s">
        <v>48028</v>
      </c>
      <c r="C3662" s="330" t="s">
        <v>11242</v>
      </c>
      <c r="D3662" s="330" t="s">
        <v>11243</v>
      </c>
      <c r="E3662" s="330" t="s">
        <v>4634</v>
      </c>
      <c r="F3662" s="331">
        <v>0.21</v>
      </c>
      <c r="G3662" s="332">
        <v>8218</v>
      </c>
      <c r="H3662" s="333">
        <v>9944</v>
      </c>
    </row>
    <row r="3663" spans="1:8">
      <c r="A3663" s="317">
        <v>1609202604</v>
      </c>
      <c r="B3663" s="317" t="s">
        <v>48029</v>
      </c>
      <c r="C3663" s="330" t="s">
        <v>11244</v>
      </c>
      <c r="D3663" s="330" t="s">
        <v>11245</v>
      </c>
      <c r="E3663" s="330" t="s">
        <v>4634</v>
      </c>
      <c r="F3663" s="331">
        <v>0.21</v>
      </c>
      <c r="G3663" s="332">
        <v>2299</v>
      </c>
      <c r="H3663" s="333">
        <v>2782</v>
      </c>
    </row>
    <row r="3664" spans="1:8">
      <c r="A3664" s="317">
        <v>1609202606</v>
      </c>
      <c r="B3664" s="317" t="s">
        <v>48030</v>
      </c>
      <c r="C3664" s="330" t="s">
        <v>11246</v>
      </c>
      <c r="D3664" s="330" t="s">
        <v>11247</v>
      </c>
      <c r="E3664" s="330" t="s">
        <v>37248</v>
      </c>
      <c r="F3664" s="331">
        <v>0.21</v>
      </c>
      <c r="G3664" s="332">
        <v>3468</v>
      </c>
      <c r="H3664" s="333">
        <v>4197</v>
      </c>
    </row>
    <row r="3665" spans="1:8">
      <c r="A3665" s="317">
        <v>1609202607</v>
      </c>
      <c r="B3665" s="317" t="s">
        <v>48031</v>
      </c>
      <c r="C3665" s="330" t="s">
        <v>11248</v>
      </c>
      <c r="D3665" s="330" t="s">
        <v>11249</v>
      </c>
      <c r="E3665" s="330" t="s">
        <v>4634</v>
      </c>
      <c r="F3665" s="331">
        <v>0.21</v>
      </c>
      <c r="G3665" s="332">
        <v>1641</v>
      </c>
      <c r="H3665" s="333">
        <v>1986</v>
      </c>
    </row>
    <row r="3666" spans="1:8">
      <c r="A3666" s="317">
        <v>1609202611</v>
      </c>
      <c r="B3666" s="317" t="s">
        <v>48032</v>
      </c>
      <c r="C3666" s="330" t="s">
        <v>11250</v>
      </c>
      <c r="D3666" s="330" t="s">
        <v>11251</v>
      </c>
      <c r="E3666" s="330" t="s">
        <v>37248</v>
      </c>
      <c r="F3666" s="331">
        <v>0.21</v>
      </c>
      <c r="G3666" s="332">
        <v>32654</v>
      </c>
      <c r="H3666" s="333">
        <v>39512</v>
      </c>
    </row>
    <row r="3667" spans="1:8">
      <c r="A3667" s="317">
        <v>1609202612</v>
      </c>
      <c r="B3667" s="317" t="s">
        <v>48033</v>
      </c>
      <c r="C3667" s="330" t="s">
        <v>11252</v>
      </c>
      <c r="D3667" s="330" t="s">
        <v>11253</v>
      </c>
      <c r="E3667" s="330" t="s">
        <v>4634</v>
      </c>
      <c r="F3667" s="331">
        <v>0.21</v>
      </c>
      <c r="G3667" s="332">
        <v>3283</v>
      </c>
      <c r="H3667" s="333">
        <v>3973</v>
      </c>
    </row>
    <row r="3668" spans="1:8">
      <c r="A3668" s="317">
        <v>1609202613</v>
      </c>
      <c r="B3668" s="317" t="s">
        <v>48034</v>
      </c>
      <c r="C3668" s="330" t="s">
        <v>11254</v>
      </c>
      <c r="D3668" s="330" t="s">
        <v>11255</v>
      </c>
      <c r="E3668" s="330" t="s">
        <v>4634</v>
      </c>
      <c r="F3668" s="331">
        <v>0.21</v>
      </c>
      <c r="G3668" s="332">
        <v>68756</v>
      </c>
      <c r="H3668" s="333">
        <v>83195</v>
      </c>
    </row>
    <row r="3669" spans="1:8">
      <c r="A3669" s="317">
        <v>1609202615</v>
      </c>
      <c r="B3669" s="317" t="s">
        <v>48035</v>
      </c>
      <c r="C3669" s="330" t="s">
        <v>11256</v>
      </c>
      <c r="D3669" s="330" t="s">
        <v>11257</v>
      </c>
      <c r="E3669" s="330" t="s">
        <v>4634</v>
      </c>
      <c r="F3669" s="331">
        <v>0.21</v>
      </c>
      <c r="G3669" s="332">
        <v>6542</v>
      </c>
      <c r="H3669" s="333">
        <v>7916</v>
      </c>
    </row>
    <row r="3670" spans="1:8">
      <c r="A3670" s="317">
        <v>1609202617</v>
      </c>
      <c r="B3670" s="317" t="s">
        <v>48036</v>
      </c>
      <c r="C3670" s="330" t="s">
        <v>11258</v>
      </c>
      <c r="D3670" s="330" t="s">
        <v>11259</v>
      </c>
      <c r="E3670" s="330" t="s">
        <v>4819</v>
      </c>
      <c r="F3670" s="331">
        <v>0.21</v>
      </c>
      <c r="G3670" s="332">
        <v>27001</v>
      </c>
      <c r="H3670" s="333">
        <v>32672</v>
      </c>
    </row>
    <row r="3671" spans="1:8">
      <c r="A3671" s="317">
        <v>1609202618</v>
      </c>
      <c r="B3671" s="317" t="s">
        <v>48037</v>
      </c>
      <c r="C3671" s="330" t="s">
        <v>11260</v>
      </c>
      <c r="D3671" s="330" t="s">
        <v>11261</v>
      </c>
      <c r="E3671" s="330" t="s">
        <v>4634</v>
      </c>
      <c r="F3671" s="331">
        <v>0.21</v>
      </c>
      <c r="G3671" s="332">
        <v>12713</v>
      </c>
      <c r="H3671" s="333">
        <v>15383</v>
      </c>
    </row>
    <row r="3672" spans="1:8">
      <c r="A3672" s="317">
        <v>1609202686</v>
      </c>
      <c r="B3672" s="317" t="s">
        <v>48038</v>
      </c>
      <c r="C3672" s="330" t="s">
        <v>11262</v>
      </c>
      <c r="D3672" s="330" t="s">
        <v>11263</v>
      </c>
      <c r="E3672" s="330" t="s">
        <v>4634</v>
      </c>
      <c r="F3672" s="331">
        <v>0.21</v>
      </c>
      <c r="G3672" s="332">
        <v>24103</v>
      </c>
      <c r="H3672" s="333">
        <v>29165</v>
      </c>
    </row>
    <row r="3673" spans="1:8">
      <c r="A3673" s="317">
        <v>1609202687</v>
      </c>
      <c r="B3673" s="317" t="s">
        <v>48039</v>
      </c>
      <c r="C3673" s="330" t="s">
        <v>11264</v>
      </c>
      <c r="D3673" s="330" t="s">
        <v>11265</v>
      </c>
      <c r="E3673" s="330" t="s">
        <v>4634</v>
      </c>
      <c r="F3673" s="331">
        <v>0.21</v>
      </c>
      <c r="G3673" s="332">
        <v>24451</v>
      </c>
      <c r="H3673" s="333">
        <v>29586</v>
      </c>
    </row>
    <row r="3674" spans="1:8">
      <c r="A3674" s="317">
        <v>1609202688</v>
      </c>
      <c r="B3674" s="317" t="s">
        <v>48040</v>
      </c>
      <c r="C3674" s="330" t="s">
        <v>11266</v>
      </c>
      <c r="D3674" s="330" t="s">
        <v>11267</v>
      </c>
      <c r="E3674" s="330" t="s">
        <v>4634</v>
      </c>
      <c r="F3674" s="331">
        <v>0.21</v>
      </c>
      <c r="G3674" s="332">
        <v>20532</v>
      </c>
      <c r="H3674" s="333">
        <v>24844</v>
      </c>
    </row>
    <row r="3675" spans="1:8">
      <c r="A3675" s="317">
        <v>1609202704</v>
      </c>
      <c r="B3675" s="317" t="s">
        <v>48041</v>
      </c>
      <c r="C3675" s="330" t="s">
        <v>11268</v>
      </c>
      <c r="D3675" s="330" t="s">
        <v>11269</v>
      </c>
      <c r="E3675" s="330" t="s">
        <v>4634</v>
      </c>
      <c r="F3675" s="331">
        <v>0.21</v>
      </c>
      <c r="G3675" s="332">
        <v>89424</v>
      </c>
      <c r="H3675" s="333">
        <v>108204</v>
      </c>
    </row>
    <row r="3676" spans="1:8">
      <c r="A3676" s="317">
        <v>1609202708</v>
      </c>
      <c r="B3676" s="317" t="s">
        <v>48042</v>
      </c>
      <c r="C3676" s="330" t="s">
        <v>11270</v>
      </c>
      <c r="D3676" s="330" t="s">
        <v>11271</v>
      </c>
      <c r="E3676" s="330" t="s">
        <v>4634</v>
      </c>
      <c r="F3676" s="331">
        <v>0.21</v>
      </c>
      <c r="G3676" s="332">
        <v>3154</v>
      </c>
      <c r="H3676" s="333">
        <v>3817</v>
      </c>
    </row>
    <row r="3677" spans="1:8">
      <c r="A3677" s="317">
        <v>1609202710</v>
      </c>
      <c r="B3677" s="317" t="s">
        <v>48043</v>
      </c>
      <c r="C3677" s="330" t="s">
        <v>11272</v>
      </c>
      <c r="D3677" s="330" t="s">
        <v>11273</v>
      </c>
      <c r="E3677" s="330" t="s">
        <v>4634</v>
      </c>
      <c r="F3677" s="331">
        <v>0.21</v>
      </c>
      <c r="G3677" s="332">
        <v>2059</v>
      </c>
      <c r="H3677" s="333">
        <v>2492</v>
      </c>
    </row>
    <row r="3678" spans="1:8">
      <c r="A3678" s="317">
        <v>1609202713</v>
      </c>
      <c r="B3678" s="317" t="s">
        <v>48044</v>
      </c>
      <c r="C3678" s="330" t="s">
        <v>11274</v>
      </c>
      <c r="D3678" s="330" t="s">
        <v>11275</v>
      </c>
      <c r="E3678" s="330" t="s">
        <v>4634</v>
      </c>
      <c r="F3678" s="331">
        <v>0.21</v>
      </c>
      <c r="G3678" s="332">
        <v>7551</v>
      </c>
      <c r="H3678" s="333">
        <v>9137</v>
      </c>
    </row>
    <row r="3679" spans="1:8">
      <c r="A3679" s="317">
        <v>1609202716</v>
      </c>
      <c r="B3679" s="317" t="s">
        <v>48045</v>
      </c>
      <c r="C3679" s="330" t="s">
        <v>11276</v>
      </c>
      <c r="D3679" s="330" t="s">
        <v>11277</v>
      </c>
      <c r="E3679" s="330" t="s">
        <v>4634</v>
      </c>
      <c r="F3679" s="331">
        <v>0.21</v>
      </c>
      <c r="G3679" s="332">
        <v>1798</v>
      </c>
      <c r="H3679" s="333">
        <v>2176</v>
      </c>
    </row>
    <row r="3680" spans="1:8">
      <c r="A3680" s="317">
        <v>1609202717</v>
      </c>
      <c r="B3680" s="317" t="s">
        <v>48046</v>
      </c>
      <c r="C3680" s="330" t="s">
        <v>11278</v>
      </c>
      <c r="D3680" s="330" t="s">
        <v>11279</v>
      </c>
      <c r="E3680" s="330" t="s">
        <v>4634</v>
      </c>
      <c r="F3680" s="331">
        <v>0.21</v>
      </c>
      <c r="G3680" s="332">
        <v>13292</v>
      </c>
      <c r="H3680" s="333">
        <v>16084</v>
      </c>
    </row>
    <row r="3681" spans="1:8">
      <c r="A3681" s="317">
        <v>1609202727</v>
      </c>
      <c r="B3681" s="317" t="s">
        <v>48047</v>
      </c>
      <c r="C3681" s="330" t="s">
        <v>11280</v>
      </c>
      <c r="D3681" s="330" t="s">
        <v>11281</v>
      </c>
      <c r="E3681" s="330" t="s">
        <v>4634</v>
      </c>
      <c r="F3681" s="331">
        <v>0.21</v>
      </c>
      <c r="G3681" s="332">
        <v>928</v>
      </c>
      <c r="H3681" s="333">
        <v>1123</v>
      </c>
    </row>
    <row r="3682" spans="1:8">
      <c r="A3682" s="317">
        <v>1609202734</v>
      </c>
      <c r="B3682" s="317" t="s">
        <v>48048</v>
      </c>
      <c r="C3682" s="330" t="s">
        <v>11282</v>
      </c>
      <c r="D3682" s="330" t="s">
        <v>11283</v>
      </c>
      <c r="E3682" s="330" t="s">
        <v>4634</v>
      </c>
      <c r="F3682" s="331">
        <v>0.21</v>
      </c>
      <c r="G3682" s="332">
        <v>82924</v>
      </c>
      <c r="H3682" s="333">
        <v>100339</v>
      </c>
    </row>
    <row r="3683" spans="1:8">
      <c r="A3683" s="317">
        <v>1609202735</v>
      </c>
      <c r="B3683" s="317" t="s">
        <v>48049</v>
      </c>
      <c r="C3683" s="330" t="s">
        <v>11284</v>
      </c>
      <c r="D3683" s="330" t="s">
        <v>11285</v>
      </c>
      <c r="E3683" s="330" t="s">
        <v>4634</v>
      </c>
      <c r="F3683" s="331">
        <v>0.21</v>
      </c>
      <c r="G3683" s="332">
        <v>791</v>
      </c>
      <c r="H3683" s="333">
        <v>958</v>
      </c>
    </row>
    <row r="3684" spans="1:8">
      <c r="A3684" s="317">
        <v>1609202747</v>
      </c>
      <c r="B3684" s="317" t="s">
        <v>48050</v>
      </c>
      <c r="C3684" s="330" t="s">
        <v>11286</v>
      </c>
      <c r="D3684" s="330" t="s">
        <v>11287</v>
      </c>
      <c r="E3684" s="330" t="s">
        <v>4634</v>
      </c>
      <c r="F3684" s="331">
        <v>0.21</v>
      </c>
      <c r="G3684" s="332">
        <v>28248</v>
      </c>
      <c r="H3684" s="333">
        <v>34181</v>
      </c>
    </row>
    <row r="3685" spans="1:8">
      <c r="A3685" s="317">
        <v>1609202749</v>
      </c>
      <c r="B3685" s="317" t="s">
        <v>48051</v>
      </c>
      <c r="C3685" s="330" t="s">
        <v>11288</v>
      </c>
      <c r="D3685" s="330" t="s">
        <v>11289</v>
      </c>
      <c r="E3685" s="330" t="s">
        <v>4634</v>
      </c>
      <c r="F3685" s="331">
        <v>0.21</v>
      </c>
      <c r="G3685" s="332">
        <v>1798</v>
      </c>
      <c r="H3685" s="333">
        <v>2176</v>
      </c>
    </row>
    <row r="3686" spans="1:8">
      <c r="A3686" s="317">
        <v>1609202764</v>
      </c>
      <c r="B3686" s="317" t="s">
        <v>48052</v>
      </c>
      <c r="C3686" s="330" t="s">
        <v>11290</v>
      </c>
      <c r="D3686" s="330" t="s">
        <v>11291</v>
      </c>
      <c r="E3686" s="330" t="s">
        <v>4634</v>
      </c>
      <c r="F3686" s="331">
        <v>0.21</v>
      </c>
      <c r="G3686" s="332">
        <v>1126</v>
      </c>
      <c r="H3686" s="333">
        <v>1363</v>
      </c>
    </row>
    <row r="3687" spans="1:8">
      <c r="A3687" s="317">
        <v>1609202768</v>
      </c>
      <c r="B3687" s="317" t="s">
        <v>48053</v>
      </c>
      <c r="C3687" s="330" t="s">
        <v>11292</v>
      </c>
      <c r="D3687" s="330" t="s">
        <v>11293</v>
      </c>
      <c r="E3687" s="330" t="s">
        <v>4634</v>
      </c>
      <c r="F3687" s="331">
        <v>0.21</v>
      </c>
      <c r="G3687" s="332">
        <v>3171</v>
      </c>
      <c r="H3687" s="333">
        <v>3837</v>
      </c>
    </row>
    <row r="3688" spans="1:8">
      <c r="A3688" s="317">
        <v>1609202799</v>
      </c>
      <c r="B3688" s="317" t="s">
        <v>48054</v>
      </c>
      <c r="C3688" s="330" t="s">
        <v>11294</v>
      </c>
      <c r="D3688" s="330" t="s">
        <v>11295</v>
      </c>
      <c r="E3688" s="330" t="s">
        <v>4634</v>
      </c>
      <c r="F3688" s="331">
        <v>0.21</v>
      </c>
      <c r="G3688" s="332">
        <v>3297</v>
      </c>
      <c r="H3688" s="333">
        <v>3990</v>
      </c>
    </row>
    <row r="3689" spans="1:8">
      <c r="A3689" s="317">
        <v>1609203102</v>
      </c>
      <c r="B3689" s="317" t="s">
        <v>48055</v>
      </c>
      <c r="C3689" s="330" t="s">
        <v>11296</v>
      </c>
      <c r="D3689" s="330" t="s">
        <v>11297</v>
      </c>
      <c r="E3689" s="330" t="s">
        <v>4634</v>
      </c>
      <c r="F3689" s="331">
        <v>0.21</v>
      </c>
      <c r="G3689" s="332">
        <v>372</v>
      </c>
      <c r="H3689" s="333">
        <v>451</v>
      </c>
    </row>
    <row r="3690" spans="1:8">
      <c r="A3690" s="317">
        <v>1609203181</v>
      </c>
      <c r="B3690" s="317" t="s">
        <v>48056</v>
      </c>
      <c r="C3690" s="330" t="s">
        <v>11298</v>
      </c>
      <c r="D3690" s="330" t="s">
        <v>11299</v>
      </c>
      <c r="E3690" s="330" t="s">
        <v>4634</v>
      </c>
      <c r="F3690" s="331">
        <v>0.21</v>
      </c>
      <c r="G3690" s="332">
        <v>4481</v>
      </c>
      <c r="H3690" s="333">
        <v>5423</v>
      </c>
    </row>
    <row r="3691" spans="1:8">
      <c r="A3691" s="317">
        <v>1609203182</v>
      </c>
      <c r="B3691" s="317" t="s">
        <v>48057</v>
      </c>
      <c r="C3691" s="330" t="s">
        <v>11300</v>
      </c>
      <c r="D3691" s="330" t="s">
        <v>11301</v>
      </c>
      <c r="E3691" s="330" t="s">
        <v>4634</v>
      </c>
      <c r="F3691" s="331">
        <v>0.21</v>
      </c>
      <c r="G3691" s="332">
        <v>15686</v>
      </c>
      <c r="H3691" s="333">
        <v>18981</v>
      </c>
    </row>
    <row r="3692" spans="1:8">
      <c r="A3692" s="317">
        <v>1609203326</v>
      </c>
      <c r="B3692" s="317" t="s">
        <v>48058</v>
      </c>
      <c r="C3692" s="330" t="s">
        <v>11302</v>
      </c>
      <c r="D3692" s="330" t="s">
        <v>11303</v>
      </c>
      <c r="E3692" s="330" t="s">
        <v>4634</v>
      </c>
      <c r="F3692" s="331">
        <v>0.21</v>
      </c>
      <c r="G3692" s="332">
        <v>94598</v>
      </c>
      <c r="H3692" s="333">
        <v>114464</v>
      </c>
    </row>
    <row r="3693" spans="1:8">
      <c r="A3693" s="317">
        <v>1609203330</v>
      </c>
      <c r="B3693" s="317" t="s">
        <v>48059</v>
      </c>
      <c r="C3693" s="330" t="s">
        <v>11304</v>
      </c>
      <c r="D3693" s="330" t="s">
        <v>11305</v>
      </c>
      <c r="E3693" s="330" t="s">
        <v>4634</v>
      </c>
      <c r="F3693" s="331">
        <v>0.21</v>
      </c>
      <c r="G3693" s="332">
        <v>23724</v>
      </c>
      <c r="H3693" s="333">
        <v>28707</v>
      </c>
    </row>
    <row r="3694" spans="1:8">
      <c r="A3694" s="317">
        <v>1609203339</v>
      </c>
      <c r="B3694" s="317" t="s">
        <v>48060</v>
      </c>
      <c r="C3694" s="330" t="s">
        <v>11306</v>
      </c>
      <c r="D3694" s="330" t="s">
        <v>11307</v>
      </c>
      <c r="E3694" s="330" t="s">
        <v>4634</v>
      </c>
      <c r="F3694" s="331">
        <v>0.21</v>
      </c>
      <c r="G3694" s="332">
        <v>455</v>
      </c>
      <c r="H3694" s="333">
        <v>551</v>
      </c>
    </row>
    <row r="3695" spans="1:8">
      <c r="A3695" s="317">
        <v>1609203340</v>
      </c>
      <c r="B3695" s="317" t="s">
        <v>48061</v>
      </c>
      <c r="C3695" s="330" t="s">
        <v>11308</v>
      </c>
      <c r="D3695" s="330" t="s">
        <v>11309</v>
      </c>
      <c r="E3695" s="330" t="s">
        <v>4634</v>
      </c>
      <c r="F3695" s="331">
        <v>0.21</v>
      </c>
      <c r="G3695" s="332">
        <v>2299</v>
      </c>
      <c r="H3695" s="333">
        <v>2782</v>
      </c>
    </row>
    <row r="3696" spans="1:8">
      <c r="A3696" s="317">
        <v>1609203343</v>
      </c>
      <c r="B3696" s="317" t="s">
        <v>48062</v>
      </c>
      <c r="C3696" s="330" t="s">
        <v>11310</v>
      </c>
      <c r="D3696" s="330" t="s">
        <v>11311</v>
      </c>
      <c r="E3696" s="330" t="s">
        <v>4634</v>
      </c>
      <c r="F3696" s="331">
        <v>0.21</v>
      </c>
      <c r="G3696" s="332">
        <v>1547</v>
      </c>
      <c r="H3696" s="333">
        <v>1872</v>
      </c>
    </row>
    <row r="3697" spans="1:8">
      <c r="A3697" s="317">
        <v>1609203354</v>
      </c>
      <c r="B3697" s="317" t="s">
        <v>48063</v>
      </c>
      <c r="C3697" s="330" t="s">
        <v>11312</v>
      </c>
      <c r="D3697" s="330" t="s">
        <v>11313</v>
      </c>
      <c r="E3697" s="330" t="s">
        <v>4634</v>
      </c>
      <c r="F3697" s="331">
        <v>0.21</v>
      </c>
      <c r="G3697" s="332">
        <v>3490</v>
      </c>
      <c r="H3697" s="333">
        <v>4223</v>
      </c>
    </row>
    <row r="3698" spans="1:8">
      <c r="A3698" s="317">
        <v>1609203362</v>
      </c>
      <c r="B3698" s="317" t="s">
        <v>48064</v>
      </c>
      <c r="C3698" s="330" t="s">
        <v>11314</v>
      </c>
      <c r="D3698" s="330" t="s">
        <v>11315</v>
      </c>
      <c r="E3698" s="330" t="s">
        <v>4634</v>
      </c>
      <c r="F3698" s="331">
        <v>0.21</v>
      </c>
      <c r="G3698" s="332">
        <v>1844</v>
      </c>
      <c r="H3698" s="333">
        <v>2232</v>
      </c>
    </row>
    <row r="3699" spans="1:8">
      <c r="A3699" s="317">
        <v>1609203363</v>
      </c>
      <c r="B3699" s="317" t="s">
        <v>48065</v>
      </c>
      <c r="C3699" s="330" t="s">
        <v>11316</v>
      </c>
      <c r="D3699" s="330" t="s">
        <v>11317</v>
      </c>
      <c r="E3699" s="330" t="s">
        <v>4634</v>
      </c>
      <c r="F3699" s="331">
        <v>0.21</v>
      </c>
      <c r="G3699" s="332">
        <v>648</v>
      </c>
      <c r="H3699" s="333">
        <v>785</v>
      </c>
    </row>
    <row r="3700" spans="1:8">
      <c r="A3700" s="317">
        <v>1609203364</v>
      </c>
      <c r="B3700" s="317" t="s">
        <v>48066</v>
      </c>
      <c r="C3700" s="330" t="s">
        <v>11318</v>
      </c>
      <c r="D3700" s="330" t="s">
        <v>11319</v>
      </c>
      <c r="E3700" s="330" t="s">
        <v>4634</v>
      </c>
      <c r="F3700" s="331">
        <v>0.21</v>
      </c>
      <c r="G3700" s="332">
        <v>1474</v>
      </c>
      <c r="H3700" s="333">
        <v>1784</v>
      </c>
    </row>
    <row r="3701" spans="1:8">
      <c r="A3701" s="317">
        <v>1609203366</v>
      </c>
      <c r="B3701" s="317" t="s">
        <v>48067</v>
      </c>
      <c r="C3701" s="330" t="s">
        <v>11320</v>
      </c>
      <c r="D3701" s="330" t="s">
        <v>11321</v>
      </c>
      <c r="E3701" s="330" t="s">
        <v>4634</v>
      </c>
      <c r="F3701" s="331">
        <v>0.21</v>
      </c>
      <c r="G3701" s="332">
        <v>648</v>
      </c>
      <c r="H3701" s="333">
        <v>785</v>
      </c>
    </row>
    <row r="3702" spans="1:8">
      <c r="A3702" s="317">
        <v>1609203367</v>
      </c>
      <c r="B3702" s="317" t="s">
        <v>48068</v>
      </c>
      <c r="C3702" s="330" t="s">
        <v>11322</v>
      </c>
      <c r="D3702" s="330" t="s">
        <v>11323</v>
      </c>
      <c r="E3702" s="330" t="s">
        <v>4634</v>
      </c>
      <c r="F3702" s="331">
        <v>0.21</v>
      </c>
      <c r="G3702" s="332">
        <v>2059</v>
      </c>
      <c r="H3702" s="333">
        <v>2492</v>
      </c>
    </row>
    <row r="3703" spans="1:8">
      <c r="A3703" s="317">
        <v>1609203368</v>
      </c>
      <c r="B3703" s="317" t="s">
        <v>48069</v>
      </c>
      <c r="C3703" s="330" t="s">
        <v>11324</v>
      </c>
      <c r="D3703" s="330" t="s">
        <v>11325</v>
      </c>
      <c r="E3703" s="330" t="s">
        <v>4634</v>
      </c>
      <c r="F3703" s="331">
        <v>0.21</v>
      </c>
      <c r="G3703" s="332">
        <v>791</v>
      </c>
      <c r="H3703" s="333">
        <v>958</v>
      </c>
    </row>
    <row r="3704" spans="1:8">
      <c r="A3704" s="317">
        <v>1609203372</v>
      </c>
      <c r="B3704" s="317" t="s">
        <v>48070</v>
      </c>
      <c r="C3704" s="330" t="s">
        <v>11326</v>
      </c>
      <c r="D3704" s="330" t="s">
        <v>11327</v>
      </c>
      <c r="E3704" s="330" t="s">
        <v>4634</v>
      </c>
      <c r="F3704" s="331">
        <v>0.21</v>
      </c>
      <c r="G3704" s="332">
        <v>372</v>
      </c>
      <c r="H3704" s="333">
        <v>451</v>
      </c>
    </row>
    <row r="3705" spans="1:8">
      <c r="A3705" s="317">
        <v>1609203375</v>
      </c>
      <c r="B3705" s="317" t="s">
        <v>48071</v>
      </c>
      <c r="C3705" s="330" t="s">
        <v>11328</v>
      </c>
      <c r="D3705" s="330" t="s">
        <v>11329</v>
      </c>
      <c r="E3705" s="330" t="s">
        <v>4634</v>
      </c>
      <c r="F3705" s="331">
        <v>0.21</v>
      </c>
      <c r="G3705" s="332">
        <v>24855</v>
      </c>
      <c r="H3705" s="333">
        <v>30075</v>
      </c>
    </row>
    <row r="3706" spans="1:8">
      <c r="A3706" s="317">
        <v>1609203376</v>
      </c>
      <c r="B3706" s="317" t="s">
        <v>48072</v>
      </c>
      <c r="C3706" s="330" t="s">
        <v>11330</v>
      </c>
      <c r="D3706" s="330" t="s">
        <v>11331</v>
      </c>
      <c r="E3706" s="330" t="s">
        <v>4634</v>
      </c>
      <c r="F3706" s="331">
        <v>0.21</v>
      </c>
      <c r="G3706" s="332">
        <v>1150</v>
      </c>
      <c r="H3706" s="333">
        <v>1392</v>
      </c>
    </row>
    <row r="3707" spans="1:8">
      <c r="A3707" s="317">
        <v>1609203417</v>
      </c>
      <c r="B3707" s="317" t="s">
        <v>48073</v>
      </c>
      <c r="C3707" s="330" t="s">
        <v>11332</v>
      </c>
      <c r="D3707" s="330" t="s">
        <v>11333</v>
      </c>
      <c r="E3707" s="330" t="s">
        <v>4634</v>
      </c>
      <c r="F3707" s="331">
        <v>0.21</v>
      </c>
      <c r="G3707" s="332">
        <v>1798</v>
      </c>
      <c r="H3707" s="333">
        <v>2176</v>
      </c>
    </row>
    <row r="3708" spans="1:8">
      <c r="A3708" s="317">
        <v>1609203423</v>
      </c>
      <c r="B3708" s="317" t="s">
        <v>48074</v>
      </c>
      <c r="C3708" s="330" t="s">
        <v>11334</v>
      </c>
      <c r="D3708" s="330" t="s">
        <v>11335</v>
      </c>
      <c r="E3708" s="330" t="s">
        <v>4634</v>
      </c>
      <c r="F3708" s="331">
        <v>0.21</v>
      </c>
      <c r="G3708" s="332">
        <v>3490</v>
      </c>
      <c r="H3708" s="333">
        <v>4223</v>
      </c>
    </row>
    <row r="3709" spans="1:8">
      <c r="A3709" s="317">
        <v>1609203474</v>
      </c>
      <c r="B3709" s="317" t="s">
        <v>48075</v>
      </c>
      <c r="C3709" s="330" t="s">
        <v>11336</v>
      </c>
      <c r="D3709" s="330" t="s">
        <v>11337</v>
      </c>
      <c r="E3709" s="330" t="s">
        <v>4634</v>
      </c>
      <c r="F3709" s="331">
        <v>0.21</v>
      </c>
      <c r="G3709" s="332">
        <v>9128</v>
      </c>
      <c r="H3709" s="333">
        <v>11045</v>
      </c>
    </row>
    <row r="3710" spans="1:8">
      <c r="A3710" s="317">
        <v>1609203478</v>
      </c>
      <c r="B3710" s="317" t="s">
        <v>48076</v>
      </c>
      <c r="C3710" s="330" t="s">
        <v>11338</v>
      </c>
      <c r="D3710" s="330" t="s">
        <v>11177</v>
      </c>
      <c r="E3710" s="330" t="s">
        <v>4634</v>
      </c>
      <c r="F3710" s="331">
        <v>0.21</v>
      </c>
      <c r="G3710" s="332">
        <v>2059</v>
      </c>
      <c r="H3710" s="333">
        <v>2492</v>
      </c>
    </row>
    <row r="3711" spans="1:8">
      <c r="A3711" s="317">
        <v>1609203487</v>
      </c>
      <c r="B3711" s="317" t="s">
        <v>48077</v>
      </c>
      <c r="C3711" s="330" t="s">
        <v>11339</v>
      </c>
      <c r="D3711" s="330" t="s">
        <v>11340</v>
      </c>
      <c r="E3711" s="330" t="s">
        <v>4634</v>
      </c>
      <c r="F3711" s="331">
        <v>0.21</v>
      </c>
      <c r="G3711" s="332">
        <v>4349</v>
      </c>
      <c r="H3711" s="333">
        <v>5263</v>
      </c>
    </row>
    <row r="3712" spans="1:8">
      <c r="A3712" s="317">
        <v>1609203539</v>
      </c>
      <c r="B3712" s="317" t="s">
        <v>48078</v>
      </c>
      <c r="C3712" s="330" t="s">
        <v>11341</v>
      </c>
      <c r="D3712" s="330" t="s">
        <v>11342</v>
      </c>
      <c r="E3712" s="330" t="s">
        <v>4634</v>
      </c>
      <c r="F3712" s="331">
        <v>0.21</v>
      </c>
      <c r="G3712" s="332">
        <v>1030</v>
      </c>
      <c r="H3712" s="333">
        <v>1247</v>
      </c>
    </row>
    <row r="3713" spans="1:8">
      <c r="A3713" s="317">
        <v>1609203542</v>
      </c>
      <c r="B3713" s="317" t="s">
        <v>48079</v>
      </c>
      <c r="C3713" s="330" t="s">
        <v>11343</v>
      </c>
      <c r="D3713" s="330" t="s">
        <v>11344</v>
      </c>
      <c r="E3713" s="330" t="s">
        <v>4634</v>
      </c>
      <c r="F3713" s="331">
        <v>0.21</v>
      </c>
      <c r="G3713" s="332">
        <v>9208</v>
      </c>
      <c r="H3713" s="333">
        <v>11142</v>
      </c>
    </row>
    <row r="3714" spans="1:8">
      <c r="A3714" s="317">
        <v>1609203543</v>
      </c>
      <c r="B3714" s="317" t="s">
        <v>48080</v>
      </c>
      <c r="C3714" s="330" t="s">
        <v>11345</v>
      </c>
      <c r="D3714" s="330" t="s">
        <v>11346</v>
      </c>
      <c r="E3714" s="330" t="s">
        <v>4634</v>
      </c>
      <c r="F3714" s="331">
        <v>0.21</v>
      </c>
      <c r="G3714" s="332">
        <v>16802</v>
      </c>
      <c r="H3714" s="333">
        <v>20331</v>
      </c>
    </row>
    <row r="3715" spans="1:8">
      <c r="A3715" s="317">
        <v>1609203545</v>
      </c>
      <c r="B3715" s="317" t="s">
        <v>48081</v>
      </c>
      <c r="C3715" s="330" t="s">
        <v>11347</v>
      </c>
      <c r="D3715" s="330" t="s">
        <v>11348</v>
      </c>
      <c r="E3715" s="330" t="s">
        <v>4634</v>
      </c>
      <c r="F3715" s="331">
        <v>0.21</v>
      </c>
      <c r="G3715" s="332">
        <v>3966</v>
      </c>
      <c r="H3715" s="333">
        <v>4799</v>
      </c>
    </row>
    <row r="3716" spans="1:8">
      <c r="A3716" s="317">
        <v>1609203546</v>
      </c>
      <c r="B3716" s="317" t="s">
        <v>48082</v>
      </c>
      <c r="C3716" s="330" t="s">
        <v>11349</v>
      </c>
      <c r="D3716" s="330" t="s">
        <v>11350</v>
      </c>
      <c r="E3716" s="330" t="s">
        <v>4634</v>
      </c>
      <c r="F3716" s="331">
        <v>0.21</v>
      </c>
      <c r="G3716" s="332">
        <v>24855</v>
      </c>
      <c r="H3716" s="333">
        <v>30075</v>
      </c>
    </row>
    <row r="3717" spans="1:8">
      <c r="A3717" s="317">
        <v>1609203547</v>
      </c>
      <c r="B3717" s="317" t="s">
        <v>48083</v>
      </c>
      <c r="C3717" s="330" t="s">
        <v>11351</v>
      </c>
      <c r="D3717" s="330" t="s">
        <v>11352</v>
      </c>
      <c r="E3717" s="330" t="s">
        <v>4634</v>
      </c>
      <c r="F3717" s="331">
        <v>0.21</v>
      </c>
      <c r="G3717" s="332">
        <v>1126</v>
      </c>
      <c r="H3717" s="333">
        <v>1363</v>
      </c>
    </row>
    <row r="3718" spans="1:8">
      <c r="A3718" s="317">
        <v>1609203548</v>
      </c>
      <c r="B3718" s="317" t="s">
        <v>48084</v>
      </c>
      <c r="C3718" s="330" t="s">
        <v>11353</v>
      </c>
      <c r="D3718" s="330" t="s">
        <v>11354</v>
      </c>
      <c r="E3718" s="330" t="s">
        <v>4634</v>
      </c>
      <c r="F3718" s="331">
        <v>0.21</v>
      </c>
      <c r="G3718" s="332">
        <v>372</v>
      </c>
      <c r="H3718" s="333">
        <v>451</v>
      </c>
    </row>
    <row r="3719" spans="1:8">
      <c r="A3719" s="317">
        <v>1609203549</v>
      </c>
      <c r="B3719" s="317" t="s">
        <v>48085</v>
      </c>
      <c r="C3719" s="330" t="s">
        <v>11355</v>
      </c>
      <c r="D3719" s="330" t="s">
        <v>11356</v>
      </c>
      <c r="E3719" s="330" t="s">
        <v>4634</v>
      </c>
      <c r="F3719" s="331">
        <v>0.21</v>
      </c>
      <c r="G3719" s="332">
        <v>791</v>
      </c>
      <c r="H3719" s="333">
        <v>958</v>
      </c>
    </row>
    <row r="3720" spans="1:8">
      <c r="A3720" s="317">
        <v>1609203550</v>
      </c>
      <c r="B3720" s="317" t="s">
        <v>48086</v>
      </c>
      <c r="C3720" s="330" t="s">
        <v>11357</v>
      </c>
      <c r="D3720" s="330" t="s">
        <v>11358</v>
      </c>
      <c r="E3720" s="330" t="s">
        <v>4634</v>
      </c>
      <c r="F3720" s="331">
        <v>0.21</v>
      </c>
      <c r="G3720" s="332">
        <v>2707</v>
      </c>
      <c r="H3720" s="333">
        <v>3276</v>
      </c>
    </row>
    <row r="3721" spans="1:8">
      <c r="A3721" s="317">
        <v>1609203551</v>
      </c>
      <c r="B3721" s="317" t="s">
        <v>48087</v>
      </c>
      <c r="C3721" s="330" t="s">
        <v>11359</v>
      </c>
      <c r="D3721" s="330" t="s">
        <v>11360</v>
      </c>
      <c r="E3721" s="330" t="s">
        <v>4634</v>
      </c>
      <c r="F3721" s="331">
        <v>0.21</v>
      </c>
      <c r="G3721" s="332">
        <v>3383</v>
      </c>
      <c r="H3721" s="333">
        <v>4094</v>
      </c>
    </row>
    <row r="3722" spans="1:8">
      <c r="A3722" s="317">
        <v>1609203552</v>
      </c>
      <c r="B3722" s="317" t="s">
        <v>48088</v>
      </c>
      <c r="C3722" s="330" t="s">
        <v>11361</v>
      </c>
      <c r="D3722" s="330" t="s">
        <v>11362</v>
      </c>
      <c r="E3722" s="330" t="s">
        <v>4634</v>
      </c>
      <c r="F3722" s="331">
        <v>0.21</v>
      </c>
      <c r="G3722" s="332">
        <v>678</v>
      </c>
      <c r="H3722" s="333">
        <v>821</v>
      </c>
    </row>
    <row r="3723" spans="1:8">
      <c r="A3723" s="317">
        <v>1609203553</v>
      </c>
      <c r="B3723" s="317" t="s">
        <v>48089</v>
      </c>
      <c r="C3723" s="330" t="s">
        <v>11363</v>
      </c>
      <c r="D3723" s="330" t="s">
        <v>11364</v>
      </c>
      <c r="E3723" s="330" t="s">
        <v>4634</v>
      </c>
      <c r="F3723" s="331">
        <v>0.21</v>
      </c>
      <c r="G3723" s="332">
        <v>584</v>
      </c>
      <c r="H3723" s="333">
        <v>707</v>
      </c>
    </row>
    <row r="3724" spans="1:8">
      <c r="A3724" s="317">
        <v>1609203554</v>
      </c>
      <c r="B3724" s="317" t="s">
        <v>48090</v>
      </c>
      <c r="C3724" s="330" t="s">
        <v>11365</v>
      </c>
      <c r="D3724" s="330" t="s">
        <v>11366</v>
      </c>
      <c r="E3724" s="330" t="s">
        <v>4634</v>
      </c>
      <c r="F3724" s="331">
        <v>0.21</v>
      </c>
      <c r="G3724" s="332">
        <v>372</v>
      </c>
      <c r="H3724" s="333">
        <v>451</v>
      </c>
    </row>
    <row r="3725" spans="1:8">
      <c r="A3725" s="317">
        <v>1609203556</v>
      </c>
      <c r="B3725" s="317" t="s">
        <v>48091</v>
      </c>
      <c r="C3725" s="330" t="s">
        <v>11367</v>
      </c>
      <c r="D3725" s="330" t="s">
        <v>11368</v>
      </c>
      <c r="E3725" s="330" t="s">
        <v>4634</v>
      </c>
      <c r="F3725" s="331">
        <v>0.21</v>
      </c>
      <c r="G3725" s="332">
        <v>2270</v>
      </c>
      <c r="H3725" s="333">
        <v>2747</v>
      </c>
    </row>
    <row r="3726" spans="1:8">
      <c r="A3726" s="317">
        <v>1609203558</v>
      </c>
      <c r="B3726" s="317" t="s">
        <v>48092</v>
      </c>
      <c r="C3726" s="330" t="s">
        <v>11369</v>
      </c>
      <c r="D3726" s="330" t="s">
        <v>11370</v>
      </c>
      <c r="E3726" s="330" t="s">
        <v>4634</v>
      </c>
      <c r="F3726" s="331">
        <v>0.21</v>
      </c>
      <c r="G3726" s="332">
        <v>1030</v>
      </c>
      <c r="H3726" s="333">
        <v>1247</v>
      </c>
    </row>
    <row r="3727" spans="1:8">
      <c r="A3727" s="317">
        <v>1609203559</v>
      </c>
      <c r="B3727" s="317" t="s">
        <v>48093</v>
      </c>
      <c r="C3727" s="330" t="s">
        <v>11371</v>
      </c>
      <c r="D3727" s="330" t="s">
        <v>11372</v>
      </c>
      <c r="E3727" s="330" t="s">
        <v>4634</v>
      </c>
      <c r="F3727" s="331">
        <v>0.21</v>
      </c>
      <c r="G3727" s="332">
        <v>372</v>
      </c>
      <c r="H3727" s="333">
        <v>451</v>
      </c>
    </row>
    <row r="3728" spans="1:8">
      <c r="A3728" s="317">
        <v>1609203561</v>
      </c>
      <c r="B3728" s="317" t="s">
        <v>48094</v>
      </c>
      <c r="C3728" s="330" t="s">
        <v>11373</v>
      </c>
      <c r="D3728" s="330" t="s">
        <v>11374</v>
      </c>
      <c r="E3728" s="330" t="s">
        <v>4634</v>
      </c>
      <c r="F3728" s="331">
        <v>0.21</v>
      </c>
      <c r="G3728" s="332">
        <v>648</v>
      </c>
      <c r="H3728" s="333">
        <v>785</v>
      </c>
    </row>
    <row r="3729" spans="1:8">
      <c r="A3729" s="317">
        <v>1609203562</v>
      </c>
      <c r="B3729" s="317" t="s">
        <v>48095</v>
      </c>
      <c r="C3729" s="330" t="s">
        <v>11375</v>
      </c>
      <c r="D3729" s="330" t="s">
        <v>11376</v>
      </c>
      <c r="E3729" s="330" t="s">
        <v>4634</v>
      </c>
      <c r="F3729" s="331">
        <v>0.21</v>
      </c>
      <c r="G3729" s="332">
        <v>2059</v>
      </c>
      <c r="H3729" s="333">
        <v>2492</v>
      </c>
    </row>
    <row r="3730" spans="1:8">
      <c r="A3730" s="317">
        <v>1609203563</v>
      </c>
      <c r="B3730" s="317" t="s">
        <v>48096</v>
      </c>
      <c r="C3730" s="330" t="s">
        <v>11377</v>
      </c>
      <c r="D3730" s="330" t="s">
        <v>11378</v>
      </c>
      <c r="E3730" s="330" t="s">
        <v>4634</v>
      </c>
      <c r="F3730" s="331">
        <v>0.21</v>
      </c>
      <c r="G3730" s="332">
        <v>564</v>
      </c>
      <c r="H3730" s="333">
        <v>683</v>
      </c>
    </row>
    <row r="3731" spans="1:8">
      <c r="A3731" s="317">
        <v>1609203566</v>
      </c>
      <c r="B3731" s="317" t="s">
        <v>48097</v>
      </c>
      <c r="C3731" s="330" t="s">
        <v>11379</v>
      </c>
      <c r="D3731" s="330" t="s">
        <v>11380</v>
      </c>
      <c r="E3731" s="330" t="s">
        <v>4634</v>
      </c>
      <c r="F3731" s="331">
        <v>0.21</v>
      </c>
      <c r="G3731" s="332">
        <v>348</v>
      </c>
      <c r="H3731" s="333">
        <v>422</v>
      </c>
    </row>
    <row r="3732" spans="1:8">
      <c r="A3732" s="317">
        <v>1609203567</v>
      </c>
      <c r="B3732" s="317" t="s">
        <v>48098</v>
      </c>
      <c r="C3732" s="330" t="s">
        <v>11381</v>
      </c>
      <c r="D3732" s="330" t="s">
        <v>11382</v>
      </c>
      <c r="E3732" s="330" t="s">
        <v>4634</v>
      </c>
      <c r="F3732" s="331">
        <v>0.21</v>
      </c>
      <c r="G3732" s="332">
        <v>584</v>
      </c>
      <c r="H3732" s="333">
        <v>707</v>
      </c>
    </row>
    <row r="3733" spans="1:8">
      <c r="A3733" s="317">
        <v>1609203569</v>
      </c>
      <c r="B3733" s="317" t="s">
        <v>48099</v>
      </c>
      <c r="C3733" s="330" t="s">
        <v>11383</v>
      </c>
      <c r="D3733" s="330" t="s">
        <v>11384</v>
      </c>
      <c r="E3733" s="330" t="s">
        <v>4634</v>
      </c>
      <c r="F3733" s="331">
        <v>0.21</v>
      </c>
      <c r="G3733" s="332">
        <v>3528</v>
      </c>
      <c r="H3733" s="333">
        <v>4269</v>
      </c>
    </row>
    <row r="3734" spans="1:8">
      <c r="A3734" s="317">
        <v>1609203574</v>
      </c>
      <c r="B3734" s="317" t="s">
        <v>48100</v>
      </c>
      <c r="C3734" s="330" t="s">
        <v>11385</v>
      </c>
      <c r="D3734" s="330" t="s">
        <v>11386</v>
      </c>
      <c r="E3734" s="330" t="s">
        <v>4634</v>
      </c>
      <c r="F3734" s="331">
        <v>0.21</v>
      </c>
      <c r="G3734" s="332">
        <v>584</v>
      </c>
      <c r="H3734" s="333">
        <v>707</v>
      </c>
    </row>
    <row r="3735" spans="1:8">
      <c r="A3735" s="317">
        <v>1609203601</v>
      </c>
      <c r="B3735" s="317" t="s">
        <v>48101</v>
      </c>
      <c r="C3735" s="330" t="s">
        <v>11387</v>
      </c>
      <c r="D3735" s="330" t="s">
        <v>11388</v>
      </c>
      <c r="E3735" s="330" t="s">
        <v>4634</v>
      </c>
      <c r="F3735" s="331">
        <v>0.21</v>
      </c>
      <c r="G3735" s="332">
        <v>580</v>
      </c>
      <c r="H3735" s="333">
        <v>702</v>
      </c>
    </row>
    <row r="3736" spans="1:8">
      <c r="A3736" s="317">
        <v>1609203611</v>
      </c>
      <c r="B3736" s="317" t="s">
        <v>48102</v>
      </c>
      <c r="C3736" s="330" t="s">
        <v>11389</v>
      </c>
      <c r="D3736" s="330" t="s">
        <v>11390</v>
      </c>
      <c r="E3736" s="330" t="s">
        <v>4634</v>
      </c>
      <c r="F3736" s="331">
        <v>0.21</v>
      </c>
      <c r="G3736" s="332">
        <v>256</v>
      </c>
      <c r="H3736" s="333">
        <v>310</v>
      </c>
    </row>
    <row r="3737" spans="1:8">
      <c r="A3737" s="317">
        <v>1609203664</v>
      </c>
      <c r="B3737" s="317" t="s">
        <v>48103</v>
      </c>
      <c r="C3737" s="330" t="s">
        <v>11391</v>
      </c>
      <c r="D3737" s="330" t="s">
        <v>11392</v>
      </c>
      <c r="E3737" s="330" t="s">
        <v>4634</v>
      </c>
      <c r="F3737" s="331">
        <v>0.21</v>
      </c>
      <c r="G3737" s="332">
        <v>1547</v>
      </c>
      <c r="H3737" s="333">
        <v>1872</v>
      </c>
    </row>
    <row r="3738" spans="1:8">
      <c r="A3738" s="317">
        <v>1609203691</v>
      </c>
      <c r="B3738" s="317" t="s">
        <v>48104</v>
      </c>
      <c r="C3738" s="330" t="s">
        <v>11393</v>
      </c>
      <c r="D3738" s="330" t="s">
        <v>11394</v>
      </c>
      <c r="E3738" s="330" t="s">
        <v>4634</v>
      </c>
      <c r="F3738" s="331">
        <v>0.21</v>
      </c>
      <c r="G3738" s="332">
        <v>72241</v>
      </c>
      <c r="H3738" s="333">
        <v>87412</v>
      </c>
    </row>
    <row r="3739" spans="1:8">
      <c r="A3739" s="317">
        <v>1609203704</v>
      </c>
      <c r="B3739" s="317" t="s">
        <v>48105</v>
      </c>
      <c r="C3739" s="330" t="s">
        <v>11395</v>
      </c>
      <c r="D3739" s="330" t="s">
        <v>11396</v>
      </c>
      <c r="E3739" s="330" t="s">
        <v>4634</v>
      </c>
      <c r="F3739" s="331">
        <v>0.21</v>
      </c>
      <c r="G3739" s="332">
        <v>29140</v>
      </c>
      <c r="H3739" s="333">
        <v>35260</v>
      </c>
    </row>
    <row r="3740" spans="1:8">
      <c r="A3740" s="317">
        <v>1609203706</v>
      </c>
      <c r="B3740" s="317" t="s">
        <v>48106</v>
      </c>
      <c r="C3740" s="330" t="s">
        <v>11397</v>
      </c>
      <c r="D3740" s="330" t="s">
        <v>11398</v>
      </c>
      <c r="E3740" s="330" t="s">
        <v>4634</v>
      </c>
      <c r="F3740" s="331">
        <v>0.21</v>
      </c>
      <c r="G3740" s="332">
        <v>7250</v>
      </c>
      <c r="H3740" s="333">
        <v>8773</v>
      </c>
    </row>
    <row r="3741" spans="1:8">
      <c r="A3741" s="317">
        <v>1609203991</v>
      </c>
      <c r="B3741" s="317" t="s">
        <v>48107</v>
      </c>
      <c r="C3741" s="330" t="s">
        <v>11399</v>
      </c>
      <c r="D3741" s="330" t="s">
        <v>11400</v>
      </c>
      <c r="E3741" s="330" t="s">
        <v>4634</v>
      </c>
      <c r="F3741" s="331">
        <v>0.21</v>
      </c>
      <c r="G3741" s="332">
        <v>4432</v>
      </c>
      <c r="H3741" s="333">
        <v>5363</v>
      </c>
    </row>
    <row r="3742" spans="1:8">
      <c r="A3742" s="317">
        <v>1609203992</v>
      </c>
      <c r="B3742" s="317" t="s">
        <v>48108</v>
      </c>
      <c r="C3742" s="330" t="s">
        <v>11401</v>
      </c>
      <c r="D3742" s="330" t="s">
        <v>11402</v>
      </c>
      <c r="E3742" s="330" t="s">
        <v>4819</v>
      </c>
      <c r="F3742" s="331">
        <v>0.21</v>
      </c>
      <c r="G3742" s="332">
        <v>59690</v>
      </c>
      <c r="H3742" s="333">
        <v>72225</v>
      </c>
    </row>
    <row r="3743" spans="1:8">
      <c r="A3743" s="317" t="s">
        <v>39246</v>
      </c>
      <c r="B3743" s="317" t="s">
        <v>48109</v>
      </c>
      <c r="C3743" s="330" t="s">
        <v>11403</v>
      </c>
      <c r="D3743" s="330" t="s">
        <v>11404</v>
      </c>
      <c r="E3743" s="330" t="s">
        <v>4634</v>
      </c>
      <c r="F3743" s="331">
        <v>0.21</v>
      </c>
      <c r="G3743" s="332">
        <v>24460</v>
      </c>
      <c r="H3743" s="333">
        <v>29597</v>
      </c>
    </row>
    <row r="3744" spans="1:8">
      <c r="A3744" s="317" t="s">
        <v>39247</v>
      </c>
      <c r="B3744" s="317" t="s">
        <v>48110</v>
      </c>
      <c r="C3744" s="330" t="s">
        <v>11405</v>
      </c>
      <c r="D3744" s="330" t="s">
        <v>11406</v>
      </c>
      <c r="E3744" s="330" t="s">
        <v>4634</v>
      </c>
      <c r="F3744" s="331">
        <v>0.21</v>
      </c>
      <c r="G3744" s="332">
        <v>1170</v>
      </c>
      <c r="H3744" s="333">
        <v>1416</v>
      </c>
    </row>
    <row r="3745" spans="1:8">
      <c r="A3745" s="317" t="s">
        <v>39248</v>
      </c>
      <c r="B3745" s="317" t="s">
        <v>48111</v>
      </c>
      <c r="C3745" s="330" t="s">
        <v>11407</v>
      </c>
      <c r="D3745" s="330" t="s">
        <v>11408</v>
      </c>
      <c r="E3745" s="330" t="s">
        <v>4634</v>
      </c>
      <c r="F3745" s="331">
        <v>0.21</v>
      </c>
      <c r="G3745" s="332">
        <v>1581</v>
      </c>
      <c r="H3745" s="333">
        <v>1914</v>
      </c>
    </row>
    <row r="3746" spans="1:8">
      <c r="A3746" s="317" t="s">
        <v>39249</v>
      </c>
      <c r="B3746" s="317" t="s">
        <v>48112</v>
      </c>
      <c r="C3746" s="330" t="s">
        <v>11409</v>
      </c>
      <c r="D3746" s="330" t="s">
        <v>11410</v>
      </c>
      <c r="E3746" s="330" t="s">
        <v>4634</v>
      </c>
      <c r="F3746" s="331">
        <v>0.21</v>
      </c>
      <c r="G3746" s="332">
        <v>118313</v>
      </c>
      <c r="H3746" s="333">
        <v>143159</v>
      </c>
    </row>
    <row r="3747" spans="1:8">
      <c r="A3747" s="317" t="s">
        <v>39250</v>
      </c>
      <c r="B3747" s="317" t="s">
        <v>48113</v>
      </c>
      <c r="C3747" s="330" t="s">
        <v>11411</v>
      </c>
      <c r="D3747" s="330" t="s">
        <v>11412</v>
      </c>
      <c r="E3747" s="330" t="s">
        <v>37248</v>
      </c>
      <c r="F3747" s="331">
        <v>0.21</v>
      </c>
      <c r="G3747" s="332">
        <v>7236</v>
      </c>
      <c r="H3747" s="333">
        <v>8756</v>
      </c>
    </row>
    <row r="3748" spans="1:8">
      <c r="A3748" s="317" t="s">
        <v>39251</v>
      </c>
      <c r="B3748" s="317" t="s">
        <v>48114</v>
      </c>
      <c r="C3748" s="330" t="s">
        <v>11413</v>
      </c>
      <c r="D3748" s="330" t="s">
        <v>11414</v>
      </c>
      <c r="E3748" s="330" t="s">
        <v>4634</v>
      </c>
      <c r="F3748" s="331">
        <v>0.21</v>
      </c>
      <c r="G3748" s="332">
        <v>928</v>
      </c>
      <c r="H3748" s="333">
        <v>1123</v>
      </c>
    </row>
    <row r="3749" spans="1:8">
      <c r="A3749" s="317" t="s">
        <v>39252</v>
      </c>
      <c r="B3749" s="317" t="s">
        <v>48115</v>
      </c>
      <c r="C3749" s="330" t="s">
        <v>11415</v>
      </c>
      <c r="D3749" s="330" t="s">
        <v>11416</v>
      </c>
      <c r="E3749" s="330" t="s">
        <v>4634</v>
      </c>
      <c r="F3749" s="331">
        <v>0.21</v>
      </c>
      <c r="G3749" s="332">
        <v>678</v>
      </c>
      <c r="H3749" s="333">
        <v>821</v>
      </c>
    </row>
    <row r="3750" spans="1:8">
      <c r="A3750" s="317" t="s">
        <v>39253</v>
      </c>
      <c r="B3750" s="317" t="s">
        <v>48116</v>
      </c>
      <c r="C3750" s="330" t="s">
        <v>11417</v>
      </c>
      <c r="D3750" s="330" t="s">
        <v>11418</v>
      </c>
      <c r="E3750" s="330" t="s">
        <v>4634</v>
      </c>
      <c r="F3750" s="331">
        <v>0.21</v>
      </c>
      <c r="G3750" s="332">
        <v>2491</v>
      </c>
      <c r="H3750" s="333">
        <v>3015</v>
      </c>
    </row>
    <row r="3751" spans="1:8">
      <c r="A3751" s="317" t="s">
        <v>39254</v>
      </c>
      <c r="B3751" s="317" t="s">
        <v>48117</v>
      </c>
      <c r="C3751" s="330" t="s">
        <v>11419</v>
      </c>
      <c r="D3751" s="330" t="s">
        <v>11418</v>
      </c>
      <c r="E3751" s="330" t="s">
        <v>4634</v>
      </c>
      <c r="F3751" s="331">
        <v>0.21</v>
      </c>
      <c r="G3751" s="332">
        <v>4963</v>
      </c>
      <c r="H3751" s="333">
        <v>6006</v>
      </c>
    </row>
    <row r="3752" spans="1:8">
      <c r="A3752" s="317" t="s">
        <v>39255</v>
      </c>
      <c r="B3752" s="317" t="s">
        <v>48118</v>
      </c>
      <c r="C3752" s="330" t="s">
        <v>11420</v>
      </c>
      <c r="D3752" s="330" t="s">
        <v>11421</v>
      </c>
      <c r="E3752" s="330" t="s">
        <v>4634</v>
      </c>
      <c r="F3752" s="331">
        <v>0.21</v>
      </c>
      <c r="G3752" s="332">
        <v>2462</v>
      </c>
      <c r="H3752" s="333">
        <v>2980</v>
      </c>
    </row>
    <row r="3753" spans="1:8">
      <c r="A3753" s="317" t="s">
        <v>39256</v>
      </c>
      <c r="B3753" s="317" t="s">
        <v>48119</v>
      </c>
      <c r="C3753" s="330" t="s">
        <v>11422</v>
      </c>
      <c r="D3753" s="330" t="s">
        <v>11423</v>
      </c>
      <c r="E3753" s="330" t="s">
        <v>4634</v>
      </c>
      <c r="F3753" s="331">
        <v>0.21</v>
      </c>
      <c r="G3753" s="332">
        <v>2806</v>
      </c>
      <c r="H3753" s="333">
        <v>3396</v>
      </c>
    </row>
    <row r="3754" spans="1:8">
      <c r="A3754" s="317" t="s">
        <v>39257</v>
      </c>
      <c r="B3754" s="317" t="s">
        <v>48120</v>
      </c>
      <c r="C3754" s="330" t="s">
        <v>11424</v>
      </c>
      <c r="D3754" s="330" t="s">
        <v>11425</v>
      </c>
      <c r="E3754" s="330" t="s">
        <v>4634</v>
      </c>
      <c r="F3754" s="331">
        <v>0.21</v>
      </c>
      <c r="G3754" s="332">
        <v>678</v>
      </c>
      <c r="H3754" s="333">
        <v>821</v>
      </c>
    </row>
    <row r="3755" spans="1:8">
      <c r="A3755" s="317" t="s">
        <v>39258</v>
      </c>
      <c r="B3755" s="317" t="s">
        <v>48121</v>
      </c>
      <c r="C3755" s="330" t="s">
        <v>11426</v>
      </c>
      <c r="D3755" s="330" t="s">
        <v>11427</v>
      </c>
      <c r="E3755" s="330" t="s">
        <v>4634</v>
      </c>
      <c r="F3755" s="331">
        <v>0.21</v>
      </c>
      <c r="G3755" s="332">
        <v>6212</v>
      </c>
      <c r="H3755" s="333">
        <v>7517</v>
      </c>
    </row>
    <row r="3756" spans="1:8">
      <c r="A3756" s="317" t="s">
        <v>39259</v>
      </c>
      <c r="B3756" s="317" t="s">
        <v>48122</v>
      </c>
      <c r="C3756" s="330" t="s">
        <v>11428</v>
      </c>
      <c r="D3756" s="330" t="s">
        <v>11429</v>
      </c>
      <c r="E3756" s="330" t="s">
        <v>4634</v>
      </c>
      <c r="F3756" s="331">
        <v>0.21</v>
      </c>
      <c r="G3756" s="332">
        <v>1479</v>
      </c>
      <c r="H3756" s="333">
        <v>1790</v>
      </c>
    </row>
    <row r="3757" spans="1:8">
      <c r="A3757" s="317" t="s">
        <v>39260</v>
      </c>
      <c r="B3757" s="317" t="s">
        <v>48123</v>
      </c>
      <c r="C3757" s="330" t="s">
        <v>11430</v>
      </c>
      <c r="D3757" s="330" t="s">
        <v>11431</v>
      </c>
      <c r="E3757" s="330" t="s">
        <v>4634</v>
      </c>
      <c r="F3757" s="331">
        <v>0.21</v>
      </c>
      <c r="G3757" s="332">
        <v>10120</v>
      </c>
      <c r="H3757" s="333">
        <v>12246</v>
      </c>
    </row>
    <row r="3758" spans="1:8">
      <c r="A3758" s="317" t="s">
        <v>39261</v>
      </c>
      <c r="B3758" s="317" t="s">
        <v>48124</v>
      </c>
      <c r="C3758" s="330" t="s">
        <v>11432</v>
      </c>
      <c r="D3758" s="330" t="s">
        <v>11433</v>
      </c>
      <c r="E3758" s="330" t="s">
        <v>4634</v>
      </c>
      <c r="F3758" s="331">
        <v>0.21</v>
      </c>
      <c r="G3758" s="332">
        <v>2775</v>
      </c>
      <c r="H3758" s="333">
        <v>3358</v>
      </c>
    </row>
    <row r="3759" spans="1:8">
      <c r="A3759" s="317" t="s">
        <v>39262</v>
      </c>
      <c r="B3759" s="317" t="s">
        <v>48125</v>
      </c>
      <c r="C3759" s="330" t="s">
        <v>11434</v>
      </c>
      <c r="D3759" s="330" t="s">
        <v>11435</v>
      </c>
      <c r="E3759" s="330" t="s">
        <v>4634</v>
      </c>
      <c r="F3759" s="331">
        <v>0.21</v>
      </c>
      <c r="G3759" s="332">
        <v>274</v>
      </c>
      <c r="H3759" s="333">
        <v>332</v>
      </c>
    </row>
    <row r="3760" spans="1:8">
      <c r="A3760" s="317" t="s">
        <v>39263</v>
      </c>
      <c r="B3760" s="317" t="s">
        <v>48126</v>
      </c>
      <c r="C3760" s="330" t="s">
        <v>11436</v>
      </c>
      <c r="D3760" s="330" t="s">
        <v>11437</v>
      </c>
      <c r="E3760" s="330" t="s">
        <v>4634</v>
      </c>
      <c r="F3760" s="331">
        <v>0.21</v>
      </c>
      <c r="G3760" s="332">
        <v>648</v>
      </c>
      <c r="H3760" s="333">
        <v>785</v>
      </c>
    </row>
    <row r="3761" spans="1:8">
      <c r="A3761" s="317" t="s">
        <v>39264</v>
      </c>
      <c r="B3761" s="317" t="s">
        <v>48127</v>
      </c>
      <c r="C3761" s="330" t="s">
        <v>11438</v>
      </c>
      <c r="D3761" s="330" t="s">
        <v>11439</v>
      </c>
      <c r="E3761" s="330" t="s">
        <v>4634</v>
      </c>
      <c r="F3761" s="331">
        <v>0.21</v>
      </c>
      <c r="G3761" s="332">
        <v>648</v>
      </c>
      <c r="H3761" s="333">
        <v>785</v>
      </c>
    </row>
    <row r="3762" spans="1:8">
      <c r="A3762" s="317" t="s">
        <v>39265</v>
      </c>
      <c r="B3762" s="317" t="s">
        <v>48128</v>
      </c>
      <c r="C3762" s="330" t="s">
        <v>11440</v>
      </c>
      <c r="D3762" s="330" t="s">
        <v>11441</v>
      </c>
      <c r="E3762" s="330" t="s">
        <v>4634</v>
      </c>
      <c r="F3762" s="331">
        <v>0.21</v>
      </c>
      <c r="G3762" s="332">
        <v>678</v>
      </c>
      <c r="H3762" s="333">
        <v>821</v>
      </c>
    </row>
    <row r="3763" spans="1:8">
      <c r="A3763" s="317" t="s">
        <v>39266</v>
      </c>
      <c r="B3763" s="317" t="s">
        <v>48129</v>
      </c>
      <c r="C3763" s="330" t="s">
        <v>11442</v>
      </c>
      <c r="D3763" s="330" t="s">
        <v>11443</v>
      </c>
      <c r="E3763" s="330" t="s">
        <v>4634</v>
      </c>
      <c r="F3763" s="331">
        <v>0.21</v>
      </c>
      <c r="G3763" s="332">
        <v>274</v>
      </c>
      <c r="H3763" s="333">
        <v>332</v>
      </c>
    </row>
    <row r="3764" spans="1:8">
      <c r="A3764" s="317" t="s">
        <v>39267</v>
      </c>
      <c r="B3764" s="317" t="s">
        <v>48130</v>
      </c>
      <c r="C3764" s="330" t="s">
        <v>11444</v>
      </c>
      <c r="D3764" s="330" t="s">
        <v>11445</v>
      </c>
      <c r="E3764" s="330" t="s">
        <v>4634</v>
      </c>
      <c r="F3764" s="331">
        <v>0.21</v>
      </c>
      <c r="G3764" s="332">
        <v>274</v>
      </c>
      <c r="H3764" s="333">
        <v>332</v>
      </c>
    </row>
    <row r="3765" spans="1:8">
      <c r="A3765" s="317" t="s">
        <v>39268</v>
      </c>
      <c r="B3765" s="317" t="s">
        <v>48131</v>
      </c>
      <c r="C3765" s="330" t="s">
        <v>11446</v>
      </c>
      <c r="D3765" s="330" t="s">
        <v>11447</v>
      </c>
      <c r="E3765" s="330" t="s">
        <v>4634</v>
      </c>
      <c r="F3765" s="331">
        <v>0.21</v>
      </c>
      <c r="G3765" s="332">
        <v>7176</v>
      </c>
      <c r="H3765" s="333">
        <v>8683</v>
      </c>
    </row>
    <row r="3766" spans="1:8">
      <c r="A3766" s="317" t="s">
        <v>39269</v>
      </c>
      <c r="B3766" s="317" t="s">
        <v>48132</v>
      </c>
      <c r="C3766" s="330" t="s">
        <v>11448</v>
      </c>
      <c r="D3766" s="330" t="s">
        <v>11449</v>
      </c>
      <c r="E3766" s="330" t="s">
        <v>4634</v>
      </c>
      <c r="F3766" s="331">
        <v>0.21</v>
      </c>
      <c r="G3766" s="332">
        <v>455</v>
      </c>
      <c r="H3766" s="333">
        <v>551</v>
      </c>
    </row>
    <row r="3767" spans="1:8">
      <c r="A3767" s="317" t="s">
        <v>39270</v>
      </c>
      <c r="B3767" s="317" t="s">
        <v>48133</v>
      </c>
      <c r="C3767" s="330" t="s">
        <v>11450</v>
      </c>
      <c r="D3767" s="330" t="s">
        <v>11451</v>
      </c>
      <c r="E3767" s="330" t="s">
        <v>4634</v>
      </c>
      <c r="F3767" s="331">
        <v>0.21</v>
      </c>
      <c r="G3767" s="332">
        <v>1126</v>
      </c>
      <c r="H3767" s="333">
        <v>1363</v>
      </c>
    </row>
    <row r="3768" spans="1:8">
      <c r="A3768" s="317" t="s">
        <v>39271</v>
      </c>
      <c r="B3768" s="317" t="s">
        <v>48134</v>
      </c>
      <c r="C3768" s="330" t="s">
        <v>11452</v>
      </c>
      <c r="D3768" s="330" t="s">
        <v>11453</v>
      </c>
      <c r="E3768" s="330" t="s">
        <v>4634</v>
      </c>
      <c r="F3768" s="331">
        <v>0.21</v>
      </c>
      <c r="G3768" s="332">
        <v>3154</v>
      </c>
      <c r="H3768" s="333">
        <v>3817</v>
      </c>
    </row>
    <row r="3769" spans="1:8">
      <c r="A3769" s="317" t="s">
        <v>39272</v>
      </c>
      <c r="B3769" s="317" t="s">
        <v>48135</v>
      </c>
      <c r="C3769" s="330" t="s">
        <v>11454</v>
      </c>
      <c r="D3769" s="330" t="s">
        <v>11455</v>
      </c>
      <c r="E3769" s="330" t="s">
        <v>4634</v>
      </c>
      <c r="F3769" s="331">
        <v>0.21</v>
      </c>
      <c r="G3769" s="332">
        <v>11990</v>
      </c>
      <c r="H3769" s="333">
        <v>14508</v>
      </c>
    </row>
    <row r="3770" spans="1:8">
      <c r="A3770" s="317" t="s">
        <v>39273</v>
      </c>
      <c r="B3770" s="317" t="s">
        <v>48136</v>
      </c>
      <c r="C3770" s="330" t="s">
        <v>11456</v>
      </c>
      <c r="D3770" s="330" t="s">
        <v>11457</v>
      </c>
      <c r="E3770" s="330" t="s">
        <v>4634</v>
      </c>
      <c r="F3770" s="331">
        <v>0.21</v>
      </c>
      <c r="G3770" s="332">
        <v>455</v>
      </c>
      <c r="H3770" s="333">
        <v>551</v>
      </c>
    </row>
    <row r="3771" spans="1:8">
      <c r="A3771" s="317" t="s">
        <v>39274</v>
      </c>
      <c r="B3771" s="317" t="s">
        <v>48137</v>
      </c>
      <c r="C3771" s="330" t="s">
        <v>11458</v>
      </c>
      <c r="D3771" s="330" t="s">
        <v>11445</v>
      </c>
      <c r="E3771" s="330" t="s">
        <v>4634</v>
      </c>
      <c r="F3771" s="331">
        <v>0.21</v>
      </c>
      <c r="G3771" s="332">
        <v>455</v>
      </c>
      <c r="H3771" s="333">
        <v>551</v>
      </c>
    </row>
    <row r="3772" spans="1:8">
      <c r="A3772" s="317" t="s">
        <v>39275</v>
      </c>
      <c r="B3772" s="317" t="s">
        <v>48138</v>
      </c>
      <c r="C3772" s="330" t="s">
        <v>11459</v>
      </c>
      <c r="D3772" s="330" t="s">
        <v>11460</v>
      </c>
      <c r="E3772" s="330" t="s">
        <v>4634</v>
      </c>
      <c r="F3772" s="331">
        <v>0.21</v>
      </c>
      <c r="G3772" s="332">
        <v>3218</v>
      </c>
      <c r="H3772" s="333">
        <v>3894</v>
      </c>
    </row>
    <row r="3773" spans="1:8">
      <c r="A3773" s="317" t="s">
        <v>39276</v>
      </c>
      <c r="B3773" s="317" t="s">
        <v>48139</v>
      </c>
      <c r="C3773" s="330" t="s">
        <v>11461</v>
      </c>
      <c r="D3773" s="330" t="s">
        <v>11462</v>
      </c>
      <c r="E3773" s="330" t="s">
        <v>4634</v>
      </c>
      <c r="F3773" s="331">
        <v>0.21</v>
      </c>
      <c r="G3773" s="332">
        <v>490</v>
      </c>
      <c r="H3773" s="333">
        <v>593</v>
      </c>
    </row>
    <row r="3774" spans="1:8">
      <c r="A3774" s="317" t="s">
        <v>39277</v>
      </c>
      <c r="B3774" s="317" t="s">
        <v>48140</v>
      </c>
      <c r="C3774" s="330" t="s">
        <v>11463</v>
      </c>
      <c r="D3774" s="330" t="s">
        <v>11408</v>
      </c>
      <c r="E3774" s="330" t="s">
        <v>4634</v>
      </c>
      <c r="F3774" s="331">
        <v>0.21</v>
      </c>
      <c r="G3774" s="332">
        <v>1474</v>
      </c>
      <c r="H3774" s="333">
        <v>1784</v>
      </c>
    </row>
    <row r="3775" spans="1:8">
      <c r="A3775" s="317" t="s">
        <v>39278</v>
      </c>
      <c r="B3775" s="317" t="s">
        <v>48141</v>
      </c>
      <c r="C3775" s="330" t="s">
        <v>11464</v>
      </c>
      <c r="D3775" s="330" t="s">
        <v>11465</v>
      </c>
      <c r="E3775" s="330" t="s">
        <v>4634</v>
      </c>
      <c r="F3775" s="331">
        <v>0.21</v>
      </c>
      <c r="G3775" s="332">
        <v>15878</v>
      </c>
      <c r="H3775" s="333">
        <v>19213</v>
      </c>
    </row>
    <row r="3776" spans="1:8">
      <c r="A3776" s="317" t="s">
        <v>39279</v>
      </c>
      <c r="B3776" s="317" t="s">
        <v>48142</v>
      </c>
      <c r="C3776" s="330" t="s">
        <v>11466</v>
      </c>
      <c r="D3776" s="330" t="s">
        <v>11467</v>
      </c>
      <c r="E3776" s="330" t="s">
        <v>4634</v>
      </c>
      <c r="F3776" s="331">
        <v>0.21</v>
      </c>
      <c r="G3776" s="332">
        <v>234</v>
      </c>
      <c r="H3776" s="333">
        <v>284</v>
      </c>
    </row>
    <row r="3777" spans="1:8">
      <c r="A3777" s="317" t="s">
        <v>39280</v>
      </c>
      <c r="B3777" s="317" t="s">
        <v>48143</v>
      </c>
      <c r="C3777" s="330" t="s">
        <v>11468</v>
      </c>
      <c r="D3777" s="330" t="s">
        <v>11469</v>
      </c>
      <c r="E3777" s="330" t="s">
        <v>4634</v>
      </c>
      <c r="F3777" s="331">
        <v>0.21</v>
      </c>
      <c r="G3777" s="332">
        <v>280</v>
      </c>
      <c r="H3777" s="333">
        <v>339</v>
      </c>
    </row>
    <row r="3778" spans="1:8">
      <c r="A3778" s="317" t="s">
        <v>39281</v>
      </c>
      <c r="B3778" s="317" t="s">
        <v>48144</v>
      </c>
      <c r="C3778" s="330" t="s">
        <v>11470</v>
      </c>
      <c r="D3778" s="330" t="s">
        <v>11471</v>
      </c>
      <c r="E3778" s="330" t="s">
        <v>4634</v>
      </c>
      <c r="F3778" s="331">
        <v>0.21</v>
      </c>
      <c r="G3778" s="332">
        <v>280</v>
      </c>
      <c r="H3778" s="333">
        <v>339</v>
      </c>
    </row>
    <row r="3779" spans="1:8">
      <c r="A3779" s="317" t="s">
        <v>39282</v>
      </c>
      <c r="B3779" s="317" t="s">
        <v>48145</v>
      </c>
      <c r="C3779" s="330" t="s">
        <v>11472</v>
      </c>
      <c r="D3779" s="330" t="s">
        <v>11473</v>
      </c>
      <c r="E3779" s="330" t="s">
        <v>4634</v>
      </c>
      <c r="F3779" s="331">
        <v>0.21</v>
      </c>
      <c r="G3779" s="332">
        <v>2806</v>
      </c>
      <c r="H3779" s="333">
        <v>3396</v>
      </c>
    </row>
    <row r="3780" spans="1:8">
      <c r="A3780" s="317" t="s">
        <v>39283</v>
      </c>
      <c r="B3780" s="317" t="s">
        <v>48146</v>
      </c>
      <c r="C3780" s="330" t="s">
        <v>11474</v>
      </c>
      <c r="D3780" s="330" t="s">
        <v>11475</v>
      </c>
      <c r="E3780" s="330" t="s">
        <v>4634</v>
      </c>
      <c r="F3780" s="331">
        <v>0.21</v>
      </c>
      <c r="G3780" s="332">
        <v>455</v>
      </c>
      <c r="H3780" s="333">
        <v>551</v>
      </c>
    </row>
    <row r="3781" spans="1:8">
      <c r="A3781" s="317" t="s">
        <v>39284</v>
      </c>
      <c r="B3781" s="317" t="s">
        <v>48147</v>
      </c>
      <c r="C3781" s="330" t="s">
        <v>11476</v>
      </c>
      <c r="D3781" s="330" t="s">
        <v>11477</v>
      </c>
      <c r="E3781" s="330" t="s">
        <v>4634</v>
      </c>
      <c r="F3781" s="331">
        <v>0.21</v>
      </c>
      <c r="G3781" s="332">
        <v>2186</v>
      </c>
      <c r="H3781" s="333">
        <v>2646</v>
      </c>
    </row>
    <row r="3782" spans="1:8">
      <c r="A3782" s="317" t="s">
        <v>39285</v>
      </c>
      <c r="B3782" s="317" t="s">
        <v>48148</v>
      </c>
      <c r="C3782" s="330" t="s">
        <v>11478</v>
      </c>
      <c r="D3782" s="330" t="s">
        <v>11479</v>
      </c>
      <c r="E3782" s="330" t="s">
        <v>4634</v>
      </c>
      <c r="F3782" s="331">
        <v>0.21</v>
      </c>
      <c r="G3782" s="332">
        <v>274</v>
      </c>
      <c r="H3782" s="333">
        <v>332</v>
      </c>
    </row>
    <row r="3783" spans="1:8">
      <c r="A3783" s="317" t="s">
        <v>39286</v>
      </c>
      <c r="B3783" s="317" t="s">
        <v>48149</v>
      </c>
      <c r="C3783" s="330" t="s">
        <v>11480</v>
      </c>
      <c r="D3783" s="330" t="s">
        <v>11481</v>
      </c>
      <c r="E3783" s="330" t="s">
        <v>4634</v>
      </c>
      <c r="F3783" s="331">
        <v>0.21</v>
      </c>
      <c r="G3783" s="332">
        <v>3189</v>
      </c>
      <c r="H3783" s="333">
        <v>3859</v>
      </c>
    </row>
    <row r="3784" spans="1:8">
      <c r="A3784" s="317" t="s">
        <v>39287</v>
      </c>
      <c r="B3784" s="317" t="s">
        <v>48150</v>
      </c>
      <c r="C3784" s="330" t="s">
        <v>11482</v>
      </c>
      <c r="D3784" s="330" t="s">
        <v>11483</v>
      </c>
      <c r="E3784" s="330" t="s">
        <v>37248</v>
      </c>
      <c r="F3784" s="331">
        <v>0.21</v>
      </c>
      <c r="G3784" s="332">
        <v>85813</v>
      </c>
      <c r="H3784" s="333">
        <v>103834</v>
      </c>
    </row>
    <row r="3785" spans="1:8">
      <c r="A3785" s="317" t="s">
        <v>39288</v>
      </c>
      <c r="B3785" s="317" t="s">
        <v>48151</v>
      </c>
      <c r="C3785" s="330" t="s">
        <v>11484</v>
      </c>
      <c r="D3785" s="330" t="s">
        <v>11485</v>
      </c>
      <c r="E3785" s="330" t="s">
        <v>4634</v>
      </c>
      <c r="F3785" s="331">
        <v>0.21</v>
      </c>
      <c r="G3785" s="332">
        <v>1307</v>
      </c>
      <c r="H3785" s="333">
        <v>1582</v>
      </c>
    </row>
    <row r="3786" spans="1:8">
      <c r="A3786" s="317" t="s">
        <v>39289</v>
      </c>
      <c r="B3786" s="317" t="s">
        <v>48152</v>
      </c>
      <c r="C3786" s="330" t="s">
        <v>11486</v>
      </c>
      <c r="D3786" s="330" t="s">
        <v>11487</v>
      </c>
      <c r="E3786" s="330" t="s">
        <v>4634</v>
      </c>
      <c r="F3786" s="331">
        <v>0.21</v>
      </c>
      <c r="G3786" s="332">
        <v>12713</v>
      </c>
      <c r="H3786" s="333">
        <v>15383</v>
      </c>
    </row>
    <row r="3787" spans="1:8">
      <c r="A3787" s="317" t="s">
        <v>39290</v>
      </c>
      <c r="B3787" s="317" t="s">
        <v>48153</v>
      </c>
      <c r="C3787" s="330" t="s">
        <v>11488</v>
      </c>
      <c r="D3787" s="330" t="s">
        <v>11489</v>
      </c>
      <c r="E3787" s="330" t="s">
        <v>4634</v>
      </c>
      <c r="F3787" s="331">
        <v>0.21</v>
      </c>
      <c r="G3787" s="332">
        <v>2462</v>
      </c>
      <c r="H3787" s="333">
        <v>2980</v>
      </c>
    </row>
    <row r="3788" spans="1:8">
      <c r="A3788" s="317" t="s">
        <v>39291</v>
      </c>
      <c r="B3788" s="317" t="s">
        <v>48154</v>
      </c>
      <c r="C3788" s="330" t="s">
        <v>11490</v>
      </c>
      <c r="D3788" s="330" t="s">
        <v>11491</v>
      </c>
      <c r="E3788" s="330" t="s">
        <v>4634</v>
      </c>
      <c r="F3788" s="331">
        <v>0.21</v>
      </c>
      <c r="G3788" s="332">
        <v>3056</v>
      </c>
      <c r="H3788" s="333">
        <v>3698</v>
      </c>
    </row>
    <row r="3789" spans="1:8">
      <c r="A3789" s="317" t="s">
        <v>39292</v>
      </c>
      <c r="B3789" s="317" t="s">
        <v>48155</v>
      </c>
      <c r="C3789" s="330" t="s">
        <v>11492</v>
      </c>
      <c r="D3789" s="330" t="s">
        <v>11493</v>
      </c>
      <c r="E3789" s="330" t="s">
        <v>4634</v>
      </c>
      <c r="F3789" s="331">
        <v>0.21</v>
      </c>
      <c r="G3789" s="332">
        <v>4833</v>
      </c>
      <c r="H3789" s="333">
        <v>5848</v>
      </c>
    </row>
    <row r="3790" spans="1:8">
      <c r="A3790" s="317" t="s">
        <v>39293</v>
      </c>
      <c r="B3790" s="317" t="s">
        <v>48156</v>
      </c>
      <c r="C3790" s="330" t="s">
        <v>11494</v>
      </c>
      <c r="D3790" s="330" t="s">
        <v>11495</v>
      </c>
      <c r="E3790" s="330" t="s">
        <v>4634</v>
      </c>
      <c r="F3790" s="331">
        <v>0.21</v>
      </c>
      <c r="G3790" s="332">
        <v>17014</v>
      </c>
      <c r="H3790" s="333">
        <v>20587</v>
      </c>
    </row>
    <row r="3791" spans="1:8">
      <c r="A3791" s="317" t="s">
        <v>39294</v>
      </c>
      <c r="B3791" s="317" t="s">
        <v>48157</v>
      </c>
      <c r="C3791" s="330" t="s">
        <v>11496</v>
      </c>
      <c r="D3791" s="330" t="s">
        <v>11497</v>
      </c>
      <c r="E3791" s="330" t="s">
        <v>4634</v>
      </c>
      <c r="F3791" s="331">
        <v>0.21</v>
      </c>
      <c r="G3791" s="332">
        <v>1581</v>
      </c>
      <c r="H3791" s="333">
        <v>1914</v>
      </c>
    </row>
    <row r="3792" spans="1:8">
      <c r="A3792" s="317" t="s">
        <v>39295</v>
      </c>
      <c r="B3792" s="317" t="s">
        <v>48158</v>
      </c>
      <c r="C3792" s="330" t="s">
        <v>11498</v>
      </c>
      <c r="D3792" s="330" t="s">
        <v>11499</v>
      </c>
      <c r="E3792" s="330" t="s">
        <v>4634</v>
      </c>
      <c r="F3792" s="331">
        <v>0.21</v>
      </c>
      <c r="G3792" s="332">
        <v>648</v>
      </c>
      <c r="H3792" s="333">
        <v>785</v>
      </c>
    </row>
    <row r="3793" spans="1:8">
      <c r="A3793" s="317" t="s">
        <v>39296</v>
      </c>
      <c r="B3793" s="317" t="s">
        <v>48159</v>
      </c>
      <c r="C3793" s="330" t="s">
        <v>11500</v>
      </c>
      <c r="D3793" s="330" t="s">
        <v>11499</v>
      </c>
      <c r="E3793" s="330" t="s">
        <v>4634</v>
      </c>
      <c r="F3793" s="331">
        <v>0.21</v>
      </c>
      <c r="G3793" s="332">
        <v>648</v>
      </c>
      <c r="H3793" s="333">
        <v>785</v>
      </c>
    </row>
    <row r="3794" spans="1:8">
      <c r="A3794" s="317" t="s">
        <v>39297</v>
      </c>
      <c r="B3794" s="317" t="s">
        <v>48160</v>
      </c>
      <c r="C3794" s="330" t="s">
        <v>11501</v>
      </c>
      <c r="D3794" s="330" t="s">
        <v>11499</v>
      </c>
      <c r="E3794" s="330" t="s">
        <v>4634</v>
      </c>
      <c r="F3794" s="331">
        <v>0.21</v>
      </c>
      <c r="G3794" s="332">
        <v>678</v>
      </c>
      <c r="H3794" s="333">
        <v>821</v>
      </c>
    </row>
    <row r="3795" spans="1:8">
      <c r="A3795" s="317" t="s">
        <v>39298</v>
      </c>
      <c r="B3795" s="317" t="s">
        <v>48161</v>
      </c>
      <c r="C3795" s="330" t="s">
        <v>11502</v>
      </c>
      <c r="D3795" s="330" t="s">
        <v>11499</v>
      </c>
      <c r="E3795" s="330" t="s">
        <v>4634</v>
      </c>
      <c r="F3795" s="331">
        <v>0.21</v>
      </c>
      <c r="G3795" s="332">
        <v>678</v>
      </c>
      <c r="H3795" s="333">
        <v>821</v>
      </c>
    </row>
    <row r="3796" spans="1:8">
      <c r="A3796" s="317" t="s">
        <v>39299</v>
      </c>
      <c r="B3796" s="317" t="s">
        <v>48162</v>
      </c>
      <c r="C3796" s="330" t="s">
        <v>11503</v>
      </c>
      <c r="D3796" s="330" t="s">
        <v>11504</v>
      </c>
      <c r="E3796" s="330" t="s">
        <v>4634</v>
      </c>
      <c r="F3796" s="331">
        <v>0.21</v>
      </c>
      <c r="G3796" s="332">
        <v>12389</v>
      </c>
      <c r="H3796" s="333">
        <v>14991</v>
      </c>
    </row>
    <row r="3797" spans="1:8">
      <c r="A3797" s="317" t="s">
        <v>39300</v>
      </c>
      <c r="B3797" s="317" t="s">
        <v>48163</v>
      </c>
      <c r="C3797" s="330" t="s">
        <v>11505</v>
      </c>
      <c r="D3797" s="330" t="s">
        <v>11506</v>
      </c>
      <c r="E3797" s="330" t="s">
        <v>4634</v>
      </c>
      <c r="F3797" s="331">
        <v>0.21</v>
      </c>
      <c r="G3797" s="332">
        <v>14127</v>
      </c>
      <c r="H3797" s="333">
        <v>17094</v>
      </c>
    </row>
    <row r="3798" spans="1:8">
      <c r="A3798" s="317" t="s">
        <v>39301</v>
      </c>
      <c r="B3798" s="317" t="s">
        <v>48164</v>
      </c>
      <c r="C3798" s="330" t="s">
        <v>11507</v>
      </c>
      <c r="D3798" s="330" t="s">
        <v>11508</v>
      </c>
      <c r="E3798" s="330" t="s">
        <v>4819</v>
      </c>
      <c r="F3798" s="331">
        <v>0.21</v>
      </c>
      <c r="G3798" s="332">
        <v>3288</v>
      </c>
      <c r="H3798" s="333">
        <v>3979</v>
      </c>
    </row>
    <row r="3799" spans="1:8">
      <c r="A3799" s="317" t="s">
        <v>39302</v>
      </c>
      <c r="B3799" s="317" t="s">
        <v>48165</v>
      </c>
      <c r="C3799" s="330" t="s">
        <v>11509</v>
      </c>
      <c r="D3799" s="330" t="s">
        <v>11510</v>
      </c>
      <c r="E3799" s="330" t="s">
        <v>4634</v>
      </c>
      <c r="F3799" s="331">
        <v>0.21</v>
      </c>
      <c r="G3799" s="332">
        <v>15771</v>
      </c>
      <c r="H3799" s="333">
        <v>19083</v>
      </c>
    </row>
    <row r="3800" spans="1:8">
      <c r="A3800" s="317" t="s">
        <v>39303</v>
      </c>
      <c r="B3800" s="317" t="s">
        <v>48166</v>
      </c>
      <c r="C3800" s="330" t="s">
        <v>11511</v>
      </c>
      <c r="D3800" s="330" t="s">
        <v>11512</v>
      </c>
      <c r="E3800" s="330" t="s">
        <v>4634</v>
      </c>
      <c r="F3800" s="331">
        <v>0.21</v>
      </c>
      <c r="G3800" s="332">
        <v>2186</v>
      </c>
      <c r="H3800" s="333">
        <v>2646</v>
      </c>
    </row>
    <row r="3801" spans="1:8">
      <c r="A3801" s="317" t="s">
        <v>39304</v>
      </c>
      <c r="B3801" s="317" t="s">
        <v>48167</v>
      </c>
      <c r="C3801" s="330" t="s">
        <v>11513</v>
      </c>
      <c r="D3801" s="330" t="s">
        <v>11514</v>
      </c>
      <c r="E3801" s="330" t="s">
        <v>4634</v>
      </c>
      <c r="F3801" s="331">
        <v>0.21</v>
      </c>
      <c r="G3801" s="332">
        <v>2186</v>
      </c>
      <c r="H3801" s="333">
        <v>2646</v>
      </c>
    </row>
    <row r="3802" spans="1:8">
      <c r="A3802" s="317" t="s">
        <v>39305</v>
      </c>
      <c r="B3802" s="317" t="s">
        <v>48168</v>
      </c>
      <c r="C3802" s="330" t="s">
        <v>11515</v>
      </c>
      <c r="D3802" s="330" t="s">
        <v>11516</v>
      </c>
      <c r="E3802" s="330" t="s">
        <v>4634</v>
      </c>
      <c r="F3802" s="331">
        <v>0.21</v>
      </c>
      <c r="G3802" s="332">
        <v>57042</v>
      </c>
      <c r="H3802" s="333">
        <v>69021</v>
      </c>
    </row>
    <row r="3803" spans="1:8">
      <c r="A3803" s="317" t="s">
        <v>39306</v>
      </c>
      <c r="B3803" s="317" t="s">
        <v>48169</v>
      </c>
      <c r="C3803" s="330" t="s">
        <v>11517</v>
      </c>
      <c r="D3803" s="330" t="s">
        <v>11518</v>
      </c>
      <c r="E3803" s="330" t="s">
        <v>4634</v>
      </c>
      <c r="F3803" s="331">
        <v>0.21</v>
      </c>
      <c r="G3803" s="332">
        <v>33394</v>
      </c>
      <c r="H3803" s="333">
        <v>40407</v>
      </c>
    </row>
    <row r="3804" spans="1:8">
      <c r="A3804" s="318">
        <v>1.6092029999999999E+30</v>
      </c>
      <c r="B3804" s="317" t="s">
        <v>48170</v>
      </c>
      <c r="C3804" s="330" t="s">
        <v>11519</v>
      </c>
      <c r="D3804" s="330" t="s">
        <v>11520</v>
      </c>
      <c r="E3804" s="330" t="s">
        <v>4634</v>
      </c>
      <c r="F3804" s="331">
        <v>0.21</v>
      </c>
      <c r="G3804" s="332">
        <v>1474</v>
      </c>
      <c r="H3804" s="333">
        <v>1784</v>
      </c>
    </row>
    <row r="3805" spans="1:8">
      <c r="A3805" s="317" t="s">
        <v>39307</v>
      </c>
      <c r="B3805" s="317" t="s">
        <v>48171</v>
      </c>
      <c r="C3805" s="330" t="s">
        <v>11521</v>
      </c>
      <c r="D3805" s="330" t="s">
        <v>11522</v>
      </c>
      <c r="E3805" s="330" t="s">
        <v>4634</v>
      </c>
      <c r="F3805" s="331">
        <v>0.21</v>
      </c>
      <c r="G3805" s="332">
        <v>80401</v>
      </c>
      <c r="H3805" s="333">
        <v>97286</v>
      </c>
    </row>
    <row r="3806" spans="1:8">
      <c r="A3806" s="317" t="s">
        <v>39308</v>
      </c>
      <c r="B3806" s="317" t="s">
        <v>48172</v>
      </c>
      <c r="C3806" s="330" t="s">
        <v>11523</v>
      </c>
      <c r="D3806" s="330" t="s">
        <v>11524</v>
      </c>
      <c r="E3806" s="330" t="s">
        <v>4634</v>
      </c>
      <c r="F3806" s="331">
        <v>0.21</v>
      </c>
      <c r="G3806" s="332">
        <v>455</v>
      </c>
      <c r="H3806" s="333">
        <v>551</v>
      </c>
    </row>
    <row r="3807" spans="1:8">
      <c r="A3807" s="317" t="s">
        <v>39309</v>
      </c>
      <c r="B3807" s="317" t="s">
        <v>48173</v>
      </c>
      <c r="C3807" s="330" t="s">
        <v>11525</v>
      </c>
      <c r="D3807" s="330" t="s">
        <v>11526</v>
      </c>
      <c r="E3807" s="330" t="s">
        <v>4634</v>
      </c>
      <c r="F3807" s="331">
        <v>0.21</v>
      </c>
      <c r="G3807" s="332">
        <v>2330</v>
      </c>
      <c r="H3807" s="333">
        <v>2820</v>
      </c>
    </row>
    <row r="3808" spans="1:8">
      <c r="A3808" s="317" t="s">
        <v>39310</v>
      </c>
      <c r="B3808" s="317" t="s">
        <v>48174</v>
      </c>
      <c r="C3808" s="330" t="s">
        <v>11527</v>
      </c>
      <c r="D3808" s="330" t="s">
        <v>11528</v>
      </c>
      <c r="E3808" s="330" t="s">
        <v>4634</v>
      </c>
      <c r="F3808" s="331">
        <v>0.21</v>
      </c>
      <c r="G3808" s="332">
        <v>455</v>
      </c>
      <c r="H3808" s="333">
        <v>551</v>
      </c>
    </row>
    <row r="3809" spans="1:8">
      <c r="A3809" s="317" t="s">
        <v>39311</v>
      </c>
      <c r="B3809" s="317" t="s">
        <v>48175</v>
      </c>
      <c r="C3809" s="330" t="s">
        <v>11529</v>
      </c>
      <c r="D3809" s="330" t="s">
        <v>11530</v>
      </c>
      <c r="E3809" s="330" t="s">
        <v>4634</v>
      </c>
      <c r="F3809" s="331">
        <v>0.21</v>
      </c>
      <c r="G3809" s="332">
        <v>274</v>
      </c>
      <c r="H3809" s="333">
        <v>332</v>
      </c>
    </row>
    <row r="3810" spans="1:8">
      <c r="A3810" s="317" t="s">
        <v>39312</v>
      </c>
      <c r="B3810" s="317" t="s">
        <v>48176</v>
      </c>
      <c r="C3810" s="330" t="s">
        <v>11531</v>
      </c>
      <c r="D3810" s="330" t="s">
        <v>11532</v>
      </c>
      <c r="E3810" s="330" t="s">
        <v>4634</v>
      </c>
      <c r="F3810" s="331">
        <v>0.21</v>
      </c>
      <c r="G3810" s="332">
        <v>455</v>
      </c>
      <c r="H3810" s="333">
        <v>551</v>
      </c>
    </row>
    <row r="3811" spans="1:8">
      <c r="A3811" s="317" t="s">
        <v>39313</v>
      </c>
      <c r="B3811" s="317" t="s">
        <v>48177</v>
      </c>
      <c r="C3811" s="330" t="s">
        <v>11533</v>
      </c>
      <c r="D3811" s="330" t="s">
        <v>11534</v>
      </c>
      <c r="E3811" s="330" t="s">
        <v>4634</v>
      </c>
      <c r="F3811" s="331">
        <v>0.21</v>
      </c>
      <c r="G3811" s="332">
        <v>1882</v>
      </c>
      <c r="H3811" s="333">
        <v>2278</v>
      </c>
    </row>
    <row r="3812" spans="1:8">
      <c r="A3812" s="317" t="s">
        <v>39314</v>
      </c>
      <c r="B3812" s="317" t="s">
        <v>48178</v>
      </c>
      <c r="C3812" s="330" t="s">
        <v>11535</v>
      </c>
      <c r="D3812" s="330" t="s">
        <v>11536</v>
      </c>
      <c r="E3812" s="330" t="s">
        <v>4634</v>
      </c>
      <c r="F3812" s="331">
        <v>0.21</v>
      </c>
      <c r="G3812" s="332">
        <v>13389</v>
      </c>
      <c r="H3812" s="333">
        <v>16201</v>
      </c>
    </row>
    <row r="3813" spans="1:8">
      <c r="A3813" s="317" t="s">
        <v>39315</v>
      </c>
      <c r="B3813" s="317" t="s">
        <v>48179</v>
      </c>
      <c r="C3813" s="330" t="s">
        <v>11537</v>
      </c>
      <c r="D3813" s="330" t="s">
        <v>11528</v>
      </c>
      <c r="E3813" s="330" t="s">
        <v>4634</v>
      </c>
      <c r="F3813" s="331">
        <v>0.21</v>
      </c>
      <c r="G3813" s="332">
        <v>678</v>
      </c>
      <c r="H3813" s="333">
        <v>821</v>
      </c>
    </row>
    <row r="3814" spans="1:8">
      <c r="A3814" s="317" t="s">
        <v>39316</v>
      </c>
      <c r="B3814" s="317" t="s">
        <v>48180</v>
      </c>
      <c r="C3814" s="330" t="s">
        <v>11538</v>
      </c>
      <c r="D3814" s="330" t="s">
        <v>11539</v>
      </c>
      <c r="E3814" s="330" t="s">
        <v>4634</v>
      </c>
      <c r="F3814" s="331">
        <v>0.21</v>
      </c>
      <c r="G3814" s="332">
        <v>928</v>
      </c>
      <c r="H3814" s="333">
        <v>1123</v>
      </c>
    </row>
    <row r="3815" spans="1:8">
      <c r="A3815" s="317" t="s">
        <v>39317</v>
      </c>
      <c r="B3815" s="317" t="s">
        <v>48181</v>
      </c>
      <c r="C3815" s="330" t="s">
        <v>11540</v>
      </c>
      <c r="D3815" s="330" t="s">
        <v>11541</v>
      </c>
      <c r="E3815" s="330" t="s">
        <v>4634</v>
      </c>
      <c r="F3815" s="331">
        <v>0.21</v>
      </c>
      <c r="G3815" s="332">
        <v>773</v>
      </c>
      <c r="H3815" s="333">
        <v>936</v>
      </c>
    </row>
    <row r="3816" spans="1:8">
      <c r="A3816" s="317" t="s">
        <v>39318</v>
      </c>
      <c r="B3816" s="317" t="s">
        <v>48182</v>
      </c>
      <c r="C3816" s="330" t="s">
        <v>11542</v>
      </c>
      <c r="D3816" s="330" t="s">
        <v>11543</v>
      </c>
      <c r="E3816" s="330" t="s">
        <v>4634</v>
      </c>
      <c r="F3816" s="331">
        <v>0.21</v>
      </c>
      <c r="G3816" s="332">
        <v>4073</v>
      </c>
      <c r="H3816" s="333">
        <v>4929</v>
      </c>
    </row>
    <row r="3817" spans="1:8">
      <c r="A3817" s="317" t="s">
        <v>39319</v>
      </c>
      <c r="B3817" s="317" t="s">
        <v>48183</v>
      </c>
      <c r="C3817" s="330" t="s">
        <v>11544</v>
      </c>
      <c r="D3817" s="330" t="s">
        <v>11532</v>
      </c>
      <c r="E3817" s="330" t="s">
        <v>4634</v>
      </c>
      <c r="F3817" s="331">
        <v>0.21</v>
      </c>
      <c r="G3817" s="332">
        <v>455</v>
      </c>
      <c r="H3817" s="333">
        <v>551</v>
      </c>
    </row>
    <row r="3818" spans="1:8">
      <c r="A3818" s="317" t="s">
        <v>39320</v>
      </c>
      <c r="B3818" s="317" t="s">
        <v>48184</v>
      </c>
      <c r="C3818" s="330" t="s">
        <v>11545</v>
      </c>
      <c r="D3818" s="330" t="s">
        <v>11546</v>
      </c>
      <c r="E3818" s="330" t="s">
        <v>4634</v>
      </c>
      <c r="F3818" s="331">
        <v>0.21</v>
      </c>
      <c r="G3818" s="332">
        <v>432</v>
      </c>
      <c r="H3818" s="333">
        <v>523</v>
      </c>
    </row>
    <row r="3819" spans="1:8">
      <c r="A3819" s="317" t="s">
        <v>39321</v>
      </c>
      <c r="B3819" s="317" t="s">
        <v>48185</v>
      </c>
      <c r="C3819" s="330" t="s">
        <v>11547</v>
      </c>
      <c r="D3819" s="330" t="s">
        <v>11548</v>
      </c>
      <c r="E3819" s="330" t="s">
        <v>4634</v>
      </c>
      <c r="F3819" s="331">
        <v>0.21</v>
      </c>
      <c r="G3819" s="332">
        <v>1371</v>
      </c>
      <c r="H3819" s="333">
        <v>1659</v>
      </c>
    </row>
    <row r="3820" spans="1:8">
      <c r="A3820" s="317" t="s">
        <v>39322</v>
      </c>
      <c r="B3820" s="317" t="s">
        <v>48186</v>
      </c>
      <c r="C3820" s="330" t="s">
        <v>11549</v>
      </c>
      <c r="D3820" s="330" t="s">
        <v>11550</v>
      </c>
      <c r="E3820" s="330" t="s">
        <v>4634</v>
      </c>
      <c r="F3820" s="331">
        <v>0.21</v>
      </c>
      <c r="G3820" s="332">
        <v>584</v>
      </c>
      <c r="H3820" s="333">
        <v>707</v>
      </c>
    </row>
    <row r="3821" spans="1:8">
      <c r="A3821" s="317" t="s">
        <v>39323</v>
      </c>
      <c r="B3821" s="317" t="s">
        <v>48187</v>
      </c>
      <c r="C3821" s="330" t="s">
        <v>11551</v>
      </c>
      <c r="D3821" s="330" t="s">
        <v>11532</v>
      </c>
      <c r="E3821" s="330" t="s">
        <v>4634</v>
      </c>
      <c r="F3821" s="331">
        <v>0.21</v>
      </c>
      <c r="G3821" s="332">
        <v>274</v>
      </c>
      <c r="H3821" s="333">
        <v>332</v>
      </c>
    </row>
    <row r="3822" spans="1:8">
      <c r="A3822" s="317" t="s">
        <v>39324</v>
      </c>
      <c r="B3822" s="317" t="s">
        <v>48188</v>
      </c>
      <c r="C3822" s="330" t="s">
        <v>11552</v>
      </c>
      <c r="D3822" s="330" t="s">
        <v>11553</v>
      </c>
      <c r="E3822" s="330" t="s">
        <v>4634</v>
      </c>
      <c r="F3822" s="331">
        <v>0.21</v>
      </c>
      <c r="G3822" s="332">
        <v>2299</v>
      </c>
      <c r="H3822" s="333">
        <v>2782</v>
      </c>
    </row>
    <row r="3823" spans="1:8">
      <c r="A3823" s="317" t="s">
        <v>39325</v>
      </c>
      <c r="B3823" s="317" t="s">
        <v>48189</v>
      </c>
      <c r="C3823" s="330" t="s">
        <v>11554</v>
      </c>
      <c r="D3823" s="330" t="s">
        <v>11555</v>
      </c>
      <c r="E3823" s="330" t="s">
        <v>4634</v>
      </c>
      <c r="F3823" s="331">
        <v>0.21</v>
      </c>
      <c r="G3823" s="332">
        <v>76115</v>
      </c>
      <c r="H3823" s="333">
        <v>92100</v>
      </c>
    </row>
    <row r="3824" spans="1:8">
      <c r="A3824" s="317" t="s">
        <v>39326</v>
      </c>
      <c r="B3824" s="317" t="s">
        <v>48190</v>
      </c>
      <c r="C3824" s="330" t="s">
        <v>11556</v>
      </c>
      <c r="D3824" s="330" t="s">
        <v>11557</v>
      </c>
      <c r="E3824" s="330" t="s">
        <v>4634</v>
      </c>
      <c r="F3824" s="331">
        <v>0.21</v>
      </c>
      <c r="G3824" s="332">
        <v>102140</v>
      </c>
      <c r="H3824" s="333">
        <v>123590</v>
      </c>
    </row>
    <row r="3825" spans="1:8">
      <c r="A3825" s="317" t="s">
        <v>39327</v>
      </c>
      <c r="B3825" s="317" t="s">
        <v>48191</v>
      </c>
      <c r="C3825" s="330" t="s">
        <v>11558</v>
      </c>
      <c r="D3825" s="330" t="s">
        <v>11559</v>
      </c>
      <c r="E3825" s="330" t="s">
        <v>4634</v>
      </c>
      <c r="F3825" s="331">
        <v>0.21</v>
      </c>
      <c r="G3825" s="332">
        <v>928</v>
      </c>
      <c r="H3825" s="333">
        <v>1123</v>
      </c>
    </row>
    <row r="3826" spans="1:8">
      <c r="A3826" s="317" t="s">
        <v>39328</v>
      </c>
      <c r="B3826" s="317" t="s">
        <v>48192</v>
      </c>
      <c r="C3826" s="330" t="s">
        <v>11560</v>
      </c>
      <c r="D3826" s="330" t="s">
        <v>11561</v>
      </c>
      <c r="E3826" s="330" t="s">
        <v>4819</v>
      </c>
      <c r="F3826" s="331">
        <v>0.21</v>
      </c>
      <c r="G3826" s="332">
        <v>52378</v>
      </c>
      <c r="H3826" s="333">
        <v>63378</v>
      </c>
    </row>
    <row r="3827" spans="1:8">
      <c r="A3827" s="317" t="s">
        <v>39329</v>
      </c>
      <c r="B3827" s="317" t="s">
        <v>48193</v>
      </c>
      <c r="C3827" s="330" t="s">
        <v>11562</v>
      </c>
      <c r="D3827" s="330" t="s">
        <v>11532</v>
      </c>
      <c r="E3827" s="330" t="s">
        <v>4634</v>
      </c>
      <c r="F3827" s="331">
        <v>0.21</v>
      </c>
      <c r="G3827" s="332">
        <v>274</v>
      </c>
      <c r="H3827" s="333">
        <v>332</v>
      </c>
    </row>
    <row r="3828" spans="1:8">
      <c r="A3828" s="317" t="s">
        <v>39330</v>
      </c>
      <c r="B3828" s="317" t="s">
        <v>48194</v>
      </c>
      <c r="C3828" s="330" t="s">
        <v>11563</v>
      </c>
      <c r="D3828" s="330" t="s">
        <v>11564</v>
      </c>
      <c r="E3828" s="330" t="s">
        <v>4634</v>
      </c>
      <c r="F3828" s="331">
        <v>0.21</v>
      </c>
      <c r="G3828" s="332">
        <v>840</v>
      </c>
      <c r="H3828" s="333">
        <v>1017</v>
      </c>
    </row>
    <row r="3829" spans="1:8">
      <c r="A3829" s="317" t="s">
        <v>39331</v>
      </c>
      <c r="B3829" s="317" t="s">
        <v>48195</v>
      </c>
      <c r="C3829" s="330" t="s">
        <v>11565</v>
      </c>
      <c r="D3829" s="330" t="s">
        <v>11566</v>
      </c>
      <c r="E3829" s="330" t="s">
        <v>4634</v>
      </c>
      <c r="F3829" s="331">
        <v>0.21</v>
      </c>
      <c r="G3829" s="332">
        <v>4737</v>
      </c>
      <c r="H3829" s="333">
        <v>5732</v>
      </c>
    </row>
    <row r="3830" spans="1:8">
      <c r="A3830" s="317" t="s">
        <v>39332</v>
      </c>
      <c r="B3830" s="317" t="s">
        <v>48196</v>
      </c>
      <c r="C3830" s="330" t="s">
        <v>11567</v>
      </c>
      <c r="D3830" s="330" t="s">
        <v>11568</v>
      </c>
      <c r="E3830" s="330" t="s">
        <v>4634</v>
      </c>
      <c r="F3830" s="331">
        <v>0.21</v>
      </c>
      <c r="G3830" s="332">
        <v>6065</v>
      </c>
      <c r="H3830" s="333">
        <v>7339</v>
      </c>
    </row>
    <row r="3831" spans="1:8">
      <c r="A3831" s="317" t="s">
        <v>39333</v>
      </c>
      <c r="B3831" s="317" t="s">
        <v>48197</v>
      </c>
      <c r="C3831" s="330" t="s">
        <v>11569</v>
      </c>
      <c r="D3831" s="330" t="s">
        <v>11570</v>
      </c>
      <c r="E3831" s="330" t="s">
        <v>4819</v>
      </c>
      <c r="F3831" s="331">
        <v>0.21</v>
      </c>
      <c r="G3831" s="332">
        <v>58620</v>
      </c>
      <c r="H3831" s="333">
        <v>70931</v>
      </c>
    </row>
    <row r="3832" spans="1:8">
      <c r="A3832" s="317" t="s">
        <v>39334</v>
      </c>
      <c r="B3832" s="317" t="s">
        <v>48198</v>
      </c>
      <c r="C3832" s="330" t="s">
        <v>11571</v>
      </c>
      <c r="D3832" s="330" t="s">
        <v>11572</v>
      </c>
      <c r="E3832" s="330" t="s">
        <v>4819</v>
      </c>
      <c r="F3832" s="331">
        <v>0.21</v>
      </c>
      <c r="G3832" s="332">
        <v>14858</v>
      </c>
      <c r="H3832" s="333">
        <v>17979</v>
      </c>
    </row>
    <row r="3833" spans="1:8">
      <c r="A3833" s="317" t="s">
        <v>39335</v>
      </c>
      <c r="B3833" s="317" t="s">
        <v>48199</v>
      </c>
      <c r="C3833" s="330" t="s">
        <v>11573</v>
      </c>
      <c r="D3833" s="330" t="s">
        <v>11574</v>
      </c>
      <c r="E3833" s="330" t="s">
        <v>4634</v>
      </c>
      <c r="F3833" s="331">
        <v>0.21</v>
      </c>
      <c r="G3833" s="332">
        <v>4233</v>
      </c>
      <c r="H3833" s="333">
        <v>5122</v>
      </c>
    </row>
    <row r="3834" spans="1:8">
      <c r="A3834" s="317" t="s">
        <v>39336</v>
      </c>
      <c r="B3834" s="317" t="s">
        <v>48200</v>
      </c>
      <c r="C3834" s="330" t="s">
        <v>11575</v>
      </c>
      <c r="D3834" s="330" t="s">
        <v>11576</v>
      </c>
      <c r="E3834" s="330" t="s">
        <v>4634</v>
      </c>
      <c r="F3834" s="331">
        <v>0.21</v>
      </c>
      <c r="G3834" s="332">
        <v>387</v>
      </c>
      <c r="H3834" s="333">
        <v>469</v>
      </c>
    </row>
    <row r="3835" spans="1:8">
      <c r="A3835" s="317" t="s">
        <v>39337</v>
      </c>
      <c r="B3835" s="317" t="s">
        <v>48201</v>
      </c>
      <c r="C3835" s="330" t="s">
        <v>11577</v>
      </c>
      <c r="D3835" s="330" t="s">
        <v>11578</v>
      </c>
      <c r="E3835" s="330" t="s">
        <v>4634</v>
      </c>
      <c r="F3835" s="331">
        <v>0.21</v>
      </c>
      <c r="G3835" s="332">
        <v>1371</v>
      </c>
      <c r="H3835" s="333">
        <v>1659</v>
      </c>
    </row>
    <row r="3836" spans="1:8">
      <c r="A3836" s="317" t="s">
        <v>39338</v>
      </c>
      <c r="B3836" s="317" t="s">
        <v>48202</v>
      </c>
      <c r="C3836" s="330" t="s">
        <v>11579</v>
      </c>
      <c r="D3836" s="330" t="s">
        <v>11580</v>
      </c>
      <c r="E3836" s="330" t="s">
        <v>37248</v>
      </c>
      <c r="F3836" s="331">
        <v>0.21</v>
      </c>
      <c r="G3836" s="332">
        <v>78799</v>
      </c>
      <c r="H3836" s="333">
        <v>95347</v>
      </c>
    </row>
    <row r="3837" spans="1:8">
      <c r="A3837" s="317" t="s">
        <v>39339</v>
      </c>
      <c r="B3837" s="317" t="s">
        <v>48203</v>
      </c>
      <c r="C3837" s="330" t="s">
        <v>11581</v>
      </c>
      <c r="D3837" s="330" t="s">
        <v>11582</v>
      </c>
      <c r="E3837" s="330" t="s">
        <v>4634</v>
      </c>
      <c r="F3837" s="331">
        <v>0.21</v>
      </c>
      <c r="G3837" s="332">
        <v>2712</v>
      </c>
      <c r="H3837" s="333">
        <v>3282</v>
      </c>
    </row>
    <row r="3838" spans="1:8">
      <c r="A3838" s="317" t="s">
        <v>39340</v>
      </c>
      <c r="B3838" s="317" t="s">
        <v>48204</v>
      </c>
      <c r="C3838" s="330" t="s">
        <v>11583</v>
      </c>
      <c r="D3838" s="330" t="s">
        <v>11584</v>
      </c>
      <c r="E3838" s="330" t="s">
        <v>4634</v>
      </c>
      <c r="F3838" s="331">
        <v>0.21</v>
      </c>
      <c r="G3838" s="332">
        <v>1547</v>
      </c>
      <c r="H3838" s="333">
        <v>1872</v>
      </c>
    </row>
    <row r="3839" spans="1:8">
      <c r="A3839" s="317" t="s">
        <v>39341</v>
      </c>
      <c r="B3839" s="317" t="s">
        <v>48205</v>
      </c>
      <c r="C3839" s="330" t="s">
        <v>11585</v>
      </c>
      <c r="D3839" s="330" t="s">
        <v>11586</v>
      </c>
      <c r="E3839" s="330" t="s">
        <v>4819</v>
      </c>
      <c r="F3839" s="331">
        <v>0.21</v>
      </c>
      <c r="G3839" s="332">
        <v>82116</v>
      </c>
      <c r="H3839" s="333">
        <v>99361</v>
      </c>
    </row>
    <row r="3840" spans="1:8">
      <c r="A3840" s="317" t="s">
        <v>39342</v>
      </c>
      <c r="B3840" s="317" t="s">
        <v>48206</v>
      </c>
      <c r="C3840" s="330" t="s">
        <v>11587</v>
      </c>
      <c r="D3840" s="330" t="s">
        <v>11588</v>
      </c>
      <c r="E3840" s="330" t="s">
        <v>4634</v>
      </c>
      <c r="F3840" s="331">
        <v>0.21</v>
      </c>
      <c r="G3840" s="332">
        <v>14687</v>
      </c>
      <c r="H3840" s="333">
        <v>17772</v>
      </c>
    </row>
    <row r="3841" spans="1:8">
      <c r="A3841" s="317" t="s">
        <v>39343</v>
      </c>
      <c r="B3841" s="317" t="s">
        <v>48207</v>
      </c>
      <c r="C3841" s="330" t="s">
        <v>11589</v>
      </c>
      <c r="D3841" s="330" t="s">
        <v>11590</v>
      </c>
      <c r="E3841" s="330" t="s">
        <v>4634</v>
      </c>
      <c r="F3841" s="331">
        <v>0.21</v>
      </c>
      <c r="G3841" s="332">
        <v>11173</v>
      </c>
      <c r="H3841" s="333">
        <v>13520</v>
      </c>
    </row>
    <row r="3842" spans="1:8">
      <c r="A3842" s="317" t="s">
        <v>39344</v>
      </c>
      <c r="B3842" s="317" t="s">
        <v>48208</v>
      </c>
      <c r="C3842" s="330" t="s">
        <v>11591</v>
      </c>
      <c r="D3842" s="330" t="s">
        <v>11592</v>
      </c>
      <c r="E3842" s="330" t="s">
        <v>4634</v>
      </c>
      <c r="F3842" s="331">
        <v>0.21</v>
      </c>
      <c r="G3842" s="332">
        <v>432</v>
      </c>
      <c r="H3842" s="333">
        <v>523</v>
      </c>
    </row>
    <row r="3843" spans="1:8">
      <c r="A3843" s="317" t="s">
        <v>39345</v>
      </c>
      <c r="B3843" s="317" t="s">
        <v>48209</v>
      </c>
      <c r="C3843" s="330" t="s">
        <v>11593</v>
      </c>
      <c r="D3843" s="330" t="s">
        <v>8273</v>
      </c>
      <c r="E3843" s="330" t="s">
        <v>4634</v>
      </c>
      <c r="F3843" s="331">
        <v>0.21</v>
      </c>
      <c r="G3843" s="332">
        <v>12789</v>
      </c>
      <c r="H3843" s="333">
        <v>15475</v>
      </c>
    </row>
    <row r="3844" spans="1:8">
      <c r="A3844" s="317" t="s">
        <v>39346</v>
      </c>
      <c r="B3844" s="317" t="s">
        <v>48210</v>
      </c>
      <c r="C3844" s="330" t="s">
        <v>11594</v>
      </c>
      <c r="D3844" s="330" t="s">
        <v>11595</v>
      </c>
      <c r="E3844" s="330" t="s">
        <v>4634</v>
      </c>
      <c r="F3844" s="331">
        <v>0.21</v>
      </c>
      <c r="G3844" s="332">
        <v>372</v>
      </c>
      <c r="H3844" s="333">
        <v>451</v>
      </c>
    </row>
    <row r="3845" spans="1:8">
      <c r="A3845" s="317" t="s">
        <v>39347</v>
      </c>
      <c r="B3845" s="317" t="s">
        <v>48211</v>
      </c>
      <c r="C3845" s="330" t="s">
        <v>11596</v>
      </c>
      <c r="D3845" s="330" t="s">
        <v>11597</v>
      </c>
      <c r="E3845" s="330" t="s">
        <v>4634</v>
      </c>
      <c r="F3845" s="331">
        <v>0.21</v>
      </c>
      <c r="G3845" s="332">
        <v>274</v>
      </c>
      <c r="H3845" s="333">
        <v>332</v>
      </c>
    </row>
    <row r="3846" spans="1:8">
      <c r="A3846" s="317" t="s">
        <v>39348</v>
      </c>
      <c r="B3846" s="317" t="s">
        <v>48212</v>
      </c>
      <c r="C3846" s="330" t="s">
        <v>11598</v>
      </c>
      <c r="D3846" s="330" t="s">
        <v>11599</v>
      </c>
      <c r="E3846" s="330" t="s">
        <v>4634</v>
      </c>
      <c r="F3846" s="331">
        <v>0.21</v>
      </c>
      <c r="G3846" s="332">
        <v>1150</v>
      </c>
      <c r="H3846" s="333">
        <v>1392</v>
      </c>
    </row>
    <row r="3847" spans="1:8">
      <c r="A3847" s="317" t="s">
        <v>39349</v>
      </c>
      <c r="B3847" s="317" t="s">
        <v>48213</v>
      </c>
      <c r="C3847" s="330" t="s">
        <v>11600</v>
      </c>
      <c r="D3847" s="330" t="s">
        <v>11601</v>
      </c>
      <c r="E3847" s="330" t="s">
        <v>4634</v>
      </c>
      <c r="F3847" s="331">
        <v>0.21</v>
      </c>
      <c r="G3847" s="332">
        <v>23735</v>
      </c>
      <c r="H3847" s="333">
        <v>28720</v>
      </c>
    </row>
    <row r="3848" spans="1:8">
      <c r="A3848" s="317" t="s">
        <v>39350</v>
      </c>
      <c r="B3848" s="317" t="s">
        <v>48214</v>
      </c>
      <c r="C3848" s="330" t="s">
        <v>11602</v>
      </c>
      <c r="D3848" s="330" t="s">
        <v>11603</v>
      </c>
      <c r="E3848" s="330" t="s">
        <v>4634</v>
      </c>
      <c r="F3848" s="331">
        <v>0.21</v>
      </c>
      <c r="G3848" s="332">
        <v>1798</v>
      </c>
      <c r="H3848" s="333">
        <v>2176</v>
      </c>
    </row>
    <row r="3849" spans="1:8">
      <c r="A3849" s="317" t="s">
        <v>39351</v>
      </c>
      <c r="B3849" s="317" t="s">
        <v>48215</v>
      </c>
      <c r="C3849" s="330" t="s">
        <v>11604</v>
      </c>
      <c r="D3849" s="330" t="s">
        <v>11605</v>
      </c>
      <c r="E3849" s="330" t="s">
        <v>4634</v>
      </c>
      <c r="F3849" s="331">
        <v>0.21</v>
      </c>
      <c r="G3849" s="332">
        <v>125442</v>
      </c>
      <c r="H3849" s="333">
        <v>151785</v>
      </c>
    </row>
    <row r="3850" spans="1:8">
      <c r="A3850" s="317" t="s">
        <v>39352</v>
      </c>
      <c r="B3850" s="317" t="s">
        <v>48216</v>
      </c>
      <c r="C3850" s="330" t="s">
        <v>11606</v>
      </c>
      <c r="D3850" s="330" t="s">
        <v>11607</v>
      </c>
      <c r="E3850" s="330" t="s">
        <v>4634</v>
      </c>
      <c r="F3850" s="331">
        <v>0.21</v>
      </c>
      <c r="G3850" s="332">
        <v>455</v>
      </c>
      <c r="H3850" s="333">
        <v>551</v>
      </c>
    </row>
    <row r="3851" spans="1:8">
      <c r="A3851" s="317" t="s">
        <v>39353</v>
      </c>
      <c r="B3851" s="317" t="s">
        <v>48217</v>
      </c>
      <c r="C3851" s="330" t="s">
        <v>11608</v>
      </c>
      <c r="D3851" s="330" t="s">
        <v>11609</v>
      </c>
      <c r="E3851" s="330" t="s">
        <v>4634</v>
      </c>
      <c r="F3851" s="331">
        <v>0.21</v>
      </c>
      <c r="G3851" s="332">
        <v>6016</v>
      </c>
      <c r="H3851" s="333">
        <v>7280</v>
      </c>
    </row>
    <row r="3852" spans="1:8">
      <c r="A3852" s="317" t="s">
        <v>39354</v>
      </c>
      <c r="B3852" s="317" t="s">
        <v>48218</v>
      </c>
      <c r="C3852" s="330" t="s">
        <v>11610</v>
      </c>
      <c r="D3852" s="330" t="s">
        <v>11611</v>
      </c>
      <c r="E3852" s="330" t="s">
        <v>4634</v>
      </c>
      <c r="F3852" s="331">
        <v>0.21</v>
      </c>
      <c r="G3852" s="332">
        <v>14687</v>
      </c>
      <c r="H3852" s="333">
        <v>17772</v>
      </c>
    </row>
    <row r="3853" spans="1:8">
      <c r="A3853" s="317" t="s">
        <v>39355</v>
      </c>
      <c r="B3853" s="317" t="s">
        <v>48219</v>
      </c>
      <c r="C3853" s="330" t="s">
        <v>11612</v>
      </c>
      <c r="D3853" s="330" t="s">
        <v>11613</v>
      </c>
      <c r="E3853" s="330" t="s">
        <v>4634</v>
      </c>
      <c r="F3853" s="331">
        <v>0.21</v>
      </c>
      <c r="G3853" s="332">
        <v>963</v>
      </c>
      <c r="H3853" s="333">
        <v>1166</v>
      </c>
    </row>
    <row r="3854" spans="1:8">
      <c r="A3854" s="317" t="s">
        <v>39356</v>
      </c>
      <c r="B3854" s="317" t="s">
        <v>48220</v>
      </c>
      <c r="C3854" s="330" t="s">
        <v>11614</v>
      </c>
      <c r="D3854" s="330" t="s">
        <v>11615</v>
      </c>
      <c r="E3854" s="330" t="s">
        <v>4634</v>
      </c>
      <c r="F3854" s="331">
        <v>0.21</v>
      </c>
      <c r="G3854" s="332">
        <v>4688</v>
      </c>
      <c r="H3854" s="333">
        <v>5673</v>
      </c>
    </row>
    <row r="3855" spans="1:8">
      <c r="A3855" s="317" t="s">
        <v>39357</v>
      </c>
      <c r="B3855" s="317" t="s">
        <v>48221</v>
      </c>
      <c r="C3855" s="330" t="s">
        <v>11616</v>
      </c>
      <c r="D3855" s="330" t="s">
        <v>11617</v>
      </c>
      <c r="E3855" s="330" t="s">
        <v>4634</v>
      </c>
      <c r="F3855" s="331">
        <v>0.21</v>
      </c>
      <c r="G3855" s="332">
        <v>756</v>
      </c>
      <c r="H3855" s="333">
        <v>915</v>
      </c>
    </row>
    <row r="3856" spans="1:8">
      <c r="A3856" s="317" t="s">
        <v>39358</v>
      </c>
      <c r="B3856" s="317" t="s">
        <v>48222</v>
      </c>
      <c r="C3856" s="330" t="s">
        <v>11618</v>
      </c>
      <c r="D3856" s="330" t="s">
        <v>11619</v>
      </c>
      <c r="E3856" s="330" t="s">
        <v>4634</v>
      </c>
      <c r="F3856" s="331">
        <v>0.21</v>
      </c>
      <c r="G3856" s="332">
        <v>648</v>
      </c>
      <c r="H3856" s="333">
        <v>785</v>
      </c>
    </row>
    <row r="3857" spans="1:8">
      <c r="A3857" s="317" t="s">
        <v>39359</v>
      </c>
      <c r="B3857" s="317" t="s">
        <v>48223</v>
      </c>
      <c r="C3857" s="330" t="s">
        <v>11620</v>
      </c>
      <c r="D3857" s="330" t="s">
        <v>11621</v>
      </c>
      <c r="E3857" s="330" t="s">
        <v>4634</v>
      </c>
      <c r="F3857" s="331">
        <v>0.21</v>
      </c>
      <c r="G3857" s="332">
        <v>432</v>
      </c>
      <c r="H3857" s="333">
        <v>523</v>
      </c>
    </row>
    <row r="3858" spans="1:8">
      <c r="A3858" s="317" t="s">
        <v>39360</v>
      </c>
      <c r="B3858" s="317" t="s">
        <v>48224</v>
      </c>
      <c r="C3858" s="330" t="s">
        <v>11622</v>
      </c>
      <c r="D3858" s="330" t="s">
        <v>11623</v>
      </c>
      <c r="E3858" s="330" t="s">
        <v>4623</v>
      </c>
      <c r="F3858" s="331">
        <v>0.21</v>
      </c>
      <c r="G3858" s="332">
        <v>7709</v>
      </c>
      <c r="H3858" s="333">
        <v>9328</v>
      </c>
    </row>
    <row r="3859" spans="1:8">
      <c r="A3859" s="317" t="s">
        <v>39361</v>
      </c>
      <c r="B3859" s="317" t="s">
        <v>48225</v>
      </c>
      <c r="C3859" s="330" t="s">
        <v>11624</v>
      </c>
      <c r="D3859" s="330" t="s">
        <v>11625</v>
      </c>
      <c r="E3859" s="330" t="s">
        <v>37248</v>
      </c>
      <c r="F3859" s="331">
        <v>0.21</v>
      </c>
      <c r="G3859" s="332">
        <v>39352</v>
      </c>
      <c r="H3859" s="333">
        <v>47616</v>
      </c>
    </row>
    <row r="3860" spans="1:8">
      <c r="A3860" s="317" t="s">
        <v>39362</v>
      </c>
      <c r="B3860" s="317" t="s">
        <v>48226</v>
      </c>
      <c r="C3860" s="330" t="s">
        <v>11626</v>
      </c>
      <c r="D3860" s="330" t="s">
        <v>11627</v>
      </c>
      <c r="E3860" s="330" t="s">
        <v>4634</v>
      </c>
      <c r="F3860" s="331">
        <v>0.21</v>
      </c>
      <c r="G3860" s="332">
        <v>1798</v>
      </c>
      <c r="H3860" s="333">
        <v>2176</v>
      </c>
    </row>
    <row r="3861" spans="1:8">
      <c r="A3861" s="317" t="s">
        <v>39363</v>
      </c>
      <c r="B3861" s="317" t="s">
        <v>48227</v>
      </c>
      <c r="C3861" s="330" t="s">
        <v>11628</v>
      </c>
      <c r="D3861" s="330" t="s">
        <v>11629</v>
      </c>
      <c r="E3861" s="330" t="s">
        <v>4634</v>
      </c>
      <c r="F3861" s="331">
        <v>0.21</v>
      </c>
      <c r="G3861" s="332">
        <v>274</v>
      </c>
      <c r="H3861" s="333">
        <v>332</v>
      </c>
    </row>
    <row r="3862" spans="1:8">
      <c r="A3862" s="317" t="s">
        <v>39364</v>
      </c>
      <c r="B3862" s="317" t="s">
        <v>48228</v>
      </c>
      <c r="C3862" s="330" t="s">
        <v>11630</v>
      </c>
      <c r="D3862" s="330" t="s">
        <v>11631</v>
      </c>
      <c r="E3862" s="330" t="s">
        <v>4634</v>
      </c>
      <c r="F3862" s="331">
        <v>0.21</v>
      </c>
      <c r="G3862" s="332">
        <v>4481</v>
      </c>
      <c r="H3862" s="333">
        <v>5423</v>
      </c>
    </row>
    <row r="3863" spans="1:8">
      <c r="A3863" s="317" t="s">
        <v>39365</v>
      </c>
      <c r="B3863" s="317" t="s">
        <v>48229</v>
      </c>
      <c r="C3863" s="330" t="s">
        <v>11632</v>
      </c>
      <c r="D3863" s="330" t="s">
        <v>11633</v>
      </c>
      <c r="E3863" s="330" t="s">
        <v>4634</v>
      </c>
      <c r="F3863" s="331">
        <v>0.21</v>
      </c>
      <c r="G3863" s="332">
        <v>274</v>
      </c>
      <c r="H3863" s="333">
        <v>332</v>
      </c>
    </row>
    <row r="3864" spans="1:8">
      <c r="A3864" s="317" t="s">
        <v>39366</v>
      </c>
      <c r="B3864" s="317" t="s">
        <v>48230</v>
      </c>
      <c r="C3864" s="330" t="s">
        <v>11634</v>
      </c>
      <c r="D3864" s="330" t="s">
        <v>11635</v>
      </c>
      <c r="E3864" s="330" t="s">
        <v>4634</v>
      </c>
      <c r="F3864" s="331">
        <v>0.21</v>
      </c>
      <c r="G3864" s="332">
        <v>392</v>
      </c>
      <c r="H3864" s="333">
        <v>475</v>
      </c>
    </row>
    <row r="3865" spans="1:8">
      <c r="A3865" s="317" t="s">
        <v>39367</v>
      </c>
      <c r="B3865" s="317" t="s">
        <v>48231</v>
      </c>
      <c r="C3865" s="330" t="s">
        <v>11636</v>
      </c>
      <c r="D3865" s="330" t="s">
        <v>11637</v>
      </c>
      <c r="E3865" s="330" t="s">
        <v>4634</v>
      </c>
      <c r="F3865" s="331">
        <v>0.21</v>
      </c>
      <c r="G3865" s="332">
        <v>6016</v>
      </c>
      <c r="H3865" s="333">
        <v>7280</v>
      </c>
    </row>
    <row r="3866" spans="1:8">
      <c r="A3866" s="317" t="s">
        <v>39368</v>
      </c>
      <c r="B3866" s="317" t="s">
        <v>48232</v>
      </c>
      <c r="C3866" s="330" t="s">
        <v>11638</v>
      </c>
      <c r="D3866" s="330" t="s">
        <v>11639</v>
      </c>
      <c r="E3866" s="330" t="s">
        <v>4634</v>
      </c>
      <c r="F3866" s="331">
        <v>0.21</v>
      </c>
      <c r="G3866" s="332">
        <v>584</v>
      </c>
      <c r="H3866" s="333">
        <v>707</v>
      </c>
    </row>
    <row r="3867" spans="1:8">
      <c r="A3867" s="317" t="s">
        <v>39369</v>
      </c>
      <c r="B3867" s="317" t="s">
        <v>48233</v>
      </c>
      <c r="C3867" s="330" t="s">
        <v>11640</v>
      </c>
      <c r="D3867" s="330" t="s">
        <v>11641</v>
      </c>
      <c r="E3867" s="330" t="s">
        <v>4634</v>
      </c>
      <c r="F3867" s="331">
        <v>0.21</v>
      </c>
      <c r="G3867" s="332">
        <v>15082</v>
      </c>
      <c r="H3867" s="333">
        <v>18250</v>
      </c>
    </row>
    <row r="3868" spans="1:8">
      <c r="A3868" s="317" t="s">
        <v>39370</v>
      </c>
      <c r="B3868" s="317" t="s">
        <v>48234</v>
      </c>
      <c r="C3868" s="330" t="s">
        <v>11642</v>
      </c>
      <c r="D3868" s="330" t="s">
        <v>11643</v>
      </c>
      <c r="E3868" s="330" t="s">
        <v>37248</v>
      </c>
      <c r="F3868" s="331">
        <v>0.21</v>
      </c>
      <c r="G3868" s="332">
        <v>95590</v>
      </c>
      <c r="H3868" s="333">
        <v>115664</v>
      </c>
    </row>
    <row r="3869" spans="1:8">
      <c r="A3869" s="317" t="s">
        <v>39371</v>
      </c>
      <c r="B3869" s="317" t="s">
        <v>48235</v>
      </c>
      <c r="C3869" s="330" t="s">
        <v>11644</v>
      </c>
      <c r="D3869" s="330" t="s">
        <v>11645</v>
      </c>
      <c r="E3869" s="330" t="s">
        <v>4634</v>
      </c>
      <c r="F3869" s="331">
        <v>0.21</v>
      </c>
      <c r="G3869" s="332">
        <v>2775</v>
      </c>
      <c r="H3869" s="333">
        <v>3358</v>
      </c>
    </row>
    <row r="3870" spans="1:8">
      <c r="A3870" s="317" t="s">
        <v>39372</v>
      </c>
      <c r="B3870" s="317" t="s">
        <v>48236</v>
      </c>
      <c r="C3870" s="330" t="s">
        <v>11646</v>
      </c>
      <c r="D3870" s="330" t="s">
        <v>11647</v>
      </c>
      <c r="E3870" s="330" t="s">
        <v>4634</v>
      </c>
      <c r="F3870" s="331">
        <v>0.21</v>
      </c>
      <c r="G3870" s="332">
        <v>2059</v>
      </c>
      <c r="H3870" s="333">
        <v>2492</v>
      </c>
    </row>
    <row r="3871" spans="1:8">
      <c r="A3871" s="317" t="s">
        <v>39373</v>
      </c>
      <c r="B3871" s="317" t="s">
        <v>48237</v>
      </c>
      <c r="C3871" s="330" t="s">
        <v>11648</v>
      </c>
      <c r="D3871" s="330" t="s">
        <v>11649</v>
      </c>
      <c r="E3871" s="330" t="s">
        <v>4634</v>
      </c>
      <c r="F3871" s="331">
        <v>0.21</v>
      </c>
      <c r="G3871" s="332">
        <v>372</v>
      </c>
      <c r="H3871" s="333">
        <v>451</v>
      </c>
    </row>
    <row r="3872" spans="1:8">
      <c r="A3872" s="317" t="s">
        <v>39374</v>
      </c>
      <c r="B3872" s="317" t="s">
        <v>48238</v>
      </c>
      <c r="C3872" s="330" t="s">
        <v>11650</v>
      </c>
      <c r="D3872" s="330" t="s">
        <v>11651</v>
      </c>
      <c r="E3872" s="330" t="s">
        <v>4634</v>
      </c>
      <c r="F3872" s="331">
        <v>0.21</v>
      </c>
      <c r="G3872" s="332">
        <v>455</v>
      </c>
      <c r="H3872" s="333">
        <v>551</v>
      </c>
    </row>
    <row r="3873" spans="1:8">
      <c r="A3873" s="317" t="s">
        <v>39375</v>
      </c>
      <c r="B3873" s="317" t="s">
        <v>48239</v>
      </c>
      <c r="C3873" s="330" t="s">
        <v>11652</v>
      </c>
      <c r="D3873" s="330" t="s">
        <v>11653</v>
      </c>
      <c r="E3873" s="330" t="s">
        <v>4634</v>
      </c>
      <c r="F3873" s="331">
        <v>0.21</v>
      </c>
      <c r="G3873" s="332">
        <v>678</v>
      </c>
      <c r="H3873" s="333">
        <v>821</v>
      </c>
    </row>
    <row r="3874" spans="1:8">
      <c r="A3874" s="317" t="s">
        <v>39376</v>
      </c>
      <c r="B3874" s="317" t="s">
        <v>48240</v>
      </c>
      <c r="C3874" s="330" t="s">
        <v>11654</v>
      </c>
      <c r="D3874" s="330" t="s">
        <v>11655</v>
      </c>
      <c r="E3874" s="330" t="s">
        <v>4819</v>
      </c>
      <c r="F3874" s="331">
        <v>0.21</v>
      </c>
      <c r="G3874" s="332">
        <v>6315</v>
      </c>
      <c r="H3874" s="333">
        <v>7642</v>
      </c>
    </row>
    <row r="3875" spans="1:8">
      <c r="A3875" s="317" t="s">
        <v>39377</v>
      </c>
      <c r="B3875" s="317" t="s">
        <v>48241</v>
      </c>
      <c r="C3875" s="330" t="s">
        <v>11656</v>
      </c>
      <c r="D3875" s="330" t="s">
        <v>11657</v>
      </c>
      <c r="E3875" s="330" t="s">
        <v>4634</v>
      </c>
      <c r="F3875" s="331">
        <v>0.21</v>
      </c>
      <c r="G3875" s="332">
        <v>274</v>
      </c>
      <c r="H3875" s="333">
        <v>332</v>
      </c>
    </row>
    <row r="3876" spans="1:8">
      <c r="A3876" s="317" t="s">
        <v>39378</v>
      </c>
      <c r="B3876" s="317" t="s">
        <v>48242</v>
      </c>
      <c r="C3876" s="330" t="s">
        <v>11658</v>
      </c>
      <c r="D3876" s="330" t="s">
        <v>11659</v>
      </c>
      <c r="E3876" s="330" t="s">
        <v>4819</v>
      </c>
      <c r="F3876" s="331">
        <v>0.21</v>
      </c>
      <c r="G3876" s="332">
        <v>13219</v>
      </c>
      <c r="H3876" s="333">
        <v>15995</v>
      </c>
    </row>
    <row r="3877" spans="1:8">
      <c r="A3877" s="317" t="s">
        <v>39379</v>
      </c>
      <c r="B3877" s="317" t="s">
        <v>48243</v>
      </c>
      <c r="C3877" s="330" t="s">
        <v>11660</v>
      </c>
      <c r="D3877" s="330" t="s">
        <v>11659</v>
      </c>
      <c r="E3877" s="330" t="s">
        <v>4819</v>
      </c>
      <c r="F3877" s="331">
        <v>0.21</v>
      </c>
      <c r="G3877" s="332">
        <v>13219</v>
      </c>
      <c r="H3877" s="333">
        <v>15995</v>
      </c>
    </row>
    <row r="3878" spans="1:8">
      <c r="A3878" s="317" t="s">
        <v>39380</v>
      </c>
      <c r="B3878" s="317" t="s">
        <v>48244</v>
      </c>
      <c r="C3878" s="330" t="s">
        <v>11661</v>
      </c>
      <c r="D3878" s="330" t="s">
        <v>11662</v>
      </c>
      <c r="E3878" s="330" t="s">
        <v>4634</v>
      </c>
      <c r="F3878" s="331">
        <v>0.21</v>
      </c>
      <c r="G3878" s="332">
        <v>19574</v>
      </c>
      <c r="H3878" s="333">
        <v>23685</v>
      </c>
    </row>
    <row r="3879" spans="1:8">
      <c r="A3879" s="317" t="s">
        <v>39381</v>
      </c>
      <c r="B3879" s="317" t="s">
        <v>48245</v>
      </c>
      <c r="C3879" s="330" t="s">
        <v>11663</v>
      </c>
      <c r="D3879" s="330" t="s">
        <v>11664</v>
      </c>
      <c r="E3879" s="330" t="s">
        <v>4634</v>
      </c>
      <c r="F3879" s="331">
        <v>0.21</v>
      </c>
      <c r="G3879" s="332">
        <v>1170</v>
      </c>
      <c r="H3879" s="333">
        <v>1416</v>
      </c>
    </row>
    <row r="3880" spans="1:8">
      <c r="A3880" s="317" t="s">
        <v>39382</v>
      </c>
      <c r="B3880" s="317" t="s">
        <v>48246</v>
      </c>
      <c r="C3880" s="330" t="s">
        <v>11665</v>
      </c>
      <c r="D3880" s="330" t="s">
        <v>11666</v>
      </c>
      <c r="E3880" s="330" t="s">
        <v>4634</v>
      </c>
      <c r="F3880" s="331">
        <v>0.21</v>
      </c>
      <c r="G3880" s="332">
        <v>1115</v>
      </c>
      <c r="H3880" s="333">
        <v>1350</v>
      </c>
    </row>
    <row r="3881" spans="1:8">
      <c r="A3881" s="317" t="s">
        <v>39383</v>
      </c>
      <c r="B3881" s="317" t="s">
        <v>48247</v>
      </c>
      <c r="C3881" s="330" t="s">
        <v>11667</v>
      </c>
      <c r="D3881" s="330" t="s">
        <v>11668</v>
      </c>
      <c r="E3881" s="330" t="s">
        <v>4634</v>
      </c>
      <c r="F3881" s="331">
        <v>0.21</v>
      </c>
      <c r="G3881" s="332">
        <v>6902</v>
      </c>
      <c r="H3881" s="333">
        <v>8352</v>
      </c>
    </row>
    <row r="3882" spans="1:8">
      <c r="A3882" s="317" t="s">
        <v>39384</v>
      </c>
      <c r="B3882" s="317" t="s">
        <v>48248</v>
      </c>
      <c r="C3882" s="330" t="s">
        <v>11669</v>
      </c>
      <c r="D3882" s="330" t="s">
        <v>11670</v>
      </c>
      <c r="E3882" s="330" t="s">
        <v>37248</v>
      </c>
      <c r="F3882" s="331">
        <v>0.21</v>
      </c>
      <c r="G3882" s="332">
        <v>55514</v>
      </c>
      <c r="H3882" s="333">
        <v>67172</v>
      </c>
    </row>
    <row r="3883" spans="1:8">
      <c r="A3883" s="317" t="s">
        <v>39385</v>
      </c>
      <c r="B3883" s="317" t="s">
        <v>48249</v>
      </c>
      <c r="C3883" s="330" t="s">
        <v>11671</v>
      </c>
      <c r="D3883" s="330" t="s">
        <v>11672</v>
      </c>
      <c r="E3883" s="330" t="s">
        <v>4634</v>
      </c>
      <c r="F3883" s="331">
        <v>0.21</v>
      </c>
      <c r="G3883" s="332">
        <v>77579</v>
      </c>
      <c r="H3883" s="333">
        <v>93871</v>
      </c>
    </row>
    <row r="3884" spans="1:8">
      <c r="A3884" s="317" t="s">
        <v>39386</v>
      </c>
      <c r="B3884" s="317" t="s">
        <v>48250</v>
      </c>
      <c r="C3884" s="330" t="s">
        <v>11673</v>
      </c>
      <c r="D3884" s="330" t="s">
        <v>11674</v>
      </c>
      <c r="E3884" s="330" t="s">
        <v>4634</v>
      </c>
      <c r="F3884" s="331">
        <v>0.21</v>
      </c>
      <c r="G3884" s="332">
        <v>3421</v>
      </c>
      <c r="H3884" s="333">
        <v>4140</v>
      </c>
    </row>
    <row r="3885" spans="1:8">
      <c r="A3885" s="317" t="s">
        <v>39387</v>
      </c>
      <c r="B3885" s="317" t="s">
        <v>48251</v>
      </c>
      <c r="C3885" s="330" t="s">
        <v>11675</v>
      </c>
      <c r="D3885" s="330" t="s">
        <v>11676</v>
      </c>
      <c r="E3885" s="330" t="s">
        <v>4634</v>
      </c>
      <c r="F3885" s="331">
        <v>0.21</v>
      </c>
      <c r="G3885" s="332">
        <v>274</v>
      </c>
      <c r="H3885" s="333">
        <v>332</v>
      </c>
    </row>
    <row r="3886" spans="1:8">
      <c r="A3886" s="317" t="s">
        <v>39388</v>
      </c>
      <c r="B3886" s="317" t="s">
        <v>48252</v>
      </c>
      <c r="C3886" s="330" t="s">
        <v>11677</v>
      </c>
      <c r="D3886" s="330" t="s">
        <v>11678</v>
      </c>
      <c r="E3886" s="330" t="s">
        <v>4634</v>
      </c>
      <c r="F3886" s="331">
        <v>0.21</v>
      </c>
      <c r="G3886" s="332">
        <v>13263</v>
      </c>
      <c r="H3886" s="333">
        <v>16049</v>
      </c>
    </row>
    <row r="3887" spans="1:8">
      <c r="A3887" s="317" t="s">
        <v>39389</v>
      </c>
      <c r="B3887" s="317" t="s">
        <v>48253</v>
      </c>
      <c r="C3887" s="330" t="s">
        <v>11679</v>
      </c>
      <c r="D3887" s="330" t="s">
        <v>11680</v>
      </c>
      <c r="E3887" s="330" t="s">
        <v>37248</v>
      </c>
      <c r="F3887" s="331">
        <v>0.21</v>
      </c>
      <c r="G3887" s="332">
        <v>14749</v>
      </c>
      <c r="H3887" s="333">
        <v>17847</v>
      </c>
    </row>
    <row r="3888" spans="1:8">
      <c r="A3888" s="317" t="s">
        <v>39390</v>
      </c>
      <c r="B3888" s="317" t="s">
        <v>48254</v>
      </c>
      <c r="C3888" s="330" t="s">
        <v>11681</v>
      </c>
      <c r="D3888" s="330" t="s">
        <v>11682</v>
      </c>
      <c r="E3888" s="330" t="s">
        <v>4634</v>
      </c>
      <c r="F3888" s="331">
        <v>0.21</v>
      </c>
      <c r="G3888" s="332">
        <v>3660</v>
      </c>
      <c r="H3888" s="333">
        <v>4429</v>
      </c>
    </row>
    <row r="3889" spans="1:8">
      <c r="A3889" s="317" t="s">
        <v>39391</v>
      </c>
      <c r="B3889" s="317" t="s">
        <v>48255</v>
      </c>
      <c r="C3889" s="330" t="s">
        <v>11683</v>
      </c>
      <c r="D3889" s="330" t="s">
        <v>11684</v>
      </c>
      <c r="E3889" s="330" t="s">
        <v>4819</v>
      </c>
      <c r="F3889" s="331">
        <v>0.21</v>
      </c>
      <c r="G3889" s="332">
        <v>14772</v>
      </c>
      <c r="H3889" s="333">
        <v>17875</v>
      </c>
    </row>
    <row r="3890" spans="1:8">
      <c r="A3890" s="317" t="s">
        <v>39392</v>
      </c>
      <c r="B3890" s="317" t="s">
        <v>48256</v>
      </c>
      <c r="C3890" s="330" t="s">
        <v>11685</v>
      </c>
      <c r="D3890" s="330" t="s">
        <v>11686</v>
      </c>
      <c r="E3890" s="330" t="s">
        <v>37248</v>
      </c>
      <c r="F3890" s="331">
        <v>0.21</v>
      </c>
      <c r="G3890" s="332">
        <v>479</v>
      </c>
      <c r="H3890" s="333">
        <v>580</v>
      </c>
    </row>
    <row r="3891" spans="1:8">
      <c r="A3891" s="317" t="s">
        <v>39393</v>
      </c>
      <c r="B3891" s="317" t="s">
        <v>48257</v>
      </c>
      <c r="C3891" s="330" t="s">
        <v>11687</v>
      </c>
      <c r="D3891" s="330" t="s">
        <v>11688</v>
      </c>
      <c r="E3891" s="330" t="s">
        <v>4634</v>
      </c>
      <c r="F3891" s="331">
        <v>0.21</v>
      </c>
      <c r="G3891" s="332">
        <v>2059</v>
      </c>
      <c r="H3891" s="333">
        <v>2492</v>
      </c>
    </row>
    <row r="3892" spans="1:8">
      <c r="A3892" s="317" t="s">
        <v>39394</v>
      </c>
      <c r="B3892" s="317" t="s">
        <v>48258</v>
      </c>
      <c r="C3892" s="330" t="s">
        <v>11689</v>
      </c>
      <c r="D3892" s="330" t="s">
        <v>11690</v>
      </c>
      <c r="E3892" s="330" t="s">
        <v>4634</v>
      </c>
      <c r="F3892" s="331">
        <v>0.21</v>
      </c>
      <c r="G3892" s="332">
        <v>2186</v>
      </c>
      <c r="H3892" s="333">
        <v>2646</v>
      </c>
    </row>
    <row r="3893" spans="1:8">
      <c r="A3893" s="317" t="s">
        <v>39395</v>
      </c>
      <c r="B3893" s="317" t="s">
        <v>48259</v>
      </c>
      <c r="C3893" s="330" t="s">
        <v>11691</v>
      </c>
      <c r="D3893" s="330" t="s">
        <v>11692</v>
      </c>
      <c r="E3893" s="330" t="s">
        <v>4634</v>
      </c>
      <c r="F3893" s="331">
        <v>0.21</v>
      </c>
      <c r="G3893" s="332">
        <v>2212</v>
      </c>
      <c r="H3893" s="333">
        <v>2677</v>
      </c>
    </row>
    <row r="3894" spans="1:8">
      <c r="A3894" s="317" t="s">
        <v>39396</v>
      </c>
      <c r="B3894" s="317" t="s">
        <v>48260</v>
      </c>
      <c r="C3894" s="330" t="s">
        <v>11693</v>
      </c>
      <c r="D3894" s="330" t="s">
        <v>11694</v>
      </c>
      <c r="E3894" s="330" t="s">
        <v>4634</v>
      </c>
      <c r="F3894" s="331">
        <v>0.21</v>
      </c>
      <c r="G3894" s="332">
        <v>9904</v>
      </c>
      <c r="H3894" s="333">
        <v>11984</v>
      </c>
    </row>
    <row r="3895" spans="1:8">
      <c r="A3895" s="317" t="s">
        <v>39397</v>
      </c>
      <c r="B3895" s="317" t="s">
        <v>48261</v>
      </c>
      <c r="C3895" s="330" t="s">
        <v>11695</v>
      </c>
      <c r="D3895" s="330" t="s">
        <v>11696</v>
      </c>
      <c r="E3895" s="330" t="s">
        <v>4634</v>
      </c>
      <c r="F3895" s="331">
        <v>0.21</v>
      </c>
      <c r="G3895" s="332">
        <v>584</v>
      </c>
      <c r="H3895" s="333">
        <v>707</v>
      </c>
    </row>
    <row r="3896" spans="1:8">
      <c r="A3896" s="317" t="s">
        <v>39398</v>
      </c>
      <c r="B3896" s="317" t="s">
        <v>48262</v>
      </c>
      <c r="C3896" s="330" t="s">
        <v>11697</v>
      </c>
      <c r="D3896" s="330" t="s">
        <v>11698</v>
      </c>
      <c r="E3896" s="330" t="s">
        <v>4634</v>
      </c>
      <c r="F3896" s="331">
        <v>0.21</v>
      </c>
      <c r="G3896" s="332">
        <v>274</v>
      </c>
      <c r="H3896" s="333">
        <v>332</v>
      </c>
    </row>
    <row r="3897" spans="1:8">
      <c r="A3897" s="317" t="s">
        <v>39399</v>
      </c>
      <c r="B3897" s="317" t="s">
        <v>48263</v>
      </c>
      <c r="C3897" s="330" t="s">
        <v>11699</v>
      </c>
      <c r="D3897" s="330" t="s">
        <v>11700</v>
      </c>
      <c r="E3897" s="330" t="s">
        <v>37248</v>
      </c>
      <c r="F3897" s="331">
        <v>0.21</v>
      </c>
      <c r="G3897" s="332">
        <v>4572</v>
      </c>
      <c r="H3897" s="333">
        <v>5533</v>
      </c>
    </row>
    <row r="3898" spans="1:8">
      <c r="A3898" s="317" t="s">
        <v>39400</v>
      </c>
      <c r="B3898" s="317" t="s">
        <v>48264</v>
      </c>
      <c r="C3898" s="330" t="s">
        <v>11701</v>
      </c>
      <c r="D3898" s="330" t="s">
        <v>11702</v>
      </c>
      <c r="E3898" s="330" t="s">
        <v>4634</v>
      </c>
      <c r="F3898" s="331">
        <v>0.21</v>
      </c>
      <c r="G3898" s="332">
        <v>5307</v>
      </c>
      <c r="H3898" s="333">
        <v>6422</v>
      </c>
    </row>
    <row r="3899" spans="1:8">
      <c r="A3899" s="317" t="s">
        <v>39401</v>
      </c>
      <c r="B3899" s="317" t="s">
        <v>48265</v>
      </c>
      <c r="C3899" s="330" t="s">
        <v>11703</v>
      </c>
      <c r="D3899" s="330" t="s">
        <v>11704</v>
      </c>
      <c r="E3899" s="330" t="s">
        <v>4634</v>
      </c>
      <c r="F3899" s="331">
        <v>0.21</v>
      </c>
      <c r="G3899" s="332">
        <v>432</v>
      </c>
      <c r="H3899" s="333">
        <v>523</v>
      </c>
    </row>
    <row r="3900" spans="1:8">
      <c r="A3900" s="317" t="s">
        <v>39402</v>
      </c>
      <c r="B3900" s="317" t="s">
        <v>48266</v>
      </c>
      <c r="C3900" s="330" t="s">
        <v>11705</v>
      </c>
      <c r="D3900" s="330" t="s">
        <v>11706</v>
      </c>
      <c r="E3900" s="330" t="s">
        <v>4634</v>
      </c>
      <c r="F3900" s="331">
        <v>0.21</v>
      </c>
      <c r="G3900" s="332">
        <v>2330</v>
      </c>
      <c r="H3900" s="333">
        <v>2820</v>
      </c>
    </row>
    <row r="3901" spans="1:8">
      <c r="A3901" s="317" t="s">
        <v>39403</v>
      </c>
      <c r="B3901" s="317" t="s">
        <v>48267</v>
      </c>
      <c r="C3901" s="330" t="s">
        <v>11707</v>
      </c>
      <c r="D3901" s="330" t="s">
        <v>11708</v>
      </c>
      <c r="E3901" s="330" t="s">
        <v>4634</v>
      </c>
      <c r="F3901" s="331">
        <v>0.21</v>
      </c>
      <c r="G3901" s="332">
        <v>274</v>
      </c>
      <c r="H3901" s="333">
        <v>332</v>
      </c>
    </row>
    <row r="3902" spans="1:8">
      <c r="A3902" s="317" t="s">
        <v>39404</v>
      </c>
      <c r="B3902" s="317" t="s">
        <v>48268</v>
      </c>
      <c r="C3902" s="330" t="s">
        <v>11709</v>
      </c>
      <c r="D3902" s="330" t="s">
        <v>11710</v>
      </c>
      <c r="E3902" s="330" t="s">
        <v>4634</v>
      </c>
      <c r="F3902" s="331">
        <v>0.21</v>
      </c>
      <c r="G3902" s="332">
        <v>432</v>
      </c>
      <c r="H3902" s="333">
        <v>523</v>
      </c>
    </row>
    <row r="3903" spans="1:8">
      <c r="A3903" s="317" t="s">
        <v>39405</v>
      </c>
      <c r="B3903" s="317" t="s">
        <v>48269</v>
      </c>
      <c r="C3903" s="330" t="s">
        <v>11711</v>
      </c>
      <c r="D3903" s="330" t="s">
        <v>11712</v>
      </c>
      <c r="E3903" s="330" t="s">
        <v>4634</v>
      </c>
      <c r="F3903" s="331">
        <v>0.21</v>
      </c>
      <c r="G3903" s="332">
        <v>1547</v>
      </c>
      <c r="H3903" s="333">
        <v>1872</v>
      </c>
    </row>
    <row r="3904" spans="1:8">
      <c r="A3904" s="317" t="s">
        <v>39406</v>
      </c>
      <c r="B3904" s="317" t="s">
        <v>48270</v>
      </c>
      <c r="C3904" s="330" t="s">
        <v>11713</v>
      </c>
      <c r="D3904" s="330" t="s">
        <v>11698</v>
      </c>
      <c r="E3904" s="330" t="s">
        <v>4634</v>
      </c>
      <c r="F3904" s="331">
        <v>0.21</v>
      </c>
      <c r="G3904" s="332">
        <v>274</v>
      </c>
      <c r="H3904" s="333">
        <v>332</v>
      </c>
    </row>
    <row r="3905" spans="1:8">
      <c r="A3905" s="317" t="s">
        <v>39407</v>
      </c>
      <c r="B3905" s="317" t="s">
        <v>48271</v>
      </c>
      <c r="C3905" s="330" t="s">
        <v>11714</v>
      </c>
      <c r="D3905" s="330" t="s">
        <v>11710</v>
      </c>
      <c r="E3905" s="330" t="s">
        <v>4634</v>
      </c>
      <c r="F3905" s="331">
        <v>0.21</v>
      </c>
      <c r="G3905" s="332">
        <v>274</v>
      </c>
      <c r="H3905" s="333">
        <v>332</v>
      </c>
    </row>
    <row r="3906" spans="1:8">
      <c r="A3906" s="317" t="s">
        <v>39408</v>
      </c>
      <c r="B3906" s="317" t="s">
        <v>48272</v>
      </c>
      <c r="C3906" s="330" t="s">
        <v>11715</v>
      </c>
      <c r="D3906" s="330" t="s">
        <v>11698</v>
      </c>
      <c r="E3906" s="330" t="s">
        <v>4634</v>
      </c>
      <c r="F3906" s="331">
        <v>0.21</v>
      </c>
      <c r="G3906" s="332">
        <v>274</v>
      </c>
      <c r="H3906" s="333">
        <v>332</v>
      </c>
    </row>
    <row r="3907" spans="1:8">
      <c r="A3907" s="317" t="s">
        <v>39409</v>
      </c>
      <c r="B3907" s="317" t="s">
        <v>48273</v>
      </c>
      <c r="C3907" s="330" t="s">
        <v>11716</v>
      </c>
      <c r="D3907" s="330" t="s">
        <v>11717</v>
      </c>
      <c r="E3907" s="330" t="s">
        <v>4634</v>
      </c>
      <c r="F3907" s="331">
        <v>0.21</v>
      </c>
      <c r="G3907" s="332">
        <v>9016</v>
      </c>
      <c r="H3907" s="333">
        <v>10910</v>
      </c>
    </row>
    <row r="3908" spans="1:8">
      <c r="A3908" s="317" t="s">
        <v>39410</v>
      </c>
      <c r="B3908" s="317" t="s">
        <v>48274</v>
      </c>
      <c r="C3908" s="330" t="s">
        <v>11718</v>
      </c>
      <c r="D3908" s="330" t="s">
        <v>11719</v>
      </c>
      <c r="E3908" s="330" t="s">
        <v>4634</v>
      </c>
      <c r="F3908" s="331">
        <v>0.21</v>
      </c>
      <c r="G3908" s="332">
        <v>2748</v>
      </c>
      <c r="H3908" s="333">
        <v>3326</v>
      </c>
    </row>
    <row r="3909" spans="1:8">
      <c r="A3909" s="317" t="s">
        <v>39411</v>
      </c>
      <c r="B3909" s="317" t="s">
        <v>48275</v>
      </c>
      <c r="C3909" s="330" t="s">
        <v>11720</v>
      </c>
      <c r="D3909" s="330" t="s">
        <v>11710</v>
      </c>
      <c r="E3909" s="330" t="s">
        <v>4634</v>
      </c>
      <c r="F3909" s="331">
        <v>0.21</v>
      </c>
      <c r="G3909" s="332">
        <v>584</v>
      </c>
      <c r="H3909" s="333">
        <v>707</v>
      </c>
    </row>
    <row r="3910" spans="1:8">
      <c r="A3910" s="317" t="s">
        <v>39412</v>
      </c>
      <c r="B3910" s="317" t="s">
        <v>48276</v>
      </c>
      <c r="C3910" s="330" t="s">
        <v>11721</v>
      </c>
      <c r="D3910" s="330" t="s">
        <v>11722</v>
      </c>
      <c r="E3910" s="330" t="s">
        <v>4634</v>
      </c>
      <c r="F3910" s="331">
        <v>0.21</v>
      </c>
      <c r="G3910" s="332">
        <v>7225</v>
      </c>
      <c r="H3910" s="333">
        <v>8743</v>
      </c>
    </row>
    <row r="3911" spans="1:8">
      <c r="A3911" s="317" t="s">
        <v>39413</v>
      </c>
      <c r="B3911" s="317" t="s">
        <v>48277</v>
      </c>
      <c r="C3911" s="330" t="s">
        <v>11723</v>
      </c>
      <c r="D3911" s="330" t="s">
        <v>11724</v>
      </c>
      <c r="E3911" s="330" t="s">
        <v>4634</v>
      </c>
      <c r="F3911" s="331">
        <v>0.21</v>
      </c>
      <c r="G3911" s="332">
        <v>54685</v>
      </c>
      <c r="H3911" s="333">
        <v>66169</v>
      </c>
    </row>
    <row r="3912" spans="1:8">
      <c r="A3912" s="317" t="s">
        <v>39414</v>
      </c>
      <c r="B3912" s="317" t="s">
        <v>48278</v>
      </c>
      <c r="C3912" s="330" t="s">
        <v>11725</v>
      </c>
      <c r="D3912" s="330" t="s">
        <v>11726</v>
      </c>
      <c r="E3912" s="330" t="s">
        <v>4634</v>
      </c>
      <c r="F3912" s="331">
        <v>0.21</v>
      </c>
      <c r="G3912" s="332">
        <v>2574</v>
      </c>
      <c r="H3912" s="333">
        <v>3115</v>
      </c>
    </row>
    <row r="3913" spans="1:8">
      <c r="A3913" s="317" t="s">
        <v>39415</v>
      </c>
      <c r="B3913" s="317" t="s">
        <v>48279</v>
      </c>
      <c r="C3913" s="330" t="s">
        <v>11727</v>
      </c>
      <c r="D3913" s="330" t="s">
        <v>11690</v>
      </c>
      <c r="E3913" s="330" t="s">
        <v>4634</v>
      </c>
      <c r="F3913" s="331">
        <v>0.21</v>
      </c>
      <c r="G3913" s="332">
        <v>2712</v>
      </c>
      <c r="H3913" s="333">
        <v>3282</v>
      </c>
    </row>
    <row r="3914" spans="1:8">
      <c r="A3914" s="317" t="s">
        <v>39416</v>
      </c>
      <c r="B3914" s="317" t="s">
        <v>48280</v>
      </c>
      <c r="C3914" s="330" t="s">
        <v>11728</v>
      </c>
      <c r="D3914" s="330" t="s">
        <v>11729</v>
      </c>
      <c r="E3914" s="330" t="s">
        <v>4634</v>
      </c>
      <c r="F3914" s="331">
        <v>0.21</v>
      </c>
      <c r="G3914" s="332">
        <v>37697</v>
      </c>
      <c r="H3914" s="333">
        <v>45614</v>
      </c>
    </row>
    <row r="3915" spans="1:8">
      <c r="A3915" s="317" t="s">
        <v>39417</v>
      </c>
      <c r="B3915" s="317" t="s">
        <v>48281</v>
      </c>
      <c r="C3915" s="330" t="s">
        <v>11730</v>
      </c>
      <c r="D3915" s="330" t="s">
        <v>11731</v>
      </c>
      <c r="E3915" s="330" t="s">
        <v>4634</v>
      </c>
      <c r="F3915" s="331">
        <v>0.21</v>
      </c>
      <c r="G3915" s="332">
        <v>9016</v>
      </c>
      <c r="H3915" s="333">
        <v>10910</v>
      </c>
    </row>
    <row r="3916" spans="1:8">
      <c r="A3916" s="317" t="s">
        <v>39418</v>
      </c>
      <c r="B3916" s="317" t="s">
        <v>48282</v>
      </c>
      <c r="C3916" s="330" t="s">
        <v>11732</v>
      </c>
      <c r="D3916" s="330" t="s">
        <v>11694</v>
      </c>
      <c r="E3916" s="330" t="s">
        <v>4634</v>
      </c>
      <c r="F3916" s="331">
        <v>0.21</v>
      </c>
      <c r="G3916" s="332">
        <v>10941</v>
      </c>
      <c r="H3916" s="333">
        <v>13239</v>
      </c>
    </row>
    <row r="3917" spans="1:8">
      <c r="A3917" s="317" t="s">
        <v>39419</v>
      </c>
      <c r="B3917" s="317" t="s">
        <v>48283</v>
      </c>
      <c r="C3917" s="330" t="s">
        <v>11733</v>
      </c>
      <c r="D3917" s="330" t="s">
        <v>11734</v>
      </c>
      <c r="E3917" s="330" t="s">
        <v>4634</v>
      </c>
      <c r="F3917" s="331">
        <v>0.21</v>
      </c>
      <c r="G3917" s="332">
        <v>6101</v>
      </c>
      <c r="H3917" s="333">
        <v>7383</v>
      </c>
    </row>
    <row r="3918" spans="1:8">
      <c r="A3918" s="317" t="s">
        <v>39420</v>
      </c>
      <c r="B3918" s="317" t="s">
        <v>48284</v>
      </c>
      <c r="C3918" s="330" t="s">
        <v>11735</v>
      </c>
      <c r="D3918" s="330" t="s">
        <v>11702</v>
      </c>
      <c r="E3918" s="330" t="s">
        <v>4634</v>
      </c>
      <c r="F3918" s="331">
        <v>0.21</v>
      </c>
      <c r="G3918" s="332">
        <v>19226</v>
      </c>
      <c r="H3918" s="333">
        <v>23264</v>
      </c>
    </row>
    <row r="3919" spans="1:8">
      <c r="A3919" s="317" t="s">
        <v>39421</v>
      </c>
      <c r="B3919" s="317" t="s">
        <v>48285</v>
      </c>
      <c r="C3919" s="330" t="s">
        <v>11736</v>
      </c>
      <c r="D3919" s="330" t="s">
        <v>11737</v>
      </c>
      <c r="E3919" s="330" t="s">
        <v>4634</v>
      </c>
      <c r="F3919" s="331">
        <v>0.21</v>
      </c>
      <c r="G3919" s="332">
        <v>25169</v>
      </c>
      <c r="H3919" s="333">
        <v>30455</v>
      </c>
    </row>
    <row r="3920" spans="1:8">
      <c r="A3920" s="317" t="s">
        <v>39422</v>
      </c>
      <c r="B3920" s="317" t="s">
        <v>48286</v>
      </c>
      <c r="C3920" s="330" t="s">
        <v>11738</v>
      </c>
      <c r="D3920" s="330" t="s">
        <v>11739</v>
      </c>
      <c r="E3920" s="330" t="s">
        <v>4634</v>
      </c>
      <c r="F3920" s="331">
        <v>0.21</v>
      </c>
      <c r="G3920" s="332">
        <v>54685</v>
      </c>
      <c r="H3920" s="333">
        <v>66169</v>
      </c>
    </row>
    <row r="3921" spans="1:8">
      <c r="A3921" s="317" t="s">
        <v>39423</v>
      </c>
      <c r="B3921" s="317" t="s">
        <v>48287</v>
      </c>
      <c r="C3921" s="330" t="s">
        <v>11740</v>
      </c>
      <c r="D3921" s="330" t="s">
        <v>11741</v>
      </c>
      <c r="E3921" s="330" t="s">
        <v>4634</v>
      </c>
      <c r="F3921" s="331">
        <v>0.21</v>
      </c>
      <c r="G3921" s="332">
        <v>25169</v>
      </c>
      <c r="H3921" s="333">
        <v>30455</v>
      </c>
    </row>
    <row r="3922" spans="1:8">
      <c r="A3922" s="317" t="s">
        <v>39424</v>
      </c>
      <c r="B3922" s="317" t="s">
        <v>48288</v>
      </c>
      <c r="C3922" s="330" t="s">
        <v>11742</v>
      </c>
      <c r="D3922" s="330" t="s">
        <v>11743</v>
      </c>
      <c r="E3922" s="330" t="s">
        <v>37248</v>
      </c>
      <c r="F3922" s="331">
        <v>0.21</v>
      </c>
      <c r="G3922" s="332">
        <v>100007</v>
      </c>
      <c r="H3922" s="333">
        <v>121009</v>
      </c>
    </row>
    <row r="3923" spans="1:8">
      <c r="A3923" s="317" t="s">
        <v>39425</v>
      </c>
      <c r="B3923" s="317" t="s">
        <v>48289</v>
      </c>
      <c r="C3923" s="330" t="s">
        <v>11744</v>
      </c>
      <c r="D3923" s="330" t="s">
        <v>11745</v>
      </c>
      <c r="E3923" s="330" t="s">
        <v>4634</v>
      </c>
      <c r="F3923" s="331">
        <v>0.21</v>
      </c>
      <c r="G3923" s="332">
        <v>274</v>
      </c>
      <c r="H3923" s="333">
        <v>332</v>
      </c>
    </row>
    <row r="3924" spans="1:8">
      <c r="A3924" s="317" t="s">
        <v>39426</v>
      </c>
      <c r="B3924" s="317" t="s">
        <v>48290</v>
      </c>
      <c r="C3924" s="330" t="s">
        <v>11746</v>
      </c>
      <c r="D3924" s="330" t="s">
        <v>11747</v>
      </c>
      <c r="E3924" s="330" t="s">
        <v>4634</v>
      </c>
      <c r="F3924" s="331">
        <v>0.21</v>
      </c>
      <c r="G3924" s="332">
        <v>4233</v>
      </c>
      <c r="H3924" s="333">
        <v>5122</v>
      </c>
    </row>
    <row r="3925" spans="1:8">
      <c r="A3925" s="317" t="s">
        <v>39427</v>
      </c>
      <c r="B3925" s="317" t="s">
        <v>48291</v>
      </c>
      <c r="C3925" s="330" t="s">
        <v>11748</v>
      </c>
      <c r="D3925" s="330" t="s">
        <v>11749</v>
      </c>
      <c r="E3925" s="330" t="s">
        <v>4634</v>
      </c>
      <c r="F3925" s="331">
        <v>0.21</v>
      </c>
      <c r="G3925" s="332">
        <v>2471</v>
      </c>
      <c r="H3925" s="333">
        <v>2990</v>
      </c>
    </row>
    <row r="3926" spans="1:8">
      <c r="A3926" s="317" t="s">
        <v>39428</v>
      </c>
      <c r="B3926" s="317" t="s">
        <v>48292</v>
      </c>
      <c r="C3926" s="330" t="s">
        <v>11750</v>
      </c>
      <c r="D3926" s="330" t="s">
        <v>11749</v>
      </c>
      <c r="E3926" s="330" t="s">
        <v>4634</v>
      </c>
      <c r="F3926" s="331">
        <v>0.21</v>
      </c>
      <c r="G3926" s="332">
        <v>7662</v>
      </c>
      <c r="H3926" s="333">
        <v>9272</v>
      </c>
    </row>
    <row r="3927" spans="1:8">
      <c r="A3927" s="317" t="s">
        <v>39429</v>
      </c>
      <c r="B3927" s="317" t="s">
        <v>48293</v>
      </c>
      <c r="C3927" s="330" t="s">
        <v>11751</v>
      </c>
      <c r="D3927" s="330" t="s">
        <v>11752</v>
      </c>
      <c r="E3927" s="330" t="s">
        <v>4634</v>
      </c>
      <c r="F3927" s="331">
        <v>0.21</v>
      </c>
      <c r="G3927" s="332">
        <v>7250</v>
      </c>
      <c r="H3927" s="333">
        <v>8773</v>
      </c>
    </row>
    <row r="3928" spans="1:8">
      <c r="A3928" s="317" t="s">
        <v>39430</v>
      </c>
      <c r="B3928" s="317" t="s">
        <v>48294</v>
      </c>
      <c r="C3928" s="330" t="s">
        <v>11753</v>
      </c>
      <c r="D3928" s="330" t="s">
        <v>11754</v>
      </c>
      <c r="E3928" s="330" t="s">
        <v>4634</v>
      </c>
      <c r="F3928" s="331">
        <v>0.21</v>
      </c>
      <c r="G3928" s="332">
        <v>1411</v>
      </c>
      <c r="H3928" s="333">
        <v>1708</v>
      </c>
    </row>
    <row r="3929" spans="1:8">
      <c r="A3929" s="317" t="s">
        <v>39431</v>
      </c>
      <c r="B3929" s="317" t="s">
        <v>48295</v>
      </c>
      <c r="C3929" s="330" t="s">
        <v>11755</v>
      </c>
      <c r="D3929" s="330" t="s">
        <v>11756</v>
      </c>
      <c r="E3929" s="330" t="s">
        <v>4819</v>
      </c>
      <c r="F3929" s="331">
        <v>0.21</v>
      </c>
      <c r="G3929" s="332">
        <v>2311</v>
      </c>
      <c r="H3929" s="333">
        <v>2797</v>
      </c>
    </row>
    <row r="3930" spans="1:8">
      <c r="A3930" s="317" t="s">
        <v>39432</v>
      </c>
      <c r="B3930" s="317" t="s">
        <v>48296</v>
      </c>
      <c r="C3930" s="330" t="s">
        <v>11757</v>
      </c>
      <c r="D3930" s="330" t="s">
        <v>11758</v>
      </c>
      <c r="E3930" s="330" t="s">
        <v>4819</v>
      </c>
      <c r="F3930" s="331">
        <v>0.21</v>
      </c>
      <c r="G3930" s="332">
        <v>2630</v>
      </c>
      <c r="H3930" s="333">
        <v>3183</v>
      </c>
    </row>
    <row r="3931" spans="1:8">
      <c r="A3931" s="317" t="s">
        <v>39433</v>
      </c>
      <c r="B3931" s="317" t="s">
        <v>48297</v>
      </c>
      <c r="C3931" s="330" t="s">
        <v>11759</v>
      </c>
      <c r="D3931" s="330" t="s">
        <v>11499</v>
      </c>
      <c r="E3931" s="330" t="s">
        <v>4634</v>
      </c>
      <c r="F3931" s="331">
        <v>0.21</v>
      </c>
      <c r="G3931" s="332">
        <v>455</v>
      </c>
      <c r="H3931" s="333">
        <v>551</v>
      </c>
    </row>
    <row r="3932" spans="1:8">
      <c r="A3932" s="317" t="s">
        <v>39434</v>
      </c>
      <c r="B3932" s="317" t="s">
        <v>48298</v>
      </c>
      <c r="C3932" s="330" t="s">
        <v>11760</v>
      </c>
      <c r="D3932" s="330" t="s">
        <v>11761</v>
      </c>
      <c r="E3932" s="330" t="s">
        <v>37248</v>
      </c>
      <c r="F3932" s="331">
        <v>0.21</v>
      </c>
      <c r="G3932" s="332">
        <v>5715</v>
      </c>
      <c r="H3932" s="333">
        <v>6916</v>
      </c>
    </row>
    <row r="3933" spans="1:8">
      <c r="A3933" s="317" t="s">
        <v>39435</v>
      </c>
      <c r="B3933" s="317" t="s">
        <v>48299</v>
      </c>
      <c r="C3933" s="330" t="s">
        <v>11762</v>
      </c>
      <c r="D3933" s="330" t="s">
        <v>11763</v>
      </c>
      <c r="E3933" s="330" t="s">
        <v>4634</v>
      </c>
      <c r="F3933" s="331">
        <v>0.21</v>
      </c>
      <c r="G3933" s="332">
        <v>455</v>
      </c>
      <c r="H3933" s="333">
        <v>551</v>
      </c>
    </row>
    <row r="3934" spans="1:8">
      <c r="A3934" s="317" t="s">
        <v>39436</v>
      </c>
      <c r="B3934" s="317" t="s">
        <v>48300</v>
      </c>
      <c r="C3934" s="330" t="s">
        <v>11764</v>
      </c>
      <c r="D3934" s="330" t="s">
        <v>11765</v>
      </c>
      <c r="E3934" s="330" t="s">
        <v>4634</v>
      </c>
      <c r="F3934" s="331">
        <v>0.21</v>
      </c>
      <c r="G3934" s="332">
        <v>11144</v>
      </c>
      <c r="H3934" s="333">
        <v>13485</v>
      </c>
    </row>
    <row r="3935" spans="1:8">
      <c r="A3935" s="317" t="s">
        <v>39437</v>
      </c>
      <c r="B3935" s="317" t="s">
        <v>48301</v>
      </c>
      <c r="C3935" s="330" t="s">
        <v>11766</v>
      </c>
      <c r="D3935" s="330" t="s">
        <v>11767</v>
      </c>
      <c r="E3935" s="330" t="s">
        <v>4634</v>
      </c>
      <c r="F3935" s="331">
        <v>0.21</v>
      </c>
      <c r="G3935" s="332">
        <v>1882</v>
      </c>
      <c r="H3935" s="333">
        <v>2278</v>
      </c>
    </row>
    <row r="3936" spans="1:8">
      <c r="A3936" s="317" t="s">
        <v>39438</v>
      </c>
      <c r="B3936" s="317" t="s">
        <v>48302</v>
      </c>
      <c r="C3936" s="330" t="s">
        <v>11768</v>
      </c>
      <c r="D3936" s="330" t="s">
        <v>11769</v>
      </c>
      <c r="E3936" s="330" t="s">
        <v>4634</v>
      </c>
      <c r="F3936" s="331">
        <v>0.21</v>
      </c>
      <c r="G3936" s="332">
        <v>1882</v>
      </c>
      <c r="H3936" s="333">
        <v>2278</v>
      </c>
    </row>
    <row r="3937" spans="1:8">
      <c r="A3937" s="317" t="s">
        <v>39439</v>
      </c>
      <c r="B3937" s="317" t="s">
        <v>48303</v>
      </c>
      <c r="C3937" s="330" t="s">
        <v>11770</v>
      </c>
      <c r="D3937" s="330" t="s">
        <v>11771</v>
      </c>
      <c r="E3937" s="330" t="s">
        <v>4819</v>
      </c>
      <c r="F3937" s="331">
        <v>0.21</v>
      </c>
      <c r="G3937" s="332">
        <v>10950</v>
      </c>
      <c r="H3937" s="333">
        <v>13250</v>
      </c>
    </row>
    <row r="3938" spans="1:8">
      <c r="A3938" s="317" t="s">
        <v>39440</v>
      </c>
      <c r="B3938" s="317" t="s">
        <v>48304</v>
      </c>
      <c r="C3938" s="330" t="s">
        <v>11772</v>
      </c>
      <c r="D3938" s="330" t="s">
        <v>11773</v>
      </c>
      <c r="E3938" s="330" t="s">
        <v>4819</v>
      </c>
      <c r="F3938" s="331">
        <v>0.21</v>
      </c>
      <c r="G3938" s="332">
        <v>1844</v>
      </c>
      <c r="H3938" s="333">
        <v>2232</v>
      </c>
    </row>
    <row r="3939" spans="1:8">
      <c r="A3939" s="317" t="s">
        <v>39441</v>
      </c>
      <c r="B3939" s="317" t="s">
        <v>48305</v>
      </c>
      <c r="C3939" s="330" t="s">
        <v>11774</v>
      </c>
      <c r="D3939" s="330" t="s">
        <v>11775</v>
      </c>
      <c r="E3939" s="330" t="s">
        <v>4634</v>
      </c>
      <c r="F3939" s="331">
        <v>0.21</v>
      </c>
      <c r="G3939" s="332">
        <v>54392</v>
      </c>
      <c r="H3939" s="333">
        <v>65815</v>
      </c>
    </row>
    <row r="3940" spans="1:8">
      <c r="A3940" s="317" t="s">
        <v>39442</v>
      </c>
      <c r="B3940" s="317" t="s">
        <v>48306</v>
      </c>
      <c r="C3940" s="330" t="s">
        <v>11776</v>
      </c>
      <c r="D3940" s="330" t="s">
        <v>11777</v>
      </c>
      <c r="E3940" s="330" t="s">
        <v>4819</v>
      </c>
      <c r="F3940" s="331">
        <v>0.21</v>
      </c>
      <c r="G3940" s="332">
        <v>30115</v>
      </c>
      <c r="H3940" s="333">
        <v>36440</v>
      </c>
    </row>
    <row r="3941" spans="1:8">
      <c r="A3941" s="317">
        <v>1609209006</v>
      </c>
      <c r="B3941" s="317" t="s">
        <v>48307</v>
      </c>
      <c r="C3941" s="330" t="s">
        <v>11778</v>
      </c>
      <c r="D3941" s="330" t="s">
        <v>11779</v>
      </c>
      <c r="E3941" s="330" t="s">
        <v>4634</v>
      </c>
      <c r="F3941" s="331">
        <v>0.21</v>
      </c>
      <c r="G3941" s="332">
        <v>977</v>
      </c>
      <c r="H3941" s="333">
        <v>1183</v>
      </c>
    </row>
    <row r="3942" spans="1:8">
      <c r="A3942" s="317">
        <v>1609213000</v>
      </c>
      <c r="B3942" s="317" t="s">
        <v>48308</v>
      </c>
      <c r="C3942" s="330" t="s">
        <v>11780</v>
      </c>
      <c r="D3942" s="330" t="s">
        <v>5324</v>
      </c>
      <c r="E3942" s="330" t="s">
        <v>4634</v>
      </c>
      <c r="F3942" s="331">
        <v>0.21</v>
      </c>
      <c r="G3942" s="332">
        <v>73</v>
      </c>
      <c r="H3942" s="333">
        <v>89</v>
      </c>
    </row>
    <row r="3943" spans="1:8">
      <c r="A3943" s="317">
        <v>1609233000</v>
      </c>
      <c r="B3943" s="317" t="s">
        <v>48309</v>
      </c>
      <c r="C3943" s="330" t="s">
        <v>11781</v>
      </c>
      <c r="D3943" s="330" t="s">
        <v>11782</v>
      </c>
      <c r="E3943" s="330" t="s">
        <v>4634</v>
      </c>
      <c r="F3943" s="331">
        <v>0.21</v>
      </c>
      <c r="G3943" s="332">
        <v>486</v>
      </c>
      <c r="H3943" s="333">
        <v>589</v>
      </c>
    </row>
    <row r="3944" spans="1:8">
      <c r="A3944" s="317" t="s">
        <v>39443</v>
      </c>
      <c r="B3944" s="317" t="s">
        <v>48310</v>
      </c>
      <c r="C3944" s="330" t="s">
        <v>11783</v>
      </c>
      <c r="D3944" s="330" t="s">
        <v>11784</v>
      </c>
      <c r="E3944" s="330" t="s">
        <v>4634</v>
      </c>
      <c r="F3944" s="331">
        <v>0.21</v>
      </c>
      <c r="G3944" s="332">
        <v>2759073</v>
      </c>
      <c r="H3944" s="333">
        <v>3338479</v>
      </c>
    </row>
    <row r="3945" spans="1:8">
      <c r="A3945" s="317" t="s">
        <v>39444</v>
      </c>
      <c r="B3945" s="317" t="s">
        <v>48311</v>
      </c>
      <c r="C3945" s="330" t="s">
        <v>11785</v>
      </c>
      <c r="D3945" s="330" t="s">
        <v>11786</v>
      </c>
      <c r="E3945" s="330" t="s">
        <v>4634</v>
      </c>
      <c r="F3945" s="331">
        <v>0.21</v>
      </c>
      <c r="G3945" s="332">
        <v>739123</v>
      </c>
      <c r="H3945" s="333">
        <v>894339</v>
      </c>
    </row>
    <row r="3946" spans="1:8">
      <c r="A3946" s="317" t="s">
        <v>39445</v>
      </c>
      <c r="B3946" s="317" t="s">
        <v>48312</v>
      </c>
      <c r="C3946" s="330" t="s">
        <v>11787</v>
      </c>
      <c r="D3946" s="330" t="s">
        <v>11788</v>
      </c>
      <c r="E3946" s="330" t="s">
        <v>4634</v>
      </c>
      <c r="F3946" s="331">
        <v>0.21</v>
      </c>
      <c r="G3946" s="332">
        <v>739123</v>
      </c>
      <c r="H3946" s="333">
        <v>894339</v>
      </c>
    </row>
    <row r="3947" spans="1:8">
      <c r="A3947" s="317" t="s">
        <v>39446</v>
      </c>
      <c r="B3947" s="317" t="s">
        <v>48313</v>
      </c>
      <c r="C3947" s="330" t="s">
        <v>11789</v>
      </c>
      <c r="D3947" s="330" t="s">
        <v>11790</v>
      </c>
      <c r="E3947" s="330" t="s">
        <v>4634</v>
      </c>
      <c r="F3947" s="331">
        <v>0.21</v>
      </c>
      <c r="G3947" s="332">
        <v>4695</v>
      </c>
      <c r="H3947" s="333">
        <v>5681</v>
      </c>
    </row>
    <row r="3948" spans="1:8">
      <c r="A3948" s="317" t="s">
        <v>39447</v>
      </c>
      <c r="B3948" s="317" t="s">
        <v>48314</v>
      </c>
      <c r="C3948" s="330" t="s">
        <v>11791</v>
      </c>
      <c r="D3948" s="330" t="s">
        <v>11792</v>
      </c>
      <c r="E3948" s="330" t="s">
        <v>4634</v>
      </c>
      <c r="F3948" s="331">
        <v>0.21</v>
      </c>
      <c r="G3948" s="332">
        <v>4695</v>
      </c>
      <c r="H3948" s="333">
        <v>5681</v>
      </c>
    </row>
    <row r="3949" spans="1:8">
      <c r="A3949" s="317" t="s">
        <v>39448</v>
      </c>
      <c r="B3949" s="317" t="s">
        <v>48315</v>
      </c>
      <c r="C3949" s="330" t="s">
        <v>11793</v>
      </c>
      <c r="D3949" s="330" t="s">
        <v>11794</v>
      </c>
      <c r="E3949" s="330" t="s">
        <v>4819</v>
      </c>
      <c r="F3949" s="331">
        <v>0.21</v>
      </c>
      <c r="G3949" s="332">
        <v>180442</v>
      </c>
      <c r="H3949" s="333">
        <v>218335</v>
      </c>
    </row>
    <row r="3950" spans="1:8">
      <c r="A3950" s="317" t="s">
        <v>39449</v>
      </c>
      <c r="B3950" s="317" t="s">
        <v>48316</v>
      </c>
      <c r="C3950" s="330" t="s">
        <v>11795</v>
      </c>
      <c r="D3950" s="330" t="s">
        <v>11796</v>
      </c>
      <c r="E3950" s="330" t="s">
        <v>4819</v>
      </c>
      <c r="F3950" s="331">
        <v>0.21</v>
      </c>
      <c r="G3950" s="332">
        <v>166194</v>
      </c>
      <c r="H3950" s="333">
        <v>201095</v>
      </c>
    </row>
    <row r="3951" spans="1:8">
      <c r="A3951" s="317" t="s">
        <v>39450</v>
      </c>
      <c r="B3951" s="317" t="s">
        <v>48317</v>
      </c>
      <c r="C3951" s="330" t="s">
        <v>11797</v>
      </c>
      <c r="D3951" s="330" t="s">
        <v>11796</v>
      </c>
      <c r="E3951" s="330" t="s">
        <v>4819</v>
      </c>
      <c r="F3951" s="331">
        <v>0.21</v>
      </c>
      <c r="G3951" s="332">
        <v>329805</v>
      </c>
      <c r="H3951" s="333">
        <v>399065</v>
      </c>
    </row>
    <row r="3952" spans="1:8">
      <c r="A3952" s="317" t="s">
        <v>39451</v>
      </c>
      <c r="B3952" s="317" t="s">
        <v>48318</v>
      </c>
      <c r="C3952" s="330" t="s">
        <v>11798</v>
      </c>
      <c r="D3952" s="330" t="s">
        <v>11799</v>
      </c>
      <c r="E3952" s="330" t="s">
        <v>4634</v>
      </c>
      <c r="F3952" s="331">
        <v>0.21</v>
      </c>
      <c r="G3952" s="332">
        <v>1328815</v>
      </c>
      <c r="H3952" s="333">
        <v>1607867</v>
      </c>
    </row>
    <row r="3953" spans="1:8">
      <c r="A3953" s="317" t="s">
        <v>39452</v>
      </c>
      <c r="B3953" s="317" t="s">
        <v>48319</v>
      </c>
      <c r="C3953" s="330" t="s">
        <v>11800</v>
      </c>
      <c r="D3953" s="330" t="s">
        <v>11801</v>
      </c>
      <c r="E3953" s="330" t="s">
        <v>4634</v>
      </c>
      <c r="F3953" s="331">
        <v>0.21</v>
      </c>
      <c r="G3953" s="332">
        <v>739123</v>
      </c>
      <c r="H3953" s="333">
        <v>894339</v>
      </c>
    </row>
    <row r="3954" spans="1:8">
      <c r="A3954" s="317" t="s">
        <v>39453</v>
      </c>
      <c r="B3954" s="317" t="s">
        <v>48320</v>
      </c>
      <c r="C3954" s="330" t="s">
        <v>11802</v>
      </c>
      <c r="D3954" s="330" t="s">
        <v>11801</v>
      </c>
      <c r="E3954" s="330" t="s">
        <v>4634</v>
      </c>
      <c r="F3954" s="331">
        <v>0.21</v>
      </c>
      <c r="G3954" s="332">
        <v>551330</v>
      </c>
      <c r="H3954" s="333">
        <v>667110</v>
      </c>
    </row>
    <row r="3955" spans="1:8">
      <c r="A3955" s="317" t="s">
        <v>39454</v>
      </c>
      <c r="B3955" s="317" t="s">
        <v>48321</v>
      </c>
      <c r="C3955" s="330" t="s">
        <v>11803</v>
      </c>
      <c r="D3955" s="330" t="s">
        <v>11801</v>
      </c>
      <c r="E3955" s="330" t="s">
        <v>4634</v>
      </c>
      <c r="F3955" s="331">
        <v>0.21</v>
      </c>
      <c r="G3955" s="332">
        <v>739123</v>
      </c>
      <c r="H3955" s="333">
        <v>894339</v>
      </c>
    </row>
    <row r="3956" spans="1:8">
      <c r="A3956" s="317" t="s">
        <v>39455</v>
      </c>
      <c r="B3956" s="317" t="s">
        <v>48322</v>
      </c>
      <c r="C3956" s="330" t="s">
        <v>11804</v>
      </c>
      <c r="D3956" s="330" t="s">
        <v>11805</v>
      </c>
      <c r="E3956" s="330" t="s">
        <v>4634</v>
      </c>
      <c r="F3956" s="331">
        <v>0.21</v>
      </c>
      <c r="G3956" s="332">
        <v>306846</v>
      </c>
      <c r="H3956" s="333">
        <v>371284</v>
      </c>
    </row>
    <row r="3957" spans="1:8">
      <c r="A3957" s="317" t="s">
        <v>39456</v>
      </c>
      <c r="B3957" s="317" t="s">
        <v>48323</v>
      </c>
      <c r="C3957" s="330" t="s">
        <v>11806</v>
      </c>
      <c r="D3957" s="330" t="s">
        <v>11807</v>
      </c>
      <c r="E3957" s="330" t="s">
        <v>4634</v>
      </c>
      <c r="F3957" s="331">
        <v>0.21</v>
      </c>
      <c r="G3957" s="332">
        <v>15126</v>
      </c>
      <c r="H3957" s="333">
        <v>18303</v>
      </c>
    </row>
    <row r="3958" spans="1:8">
      <c r="A3958" s="317" t="s">
        <v>39457</v>
      </c>
      <c r="B3958" s="317" t="s">
        <v>48324</v>
      </c>
      <c r="C3958" s="330" t="s">
        <v>11808</v>
      </c>
      <c r="D3958" s="330" t="s">
        <v>11809</v>
      </c>
      <c r="E3958" s="330" t="s">
        <v>4634</v>
      </c>
      <c r="F3958" s="331">
        <v>0.21</v>
      </c>
      <c r="G3958" s="332">
        <v>11126</v>
      </c>
      <c r="H3958" s="333">
        <v>13463</v>
      </c>
    </row>
    <row r="3959" spans="1:8">
      <c r="A3959" s="317" t="s">
        <v>39458</v>
      </c>
      <c r="B3959" s="317" t="s">
        <v>48325</v>
      </c>
      <c r="C3959" s="330" t="s">
        <v>11810</v>
      </c>
      <c r="D3959" s="330" t="s">
        <v>11811</v>
      </c>
      <c r="E3959" s="330" t="s">
        <v>4634</v>
      </c>
      <c r="F3959" s="331">
        <v>0.21</v>
      </c>
      <c r="G3959" s="332">
        <v>131008</v>
      </c>
      <c r="H3959" s="333">
        <v>158520</v>
      </c>
    </row>
    <row r="3960" spans="1:8">
      <c r="A3960" s="317" t="s">
        <v>39459</v>
      </c>
      <c r="B3960" s="317" t="s">
        <v>48326</v>
      </c>
      <c r="C3960" s="330" t="s">
        <v>11812</v>
      </c>
      <c r="D3960" s="330" t="s">
        <v>11813</v>
      </c>
      <c r="E3960" s="330" t="s">
        <v>4634</v>
      </c>
      <c r="F3960" s="331">
        <v>0.21</v>
      </c>
      <c r="G3960" s="332">
        <v>14265</v>
      </c>
      <c r="H3960" s="333">
        <v>17261</v>
      </c>
    </row>
    <row r="3961" spans="1:8">
      <c r="A3961" s="317" t="s">
        <v>39460</v>
      </c>
      <c r="B3961" s="317" t="s">
        <v>48327</v>
      </c>
      <c r="C3961" s="330" t="s">
        <v>11814</v>
      </c>
      <c r="D3961" s="330" t="s">
        <v>11815</v>
      </c>
      <c r="E3961" s="330" t="s">
        <v>4634</v>
      </c>
      <c r="F3961" s="331">
        <v>0.21</v>
      </c>
      <c r="G3961" s="332">
        <v>13032</v>
      </c>
      <c r="H3961" s="333">
        <v>15769</v>
      </c>
    </row>
    <row r="3962" spans="1:8">
      <c r="A3962" s="317" t="s">
        <v>39461</v>
      </c>
      <c r="B3962" s="317" t="s">
        <v>48328</v>
      </c>
      <c r="C3962" s="330" t="s">
        <v>11816</v>
      </c>
      <c r="D3962" s="330" t="s">
        <v>11817</v>
      </c>
      <c r="E3962" s="330" t="s">
        <v>4634</v>
      </c>
      <c r="F3962" s="331">
        <v>0.21</v>
      </c>
      <c r="G3962" s="332">
        <v>7423</v>
      </c>
      <c r="H3962" s="333">
        <v>8982</v>
      </c>
    </row>
    <row r="3963" spans="1:8">
      <c r="A3963" s="317" t="s">
        <v>39462</v>
      </c>
      <c r="B3963" s="317" t="s">
        <v>48329</v>
      </c>
      <c r="C3963" s="330" t="s">
        <v>11818</v>
      </c>
      <c r="D3963" s="330" t="s">
        <v>11819</v>
      </c>
      <c r="E3963" s="330" t="s">
        <v>4634</v>
      </c>
      <c r="F3963" s="331">
        <v>0.21</v>
      </c>
      <c r="G3963" s="332">
        <v>637140</v>
      </c>
      <c r="H3963" s="333">
        <v>770940</v>
      </c>
    </row>
    <row r="3964" spans="1:8">
      <c r="A3964" s="317" t="s">
        <v>39463</v>
      </c>
      <c r="B3964" s="317" t="s">
        <v>48330</v>
      </c>
      <c r="C3964" s="330" t="s">
        <v>11820</v>
      </c>
      <c r="D3964" s="330" t="s">
        <v>11821</v>
      </c>
      <c r="E3964" s="330" t="s">
        <v>4634</v>
      </c>
      <c r="F3964" s="331">
        <v>0.21</v>
      </c>
      <c r="G3964" s="332">
        <v>6620</v>
      </c>
      <c r="H3964" s="333">
        <v>8011</v>
      </c>
    </row>
    <row r="3965" spans="1:8">
      <c r="A3965" s="317" t="s">
        <v>39464</v>
      </c>
      <c r="B3965" s="317" t="s">
        <v>48331</v>
      </c>
      <c r="C3965" s="330" t="s">
        <v>11822</v>
      </c>
      <c r="D3965" s="330" t="s">
        <v>11823</v>
      </c>
      <c r="E3965" s="330" t="s">
        <v>4634</v>
      </c>
      <c r="F3965" s="331">
        <v>0.21</v>
      </c>
      <c r="G3965" s="332">
        <v>25473</v>
      </c>
      <c r="H3965" s="333">
        <v>30823</v>
      </c>
    </row>
    <row r="3966" spans="1:8">
      <c r="A3966" s="317" t="s">
        <v>39465</v>
      </c>
      <c r="B3966" s="317" t="s">
        <v>48332</v>
      </c>
      <c r="C3966" s="330" t="s">
        <v>11824</v>
      </c>
      <c r="D3966" s="330" t="s">
        <v>11825</v>
      </c>
      <c r="E3966" s="330" t="s">
        <v>4634</v>
      </c>
      <c r="F3966" s="331">
        <v>0.21</v>
      </c>
      <c r="G3966" s="332">
        <v>38502</v>
      </c>
      <c r="H3966" s="333">
        <v>46588</v>
      </c>
    </row>
    <row r="3967" spans="1:8">
      <c r="A3967" s="317" t="s">
        <v>39466</v>
      </c>
      <c r="B3967" s="317" t="s">
        <v>48333</v>
      </c>
      <c r="C3967" s="330" t="s">
        <v>11826</v>
      </c>
      <c r="D3967" s="330" t="s">
        <v>11827</v>
      </c>
      <c r="E3967" s="330" t="s">
        <v>4634</v>
      </c>
      <c r="F3967" s="331">
        <v>0.21</v>
      </c>
      <c r="G3967" s="332">
        <v>213185</v>
      </c>
      <c r="H3967" s="333">
        <v>257954</v>
      </c>
    </row>
    <row r="3968" spans="1:8">
      <c r="A3968" s="317" t="s">
        <v>39467</v>
      </c>
      <c r="B3968" s="317" t="s">
        <v>48334</v>
      </c>
      <c r="C3968" s="330" t="s">
        <v>11828</v>
      </c>
      <c r="D3968" s="330" t="s">
        <v>11829</v>
      </c>
      <c r="E3968" s="330" t="s">
        <v>4819</v>
      </c>
      <c r="F3968" s="331">
        <v>0.21</v>
      </c>
      <c r="G3968" s="332">
        <v>126792</v>
      </c>
      <c r="H3968" s="333">
        <v>153419</v>
      </c>
    </row>
    <row r="3969" spans="1:8">
      <c r="A3969" s="317" t="s">
        <v>39468</v>
      </c>
      <c r="B3969" s="317" t="s">
        <v>48335</v>
      </c>
      <c r="C3969" s="330" t="s">
        <v>11830</v>
      </c>
      <c r="D3969" s="330" t="s">
        <v>11831</v>
      </c>
      <c r="E3969" s="330" t="s">
        <v>37248</v>
      </c>
      <c r="F3969" s="331">
        <v>0.21</v>
      </c>
      <c r="G3969" s="332">
        <v>75623</v>
      </c>
      <c r="H3969" s="333">
        <v>91504</v>
      </c>
    </row>
    <row r="3970" spans="1:8">
      <c r="A3970" s="317" t="s">
        <v>39469</v>
      </c>
      <c r="B3970" s="317" t="s">
        <v>48336</v>
      </c>
      <c r="C3970" s="330" t="s">
        <v>11832</v>
      </c>
      <c r="D3970" s="330" t="s">
        <v>11833</v>
      </c>
      <c r="E3970" s="330" t="s">
        <v>37248</v>
      </c>
      <c r="F3970" s="331">
        <v>0.21</v>
      </c>
      <c r="G3970" s="332">
        <v>82176</v>
      </c>
      <c r="H3970" s="333">
        <v>99433</v>
      </c>
    </row>
    <row r="3971" spans="1:8">
      <c r="A3971" s="317" t="s">
        <v>39470</v>
      </c>
      <c r="B3971" s="317" t="s">
        <v>48337</v>
      </c>
      <c r="C3971" s="330" t="s">
        <v>11834</v>
      </c>
      <c r="D3971" s="330" t="s">
        <v>11835</v>
      </c>
      <c r="E3971" s="330" t="s">
        <v>4634</v>
      </c>
      <c r="F3971" s="331">
        <v>0.21</v>
      </c>
      <c r="G3971" s="332">
        <v>183208</v>
      </c>
      <c r="H3971" s="333">
        <v>221682</v>
      </c>
    </row>
    <row r="3972" spans="1:8">
      <c r="A3972" s="317" t="s">
        <v>39471</v>
      </c>
      <c r="B3972" s="317" t="s">
        <v>48338</v>
      </c>
      <c r="C3972" s="330" t="s">
        <v>11836</v>
      </c>
      <c r="D3972" s="330" t="s">
        <v>11837</v>
      </c>
      <c r="E3972" s="330" t="s">
        <v>4634</v>
      </c>
      <c r="F3972" s="331">
        <v>0.21</v>
      </c>
      <c r="G3972" s="332">
        <v>11724</v>
      </c>
      <c r="H3972" s="333">
        <v>14187</v>
      </c>
    </row>
    <row r="3973" spans="1:8">
      <c r="A3973" s="317" t="s">
        <v>39472</v>
      </c>
      <c r="B3973" s="317" t="s">
        <v>48339</v>
      </c>
      <c r="C3973" s="330" t="s">
        <v>11838</v>
      </c>
      <c r="D3973" s="330" t="s">
        <v>11839</v>
      </c>
      <c r="E3973" s="330" t="s">
        <v>4634</v>
      </c>
      <c r="F3973" s="331">
        <v>0.21</v>
      </c>
      <c r="G3973" s="332">
        <v>499223</v>
      </c>
      <c r="H3973" s="333">
        <v>604060</v>
      </c>
    </row>
    <row r="3974" spans="1:8">
      <c r="A3974" s="317" t="s">
        <v>39473</v>
      </c>
      <c r="B3974" s="317" t="s">
        <v>48340</v>
      </c>
      <c r="C3974" s="330" t="s">
        <v>11840</v>
      </c>
      <c r="D3974" s="330" t="s">
        <v>11841</v>
      </c>
      <c r="E3974" s="330" t="s">
        <v>4634</v>
      </c>
      <c r="F3974" s="331">
        <v>0.21</v>
      </c>
      <c r="G3974" s="332">
        <v>551330</v>
      </c>
      <c r="H3974" s="333">
        <v>667110</v>
      </c>
    </row>
    <row r="3975" spans="1:8">
      <c r="A3975" s="317" t="s">
        <v>39474</v>
      </c>
      <c r="B3975" s="317" t="s">
        <v>48341</v>
      </c>
      <c r="C3975" s="330" t="s">
        <v>11842</v>
      </c>
      <c r="D3975" s="330" t="s">
        <v>11843</v>
      </c>
      <c r="E3975" s="330" t="s">
        <v>4634</v>
      </c>
      <c r="F3975" s="331">
        <v>0.21</v>
      </c>
      <c r="G3975" s="332">
        <v>499223</v>
      </c>
      <c r="H3975" s="333">
        <v>604060</v>
      </c>
    </row>
    <row r="3976" spans="1:8">
      <c r="A3976" s="317" t="s">
        <v>39475</v>
      </c>
      <c r="B3976" s="317" t="s">
        <v>48342</v>
      </c>
      <c r="C3976" s="330" t="s">
        <v>11844</v>
      </c>
      <c r="D3976" s="330" t="s">
        <v>11845</v>
      </c>
      <c r="E3976" s="330" t="s">
        <v>37248</v>
      </c>
      <c r="F3976" s="331">
        <v>0.21</v>
      </c>
      <c r="G3976" s="332">
        <v>42998</v>
      </c>
      <c r="H3976" s="333">
        <v>52028</v>
      </c>
    </row>
    <row r="3977" spans="1:8">
      <c r="A3977" s="317" t="s">
        <v>39476</v>
      </c>
      <c r="B3977" s="317" t="s">
        <v>48343</v>
      </c>
      <c r="C3977" s="330" t="s">
        <v>11846</v>
      </c>
      <c r="D3977" s="330" t="s">
        <v>11847</v>
      </c>
      <c r="E3977" s="330" t="s">
        <v>37248</v>
      </c>
      <c r="F3977" s="331">
        <v>0.21</v>
      </c>
      <c r="G3977" s="332">
        <v>173435</v>
      </c>
      <c r="H3977" s="333">
        <v>209857</v>
      </c>
    </row>
    <row r="3978" spans="1:8">
      <c r="A3978" s="317" t="s">
        <v>39477</v>
      </c>
      <c r="B3978" s="317" t="s">
        <v>48344</v>
      </c>
      <c r="C3978" s="330" t="s">
        <v>11848</v>
      </c>
      <c r="D3978" s="330" t="s">
        <v>11849</v>
      </c>
      <c r="E3978" s="330" t="s">
        <v>4634</v>
      </c>
      <c r="F3978" s="331">
        <v>0.21</v>
      </c>
      <c r="G3978" s="332">
        <v>435064</v>
      </c>
      <c r="H3978" s="333">
        <v>526428</v>
      </c>
    </row>
    <row r="3979" spans="1:8">
      <c r="A3979" s="317" t="s">
        <v>39478</v>
      </c>
      <c r="B3979" s="317" t="s">
        <v>48345</v>
      </c>
      <c r="C3979" s="330" t="s">
        <v>11850</v>
      </c>
      <c r="D3979" s="330" t="s">
        <v>11851</v>
      </c>
      <c r="E3979" s="330" t="s">
        <v>4634</v>
      </c>
      <c r="F3979" s="331">
        <v>0.21</v>
      </c>
      <c r="G3979" s="332">
        <v>637140</v>
      </c>
      <c r="H3979" s="333">
        <v>770940</v>
      </c>
    </row>
    <row r="3980" spans="1:8">
      <c r="A3980" s="317" t="s">
        <v>39479</v>
      </c>
      <c r="B3980" s="317" t="s">
        <v>48346</v>
      </c>
      <c r="C3980" s="330" t="s">
        <v>11852</v>
      </c>
      <c r="D3980" s="330" t="s">
        <v>11853</v>
      </c>
      <c r="E3980" s="330" t="s">
        <v>4634</v>
      </c>
      <c r="F3980" s="331">
        <v>0.21</v>
      </c>
      <c r="G3980" s="332">
        <v>228406</v>
      </c>
      <c r="H3980" s="333">
        <v>276372</v>
      </c>
    </row>
    <row r="3981" spans="1:8">
      <c r="A3981" s="317" t="s">
        <v>39480</v>
      </c>
      <c r="B3981" s="317" t="s">
        <v>48347</v>
      </c>
      <c r="C3981" s="330" t="s">
        <v>11854</v>
      </c>
      <c r="D3981" s="330" t="s">
        <v>11855</v>
      </c>
      <c r="E3981" s="330" t="s">
        <v>4634</v>
      </c>
      <c r="F3981" s="331">
        <v>0.21</v>
      </c>
      <c r="G3981" s="332">
        <v>306846</v>
      </c>
      <c r="H3981" s="333">
        <v>371284</v>
      </c>
    </row>
    <row r="3982" spans="1:8">
      <c r="A3982" s="317" t="s">
        <v>39481</v>
      </c>
      <c r="B3982" s="317" t="s">
        <v>48348</v>
      </c>
      <c r="C3982" s="330" t="s">
        <v>11856</v>
      </c>
      <c r="D3982" s="330" t="s">
        <v>11784</v>
      </c>
      <c r="E3982" s="330" t="s">
        <v>4634</v>
      </c>
      <c r="F3982" s="331">
        <v>0.21</v>
      </c>
      <c r="G3982" s="332">
        <v>3253525</v>
      </c>
      <c r="H3982" s="333">
        <v>3936766</v>
      </c>
    </row>
    <row r="3983" spans="1:8">
      <c r="A3983" s="317" t="s">
        <v>39482</v>
      </c>
      <c r="B3983" s="317" t="s">
        <v>48349</v>
      </c>
      <c r="C3983" s="330" t="s">
        <v>11857</v>
      </c>
      <c r="D3983" s="330" t="s">
        <v>11858</v>
      </c>
      <c r="E3983" s="330" t="s">
        <v>4634</v>
      </c>
      <c r="F3983" s="331">
        <v>0.21</v>
      </c>
      <c r="G3983" s="332">
        <v>551330</v>
      </c>
      <c r="H3983" s="333">
        <v>667110</v>
      </c>
    </row>
    <row r="3984" spans="1:8">
      <c r="A3984" s="317" t="s">
        <v>39483</v>
      </c>
      <c r="B3984" s="317" t="s">
        <v>48350</v>
      </c>
      <c r="C3984" s="330" t="s">
        <v>11859</v>
      </c>
      <c r="D3984" s="330" t="s">
        <v>11801</v>
      </c>
      <c r="E3984" s="330" t="s">
        <v>4634</v>
      </c>
      <c r="F3984" s="331">
        <v>0.21</v>
      </c>
      <c r="G3984" s="332">
        <v>855386</v>
      </c>
      <c r="H3984" s="333">
        <v>1035018</v>
      </c>
    </row>
    <row r="3985" spans="1:8">
      <c r="A3985" s="317" t="s">
        <v>39484</v>
      </c>
      <c r="B3985" s="317" t="s">
        <v>48351</v>
      </c>
      <c r="C3985" s="330" t="s">
        <v>11860</v>
      </c>
      <c r="D3985" s="330" t="s">
        <v>11801</v>
      </c>
      <c r="E3985" s="330" t="s">
        <v>4634</v>
      </c>
      <c r="F3985" s="331">
        <v>0.21</v>
      </c>
      <c r="G3985" s="332">
        <v>855386</v>
      </c>
      <c r="H3985" s="333">
        <v>1035018</v>
      </c>
    </row>
    <row r="3986" spans="1:8">
      <c r="A3986" s="317" t="s">
        <v>39485</v>
      </c>
      <c r="B3986" s="317" t="s">
        <v>48352</v>
      </c>
      <c r="C3986" s="330" t="s">
        <v>11861</v>
      </c>
      <c r="D3986" s="330" t="s">
        <v>11862</v>
      </c>
      <c r="E3986" s="330" t="s">
        <v>37248</v>
      </c>
      <c r="F3986" s="331">
        <v>0.21</v>
      </c>
      <c r="G3986" s="332">
        <v>374213</v>
      </c>
      <c r="H3986" s="333">
        <v>452798</v>
      </c>
    </row>
    <row r="3987" spans="1:8">
      <c r="A3987" s="317" t="s">
        <v>39486</v>
      </c>
      <c r="B3987" s="317" t="s">
        <v>48353</v>
      </c>
      <c r="C3987" s="330" t="s">
        <v>11863</v>
      </c>
      <c r="D3987" s="330" t="s">
        <v>11864</v>
      </c>
      <c r="E3987" s="330" t="s">
        <v>37248</v>
      </c>
      <c r="F3987" s="331">
        <v>0.21</v>
      </c>
      <c r="G3987" s="332">
        <v>374086</v>
      </c>
      <c r="H3987" s="333">
        <v>452645</v>
      </c>
    </row>
    <row r="3988" spans="1:8">
      <c r="A3988" s="317" t="s">
        <v>39487</v>
      </c>
      <c r="B3988" s="317" t="s">
        <v>48354</v>
      </c>
      <c r="C3988" s="330" t="s">
        <v>11865</v>
      </c>
      <c r="D3988" s="330" t="s">
        <v>11866</v>
      </c>
      <c r="E3988" s="330" t="s">
        <v>37248</v>
      </c>
      <c r="F3988" s="331">
        <v>0.21</v>
      </c>
      <c r="G3988" s="332">
        <v>32549</v>
      </c>
      <c r="H3988" s="333">
        <v>39385</v>
      </c>
    </row>
    <row r="3989" spans="1:8">
      <c r="A3989" s="317" t="s">
        <v>39488</v>
      </c>
      <c r="B3989" s="317" t="s">
        <v>48355</v>
      </c>
      <c r="C3989" s="330" t="s">
        <v>11867</v>
      </c>
      <c r="D3989" s="330" t="s">
        <v>11868</v>
      </c>
      <c r="E3989" s="330" t="s">
        <v>4634</v>
      </c>
      <c r="F3989" s="331">
        <v>0.21</v>
      </c>
      <c r="G3989" s="332">
        <v>43664</v>
      </c>
      <c r="H3989" s="333">
        <v>52834</v>
      </c>
    </row>
    <row r="3990" spans="1:8">
      <c r="A3990" s="317" t="s">
        <v>39489</v>
      </c>
      <c r="B3990" s="317" t="s">
        <v>48356</v>
      </c>
      <c r="C3990" s="330" t="s">
        <v>11869</v>
      </c>
      <c r="D3990" s="330" t="s">
        <v>11870</v>
      </c>
      <c r="E3990" s="330" t="s">
        <v>4634</v>
      </c>
      <c r="F3990" s="331">
        <v>0.21</v>
      </c>
      <c r="G3990" s="332">
        <v>43664</v>
      </c>
      <c r="H3990" s="333">
        <v>52834</v>
      </c>
    </row>
    <row r="3991" spans="1:8">
      <c r="A3991" s="317" t="s">
        <v>39490</v>
      </c>
      <c r="B3991" s="317" t="s">
        <v>48357</v>
      </c>
      <c r="C3991" s="330" t="s">
        <v>11871</v>
      </c>
      <c r="D3991" s="330" t="s">
        <v>11872</v>
      </c>
      <c r="E3991" s="330" t="s">
        <v>4819</v>
      </c>
      <c r="F3991" s="331">
        <v>0.21</v>
      </c>
      <c r="G3991" s="332">
        <v>1223893</v>
      </c>
      <c r="H3991" s="333">
        <v>1480911</v>
      </c>
    </row>
    <row r="3992" spans="1:8">
      <c r="A3992" s="317" t="s">
        <v>39491</v>
      </c>
      <c r="B3992" s="317" t="s">
        <v>48358</v>
      </c>
      <c r="C3992" s="330" t="s">
        <v>11873</v>
      </c>
      <c r="D3992" s="330" t="s">
        <v>11874</v>
      </c>
      <c r="E3992" s="330" t="s">
        <v>4819</v>
      </c>
      <c r="F3992" s="331">
        <v>0.21</v>
      </c>
      <c r="G3992" s="332">
        <v>108216</v>
      </c>
      <c r="H3992" s="333">
        <v>130942</v>
      </c>
    </row>
    <row r="3993" spans="1:8">
      <c r="A3993" s="317" t="s">
        <v>39492</v>
      </c>
      <c r="B3993" s="317" t="s">
        <v>48359</v>
      </c>
      <c r="C3993" s="330" t="s">
        <v>11875</v>
      </c>
      <c r="D3993" s="330" t="s">
        <v>11876</v>
      </c>
      <c r="E3993" s="330" t="s">
        <v>4634</v>
      </c>
      <c r="F3993" s="331">
        <v>0.21</v>
      </c>
      <c r="G3993" s="332">
        <v>278018</v>
      </c>
      <c r="H3993" s="333">
        <v>336402</v>
      </c>
    </row>
    <row r="3994" spans="1:8">
      <c r="A3994" s="317" t="s">
        <v>39493</v>
      </c>
      <c r="B3994" s="317" t="s">
        <v>48360</v>
      </c>
      <c r="C3994" s="330" t="s">
        <v>11877</v>
      </c>
      <c r="D3994" s="330" t="s">
        <v>11878</v>
      </c>
      <c r="E3994" s="330" t="s">
        <v>4623</v>
      </c>
      <c r="F3994" s="331">
        <v>0.21</v>
      </c>
      <c r="G3994" s="332">
        <v>199214</v>
      </c>
      <c r="H3994" s="333">
        <v>241049</v>
      </c>
    </row>
    <row r="3995" spans="1:8">
      <c r="A3995" s="317" t="s">
        <v>39494</v>
      </c>
      <c r="B3995" s="317" t="s">
        <v>48361</v>
      </c>
      <c r="C3995" s="330" t="s">
        <v>11879</v>
      </c>
      <c r="D3995" s="330" t="s">
        <v>11880</v>
      </c>
      <c r="E3995" s="330" t="s">
        <v>4819</v>
      </c>
      <c r="F3995" s="331">
        <v>0.21</v>
      </c>
      <c r="G3995" s="332">
        <v>333836</v>
      </c>
      <c r="H3995" s="333">
        <v>403942</v>
      </c>
    </row>
    <row r="3996" spans="1:8">
      <c r="A3996" s="317" t="s">
        <v>39495</v>
      </c>
      <c r="B3996" s="317" t="s">
        <v>48362</v>
      </c>
      <c r="C3996" s="330" t="s">
        <v>11881</v>
      </c>
      <c r="D3996" s="330" t="s">
        <v>11882</v>
      </c>
      <c r="E3996" s="330" t="s">
        <v>4634</v>
      </c>
      <c r="F3996" s="331">
        <v>0.21</v>
      </c>
      <c r="G3996" s="332">
        <v>219641</v>
      </c>
      <c r="H3996" s="333">
        <v>265766</v>
      </c>
    </row>
    <row r="3997" spans="1:8">
      <c r="A3997" s="317" t="s">
        <v>39496</v>
      </c>
      <c r="B3997" s="317" t="s">
        <v>48363</v>
      </c>
      <c r="C3997" s="330" t="s">
        <v>11883</v>
      </c>
      <c r="D3997" s="330" t="s">
        <v>11884</v>
      </c>
      <c r="E3997" s="330" t="s">
        <v>4819</v>
      </c>
      <c r="F3997" s="331">
        <v>0.21</v>
      </c>
      <c r="G3997" s="332">
        <v>2042364</v>
      </c>
      <c r="H3997" s="333">
        <v>2471261</v>
      </c>
    </row>
    <row r="3998" spans="1:8">
      <c r="A3998" s="317" t="s">
        <v>39497</v>
      </c>
      <c r="B3998" s="317" t="s">
        <v>48364</v>
      </c>
      <c r="C3998" s="330" t="s">
        <v>11885</v>
      </c>
      <c r="D3998" s="330" t="s">
        <v>11886</v>
      </c>
      <c r="E3998" s="330" t="s">
        <v>4819</v>
      </c>
      <c r="F3998" s="331">
        <v>0.21</v>
      </c>
      <c r="G3998" s="332">
        <v>659557</v>
      </c>
      <c r="H3998" s="333">
        <v>798064</v>
      </c>
    </row>
    <row r="3999" spans="1:8">
      <c r="A3999" s="317" t="s">
        <v>39498</v>
      </c>
      <c r="B3999" s="317" t="s">
        <v>48365</v>
      </c>
      <c r="C3999" s="330" t="s">
        <v>11887</v>
      </c>
      <c r="D3999" s="330" t="s">
        <v>11888</v>
      </c>
      <c r="E3999" s="330" t="s">
        <v>4634</v>
      </c>
      <c r="F3999" s="331">
        <v>0.21</v>
      </c>
      <c r="G3999" s="332">
        <v>122400</v>
      </c>
      <c r="H3999" s="333">
        <v>148104</v>
      </c>
    </row>
    <row r="4000" spans="1:8">
      <c r="A4000" s="317" t="s">
        <v>39499</v>
      </c>
      <c r="B4000" s="317" t="s">
        <v>48366</v>
      </c>
      <c r="C4000" s="330" t="s">
        <v>11889</v>
      </c>
      <c r="D4000" s="330" t="s">
        <v>11890</v>
      </c>
      <c r="E4000" s="330" t="s">
        <v>4819</v>
      </c>
      <c r="F4000" s="331">
        <v>0.21</v>
      </c>
      <c r="G4000" s="332">
        <v>3169815</v>
      </c>
      <c r="H4000" s="333">
        <v>3835477</v>
      </c>
    </row>
    <row r="4001" spans="1:8">
      <c r="A4001" s="317" t="s">
        <v>39500</v>
      </c>
      <c r="B4001" s="317" t="s">
        <v>48367</v>
      </c>
      <c r="C4001" s="330" t="s">
        <v>11891</v>
      </c>
      <c r="D4001" s="330" t="s">
        <v>11892</v>
      </c>
      <c r="E4001" s="330" t="s">
        <v>4819</v>
      </c>
      <c r="F4001" s="331">
        <v>0.21</v>
      </c>
      <c r="G4001" s="332">
        <v>924984</v>
      </c>
      <c r="H4001" s="333">
        <v>1119231</v>
      </c>
    </row>
    <row r="4002" spans="1:8">
      <c r="A4002" s="317" t="s">
        <v>39501</v>
      </c>
      <c r="B4002" s="317" t="s">
        <v>48368</v>
      </c>
      <c r="C4002" s="330" t="s">
        <v>11893</v>
      </c>
      <c r="D4002" s="330" t="s">
        <v>11894</v>
      </c>
      <c r="E4002" s="330" t="s">
        <v>4819</v>
      </c>
      <c r="F4002" s="331">
        <v>0.21</v>
      </c>
      <c r="G4002" s="332">
        <v>94588</v>
      </c>
      <c r="H4002" s="333">
        <v>114452</v>
      </c>
    </row>
    <row r="4003" spans="1:8">
      <c r="A4003" s="317" t="s">
        <v>39502</v>
      </c>
      <c r="B4003" s="317" t="s">
        <v>48369</v>
      </c>
      <c r="C4003" s="330" t="s">
        <v>11895</v>
      </c>
      <c r="D4003" s="330" t="s">
        <v>11896</v>
      </c>
      <c r="E4003" s="330" t="s">
        <v>4634</v>
      </c>
      <c r="F4003" s="331">
        <v>0.21</v>
      </c>
      <c r="G4003" s="332">
        <v>1947082</v>
      </c>
      <c r="H4003" s="333">
        <v>2355970</v>
      </c>
    </row>
    <row r="4004" spans="1:8">
      <c r="A4004" s="317" t="s">
        <v>39503</v>
      </c>
      <c r="B4004" s="317" t="s">
        <v>48370</v>
      </c>
      <c r="C4004" s="330" t="s">
        <v>11897</v>
      </c>
      <c r="D4004" s="330" t="s">
        <v>11898</v>
      </c>
      <c r="E4004" s="330" t="s">
        <v>4634</v>
      </c>
      <c r="F4004" s="331">
        <v>0.21</v>
      </c>
      <c r="G4004" s="332">
        <v>174441</v>
      </c>
      <c r="H4004" s="333">
        <v>211074</v>
      </c>
    </row>
    <row r="4005" spans="1:8">
      <c r="A4005" s="317">
        <v>1609271281</v>
      </c>
      <c r="B4005" s="317" t="s">
        <v>48371</v>
      </c>
      <c r="C4005" s="330" t="s">
        <v>11899</v>
      </c>
      <c r="D4005" s="330" t="s">
        <v>11900</v>
      </c>
      <c r="E4005" s="330" t="s">
        <v>4634</v>
      </c>
      <c r="F4005" s="331">
        <v>0.21</v>
      </c>
      <c r="G4005" s="332">
        <v>180</v>
      </c>
      <c r="H4005" s="333">
        <v>218</v>
      </c>
    </row>
    <row r="4006" spans="1:8">
      <c r="A4006" s="317" t="s">
        <v>39504</v>
      </c>
      <c r="B4006" s="317" t="s">
        <v>48372</v>
      </c>
      <c r="C4006" s="330" t="s">
        <v>11901</v>
      </c>
      <c r="D4006" s="330" t="s">
        <v>11902</v>
      </c>
      <c r="E4006" s="330" t="s">
        <v>37248</v>
      </c>
      <c r="F4006" s="331">
        <v>0.21</v>
      </c>
      <c r="G4006" s="332">
        <v>2647</v>
      </c>
      <c r="H4006" s="333">
        <v>3203</v>
      </c>
    </row>
    <row r="4007" spans="1:8">
      <c r="A4007" s="317">
        <v>1609280157</v>
      </c>
      <c r="B4007" s="317" t="s">
        <v>48373</v>
      </c>
      <c r="C4007" s="330" t="s">
        <v>11903</v>
      </c>
      <c r="D4007" s="330" t="s">
        <v>11904</v>
      </c>
      <c r="E4007" s="330" t="s">
        <v>4634</v>
      </c>
      <c r="F4007" s="331">
        <v>0.21</v>
      </c>
      <c r="G4007" s="332">
        <v>3383</v>
      </c>
      <c r="H4007" s="333">
        <v>4094</v>
      </c>
    </row>
    <row r="4008" spans="1:8">
      <c r="A4008" s="317">
        <v>1609280416</v>
      </c>
      <c r="B4008" s="317" t="s">
        <v>48374</v>
      </c>
      <c r="C4008" s="330" t="s">
        <v>11905</v>
      </c>
      <c r="D4008" s="330" t="s">
        <v>11906</v>
      </c>
      <c r="E4008" s="330" t="s">
        <v>4634</v>
      </c>
      <c r="F4008" s="331">
        <v>0.21</v>
      </c>
      <c r="G4008" s="332">
        <v>1956</v>
      </c>
      <c r="H4008" s="333">
        <v>2367</v>
      </c>
    </row>
    <row r="4009" spans="1:8">
      <c r="A4009" s="317">
        <v>1609280425</v>
      </c>
      <c r="B4009" s="317" t="s">
        <v>48375</v>
      </c>
      <c r="C4009" s="330" t="s">
        <v>11907</v>
      </c>
      <c r="D4009" s="330" t="s">
        <v>11908</v>
      </c>
      <c r="E4009" s="330" t="s">
        <v>4634</v>
      </c>
      <c r="F4009" s="331">
        <v>0.21</v>
      </c>
      <c r="G4009" s="332">
        <v>3696</v>
      </c>
      <c r="H4009" s="333">
        <v>4473</v>
      </c>
    </row>
    <row r="4010" spans="1:8">
      <c r="A4010" s="317">
        <v>1609280474</v>
      </c>
      <c r="B4010" s="317" t="s">
        <v>48376</v>
      </c>
      <c r="C4010" s="330" t="s">
        <v>11909</v>
      </c>
      <c r="D4010" s="330" t="s">
        <v>11910</v>
      </c>
      <c r="E4010" s="330" t="s">
        <v>4819</v>
      </c>
      <c r="F4010" s="331">
        <v>0.21</v>
      </c>
      <c r="G4010" s="332">
        <v>13467</v>
      </c>
      <c r="H4010" s="333">
        <v>16296</v>
      </c>
    </row>
    <row r="4011" spans="1:8">
      <c r="A4011" s="317">
        <v>1609280477</v>
      </c>
      <c r="B4011" s="317" t="s">
        <v>48377</v>
      </c>
      <c r="C4011" s="330" t="s">
        <v>11911</v>
      </c>
      <c r="D4011" s="330" t="s">
        <v>7818</v>
      </c>
      <c r="E4011" s="330" t="s">
        <v>4819</v>
      </c>
      <c r="F4011" s="331">
        <v>0.21</v>
      </c>
      <c r="G4011" s="332">
        <v>1331</v>
      </c>
      <c r="H4011" s="333">
        <v>1611</v>
      </c>
    </row>
    <row r="4012" spans="1:8">
      <c r="A4012" s="317">
        <v>1609280478</v>
      </c>
      <c r="B4012" s="317" t="s">
        <v>48378</v>
      </c>
      <c r="C4012" s="330" t="s">
        <v>11912</v>
      </c>
      <c r="D4012" s="330" t="s">
        <v>10546</v>
      </c>
      <c r="E4012" s="330" t="s">
        <v>37248</v>
      </c>
      <c r="F4012" s="331">
        <v>0.21</v>
      </c>
      <c r="G4012" s="332">
        <v>14020</v>
      </c>
      <c r="H4012" s="333">
        <v>16965</v>
      </c>
    </row>
    <row r="4013" spans="1:8">
      <c r="A4013" s="317">
        <v>1609280820</v>
      </c>
      <c r="B4013" s="317" t="s">
        <v>48379</v>
      </c>
      <c r="C4013" s="330" t="s">
        <v>11913</v>
      </c>
      <c r="D4013" s="330" t="s">
        <v>10546</v>
      </c>
      <c r="E4013" s="330" t="s">
        <v>4819</v>
      </c>
      <c r="F4013" s="331">
        <v>0.21</v>
      </c>
      <c r="G4013" s="332">
        <v>2478</v>
      </c>
      <c r="H4013" s="333">
        <v>2999</v>
      </c>
    </row>
    <row r="4014" spans="1:8">
      <c r="A4014" s="317">
        <v>1609300094</v>
      </c>
      <c r="B4014" s="317" t="s">
        <v>48380</v>
      </c>
      <c r="C4014" s="330" t="s">
        <v>11914</v>
      </c>
      <c r="D4014" s="330" t="s">
        <v>11915</v>
      </c>
      <c r="E4014" s="330" t="s">
        <v>4634</v>
      </c>
      <c r="F4014" s="331">
        <v>0.21</v>
      </c>
      <c r="G4014" s="332">
        <v>7618</v>
      </c>
      <c r="H4014" s="333">
        <v>9218</v>
      </c>
    </row>
    <row r="4015" spans="1:8">
      <c r="A4015" s="317">
        <v>1609300694</v>
      </c>
      <c r="B4015" s="317" t="s">
        <v>48381</v>
      </c>
      <c r="C4015" s="330" t="s">
        <v>11916</v>
      </c>
      <c r="D4015" s="330" t="s">
        <v>11917</v>
      </c>
      <c r="E4015" s="330" t="s">
        <v>4634</v>
      </c>
      <c r="F4015" s="331">
        <v>0.21</v>
      </c>
      <c r="G4015" s="332">
        <v>1411</v>
      </c>
      <c r="H4015" s="333">
        <v>1708</v>
      </c>
    </row>
    <row r="4016" spans="1:8">
      <c r="A4016" s="317">
        <v>1609301049</v>
      </c>
      <c r="B4016" s="317" t="s">
        <v>48382</v>
      </c>
      <c r="C4016" s="330" t="s">
        <v>11918</v>
      </c>
      <c r="D4016" s="330" t="s">
        <v>11919</v>
      </c>
      <c r="E4016" s="330" t="s">
        <v>4634</v>
      </c>
      <c r="F4016" s="331">
        <v>0.21</v>
      </c>
      <c r="G4016" s="332">
        <v>1371</v>
      </c>
      <c r="H4016" s="333">
        <v>1659</v>
      </c>
    </row>
    <row r="4017" spans="1:8">
      <c r="A4017" s="317">
        <v>1609301054</v>
      </c>
      <c r="B4017" s="317" t="s">
        <v>48383</v>
      </c>
      <c r="C4017" s="330" t="s">
        <v>11920</v>
      </c>
      <c r="D4017" s="330" t="s">
        <v>11921</v>
      </c>
      <c r="E4017" s="330" t="s">
        <v>4634</v>
      </c>
      <c r="F4017" s="331">
        <v>0.21</v>
      </c>
      <c r="G4017" s="332">
        <v>1547</v>
      </c>
      <c r="H4017" s="333">
        <v>1872</v>
      </c>
    </row>
    <row r="4018" spans="1:8">
      <c r="A4018" s="317">
        <v>1609301055</v>
      </c>
      <c r="B4018" s="317" t="s">
        <v>48384</v>
      </c>
      <c r="C4018" s="330" t="s">
        <v>11922</v>
      </c>
      <c r="D4018" s="330" t="s">
        <v>11923</v>
      </c>
      <c r="E4018" s="330" t="s">
        <v>4634</v>
      </c>
      <c r="F4018" s="331">
        <v>0.21</v>
      </c>
      <c r="G4018" s="332">
        <v>1411</v>
      </c>
      <c r="H4018" s="333">
        <v>1708</v>
      </c>
    </row>
    <row r="4019" spans="1:8">
      <c r="A4019" s="317">
        <v>1609301087</v>
      </c>
      <c r="B4019" s="317" t="s">
        <v>48385</v>
      </c>
      <c r="C4019" s="330" t="s">
        <v>11924</v>
      </c>
      <c r="D4019" s="330" t="s">
        <v>11925</v>
      </c>
      <c r="E4019" s="330" t="s">
        <v>4634</v>
      </c>
      <c r="F4019" s="331">
        <v>0.21</v>
      </c>
      <c r="G4019" s="332">
        <v>5819</v>
      </c>
      <c r="H4019" s="333">
        <v>7041</v>
      </c>
    </row>
    <row r="4020" spans="1:8">
      <c r="A4020" s="317">
        <v>1609301104</v>
      </c>
      <c r="B4020" s="317" t="s">
        <v>48386</v>
      </c>
      <c r="C4020" s="330" t="s">
        <v>11926</v>
      </c>
      <c r="D4020" s="330" t="s">
        <v>11927</v>
      </c>
      <c r="E4020" s="330" t="s">
        <v>4634</v>
      </c>
      <c r="F4020" s="331">
        <v>0.21</v>
      </c>
      <c r="G4020" s="332">
        <v>42770</v>
      </c>
      <c r="H4020" s="333">
        <v>51752</v>
      </c>
    </row>
    <row r="4021" spans="1:8">
      <c r="A4021" s="317">
        <v>1609301105</v>
      </c>
      <c r="B4021" s="317" t="s">
        <v>48387</v>
      </c>
      <c r="C4021" s="330" t="s">
        <v>11928</v>
      </c>
      <c r="D4021" s="330" t="s">
        <v>11929</v>
      </c>
      <c r="E4021" s="330" t="s">
        <v>4634</v>
      </c>
      <c r="F4021" s="331">
        <v>0.21</v>
      </c>
      <c r="G4021" s="332">
        <v>83729</v>
      </c>
      <c r="H4021" s="333">
        <v>101313</v>
      </c>
    </row>
    <row r="4022" spans="1:8">
      <c r="A4022" s="317">
        <v>1609301106</v>
      </c>
      <c r="B4022" s="317" t="s">
        <v>48388</v>
      </c>
      <c r="C4022" s="330" t="s">
        <v>11930</v>
      </c>
      <c r="D4022" s="330" t="s">
        <v>11931</v>
      </c>
      <c r="E4022" s="330" t="s">
        <v>4634</v>
      </c>
      <c r="F4022" s="331">
        <v>0.21</v>
      </c>
      <c r="G4022" s="332">
        <v>95284</v>
      </c>
      <c r="H4022" s="333">
        <v>115294</v>
      </c>
    </row>
    <row r="4023" spans="1:8">
      <c r="A4023" s="317">
        <v>1609301109</v>
      </c>
      <c r="B4023" s="317" t="s">
        <v>48389</v>
      </c>
      <c r="C4023" s="330" t="s">
        <v>11932</v>
      </c>
      <c r="D4023" s="330" t="s">
        <v>11933</v>
      </c>
      <c r="E4023" s="330" t="s">
        <v>4634</v>
      </c>
      <c r="F4023" s="331">
        <v>0.21</v>
      </c>
      <c r="G4023" s="332">
        <v>10845</v>
      </c>
      <c r="H4023" s="333">
        <v>13123</v>
      </c>
    </row>
    <row r="4024" spans="1:8">
      <c r="A4024" s="317">
        <v>1609301120</v>
      </c>
      <c r="B4024" s="317" t="s">
        <v>48390</v>
      </c>
      <c r="C4024" s="330" t="s">
        <v>11934</v>
      </c>
      <c r="D4024" s="330" t="s">
        <v>11921</v>
      </c>
      <c r="E4024" s="330" t="s">
        <v>4634</v>
      </c>
      <c r="F4024" s="331">
        <v>0.21</v>
      </c>
      <c r="G4024" s="332">
        <v>3528</v>
      </c>
      <c r="H4024" s="333">
        <v>4269</v>
      </c>
    </row>
    <row r="4025" spans="1:8">
      <c r="A4025" s="317">
        <v>1609301133</v>
      </c>
      <c r="B4025" s="317" t="s">
        <v>48391</v>
      </c>
      <c r="C4025" s="330" t="s">
        <v>11935</v>
      </c>
      <c r="D4025" s="330" t="s">
        <v>11919</v>
      </c>
      <c r="E4025" s="330" t="s">
        <v>4634</v>
      </c>
      <c r="F4025" s="331">
        <v>0.21</v>
      </c>
      <c r="G4025" s="332">
        <v>648</v>
      </c>
      <c r="H4025" s="333">
        <v>785</v>
      </c>
    </row>
    <row r="4026" spans="1:8">
      <c r="A4026" s="317">
        <v>1609301135</v>
      </c>
      <c r="B4026" s="317" t="s">
        <v>48392</v>
      </c>
      <c r="C4026" s="330" t="s">
        <v>11936</v>
      </c>
      <c r="D4026" s="330" t="s">
        <v>11937</v>
      </c>
      <c r="E4026" s="330" t="s">
        <v>4634</v>
      </c>
      <c r="F4026" s="331">
        <v>0.21</v>
      </c>
      <c r="G4026" s="332">
        <v>5652</v>
      </c>
      <c r="H4026" s="333">
        <v>6839</v>
      </c>
    </row>
    <row r="4027" spans="1:8">
      <c r="A4027" s="317">
        <v>1609301141</v>
      </c>
      <c r="B4027" s="317" t="s">
        <v>48393</v>
      </c>
      <c r="C4027" s="330" t="s">
        <v>11938</v>
      </c>
      <c r="D4027" s="330" t="s">
        <v>11939</v>
      </c>
      <c r="E4027" s="330" t="s">
        <v>4634</v>
      </c>
      <c r="F4027" s="331">
        <v>0.21</v>
      </c>
      <c r="G4027" s="332">
        <v>1411</v>
      </c>
      <c r="H4027" s="333">
        <v>1708</v>
      </c>
    </row>
    <row r="4028" spans="1:8">
      <c r="A4028" s="317">
        <v>1609301142</v>
      </c>
      <c r="B4028" s="317" t="s">
        <v>48394</v>
      </c>
      <c r="C4028" s="330" t="s">
        <v>11940</v>
      </c>
      <c r="D4028" s="330" t="s">
        <v>11941</v>
      </c>
      <c r="E4028" s="330" t="s">
        <v>4634</v>
      </c>
      <c r="F4028" s="331">
        <v>0.21</v>
      </c>
      <c r="G4028" s="332">
        <v>1547</v>
      </c>
      <c r="H4028" s="333">
        <v>1872</v>
      </c>
    </row>
    <row r="4029" spans="1:8">
      <c r="A4029" s="317">
        <v>1609301213</v>
      </c>
      <c r="B4029" s="317" t="s">
        <v>48395</v>
      </c>
      <c r="C4029" s="330" t="s">
        <v>11942</v>
      </c>
      <c r="D4029" s="330" t="s">
        <v>11943</v>
      </c>
      <c r="E4029" s="330" t="s">
        <v>4634</v>
      </c>
      <c r="F4029" s="331">
        <v>0.21</v>
      </c>
      <c r="G4029" s="332">
        <v>2511</v>
      </c>
      <c r="H4029" s="333">
        <v>3039</v>
      </c>
    </row>
    <row r="4030" spans="1:8">
      <c r="A4030" s="317">
        <v>1609301323</v>
      </c>
      <c r="B4030" s="317" t="s">
        <v>48396</v>
      </c>
      <c r="C4030" s="330" t="s">
        <v>11944</v>
      </c>
      <c r="D4030" s="330" t="s">
        <v>11945</v>
      </c>
      <c r="E4030" s="330" t="s">
        <v>4634</v>
      </c>
      <c r="F4030" s="331">
        <v>0.21</v>
      </c>
      <c r="G4030" s="332">
        <v>3383</v>
      </c>
      <c r="H4030" s="333">
        <v>4094</v>
      </c>
    </row>
    <row r="4031" spans="1:8">
      <c r="A4031" s="317">
        <v>1609301390</v>
      </c>
      <c r="B4031" s="317" t="s">
        <v>48397</v>
      </c>
      <c r="C4031" s="330" t="s">
        <v>11946</v>
      </c>
      <c r="D4031" s="330" t="s">
        <v>5133</v>
      </c>
      <c r="E4031" s="330" t="s">
        <v>4634</v>
      </c>
      <c r="F4031" s="331">
        <v>0.21</v>
      </c>
      <c r="G4031" s="332">
        <v>1115</v>
      </c>
      <c r="H4031" s="333">
        <v>1350</v>
      </c>
    </row>
    <row r="4032" spans="1:8">
      <c r="A4032" s="317">
        <v>1609301393</v>
      </c>
      <c r="B4032" s="317" t="s">
        <v>48398</v>
      </c>
      <c r="C4032" s="330" t="s">
        <v>11947</v>
      </c>
      <c r="D4032" s="330" t="s">
        <v>11948</v>
      </c>
      <c r="E4032" s="330" t="s">
        <v>4634</v>
      </c>
      <c r="F4032" s="331">
        <v>0.21</v>
      </c>
      <c r="G4032" s="332">
        <v>570</v>
      </c>
      <c r="H4032" s="333">
        <v>690</v>
      </c>
    </row>
    <row r="4033" spans="1:8">
      <c r="A4033" s="317">
        <v>1609301402</v>
      </c>
      <c r="B4033" s="317" t="s">
        <v>48399</v>
      </c>
      <c r="C4033" s="330" t="s">
        <v>11949</v>
      </c>
      <c r="D4033" s="330" t="s">
        <v>11950</v>
      </c>
      <c r="E4033" s="330" t="s">
        <v>4634</v>
      </c>
      <c r="F4033" s="331">
        <v>0.21</v>
      </c>
      <c r="G4033" s="332">
        <v>455</v>
      </c>
      <c r="H4033" s="333">
        <v>551</v>
      </c>
    </row>
    <row r="4034" spans="1:8">
      <c r="A4034" s="317">
        <v>1609301408</v>
      </c>
      <c r="B4034" s="317" t="s">
        <v>48400</v>
      </c>
      <c r="C4034" s="330" t="s">
        <v>11951</v>
      </c>
      <c r="D4034" s="330" t="s">
        <v>11952</v>
      </c>
      <c r="E4034" s="330" t="s">
        <v>4634</v>
      </c>
      <c r="F4034" s="331">
        <v>0.21</v>
      </c>
      <c r="G4034" s="332">
        <v>16802</v>
      </c>
      <c r="H4034" s="333">
        <v>20331</v>
      </c>
    </row>
    <row r="4035" spans="1:8">
      <c r="A4035" s="317">
        <v>1609301415</v>
      </c>
      <c r="B4035" s="317" t="s">
        <v>48401</v>
      </c>
      <c r="C4035" s="330" t="s">
        <v>11953</v>
      </c>
      <c r="D4035" s="330" t="s">
        <v>11954</v>
      </c>
      <c r="E4035" s="330" t="s">
        <v>4634</v>
      </c>
      <c r="F4035" s="331">
        <v>0.21</v>
      </c>
      <c r="G4035" s="332">
        <v>16802</v>
      </c>
      <c r="H4035" s="333">
        <v>20331</v>
      </c>
    </row>
    <row r="4036" spans="1:8">
      <c r="A4036" s="317">
        <v>1609301508</v>
      </c>
      <c r="B4036" s="317" t="s">
        <v>48402</v>
      </c>
      <c r="C4036" s="330" t="s">
        <v>11955</v>
      </c>
      <c r="D4036" s="330" t="s">
        <v>11956</v>
      </c>
      <c r="E4036" s="330" t="s">
        <v>4634</v>
      </c>
      <c r="F4036" s="331">
        <v>0.21</v>
      </c>
      <c r="G4036" s="332">
        <v>5239</v>
      </c>
      <c r="H4036" s="333">
        <v>6340</v>
      </c>
    </row>
    <row r="4037" spans="1:8">
      <c r="A4037" s="317">
        <v>1609301509</v>
      </c>
      <c r="B4037" s="317" t="s">
        <v>48403</v>
      </c>
      <c r="C4037" s="330" t="s">
        <v>11957</v>
      </c>
      <c r="D4037" s="330" t="s">
        <v>11958</v>
      </c>
      <c r="E4037" s="330" t="s">
        <v>4634</v>
      </c>
      <c r="F4037" s="331">
        <v>0.21</v>
      </c>
      <c r="G4037" s="332">
        <v>2881</v>
      </c>
      <c r="H4037" s="333">
        <v>3487</v>
      </c>
    </row>
    <row r="4038" spans="1:8">
      <c r="A4038" s="317">
        <v>1609301510</v>
      </c>
      <c r="B4038" s="317" t="s">
        <v>48404</v>
      </c>
      <c r="C4038" s="330" t="s">
        <v>11959</v>
      </c>
      <c r="D4038" s="330" t="s">
        <v>11960</v>
      </c>
      <c r="E4038" s="330" t="s">
        <v>4634</v>
      </c>
      <c r="F4038" s="331">
        <v>0.21</v>
      </c>
      <c r="G4038" s="332">
        <v>4481</v>
      </c>
      <c r="H4038" s="333">
        <v>5423</v>
      </c>
    </row>
    <row r="4039" spans="1:8">
      <c r="A4039" s="317">
        <v>1609301511</v>
      </c>
      <c r="B4039" s="317" t="s">
        <v>48405</v>
      </c>
      <c r="C4039" s="330" t="s">
        <v>11961</v>
      </c>
      <c r="D4039" s="330" t="s">
        <v>11962</v>
      </c>
      <c r="E4039" s="330" t="s">
        <v>4634</v>
      </c>
      <c r="F4039" s="331">
        <v>0.21</v>
      </c>
      <c r="G4039" s="332">
        <v>3490</v>
      </c>
      <c r="H4039" s="333">
        <v>4223</v>
      </c>
    </row>
    <row r="4040" spans="1:8">
      <c r="A4040" s="317">
        <v>1609301512</v>
      </c>
      <c r="B4040" s="317" t="s">
        <v>48406</v>
      </c>
      <c r="C4040" s="330" t="s">
        <v>11963</v>
      </c>
      <c r="D4040" s="330" t="s">
        <v>11917</v>
      </c>
      <c r="E4040" s="330" t="s">
        <v>4634</v>
      </c>
      <c r="F4040" s="331">
        <v>0.21</v>
      </c>
      <c r="G4040" s="332">
        <v>4004</v>
      </c>
      <c r="H4040" s="333">
        <v>4845</v>
      </c>
    </row>
    <row r="4041" spans="1:8">
      <c r="A4041" s="317">
        <v>1609301513</v>
      </c>
      <c r="B4041" s="317" t="s">
        <v>48407</v>
      </c>
      <c r="C4041" s="330" t="s">
        <v>11964</v>
      </c>
      <c r="D4041" s="330" t="s">
        <v>11925</v>
      </c>
      <c r="E4041" s="330" t="s">
        <v>4634</v>
      </c>
      <c r="F4041" s="331">
        <v>0.21</v>
      </c>
      <c r="G4041" s="332">
        <v>13721</v>
      </c>
      <c r="H4041" s="333">
        <v>16603</v>
      </c>
    </row>
    <row r="4042" spans="1:8">
      <c r="A4042" s="317">
        <v>1609301514</v>
      </c>
      <c r="B4042" s="317" t="s">
        <v>48408</v>
      </c>
      <c r="C4042" s="330" t="s">
        <v>11965</v>
      </c>
      <c r="D4042" s="330" t="s">
        <v>11966</v>
      </c>
      <c r="E4042" s="330" t="s">
        <v>4634</v>
      </c>
      <c r="F4042" s="331">
        <v>0.21</v>
      </c>
      <c r="G4042" s="332">
        <v>1547</v>
      </c>
      <c r="H4042" s="333">
        <v>1872</v>
      </c>
    </row>
    <row r="4043" spans="1:8">
      <c r="A4043" s="317">
        <v>1609301515</v>
      </c>
      <c r="B4043" s="317" t="s">
        <v>48409</v>
      </c>
      <c r="C4043" s="330" t="s">
        <v>11967</v>
      </c>
      <c r="D4043" s="330" t="s">
        <v>11968</v>
      </c>
      <c r="E4043" s="330" t="s">
        <v>4634</v>
      </c>
      <c r="F4043" s="331">
        <v>0.21</v>
      </c>
      <c r="G4043" s="332">
        <v>11439</v>
      </c>
      <c r="H4043" s="333">
        <v>13842</v>
      </c>
    </row>
    <row r="4044" spans="1:8">
      <c r="A4044" s="317">
        <v>1609301517</v>
      </c>
      <c r="B4044" s="317" t="s">
        <v>48410</v>
      </c>
      <c r="C4044" s="330" t="s">
        <v>11969</v>
      </c>
      <c r="D4044" s="330" t="s">
        <v>11970</v>
      </c>
      <c r="E4044" s="330" t="s">
        <v>4634</v>
      </c>
      <c r="F4044" s="331">
        <v>0.21</v>
      </c>
      <c r="G4044" s="332">
        <v>27572</v>
      </c>
      <c r="H4044" s="333">
        <v>33363</v>
      </c>
    </row>
    <row r="4045" spans="1:8">
      <c r="A4045" s="317">
        <v>1609301519</v>
      </c>
      <c r="B4045" s="317" t="s">
        <v>48411</v>
      </c>
      <c r="C4045" s="330" t="s">
        <v>11971</v>
      </c>
      <c r="D4045" s="330" t="s">
        <v>11927</v>
      </c>
      <c r="E4045" s="330" t="s">
        <v>4634</v>
      </c>
      <c r="F4045" s="331">
        <v>0.21</v>
      </c>
      <c r="G4045" s="332">
        <v>27572</v>
      </c>
      <c r="H4045" s="333">
        <v>33363</v>
      </c>
    </row>
    <row r="4046" spans="1:8">
      <c r="A4046" s="317">
        <v>1609301520</v>
      </c>
      <c r="B4046" s="317" t="s">
        <v>48412</v>
      </c>
      <c r="C4046" s="330" t="s">
        <v>11972</v>
      </c>
      <c r="D4046" s="330" t="s">
        <v>11921</v>
      </c>
      <c r="E4046" s="330" t="s">
        <v>4634</v>
      </c>
      <c r="F4046" s="331">
        <v>0.21</v>
      </c>
      <c r="G4046" s="332">
        <v>2837</v>
      </c>
      <c r="H4046" s="333">
        <v>3433</v>
      </c>
    </row>
    <row r="4047" spans="1:8">
      <c r="A4047" s="317">
        <v>1609301522</v>
      </c>
      <c r="B4047" s="317" t="s">
        <v>48413</v>
      </c>
      <c r="C4047" s="330" t="s">
        <v>11973</v>
      </c>
      <c r="D4047" s="330" t="s">
        <v>11974</v>
      </c>
      <c r="E4047" s="330" t="s">
        <v>4634</v>
      </c>
      <c r="F4047" s="331">
        <v>0.21</v>
      </c>
      <c r="G4047" s="332">
        <v>31859</v>
      </c>
      <c r="H4047" s="333">
        <v>38550</v>
      </c>
    </row>
    <row r="4048" spans="1:8">
      <c r="A4048" s="317">
        <v>1609301523</v>
      </c>
      <c r="B4048" s="317" t="s">
        <v>48414</v>
      </c>
      <c r="C4048" s="330" t="s">
        <v>11975</v>
      </c>
      <c r="D4048" s="330" t="s">
        <v>11976</v>
      </c>
      <c r="E4048" s="330" t="s">
        <v>4634</v>
      </c>
      <c r="F4048" s="331">
        <v>0.21</v>
      </c>
      <c r="G4048" s="332">
        <v>45958</v>
      </c>
      <c r="H4048" s="333">
        <v>55610</v>
      </c>
    </row>
    <row r="4049" spans="1:8">
      <c r="A4049" s="317">
        <v>1609301524</v>
      </c>
      <c r="B4049" s="317" t="s">
        <v>48415</v>
      </c>
      <c r="C4049" s="330" t="s">
        <v>11977</v>
      </c>
      <c r="D4049" s="330" t="s">
        <v>11978</v>
      </c>
      <c r="E4049" s="330" t="s">
        <v>4634</v>
      </c>
      <c r="F4049" s="331">
        <v>0.21</v>
      </c>
      <c r="G4049" s="332">
        <v>81612</v>
      </c>
      <c r="H4049" s="333">
        <v>98751</v>
      </c>
    </row>
    <row r="4050" spans="1:8">
      <c r="A4050" s="317">
        <v>1609301525</v>
      </c>
      <c r="B4050" s="317" t="s">
        <v>48416</v>
      </c>
      <c r="C4050" s="330" t="s">
        <v>11979</v>
      </c>
      <c r="D4050" s="330" t="s">
        <v>11980</v>
      </c>
      <c r="E4050" s="330" t="s">
        <v>4634</v>
      </c>
      <c r="F4050" s="331">
        <v>0.21</v>
      </c>
      <c r="G4050" s="332">
        <v>57841</v>
      </c>
      <c r="H4050" s="333">
        <v>69988</v>
      </c>
    </row>
    <row r="4051" spans="1:8">
      <c r="A4051" s="317">
        <v>1609301526</v>
      </c>
      <c r="B4051" s="317" t="s">
        <v>48417</v>
      </c>
      <c r="C4051" s="330" t="s">
        <v>11981</v>
      </c>
      <c r="D4051" s="330" t="s">
        <v>11917</v>
      </c>
      <c r="E4051" s="330" t="s">
        <v>4634</v>
      </c>
      <c r="F4051" s="331">
        <v>0.21</v>
      </c>
      <c r="G4051" s="332">
        <v>11477</v>
      </c>
      <c r="H4051" s="333">
        <v>13888</v>
      </c>
    </row>
    <row r="4052" spans="1:8">
      <c r="A4052" s="317">
        <v>1609301527</v>
      </c>
      <c r="B4052" s="317" t="s">
        <v>48418</v>
      </c>
      <c r="C4052" s="330" t="s">
        <v>11982</v>
      </c>
      <c r="D4052" s="330" t="s">
        <v>11983</v>
      </c>
      <c r="E4052" s="330" t="s">
        <v>4634</v>
      </c>
      <c r="F4052" s="331">
        <v>0.21</v>
      </c>
      <c r="G4052" s="332">
        <v>52601</v>
      </c>
      <c r="H4052" s="333">
        <v>63648</v>
      </c>
    </row>
    <row r="4053" spans="1:8">
      <c r="A4053" s="317">
        <v>1609301528</v>
      </c>
      <c r="B4053" s="317" t="s">
        <v>48419</v>
      </c>
      <c r="C4053" s="330" t="s">
        <v>11984</v>
      </c>
      <c r="D4053" s="330" t="s">
        <v>11985</v>
      </c>
      <c r="E4053" s="330" t="s">
        <v>4634</v>
      </c>
      <c r="F4053" s="331">
        <v>0.21</v>
      </c>
      <c r="G4053" s="332">
        <v>53835</v>
      </c>
      <c r="H4053" s="333">
        <v>65141</v>
      </c>
    </row>
    <row r="4054" spans="1:8">
      <c r="A4054" s="317">
        <v>1609302051</v>
      </c>
      <c r="B4054" s="317" t="s">
        <v>48420</v>
      </c>
      <c r="C4054" s="330" t="s">
        <v>11986</v>
      </c>
      <c r="D4054" s="330" t="s">
        <v>11987</v>
      </c>
      <c r="E4054" s="330" t="s">
        <v>4634</v>
      </c>
      <c r="F4054" s="331">
        <v>0.21</v>
      </c>
      <c r="G4054" s="332">
        <v>928</v>
      </c>
      <c r="H4054" s="333">
        <v>1123</v>
      </c>
    </row>
    <row r="4055" spans="1:8">
      <c r="A4055" s="317">
        <v>1609302052</v>
      </c>
      <c r="B4055" s="317" t="s">
        <v>48421</v>
      </c>
      <c r="C4055" s="330" t="s">
        <v>11988</v>
      </c>
      <c r="D4055" s="330" t="s">
        <v>11989</v>
      </c>
      <c r="E4055" s="330" t="s">
        <v>4634</v>
      </c>
      <c r="F4055" s="331">
        <v>0.21</v>
      </c>
      <c r="G4055" s="332">
        <v>1170</v>
      </c>
      <c r="H4055" s="333">
        <v>1416</v>
      </c>
    </row>
    <row r="4056" spans="1:8">
      <c r="A4056" s="317">
        <v>1609302061</v>
      </c>
      <c r="B4056" s="317" t="s">
        <v>48422</v>
      </c>
      <c r="C4056" s="330" t="s">
        <v>11990</v>
      </c>
      <c r="D4056" s="330" t="s">
        <v>11991</v>
      </c>
      <c r="E4056" s="330" t="s">
        <v>4634</v>
      </c>
      <c r="F4056" s="331">
        <v>0.21</v>
      </c>
      <c r="G4056" s="332">
        <v>6734</v>
      </c>
      <c r="H4056" s="333">
        <v>8149</v>
      </c>
    </row>
    <row r="4057" spans="1:8">
      <c r="A4057" s="317">
        <v>1609302072</v>
      </c>
      <c r="B4057" s="317" t="s">
        <v>48423</v>
      </c>
      <c r="C4057" s="330" t="s">
        <v>11992</v>
      </c>
      <c r="D4057" s="330" t="s">
        <v>11993</v>
      </c>
      <c r="E4057" s="330" t="s">
        <v>4634</v>
      </c>
      <c r="F4057" s="331">
        <v>0.21</v>
      </c>
      <c r="G4057" s="332">
        <v>5239</v>
      </c>
      <c r="H4057" s="333">
        <v>6340</v>
      </c>
    </row>
    <row r="4058" spans="1:8">
      <c r="A4058" s="317">
        <v>1609302077</v>
      </c>
      <c r="B4058" s="317" t="s">
        <v>48424</v>
      </c>
      <c r="C4058" s="330" t="s">
        <v>11994</v>
      </c>
      <c r="D4058" s="330" t="s">
        <v>11995</v>
      </c>
      <c r="E4058" s="330" t="s">
        <v>4634</v>
      </c>
      <c r="F4058" s="331">
        <v>0.21</v>
      </c>
      <c r="G4058" s="332">
        <v>6542</v>
      </c>
      <c r="H4058" s="333">
        <v>7916</v>
      </c>
    </row>
    <row r="4059" spans="1:8">
      <c r="A4059" s="317">
        <v>1609302082</v>
      </c>
      <c r="B4059" s="317" t="s">
        <v>48425</v>
      </c>
      <c r="C4059" s="330" t="s">
        <v>11996</v>
      </c>
      <c r="D4059" s="330" t="s">
        <v>11997</v>
      </c>
      <c r="E4059" s="330" t="s">
        <v>4634</v>
      </c>
      <c r="F4059" s="331">
        <v>0.21</v>
      </c>
      <c r="G4059" s="332">
        <v>648</v>
      </c>
      <c r="H4059" s="333">
        <v>785</v>
      </c>
    </row>
    <row r="4060" spans="1:8">
      <c r="A4060" s="317">
        <v>1609302083</v>
      </c>
      <c r="B4060" s="317" t="s">
        <v>48426</v>
      </c>
      <c r="C4060" s="330" t="s">
        <v>11998</v>
      </c>
      <c r="D4060" s="330" t="s">
        <v>11999</v>
      </c>
      <c r="E4060" s="330" t="s">
        <v>4634</v>
      </c>
      <c r="F4060" s="331">
        <v>0.21</v>
      </c>
      <c r="G4060" s="332">
        <v>5239</v>
      </c>
      <c r="H4060" s="333">
        <v>6340</v>
      </c>
    </row>
    <row r="4061" spans="1:8">
      <c r="A4061" s="317">
        <v>1609302085</v>
      </c>
      <c r="B4061" s="317" t="s">
        <v>48427</v>
      </c>
      <c r="C4061" s="330" t="s">
        <v>12000</v>
      </c>
      <c r="D4061" s="330" t="s">
        <v>12001</v>
      </c>
      <c r="E4061" s="330" t="s">
        <v>4634</v>
      </c>
      <c r="F4061" s="331">
        <v>0.21</v>
      </c>
      <c r="G4061" s="332">
        <v>678</v>
      </c>
      <c r="H4061" s="333">
        <v>821</v>
      </c>
    </row>
    <row r="4062" spans="1:8">
      <c r="A4062" s="317">
        <v>1609302086</v>
      </c>
      <c r="B4062" s="317" t="s">
        <v>48428</v>
      </c>
      <c r="C4062" s="330" t="s">
        <v>12002</v>
      </c>
      <c r="D4062" s="330" t="s">
        <v>12003</v>
      </c>
      <c r="E4062" s="330" t="s">
        <v>4634</v>
      </c>
      <c r="F4062" s="331">
        <v>0.21</v>
      </c>
      <c r="G4062" s="332">
        <v>648</v>
      </c>
      <c r="H4062" s="333">
        <v>785</v>
      </c>
    </row>
    <row r="4063" spans="1:8">
      <c r="A4063" s="317">
        <v>1609302089</v>
      </c>
      <c r="B4063" s="317" t="s">
        <v>48429</v>
      </c>
      <c r="C4063" s="330" t="s">
        <v>12004</v>
      </c>
      <c r="D4063" s="330" t="s">
        <v>12001</v>
      </c>
      <c r="E4063" s="330" t="s">
        <v>4634</v>
      </c>
      <c r="F4063" s="331">
        <v>0.21</v>
      </c>
      <c r="G4063" s="332">
        <v>678</v>
      </c>
      <c r="H4063" s="333">
        <v>821</v>
      </c>
    </row>
    <row r="4064" spans="1:8">
      <c r="A4064" s="317">
        <v>1609340001</v>
      </c>
      <c r="B4064" s="317" t="s">
        <v>48430</v>
      </c>
      <c r="C4064" s="330" t="s">
        <v>12005</v>
      </c>
      <c r="D4064" s="330" t="s">
        <v>12006</v>
      </c>
      <c r="E4064" s="330" t="s">
        <v>4634</v>
      </c>
      <c r="F4064" s="331">
        <v>0.21</v>
      </c>
      <c r="G4064" s="332">
        <v>1942</v>
      </c>
      <c r="H4064" s="333">
        <v>2350</v>
      </c>
    </row>
    <row r="4065" spans="1:8">
      <c r="A4065" s="317">
        <v>1609340003</v>
      </c>
      <c r="B4065" s="317" t="s">
        <v>48431</v>
      </c>
      <c r="C4065" s="330" t="s">
        <v>12007</v>
      </c>
      <c r="D4065" s="330" t="s">
        <v>12008</v>
      </c>
      <c r="E4065" s="330" t="s">
        <v>4634</v>
      </c>
      <c r="F4065" s="331">
        <v>0.21</v>
      </c>
      <c r="G4065" s="332">
        <v>9128</v>
      </c>
      <c r="H4065" s="333">
        <v>11045</v>
      </c>
    </row>
    <row r="4066" spans="1:8">
      <c r="A4066" s="317">
        <v>1609340004</v>
      </c>
      <c r="B4066" s="317" t="s">
        <v>48432</v>
      </c>
      <c r="C4066" s="330" t="s">
        <v>12009</v>
      </c>
      <c r="D4066" s="330" t="s">
        <v>12010</v>
      </c>
      <c r="E4066" s="330" t="s">
        <v>4634</v>
      </c>
      <c r="F4066" s="331">
        <v>0.21</v>
      </c>
      <c r="G4066" s="332">
        <v>437</v>
      </c>
      <c r="H4066" s="333">
        <v>529</v>
      </c>
    </row>
    <row r="4067" spans="1:8">
      <c r="A4067" s="317">
        <v>1609340005</v>
      </c>
      <c r="B4067" s="317" t="s">
        <v>48433</v>
      </c>
      <c r="C4067" s="330" t="s">
        <v>12011</v>
      </c>
      <c r="D4067" s="330" t="s">
        <v>12012</v>
      </c>
      <c r="E4067" s="330" t="s">
        <v>4634</v>
      </c>
      <c r="F4067" s="331">
        <v>0.21</v>
      </c>
      <c r="G4067" s="332">
        <v>4432</v>
      </c>
      <c r="H4067" s="333">
        <v>5363</v>
      </c>
    </row>
    <row r="4068" spans="1:8">
      <c r="A4068" s="317">
        <v>1609340007</v>
      </c>
      <c r="B4068" s="317" t="s">
        <v>48434</v>
      </c>
      <c r="C4068" s="330" t="s">
        <v>12013</v>
      </c>
      <c r="D4068" s="330" t="s">
        <v>12014</v>
      </c>
      <c r="E4068" s="330" t="s">
        <v>4634</v>
      </c>
      <c r="F4068" s="331">
        <v>0.21</v>
      </c>
      <c r="G4068" s="332">
        <v>5123</v>
      </c>
      <c r="H4068" s="333">
        <v>6199</v>
      </c>
    </row>
    <row r="4069" spans="1:8">
      <c r="A4069" s="317">
        <v>1609350001</v>
      </c>
      <c r="B4069" s="317" t="s">
        <v>48435</v>
      </c>
      <c r="C4069" s="330" t="s">
        <v>12015</v>
      </c>
      <c r="D4069" s="330" t="s">
        <v>12016</v>
      </c>
      <c r="E4069" s="330" t="s">
        <v>4634</v>
      </c>
      <c r="F4069" s="331">
        <v>0.21</v>
      </c>
      <c r="G4069" s="332">
        <v>12447</v>
      </c>
      <c r="H4069" s="333">
        <v>15061</v>
      </c>
    </row>
    <row r="4070" spans="1:8">
      <c r="A4070" s="317">
        <v>1609350003</v>
      </c>
      <c r="B4070" s="317" t="s">
        <v>48436</v>
      </c>
      <c r="C4070" s="330" t="s">
        <v>12017</v>
      </c>
      <c r="D4070" s="330" t="s">
        <v>12018</v>
      </c>
      <c r="E4070" s="330" t="s">
        <v>4634</v>
      </c>
      <c r="F4070" s="331">
        <v>0.21</v>
      </c>
      <c r="G4070" s="332">
        <v>2059</v>
      </c>
      <c r="H4070" s="333">
        <v>2492</v>
      </c>
    </row>
    <row r="4071" spans="1:8">
      <c r="A4071" s="317">
        <v>1609350004</v>
      </c>
      <c r="B4071" s="317" t="s">
        <v>48437</v>
      </c>
      <c r="C4071" s="330" t="s">
        <v>12019</v>
      </c>
      <c r="D4071" s="330" t="s">
        <v>12020</v>
      </c>
      <c r="E4071" s="330" t="s">
        <v>4634</v>
      </c>
      <c r="F4071" s="331">
        <v>0.21</v>
      </c>
      <c r="G4071" s="332">
        <v>2837</v>
      </c>
      <c r="H4071" s="333">
        <v>3433</v>
      </c>
    </row>
    <row r="4072" spans="1:8">
      <c r="A4072" s="317">
        <v>1609350006</v>
      </c>
      <c r="B4072" s="317" t="s">
        <v>48438</v>
      </c>
      <c r="C4072" s="330" t="s">
        <v>12021</v>
      </c>
      <c r="D4072" s="330" t="s">
        <v>12022</v>
      </c>
      <c r="E4072" s="330" t="s">
        <v>4634</v>
      </c>
      <c r="F4072" s="331">
        <v>0.21</v>
      </c>
      <c r="G4072" s="332">
        <v>648</v>
      </c>
      <c r="H4072" s="333">
        <v>785</v>
      </c>
    </row>
    <row r="4073" spans="1:8">
      <c r="A4073" s="317">
        <v>1609350007</v>
      </c>
      <c r="B4073" s="317" t="s">
        <v>48439</v>
      </c>
      <c r="C4073" s="330" t="s">
        <v>12023</v>
      </c>
      <c r="D4073" s="330" t="s">
        <v>12024</v>
      </c>
      <c r="E4073" s="330" t="s">
        <v>4634</v>
      </c>
      <c r="F4073" s="331">
        <v>0.21</v>
      </c>
      <c r="G4073" s="332">
        <v>5819</v>
      </c>
      <c r="H4073" s="333">
        <v>7041</v>
      </c>
    </row>
    <row r="4074" spans="1:8">
      <c r="A4074" s="317">
        <v>1609350009</v>
      </c>
      <c r="B4074" s="317" t="s">
        <v>48440</v>
      </c>
      <c r="C4074" s="330" t="s">
        <v>12025</v>
      </c>
      <c r="D4074" s="330" t="s">
        <v>12026</v>
      </c>
      <c r="E4074" s="330" t="s">
        <v>4634</v>
      </c>
      <c r="F4074" s="331">
        <v>0.21</v>
      </c>
      <c r="G4074" s="332">
        <v>47628</v>
      </c>
      <c r="H4074" s="333">
        <v>57630</v>
      </c>
    </row>
    <row r="4075" spans="1:8">
      <c r="A4075" s="317">
        <v>1609350015</v>
      </c>
      <c r="B4075" s="317" t="s">
        <v>48441</v>
      </c>
      <c r="C4075" s="330" t="s">
        <v>12027</v>
      </c>
      <c r="D4075" s="330" t="s">
        <v>12028</v>
      </c>
      <c r="E4075" s="330" t="s">
        <v>4634</v>
      </c>
      <c r="F4075" s="331">
        <v>0.21</v>
      </c>
      <c r="G4075" s="332">
        <v>6627</v>
      </c>
      <c r="H4075" s="333">
        <v>8019</v>
      </c>
    </row>
    <row r="4076" spans="1:8">
      <c r="A4076" s="317">
        <v>1609350016</v>
      </c>
      <c r="B4076" s="317" t="s">
        <v>48442</v>
      </c>
      <c r="C4076" s="330" t="s">
        <v>12029</v>
      </c>
      <c r="D4076" s="330" t="s">
        <v>12030</v>
      </c>
      <c r="E4076" s="330" t="s">
        <v>4634</v>
      </c>
      <c r="F4076" s="331">
        <v>0.21</v>
      </c>
      <c r="G4076" s="332">
        <v>678</v>
      </c>
      <c r="H4076" s="333">
        <v>821</v>
      </c>
    </row>
    <row r="4077" spans="1:8">
      <c r="A4077" s="317">
        <v>1609350017</v>
      </c>
      <c r="B4077" s="317" t="s">
        <v>48443</v>
      </c>
      <c r="C4077" s="330" t="s">
        <v>12031</v>
      </c>
      <c r="D4077" s="330" t="s">
        <v>12032</v>
      </c>
      <c r="E4077" s="330" t="s">
        <v>4634</v>
      </c>
      <c r="F4077" s="331">
        <v>0.21</v>
      </c>
      <c r="G4077" s="332">
        <v>1170</v>
      </c>
      <c r="H4077" s="333">
        <v>1416</v>
      </c>
    </row>
    <row r="4078" spans="1:8">
      <c r="A4078" s="317">
        <v>1609350018</v>
      </c>
      <c r="B4078" s="317" t="s">
        <v>48444</v>
      </c>
      <c r="C4078" s="330" t="s">
        <v>12033</v>
      </c>
      <c r="D4078" s="330" t="s">
        <v>12034</v>
      </c>
      <c r="E4078" s="330" t="s">
        <v>4634</v>
      </c>
      <c r="F4078" s="331">
        <v>0.21</v>
      </c>
      <c r="G4078" s="332">
        <v>18232</v>
      </c>
      <c r="H4078" s="333">
        <v>22061</v>
      </c>
    </row>
    <row r="4079" spans="1:8">
      <c r="A4079" s="317">
        <v>1609350019</v>
      </c>
      <c r="B4079" s="317" t="s">
        <v>48445</v>
      </c>
      <c r="C4079" s="330" t="s">
        <v>12035</v>
      </c>
      <c r="D4079" s="330" t="s">
        <v>12036</v>
      </c>
      <c r="E4079" s="330" t="s">
        <v>4634</v>
      </c>
      <c r="F4079" s="331">
        <v>0.21</v>
      </c>
      <c r="G4079" s="332">
        <v>16802</v>
      </c>
      <c r="H4079" s="333">
        <v>20331</v>
      </c>
    </row>
    <row r="4080" spans="1:8">
      <c r="A4080" s="317">
        <v>1609350020</v>
      </c>
      <c r="B4080" s="317" t="s">
        <v>48446</v>
      </c>
      <c r="C4080" s="330" t="s">
        <v>12037</v>
      </c>
      <c r="D4080" s="330" t="s">
        <v>12038</v>
      </c>
      <c r="E4080" s="330" t="s">
        <v>4634</v>
      </c>
      <c r="F4080" s="331">
        <v>0.21</v>
      </c>
      <c r="G4080" s="332">
        <v>6553</v>
      </c>
      <c r="H4080" s="333">
        <v>7930</v>
      </c>
    </row>
    <row r="4081" spans="1:8">
      <c r="A4081" s="317">
        <v>1609350021</v>
      </c>
      <c r="B4081" s="317" t="s">
        <v>48447</v>
      </c>
      <c r="C4081" s="330" t="s">
        <v>12039</v>
      </c>
      <c r="D4081" s="330" t="s">
        <v>12040</v>
      </c>
      <c r="E4081" s="330" t="s">
        <v>4634</v>
      </c>
      <c r="F4081" s="331">
        <v>0.21</v>
      </c>
      <c r="G4081" s="332">
        <v>16645</v>
      </c>
      <c r="H4081" s="333">
        <v>20141</v>
      </c>
    </row>
    <row r="4082" spans="1:8">
      <c r="A4082" s="317">
        <v>1609350023</v>
      </c>
      <c r="B4082" s="317" t="s">
        <v>48448</v>
      </c>
      <c r="C4082" s="330" t="s">
        <v>12041</v>
      </c>
      <c r="D4082" s="330" t="s">
        <v>12042</v>
      </c>
      <c r="E4082" s="330" t="s">
        <v>4634</v>
      </c>
      <c r="F4082" s="331">
        <v>0.21</v>
      </c>
      <c r="G4082" s="332">
        <v>3490</v>
      </c>
      <c r="H4082" s="333">
        <v>4223</v>
      </c>
    </row>
    <row r="4083" spans="1:8">
      <c r="A4083" s="317">
        <v>1609350025</v>
      </c>
      <c r="B4083" s="317" t="s">
        <v>48449</v>
      </c>
      <c r="C4083" s="330" t="s">
        <v>12043</v>
      </c>
      <c r="D4083" s="330" t="s">
        <v>12044</v>
      </c>
      <c r="E4083" s="330" t="s">
        <v>4634</v>
      </c>
      <c r="F4083" s="331">
        <v>0.21</v>
      </c>
      <c r="G4083" s="332">
        <v>455</v>
      </c>
      <c r="H4083" s="333">
        <v>551</v>
      </c>
    </row>
    <row r="4084" spans="1:8">
      <c r="A4084" s="317">
        <v>1609350027</v>
      </c>
      <c r="B4084" s="317" t="s">
        <v>48450</v>
      </c>
      <c r="C4084" s="330" t="s">
        <v>12045</v>
      </c>
      <c r="D4084" s="330" t="s">
        <v>12046</v>
      </c>
      <c r="E4084" s="330" t="s">
        <v>4634</v>
      </c>
      <c r="F4084" s="331">
        <v>0.21</v>
      </c>
      <c r="G4084" s="332">
        <v>678</v>
      </c>
      <c r="H4084" s="333">
        <v>821</v>
      </c>
    </row>
    <row r="4085" spans="1:8">
      <c r="A4085" s="317">
        <v>1609350028</v>
      </c>
      <c r="B4085" s="317" t="s">
        <v>48451</v>
      </c>
      <c r="C4085" s="330" t="s">
        <v>12047</v>
      </c>
      <c r="D4085" s="330" t="s">
        <v>12048</v>
      </c>
      <c r="E4085" s="330" t="s">
        <v>4634</v>
      </c>
      <c r="F4085" s="331">
        <v>0.21</v>
      </c>
      <c r="G4085" s="332">
        <v>15100</v>
      </c>
      <c r="H4085" s="333">
        <v>18271</v>
      </c>
    </row>
    <row r="4086" spans="1:8">
      <c r="A4086" s="317">
        <v>1609350029</v>
      </c>
      <c r="B4086" s="317" t="s">
        <v>48452</v>
      </c>
      <c r="C4086" s="330" t="s">
        <v>12049</v>
      </c>
      <c r="D4086" s="330" t="s">
        <v>12050</v>
      </c>
      <c r="E4086" s="330" t="s">
        <v>4634</v>
      </c>
      <c r="F4086" s="331">
        <v>0.21</v>
      </c>
      <c r="G4086" s="332">
        <v>372</v>
      </c>
      <c r="H4086" s="333">
        <v>451</v>
      </c>
    </row>
    <row r="4087" spans="1:8">
      <c r="A4087" s="317">
        <v>1609350032</v>
      </c>
      <c r="B4087" s="317" t="s">
        <v>48453</v>
      </c>
      <c r="C4087" s="330" t="s">
        <v>12051</v>
      </c>
      <c r="D4087" s="330" t="s">
        <v>12052</v>
      </c>
      <c r="E4087" s="330" t="s">
        <v>4634</v>
      </c>
      <c r="F4087" s="331">
        <v>0.21</v>
      </c>
      <c r="G4087" s="332">
        <v>2712</v>
      </c>
      <c r="H4087" s="333">
        <v>3282</v>
      </c>
    </row>
    <row r="4088" spans="1:8">
      <c r="A4088" s="317">
        <v>1609350033</v>
      </c>
      <c r="B4088" s="317" t="s">
        <v>48454</v>
      </c>
      <c r="C4088" s="330" t="s">
        <v>12053</v>
      </c>
      <c r="D4088" s="330" t="s">
        <v>12054</v>
      </c>
      <c r="E4088" s="330" t="s">
        <v>4634</v>
      </c>
      <c r="F4088" s="331">
        <v>0.21</v>
      </c>
      <c r="G4088" s="332">
        <v>372</v>
      </c>
      <c r="H4088" s="333">
        <v>451</v>
      </c>
    </row>
    <row r="4089" spans="1:8">
      <c r="A4089" s="317">
        <v>1609350034</v>
      </c>
      <c r="B4089" s="317" t="s">
        <v>48455</v>
      </c>
      <c r="C4089" s="330" t="s">
        <v>12055</v>
      </c>
      <c r="D4089" s="330" t="s">
        <v>12056</v>
      </c>
      <c r="E4089" s="330" t="s">
        <v>4634</v>
      </c>
      <c r="F4089" s="331">
        <v>0.21</v>
      </c>
      <c r="G4089" s="332">
        <v>11767</v>
      </c>
      <c r="H4089" s="333">
        <v>14239</v>
      </c>
    </row>
    <row r="4090" spans="1:8">
      <c r="A4090" s="317">
        <v>1609350035</v>
      </c>
      <c r="B4090" s="317" t="s">
        <v>48456</v>
      </c>
      <c r="C4090" s="330" t="s">
        <v>12057</v>
      </c>
      <c r="D4090" s="330" t="s">
        <v>12058</v>
      </c>
      <c r="E4090" s="330" t="s">
        <v>4634</v>
      </c>
      <c r="F4090" s="331">
        <v>0.21</v>
      </c>
      <c r="G4090" s="332">
        <v>265</v>
      </c>
      <c r="H4090" s="333">
        <v>321</v>
      </c>
    </row>
    <row r="4091" spans="1:8">
      <c r="A4091" s="317">
        <v>1609350036</v>
      </c>
      <c r="B4091" s="317" t="s">
        <v>48457</v>
      </c>
      <c r="C4091" s="330" t="s">
        <v>12059</v>
      </c>
      <c r="D4091" s="330" t="s">
        <v>12060</v>
      </c>
      <c r="E4091" s="330" t="s">
        <v>4634</v>
      </c>
      <c r="F4091" s="331">
        <v>0.21</v>
      </c>
      <c r="G4091" s="332">
        <v>3395</v>
      </c>
      <c r="H4091" s="333">
        <v>4108</v>
      </c>
    </row>
    <row r="4092" spans="1:8">
      <c r="A4092" s="317">
        <v>1609350037</v>
      </c>
      <c r="B4092" s="317" t="s">
        <v>48458</v>
      </c>
      <c r="C4092" s="330" t="s">
        <v>12061</v>
      </c>
      <c r="D4092" s="330" t="s">
        <v>12062</v>
      </c>
      <c r="E4092" s="330" t="s">
        <v>4634</v>
      </c>
      <c r="F4092" s="331">
        <v>0.21</v>
      </c>
      <c r="G4092" s="332">
        <v>1474</v>
      </c>
      <c r="H4092" s="333">
        <v>1784</v>
      </c>
    </row>
    <row r="4093" spans="1:8">
      <c r="A4093" s="317">
        <v>1609350038</v>
      </c>
      <c r="B4093" s="317" t="s">
        <v>48459</v>
      </c>
      <c r="C4093" s="330" t="s">
        <v>12063</v>
      </c>
      <c r="D4093" s="330" t="s">
        <v>12064</v>
      </c>
      <c r="E4093" s="330" t="s">
        <v>4634</v>
      </c>
      <c r="F4093" s="331">
        <v>0.21</v>
      </c>
      <c r="G4093" s="332">
        <v>437</v>
      </c>
      <c r="H4093" s="333">
        <v>529</v>
      </c>
    </row>
    <row r="4094" spans="1:8">
      <c r="A4094" s="317">
        <v>1609350039</v>
      </c>
      <c r="B4094" s="317" t="s">
        <v>48460</v>
      </c>
      <c r="C4094" s="330" t="s">
        <v>12065</v>
      </c>
      <c r="D4094" s="330" t="s">
        <v>12050</v>
      </c>
      <c r="E4094" s="330" t="s">
        <v>4634</v>
      </c>
      <c r="F4094" s="331">
        <v>0.21</v>
      </c>
      <c r="G4094" s="332">
        <v>1547</v>
      </c>
      <c r="H4094" s="333">
        <v>1872</v>
      </c>
    </row>
    <row r="4095" spans="1:8">
      <c r="A4095" s="317">
        <v>1609350041</v>
      </c>
      <c r="B4095" s="317" t="s">
        <v>48461</v>
      </c>
      <c r="C4095" s="330" t="s">
        <v>12066</v>
      </c>
      <c r="D4095" s="330" t="s">
        <v>12067</v>
      </c>
      <c r="E4095" s="330" t="s">
        <v>4634</v>
      </c>
      <c r="F4095" s="331">
        <v>0.21</v>
      </c>
      <c r="G4095" s="332">
        <v>5869</v>
      </c>
      <c r="H4095" s="333">
        <v>7102</v>
      </c>
    </row>
    <row r="4096" spans="1:8">
      <c r="A4096" s="317">
        <v>1609350044</v>
      </c>
      <c r="B4096" s="317" t="s">
        <v>48462</v>
      </c>
      <c r="C4096" s="330" t="s">
        <v>12068</v>
      </c>
      <c r="D4096" s="330" t="s">
        <v>12069</v>
      </c>
      <c r="E4096" s="330" t="s">
        <v>4634</v>
      </c>
      <c r="F4096" s="331">
        <v>0.21</v>
      </c>
      <c r="G4096" s="332">
        <v>1070</v>
      </c>
      <c r="H4096" s="333">
        <v>1295</v>
      </c>
    </row>
    <row r="4097" spans="1:8">
      <c r="A4097" s="317">
        <v>1609350045</v>
      </c>
      <c r="B4097" s="317" t="s">
        <v>48463</v>
      </c>
      <c r="C4097" s="330" t="s">
        <v>12070</v>
      </c>
      <c r="D4097" s="330" t="s">
        <v>12071</v>
      </c>
      <c r="E4097" s="330" t="s">
        <v>4634</v>
      </c>
      <c r="F4097" s="331">
        <v>0.21</v>
      </c>
      <c r="G4097" s="332">
        <v>20239</v>
      </c>
      <c r="H4097" s="333">
        <v>24490</v>
      </c>
    </row>
    <row r="4098" spans="1:8">
      <c r="A4098" s="317">
        <v>1609350047</v>
      </c>
      <c r="B4098" s="317" t="s">
        <v>48464</v>
      </c>
      <c r="C4098" s="330" t="s">
        <v>12072</v>
      </c>
      <c r="D4098" s="330" t="s">
        <v>12073</v>
      </c>
      <c r="E4098" s="330" t="s">
        <v>4634</v>
      </c>
      <c r="F4098" s="331">
        <v>0.21</v>
      </c>
      <c r="G4098" s="332">
        <v>8922</v>
      </c>
      <c r="H4098" s="333">
        <v>10796</v>
      </c>
    </row>
    <row r="4099" spans="1:8">
      <c r="A4099" s="317">
        <v>1609350050</v>
      </c>
      <c r="B4099" s="317" t="s">
        <v>48465</v>
      </c>
      <c r="C4099" s="330" t="s">
        <v>12074</v>
      </c>
      <c r="D4099" s="330" t="s">
        <v>12024</v>
      </c>
      <c r="E4099" s="330" t="s">
        <v>4634</v>
      </c>
      <c r="F4099" s="331">
        <v>0.21</v>
      </c>
      <c r="G4099" s="332">
        <v>16802</v>
      </c>
      <c r="H4099" s="333">
        <v>20331</v>
      </c>
    </row>
    <row r="4100" spans="1:8">
      <c r="A4100" s="317">
        <v>1609350055</v>
      </c>
      <c r="B4100" s="317" t="s">
        <v>48466</v>
      </c>
      <c r="C4100" s="330" t="s">
        <v>12075</v>
      </c>
      <c r="D4100" s="330" t="s">
        <v>12076</v>
      </c>
      <c r="E4100" s="330" t="s">
        <v>4634</v>
      </c>
      <c r="F4100" s="331">
        <v>0.21</v>
      </c>
      <c r="G4100" s="332">
        <v>437</v>
      </c>
      <c r="H4100" s="333">
        <v>529</v>
      </c>
    </row>
    <row r="4101" spans="1:8">
      <c r="A4101" s="317">
        <v>1609350062</v>
      </c>
      <c r="B4101" s="317" t="s">
        <v>48467</v>
      </c>
      <c r="C4101" s="330" t="s">
        <v>12077</v>
      </c>
      <c r="D4101" s="330" t="s">
        <v>12078</v>
      </c>
      <c r="E4101" s="330" t="s">
        <v>4634</v>
      </c>
      <c r="F4101" s="331">
        <v>0.21</v>
      </c>
      <c r="G4101" s="332">
        <v>1170</v>
      </c>
      <c r="H4101" s="333">
        <v>1416</v>
      </c>
    </row>
    <row r="4102" spans="1:8">
      <c r="A4102" s="317">
        <v>1609350063</v>
      </c>
      <c r="B4102" s="317" t="s">
        <v>48468</v>
      </c>
      <c r="C4102" s="330" t="s">
        <v>12079</v>
      </c>
      <c r="D4102" s="330" t="s">
        <v>12080</v>
      </c>
      <c r="E4102" s="330" t="s">
        <v>4634</v>
      </c>
      <c r="F4102" s="331">
        <v>0.21</v>
      </c>
      <c r="G4102" s="332">
        <v>4004</v>
      </c>
      <c r="H4102" s="333">
        <v>4845</v>
      </c>
    </row>
    <row r="4103" spans="1:8">
      <c r="A4103" s="317">
        <v>1609350066</v>
      </c>
      <c r="B4103" s="317" t="s">
        <v>48469</v>
      </c>
      <c r="C4103" s="330" t="s">
        <v>12081</v>
      </c>
      <c r="D4103" s="330" t="s">
        <v>12082</v>
      </c>
      <c r="E4103" s="330" t="s">
        <v>4634</v>
      </c>
      <c r="F4103" s="331">
        <v>0.21</v>
      </c>
      <c r="G4103" s="332">
        <v>1170</v>
      </c>
      <c r="H4103" s="333">
        <v>1416</v>
      </c>
    </row>
    <row r="4104" spans="1:8">
      <c r="A4104" s="317">
        <v>1609350067</v>
      </c>
      <c r="B4104" s="317" t="s">
        <v>48470</v>
      </c>
      <c r="C4104" s="330" t="s">
        <v>12083</v>
      </c>
      <c r="D4104" s="330" t="s">
        <v>12084</v>
      </c>
      <c r="E4104" s="330" t="s">
        <v>4634</v>
      </c>
      <c r="F4104" s="331">
        <v>0.21</v>
      </c>
      <c r="G4104" s="332">
        <v>919</v>
      </c>
      <c r="H4104" s="333">
        <v>1112</v>
      </c>
    </row>
    <row r="4105" spans="1:8">
      <c r="A4105" s="317">
        <v>1609350074</v>
      </c>
      <c r="B4105" s="317" t="s">
        <v>48471</v>
      </c>
      <c r="C4105" s="330" t="s">
        <v>12085</v>
      </c>
      <c r="D4105" s="330" t="s">
        <v>12086</v>
      </c>
      <c r="E4105" s="330" t="s">
        <v>4634</v>
      </c>
      <c r="F4105" s="331">
        <v>0.21</v>
      </c>
      <c r="G4105" s="332">
        <v>2059</v>
      </c>
      <c r="H4105" s="333">
        <v>2492</v>
      </c>
    </row>
    <row r="4106" spans="1:8">
      <c r="A4106" s="317">
        <v>1609350080</v>
      </c>
      <c r="B4106" s="317" t="s">
        <v>48472</v>
      </c>
      <c r="C4106" s="330" t="s">
        <v>12087</v>
      </c>
      <c r="D4106" s="330" t="s">
        <v>12088</v>
      </c>
      <c r="E4106" s="330" t="s">
        <v>4634</v>
      </c>
      <c r="F4106" s="331">
        <v>0.21</v>
      </c>
      <c r="G4106" s="332">
        <v>2059</v>
      </c>
      <c r="H4106" s="333">
        <v>2492</v>
      </c>
    </row>
    <row r="4107" spans="1:8">
      <c r="A4107" s="317">
        <v>1609350089</v>
      </c>
      <c r="B4107" s="317" t="s">
        <v>48473</v>
      </c>
      <c r="C4107" s="330" t="s">
        <v>12089</v>
      </c>
      <c r="D4107" s="330" t="s">
        <v>12090</v>
      </c>
      <c r="E4107" s="330" t="s">
        <v>4634</v>
      </c>
      <c r="F4107" s="331">
        <v>0.21</v>
      </c>
      <c r="G4107" s="332">
        <v>19188</v>
      </c>
      <c r="H4107" s="333">
        <v>23218</v>
      </c>
    </row>
    <row r="4108" spans="1:8">
      <c r="A4108" s="317">
        <v>1609350092</v>
      </c>
      <c r="B4108" s="317" t="s">
        <v>48474</v>
      </c>
      <c r="C4108" s="330" t="s">
        <v>12091</v>
      </c>
      <c r="D4108" s="330" t="s">
        <v>12092</v>
      </c>
      <c r="E4108" s="330" t="s">
        <v>4634</v>
      </c>
      <c r="F4108" s="331">
        <v>0.21</v>
      </c>
      <c r="G4108" s="332">
        <v>928</v>
      </c>
      <c r="H4108" s="333">
        <v>1123</v>
      </c>
    </row>
    <row r="4109" spans="1:8">
      <c r="A4109" s="317">
        <v>1609350093</v>
      </c>
      <c r="B4109" s="317" t="s">
        <v>48475</v>
      </c>
      <c r="C4109" s="330" t="s">
        <v>12093</v>
      </c>
      <c r="D4109" s="330" t="s">
        <v>12094</v>
      </c>
      <c r="E4109" s="330" t="s">
        <v>4634</v>
      </c>
      <c r="F4109" s="331">
        <v>0.21</v>
      </c>
      <c r="G4109" s="332">
        <v>928</v>
      </c>
      <c r="H4109" s="333">
        <v>1123</v>
      </c>
    </row>
    <row r="4110" spans="1:8">
      <c r="A4110" s="317">
        <v>1609350098</v>
      </c>
      <c r="B4110" s="317" t="s">
        <v>48476</v>
      </c>
      <c r="C4110" s="330" t="s">
        <v>12095</v>
      </c>
      <c r="D4110" s="330" t="s">
        <v>12096</v>
      </c>
      <c r="E4110" s="330" t="s">
        <v>4634</v>
      </c>
      <c r="F4110" s="331">
        <v>0.21</v>
      </c>
      <c r="G4110" s="332">
        <v>702</v>
      </c>
      <c r="H4110" s="333">
        <v>850</v>
      </c>
    </row>
    <row r="4111" spans="1:8">
      <c r="A4111" s="317">
        <v>1609350124</v>
      </c>
      <c r="B4111" s="317" t="s">
        <v>48477</v>
      </c>
      <c r="C4111" s="330" t="s">
        <v>12097</v>
      </c>
      <c r="D4111" s="330" t="s">
        <v>12098</v>
      </c>
      <c r="E4111" s="330" t="s">
        <v>4634</v>
      </c>
      <c r="F4111" s="331">
        <v>0.21</v>
      </c>
      <c r="G4111" s="332">
        <v>1976</v>
      </c>
      <c r="H4111" s="333">
        <v>2391</v>
      </c>
    </row>
    <row r="4112" spans="1:8">
      <c r="A4112" s="317">
        <v>1609350146</v>
      </c>
      <c r="B4112" s="317" t="s">
        <v>48478</v>
      </c>
      <c r="C4112" s="330" t="s">
        <v>12099</v>
      </c>
      <c r="D4112" s="330" t="s">
        <v>12100</v>
      </c>
      <c r="E4112" s="330" t="s">
        <v>4634</v>
      </c>
      <c r="F4112" s="331">
        <v>0.21</v>
      </c>
      <c r="G4112" s="332">
        <v>2063</v>
      </c>
      <c r="H4112" s="333">
        <v>2497</v>
      </c>
    </row>
    <row r="4113" spans="1:8">
      <c r="A4113" s="317">
        <v>1609350176</v>
      </c>
      <c r="B4113" s="317" t="s">
        <v>48479</v>
      </c>
      <c r="C4113" s="330" t="s">
        <v>12101</v>
      </c>
      <c r="D4113" s="330" t="s">
        <v>12102</v>
      </c>
      <c r="E4113" s="330" t="s">
        <v>4634</v>
      </c>
      <c r="F4113" s="331">
        <v>0.21</v>
      </c>
      <c r="G4113" s="332">
        <v>4695</v>
      </c>
      <c r="H4113" s="333">
        <v>5681</v>
      </c>
    </row>
    <row r="4114" spans="1:8">
      <c r="A4114" s="317">
        <v>1609350179</v>
      </c>
      <c r="B4114" s="317" t="s">
        <v>48480</v>
      </c>
      <c r="C4114" s="330" t="s">
        <v>12103</v>
      </c>
      <c r="D4114" s="330" t="s">
        <v>12104</v>
      </c>
      <c r="E4114" s="330" t="s">
        <v>4634</v>
      </c>
      <c r="F4114" s="331">
        <v>0.21</v>
      </c>
      <c r="G4114" s="332">
        <v>564</v>
      </c>
      <c r="H4114" s="333">
        <v>683</v>
      </c>
    </row>
    <row r="4115" spans="1:8">
      <c r="A4115" s="317">
        <v>1609350192</v>
      </c>
      <c r="B4115" s="317" t="s">
        <v>48481</v>
      </c>
      <c r="C4115" s="330" t="s">
        <v>12105</v>
      </c>
      <c r="D4115" s="330" t="s">
        <v>12106</v>
      </c>
      <c r="E4115" s="330" t="s">
        <v>4634</v>
      </c>
      <c r="F4115" s="331">
        <v>0.21</v>
      </c>
      <c r="G4115" s="332">
        <v>9237</v>
      </c>
      <c r="H4115" s="333">
        <v>11177</v>
      </c>
    </row>
    <row r="4116" spans="1:8">
      <c r="A4116" s="317">
        <v>1609350194</v>
      </c>
      <c r="B4116" s="317" t="s">
        <v>48482</v>
      </c>
      <c r="C4116" s="330" t="s">
        <v>12107</v>
      </c>
      <c r="D4116" s="330" t="s">
        <v>12108</v>
      </c>
      <c r="E4116" s="330" t="s">
        <v>4634</v>
      </c>
      <c r="F4116" s="331">
        <v>0.21</v>
      </c>
      <c r="G4116" s="332">
        <v>2324</v>
      </c>
      <c r="H4116" s="333">
        <v>2813</v>
      </c>
    </row>
    <row r="4117" spans="1:8">
      <c r="A4117" s="317">
        <v>1609350195</v>
      </c>
      <c r="B4117" s="317" t="s">
        <v>48483</v>
      </c>
      <c r="C4117" s="330" t="s">
        <v>12109</v>
      </c>
      <c r="D4117" s="330" t="s">
        <v>12110</v>
      </c>
      <c r="E4117" s="330" t="s">
        <v>4634</v>
      </c>
      <c r="F4117" s="331">
        <v>0.21</v>
      </c>
      <c r="G4117" s="332">
        <v>20119</v>
      </c>
      <c r="H4117" s="333">
        <v>24344</v>
      </c>
    </row>
    <row r="4118" spans="1:8">
      <c r="A4118" s="317">
        <v>1609350196</v>
      </c>
      <c r="B4118" s="317" t="s">
        <v>48484</v>
      </c>
      <c r="C4118" s="330" t="s">
        <v>12111</v>
      </c>
      <c r="D4118" s="330" t="s">
        <v>12112</v>
      </c>
      <c r="E4118" s="330" t="s">
        <v>4634</v>
      </c>
      <c r="F4118" s="331">
        <v>0.21</v>
      </c>
      <c r="G4118" s="332">
        <v>21477</v>
      </c>
      <c r="H4118" s="333">
        <v>25988</v>
      </c>
    </row>
    <row r="4119" spans="1:8">
      <c r="A4119" s="317">
        <v>1609350197</v>
      </c>
      <c r="B4119" s="317" t="s">
        <v>48485</v>
      </c>
      <c r="C4119" s="330" t="s">
        <v>12113</v>
      </c>
      <c r="D4119" s="330" t="s">
        <v>12114</v>
      </c>
      <c r="E4119" s="330" t="s">
        <v>4634</v>
      </c>
      <c r="F4119" s="331">
        <v>0.21</v>
      </c>
      <c r="G4119" s="332">
        <v>1581</v>
      </c>
      <c r="H4119" s="333">
        <v>1914</v>
      </c>
    </row>
    <row r="4120" spans="1:8">
      <c r="A4120" s="317">
        <v>1609350199</v>
      </c>
      <c r="B4120" s="317" t="s">
        <v>48486</v>
      </c>
      <c r="C4120" s="330" t="s">
        <v>12115</v>
      </c>
      <c r="D4120" s="330" t="s">
        <v>12116</v>
      </c>
      <c r="E4120" s="330" t="s">
        <v>4634</v>
      </c>
      <c r="F4120" s="331">
        <v>0.21</v>
      </c>
      <c r="G4120" s="332">
        <v>25272</v>
      </c>
      <c r="H4120" s="333">
        <v>30580</v>
      </c>
    </row>
    <row r="4121" spans="1:8">
      <c r="A4121" s="317">
        <v>1609350202</v>
      </c>
      <c r="B4121" s="317" t="s">
        <v>48487</v>
      </c>
      <c r="C4121" s="330" t="s">
        <v>12117</v>
      </c>
      <c r="D4121" s="330" t="s">
        <v>12118</v>
      </c>
      <c r="E4121" s="330" t="s">
        <v>4634</v>
      </c>
      <c r="F4121" s="331">
        <v>0.21</v>
      </c>
      <c r="G4121" s="332">
        <v>48024</v>
      </c>
      <c r="H4121" s="333">
        <v>58110</v>
      </c>
    </row>
    <row r="4122" spans="1:8">
      <c r="A4122" s="317">
        <v>1609350291</v>
      </c>
      <c r="B4122" s="317" t="s">
        <v>48488</v>
      </c>
      <c r="C4122" s="330" t="s">
        <v>12119</v>
      </c>
      <c r="D4122" s="330" t="s">
        <v>12120</v>
      </c>
      <c r="E4122" s="330" t="s">
        <v>4634</v>
      </c>
      <c r="F4122" s="331">
        <v>0.21</v>
      </c>
      <c r="G4122" s="332">
        <v>21272</v>
      </c>
      <c r="H4122" s="333">
        <v>25740</v>
      </c>
    </row>
    <row r="4123" spans="1:8">
      <c r="A4123" s="317">
        <v>1609350306</v>
      </c>
      <c r="B4123" s="317" t="s">
        <v>48489</v>
      </c>
      <c r="C4123" s="330" t="s">
        <v>12121</v>
      </c>
      <c r="D4123" s="330" t="s">
        <v>12122</v>
      </c>
      <c r="E4123" s="330" t="s">
        <v>4634</v>
      </c>
      <c r="F4123" s="331">
        <v>0.21</v>
      </c>
      <c r="G4123" s="332">
        <v>1844</v>
      </c>
      <c r="H4123" s="333">
        <v>2232</v>
      </c>
    </row>
    <row r="4124" spans="1:8">
      <c r="A4124" s="317">
        <v>1609350307</v>
      </c>
      <c r="B4124" s="317" t="s">
        <v>48490</v>
      </c>
      <c r="C4124" s="330" t="s">
        <v>12123</v>
      </c>
      <c r="D4124" s="330" t="s">
        <v>12124</v>
      </c>
      <c r="E4124" s="330" t="s">
        <v>4634</v>
      </c>
      <c r="F4124" s="331">
        <v>0.21</v>
      </c>
      <c r="G4124" s="332">
        <v>9505</v>
      </c>
      <c r="H4124" s="333">
        <v>11502</v>
      </c>
    </row>
    <row r="4125" spans="1:8">
      <c r="A4125" s="317">
        <v>1609350308</v>
      </c>
      <c r="B4125" s="317" t="s">
        <v>48491</v>
      </c>
      <c r="C4125" s="330" t="s">
        <v>12125</v>
      </c>
      <c r="D4125" s="330" t="s">
        <v>12126</v>
      </c>
      <c r="E4125" s="330" t="s">
        <v>4634</v>
      </c>
      <c r="F4125" s="331">
        <v>0.21</v>
      </c>
      <c r="G4125" s="332">
        <v>1371</v>
      </c>
      <c r="H4125" s="333">
        <v>1659</v>
      </c>
    </row>
    <row r="4126" spans="1:8">
      <c r="A4126" s="317">
        <v>1609350309</v>
      </c>
      <c r="B4126" s="317" t="s">
        <v>48492</v>
      </c>
      <c r="C4126" s="330" t="s">
        <v>12127</v>
      </c>
      <c r="D4126" s="330" t="s">
        <v>12128</v>
      </c>
      <c r="E4126" s="330" t="s">
        <v>4634</v>
      </c>
      <c r="F4126" s="331">
        <v>0.21</v>
      </c>
      <c r="G4126" s="332">
        <v>12447</v>
      </c>
      <c r="H4126" s="333">
        <v>15061</v>
      </c>
    </row>
    <row r="4127" spans="1:8">
      <c r="A4127" s="317">
        <v>1609350481</v>
      </c>
      <c r="B4127" s="317" t="s">
        <v>48493</v>
      </c>
      <c r="C4127" s="330" t="s">
        <v>12129</v>
      </c>
      <c r="D4127" s="330" t="s">
        <v>12130</v>
      </c>
      <c r="E4127" s="330" t="s">
        <v>4634</v>
      </c>
      <c r="F4127" s="331">
        <v>0.21</v>
      </c>
      <c r="G4127" s="332">
        <v>4004</v>
      </c>
      <c r="H4127" s="333">
        <v>4845</v>
      </c>
    </row>
    <row r="4128" spans="1:8">
      <c r="A4128" s="317">
        <v>1609350482</v>
      </c>
      <c r="B4128" s="317" t="s">
        <v>48494</v>
      </c>
      <c r="C4128" s="330" t="s">
        <v>12131</v>
      </c>
      <c r="D4128" s="330" t="s">
        <v>12132</v>
      </c>
      <c r="E4128" s="330" t="s">
        <v>4634</v>
      </c>
      <c r="F4128" s="331">
        <v>0.21</v>
      </c>
      <c r="G4128" s="332">
        <v>678</v>
      </c>
      <c r="H4128" s="333">
        <v>821</v>
      </c>
    </row>
    <row r="4129" spans="1:8">
      <c r="A4129" s="317">
        <v>1609350483</v>
      </c>
      <c r="B4129" s="317" t="s">
        <v>48495</v>
      </c>
      <c r="C4129" s="330" t="s">
        <v>12133</v>
      </c>
      <c r="D4129" s="330" t="s">
        <v>12134</v>
      </c>
      <c r="E4129" s="330" t="s">
        <v>4634</v>
      </c>
      <c r="F4129" s="331">
        <v>0.21</v>
      </c>
      <c r="G4129" s="332">
        <v>1030</v>
      </c>
      <c r="H4129" s="333">
        <v>1247</v>
      </c>
    </row>
    <row r="4130" spans="1:8">
      <c r="A4130" s="317">
        <v>1609350484</v>
      </c>
      <c r="B4130" s="317" t="s">
        <v>48496</v>
      </c>
      <c r="C4130" s="330" t="s">
        <v>12135</v>
      </c>
      <c r="D4130" s="330" t="s">
        <v>12136</v>
      </c>
      <c r="E4130" s="330" t="s">
        <v>4634</v>
      </c>
      <c r="F4130" s="331">
        <v>0.21</v>
      </c>
      <c r="G4130" s="332">
        <v>2063</v>
      </c>
      <c r="H4130" s="333">
        <v>2497</v>
      </c>
    </row>
    <row r="4131" spans="1:8">
      <c r="A4131" s="317">
        <v>1609350485</v>
      </c>
      <c r="B4131" s="317" t="s">
        <v>48497</v>
      </c>
      <c r="C4131" s="330" t="s">
        <v>12137</v>
      </c>
      <c r="D4131" s="330" t="s">
        <v>12138</v>
      </c>
      <c r="E4131" s="330" t="s">
        <v>4634</v>
      </c>
      <c r="F4131" s="331">
        <v>0.21</v>
      </c>
      <c r="G4131" s="332">
        <v>348</v>
      </c>
      <c r="H4131" s="333">
        <v>422</v>
      </c>
    </row>
    <row r="4132" spans="1:8">
      <c r="A4132" s="317">
        <v>1609350486</v>
      </c>
      <c r="B4132" s="317" t="s">
        <v>48498</v>
      </c>
      <c r="C4132" s="330" t="s">
        <v>12139</v>
      </c>
      <c r="D4132" s="330" t="s">
        <v>12140</v>
      </c>
      <c r="E4132" s="330" t="s">
        <v>4634</v>
      </c>
      <c r="F4132" s="331">
        <v>0.21</v>
      </c>
      <c r="G4132" s="332">
        <v>1798</v>
      </c>
      <c r="H4132" s="333">
        <v>2176</v>
      </c>
    </row>
    <row r="4133" spans="1:8">
      <c r="A4133" s="317">
        <v>1609350487</v>
      </c>
      <c r="B4133" s="317" t="s">
        <v>48499</v>
      </c>
      <c r="C4133" s="330" t="s">
        <v>12141</v>
      </c>
      <c r="D4133" s="330" t="s">
        <v>12142</v>
      </c>
      <c r="E4133" s="330" t="s">
        <v>4634</v>
      </c>
      <c r="F4133" s="331">
        <v>0.21</v>
      </c>
      <c r="G4133" s="332">
        <v>372</v>
      </c>
      <c r="H4133" s="333">
        <v>451</v>
      </c>
    </row>
    <row r="4134" spans="1:8">
      <c r="A4134" s="317">
        <v>1609350491</v>
      </c>
      <c r="B4134" s="317" t="s">
        <v>48500</v>
      </c>
      <c r="C4134" s="330" t="s">
        <v>12143</v>
      </c>
      <c r="D4134" s="330" t="s">
        <v>12134</v>
      </c>
      <c r="E4134" s="330" t="s">
        <v>4634</v>
      </c>
      <c r="F4134" s="331">
        <v>0.21</v>
      </c>
      <c r="G4134" s="332">
        <v>584</v>
      </c>
      <c r="H4134" s="333">
        <v>707</v>
      </c>
    </row>
    <row r="4135" spans="1:8">
      <c r="A4135" s="317">
        <v>1609350504</v>
      </c>
      <c r="B4135" s="317" t="s">
        <v>48501</v>
      </c>
      <c r="C4135" s="330" t="s">
        <v>12144</v>
      </c>
      <c r="D4135" s="330" t="s">
        <v>12145</v>
      </c>
      <c r="E4135" s="330" t="s">
        <v>4634</v>
      </c>
      <c r="F4135" s="331">
        <v>0.21</v>
      </c>
      <c r="G4135" s="332">
        <v>17761</v>
      </c>
      <c r="H4135" s="333">
        <v>21491</v>
      </c>
    </row>
    <row r="4136" spans="1:8">
      <c r="A4136" s="317">
        <v>1609351079</v>
      </c>
      <c r="B4136" s="317" t="s">
        <v>48502</v>
      </c>
      <c r="C4136" s="330" t="s">
        <v>12146</v>
      </c>
      <c r="D4136" s="330" t="s">
        <v>12147</v>
      </c>
      <c r="E4136" s="330" t="s">
        <v>4634</v>
      </c>
      <c r="F4136" s="331">
        <v>0.21</v>
      </c>
      <c r="G4136" s="332">
        <v>702</v>
      </c>
      <c r="H4136" s="333">
        <v>850</v>
      </c>
    </row>
    <row r="4137" spans="1:8">
      <c r="A4137" s="317">
        <v>1609390209</v>
      </c>
      <c r="B4137" s="317" t="s">
        <v>48503</v>
      </c>
      <c r="C4137" s="330" t="s">
        <v>12148</v>
      </c>
      <c r="D4137" s="330" t="s">
        <v>12149</v>
      </c>
      <c r="E4137" s="330" t="s">
        <v>4634</v>
      </c>
      <c r="F4137" s="331">
        <v>0.21</v>
      </c>
      <c r="G4137" s="332">
        <v>2491</v>
      </c>
      <c r="H4137" s="333">
        <v>3015</v>
      </c>
    </row>
    <row r="4138" spans="1:8">
      <c r="A4138" s="317">
        <v>1609390298</v>
      </c>
      <c r="B4138" s="317" t="s">
        <v>48504</v>
      </c>
      <c r="C4138" s="330" t="s">
        <v>12150</v>
      </c>
      <c r="D4138" s="330" t="s">
        <v>12151</v>
      </c>
      <c r="E4138" s="330" t="s">
        <v>4634</v>
      </c>
      <c r="F4138" s="331">
        <v>0.21</v>
      </c>
      <c r="G4138" s="332">
        <v>4724</v>
      </c>
      <c r="H4138" s="333">
        <v>5717</v>
      </c>
    </row>
    <row r="4139" spans="1:8">
      <c r="A4139" s="317">
        <v>1609390303</v>
      </c>
      <c r="B4139" s="317" t="s">
        <v>48505</v>
      </c>
      <c r="C4139" s="330" t="s">
        <v>12152</v>
      </c>
      <c r="D4139" s="330" t="s">
        <v>12153</v>
      </c>
      <c r="E4139" s="330" t="s">
        <v>4634</v>
      </c>
      <c r="F4139" s="331">
        <v>0.21</v>
      </c>
      <c r="G4139" s="332">
        <v>8405</v>
      </c>
      <c r="H4139" s="333">
        <v>10171</v>
      </c>
    </row>
    <row r="4140" spans="1:8">
      <c r="A4140" s="317">
        <v>1609390493</v>
      </c>
      <c r="B4140" s="317" t="s">
        <v>48506</v>
      </c>
      <c r="C4140" s="330" t="s">
        <v>12154</v>
      </c>
      <c r="D4140" s="330" t="s">
        <v>12155</v>
      </c>
      <c r="E4140" s="330" t="s">
        <v>4634</v>
      </c>
      <c r="F4140" s="331">
        <v>0.21</v>
      </c>
      <c r="G4140" s="332">
        <v>5081</v>
      </c>
      <c r="H4140" s="333">
        <v>6149</v>
      </c>
    </row>
    <row r="4141" spans="1:8">
      <c r="A4141" s="317">
        <v>1609390494</v>
      </c>
      <c r="B4141" s="317" t="s">
        <v>48507</v>
      </c>
      <c r="C4141" s="330" t="s">
        <v>12156</v>
      </c>
      <c r="D4141" s="330" t="s">
        <v>12155</v>
      </c>
      <c r="E4141" s="330" t="s">
        <v>4634</v>
      </c>
      <c r="F4141" s="331">
        <v>0.21</v>
      </c>
      <c r="G4141" s="332">
        <v>2491</v>
      </c>
      <c r="H4141" s="333">
        <v>3015</v>
      </c>
    </row>
    <row r="4142" spans="1:8">
      <c r="A4142" s="317">
        <v>1609390495</v>
      </c>
      <c r="B4142" s="317" t="s">
        <v>48508</v>
      </c>
      <c r="C4142" s="330" t="s">
        <v>12157</v>
      </c>
      <c r="D4142" s="330" t="s">
        <v>12158</v>
      </c>
      <c r="E4142" s="330" t="s">
        <v>4634</v>
      </c>
      <c r="F4142" s="331">
        <v>0.21</v>
      </c>
      <c r="G4142" s="332">
        <v>3421</v>
      </c>
      <c r="H4142" s="333">
        <v>4140</v>
      </c>
    </row>
    <row r="4143" spans="1:8">
      <c r="A4143" s="317">
        <v>1609390578</v>
      </c>
      <c r="B4143" s="317" t="s">
        <v>48509</v>
      </c>
      <c r="C4143" s="330" t="s">
        <v>12159</v>
      </c>
      <c r="D4143" s="330" t="s">
        <v>12160</v>
      </c>
      <c r="E4143" s="330" t="s">
        <v>4634</v>
      </c>
      <c r="F4143" s="331">
        <v>0.21</v>
      </c>
      <c r="G4143" s="332">
        <v>4914</v>
      </c>
      <c r="H4143" s="333">
        <v>5946</v>
      </c>
    </row>
    <row r="4144" spans="1:8">
      <c r="A4144" s="317">
        <v>1609390580</v>
      </c>
      <c r="B4144" s="317" t="s">
        <v>48510</v>
      </c>
      <c r="C4144" s="330" t="s">
        <v>12161</v>
      </c>
      <c r="D4144" s="330" t="s">
        <v>12162</v>
      </c>
      <c r="E4144" s="330" t="s">
        <v>4634</v>
      </c>
      <c r="F4144" s="331">
        <v>0.21</v>
      </c>
      <c r="G4144" s="332">
        <v>1170</v>
      </c>
      <c r="H4144" s="333">
        <v>1416</v>
      </c>
    </row>
    <row r="4145" spans="1:8">
      <c r="A4145" s="317">
        <v>1609902000</v>
      </c>
      <c r="B4145" s="317" t="s">
        <v>48511</v>
      </c>
      <c r="C4145" s="330" t="s">
        <v>12163</v>
      </c>
      <c r="D4145" s="330" t="s">
        <v>12164</v>
      </c>
      <c r="E4145" s="330" t="s">
        <v>4634</v>
      </c>
      <c r="F4145" s="331">
        <v>0.21</v>
      </c>
      <c r="G4145" s="332">
        <v>274</v>
      </c>
      <c r="H4145" s="333">
        <v>332</v>
      </c>
    </row>
    <row r="4146" spans="1:8">
      <c r="A4146" s="317">
        <v>1609902002</v>
      </c>
      <c r="B4146" s="317" t="s">
        <v>48512</v>
      </c>
      <c r="C4146" s="330" t="s">
        <v>12165</v>
      </c>
      <c r="D4146" s="330" t="s">
        <v>12166</v>
      </c>
      <c r="E4146" s="330" t="s">
        <v>4634</v>
      </c>
      <c r="F4146" s="331">
        <v>0.21</v>
      </c>
      <c r="G4146" s="332">
        <v>372</v>
      </c>
      <c r="H4146" s="333">
        <v>451</v>
      </c>
    </row>
    <row r="4147" spans="1:8">
      <c r="A4147" s="317">
        <v>1609902003</v>
      </c>
      <c r="B4147" s="317" t="s">
        <v>48513</v>
      </c>
      <c r="C4147" s="330" t="s">
        <v>12167</v>
      </c>
      <c r="D4147" s="330" t="s">
        <v>12168</v>
      </c>
      <c r="E4147" s="330" t="s">
        <v>4634</v>
      </c>
      <c r="F4147" s="331">
        <v>0.21</v>
      </c>
      <c r="G4147" s="332">
        <v>455</v>
      </c>
      <c r="H4147" s="333">
        <v>551</v>
      </c>
    </row>
    <row r="4148" spans="1:8">
      <c r="A4148" s="317">
        <v>1609902004</v>
      </c>
      <c r="B4148" s="317" t="s">
        <v>48514</v>
      </c>
      <c r="C4148" s="330" t="s">
        <v>12169</v>
      </c>
      <c r="D4148" s="330" t="s">
        <v>12170</v>
      </c>
      <c r="E4148" s="330" t="s">
        <v>4634</v>
      </c>
      <c r="F4148" s="331">
        <v>0.21</v>
      </c>
      <c r="G4148" s="332">
        <v>274</v>
      </c>
      <c r="H4148" s="333">
        <v>332</v>
      </c>
    </row>
    <row r="4149" spans="1:8">
      <c r="A4149" s="317">
        <v>1609902005</v>
      </c>
      <c r="B4149" s="317" t="s">
        <v>48515</v>
      </c>
      <c r="C4149" s="330" t="s">
        <v>12171</v>
      </c>
      <c r="D4149" s="330" t="s">
        <v>12172</v>
      </c>
      <c r="E4149" s="330" t="s">
        <v>4634</v>
      </c>
      <c r="F4149" s="331">
        <v>0.21</v>
      </c>
      <c r="G4149" s="332">
        <v>274</v>
      </c>
      <c r="H4149" s="333">
        <v>332</v>
      </c>
    </row>
    <row r="4150" spans="1:8">
      <c r="A4150" s="317">
        <v>1609902006</v>
      </c>
      <c r="B4150" s="317" t="s">
        <v>48516</v>
      </c>
      <c r="C4150" s="330" t="s">
        <v>12173</v>
      </c>
      <c r="D4150" s="330" t="s">
        <v>12172</v>
      </c>
      <c r="E4150" s="330" t="s">
        <v>4634</v>
      </c>
      <c r="F4150" s="331">
        <v>0.21</v>
      </c>
      <c r="G4150" s="332">
        <v>274</v>
      </c>
      <c r="H4150" s="333">
        <v>332</v>
      </c>
    </row>
    <row r="4151" spans="1:8">
      <c r="A4151" s="317">
        <v>1609902022</v>
      </c>
      <c r="B4151" s="317" t="s">
        <v>48517</v>
      </c>
      <c r="C4151" s="330" t="s">
        <v>12174</v>
      </c>
      <c r="D4151" s="330" t="s">
        <v>12175</v>
      </c>
      <c r="E4151" s="330" t="s">
        <v>4634</v>
      </c>
      <c r="F4151" s="331">
        <v>0.21</v>
      </c>
      <c r="G4151" s="332">
        <v>455</v>
      </c>
      <c r="H4151" s="333">
        <v>551</v>
      </c>
    </row>
    <row r="4152" spans="1:8">
      <c r="A4152" s="317">
        <v>1609902023</v>
      </c>
      <c r="B4152" s="317" t="s">
        <v>48518</v>
      </c>
      <c r="C4152" s="330" t="s">
        <v>12176</v>
      </c>
      <c r="D4152" s="330" t="s">
        <v>12177</v>
      </c>
      <c r="E4152" s="330" t="s">
        <v>4634</v>
      </c>
      <c r="F4152" s="331">
        <v>0.21</v>
      </c>
      <c r="G4152" s="332">
        <v>584</v>
      </c>
      <c r="H4152" s="333">
        <v>707</v>
      </c>
    </row>
    <row r="4153" spans="1:8">
      <c r="A4153" s="317">
        <v>1609902024</v>
      </c>
      <c r="B4153" s="317" t="s">
        <v>48519</v>
      </c>
      <c r="C4153" s="330" t="s">
        <v>12178</v>
      </c>
      <c r="D4153" s="330" t="s">
        <v>12179</v>
      </c>
      <c r="E4153" s="330" t="s">
        <v>4634</v>
      </c>
      <c r="F4153" s="331">
        <v>0.21</v>
      </c>
      <c r="G4153" s="332">
        <v>274</v>
      </c>
      <c r="H4153" s="333">
        <v>332</v>
      </c>
    </row>
    <row r="4154" spans="1:8">
      <c r="A4154" s="317">
        <v>1609902025</v>
      </c>
      <c r="B4154" s="317" t="s">
        <v>48520</v>
      </c>
      <c r="C4154" s="330" t="s">
        <v>12180</v>
      </c>
      <c r="D4154" s="330" t="s">
        <v>12181</v>
      </c>
      <c r="E4154" s="330" t="s">
        <v>4634</v>
      </c>
      <c r="F4154" s="331">
        <v>0.21</v>
      </c>
      <c r="G4154" s="332">
        <v>5307</v>
      </c>
      <c r="H4154" s="333">
        <v>6422</v>
      </c>
    </row>
    <row r="4155" spans="1:8">
      <c r="A4155" s="317">
        <v>1609902026</v>
      </c>
      <c r="B4155" s="317" t="s">
        <v>48521</v>
      </c>
      <c r="C4155" s="330" t="s">
        <v>12182</v>
      </c>
      <c r="D4155" s="330" t="s">
        <v>12181</v>
      </c>
      <c r="E4155" s="330" t="s">
        <v>4634</v>
      </c>
      <c r="F4155" s="331">
        <v>0.21</v>
      </c>
      <c r="G4155" s="332">
        <v>25607</v>
      </c>
      <c r="H4155" s="333">
        <v>30985</v>
      </c>
    </row>
    <row r="4156" spans="1:8">
      <c r="A4156" s="317">
        <v>1609902027</v>
      </c>
      <c r="B4156" s="317" t="s">
        <v>48522</v>
      </c>
      <c r="C4156" s="330" t="s">
        <v>12183</v>
      </c>
      <c r="D4156" s="330" t="s">
        <v>12184</v>
      </c>
      <c r="E4156" s="330" t="s">
        <v>4634</v>
      </c>
      <c r="F4156" s="331">
        <v>0.21</v>
      </c>
      <c r="G4156" s="332">
        <v>6101</v>
      </c>
      <c r="H4156" s="333">
        <v>7383</v>
      </c>
    </row>
    <row r="4157" spans="1:8">
      <c r="A4157" s="317">
        <v>1609902028</v>
      </c>
      <c r="B4157" s="317" t="s">
        <v>48523</v>
      </c>
      <c r="C4157" s="330" t="s">
        <v>12185</v>
      </c>
      <c r="D4157" s="330" t="s">
        <v>11698</v>
      </c>
      <c r="E4157" s="330" t="s">
        <v>4634</v>
      </c>
      <c r="F4157" s="331">
        <v>0.21</v>
      </c>
      <c r="G4157" s="332">
        <v>274</v>
      </c>
      <c r="H4157" s="333">
        <v>332</v>
      </c>
    </row>
    <row r="4158" spans="1:8">
      <c r="A4158" s="317">
        <v>1609902029</v>
      </c>
      <c r="B4158" s="317" t="s">
        <v>48524</v>
      </c>
      <c r="C4158" s="330" t="s">
        <v>12186</v>
      </c>
      <c r="D4158" s="330" t="s">
        <v>11708</v>
      </c>
      <c r="E4158" s="330" t="s">
        <v>4634</v>
      </c>
      <c r="F4158" s="331">
        <v>0.21</v>
      </c>
      <c r="G4158" s="332">
        <v>274</v>
      </c>
      <c r="H4158" s="333">
        <v>332</v>
      </c>
    </row>
    <row r="4159" spans="1:8">
      <c r="A4159" s="317">
        <v>1609902030</v>
      </c>
      <c r="B4159" s="317" t="s">
        <v>48525</v>
      </c>
      <c r="C4159" s="330" t="s">
        <v>12187</v>
      </c>
      <c r="D4159" s="330" t="s">
        <v>12188</v>
      </c>
      <c r="E4159" s="330" t="s">
        <v>4634</v>
      </c>
      <c r="F4159" s="331">
        <v>0.21</v>
      </c>
      <c r="G4159" s="332">
        <v>1170</v>
      </c>
      <c r="H4159" s="333">
        <v>1416</v>
      </c>
    </row>
    <row r="4160" spans="1:8">
      <c r="A4160" s="317">
        <v>1609902031</v>
      </c>
      <c r="B4160" s="317" t="s">
        <v>48526</v>
      </c>
      <c r="C4160" s="330" t="s">
        <v>12189</v>
      </c>
      <c r="D4160" s="330" t="s">
        <v>12190</v>
      </c>
      <c r="E4160" s="330" t="s">
        <v>4634</v>
      </c>
      <c r="F4160" s="331">
        <v>0.21</v>
      </c>
      <c r="G4160" s="332">
        <v>432</v>
      </c>
      <c r="H4160" s="333">
        <v>523</v>
      </c>
    </row>
    <row r="4161" spans="1:8">
      <c r="A4161" s="317">
        <v>1609902032</v>
      </c>
      <c r="B4161" s="317" t="s">
        <v>48527</v>
      </c>
      <c r="C4161" s="330" t="s">
        <v>12191</v>
      </c>
      <c r="D4161" s="330" t="s">
        <v>12192</v>
      </c>
      <c r="E4161" s="330" t="s">
        <v>4634</v>
      </c>
      <c r="F4161" s="331">
        <v>0.21</v>
      </c>
      <c r="G4161" s="332">
        <v>274</v>
      </c>
      <c r="H4161" s="333">
        <v>332</v>
      </c>
    </row>
    <row r="4162" spans="1:8">
      <c r="A4162" s="317">
        <v>1609902033</v>
      </c>
      <c r="B4162" s="317" t="s">
        <v>48528</v>
      </c>
      <c r="C4162" s="330" t="s">
        <v>12193</v>
      </c>
      <c r="D4162" s="330" t="s">
        <v>12194</v>
      </c>
      <c r="E4162" s="330" t="s">
        <v>4634</v>
      </c>
      <c r="F4162" s="331">
        <v>0.21</v>
      </c>
      <c r="G4162" s="332">
        <v>432</v>
      </c>
      <c r="H4162" s="333">
        <v>523</v>
      </c>
    </row>
    <row r="4163" spans="1:8">
      <c r="A4163" s="317">
        <v>1609902039</v>
      </c>
      <c r="B4163" s="317" t="s">
        <v>48529</v>
      </c>
      <c r="C4163" s="330" t="s">
        <v>12195</v>
      </c>
      <c r="D4163" s="330" t="s">
        <v>12196</v>
      </c>
      <c r="E4163" s="330" t="s">
        <v>4634</v>
      </c>
      <c r="F4163" s="331">
        <v>0.21</v>
      </c>
      <c r="G4163" s="332">
        <v>564</v>
      </c>
      <c r="H4163" s="333">
        <v>683</v>
      </c>
    </row>
    <row r="4164" spans="1:8">
      <c r="A4164" s="317">
        <v>1609902040</v>
      </c>
      <c r="B4164" s="317" t="s">
        <v>48530</v>
      </c>
      <c r="C4164" s="330" t="s">
        <v>12197</v>
      </c>
      <c r="D4164" s="330" t="s">
        <v>11698</v>
      </c>
      <c r="E4164" s="330" t="s">
        <v>4634</v>
      </c>
      <c r="F4164" s="331">
        <v>0.21</v>
      </c>
      <c r="G4164" s="332">
        <v>274</v>
      </c>
      <c r="H4164" s="333">
        <v>332</v>
      </c>
    </row>
    <row r="4165" spans="1:8">
      <c r="A4165" s="317">
        <v>1609902041</v>
      </c>
      <c r="B4165" s="317" t="s">
        <v>48531</v>
      </c>
      <c r="C4165" s="330" t="s">
        <v>12198</v>
      </c>
      <c r="D4165" s="330" t="s">
        <v>12199</v>
      </c>
      <c r="E4165" s="330" t="s">
        <v>4634</v>
      </c>
      <c r="F4165" s="331">
        <v>0.21</v>
      </c>
      <c r="G4165" s="332">
        <v>274</v>
      </c>
      <c r="H4165" s="333">
        <v>332</v>
      </c>
    </row>
    <row r="4166" spans="1:8">
      <c r="A4166" s="317">
        <v>1609902042</v>
      </c>
      <c r="B4166" s="317" t="s">
        <v>48532</v>
      </c>
      <c r="C4166" s="330" t="s">
        <v>12200</v>
      </c>
      <c r="D4166" s="330" t="s">
        <v>12199</v>
      </c>
      <c r="E4166" s="330" t="s">
        <v>4634</v>
      </c>
      <c r="F4166" s="331">
        <v>0.21</v>
      </c>
      <c r="G4166" s="332">
        <v>432</v>
      </c>
      <c r="H4166" s="333">
        <v>523</v>
      </c>
    </row>
    <row r="4167" spans="1:8">
      <c r="A4167" s="317">
        <v>1609902043</v>
      </c>
      <c r="B4167" s="317" t="s">
        <v>48533</v>
      </c>
      <c r="C4167" s="330" t="s">
        <v>12201</v>
      </c>
      <c r="D4167" s="330" t="s">
        <v>12199</v>
      </c>
      <c r="E4167" s="330" t="s">
        <v>4634</v>
      </c>
      <c r="F4167" s="331">
        <v>0.21</v>
      </c>
      <c r="G4167" s="332">
        <v>274</v>
      </c>
      <c r="H4167" s="333">
        <v>332</v>
      </c>
    </row>
    <row r="4168" spans="1:8">
      <c r="A4168" s="317">
        <v>1609902044</v>
      </c>
      <c r="B4168" s="317" t="s">
        <v>48534</v>
      </c>
      <c r="C4168" s="330" t="s">
        <v>12202</v>
      </c>
      <c r="D4168" s="330" t="s">
        <v>11698</v>
      </c>
      <c r="E4168" s="330" t="s">
        <v>4634</v>
      </c>
      <c r="F4168" s="331">
        <v>0.21</v>
      </c>
      <c r="G4168" s="332">
        <v>274</v>
      </c>
      <c r="H4168" s="333">
        <v>332</v>
      </c>
    </row>
    <row r="4169" spans="1:8">
      <c r="A4169" s="317">
        <v>1609902045</v>
      </c>
      <c r="B4169" s="317" t="s">
        <v>48535</v>
      </c>
      <c r="C4169" s="330" t="s">
        <v>12203</v>
      </c>
      <c r="D4169" s="330" t="s">
        <v>12204</v>
      </c>
      <c r="E4169" s="330" t="s">
        <v>4634</v>
      </c>
      <c r="F4169" s="331">
        <v>0.21</v>
      </c>
      <c r="G4169" s="332">
        <v>2748</v>
      </c>
      <c r="H4169" s="333">
        <v>3326</v>
      </c>
    </row>
    <row r="4170" spans="1:8">
      <c r="A4170" s="317">
        <v>1609902046</v>
      </c>
      <c r="B4170" s="317" t="s">
        <v>48536</v>
      </c>
      <c r="C4170" s="330" t="s">
        <v>12205</v>
      </c>
      <c r="D4170" s="330" t="s">
        <v>12194</v>
      </c>
      <c r="E4170" s="330" t="s">
        <v>4634</v>
      </c>
      <c r="F4170" s="331">
        <v>0.21</v>
      </c>
      <c r="G4170" s="332">
        <v>274</v>
      </c>
      <c r="H4170" s="333">
        <v>332</v>
      </c>
    </row>
    <row r="4171" spans="1:8">
      <c r="A4171" s="317">
        <v>1609902047</v>
      </c>
      <c r="B4171" s="317" t="s">
        <v>48537</v>
      </c>
      <c r="C4171" s="330" t="s">
        <v>12206</v>
      </c>
      <c r="D4171" s="330" t="s">
        <v>12175</v>
      </c>
      <c r="E4171" s="330" t="s">
        <v>4634</v>
      </c>
      <c r="F4171" s="331">
        <v>0.21</v>
      </c>
      <c r="G4171" s="332">
        <v>678</v>
      </c>
      <c r="H4171" s="333">
        <v>821</v>
      </c>
    </row>
    <row r="4172" spans="1:8">
      <c r="A4172" s="317">
        <v>1609902048</v>
      </c>
      <c r="B4172" s="317" t="s">
        <v>48538</v>
      </c>
      <c r="C4172" s="330" t="s">
        <v>12207</v>
      </c>
      <c r="D4172" s="330" t="s">
        <v>12208</v>
      </c>
      <c r="E4172" s="330" t="s">
        <v>4634</v>
      </c>
      <c r="F4172" s="331">
        <v>0.21</v>
      </c>
      <c r="G4172" s="332">
        <v>3297</v>
      </c>
      <c r="H4172" s="333">
        <v>3990</v>
      </c>
    </row>
    <row r="4173" spans="1:8">
      <c r="A4173" s="317">
        <v>1609902050</v>
      </c>
      <c r="B4173" s="317" t="s">
        <v>48539</v>
      </c>
      <c r="C4173" s="330" t="s">
        <v>12209</v>
      </c>
      <c r="D4173" s="330" t="s">
        <v>12210</v>
      </c>
      <c r="E4173" s="330" t="s">
        <v>4634</v>
      </c>
      <c r="F4173" s="331">
        <v>0.21</v>
      </c>
      <c r="G4173" s="332">
        <v>274</v>
      </c>
      <c r="H4173" s="333">
        <v>332</v>
      </c>
    </row>
    <row r="4174" spans="1:8">
      <c r="A4174" s="317">
        <v>1609902051</v>
      </c>
      <c r="B4174" s="317" t="s">
        <v>48540</v>
      </c>
      <c r="C4174" s="330" t="s">
        <v>12211</v>
      </c>
      <c r="D4174" s="330" t="s">
        <v>12192</v>
      </c>
      <c r="E4174" s="330" t="s">
        <v>4634</v>
      </c>
      <c r="F4174" s="331">
        <v>0.21</v>
      </c>
      <c r="G4174" s="332">
        <v>1581</v>
      </c>
      <c r="H4174" s="333">
        <v>1914</v>
      </c>
    </row>
    <row r="4175" spans="1:8">
      <c r="A4175" s="317">
        <v>1609902052</v>
      </c>
      <c r="B4175" s="317" t="s">
        <v>48541</v>
      </c>
      <c r="C4175" s="330" t="s">
        <v>12212</v>
      </c>
      <c r="D4175" s="330" t="s">
        <v>12213</v>
      </c>
      <c r="E4175" s="330" t="s">
        <v>4634</v>
      </c>
      <c r="F4175" s="331">
        <v>0.21</v>
      </c>
      <c r="G4175" s="332">
        <v>274</v>
      </c>
      <c r="H4175" s="333">
        <v>332</v>
      </c>
    </row>
    <row r="4176" spans="1:8">
      <c r="A4176" s="317">
        <v>1609902053</v>
      </c>
      <c r="B4176" s="317" t="s">
        <v>48542</v>
      </c>
      <c r="C4176" s="330" t="s">
        <v>12214</v>
      </c>
      <c r="D4176" s="330" t="s">
        <v>12199</v>
      </c>
      <c r="E4176" s="330" t="s">
        <v>4634</v>
      </c>
      <c r="F4176" s="331">
        <v>0.21</v>
      </c>
      <c r="G4176" s="332">
        <v>274</v>
      </c>
      <c r="H4176" s="333">
        <v>332</v>
      </c>
    </row>
    <row r="4177" spans="1:8">
      <c r="A4177" s="317">
        <v>1609902054</v>
      </c>
      <c r="B4177" s="317" t="s">
        <v>48543</v>
      </c>
      <c r="C4177" s="330" t="s">
        <v>12215</v>
      </c>
      <c r="D4177" s="330" t="s">
        <v>12216</v>
      </c>
      <c r="E4177" s="330" t="s">
        <v>37248</v>
      </c>
      <c r="F4177" s="331">
        <v>0.21</v>
      </c>
      <c r="G4177" s="332">
        <v>339</v>
      </c>
      <c r="H4177" s="333">
        <v>411</v>
      </c>
    </row>
    <row r="4178" spans="1:8">
      <c r="A4178" s="317">
        <v>1609902055</v>
      </c>
      <c r="B4178" s="317" t="s">
        <v>48544</v>
      </c>
      <c r="C4178" s="330" t="s">
        <v>12217</v>
      </c>
      <c r="D4178" s="330" t="s">
        <v>12194</v>
      </c>
      <c r="E4178" s="330" t="s">
        <v>4634</v>
      </c>
      <c r="F4178" s="331">
        <v>0.21</v>
      </c>
      <c r="G4178" s="332">
        <v>274</v>
      </c>
      <c r="H4178" s="333">
        <v>332</v>
      </c>
    </row>
    <row r="4179" spans="1:8">
      <c r="A4179" s="317">
        <v>1609902056</v>
      </c>
      <c r="B4179" s="317" t="s">
        <v>48545</v>
      </c>
      <c r="C4179" s="330" t="s">
        <v>12218</v>
      </c>
      <c r="D4179" s="330" t="s">
        <v>12194</v>
      </c>
      <c r="E4179" s="330" t="s">
        <v>4634</v>
      </c>
      <c r="F4179" s="331">
        <v>0.21</v>
      </c>
      <c r="G4179" s="332">
        <v>274</v>
      </c>
      <c r="H4179" s="333">
        <v>332</v>
      </c>
    </row>
    <row r="4180" spans="1:8">
      <c r="A4180" s="317">
        <v>1609902057</v>
      </c>
      <c r="B4180" s="317" t="s">
        <v>48546</v>
      </c>
      <c r="C4180" s="330" t="s">
        <v>12219</v>
      </c>
      <c r="D4180" s="330" t="s">
        <v>12194</v>
      </c>
      <c r="E4180" s="330" t="s">
        <v>4634</v>
      </c>
      <c r="F4180" s="331">
        <v>0.21</v>
      </c>
      <c r="G4180" s="332">
        <v>274</v>
      </c>
      <c r="H4180" s="333">
        <v>332</v>
      </c>
    </row>
    <row r="4181" spans="1:8">
      <c r="A4181" s="317">
        <v>1609902058</v>
      </c>
      <c r="B4181" s="317" t="s">
        <v>48547</v>
      </c>
      <c r="C4181" s="330" t="s">
        <v>12220</v>
      </c>
      <c r="D4181" s="330" t="s">
        <v>12179</v>
      </c>
      <c r="E4181" s="330" t="s">
        <v>4634</v>
      </c>
      <c r="F4181" s="331">
        <v>0.21</v>
      </c>
      <c r="G4181" s="332">
        <v>274</v>
      </c>
      <c r="H4181" s="333">
        <v>332</v>
      </c>
    </row>
    <row r="4182" spans="1:8">
      <c r="A4182" s="317">
        <v>1609902059</v>
      </c>
      <c r="B4182" s="317" t="s">
        <v>48548</v>
      </c>
      <c r="C4182" s="330" t="s">
        <v>12221</v>
      </c>
      <c r="D4182" s="330" t="s">
        <v>12194</v>
      </c>
      <c r="E4182" s="330" t="s">
        <v>4634</v>
      </c>
      <c r="F4182" s="331">
        <v>0.21</v>
      </c>
      <c r="G4182" s="332">
        <v>274</v>
      </c>
      <c r="H4182" s="333">
        <v>332</v>
      </c>
    </row>
    <row r="4183" spans="1:8">
      <c r="A4183" s="317">
        <v>1609902060</v>
      </c>
      <c r="B4183" s="317" t="s">
        <v>48549</v>
      </c>
      <c r="C4183" s="330" t="s">
        <v>12222</v>
      </c>
      <c r="D4183" s="330" t="s">
        <v>12223</v>
      </c>
      <c r="E4183" s="330" t="s">
        <v>4634</v>
      </c>
      <c r="F4183" s="331">
        <v>0.21</v>
      </c>
      <c r="G4183" s="332">
        <v>180</v>
      </c>
      <c r="H4183" s="333">
        <v>218</v>
      </c>
    </row>
    <row r="4184" spans="1:8">
      <c r="A4184" s="317">
        <v>1609902061</v>
      </c>
      <c r="B4184" s="317" t="s">
        <v>48550</v>
      </c>
      <c r="C4184" s="330" t="s">
        <v>12224</v>
      </c>
      <c r="D4184" s="330" t="s">
        <v>11584</v>
      </c>
      <c r="E4184" s="330" t="s">
        <v>4634</v>
      </c>
      <c r="F4184" s="331">
        <v>0.21</v>
      </c>
      <c r="G4184" s="332">
        <v>1664</v>
      </c>
      <c r="H4184" s="333">
        <v>2014</v>
      </c>
    </row>
    <row r="4185" spans="1:8">
      <c r="A4185" s="317">
        <v>1609902062</v>
      </c>
      <c r="B4185" s="317" t="s">
        <v>48551</v>
      </c>
      <c r="C4185" s="330" t="s">
        <v>12225</v>
      </c>
      <c r="D4185" s="330" t="s">
        <v>12226</v>
      </c>
      <c r="E4185" s="330" t="s">
        <v>4634</v>
      </c>
      <c r="F4185" s="331">
        <v>0.21</v>
      </c>
      <c r="G4185" s="332">
        <v>2098</v>
      </c>
      <c r="H4185" s="333">
        <v>2539</v>
      </c>
    </row>
    <row r="4186" spans="1:8">
      <c r="A4186" s="317">
        <v>1609902063</v>
      </c>
      <c r="B4186" s="317" t="s">
        <v>48552</v>
      </c>
      <c r="C4186" s="330" t="s">
        <v>12227</v>
      </c>
      <c r="D4186" s="330" t="s">
        <v>12228</v>
      </c>
      <c r="E4186" s="330" t="s">
        <v>4634</v>
      </c>
      <c r="F4186" s="331">
        <v>0.21</v>
      </c>
      <c r="G4186" s="332">
        <v>432</v>
      </c>
      <c r="H4186" s="333">
        <v>523</v>
      </c>
    </row>
    <row r="4187" spans="1:8">
      <c r="A4187" s="317">
        <v>1609902064</v>
      </c>
      <c r="B4187" s="317" t="s">
        <v>48553</v>
      </c>
      <c r="C4187" s="330" t="s">
        <v>12229</v>
      </c>
      <c r="D4187" s="330" t="s">
        <v>12230</v>
      </c>
      <c r="E4187" s="330" t="s">
        <v>4634</v>
      </c>
      <c r="F4187" s="331">
        <v>0.21</v>
      </c>
      <c r="G4187" s="332">
        <v>372</v>
      </c>
      <c r="H4187" s="333">
        <v>451</v>
      </c>
    </row>
    <row r="4188" spans="1:8">
      <c r="A4188" s="317">
        <v>1609902065</v>
      </c>
      <c r="B4188" s="317" t="s">
        <v>48554</v>
      </c>
      <c r="C4188" s="330" t="s">
        <v>12231</v>
      </c>
      <c r="D4188" s="330" t="s">
        <v>12232</v>
      </c>
      <c r="E4188" s="330" t="s">
        <v>4634</v>
      </c>
      <c r="F4188" s="331">
        <v>0.21</v>
      </c>
      <c r="G4188" s="332">
        <v>274</v>
      </c>
      <c r="H4188" s="333">
        <v>332</v>
      </c>
    </row>
    <row r="4189" spans="1:8">
      <c r="A4189" s="317">
        <v>1609902066</v>
      </c>
      <c r="B4189" s="317" t="s">
        <v>48555</v>
      </c>
      <c r="C4189" s="330" t="s">
        <v>12233</v>
      </c>
      <c r="D4189" s="330" t="s">
        <v>12234</v>
      </c>
      <c r="E4189" s="330" t="s">
        <v>4634</v>
      </c>
      <c r="F4189" s="331">
        <v>0.21</v>
      </c>
      <c r="G4189" s="332">
        <v>1380</v>
      </c>
      <c r="H4189" s="333">
        <v>1670</v>
      </c>
    </row>
    <row r="4190" spans="1:8">
      <c r="A4190" s="317">
        <v>1609902067</v>
      </c>
      <c r="B4190" s="317" t="s">
        <v>48556</v>
      </c>
      <c r="C4190" s="330" t="s">
        <v>12235</v>
      </c>
      <c r="D4190" s="330" t="s">
        <v>12236</v>
      </c>
      <c r="E4190" s="330" t="s">
        <v>4634</v>
      </c>
      <c r="F4190" s="331">
        <v>0.21</v>
      </c>
      <c r="G4190" s="332">
        <v>274</v>
      </c>
      <c r="H4190" s="333">
        <v>332</v>
      </c>
    </row>
    <row r="4191" spans="1:8">
      <c r="A4191" s="317">
        <v>1609902068</v>
      </c>
      <c r="B4191" s="317" t="s">
        <v>48557</v>
      </c>
      <c r="C4191" s="330" t="s">
        <v>12237</v>
      </c>
      <c r="D4191" s="330" t="s">
        <v>12238</v>
      </c>
      <c r="E4191" s="330" t="s">
        <v>4634</v>
      </c>
      <c r="F4191" s="331">
        <v>0.21</v>
      </c>
      <c r="G4191" s="332">
        <v>564</v>
      </c>
      <c r="H4191" s="333">
        <v>683</v>
      </c>
    </row>
    <row r="4192" spans="1:8">
      <c r="A4192" s="317">
        <v>1609902069</v>
      </c>
      <c r="B4192" s="317" t="s">
        <v>48558</v>
      </c>
      <c r="C4192" s="330" t="s">
        <v>12239</v>
      </c>
      <c r="D4192" s="330" t="s">
        <v>12240</v>
      </c>
      <c r="E4192" s="330" t="s">
        <v>4634</v>
      </c>
      <c r="F4192" s="331">
        <v>0.21</v>
      </c>
      <c r="G4192" s="332">
        <v>432</v>
      </c>
      <c r="H4192" s="333">
        <v>523</v>
      </c>
    </row>
    <row r="4193" spans="1:8">
      <c r="A4193" s="317">
        <v>1609902070</v>
      </c>
      <c r="B4193" s="317" t="s">
        <v>48559</v>
      </c>
      <c r="C4193" s="330" t="s">
        <v>12241</v>
      </c>
      <c r="D4193" s="330" t="s">
        <v>12242</v>
      </c>
      <c r="E4193" s="330" t="s">
        <v>4634</v>
      </c>
      <c r="F4193" s="331">
        <v>0.21</v>
      </c>
      <c r="G4193" s="332">
        <v>455</v>
      </c>
      <c r="H4193" s="333">
        <v>551</v>
      </c>
    </row>
    <row r="4194" spans="1:8">
      <c r="A4194" s="317">
        <v>1609902071</v>
      </c>
      <c r="B4194" s="317" t="s">
        <v>48560</v>
      </c>
      <c r="C4194" s="330" t="s">
        <v>12243</v>
      </c>
      <c r="D4194" s="330" t="s">
        <v>12244</v>
      </c>
      <c r="E4194" s="330" t="s">
        <v>4634</v>
      </c>
      <c r="F4194" s="331">
        <v>0.21</v>
      </c>
      <c r="G4194" s="332">
        <v>820</v>
      </c>
      <c r="H4194" s="333">
        <v>993</v>
      </c>
    </row>
    <row r="4195" spans="1:8">
      <c r="A4195" s="317">
        <v>1609902073</v>
      </c>
      <c r="B4195" s="317" t="s">
        <v>48561</v>
      </c>
      <c r="C4195" s="330" t="s">
        <v>12245</v>
      </c>
      <c r="D4195" s="330" t="s">
        <v>12246</v>
      </c>
      <c r="E4195" s="330" t="s">
        <v>4634</v>
      </c>
      <c r="F4195" s="331">
        <v>0.21</v>
      </c>
      <c r="G4195" s="332">
        <v>2059</v>
      </c>
      <c r="H4195" s="333">
        <v>2492</v>
      </c>
    </row>
    <row r="4196" spans="1:8">
      <c r="A4196" s="317">
        <v>1609902074</v>
      </c>
      <c r="B4196" s="317" t="s">
        <v>48562</v>
      </c>
      <c r="C4196" s="330" t="s">
        <v>12247</v>
      </c>
      <c r="D4196" s="330" t="s">
        <v>12248</v>
      </c>
      <c r="E4196" s="330" t="s">
        <v>4634</v>
      </c>
      <c r="F4196" s="331">
        <v>0.21</v>
      </c>
      <c r="G4196" s="332">
        <v>372</v>
      </c>
      <c r="H4196" s="333">
        <v>451</v>
      </c>
    </row>
    <row r="4197" spans="1:8">
      <c r="A4197" s="317">
        <v>1609902075</v>
      </c>
      <c r="B4197" s="317" t="s">
        <v>48563</v>
      </c>
      <c r="C4197" s="330" t="s">
        <v>12249</v>
      </c>
      <c r="D4197" s="330" t="s">
        <v>12250</v>
      </c>
      <c r="E4197" s="330" t="s">
        <v>4634</v>
      </c>
      <c r="F4197" s="331">
        <v>0.21</v>
      </c>
      <c r="G4197" s="332">
        <v>7406</v>
      </c>
      <c r="H4197" s="333">
        <v>8962</v>
      </c>
    </row>
    <row r="4198" spans="1:8">
      <c r="A4198" s="317">
        <v>1609902076</v>
      </c>
      <c r="B4198" s="317" t="s">
        <v>48564</v>
      </c>
      <c r="C4198" s="330" t="s">
        <v>12251</v>
      </c>
      <c r="D4198" s="330" t="s">
        <v>12252</v>
      </c>
      <c r="E4198" s="330" t="s">
        <v>4634</v>
      </c>
      <c r="F4198" s="331">
        <v>0.21</v>
      </c>
      <c r="G4198" s="332">
        <v>85233</v>
      </c>
      <c r="H4198" s="333">
        <v>103132</v>
      </c>
    </row>
    <row r="4199" spans="1:8">
      <c r="A4199" s="317">
        <v>1609902077</v>
      </c>
      <c r="B4199" s="317" t="s">
        <v>48565</v>
      </c>
      <c r="C4199" s="330" t="s">
        <v>12253</v>
      </c>
      <c r="D4199" s="330" t="s">
        <v>12254</v>
      </c>
      <c r="E4199" s="330" t="s">
        <v>4634</v>
      </c>
      <c r="F4199" s="331">
        <v>0.21</v>
      </c>
      <c r="G4199" s="332">
        <v>2063</v>
      </c>
      <c r="H4199" s="333">
        <v>2497</v>
      </c>
    </row>
    <row r="4200" spans="1:8">
      <c r="A4200" s="317">
        <v>1609902078</v>
      </c>
      <c r="B4200" s="317" t="s">
        <v>48566</v>
      </c>
      <c r="C4200" s="330" t="s">
        <v>12255</v>
      </c>
      <c r="D4200" s="330" t="s">
        <v>12256</v>
      </c>
      <c r="E4200" s="330" t="s">
        <v>4634</v>
      </c>
      <c r="F4200" s="331">
        <v>0.21</v>
      </c>
      <c r="G4200" s="332">
        <v>7879</v>
      </c>
      <c r="H4200" s="333">
        <v>9534</v>
      </c>
    </row>
    <row r="4201" spans="1:8">
      <c r="A4201" s="317">
        <v>1609902079</v>
      </c>
      <c r="B4201" s="317" t="s">
        <v>48567</v>
      </c>
      <c r="C4201" s="330" t="s">
        <v>12257</v>
      </c>
      <c r="D4201" s="330" t="s">
        <v>11627</v>
      </c>
      <c r="E4201" s="330" t="s">
        <v>4634</v>
      </c>
      <c r="F4201" s="331">
        <v>0.21</v>
      </c>
      <c r="G4201" s="332">
        <v>1411</v>
      </c>
      <c r="H4201" s="333">
        <v>1708</v>
      </c>
    </row>
    <row r="4202" spans="1:8">
      <c r="A4202" s="317">
        <v>1609902080</v>
      </c>
      <c r="B4202" s="317" t="s">
        <v>48568</v>
      </c>
      <c r="C4202" s="330" t="s">
        <v>12258</v>
      </c>
      <c r="D4202" s="330" t="s">
        <v>11627</v>
      </c>
      <c r="E4202" s="330" t="s">
        <v>4634</v>
      </c>
      <c r="F4202" s="331">
        <v>0.21</v>
      </c>
      <c r="G4202" s="332">
        <v>1411</v>
      </c>
      <c r="H4202" s="333">
        <v>1708</v>
      </c>
    </row>
    <row r="4203" spans="1:8">
      <c r="A4203" s="317">
        <v>1609902082</v>
      </c>
      <c r="B4203" s="317" t="s">
        <v>48569</v>
      </c>
      <c r="C4203" s="330" t="s">
        <v>12259</v>
      </c>
      <c r="D4203" s="330" t="s">
        <v>12260</v>
      </c>
      <c r="E4203" s="330" t="s">
        <v>4634</v>
      </c>
      <c r="F4203" s="331">
        <v>0.21</v>
      </c>
      <c r="G4203" s="332">
        <v>372</v>
      </c>
      <c r="H4203" s="333">
        <v>451</v>
      </c>
    </row>
    <row r="4204" spans="1:8">
      <c r="A4204" s="317">
        <v>1609902099</v>
      </c>
      <c r="B4204" s="317" t="s">
        <v>48570</v>
      </c>
      <c r="C4204" s="330" t="s">
        <v>12261</v>
      </c>
      <c r="D4204" s="330" t="s">
        <v>12262</v>
      </c>
      <c r="E4204" s="330" t="s">
        <v>4634</v>
      </c>
      <c r="F4204" s="331">
        <v>0.21</v>
      </c>
      <c r="G4204" s="332">
        <v>20667</v>
      </c>
      <c r="H4204" s="333">
        <v>25008</v>
      </c>
    </row>
    <row r="4205" spans="1:8">
      <c r="A4205" s="317">
        <v>1609902100</v>
      </c>
      <c r="B4205" s="317" t="s">
        <v>48571</v>
      </c>
      <c r="C4205" s="330" t="s">
        <v>12263</v>
      </c>
      <c r="D4205" s="330" t="s">
        <v>12262</v>
      </c>
      <c r="E4205" s="330" t="s">
        <v>4819</v>
      </c>
      <c r="F4205" s="331">
        <v>0.21</v>
      </c>
      <c r="G4205" s="332">
        <v>25356</v>
      </c>
      <c r="H4205" s="333">
        <v>30681</v>
      </c>
    </row>
    <row r="4206" spans="1:8">
      <c r="A4206" s="317">
        <v>1609902102</v>
      </c>
      <c r="B4206" s="317" t="s">
        <v>48572</v>
      </c>
      <c r="C4206" s="330" t="s">
        <v>12264</v>
      </c>
      <c r="D4206" s="330" t="s">
        <v>12265</v>
      </c>
      <c r="E4206" s="330" t="s">
        <v>4634</v>
      </c>
      <c r="F4206" s="331">
        <v>0.21</v>
      </c>
      <c r="G4206" s="332">
        <v>4039</v>
      </c>
      <c r="H4206" s="333">
        <v>4888</v>
      </c>
    </row>
    <row r="4207" spans="1:8">
      <c r="A4207" s="317">
        <v>1609902103</v>
      </c>
      <c r="B4207" s="317" t="s">
        <v>48573</v>
      </c>
      <c r="C4207" s="330" t="s">
        <v>12266</v>
      </c>
      <c r="D4207" s="330" t="s">
        <v>12267</v>
      </c>
      <c r="E4207" s="330" t="s">
        <v>4634</v>
      </c>
      <c r="F4207" s="331">
        <v>0.21</v>
      </c>
      <c r="G4207" s="332">
        <v>432</v>
      </c>
      <c r="H4207" s="333">
        <v>523</v>
      </c>
    </row>
    <row r="4208" spans="1:8">
      <c r="A4208" s="317">
        <v>1609902108</v>
      </c>
      <c r="B4208" s="317" t="s">
        <v>48574</v>
      </c>
      <c r="C4208" s="330" t="s">
        <v>12268</v>
      </c>
      <c r="D4208" s="330" t="s">
        <v>12269</v>
      </c>
      <c r="E4208" s="330" t="s">
        <v>4634</v>
      </c>
      <c r="F4208" s="331">
        <v>0.21</v>
      </c>
      <c r="G4208" s="332">
        <v>274</v>
      </c>
      <c r="H4208" s="333">
        <v>332</v>
      </c>
    </row>
    <row r="4209" spans="1:8">
      <c r="A4209" s="317">
        <v>1609902111</v>
      </c>
      <c r="B4209" s="317" t="s">
        <v>48575</v>
      </c>
      <c r="C4209" s="330" t="s">
        <v>12270</v>
      </c>
      <c r="D4209" s="330" t="s">
        <v>12271</v>
      </c>
      <c r="E4209" s="330" t="s">
        <v>4634</v>
      </c>
      <c r="F4209" s="331">
        <v>0.21</v>
      </c>
      <c r="G4209" s="332">
        <v>387</v>
      </c>
      <c r="H4209" s="333">
        <v>469</v>
      </c>
    </row>
    <row r="4210" spans="1:8">
      <c r="A4210" s="317">
        <v>1609902112</v>
      </c>
      <c r="B4210" s="317" t="s">
        <v>48576</v>
      </c>
      <c r="C4210" s="330" t="s">
        <v>12272</v>
      </c>
      <c r="D4210" s="330" t="s">
        <v>12273</v>
      </c>
      <c r="E4210" s="330" t="s">
        <v>4634</v>
      </c>
      <c r="F4210" s="331">
        <v>0.21</v>
      </c>
      <c r="G4210" s="332">
        <v>274</v>
      </c>
      <c r="H4210" s="333">
        <v>332</v>
      </c>
    </row>
    <row r="4211" spans="1:8">
      <c r="A4211" s="317">
        <v>1609902114</v>
      </c>
      <c r="B4211" s="317" t="s">
        <v>48577</v>
      </c>
      <c r="C4211" s="330" t="s">
        <v>12274</v>
      </c>
      <c r="D4211" s="330" t="s">
        <v>12275</v>
      </c>
      <c r="E4211" s="330" t="s">
        <v>4634</v>
      </c>
      <c r="F4211" s="331">
        <v>0.21</v>
      </c>
      <c r="G4211" s="332">
        <v>35855</v>
      </c>
      <c r="H4211" s="333">
        <v>43385</v>
      </c>
    </row>
    <row r="4212" spans="1:8">
      <c r="A4212" s="317">
        <v>1609902177</v>
      </c>
      <c r="B4212" s="317" t="s">
        <v>48578</v>
      </c>
      <c r="C4212" s="330" t="s">
        <v>12276</v>
      </c>
      <c r="D4212" s="330" t="s">
        <v>12277</v>
      </c>
      <c r="E4212" s="330" t="s">
        <v>4634</v>
      </c>
      <c r="F4212" s="331">
        <v>0.21</v>
      </c>
      <c r="G4212" s="332">
        <v>564</v>
      </c>
      <c r="H4212" s="333">
        <v>683</v>
      </c>
    </row>
    <row r="4213" spans="1:8">
      <c r="A4213" s="317">
        <v>1609902178</v>
      </c>
      <c r="B4213" s="317" t="s">
        <v>48579</v>
      </c>
      <c r="C4213" s="330" t="s">
        <v>12278</v>
      </c>
      <c r="D4213" s="330" t="s">
        <v>12279</v>
      </c>
      <c r="E4213" s="330" t="s">
        <v>4634</v>
      </c>
      <c r="F4213" s="331">
        <v>0.21</v>
      </c>
      <c r="G4213" s="332">
        <v>4695</v>
      </c>
      <c r="H4213" s="333">
        <v>5681</v>
      </c>
    </row>
    <row r="4214" spans="1:8">
      <c r="A4214" s="317">
        <v>1609902199</v>
      </c>
      <c r="B4214" s="317" t="s">
        <v>48580</v>
      </c>
      <c r="C4214" s="330" t="s">
        <v>12280</v>
      </c>
      <c r="D4214" s="330" t="s">
        <v>12281</v>
      </c>
      <c r="E4214" s="330" t="s">
        <v>37248</v>
      </c>
      <c r="F4214" s="331">
        <v>0.21</v>
      </c>
      <c r="G4214" s="332">
        <v>2612</v>
      </c>
      <c r="H4214" s="333">
        <v>3161</v>
      </c>
    </row>
    <row r="4215" spans="1:8">
      <c r="A4215" s="317">
        <v>1609902323</v>
      </c>
      <c r="B4215" s="317" t="s">
        <v>48581</v>
      </c>
      <c r="C4215" s="330" t="s">
        <v>12282</v>
      </c>
      <c r="D4215" s="330" t="s">
        <v>12283</v>
      </c>
      <c r="E4215" s="330" t="s">
        <v>4634</v>
      </c>
      <c r="F4215" s="331">
        <v>0.21</v>
      </c>
      <c r="G4215" s="332">
        <v>14832</v>
      </c>
      <c r="H4215" s="333">
        <v>17947</v>
      </c>
    </row>
    <row r="4216" spans="1:8">
      <c r="A4216" s="317">
        <v>1609902368</v>
      </c>
      <c r="B4216" s="317" t="s">
        <v>48582</v>
      </c>
      <c r="C4216" s="330" t="s">
        <v>12284</v>
      </c>
      <c r="D4216" s="330" t="s">
        <v>12285</v>
      </c>
      <c r="E4216" s="330" t="s">
        <v>4634</v>
      </c>
      <c r="F4216" s="331">
        <v>0.21</v>
      </c>
      <c r="G4216" s="332">
        <v>3696</v>
      </c>
      <c r="H4216" s="333">
        <v>4473</v>
      </c>
    </row>
    <row r="4217" spans="1:8">
      <c r="A4217" s="317">
        <v>1609902369</v>
      </c>
      <c r="B4217" s="317" t="s">
        <v>48583</v>
      </c>
      <c r="C4217" s="330" t="s">
        <v>12286</v>
      </c>
      <c r="D4217" s="330" t="s">
        <v>12285</v>
      </c>
      <c r="E4217" s="330" t="s">
        <v>4623</v>
      </c>
      <c r="F4217" s="331">
        <v>0.21</v>
      </c>
      <c r="G4217" s="332">
        <v>14151</v>
      </c>
      <c r="H4217" s="333">
        <v>17123</v>
      </c>
    </row>
    <row r="4218" spans="1:8">
      <c r="A4218" s="317">
        <v>1609902377</v>
      </c>
      <c r="B4218" s="317" t="s">
        <v>48584</v>
      </c>
      <c r="C4218" s="330" t="s">
        <v>12287</v>
      </c>
      <c r="D4218" s="330" t="s">
        <v>12288</v>
      </c>
      <c r="E4218" s="330" t="s">
        <v>4634</v>
      </c>
      <c r="F4218" s="331">
        <v>0.21</v>
      </c>
      <c r="G4218" s="332">
        <v>564</v>
      </c>
      <c r="H4218" s="333">
        <v>683</v>
      </c>
    </row>
    <row r="4219" spans="1:8">
      <c r="A4219" s="317">
        <v>1609902392</v>
      </c>
      <c r="B4219" s="317" t="s">
        <v>48585</v>
      </c>
      <c r="C4219" s="330" t="s">
        <v>12289</v>
      </c>
      <c r="D4219" s="330" t="s">
        <v>12290</v>
      </c>
      <c r="E4219" s="330" t="s">
        <v>4634</v>
      </c>
      <c r="F4219" s="331">
        <v>0.21</v>
      </c>
      <c r="G4219" s="332">
        <v>648</v>
      </c>
      <c r="H4219" s="333">
        <v>785</v>
      </c>
    </row>
    <row r="4220" spans="1:8">
      <c r="A4220" s="317">
        <v>1609902393</v>
      </c>
      <c r="B4220" s="317" t="s">
        <v>48586</v>
      </c>
      <c r="C4220" s="330" t="s">
        <v>12291</v>
      </c>
      <c r="D4220" s="330" t="s">
        <v>12292</v>
      </c>
      <c r="E4220" s="330" t="s">
        <v>4634</v>
      </c>
      <c r="F4220" s="331">
        <v>0.21</v>
      </c>
      <c r="G4220" s="332">
        <v>5819</v>
      </c>
      <c r="H4220" s="333">
        <v>7041</v>
      </c>
    </row>
    <row r="4221" spans="1:8">
      <c r="A4221" s="317">
        <v>1609902447</v>
      </c>
      <c r="B4221" s="317" t="s">
        <v>48587</v>
      </c>
      <c r="C4221" s="330" t="s">
        <v>12293</v>
      </c>
      <c r="D4221" s="330" t="s">
        <v>12232</v>
      </c>
      <c r="E4221" s="330" t="s">
        <v>4634</v>
      </c>
      <c r="F4221" s="331">
        <v>0.21</v>
      </c>
      <c r="G4221" s="332">
        <v>274</v>
      </c>
      <c r="H4221" s="333">
        <v>332</v>
      </c>
    </row>
    <row r="4222" spans="1:8">
      <c r="A4222" s="317">
        <v>1609902474</v>
      </c>
      <c r="B4222" s="317" t="s">
        <v>48588</v>
      </c>
      <c r="C4222" s="330" t="s">
        <v>12294</v>
      </c>
      <c r="D4222" s="330" t="s">
        <v>11532</v>
      </c>
      <c r="E4222" s="330" t="s">
        <v>4634</v>
      </c>
      <c r="F4222" s="331">
        <v>0.21</v>
      </c>
      <c r="G4222" s="332">
        <v>274</v>
      </c>
      <c r="H4222" s="333">
        <v>332</v>
      </c>
    </row>
    <row r="4223" spans="1:8">
      <c r="A4223" s="317">
        <v>1609902475</v>
      </c>
      <c r="B4223" s="317" t="s">
        <v>48589</v>
      </c>
      <c r="C4223" s="330" t="s">
        <v>12295</v>
      </c>
      <c r="D4223" s="330" t="s">
        <v>12296</v>
      </c>
      <c r="E4223" s="330" t="s">
        <v>4634</v>
      </c>
      <c r="F4223" s="331">
        <v>0.21</v>
      </c>
      <c r="G4223" s="332">
        <v>432</v>
      </c>
      <c r="H4223" s="333">
        <v>523</v>
      </c>
    </row>
    <row r="4224" spans="1:8">
      <c r="A4224" s="317">
        <v>1609902476</v>
      </c>
      <c r="B4224" s="317" t="s">
        <v>48590</v>
      </c>
      <c r="C4224" s="330" t="s">
        <v>12297</v>
      </c>
      <c r="D4224" s="330" t="s">
        <v>12298</v>
      </c>
      <c r="E4224" s="330" t="s">
        <v>4634</v>
      </c>
      <c r="F4224" s="331">
        <v>0.21</v>
      </c>
      <c r="G4224" s="332">
        <v>2059</v>
      </c>
      <c r="H4224" s="333">
        <v>2492</v>
      </c>
    </row>
    <row r="4225" spans="1:8">
      <c r="A4225" s="317">
        <v>1609902477</v>
      </c>
      <c r="B4225" s="317" t="s">
        <v>48591</v>
      </c>
      <c r="C4225" s="330" t="s">
        <v>12299</v>
      </c>
      <c r="D4225" s="330" t="s">
        <v>12300</v>
      </c>
      <c r="E4225" s="330" t="s">
        <v>4634</v>
      </c>
      <c r="F4225" s="331">
        <v>0.21</v>
      </c>
      <c r="G4225" s="332">
        <v>274</v>
      </c>
      <c r="H4225" s="333">
        <v>332</v>
      </c>
    </row>
    <row r="4226" spans="1:8">
      <c r="A4226" s="317">
        <v>1609902478</v>
      </c>
      <c r="B4226" s="317" t="s">
        <v>48592</v>
      </c>
      <c r="C4226" s="330" t="s">
        <v>12301</v>
      </c>
      <c r="D4226" s="330" t="s">
        <v>12302</v>
      </c>
      <c r="E4226" s="330" t="s">
        <v>4634</v>
      </c>
      <c r="F4226" s="331">
        <v>0.21</v>
      </c>
      <c r="G4226" s="332">
        <v>1851</v>
      </c>
      <c r="H4226" s="333">
        <v>2240</v>
      </c>
    </row>
    <row r="4227" spans="1:8">
      <c r="A4227" s="317">
        <v>1609902531</v>
      </c>
      <c r="B4227" s="317" t="s">
        <v>48593</v>
      </c>
      <c r="C4227" s="330" t="s">
        <v>12303</v>
      </c>
      <c r="D4227" s="330" t="s">
        <v>12304</v>
      </c>
      <c r="E4227" s="330" t="s">
        <v>4634</v>
      </c>
      <c r="F4227" s="331">
        <v>0.21</v>
      </c>
      <c r="G4227" s="332">
        <v>17497</v>
      </c>
      <c r="H4227" s="333">
        <v>21172</v>
      </c>
    </row>
    <row r="4228" spans="1:8">
      <c r="A4228" s="317">
        <v>1609902550</v>
      </c>
      <c r="B4228" s="317" t="s">
        <v>48594</v>
      </c>
      <c r="C4228" s="330" t="s">
        <v>12305</v>
      </c>
      <c r="D4228" s="330" t="s">
        <v>12306</v>
      </c>
      <c r="E4228" s="330" t="s">
        <v>4634</v>
      </c>
      <c r="F4228" s="331">
        <v>0.21</v>
      </c>
      <c r="G4228" s="332">
        <v>711</v>
      </c>
      <c r="H4228" s="333">
        <v>861</v>
      </c>
    </row>
    <row r="4229" spans="1:8">
      <c r="A4229" s="317">
        <v>1609902551</v>
      </c>
      <c r="B4229" s="317" t="s">
        <v>48595</v>
      </c>
      <c r="C4229" s="330" t="s">
        <v>12307</v>
      </c>
      <c r="D4229" s="330" t="s">
        <v>12306</v>
      </c>
      <c r="E4229" s="330" t="s">
        <v>4634</v>
      </c>
      <c r="F4229" s="331">
        <v>0.21</v>
      </c>
      <c r="G4229" s="332">
        <v>7270</v>
      </c>
      <c r="H4229" s="333">
        <v>8797</v>
      </c>
    </row>
    <row r="4230" spans="1:8">
      <c r="A4230" s="317">
        <v>1609902582</v>
      </c>
      <c r="B4230" s="317" t="s">
        <v>48596</v>
      </c>
      <c r="C4230" s="330" t="s">
        <v>12308</v>
      </c>
      <c r="D4230" s="330" t="s">
        <v>12300</v>
      </c>
      <c r="E4230" s="330" t="s">
        <v>4634</v>
      </c>
      <c r="F4230" s="331">
        <v>0.21</v>
      </c>
      <c r="G4230" s="332">
        <v>274</v>
      </c>
      <c r="H4230" s="333">
        <v>332</v>
      </c>
    </row>
    <row r="4231" spans="1:8">
      <c r="A4231" s="317">
        <v>1609902584</v>
      </c>
      <c r="B4231" s="317" t="s">
        <v>48597</v>
      </c>
      <c r="C4231" s="330" t="s">
        <v>12309</v>
      </c>
      <c r="D4231" s="330" t="s">
        <v>12310</v>
      </c>
      <c r="E4231" s="330" t="s">
        <v>4634</v>
      </c>
      <c r="F4231" s="331">
        <v>0.21</v>
      </c>
      <c r="G4231" s="332">
        <v>455</v>
      </c>
      <c r="H4231" s="333">
        <v>551</v>
      </c>
    </row>
    <row r="4232" spans="1:8">
      <c r="A4232" s="317">
        <v>1609902585</v>
      </c>
      <c r="B4232" s="317" t="s">
        <v>48598</v>
      </c>
      <c r="C4232" s="330" t="s">
        <v>12311</v>
      </c>
      <c r="D4232" s="330" t="s">
        <v>12312</v>
      </c>
      <c r="E4232" s="330" t="s">
        <v>4634</v>
      </c>
      <c r="F4232" s="331">
        <v>0.21</v>
      </c>
      <c r="G4232" s="332">
        <v>791</v>
      </c>
      <c r="H4232" s="333">
        <v>958</v>
      </c>
    </row>
    <row r="4233" spans="1:8">
      <c r="A4233" s="317">
        <v>1609902586</v>
      </c>
      <c r="B4233" s="317" t="s">
        <v>48599</v>
      </c>
      <c r="C4233" s="330" t="s">
        <v>12313</v>
      </c>
      <c r="D4233" s="330" t="s">
        <v>12310</v>
      </c>
      <c r="E4233" s="330" t="s">
        <v>4634</v>
      </c>
      <c r="F4233" s="331">
        <v>0.21</v>
      </c>
      <c r="G4233" s="332">
        <v>1126</v>
      </c>
      <c r="H4233" s="333">
        <v>1363</v>
      </c>
    </row>
    <row r="4234" spans="1:8">
      <c r="A4234" s="317">
        <v>1609902588</v>
      </c>
      <c r="B4234" s="317" t="s">
        <v>48600</v>
      </c>
      <c r="C4234" s="330" t="s">
        <v>12314</v>
      </c>
      <c r="D4234" s="330" t="s">
        <v>11528</v>
      </c>
      <c r="E4234" s="330" t="s">
        <v>4634</v>
      </c>
      <c r="F4234" s="331">
        <v>0.21</v>
      </c>
      <c r="G4234" s="332">
        <v>274</v>
      </c>
      <c r="H4234" s="333">
        <v>332</v>
      </c>
    </row>
    <row r="4235" spans="1:8">
      <c r="A4235" s="317">
        <v>1609902594</v>
      </c>
      <c r="B4235" s="317" t="s">
        <v>48601</v>
      </c>
      <c r="C4235" s="330" t="s">
        <v>12315</v>
      </c>
      <c r="D4235" s="330" t="s">
        <v>12316</v>
      </c>
      <c r="E4235" s="330" t="s">
        <v>4634</v>
      </c>
      <c r="F4235" s="331">
        <v>0.21</v>
      </c>
      <c r="G4235" s="332">
        <v>274</v>
      </c>
      <c r="H4235" s="333">
        <v>332</v>
      </c>
    </row>
    <row r="4236" spans="1:8">
      <c r="A4236" s="317">
        <v>1609902596</v>
      </c>
      <c r="B4236" s="317" t="s">
        <v>48602</v>
      </c>
      <c r="C4236" s="330" t="s">
        <v>12317</v>
      </c>
      <c r="D4236" s="330" t="s">
        <v>12318</v>
      </c>
      <c r="E4236" s="330" t="s">
        <v>4634</v>
      </c>
      <c r="F4236" s="331">
        <v>0.21</v>
      </c>
      <c r="G4236" s="332">
        <v>79292</v>
      </c>
      <c r="H4236" s="333">
        <v>95944</v>
      </c>
    </row>
    <row r="4237" spans="1:8">
      <c r="A4237" s="317">
        <v>1609902600</v>
      </c>
      <c r="B4237" s="317" t="s">
        <v>48603</v>
      </c>
      <c r="C4237" s="330" t="s">
        <v>12319</v>
      </c>
      <c r="D4237" s="330" t="s">
        <v>12320</v>
      </c>
      <c r="E4237" s="330" t="s">
        <v>4634</v>
      </c>
      <c r="F4237" s="331">
        <v>0.21</v>
      </c>
      <c r="G4237" s="332">
        <v>1798</v>
      </c>
      <c r="H4237" s="333">
        <v>2176</v>
      </c>
    </row>
    <row r="4238" spans="1:8">
      <c r="A4238" s="317">
        <v>1609902604</v>
      </c>
      <c r="B4238" s="317" t="s">
        <v>48604</v>
      </c>
      <c r="C4238" s="330" t="s">
        <v>12321</v>
      </c>
      <c r="D4238" s="330" t="s">
        <v>12322</v>
      </c>
      <c r="E4238" s="330" t="s">
        <v>4634</v>
      </c>
      <c r="F4238" s="331">
        <v>0.21</v>
      </c>
      <c r="G4238" s="332">
        <v>16364</v>
      </c>
      <c r="H4238" s="333">
        <v>19801</v>
      </c>
    </row>
    <row r="4239" spans="1:8">
      <c r="A4239" s="317">
        <v>1609902605</v>
      </c>
      <c r="B4239" s="317" t="s">
        <v>48605</v>
      </c>
      <c r="C4239" s="330" t="s">
        <v>12323</v>
      </c>
      <c r="D4239" s="330" t="s">
        <v>12324</v>
      </c>
      <c r="E4239" s="330" t="s">
        <v>4634</v>
      </c>
      <c r="F4239" s="331">
        <v>0.21</v>
      </c>
      <c r="G4239" s="332">
        <v>36879</v>
      </c>
      <c r="H4239" s="333">
        <v>44624</v>
      </c>
    </row>
    <row r="4240" spans="1:8">
      <c r="A4240" s="317">
        <v>1609902606</v>
      </c>
      <c r="B4240" s="317" t="s">
        <v>48606</v>
      </c>
      <c r="C4240" s="330" t="s">
        <v>12325</v>
      </c>
      <c r="D4240" s="330" t="s">
        <v>12326</v>
      </c>
      <c r="E4240" s="330" t="s">
        <v>37248</v>
      </c>
      <c r="F4240" s="331">
        <v>0.21</v>
      </c>
      <c r="G4240" s="332">
        <v>52741</v>
      </c>
      <c r="H4240" s="333">
        <v>63817</v>
      </c>
    </row>
    <row r="4241" spans="1:8">
      <c r="A4241" s="317">
        <v>1609902607</v>
      </c>
      <c r="B4241" s="317" t="s">
        <v>48607</v>
      </c>
      <c r="C4241" s="330" t="s">
        <v>12327</v>
      </c>
      <c r="D4241" s="330" t="s">
        <v>12328</v>
      </c>
      <c r="E4241" s="330" t="s">
        <v>4634</v>
      </c>
      <c r="F4241" s="331">
        <v>0.21</v>
      </c>
      <c r="G4241" s="332">
        <v>17669</v>
      </c>
      <c r="H4241" s="333">
        <v>21380</v>
      </c>
    </row>
    <row r="4242" spans="1:8">
      <c r="A4242" s="317">
        <v>1609902608</v>
      </c>
      <c r="B4242" s="317" t="s">
        <v>48608</v>
      </c>
      <c r="C4242" s="330" t="s">
        <v>12329</v>
      </c>
      <c r="D4242" s="330" t="s">
        <v>12328</v>
      </c>
      <c r="E4242" s="330" t="s">
        <v>4634</v>
      </c>
      <c r="F4242" s="331">
        <v>0.21</v>
      </c>
      <c r="G4242" s="332">
        <v>8918</v>
      </c>
      <c r="H4242" s="333">
        <v>10791</v>
      </c>
    </row>
    <row r="4243" spans="1:8">
      <c r="A4243" s="317">
        <v>1609902609</v>
      </c>
      <c r="B4243" s="317" t="s">
        <v>48609</v>
      </c>
      <c r="C4243" s="330" t="s">
        <v>12330</v>
      </c>
      <c r="D4243" s="330" t="s">
        <v>12331</v>
      </c>
      <c r="E4243" s="330" t="s">
        <v>4634</v>
      </c>
      <c r="F4243" s="331">
        <v>0.21</v>
      </c>
      <c r="G4243" s="332">
        <v>4349</v>
      </c>
      <c r="H4243" s="333">
        <v>5263</v>
      </c>
    </row>
    <row r="4244" spans="1:8">
      <c r="A4244" s="317">
        <v>1609902610</v>
      </c>
      <c r="B4244" s="317" t="s">
        <v>48610</v>
      </c>
      <c r="C4244" s="330" t="s">
        <v>12332</v>
      </c>
      <c r="D4244" s="330" t="s">
        <v>12333</v>
      </c>
      <c r="E4244" s="330" t="s">
        <v>4634</v>
      </c>
      <c r="F4244" s="331">
        <v>0.21</v>
      </c>
      <c r="G4244" s="332">
        <v>1547</v>
      </c>
      <c r="H4244" s="333">
        <v>1872</v>
      </c>
    </row>
    <row r="4245" spans="1:8">
      <c r="A4245" s="317">
        <v>1609902612</v>
      </c>
      <c r="B4245" s="317" t="s">
        <v>48611</v>
      </c>
      <c r="C4245" s="330" t="s">
        <v>12334</v>
      </c>
      <c r="D4245" s="330" t="s">
        <v>12335</v>
      </c>
      <c r="E4245" s="330" t="s">
        <v>4634</v>
      </c>
      <c r="F4245" s="331">
        <v>0.21</v>
      </c>
      <c r="G4245" s="332">
        <v>32555</v>
      </c>
      <c r="H4245" s="333">
        <v>39392</v>
      </c>
    </row>
    <row r="4246" spans="1:8">
      <c r="A4246" s="317">
        <v>1609902613</v>
      </c>
      <c r="B4246" s="317" t="s">
        <v>48612</v>
      </c>
      <c r="C4246" s="330" t="s">
        <v>12336</v>
      </c>
      <c r="D4246" s="330" t="s">
        <v>12337</v>
      </c>
      <c r="E4246" s="330" t="s">
        <v>4634</v>
      </c>
      <c r="F4246" s="331">
        <v>0.21</v>
      </c>
      <c r="G4246" s="332">
        <v>2417</v>
      </c>
      <c r="H4246" s="333">
        <v>2925</v>
      </c>
    </row>
    <row r="4247" spans="1:8">
      <c r="A4247" s="317">
        <v>1609902619</v>
      </c>
      <c r="B4247" s="317" t="s">
        <v>48613</v>
      </c>
      <c r="C4247" s="330" t="s">
        <v>12338</v>
      </c>
      <c r="D4247" s="330" t="s">
        <v>12339</v>
      </c>
      <c r="E4247" s="330" t="s">
        <v>4634</v>
      </c>
      <c r="F4247" s="331">
        <v>0.21</v>
      </c>
      <c r="G4247" s="332">
        <v>19217</v>
      </c>
      <c r="H4247" s="333">
        <v>23253</v>
      </c>
    </row>
    <row r="4248" spans="1:8">
      <c r="A4248" s="317">
        <v>1609902622</v>
      </c>
      <c r="B4248" s="317" t="s">
        <v>48614</v>
      </c>
      <c r="C4248" s="330" t="s">
        <v>12340</v>
      </c>
      <c r="D4248" s="330" t="s">
        <v>12341</v>
      </c>
      <c r="E4248" s="330" t="s">
        <v>4634</v>
      </c>
      <c r="F4248" s="331">
        <v>0.21</v>
      </c>
      <c r="G4248" s="332">
        <v>52472</v>
      </c>
      <c r="H4248" s="333">
        <v>63492</v>
      </c>
    </row>
    <row r="4249" spans="1:8">
      <c r="A4249" s="317">
        <v>1609902624</v>
      </c>
      <c r="B4249" s="317" t="s">
        <v>48615</v>
      </c>
      <c r="C4249" s="330" t="s">
        <v>12342</v>
      </c>
      <c r="D4249" s="330" t="s">
        <v>12343</v>
      </c>
      <c r="E4249" s="330" t="s">
        <v>4634</v>
      </c>
      <c r="F4249" s="331">
        <v>0.21</v>
      </c>
      <c r="G4249" s="332">
        <v>928</v>
      </c>
      <c r="H4249" s="333">
        <v>1123</v>
      </c>
    </row>
    <row r="4250" spans="1:8">
      <c r="A4250" s="317">
        <v>1609902639</v>
      </c>
      <c r="B4250" s="317" t="s">
        <v>48616</v>
      </c>
      <c r="C4250" s="330" t="s">
        <v>12344</v>
      </c>
      <c r="D4250" s="330" t="s">
        <v>12343</v>
      </c>
      <c r="E4250" s="330" t="s">
        <v>4634</v>
      </c>
      <c r="F4250" s="331">
        <v>0.21</v>
      </c>
      <c r="G4250" s="332">
        <v>2417</v>
      </c>
      <c r="H4250" s="333">
        <v>2925</v>
      </c>
    </row>
    <row r="4251" spans="1:8">
      <c r="A4251" s="317">
        <v>1609902655</v>
      </c>
      <c r="B4251" s="317" t="s">
        <v>48617</v>
      </c>
      <c r="C4251" s="330" t="s">
        <v>12345</v>
      </c>
      <c r="D4251" s="330" t="s">
        <v>12232</v>
      </c>
      <c r="E4251" s="330" t="s">
        <v>4634</v>
      </c>
      <c r="F4251" s="331">
        <v>0.21</v>
      </c>
      <c r="G4251" s="332">
        <v>455</v>
      </c>
      <c r="H4251" s="333">
        <v>551</v>
      </c>
    </row>
    <row r="4252" spans="1:8">
      <c r="A4252" s="317">
        <v>1609902666</v>
      </c>
      <c r="B4252" s="317" t="s">
        <v>48618</v>
      </c>
      <c r="C4252" s="330" t="s">
        <v>12346</v>
      </c>
      <c r="D4252" s="330" t="s">
        <v>12337</v>
      </c>
      <c r="E4252" s="330" t="s">
        <v>4634</v>
      </c>
      <c r="F4252" s="331">
        <v>0.21</v>
      </c>
      <c r="G4252" s="332">
        <v>3127</v>
      </c>
      <c r="H4252" s="333">
        <v>3784</v>
      </c>
    </row>
    <row r="4253" spans="1:8">
      <c r="A4253" s="317">
        <v>1609902668</v>
      </c>
      <c r="B4253" s="317" t="s">
        <v>48619</v>
      </c>
      <c r="C4253" s="330" t="s">
        <v>12347</v>
      </c>
      <c r="D4253" s="330" t="s">
        <v>12348</v>
      </c>
      <c r="E4253" s="330" t="s">
        <v>4634</v>
      </c>
      <c r="F4253" s="331">
        <v>0.21</v>
      </c>
      <c r="G4253" s="332">
        <v>432</v>
      </c>
      <c r="H4253" s="333">
        <v>523</v>
      </c>
    </row>
    <row r="4254" spans="1:8">
      <c r="A4254" s="317">
        <v>1609902669</v>
      </c>
      <c r="B4254" s="317" t="s">
        <v>48620</v>
      </c>
      <c r="C4254" s="330" t="s">
        <v>12349</v>
      </c>
      <c r="D4254" s="330" t="s">
        <v>12350</v>
      </c>
      <c r="E4254" s="330" t="s">
        <v>4634</v>
      </c>
      <c r="F4254" s="331">
        <v>0.21</v>
      </c>
      <c r="G4254" s="332">
        <v>274</v>
      </c>
      <c r="H4254" s="333">
        <v>332</v>
      </c>
    </row>
    <row r="4255" spans="1:8">
      <c r="A4255" s="317">
        <v>1609902670</v>
      </c>
      <c r="B4255" s="317" t="s">
        <v>48621</v>
      </c>
      <c r="C4255" s="330" t="s">
        <v>12351</v>
      </c>
      <c r="D4255" s="330" t="s">
        <v>12232</v>
      </c>
      <c r="E4255" s="330" t="s">
        <v>37248</v>
      </c>
      <c r="F4255" s="331">
        <v>0.21</v>
      </c>
      <c r="G4255" s="332">
        <v>339</v>
      </c>
      <c r="H4255" s="333">
        <v>411</v>
      </c>
    </row>
    <row r="4256" spans="1:8">
      <c r="A4256" s="317">
        <v>1609902672</v>
      </c>
      <c r="B4256" s="317" t="s">
        <v>48622</v>
      </c>
      <c r="C4256" s="330" t="s">
        <v>12352</v>
      </c>
      <c r="D4256" s="330" t="s">
        <v>12353</v>
      </c>
      <c r="E4256" s="330" t="s">
        <v>4634</v>
      </c>
      <c r="F4256" s="331">
        <v>0.21</v>
      </c>
      <c r="G4256" s="332">
        <v>274</v>
      </c>
      <c r="H4256" s="333">
        <v>332</v>
      </c>
    </row>
    <row r="4257" spans="1:8">
      <c r="A4257" s="317">
        <v>1609902684</v>
      </c>
      <c r="B4257" s="317" t="s">
        <v>48623</v>
      </c>
      <c r="C4257" s="330" t="s">
        <v>12354</v>
      </c>
      <c r="D4257" s="330" t="s">
        <v>12355</v>
      </c>
      <c r="E4257" s="330" t="s">
        <v>37248</v>
      </c>
      <c r="F4257" s="331">
        <v>0.21</v>
      </c>
      <c r="G4257" s="332">
        <v>396</v>
      </c>
      <c r="H4257" s="333">
        <v>480</v>
      </c>
    </row>
    <row r="4258" spans="1:8">
      <c r="A4258" s="317">
        <v>1609902685</v>
      </c>
      <c r="B4258" s="317" t="s">
        <v>48624</v>
      </c>
      <c r="C4258" s="330" t="s">
        <v>12356</v>
      </c>
      <c r="D4258" s="330" t="s">
        <v>12357</v>
      </c>
      <c r="E4258" s="330" t="s">
        <v>4634</v>
      </c>
      <c r="F4258" s="331">
        <v>0.21</v>
      </c>
      <c r="G4258" s="332">
        <v>791</v>
      </c>
      <c r="H4258" s="333">
        <v>958</v>
      </c>
    </row>
    <row r="4259" spans="1:8">
      <c r="A4259" s="317">
        <v>1609902686</v>
      </c>
      <c r="B4259" s="317" t="s">
        <v>48625</v>
      </c>
      <c r="C4259" s="330" t="s">
        <v>12358</v>
      </c>
      <c r="D4259" s="330" t="s">
        <v>12232</v>
      </c>
      <c r="E4259" s="330" t="s">
        <v>4634</v>
      </c>
      <c r="F4259" s="331">
        <v>0.21</v>
      </c>
      <c r="G4259" s="332">
        <v>678</v>
      </c>
      <c r="H4259" s="333">
        <v>821</v>
      </c>
    </row>
    <row r="4260" spans="1:8">
      <c r="A4260" s="317">
        <v>1609902688</v>
      </c>
      <c r="B4260" s="317" t="s">
        <v>48626</v>
      </c>
      <c r="C4260" s="330" t="s">
        <v>12359</v>
      </c>
      <c r="D4260" s="330" t="s">
        <v>12348</v>
      </c>
      <c r="E4260" s="330" t="s">
        <v>4634</v>
      </c>
      <c r="F4260" s="331">
        <v>0.21</v>
      </c>
      <c r="G4260" s="332">
        <v>432</v>
      </c>
      <c r="H4260" s="333">
        <v>523</v>
      </c>
    </row>
    <row r="4261" spans="1:8">
      <c r="A4261" s="317">
        <v>1609902689</v>
      </c>
      <c r="B4261" s="317" t="s">
        <v>48627</v>
      </c>
      <c r="C4261" s="330" t="s">
        <v>12360</v>
      </c>
      <c r="D4261" s="330" t="s">
        <v>12242</v>
      </c>
      <c r="E4261" s="330" t="s">
        <v>4634</v>
      </c>
      <c r="F4261" s="331">
        <v>0.21</v>
      </c>
      <c r="G4261" s="332">
        <v>274</v>
      </c>
      <c r="H4261" s="333">
        <v>332</v>
      </c>
    </row>
    <row r="4262" spans="1:8">
      <c r="A4262" s="317">
        <v>1609902690</v>
      </c>
      <c r="B4262" s="317" t="s">
        <v>48628</v>
      </c>
      <c r="C4262" s="330" t="s">
        <v>12361</v>
      </c>
      <c r="D4262" s="330" t="s">
        <v>12362</v>
      </c>
      <c r="E4262" s="330" t="s">
        <v>4634</v>
      </c>
      <c r="F4262" s="331">
        <v>0.21</v>
      </c>
      <c r="G4262" s="332">
        <v>2299</v>
      </c>
      <c r="H4262" s="333">
        <v>2782</v>
      </c>
    </row>
    <row r="4263" spans="1:8">
      <c r="A4263" s="317">
        <v>1609902696</v>
      </c>
      <c r="B4263" s="317" t="s">
        <v>48629</v>
      </c>
      <c r="C4263" s="330" t="s">
        <v>12363</v>
      </c>
      <c r="D4263" s="330" t="s">
        <v>11698</v>
      </c>
      <c r="E4263" s="330" t="s">
        <v>4634</v>
      </c>
      <c r="F4263" s="331">
        <v>0.21</v>
      </c>
      <c r="G4263" s="332">
        <v>274</v>
      </c>
      <c r="H4263" s="333">
        <v>332</v>
      </c>
    </row>
    <row r="4264" spans="1:8">
      <c r="A4264" s="317">
        <v>1609902697</v>
      </c>
      <c r="B4264" s="317" t="s">
        <v>48630</v>
      </c>
      <c r="C4264" s="330" t="s">
        <v>12364</v>
      </c>
      <c r="D4264" s="330" t="s">
        <v>11698</v>
      </c>
      <c r="E4264" s="330" t="s">
        <v>4634</v>
      </c>
      <c r="F4264" s="331">
        <v>0.21</v>
      </c>
      <c r="G4264" s="332">
        <v>274</v>
      </c>
      <c r="H4264" s="333">
        <v>332</v>
      </c>
    </row>
    <row r="4265" spans="1:8">
      <c r="A4265" s="317">
        <v>1609902699</v>
      </c>
      <c r="B4265" s="317" t="s">
        <v>48631</v>
      </c>
      <c r="C4265" s="330" t="s">
        <v>12365</v>
      </c>
      <c r="D4265" s="330" t="s">
        <v>12366</v>
      </c>
      <c r="E4265" s="330" t="s">
        <v>4634</v>
      </c>
      <c r="F4265" s="331">
        <v>0.21</v>
      </c>
      <c r="G4265" s="332">
        <v>274</v>
      </c>
      <c r="H4265" s="333">
        <v>332</v>
      </c>
    </row>
    <row r="4266" spans="1:8">
      <c r="A4266" s="317">
        <v>1609902703</v>
      </c>
      <c r="B4266" s="317" t="s">
        <v>48632</v>
      </c>
      <c r="C4266" s="330" t="s">
        <v>12367</v>
      </c>
      <c r="D4266" s="330" t="s">
        <v>12368</v>
      </c>
      <c r="E4266" s="330" t="s">
        <v>4634</v>
      </c>
      <c r="F4266" s="331">
        <v>0.21</v>
      </c>
      <c r="G4266" s="332">
        <v>274</v>
      </c>
      <c r="H4266" s="333">
        <v>332</v>
      </c>
    </row>
    <row r="4267" spans="1:8">
      <c r="A4267" s="317" t="s">
        <v>39505</v>
      </c>
      <c r="B4267" s="317" t="s">
        <v>48633</v>
      </c>
      <c r="C4267" s="330" t="s">
        <v>12369</v>
      </c>
      <c r="D4267" s="330" t="s">
        <v>12370</v>
      </c>
      <c r="E4267" s="330" t="s">
        <v>37248</v>
      </c>
      <c r="F4267" s="331">
        <v>0.21</v>
      </c>
      <c r="G4267" s="332">
        <v>3123</v>
      </c>
      <c r="H4267" s="333">
        <v>3779</v>
      </c>
    </row>
    <row r="4268" spans="1:8">
      <c r="A4268" s="317" t="s">
        <v>39506</v>
      </c>
      <c r="B4268" s="317" t="s">
        <v>48634</v>
      </c>
      <c r="C4268" s="330" t="s">
        <v>12371</v>
      </c>
      <c r="D4268" s="330" t="s">
        <v>12372</v>
      </c>
      <c r="E4268" s="330" t="s">
        <v>4634</v>
      </c>
      <c r="F4268" s="331">
        <v>0.21</v>
      </c>
      <c r="G4268" s="332">
        <v>60610</v>
      </c>
      <c r="H4268" s="333">
        <v>73339</v>
      </c>
    </row>
    <row r="4269" spans="1:8">
      <c r="A4269" s="317" t="s">
        <v>39507</v>
      </c>
      <c r="B4269" s="317" t="s">
        <v>48635</v>
      </c>
      <c r="C4269" s="330" t="s">
        <v>12373</v>
      </c>
      <c r="D4269" s="330" t="s">
        <v>12374</v>
      </c>
      <c r="E4269" s="330" t="s">
        <v>4634</v>
      </c>
      <c r="F4269" s="331">
        <v>0.21</v>
      </c>
      <c r="G4269" s="332">
        <v>60610</v>
      </c>
      <c r="H4269" s="333">
        <v>73339</v>
      </c>
    </row>
    <row r="4270" spans="1:8">
      <c r="A4270" s="317" t="s">
        <v>39508</v>
      </c>
      <c r="B4270" s="317" t="s">
        <v>48636</v>
      </c>
      <c r="C4270" s="330" t="s">
        <v>12375</v>
      </c>
      <c r="D4270" s="330" t="s">
        <v>12376</v>
      </c>
      <c r="E4270" s="330" t="s">
        <v>4634</v>
      </c>
      <c r="F4270" s="331">
        <v>0.21</v>
      </c>
      <c r="G4270" s="332">
        <v>39</v>
      </c>
      <c r="H4270" s="333">
        <v>48</v>
      </c>
    </row>
    <row r="4271" spans="1:8">
      <c r="A4271" s="317" t="s">
        <v>39509</v>
      </c>
      <c r="B4271" s="317" t="s">
        <v>48637</v>
      </c>
      <c r="C4271" s="330" t="s">
        <v>12377</v>
      </c>
      <c r="D4271" s="330" t="s">
        <v>12378</v>
      </c>
      <c r="E4271" s="330" t="s">
        <v>4634</v>
      </c>
      <c r="F4271" s="331">
        <v>0.21</v>
      </c>
      <c r="G4271" s="332">
        <v>25626</v>
      </c>
      <c r="H4271" s="333">
        <v>31008</v>
      </c>
    </row>
    <row r="4272" spans="1:8">
      <c r="A4272" s="317" t="s">
        <v>39510</v>
      </c>
      <c r="B4272" s="317" t="s">
        <v>48638</v>
      </c>
      <c r="C4272" s="330" t="s">
        <v>12379</v>
      </c>
      <c r="D4272" s="330" t="s">
        <v>12380</v>
      </c>
      <c r="E4272" s="330" t="s">
        <v>4634</v>
      </c>
      <c r="F4272" s="331">
        <v>0.21</v>
      </c>
      <c r="G4272" s="332">
        <v>2989</v>
      </c>
      <c r="H4272" s="333">
        <v>3617</v>
      </c>
    </row>
    <row r="4273" spans="1:8">
      <c r="A4273" s="317" t="s">
        <v>39511</v>
      </c>
      <c r="B4273" s="317" t="s">
        <v>48639</v>
      </c>
      <c r="C4273" s="330" t="s">
        <v>12381</v>
      </c>
      <c r="D4273" s="330" t="s">
        <v>12382</v>
      </c>
      <c r="E4273" s="330" t="s">
        <v>4634</v>
      </c>
      <c r="F4273" s="331">
        <v>0.21</v>
      </c>
      <c r="G4273" s="332">
        <v>60610</v>
      </c>
      <c r="H4273" s="333">
        <v>73339</v>
      </c>
    </row>
    <row r="4274" spans="1:8">
      <c r="A4274" s="317" t="s">
        <v>39512</v>
      </c>
      <c r="B4274" s="317" t="s">
        <v>48640</v>
      </c>
      <c r="C4274" s="330" t="s">
        <v>12383</v>
      </c>
      <c r="D4274" s="330" t="s">
        <v>12378</v>
      </c>
      <c r="E4274" s="330" t="s">
        <v>4634</v>
      </c>
      <c r="F4274" s="331">
        <v>0.21</v>
      </c>
      <c r="G4274" s="332">
        <v>39</v>
      </c>
      <c r="H4274" s="333">
        <v>48</v>
      </c>
    </row>
    <row r="4275" spans="1:8">
      <c r="A4275" s="317" t="s">
        <v>39513</v>
      </c>
      <c r="B4275" s="317" t="s">
        <v>48641</v>
      </c>
      <c r="C4275" s="330" t="s">
        <v>12384</v>
      </c>
      <c r="D4275" s="330" t="s">
        <v>12378</v>
      </c>
      <c r="E4275" s="330" t="s">
        <v>4634</v>
      </c>
      <c r="F4275" s="331">
        <v>0.21</v>
      </c>
      <c r="G4275" s="332">
        <v>25626</v>
      </c>
      <c r="H4275" s="333">
        <v>31008</v>
      </c>
    </row>
    <row r="4276" spans="1:8">
      <c r="A4276" s="317" t="s">
        <v>39514</v>
      </c>
      <c r="B4276" s="317" t="s">
        <v>48642</v>
      </c>
      <c r="C4276" s="330" t="s">
        <v>12385</v>
      </c>
      <c r="D4276" s="330" t="s">
        <v>12386</v>
      </c>
      <c r="E4276" s="330" t="s">
        <v>37248</v>
      </c>
      <c r="F4276" s="331">
        <v>0.21</v>
      </c>
      <c r="G4276" s="332">
        <v>132688</v>
      </c>
      <c r="H4276" s="333">
        <v>160553</v>
      </c>
    </row>
    <row r="4277" spans="1:8">
      <c r="A4277" s="317" t="s">
        <v>39515</v>
      </c>
      <c r="B4277" s="317" t="s">
        <v>48643</v>
      </c>
      <c r="C4277" s="330" t="s">
        <v>12387</v>
      </c>
      <c r="D4277" s="330" t="s">
        <v>12388</v>
      </c>
      <c r="E4277" s="330" t="s">
        <v>4819</v>
      </c>
      <c r="F4277" s="331">
        <v>0.21</v>
      </c>
      <c r="G4277" s="332">
        <v>919</v>
      </c>
      <c r="H4277" s="333">
        <v>1112</v>
      </c>
    </row>
    <row r="4278" spans="1:8">
      <c r="A4278" s="317" t="s">
        <v>39516</v>
      </c>
      <c r="B4278" s="317" t="s">
        <v>48644</v>
      </c>
      <c r="C4278" s="330" t="s">
        <v>12389</v>
      </c>
      <c r="D4278" s="330" t="s">
        <v>12390</v>
      </c>
      <c r="E4278" s="330" t="s">
        <v>4819</v>
      </c>
      <c r="F4278" s="331">
        <v>0.21</v>
      </c>
      <c r="G4278" s="332">
        <v>9114</v>
      </c>
      <c r="H4278" s="333">
        <v>11028</v>
      </c>
    </row>
    <row r="4279" spans="1:8">
      <c r="A4279" s="317" t="s">
        <v>39517</v>
      </c>
      <c r="B4279" s="317" t="s">
        <v>48645</v>
      </c>
      <c r="C4279" s="330" t="s">
        <v>12391</v>
      </c>
      <c r="D4279" s="330" t="s">
        <v>12392</v>
      </c>
      <c r="E4279" s="330" t="s">
        <v>4819</v>
      </c>
      <c r="F4279" s="331">
        <v>0.21</v>
      </c>
      <c r="G4279" s="332">
        <v>919</v>
      </c>
      <c r="H4279" s="333">
        <v>1112</v>
      </c>
    </row>
    <row r="4280" spans="1:8">
      <c r="A4280" s="317" t="s">
        <v>39518</v>
      </c>
      <c r="B4280" s="317" t="s">
        <v>48646</v>
      </c>
      <c r="C4280" s="330" t="s">
        <v>12393</v>
      </c>
      <c r="D4280" s="330" t="s">
        <v>12394</v>
      </c>
      <c r="E4280" s="330" t="s">
        <v>4634</v>
      </c>
      <c r="F4280" s="331">
        <v>0.21</v>
      </c>
      <c r="G4280" s="332">
        <v>928</v>
      </c>
      <c r="H4280" s="333">
        <v>1123</v>
      </c>
    </row>
    <row r="4281" spans="1:8">
      <c r="A4281" s="317" t="s">
        <v>39519</v>
      </c>
      <c r="B4281" s="317" t="s">
        <v>48647</v>
      </c>
      <c r="C4281" s="330" t="s">
        <v>12395</v>
      </c>
      <c r="D4281" s="330" t="s">
        <v>12396</v>
      </c>
      <c r="E4281" s="330" t="s">
        <v>4634</v>
      </c>
      <c r="F4281" s="331">
        <v>0.21</v>
      </c>
      <c r="G4281" s="332">
        <v>52648</v>
      </c>
      <c r="H4281" s="333">
        <v>63705</v>
      </c>
    </row>
    <row r="4282" spans="1:8">
      <c r="A4282" s="317" t="s">
        <v>39520</v>
      </c>
      <c r="B4282" s="317" t="s">
        <v>48648</v>
      </c>
      <c r="C4282" s="330" t="s">
        <v>12397</v>
      </c>
      <c r="D4282" s="330" t="s">
        <v>12398</v>
      </c>
      <c r="E4282" s="330" t="s">
        <v>4634</v>
      </c>
      <c r="F4282" s="331">
        <v>0.21</v>
      </c>
      <c r="G4282" s="332">
        <v>53254</v>
      </c>
      <c r="H4282" s="333">
        <v>64438</v>
      </c>
    </row>
    <row r="4283" spans="1:8">
      <c r="A4283" s="317" t="s">
        <v>39521</v>
      </c>
      <c r="B4283" s="317" t="s">
        <v>48649</v>
      </c>
      <c r="C4283" s="330" t="s">
        <v>12399</v>
      </c>
      <c r="D4283" s="330" t="s">
        <v>12400</v>
      </c>
      <c r="E4283" s="330" t="s">
        <v>37248</v>
      </c>
      <c r="F4283" s="331">
        <v>0.21</v>
      </c>
      <c r="G4283" s="332">
        <v>23219</v>
      </c>
      <c r="H4283" s="333">
        <v>28095</v>
      </c>
    </row>
    <row r="4284" spans="1:8">
      <c r="A4284" s="317" t="s">
        <v>39522</v>
      </c>
      <c r="B4284" s="317" t="s">
        <v>48650</v>
      </c>
      <c r="C4284" s="330" t="s">
        <v>12401</v>
      </c>
      <c r="D4284" s="330" t="s">
        <v>12402</v>
      </c>
      <c r="E4284" s="330" t="s">
        <v>37248</v>
      </c>
      <c r="F4284" s="331">
        <v>0.21</v>
      </c>
      <c r="G4284" s="332">
        <v>21678</v>
      </c>
      <c r="H4284" s="333">
        <v>26231</v>
      </c>
    </row>
    <row r="4285" spans="1:8">
      <c r="A4285" s="317" t="s">
        <v>39523</v>
      </c>
      <c r="B4285" s="317" t="s">
        <v>48651</v>
      </c>
      <c r="C4285" s="330" t="s">
        <v>12403</v>
      </c>
      <c r="D4285" s="330" t="s">
        <v>12404</v>
      </c>
      <c r="E4285" s="330" t="s">
        <v>37248</v>
      </c>
      <c r="F4285" s="331">
        <v>0.21</v>
      </c>
      <c r="G4285" s="332">
        <v>69252</v>
      </c>
      <c r="H4285" s="333">
        <v>83795</v>
      </c>
    </row>
    <row r="4286" spans="1:8">
      <c r="A4286" s="317" t="s">
        <v>39524</v>
      </c>
      <c r="B4286" s="317" t="s">
        <v>48652</v>
      </c>
      <c r="C4286" s="330" t="s">
        <v>12405</v>
      </c>
      <c r="D4286" s="330" t="s">
        <v>12406</v>
      </c>
      <c r="E4286" s="330" t="s">
        <v>37248</v>
      </c>
      <c r="F4286" s="331">
        <v>0.21</v>
      </c>
      <c r="G4286" s="332">
        <v>1208</v>
      </c>
      <c r="H4286" s="333">
        <v>1462</v>
      </c>
    </row>
    <row r="4287" spans="1:8">
      <c r="A4287" s="317" t="s">
        <v>39525</v>
      </c>
      <c r="B4287" s="317" t="s">
        <v>48653</v>
      </c>
      <c r="C4287" s="330" t="s">
        <v>12407</v>
      </c>
      <c r="D4287" s="330" t="s">
        <v>12408</v>
      </c>
      <c r="E4287" s="330" t="s">
        <v>37248</v>
      </c>
      <c r="F4287" s="331">
        <v>0.21</v>
      </c>
      <c r="G4287" s="332">
        <v>3856</v>
      </c>
      <c r="H4287" s="333">
        <v>4666</v>
      </c>
    </row>
    <row r="4288" spans="1:8">
      <c r="A4288" s="317" t="s">
        <v>39526</v>
      </c>
      <c r="B4288" s="317" t="s">
        <v>48654</v>
      </c>
      <c r="C4288" s="330" t="s">
        <v>12409</v>
      </c>
      <c r="D4288" s="330" t="s">
        <v>12410</v>
      </c>
      <c r="E4288" s="330" t="s">
        <v>4634</v>
      </c>
      <c r="F4288" s="331">
        <v>0.21</v>
      </c>
      <c r="G4288" s="332">
        <v>2186</v>
      </c>
      <c r="H4288" s="333">
        <v>2646</v>
      </c>
    </row>
    <row r="4289" spans="1:8">
      <c r="A4289" s="317" t="s">
        <v>39527</v>
      </c>
      <c r="B4289" s="317" t="s">
        <v>48655</v>
      </c>
      <c r="C4289" s="330" t="s">
        <v>12411</v>
      </c>
      <c r="D4289" s="330" t="s">
        <v>6458</v>
      </c>
      <c r="E4289" s="330" t="s">
        <v>4634</v>
      </c>
      <c r="F4289" s="331">
        <v>0.21</v>
      </c>
      <c r="G4289" s="332">
        <v>372</v>
      </c>
      <c r="H4289" s="333">
        <v>451</v>
      </c>
    </row>
    <row r="4290" spans="1:8">
      <c r="A4290" s="317" t="s">
        <v>39528</v>
      </c>
      <c r="B4290" s="317" t="s">
        <v>48656</v>
      </c>
      <c r="C4290" s="330" t="s">
        <v>12412</v>
      </c>
      <c r="D4290" s="330" t="s">
        <v>12406</v>
      </c>
      <c r="E4290" s="330" t="s">
        <v>4634</v>
      </c>
      <c r="F4290" s="331">
        <v>0.21</v>
      </c>
      <c r="G4290" s="332">
        <v>280</v>
      </c>
      <c r="H4290" s="333">
        <v>339</v>
      </c>
    </row>
    <row r="4291" spans="1:8">
      <c r="A4291" s="317" t="s">
        <v>39529</v>
      </c>
      <c r="B4291" s="317" t="s">
        <v>48657</v>
      </c>
      <c r="C4291" s="330" t="s">
        <v>12413</v>
      </c>
      <c r="D4291" s="330" t="s">
        <v>12414</v>
      </c>
      <c r="E4291" s="330" t="s">
        <v>4819</v>
      </c>
      <c r="F4291" s="331">
        <v>0.21</v>
      </c>
      <c r="G4291" s="332">
        <v>25997</v>
      </c>
      <c r="H4291" s="333">
        <v>31457</v>
      </c>
    </row>
    <row r="4292" spans="1:8">
      <c r="A4292" s="317" t="s">
        <v>39530</v>
      </c>
      <c r="B4292" s="317" t="s">
        <v>48658</v>
      </c>
      <c r="C4292" s="330" t="s">
        <v>12415</v>
      </c>
      <c r="D4292" s="330" t="s">
        <v>12416</v>
      </c>
      <c r="E4292" s="330" t="s">
        <v>37248</v>
      </c>
      <c r="F4292" s="331">
        <v>0.21</v>
      </c>
      <c r="G4292" s="332">
        <v>1072</v>
      </c>
      <c r="H4292" s="333">
        <v>1298</v>
      </c>
    </row>
    <row r="4293" spans="1:8">
      <c r="A4293" s="317" t="s">
        <v>39531</v>
      </c>
      <c r="B4293" s="317" t="s">
        <v>48659</v>
      </c>
      <c r="C4293" s="330" t="s">
        <v>12417</v>
      </c>
      <c r="D4293" s="330" t="s">
        <v>12418</v>
      </c>
      <c r="E4293" s="330" t="s">
        <v>37248</v>
      </c>
      <c r="F4293" s="331">
        <v>0.21</v>
      </c>
      <c r="G4293" s="332">
        <v>1224</v>
      </c>
      <c r="H4293" s="333">
        <v>1482</v>
      </c>
    </row>
    <row r="4294" spans="1:8">
      <c r="A4294" s="317" t="s">
        <v>39532</v>
      </c>
      <c r="B4294" s="317" t="s">
        <v>48660</v>
      </c>
      <c r="C4294" s="330" t="s">
        <v>12419</v>
      </c>
      <c r="D4294" s="330" t="s">
        <v>6205</v>
      </c>
      <c r="E4294" s="330" t="s">
        <v>37248</v>
      </c>
      <c r="F4294" s="331">
        <v>0.21</v>
      </c>
      <c r="G4294" s="332">
        <v>675</v>
      </c>
      <c r="H4294" s="333">
        <v>817</v>
      </c>
    </row>
    <row r="4295" spans="1:8">
      <c r="A4295" s="317" t="s">
        <v>39533</v>
      </c>
      <c r="B4295" s="317" t="s">
        <v>48661</v>
      </c>
      <c r="C4295" s="330" t="s">
        <v>12420</v>
      </c>
      <c r="D4295" s="330" t="s">
        <v>12421</v>
      </c>
      <c r="E4295" s="330" t="s">
        <v>37248</v>
      </c>
      <c r="F4295" s="331">
        <v>0.21</v>
      </c>
      <c r="G4295" s="332">
        <v>814</v>
      </c>
      <c r="H4295" s="333">
        <v>985</v>
      </c>
    </row>
    <row r="4296" spans="1:8">
      <c r="A4296" s="317" t="s">
        <v>39534</v>
      </c>
      <c r="B4296" s="317" t="s">
        <v>48662</v>
      </c>
      <c r="C4296" s="330" t="s">
        <v>12422</v>
      </c>
      <c r="D4296" s="330" t="s">
        <v>12423</v>
      </c>
      <c r="E4296" s="330" t="s">
        <v>4634</v>
      </c>
      <c r="F4296" s="331">
        <v>0.21</v>
      </c>
      <c r="G4296" s="332">
        <v>1581</v>
      </c>
      <c r="H4296" s="333">
        <v>1914</v>
      </c>
    </row>
    <row r="4297" spans="1:8">
      <c r="A4297" s="317" t="s">
        <v>39535</v>
      </c>
      <c r="B4297" s="317" t="s">
        <v>48663</v>
      </c>
      <c r="C4297" s="330" t="s">
        <v>12424</v>
      </c>
      <c r="D4297" s="330" t="s">
        <v>7235</v>
      </c>
      <c r="E4297" s="330" t="s">
        <v>37248</v>
      </c>
      <c r="F4297" s="331">
        <v>0.21</v>
      </c>
      <c r="G4297" s="332">
        <v>1875</v>
      </c>
      <c r="H4297" s="333">
        <v>2269</v>
      </c>
    </row>
    <row r="4298" spans="1:8">
      <c r="A4298" s="317" t="s">
        <v>39536</v>
      </c>
      <c r="B4298" s="317" t="s">
        <v>48664</v>
      </c>
      <c r="C4298" s="330" t="s">
        <v>12425</v>
      </c>
      <c r="D4298" s="330" t="s">
        <v>12426</v>
      </c>
      <c r="E4298" s="330" t="s">
        <v>37248</v>
      </c>
      <c r="F4298" s="331">
        <v>0.21</v>
      </c>
      <c r="G4298" s="332">
        <v>4503</v>
      </c>
      <c r="H4298" s="333">
        <v>5449</v>
      </c>
    </row>
    <row r="4299" spans="1:8">
      <c r="A4299" s="317" t="s">
        <v>39537</v>
      </c>
      <c r="B4299" s="317" t="s">
        <v>48665</v>
      </c>
      <c r="C4299" s="330" t="s">
        <v>12427</v>
      </c>
      <c r="D4299" s="330" t="s">
        <v>12428</v>
      </c>
      <c r="E4299" s="330" t="s">
        <v>4634</v>
      </c>
      <c r="F4299" s="331">
        <v>0.21</v>
      </c>
      <c r="G4299" s="332">
        <v>584</v>
      </c>
      <c r="H4299" s="333">
        <v>707</v>
      </c>
    </row>
    <row r="4300" spans="1:8">
      <c r="A4300" s="317" t="s">
        <v>39538</v>
      </c>
      <c r="B4300" s="317" t="s">
        <v>48666</v>
      </c>
      <c r="C4300" s="330" t="s">
        <v>12429</v>
      </c>
      <c r="D4300" s="330" t="s">
        <v>12430</v>
      </c>
      <c r="E4300" s="330" t="s">
        <v>4634</v>
      </c>
      <c r="F4300" s="331">
        <v>0.21</v>
      </c>
      <c r="G4300" s="332">
        <v>254</v>
      </c>
      <c r="H4300" s="333">
        <v>308</v>
      </c>
    </row>
    <row r="4301" spans="1:8">
      <c r="A4301" s="317" t="s">
        <v>39539</v>
      </c>
      <c r="B4301" s="317" t="s">
        <v>48667</v>
      </c>
      <c r="C4301" s="330" t="s">
        <v>12431</v>
      </c>
      <c r="D4301" s="330" t="s">
        <v>12432</v>
      </c>
      <c r="E4301" s="330" t="s">
        <v>4634</v>
      </c>
      <c r="F4301" s="331">
        <v>0.21</v>
      </c>
      <c r="G4301" s="332">
        <v>4887</v>
      </c>
      <c r="H4301" s="333">
        <v>5914</v>
      </c>
    </row>
    <row r="4302" spans="1:8">
      <c r="A4302" s="317" t="s">
        <v>39540</v>
      </c>
      <c r="B4302" s="317" t="s">
        <v>48668</v>
      </c>
      <c r="C4302" s="330" t="s">
        <v>12433</v>
      </c>
      <c r="D4302" s="330" t="s">
        <v>12432</v>
      </c>
      <c r="E4302" s="330" t="s">
        <v>4634</v>
      </c>
      <c r="F4302" s="331">
        <v>0.21</v>
      </c>
      <c r="G4302" s="332">
        <v>4233</v>
      </c>
      <c r="H4302" s="333">
        <v>5122</v>
      </c>
    </row>
    <row r="4303" spans="1:8">
      <c r="A4303" s="317" t="s">
        <v>39541</v>
      </c>
      <c r="B4303" s="317" t="s">
        <v>48669</v>
      </c>
      <c r="C4303" s="330" t="s">
        <v>12434</v>
      </c>
      <c r="D4303" s="330" t="s">
        <v>12435</v>
      </c>
      <c r="E4303" s="330" t="s">
        <v>4634</v>
      </c>
      <c r="F4303" s="331">
        <v>0.21</v>
      </c>
      <c r="G4303" s="332">
        <v>1371</v>
      </c>
      <c r="H4303" s="333">
        <v>1659</v>
      </c>
    </row>
    <row r="4304" spans="1:8">
      <c r="A4304" s="317" t="s">
        <v>39542</v>
      </c>
      <c r="B4304" s="317" t="s">
        <v>48670</v>
      </c>
      <c r="C4304" s="330" t="s">
        <v>12436</v>
      </c>
      <c r="D4304" s="330" t="s">
        <v>12435</v>
      </c>
      <c r="E4304" s="330" t="s">
        <v>4634</v>
      </c>
      <c r="F4304" s="331">
        <v>0.21</v>
      </c>
      <c r="G4304" s="332">
        <v>1371</v>
      </c>
      <c r="H4304" s="333">
        <v>1659</v>
      </c>
    </row>
    <row r="4305" spans="1:8">
      <c r="A4305" s="317" t="s">
        <v>39543</v>
      </c>
      <c r="B4305" s="317" t="s">
        <v>48671</v>
      </c>
      <c r="C4305" s="330" t="s">
        <v>12437</v>
      </c>
      <c r="D4305" s="330" t="s">
        <v>7424</v>
      </c>
      <c r="E4305" s="330" t="s">
        <v>4634</v>
      </c>
      <c r="F4305" s="331">
        <v>0.21</v>
      </c>
      <c r="G4305" s="332">
        <v>153</v>
      </c>
      <c r="H4305" s="333">
        <v>186</v>
      </c>
    </row>
    <row r="4306" spans="1:8">
      <c r="A4306" s="317" t="s">
        <v>39544</v>
      </c>
      <c r="B4306" s="317" t="s">
        <v>48672</v>
      </c>
      <c r="C4306" s="330" t="s">
        <v>12438</v>
      </c>
      <c r="D4306" s="330" t="s">
        <v>7424</v>
      </c>
      <c r="E4306" s="330" t="s">
        <v>4634</v>
      </c>
      <c r="F4306" s="331">
        <v>0.21</v>
      </c>
      <c r="G4306" s="332">
        <v>153</v>
      </c>
      <c r="H4306" s="333">
        <v>186</v>
      </c>
    </row>
    <row r="4307" spans="1:8">
      <c r="A4307" s="317" t="s">
        <v>39545</v>
      </c>
      <c r="B4307" s="317" t="s">
        <v>48673</v>
      </c>
      <c r="C4307" s="330" t="s">
        <v>12439</v>
      </c>
      <c r="D4307" s="330" t="s">
        <v>7235</v>
      </c>
      <c r="E4307" s="330" t="s">
        <v>37248</v>
      </c>
      <c r="F4307" s="331">
        <v>0.21</v>
      </c>
      <c r="G4307" s="332">
        <v>4624</v>
      </c>
      <c r="H4307" s="333">
        <v>5596</v>
      </c>
    </row>
    <row r="4308" spans="1:8">
      <c r="A4308" s="317" t="s">
        <v>39546</v>
      </c>
      <c r="B4308" s="317" t="s">
        <v>48674</v>
      </c>
      <c r="C4308" s="330" t="s">
        <v>12440</v>
      </c>
      <c r="D4308" s="330" t="s">
        <v>7235</v>
      </c>
      <c r="E4308" s="330" t="s">
        <v>37248</v>
      </c>
      <c r="F4308" s="331">
        <v>0.21</v>
      </c>
      <c r="G4308" s="332">
        <v>4624</v>
      </c>
      <c r="H4308" s="333">
        <v>5596</v>
      </c>
    </row>
    <row r="4309" spans="1:8">
      <c r="A4309" s="317" t="s">
        <v>39547</v>
      </c>
      <c r="B4309" s="317" t="s">
        <v>48675</v>
      </c>
      <c r="C4309" s="330" t="s">
        <v>12441</v>
      </c>
      <c r="D4309" s="330" t="s">
        <v>12442</v>
      </c>
      <c r="E4309" s="330" t="s">
        <v>4819</v>
      </c>
      <c r="F4309" s="331">
        <v>0.21</v>
      </c>
      <c r="G4309" s="332">
        <v>671</v>
      </c>
      <c r="H4309" s="333">
        <v>812</v>
      </c>
    </row>
    <row r="4310" spans="1:8">
      <c r="A4310" s="317" t="s">
        <v>39548</v>
      </c>
      <c r="B4310" s="317" t="s">
        <v>48676</v>
      </c>
      <c r="C4310" s="330" t="s">
        <v>12443</v>
      </c>
      <c r="D4310" s="330" t="s">
        <v>6179</v>
      </c>
      <c r="E4310" s="330" t="s">
        <v>4819</v>
      </c>
      <c r="F4310" s="331">
        <v>0.21</v>
      </c>
      <c r="G4310" s="332">
        <v>479</v>
      </c>
      <c r="H4310" s="333">
        <v>580</v>
      </c>
    </row>
    <row r="4311" spans="1:8">
      <c r="A4311" s="317" t="s">
        <v>39549</v>
      </c>
      <c r="B4311" s="317" t="s">
        <v>48677</v>
      </c>
      <c r="C4311" s="330" t="s">
        <v>12444</v>
      </c>
      <c r="D4311" s="330" t="s">
        <v>12442</v>
      </c>
      <c r="E4311" s="330" t="s">
        <v>4634</v>
      </c>
      <c r="F4311" s="331">
        <v>0.21</v>
      </c>
      <c r="G4311" s="332">
        <v>280</v>
      </c>
      <c r="H4311" s="333">
        <v>339</v>
      </c>
    </row>
    <row r="4312" spans="1:8">
      <c r="A4312" s="317" t="s">
        <v>39550</v>
      </c>
      <c r="B4312" s="317" t="s">
        <v>48678</v>
      </c>
      <c r="C4312" s="330" t="s">
        <v>12445</v>
      </c>
      <c r="D4312" s="330" t="s">
        <v>12446</v>
      </c>
      <c r="E4312" s="330" t="s">
        <v>37248</v>
      </c>
      <c r="F4312" s="331">
        <v>0.21</v>
      </c>
      <c r="G4312" s="332">
        <v>2810</v>
      </c>
      <c r="H4312" s="333">
        <v>3401</v>
      </c>
    </row>
    <row r="4313" spans="1:8">
      <c r="A4313" s="317" t="s">
        <v>39551</v>
      </c>
      <c r="B4313" s="317" t="s">
        <v>48679</v>
      </c>
      <c r="C4313" s="330" t="s">
        <v>12447</v>
      </c>
      <c r="D4313" s="330" t="s">
        <v>12448</v>
      </c>
      <c r="E4313" s="330" t="s">
        <v>4634</v>
      </c>
      <c r="F4313" s="331">
        <v>0.21</v>
      </c>
      <c r="G4313" s="332">
        <v>274</v>
      </c>
      <c r="H4313" s="333">
        <v>332</v>
      </c>
    </row>
    <row r="4314" spans="1:8">
      <c r="A4314" s="317" t="s">
        <v>39552</v>
      </c>
      <c r="B4314" s="317" t="s">
        <v>48680</v>
      </c>
      <c r="C4314" s="330" t="s">
        <v>12449</v>
      </c>
      <c r="D4314" s="330" t="s">
        <v>12448</v>
      </c>
      <c r="E4314" s="330" t="s">
        <v>4634</v>
      </c>
      <c r="F4314" s="331">
        <v>0.21</v>
      </c>
      <c r="G4314" s="332">
        <v>274</v>
      </c>
      <c r="H4314" s="333">
        <v>332</v>
      </c>
    </row>
    <row r="4315" spans="1:8">
      <c r="A4315" s="317" t="s">
        <v>39553</v>
      </c>
      <c r="B4315" s="317" t="s">
        <v>48681</v>
      </c>
      <c r="C4315" s="330" t="s">
        <v>12450</v>
      </c>
      <c r="D4315" s="330" t="s">
        <v>8670</v>
      </c>
      <c r="E4315" s="330" t="s">
        <v>4634</v>
      </c>
      <c r="F4315" s="331">
        <v>0.21</v>
      </c>
      <c r="G4315" s="332">
        <v>153</v>
      </c>
      <c r="H4315" s="333">
        <v>186</v>
      </c>
    </row>
    <row r="4316" spans="1:8">
      <c r="A4316" s="317" t="s">
        <v>39554</v>
      </c>
      <c r="B4316" s="317" t="s">
        <v>48682</v>
      </c>
      <c r="C4316" s="330" t="s">
        <v>12451</v>
      </c>
      <c r="D4316" s="330" t="s">
        <v>12452</v>
      </c>
      <c r="E4316" s="330" t="s">
        <v>4634</v>
      </c>
      <c r="F4316" s="331">
        <v>0.21</v>
      </c>
      <c r="G4316" s="332">
        <v>153</v>
      </c>
      <c r="H4316" s="333">
        <v>186</v>
      </c>
    </row>
    <row r="4317" spans="1:8">
      <c r="A4317" s="317" t="s">
        <v>39555</v>
      </c>
      <c r="B4317" s="317" t="s">
        <v>48683</v>
      </c>
      <c r="C4317" s="330" t="s">
        <v>12453</v>
      </c>
      <c r="D4317" s="330" t="s">
        <v>12454</v>
      </c>
      <c r="E4317" s="330" t="s">
        <v>4623</v>
      </c>
      <c r="F4317" s="331">
        <v>0.21</v>
      </c>
      <c r="G4317" s="332">
        <v>881</v>
      </c>
      <c r="H4317" s="333">
        <v>1067</v>
      </c>
    </row>
    <row r="4318" spans="1:8">
      <c r="A4318" s="317" t="s">
        <v>39556</v>
      </c>
      <c r="B4318" s="317" t="s">
        <v>48684</v>
      </c>
      <c r="C4318" s="330" t="s">
        <v>12455</v>
      </c>
      <c r="D4318" s="330" t="s">
        <v>8281</v>
      </c>
      <c r="E4318" s="330" t="s">
        <v>4623</v>
      </c>
      <c r="F4318" s="331">
        <v>0.21</v>
      </c>
      <c r="G4318" s="332">
        <v>841</v>
      </c>
      <c r="H4318" s="333">
        <v>1018</v>
      </c>
    </row>
    <row r="4319" spans="1:8">
      <c r="A4319" s="317" t="s">
        <v>39557</v>
      </c>
      <c r="B4319" s="317" t="s">
        <v>48685</v>
      </c>
      <c r="C4319" s="330" t="s">
        <v>12456</v>
      </c>
      <c r="D4319" s="330" t="s">
        <v>8281</v>
      </c>
      <c r="E4319" s="330" t="s">
        <v>4634</v>
      </c>
      <c r="F4319" s="331">
        <v>0.21</v>
      </c>
      <c r="G4319" s="332">
        <v>814</v>
      </c>
      <c r="H4319" s="333">
        <v>985</v>
      </c>
    </row>
    <row r="4320" spans="1:8">
      <c r="A4320" s="317" t="s">
        <v>39558</v>
      </c>
      <c r="B4320" s="317" t="s">
        <v>48686</v>
      </c>
      <c r="C4320" s="330" t="s">
        <v>12457</v>
      </c>
      <c r="D4320" s="330" t="s">
        <v>12458</v>
      </c>
      <c r="E4320" s="330" t="s">
        <v>4819</v>
      </c>
      <c r="F4320" s="331">
        <v>0.21</v>
      </c>
      <c r="G4320" s="332">
        <v>671</v>
      </c>
      <c r="H4320" s="333">
        <v>812</v>
      </c>
    </row>
    <row r="4321" spans="1:8">
      <c r="A4321" s="317" t="s">
        <v>39559</v>
      </c>
      <c r="B4321" s="317" t="s">
        <v>48687</v>
      </c>
      <c r="C4321" s="330" t="s">
        <v>12459</v>
      </c>
      <c r="D4321" s="330" t="s">
        <v>9384</v>
      </c>
      <c r="E4321" s="330" t="s">
        <v>4634</v>
      </c>
      <c r="F4321" s="331">
        <v>0.21</v>
      </c>
      <c r="G4321" s="332">
        <v>274</v>
      </c>
      <c r="H4321" s="333">
        <v>332</v>
      </c>
    </row>
    <row r="4322" spans="1:8">
      <c r="A4322" s="317" t="s">
        <v>39560</v>
      </c>
      <c r="B4322" s="317" t="s">
        <v>48688</v>
      </c>
      <c r="C4322" s="330" t="s">
        <v>12460</v>
      </c>
      <c r="D4322" s="330" t="s">
        <v>12461</v>
      </c>
      <c r="E4322" s="330" t="s">
        <v>37248</v>
      </c>
      <c r="F4322" s="331">
        <v>0.21</v>
      </c>
      <c r="G4322" s="332">
        <v>33369</v>
      </c>
      <c r="H4322" s="333">
        <v>40377</v>
      </c>
    </row>
    <row r="4323" spans="1:8">
      <c r="A4323" s="317" t="s">
        <v>39561</v>
      </c>
      <c r="B4323" s="317" t="s">
        <v>48689</v>
      </c>
      <c r="C4323" s="330" t="s">
        <v>12462</v>
      </c>
      <c r="D4323" s="330" t="s">
        <v>12463</v>
      </c>
      <c r="E4323" s="330" t="s">
        <v>4634</v>
      </c>
      <c r="F4323" s="331">
        <v>0.21</v>
      </c>
      <c r="G4323" s="332">
        <v>153</v>
      </c>
      <c r="H4323" s="333">
        <v>186</v>
      </c>
    </row>
    <row r="4324" spans="1:8">
      <c r="A4324" s="317" t="s">
        <v>39562</v>
      </c>
      <c r="B4324" s="317" t="s">
        <v>48690</v>
      </c>
      <c r="C4324" s="330" t="s">
        <v>12464</v>
      </c>
      <c r="D4324" s="330" t="s">
        <v>12465</v>
      </c>
      <c r="E4324" s="330" t="s">
        <v>37248</v>
      </c>
      <c r="F4324" s="331">
        <v>0.21</v>
      </c>
      <c r="G4324" s="332">
        <v>1940</v>
      </c>
      <c r="H4324" s="333">
        <v>2348</v>
      </c>
    </row>
    <row r="4325" spans="1:8">
      <c r="A4325" s="317" t="s">
        <v>39563</v>
      </c>
      <c r="B4325" s="317" t="s">
        <v>48691</v>
      </c>
      <c r="C4325" s="330" t="s">
        <v>12466</v>
      </c>
      <c r="D4325" s="330" t="s">
        <v>7235</v>
      </c>
      <c r="E4325" s="330" t="s">
        <v>37248</v>
      </c>
      <c r="F4325" s="331">
        <v>0.21</v>
      </c>
      <c r="G4325" s="332">
        <v>2079</v>
      </c>
      <c r="H4325" s="333">
        <v>2516</v>
      </c>
    </row>
    <row r="4326" spans="1:8">
      <c r="A4326" s="317" t="s">
        <v>39564</v>
      </c>
      <c r="B4326" s="317" t="s">
        <v>48692</v>
      </c>
      <c r="C4326" s="330" t="s">
        <v>12467</v>
      </c>
      <c r="D4326" s="330" t="s">
        <v>12468</v>
      </c>
      <c r="E4326" s="330" t="s">
        <v>4634</v>
      </c>
      <c r="F4326" s="331">
        <v>0.21</v>
      </c>
      <c r="G4326" s="332">
        <v>972</v>
      </c>
      <c r="H4326" s="333">
        <v>1177</v>
      </c>
    </row>
    <row r="4327" spans="1:8">
      <c r="A4327" s="317" t="s">
        <v>39565</v>
      </c>
      <c r="B4327" s="317" t="s">
        <v>48693</v>
      </c>
      <c r="C4327" s="330" t="s">
        <v>12469</v>
      </c>
      <c r="D4327" s="330" t="s">
        <v>8219</v>
      </c>
      <c r="E4327" s="330" t="s">
        <v>4634</v>
      </c>
      <c r="F4327" s="331">
        <v>0.21</v>
      </c>
      <c r="G4327" s="332">
        <v>274</v>
      </c>
      <c r="H4327" s="333">
        <v>332</v>
      </c>
    </row>
    <row r="4328" spans="1:8">
      <c r="A4328" s="317" t="s">
        <v>39566</v>
      </c>
      <c r="B4328" s="317" t="s">
        <v>48694</v>
      </c>
      <c r="C4328" s="330" t="s">
        <v>12470</v>
      </c>
      <c r="D4328" s="330" t="s">
        <v>12471</v>
      </c>
      <c r="E4328" s="330" t="s">
        <v>4623</v>
      </c>
      <c r="F4328" s="331">
        <v>0.21</v>
      </c>
      <c r="G4328" s="332">
        <v>6154</v>
      </c>
      <c r="H4328" s="333">
        <v>7447</v>
      </c>
    </row>
    <row r="4329" spans="1:8">
      <c r="A4329" s="317" t="s">
        <v>39567</v>
      </c>
      <c r="B4329" s="317" t="s">
        <v>48695</v>
      </c>
      <c r="C4329" s="330" t="s">
        <v>12472</v>
      </c>
      <c r="D4329" s="330" t="s">
        <v>12473</v>
      </c>
      <c r="E4329" s="330" t="s">
        <v>4623</v>
      </c>
      <c r="F4329" s="331">
        <v>0.21</v>
      </c>
      <c r="G4329" s="332">
        <v>2591</v>
      </c>
      <c r="H4329" s="333">
        <v>3136</v>
      </c>
    </row>
    <row r="4330" spans="1:8">
      <c r="A4330" s="317" t="s">
        <v>39568</v>
      </c>
      <c r="B4330" s="317" t="s">
        <v>48696</v>
      </c>
      <c r="C4330" s="330" t="s">
        <v>12474</v>
      </c>
      <c r="D4330" s="330" t="s">
        <v>12475</v>
      </c>
      <c r="E4330" s="330" t="s">
        <v>4634</v>
      </c>
      <c r="F4330" s="331">
        <v>0.21</v>
      </c>
      <c r="G4330" s="332">
        <v>820</v>
      </c>
      <c r="H4330" s="333">
        <v>993</v>
      </c>
    </row>
    <row r="4331" spans="1:8">
      <c r="A4331" s="317" t="s">
        <v>39569</v>
      </c>
      <c r="B4331" s="317" t="s">
        <v>48697</v>
      </c>
      <c r="C4331" s="330" t="s">
        <v>12476</v>
      </c>
      <c r="D4331" s="330" t="s">
        <v>12475</v>
      </c>
      <c r="E4331" s="330" t="s">
        <v>4634</v>
      </c>
      <c r="F4331" s="331">
        <v>0.21</v>
      </c>
      <c r="G4331" s="332">
        <v>1713</v>
      </c>
      <c r="H4331" s="333">
        <v>2073</v>
      </c>
    </row>
    <row r="4332" spans="1:8">
      <c r="A4332" s="317" t="s">
        <v>39570</v>
      </c>
      <c r="B4332" s="317" t="s">
        <v>48698</v>
      </c>
      <c r="C4332" s="330" t="s">
        <v>12477</v>
      </c>
      <c r="D4332" s="330" t="s">
        <v>9384</v>
      </c>
      <c r="E4332" s="330" t="s">
        <v>4634</v>
      </c>
      <c r="F4332" s="331">
        <v>0.21</v>
      </c>
      <c r="G4332" s="332">
        <v>153</v>
      </c>
      <c r="H4332" s="333">
        <v>186</v>
      </c>
    </row>
    <row r="4333" spans="1:8">
      <c r="A4333" s="317" t="s">
        <v>39571</v>
      </c>
      <c r="B4333" s="317" t="s">
        <v>48699</v>
      </c>
      <c r="C4333" s="330" t="s">
        <v>12478</v>
      </c>
      <c r="D4333" s="330" t="s">
        <v>9384</v>
      </c>
      <c r="E4333" s="330" t="s">
        <v>4634</v>
      </c>
      <c r="F4333" s="331">
        <v>0.21</v>
      </c>
      <c r="G4333" s="332">
        <v>153</v>
      </c>
      <c r="H4333" s="333">
        <v>186</v>
      </c>
    </row>
    <row r="4334" spans="1:8">
      <c r="A4334" s="317" t="s">
        <v>39572</v>
      </c>
      <c r="B4334" s="317" t="s">
        <v>48700</v>
      </c>
      <c r="C4334" s="330" t="s">
        <v>12479</v>
      </c>
      <c r="D4334" s="330" t="s">
        <v>12428</v>
      </c>
      <c r="E4334" s="330" t="s">
        <v>4623</v>
      </c>
      <c r="F4334" s="331">
        <v>0.21</v>
      </c>
      <c r="G4334" s="332">
        <v>814</v>
      </c>
      <c r="H4334" s="333">
        <v>985</v>
      </c>
    </row>
    <row r="4335" spans="1:8">
      <c r="A4335" s="317" t="s">
        <v>39573</v>
      </c>
      <c r="B4335" s="317" t="s">
        <v>48701</v>
      </c>
      <c r="C4335" s="330" t="s">
        <v>12480</v>
      </c>
      <c r="D4335" s="330" t="s">
        <v>8219</v>
      </c>
      <c r="E4335" s="330" t="s">
        <v>4623</v>
      </c>
      <c r="F4335" s="331">
        <v>0.21</v>
      </c>
      <c r="G4335" s="332">
        <v>1344</v>
      </c>
      <c r="H4335" s="333">
        <v>1627</v>
      </c>
    </row>
    <row r="4336" spans="1:8">
      <c r="A4336" s="317" t="s">
        <v>39574</v>
      </c>
      <c r="B4336" s="317" t="s">
        <v>48702</v>
      </c>
      <c r="C4336" s="330" t="s">
        <v>12481</v>
      </c>
      <c r="D4336" s="330" t="s">
        <v>7879</v>
      </c>
      <c r="E4336" s="330" t="s">
        <v>4819</v>
      </c>
      <c r="F4336" s="331">
        <v>0.21</v>
      </c>
      <c r="G4336" s="332">
        <v>954</v>
      </c>
      <c r="H4336" s="333">
        <v>1155</v>
      </c>
    </row>
    <row r="4337" spans="1:8">
      <c r="A4337" s="317" t="s">
        <v>39575</v>
      </c>
      <c r="B4337" s="317" t="s">
        <v>48703</v>
      </c>
      <c r="C4337" s="330" t="s">
        <v>12482</v>
      </c>
      <c r="D4337" s="330" t="s">
        <v>9919</v>
      </c>
      <c r="E4337" s="330" t="s">
        <v>4623</v>
      </c>
      <c r="F4337" s="331">
        <v>0.21</v>
      </c>
      <c r="G4337" s="332">
        <v>2591</v>
      </c>
      <c r="H4337" s="333">
        <v>3136</v>
      </c>
    </row>
    <row r="4338" spans="1:8">
      <c r="A4338" s="317" t="s">
        <v>39576</v>
      </c>
      <c r="B4338" s="317" t="s">
        <v>48704</v>
      </c>
      <c r="C4338" s="330" t="s">
        <v>12483</v>
      </c>
      <c r="D4338" s="330" t="s">
        <v>12484</v>
      </c>
      <c r="E4338" s="330" t="s">
        <v>4634</v>
      </c>
      <c r="F4338" s="331">
        <v>0.21</v>
      </c>
      <c r="G4338" s="332">
        <v>928</v>
      </c>
      <c r="H4338" s="333">
        <v>1123</v>
      </c>
    </row>
    <row r="4339" spans="1:8">
      <c r="A4339" s="317" t="s">
        <v>39577</v>
      </c>
      <c r="B4339" s="317" t="s">
        <v>48705</v>
      </c>
      <c r="C4339" s="330" t="s">
        <v>12485</v>
      </c>
      <c r="D4339" s="330" t="s">
        <v>12486</v>
      </c>
      <c r="E4339" s="330" t="s">
        <v>4623</v>
      </c>
      <c r="F4339" s="331">
        <v>0.21</v>
      </c>
      <c r="G4339" s="332">
        <v>8641</v>
      </c>
      <c r="H4339" s="333">
        <v>10456</v>
      </c>
    </row>
    <row r="4340" spans="1:8">
      <c r="A4340" s="317" t="s">
        <v>39578</v>
      </c>
      <c r="B4340" s="317" t="s">
        <v>48706</v>
      </c>
      <c r="C4340" s="330" t="s">
        <v>12487</v>
      </c>
      <c r="D4340" s="330" t="s">
        <v>6205</v>
      </c>
      <c r="E4340" s="330" t="s">
        <v>37248</v>
      </c>
      <c r="F4340" s="331">
        <v>0.21</v>
      </c>
      <c r="G4340" s="332">
        <v>519</v>
      </c>
      <c r="H4340" s="333">
        <v>628</v>
      </c>
    </row>
    <row r="4341" spans="1:8">
      <c r="A4341" s="317" t="s">
        <v>39579</v>
      </c>
      <c r="B4341" s="317" t="s">
        <v>48707</v>
      </c>
      <c r="C4341" s="330" t="s">
        <v>12488</v>
      </c>
      <c r="D4341" s="330" t="s">
        <v>12489</v>
      </c>
      <c r="E4341" s="330" t="s">
        <v>4623</v>
      </c>
      <c r="F4341" s="331">
        <v>0.21</v>
      </c>
      <c r="G4341" s="332">
        <v>814</v>
      </c>
      <c r="H4341" s="333">
        <v>985</v>
      </c>
    </row>
    <row r="4342" spans="1:8">
      <c r="A4342" s="317" t="s">
        <v>39580</v>
      </c>
      <c r="B4342" s="317" t="s">
        <v>48708</v>
      </c>
      <c r="C4342" s="330" t="s">
        <v>12490</v>
      </c>
      <c r="D4342" s="330" t="s">
        <v>6179</v>
      </c>
      <c r="E4342" s="330" t="s">
        <v>4634</v>
      </c>
      <c r="F4342" s="331">
        <v>0.21</v>
      </c>
      <c r="G4342" s="332">
        <v>153</v>
      </c>
      <c r="H4342" s="333">
        <v>186</v>
      </c>
    </row>
    <row r="4343" spans="1:8">
      <c r="A4343" s="317" t="s">
        <v>39581</v>
      </c>
      <c r="B4343" s="317" t="s">
        <v>48709</v>
      </c>
      <c r="C4343" s="330" t="s">
        <v>12491</v>
      </c>
      <c r="D4343" s="330" t="s">
        <v>7424</v>
      </c>
      <c r="E4343" s="330" t="s">
        <v>4634</v>
      </c>
      <c r="F4343" s="331">
        <v>0.21</v>
      </c>
      <c r="G4343" s="332">
        <v>1882</v>
      </c>
      <c r="H4343" s="333">
        <v>2278</v>
      </c>
    </row>
    <row r="4344" spans="1:8">
      <c r="A4344" s="317" t="s">
        <v>39582</v>
      </c>
      <c r="B4344" s="317" t="s">
        <v>48710</v>
      </c>
      <c r="C4344" s="330" t="s">
        <v>12492</v>
      </c>
      <c r="D4344" s="330" t="s">
        <v>12493</v>
      </c>
      <c r="E4344" s="330" t="s">
        <v>4634</v>
      </c>
      <c r="F4344" s="331">
        <v>0.21</v>
      </c>
      <c r="G4344" s="332">
        <v>928</v>
      </c>
      <c r="H4344" s="333">
        <v>1123</v>
      </c>
    </row>
    <row r="4345" spans="1:8">
      <c r="A4345" s="317" t="s">
        <v>39583</v>
      </c>
      <c r="B4345" s="317" t="s">
        <v>48711</v>
      </c>
      <c r="C4345" s="330" t="s">
        <v>12494</v>
      </c>
      <c r="D4345" s="330" t="s">
        <v>12484</v>
      </c>
      <c r="E4345" s="330" t="s">
        <v>4634</v>
      </c>
      <c r="F4345" s="331">
        <v>0.21</v>
      </c>
      <c r="G4345" s="332">
        <v>274</v>
      </c>
      <c r="H4345" s="333">
        <v>332</v>
      </c>
    </row>
    <row r="4346" spans="1:8">
      <c r="A4346" s="317" t="s">
        <v>39584</v>
      </c>
      <c r="B4346" s="317" t="s">
        <v>48712</v>
      </c>
      <c r="C4346" s="330" t="s">
        <v>12495</v>
      </c>
      <c r="D4346" s="330" t="s">
        <v>9919</v>
      </c>
      <c r="E4346" s="330" t="s">
        <v>4634</v>
      </c>
      <c r="F4346" s="331">
        <v>0.21</v>
      </c>
      <c r="G4346" s="332">
        <v>1371</v>
      </c>
      <c r="H4346" s="333">
        <v>1659</v>
      </c>
    </row>
    <row r="4347" spans="1:8">
      <c r="A4347" s="317" t="s">
        <v>39585</v>
      </c>
      <c r="B4347" s="317" t="s">
        <v>48713</v>
      </c>
      <c r="C4347" s="330" t="s">
        <v>12496</v>
      </c>
      <c r="D4347" s="330" t="s">
        <v>9919</v>
      </c>
      <c r="E4347" s="330" t="s">
        <v>4634</v>
      </c>
      <c r="F4347" s="331">
        <v>0.21</v>
      </c>
      <c r="G4347" s="332">
        <v>928</v>
      </c>
      <c r="H4347" s="333">
        <v>1123</v>
      </c>
    </row>
    <row r="4348" spans="1:8">
      <c r="A4348" s="317" t="s">
        <v>39586</v>
      </c>
      <c r="B4348" s="317" t="s">
        <v>48714</v>
      </c>
      <c r="C4348" s="330" t="s">
        <v>12497</v>
      </c>
      <c r="D4348" s="330" t="s">
        <v>12498</v>
      </c>
      <c r="E4348" s="330" t="s">
        <v>4634</v>
      </c>
      <c r="F4348" s="331">
        <v>0.21</v>
      </c>
      <c r="G4348" s="332">
        <v>1882</v>
      </c>
      <c r="H4348" s="333">
        <v>2278</v>
      </c>
    </row>
    <row r="4349" spans="1:8">
      <c r="A4349" s="317" t="s">
        <v>39587</v>
      </c>
      <c r="B4349" s="317" t="s">
        <v>48715</v>
      </c>
      <c r="C4349" s="330" t="s">
        <v>12499</v>
      </c>
      <c r="D4349" s="330" t="s">
        <v>12500</v>
      </c>
      <c r="E4349" s="330" t="s">
        <v>4634</v>
      </c>
      <c r="F4349" s="331">
        <v>0.21</v>
      </c>
      <c r="G4349" s="332">
        <v>2299</v>
      </c>
      <c r="H4349" s="333">
        <v>2782</v>
      </c>
    </row>
    <row r="4350" spans="1:8">
      <c r="A4350" s="317" t="s">
        <v>39588</v>
      </c>
      <c r="B4350" s="317" t="s">
        <v>48716</v>
      </c>
      <c r="C4350" s="330" t="s">
        <v>12501</v>
      </c>
      <c r="D4350" s="330" t="s">
        <v>12489</v>
      </c>
      <c r="E4350" s="330" t="s">
        <v>4623</v>
      </c>
      <c r="F4350" s="331">
        <v>0.21</v>
      </c>
      <c r="G4350" s="332">
        <v>814</v>
      </c>
      <c r="H4350" s="333">
        <v>985</v>
      </c>
    </row>
    <row r="4351" spans="1:8">
      <c r="A4351" s="317" t="s">
        <v>39589</v>
      </c>
      <c r="B4351" s="317" t="s">
        <v>48717</v>
      </c>
      <c r="C4351" s="330" t="s">
        <v>12502</v>
      </c>
      <c r="D4351" s="330" t="s">
        <v>12503</v>
      </c>
      <c r="E4351" s="330" t="s">
        <v>4634</v>
      </c>
      <c r="F4351" s="331">
        <v>0.21</v>
      </c>
      <c r="G4351" s="332">
        <v>274</v>
      </c>
      <c r="H4351" s="333">
        <v>332</v>
      </c>
    </row>
    <row r="4352" spans="1:8">
      <c r="A4352" s="317" t="s">
        <v>39590</v>
      </c>
      <c r="B4352" s="317" t="s">
        <v>48718</v>
      </c>
      <c r="C4352" s="330" t="s">
        <v>12504</v>
      </c>
      <c r="D4352" s="330" t="s">
        <v>12505</v>
      </c>
      <c r="E4352" s="330" t="s">
        <v>4634</v>
      </c>
      <c r="F4352" s="331">
        <v>0.21</v>
      </c>
      <c r="G4352" s="332">
        <v>584</v>
      </c>
      <c r="H4352" s="333">
        <v>707</v>
      </c>
    </row>
    <row r="4353" spans="1:8">
      <c r="A4353" s="317" t="s">
        <v>39591</v>
      </c>
      <c r="B4353" s="317" t="s">
        <v>48719</v>
      </c>
      <c r="C4353" s="330" t="s">
        <v>12506</v>
      </c>
      <c r="D4353" s="330" t="s">
        <v>6179</v>
      </c>
      <c r="E4353" s="330" t="s">
        <v>4634</v>
      </c>
      <c r="F4353" s="331">
        <v>0.21</v>
      </c>
      <c r="G4353" s="332">
        <v>153</v>
      </c>
      <c r="H4353" s="333">
        <v>186</v>
      </c>
    </row>
    <row r="4354" spans="1:8">
      <c r="A4354" s="317" t="s">
        <v>39592</v>
      </c>
      <c r="B4354" s="317" t="s">
        <v>48720</v>
      </c>
      <c r="C4354" s="330" t="s">
        <v>12507</v>
      </c>
      <c r="D4354" s="330" t="s">
        <v>12508</v>
      </c>
      <c r="E4354" s="330" t="s">
        <v>4634</v>
      </c>
      <c r="F4354" s="331">
        <v>0.21</v>
      </c>
      <c r="G4354" s="332">
        <v>928</v>
      </c>
      <c r="H4354" s="333">
        <v>1123</v>
      </c>
    </row>
    <row r="4355" spans="1:8">
      <c r="A4355" s="317" t="s">
        <v>39593</v>
      </c>
      <c r="B4355" s="317" t="s">
        <v>48721</v>
      </c>
      <c r="C4355" s="330" t="s">
        <v>12509</v>
      </c>
      <c r="D4355" s="330" t="s">
        <v>12510</v>
      </c>
      <c r="E4355" s="330" t="s">
        <v>37248</v>
      </c>
      <c r="F4355" s="331">
        <v>0.21</v>
      </c>
      <c r="G4355" s="332">
        <v>2215</v>
      </c>
      <c r="H4355" s="333">
        <v>2681</v>
      </c>
    </row>
    <row r="4356" spans="1:8">
      <c r="A4356" s="317" t="s">
        <v>39594</v>
      </c>
      <c r="B4356" s="317" t="s">
        <v>48722</v>
      </c>
      <c r="C4356" s="330" t="s">
        <v>12511</v>
      </c>
      <c r="D4356" s="330" t="s">
        <v>6179</v>
      </c>
      <c r="E4356" s="330" t="s">
        <v>4634</v>
      </c>
      <c r="F4356" s="331">
        <v>0.21</v>
      </c>
      <c r="G4356" s="332">
        <v>153</v>
      </c>
      <c r="H4356" s="333">
        <v>186</v>
      </c>
    </row>
    <row r="4357" spans="1:8">
      <c r="A4357" s="317" t="s">
        <v>39595</v>
      </c>
      <c r="B4357" s="317" t="s">
        <v>48723</v>
      </c>
      <c r="C4357" s="330" t="s">
        <v>12512</v>
      </c>
      <c r="D4357" s="330" t="s">
        <v>8670</v>
      </c>
      <c r="E4357" s="330" t="s">
        <v>4634</v>
      </c>
      <c r="F4357" s="331">
        <v>0.21</v>
      </c>
      <c r="G4357" s="332">
        <v>274</v>
      </c>
      <c r="H4357" s="333">
        <v>332</v>
      </c>
    </row>
    <row r="4358" spans="1:8">
      <c r="A4358" s="317" t="s">
        <v>39596</v>
      </c>
      <c r="B4358" s="317" t="s">
        <v>48724</v>
      </c>
      <c r="C4358" s="330" t="s">
        <v>12513</v>
      </c>
      <c r="D4358" s="330" t="s">
        <v>12514</v>
      </c>
      <c r="E4358" s="330" t="s">
        <v>4634</v>
      </c>
      <c r="F4358" s="331">
        <v>0.21</v>
      </c>
      <c r="G4358" s="332">
        <v>153</v>
      </c>
      <c r="H4358" s="333">
        <v>186</v>
      </c>
    </row>
    <row r="4359" spans="1:8">
      <c r="A4359" s="317" t="s">
        <v>39597</v>
      </c>
      <c r="B4359" s="317" t="s">
        <v>48725</v>
      </c>
      <c r="C4359" s="330" t="s">
        <v>12515</v>
      </c>
      <c r="D4359" s="330" t="s">
        <v>12516</v>
      </c>
      <c r="E4359" s="330" t="s">
        <v>4623</v>
      </c>
      <c r="F4359" s="331">
        <v>0.21</v>
      </c>
      <c r="G4359" s="332">
        <v>2079</v>
      </c>
      <c r="H4359" s="333">
        <v>2516</v>
      </c>
    </row>
    <row r="4360" spans="1:8">
      <c r="A4360" s="317" t="s">
        <v>39598</v>
      </c>
      <c r="B4360" s="317" t="s">
        <v>48726</v>
      </c>
      <c r="C4360" s="330" t="s">
        <v>12517</v>
      </c>
      <c r="D4360" s="330" t="s">
        <v>12461</v>
      </c>
      <c r="E4360" s="330" t="s">
        <v>4634</v>
      </c>
      <c r="F4360" s="331">
        <v>0.21</v>
      </c>
      <c r="G4360" s="332">
        <v>539</v>
      </c>
      <c r="H4360" s="333">
        <v>653</v>
      </c>
    </row>
    <row r="4361" spans="1:8">
      <c r="A4361" s="317" t="s">
        <v>39599</v>
      </c>
      <c r="B4361" s="317" t="s">
        <v>48727</v>
      </c>
      <c r="C4361" s="330" t="s">
        <v>12518</v>
      </c>
      <c r="D4361" s="330" t="s">
        <v>12519</v>
      </c>
      <c r="E4361" s="330" t="s">
        <v>4623</v>
      </c>
      <c r="F4361" s="331">
        <v>0.21</v>
      </c>
      <c r="G4361" s="332">
        <v>1827</v>
      </c>
      <c r="H4361" s="333">
        <v>2211</v>
      </c>
    </row>
    <row r="4362" spans="1:8">
      <c r="A4362" s="317" t="s">
        <v>39600</v>
      </c>
      <c r="B4362" s="317" t="s">
        <v>48728</v>
      </c>
      <c r="C4362" s="330" t="s">
        <v>12520</v>
      </c>
      <c r="D4362" s="330" t="s">
        <v>12521</v>
      </c>
      <c r="E4362" s="330" t="s">
        <v>37248</v>
      </c>
      <c r="F4362" s="331">
        <v>0.21</v>
      </c>
      <c r="G4362" s="332">
        <v>764</v>
      </c>
      <c r="H4362" s="333">
        <v>925</v>
      </c>
    </row>
    <row r="4363" spans="1:8">
      <c r="A4363" s="317" t="s">
        <v>39601</v>
      </c>
      <c r="B4363" s="317" t="s">
        <v>48729</v>
      </c>
      <c r="C4363" s="330" t="s">
        <v>12522</v>
      </c>
      <c r="D4363" s="330" t="s">
        <v>12523</v>
      </c>
      <c r="E4363" s="330" t="s">
        <v>37248</v>
      </c>
      <c r="F4363" s="331">
        <v>0.21</v>
      </c>
      <c r="G4363" s="332">
        <v>24640</v>
      </c>
      <c r="H4363" s="333">
        <v>29815</v>
      </c>
    </row>
    <row r="4364" spans="1:8">
      <c r="A4364" s="317" t="s">
        <v>39602</v>
      </c>
      <c r="B4364" s="317" t="s">
        <v>48730</v>
      </c>
      <c r="C4364" s="330" t="s">
        <v>12524</v>
      </c>
      <c r="D4364" s="330" t="s">
        <v>12523</v>
      </c>
      <c r="E4364" s="330" t="s">
        <v>4634</v>
      </c>
      <c r="F4364" s="331">
        <v>0.21</v>
      </c>
      <c r="G4364" s="332">
        <v>8691</v>
      </c>
      <c r="H4364" s="333">
        <v>10517</v>
      </c>
    </row>
    <row r="4365" spans="1:8">
      <c r="A4365" s="317" t="s">
        <v>39603</v>
      </c>
      <c r="B4365" s="317" t="s">
        <v>48731</v>
      </c>
      <c r="C4365" s="330" t="s">
        <v>12525</v>
      </c>
      <c r="D4365" s="330" t="s">
        <v>12526</v>
      </c>
      <c r="E4365" s="330" t="s">
        <v>4634</v>
      </c>
      <c r="F4365" s="331">
        <v>0.21</v>
      </c>
      <c r="G4365" s="332">
        <v>1882</v>
      </c>
      <c r="H4365" s="333">
        <v>2278</v>
      </c>
    </row>
    <row r="4366" spans="1:8">
      <c r="A4366" s="317" t="s">
        <v>39604</v>
      </c>
      <c r="B4366" s="317" t="s">
        <v>48732</v>
      </c>
      <c r="C4366" s="330" t="s">
        <v>12527</v>
      </c>
      <c r="D4366" s="330" t="s">
        <v>12526</v>
      </c>
      <c r="E4366" s="330" t="s">
        <v>4623</v>
      </c>
      <c r="F4366" s="331">
        <v>0.21</v>
      </c>
      <c r="G4366" s="332">
        <v>8246</v>
      </c>
      <c r="H4366" s="333">
        <v>9978</v>
      </c>
    </row>
    <row r="4367" spans="1:8">
      <c r="A4367" s="317" t="s">
        <v>39605</v>
      </c>
      <c r="B4367" s="317" t="s">
        <v>48733</v>
      </c>
      <c r="C4367" s="330" t="s">
        <v>12528</v>
      </c>
      <c r="D4367" s="330" t="s">
        <v>12529</v>
      </c>
      <c r="E4367" s="330" t="s">
        <v>4634</v>
      </c>
      <c r="F4367" s="331">
        <v>0.21</v>
      </c>
      <c r="G4367" s="332">
        <v>584</v>
      </c>
      <c r="H4367" s="333">
        <v>707</v>
      </c>
    </row>
    <row r="4368" spans="1:8">
      <c r="A4368" s="317" t="s">
        <v>39606</v>
      </c>
      <c r="B4368" s="317" t="s">
        <v>48734</v>
      </c>
      <c r="C4368" s="330" t="s">
        <v>12530</v>
      </c>
      <c r="D4368" s="330" t="s">
        <v>12510</v>
      </c>
      <c r="E4368" s="330" t="s">
        <v>4634</v>
      </c>
      <c r="F4368" s="331">
        <v>0.21</v>
      </c>
      <c r="G4368" s="332">
        <v>539</v>
      </c>
      <c r="H4368" s="333">
        <v>653</v>
      </c>
    </row>
    <row r="4369" spans="1:8">
      <c r="A4369" s="317" t="s">
        <v>39607</v>
      </c>
      <c r="B4369" s="317" t="s">
        <v>48735</v>
      </c>
      <c r="C4369" s="330" t="s">
        <v>12531</v>
      </c>
      <c r="D4369" s="330" t="s">
        <v>12532</v>
      </c>
      <c r="E4369" s="330" t="s">
        <v>4623</v>
      </c>
      <c r="F4369" s="331">
        <v>0.21</v>
      </c>
      <c r="G4369" s="332">
        <v>4497</v>
      </c>
      <c r="H4369" s="333">
        <v>5442</v>
      </c>
    </row>
    <row r="4370" spans="1:8">
      <c r="A4370" s="317" t="s">
        <v>39608</v>
      </c>
      <c r="B4370" s="317" t="s">
        <v>48736</v>
      </c>
      <c r="C4370" s="330" t="s">
        <v>12533</v>
      </c>
      <c r="D4370" s="330" t="s">
        <v>12534</v>
      </c>
      <c r="E4370" s="330" t="s">
        <v>4634</v>
      </c>
      <c r="F4370" s="331">
        <v>0.21</v>
      </c>
      <c r="G4370" s="332">
        <v>432</v>
      </c>
      <c r="H4370" s="333">
        <v>523</v>
      </c>
    </row>
    <row r="4371" spans="1:8">
      <c r="A4371" s="317" t="s">
        <v>39609</v>
      </c>
      <c r="B4371" s="317" t="s">
        <v>48737</v>
      </c>
      <c r="C4371" s="330" t="s">
        <v>12535</v>
      </c>
      <c r="D4371" s="330" t="s">
        <v>7424</v>
      </c>
      <c r="E4371" s="330" t="s">
        <v>4634</v>
      </c>
      <c r="F4371" s="331">
        <v>0.21</v>
      </c>
      <c r="G4371" s="332">
        <v>1798</v>
      </c>
      <c r="H4371" s="333">
        <v>2176</v>
      </c>
    </row>
    <row r="4372" spans="1:8">
      <c r="A4372" s="317" t="s">
        <v>39610</v>
      </c>
      <c r="B4372" s="317" t="s">
        <v>48738</v>
      </c>
      <c r="C4372" s="330" t="s">
        <v>12536</v>
      </c>
      <c r="D4372" s="330" t="s">
        <v>12463</v>
      </c>
      <c r="E4372" s="330" t="s">
        <v>4634</v>
      </c>
      <c r="F4372" s="331">
        <v>0.21</v>
      </c>
      <c r="G4372" s="332">
        <v>274</v>
      </c>
      <c r="H4372" s="333">
        <v>332</v>
      </c>
    </row>
    <row r="4373" spans="1:8">
      <c r="A4373" s="317" t="s">
        <v>39611</v>
      </c>
      <c r="B4373" s="317" t="s">
        <v>48739</v>
      </c>
      <c r="C4373" s="330" t="s">
        <v>12537</v>
      </c>
      <c r="D4373" s="330" t="s">
        <v>12538</v>
      </c>
      <c r="E4373" s="330" t="s">
        <v>4623</v>
      </c>
      <c r="F4373" s="331">
        <v>0.21</v>
      </c>
      <c r="G4373" s="332">
        <v>1229</v>
      </c>
      <c r="H4373" s="333">
        <v>1488</v>
      </c>
    </row>
    <row r="4374" spans="1:8">
      <c r="A4374" s="317" t="s">
        <v>39612</v>
      </c>
      <c r="B4374" s="317" t="s">
        <v>48740</v>
      </c>
      <c r="C4374" s="330" t="s">
        <v>12539</v>
      </c>
      <c r="D4374" s="330" t="s">
        <v>12519</v>
      </c>
      <c r="E4374" s="330" t="s">
        <v>4623</v>
      </c>
      <c r="F4374" s="331">
        <v>0.21</v>
      </c>
      <c r="G4374" s="332">
        <v>2910</v>
      </c>
      <c r="H4374" s="333">
        <v>3522</v>
      </c>
    </row>
    <row r="4375" spans="1:8">
      <c r="A4375" s="317" t="s">
        <v>39613</v>
      </c>
      <c r="B4375" s="317" t="s">
        <v>48741</v>
      </c>
      <c r="C4375" s="330" t="s">
        <v>12540</v>
      </c>
      <c r="D4375" s="330" t="s">
        <v>12442</v>
      </c>
      <c r="E4375" s="330" t="s">
        <v>4623</v>
      </c>
      <c r="F4375" s="331">
        <v>0.21</v>
      </c>
      <c r="G4375" s="332">
        <v>1344</v>
      </c>
      <c r="H4375" s="333">
        <v>1627</v>
      </c>
    </row>
    <row r="4376" spans="1:8">
      <c r="A4376" s="317" t="s">
        <v>39614</v>
      </c>
      <c r="B4376" s="317" t="s">
        <v>48742</v>
      </c>
      <c r="C4376" s="330" t="s">
        <v>12541</v>
      </c>
      <c r="D4376" s="330" t="s">
        <v>7879</v>
      </c>
      <c r="E4376" s="330" t="s">
        <v>4634</v>
      </c>
      <c r="F4376" s="331">
        <v>0.21</v>
      </c>
      <c r="G4376" s="332">
        <v>274</v>
      </c>
      <c r="H4376" s="333">
        <v>332</v>
      </c>
    </row>
    <row r="4377" spans="1:8">
      <c r="A4377" s="317" t="s">
        <v>39615</v>
      </c>
      <c r="B4377" s="317" t="s">
        <v>48743</v>
      </c>
      <c r="C4377" s="330" t="s">
        <v>12542</v>
      </c>
      <c r="D4377" s="330" t="s">
        <v>12442</v>
      </c>
      <c r="E4377" s="330" t="s">
        <v>37248</v>
      </c>
      <c r="F4377" s="331">
        <v>0.21</v>
      </c>
      <c r="G4377" s="332">
        <v>1072</v>
      </c>
      <c r="H4377" s="333">
        <v>1298</v>
      </c>
    </row>
    <row r="4378" spans="1:8">
      <c r="A4378" s="317" t="s">
        <v>39616</v>
      </c>
      <c r="B4378" s="317" t="s">
        <v>48744</v>
      </c>
      <c r="C4378" s="330" t="s">
        <v>12543</v>
      </c>
      <c r="D4378" s="330" t="s">
        <v>12544</v>
      </c>
      <c r="E4378" s="330" t="s">
        <v>4634</v>
      </c>
      <c r="F4378" s="331">
        <v>0.21</v>
      </c>
      <c r="G4378" s="332">
        <v>2768</v>
      </c>
      <c r="H4378" s="333">
        <v>3350</v>
      </c>
    </row>
    <row r="4379" spans="1:8">
      <c r="A4379" s="317" t="s">
        <v>39617</v>
      </c>
      <c r="B4379" s="317" t="s">
        <v>48745</v>
      </c>
      <c r="C4379" s="330" t="s">
        <v>12545</v>
      </c>
      <c r="D4379" s="330" t="s">
        <v>12546</v>
      </c>
      <c r="E4379" s="330" t="s">
        <v>4623</v>
      </c>
      <c r="F4379" s="331">
        <v>0.21</v>
      </c>
      <c r="G4379" s="332">
        <v>1344</v>
      </c>
      <c r="H4379" s="333">
        <v>1627</v>
      </c>
    </row>
    <row r="4380" spans="1:8">
      <c r="A4380" s="317" t="s">
        <v>39618</v>
      </c>
      <c r="B4380" s="317" t="s">
        <v>48746</v>
      </c>
      <c r="C4380" s="330" t="s">
        <v>12547</v>
      </c>
      <c r="D4380" s="330" t="s">
        <v>12546</v>
      </c>
      <c r="E4380" s="330" t="s">
        <v>4623</v>
      </c>
      <c r="F4380" s="331">
        <v>0.21</v>
      </c>
      <c r="G4380" s="332">
        <v>1344</v>
      </c>
      <c r="H4380" s="333">
        <v>1627</v>
      </c>
    </row>
    <row r="4381" spans="1:8">
      <c r="A4381" s="317" t="s">
        <v>39619</v>
      </c>
      <c r="B4381" s="317" t="s">
        <v>48747</v>
      </c>
      <c r="C4381" s="330" t="s">
        <v>12548</v>
      </c>
      <c r="D4381" s="330" t="s">
        <v>12549</v>
      </c>
      <c r="E4381" s="330" t="s">
        <v>4623</v>
      </c>
      <c r="F4381" s="331">
        <v>0.21</v>
      </c>
      <c r="G4381" s="332">
        <v>1344</v>
      </c>
      <c r="H4381" s="333">
        <v>1627</v>
      </c>
    </row>
    <row r="4382" spans="1:8">
      <c r="A4382" s="317" t="s">
        <v>39620</v>
      </c>
      <c r="B4382" s="317" t="s">
        <v>48748</v>
      </c>
      <c r="C4382" s="330" t="s">
        <v>12550</v>
      </c>
      <c r="D4382" s="330" t="s">
        <v>12551</v>
      </c>
      <c r="E4382" s="330" t="s">
        <v>37248</v>
      </c>
      <c r="F4382" s="331">
        <v>0.21</v>
      </c>
      <c r="G4382" s="332">
        <v>758</v>
      </c>
      <c r="H4382" s="333">
        <v>918</v>
      </c>
    </row>
    <row r="4383" spans="1:8">
      <c r="A4383" s="317" t="s">
        <v>39621</v>
      </c>
      <c r="B4383" s="317" t="s">
        <v>48749</v>
      </c>
      <c r="C4383" s="330" t="s">
        <v>12552</v>
      </c>
      <c r="D4383" s="330" t="s">
        <v>12553</v>
      </c>
      <c r="E4383" s="330" t="s">
        <v>4623</v>
      </c>
      <c r="F4383" s="331">
        <v>0.21</v>
      </c>
      <c r="G4383" s="332">
        <v>2079</v>
      </c>
      <c r="H4383" s="333">
        <v>2516</v>
      </c>
    </row>
    <row r="4384" spans="1:8">
      <c r="A4384" s="317" t="s">
        <v>39622</v>
      </c>
      <c r="B4384" s="317" t="s">
        <v>48750</v>
      </c>
      <c r="C4384" s="330" t="s">
        <v>12554</v>
      </c>
      <c r="D4384" s="330" t="s">
        <v>12553</v>
      </c>
      <c r="E4384" s="330" t="s">
        <v>4623</v>
      </c>
      <c r="F4384" s="331">
        <v>0.21</v>
      </c>
      <c r="G4384" s="332">
        <v>2079</v>
      </c>
      <c r="H4384" s="333">
        <v>2516</v>
      </c>
    </row>
    <row r="4385" spans="1:8">
      <c r="A4385" s="317" t="s">
        <v>39623</v>
      </c>
      <c r="B4385" s="317" t="s">
        <v>48751</v>
      </c>
      <c r="C4385" s="330" t="s">
        <v>12555</v>
      </c>
      <c r="D4385" s="330" t="s">
        <v>12538</v>
      </c>
      <c r="E4385" s="330" t="s">
        <v>4623</v>
      </c>
      <c r="F4385" s="331">
        <v>0.21</v>
      </c>
      <c r="G4385" s="332">
        <v>1344</v>
      </c>
      <c r="H4385" s="333">
        <v>1627</v>
      </c>
    </row>
    <row r="4386" spans="1:8">
      <c r="A4386" s="317" t="s">
        <v>39624</v>
      </c>
      <c r="B4386" s="317" t="s">
        <v>48752</v>
      </c>
      <c r="C4386" s="330" t="s">
        <v>12556</v>
      </c>
      <c r="D4386" s="330" t="s">
        <v>9919</v>
      </c>
      <c r="E4386" s="330" t="s">
        <v>4634</v>
      </c>
      <c r="F4386" s="331">
        <v>0.21</v>
      </c>
      <c r="G4386" s="332">
        <v>274</v>
      </c>
      <c r="H4386" s="333">
        <v>332</v>
      </c>
    </row>
    <row r="4387" spans="1:8">
      <c r="A4387" s="317" t="s">
        <v>39625</v>
      </c>
      <c r="B4387" s="317" t="s">
        <v>48753</v>
      </c>
      <c r="C4387" s="330" t="s">
        <v>12557</v>
      </c>
      <c r="D4387" s="330" t="s">
        <v>12558</v>
      </c>
      <c r="E4387" s="330" t="s">
        <v>4634</v>
      </c>
      <c r="F4387" s="331">
        <v>0.21</v>
      </c>
      <c r="G4387" s="332">
        <v>432</v>
      </c>
      <c r="H4387" s="333">
        <v>523</v>
      </c>
    </row>
    <row r="4388" spans="1:8">
      <c r="A4388" s="317" t="s">
        <v>39626</v>
      </c>
      <c r="B4388" s="317" t="s">
        <v>48754</v>
      </c>
      <c r="C4388" s="330" t="s">
        <v>12559</v>
      </c>
      <c r="D4388" s="330" t="s">
        <v>12526</v>
      </c>
      <c r="E4388" s="330" t="s">
        <v>4634</v>
      </c>
      <c r="F4388" s="331">
        <v>0.21</v>
      </c>
      <c r="G4388" s="332">
        <v>1150</v>
      </c>
      <c r="H4388" s="333">
        <v>1392</v>
      </c>
    </row>
    <row r="4389" spans="1:8">
      <c r="A4389" s="317" t="s">
        <v>39627</v>
      </c>
      <c r="B4389" s="317" t="s">
        <v>48755</v>
      </c>
      <c r="C4389" s="330" t="s">
        <v>12560</v>
      </c>
      <c r="D4389" s="330" t="s">
        <v>7235</v>
      </c>
      <c r="E4389" s="330" t="s">
        <v>4623</v>
      </c>
      <c r="F4389" s="331">
        <v>0.21</v>
      </c>
      <c r="G4389" s="332">
        <v>2079</v>
      </c>
      <c r="H4389" s="333">
        <v>2516</v>
      </c>
    </row>
    <row r="4390" spans="1:8">
      <c r="A4390" s="317" t="s">
        <v>39628</v>
      </c>
      <c r="B4390" s="317" t="s">
        <v>48756</v>
      </c>
      <c r="C4390" s="330" t="s">
        <v>12561</v>
      </c>
      <c r="D4390" s="330" t="s">
        <v>12562</v>
      </c>
      <c r="E4390" s="330" t="s">
        <v>4634</v>
      </c>
      <c r="F4390" s="331">
        <v>0.21</v>
      </c>
      <c r="G4390" s="332">
        <v>426</v>
      </c>
      <c r="H4390" s="333">
        <v>516</v>
      </c>
    </row>
    <row r="4391" spans="1:8">
      <c r="A4391" s="317" t="s">
        <v>39629</v>
      </c>
      <c r="B4391" s="317" t="s">
        <v>48757</v>
      </c>
      <c r="C4391" s="330" t="s">
        <v>12563</v>
      </c>
      <c r="D4391" s="330" t="s">
        <v>12562</v>
      </c>
      <c r="E4391" s="330" t="s">
        <v>4634</v>
      </c>
      <c r="F4391" s="331">
        <v>0.21</v>
      </c>
      <c r="G4391" s="332">
        <v>274</v>
      </c>
      <c r="H4391" s="333">
        <v>332</v>
      </c>
    </row>
    <row r="4392" spans="1:8">
      <c r="A4392" s="317" t="s">
        <v>39630</v>
      </c>
      <c r="B4392" s="317" t="s">
        <v>48758</v>
      </c>
      <c r="C4392" s="330" t="s">
        <v>12564</v>
      </c>
      <c r="D4392" s="330" t="s">
        <v>12468</v>
      </c>
      <c r="E4392" s="330" t="s">
        <v>4634</v>
      </c>
      <c r="F4392" s="331">
        <v>0.21</v>
      </c>
      <c r="G4392" s="332">
        <v>274</v>
      </c>
      <c r="H4392" s="333">
        <v>332</v>
      </c>
    </row>
    <row r="4393" spans="1:8">
      <c r="A4393" s="317" t="s">
        <v>39631</v>
      </c>
      <c r="B4393" s="317" t="s">
        <v>48759</v>
      </c>
      <c r="C4393" s="330" t="s">
        <v>12565</v>
      </c>
      <c r="D4393" s="330" t="s">
        <v>12442</v>
      </c>
      <c r="E4393" s="330" t="s">
        <v>37248</v>
      </c>
      <c r="F4393" s="331">
        <v>0.21</v>
      </c>
      <c r="G4393" s="332">
        <v>1963</v>
      </c>
      <c r="H4393" s="333">
        <v>2376</v>
      </c>
    </row>
    <row r="4394" spans="1:8">
      <c r="A4394" s="317" t="s">
        <v>39632</v>
      </c>
      <c r="B4394" s="317" t="s">
        <v>48760</v>
      </c>
      <c r="C4394" s="330" t="s">
        <v>12566</v>
      </c>
      <c r="D4394" s="330" t="s">
        <v>7879</v>
      </c>
      <c r="E4394" s="330" t="s">
        <v>4634</v>
      </c>
      <c r="F4394" s="331">
        <v>0.21</v>
      </c>
      <c r="G4394" s="332">
        <v>791</v>
      </c>
      <c r="H4394" s="333">
        <v>958</v>
      </c>
    </row>
    <row r="4395" spans="1:8">
      <c r="A4395" s="317" t="s">
        <v>39633</v>
      </c>
      <c r="B4395" s="317" t="s">
        <v>48761</v>
      </c>
      <c r="C4395" s="330" t="s">
        <v>12567</v>
      </c>
      <c r="D4395" s="330" t="s">
        <v>12568</v>
      </c>
      <c r="E4395" s="330" t="s">
        <v>4634</v>
      </c>
      <c r="F4395" s="331">
        <v>0.21</v>
      </c>
      <c r="G4395" s="332">
        <v>372</v>
      </c>
      <c r="H4395" s="333">
        <v>451</v>
      </c>
    </row>
    <row r="4396" spans="1:8">
      <c r="A4396" s="317" t="s">
        <v>39634</v>
      </c>
      <c r="B4396" s="317" t="s">
        <v>48762</v>
      </c>
      <c r="C4396" s="330" t="s">
        <v>12569</v>
      </c>
      <c r="D4396" s="330" t="s">
        <v>10448</v>
      </c>
      <c r="E4396" s="330" t="s">
        <v>4634</v>
      </c>
      <c r="F4396" s="331">
        <v>0.21</v>
      </c>
      <c r="G4396" s="332">
        <v>1713</v>
      </c>
      <c r="H4396" s="333">
        <v>2073</v>
      </c>
    </row>
    <row r="4397" spans="1:8">
      <c r="A4397" s="317" t="s">
        <v>39635</v>
      </c>
      <c r="B4397" s="317" t="s">
        <v>48763</v>
      </c>
      <c r="C4397" s="330" t="s">
        <v>12570</v>
      </c>
      <c r="D4397" s="330" t="s">
        <v>12571</v>
      </c>
      <c r="E4397" s="330" t="s">
        <v>4819</v>
      </c>
      <c r="F4397" s="331">
        <v>0.21</v>
      </c>
      <c r="G4397" s="332">
        <v>22896</v>
      </c>
      <c r="H4397" s="333">
        <v>27705</v>
      </c>
    </row>
    <row r="4398" spans="1:8">
      <c r="A4398" s="317" t="s">
        <v>39636</v>
      </c>
      <c r="B4398" s="317" t="s">
        <v>48764</v>
      </c>
      <c r="C4398" s="330" t="s">
        <v>12572</v>
      </c>
      <c r="D4398" s="330" t="s">
        <v>12573</v>
      </c>
      <c r="E4398" s="330" t="s">
        <v>4819</v>
      </c>
      <c r="F4398" s="331">
        <v>0.21</v>
      </c>
      <c r="G4398" s="332">
        <v>14203</v>
      </c>
      <c r="H4398" s="333">
        <v>17186</v>
      </c>
    </row>
    <row r="4399" spans="1:8">
      <c r="A4399" s="317" t="s">
        <v>39637</v>
      </c>
      <c r="B4399" s="317" t="s">
        <v>48765</v>
      </c>
      <c r="C4399" s="330" t="s">
        <v>12574</v>
      </c>
      <c r="D4399" s="330" t="s">
        <v>11098</v>
      </c>
      <c r="E4399" s="330" t="s">
        <v>4819</v>
      </c>
      <c r="F4399" s="331">
        <v>0.21</v>
      </c>
      <c r="G4399" s="332">
        <v>9145</v>
      </c>
      <c r="H4399" s="333">
        <v>11066</v>
      </c>
    </row>
    <row r="4400" spans="1:8">
      <c r="A4400" s="317" t="s">
        <v>39638</v>
      </c>
      <c r="B4400" s="317" t="s">
        <v>48766</v>
      </c>
      <c r="C4400" s="330" t="s">
        <v>12575</v>
      </c>
      <c r="D4400" s="330" t="s">
        <v>12576</v>
      </c>
      <c r="E4400" s="330" t="s">
        <v>4634</v>
      </c>
      <c r="F4400" s="331">
        <v>0.21</v>
      </c>
      <c r="G4400" s="332">
        <v>3383</v>
      </c>
      <c r="H4400" s="333">
        <v>4094</v>
      </c>
    </row>
    <row r="4401" spans="1:8">
      <c r="A4401" s="317" t="s">
        <v>39639</v>
      </c>
      <c r="B4401" s="317" t="s">
        <v>48767</v>
      </c>
      <c r="C4401" s="330" t="s">
        <v>12577</v>
      </c>
      <c r="D4401" s="330" t="s">
        <v>12578</v>
      </c>
      <c r="E4401" s="330" t="s">
        <v>4634</v>
      </c>
      <c r="F4401" s="331">
        <v>0.21</v>
      </c>
      <c r="G4401" s="332">
        <v>153</v>
      </c>
      <c r="H4401" s="333">
        <v>186</v>
      </c>
    </row>
    <row r="4402" spans="1:8">
      <c r="A4402" s="317" t="s">
        <v>39640</v>
      </c>
      <c r="B4402" s="317" t="s">
        <v>48768</v>
      </c>
      <c r="C4402" s="330" t="s">
        <v>12579</v>
      </c>
      <c r="D4402" s="330" t="s">
        <v>12580</v>
      </c>
      <c r="E4402" s="330" t="s">
        <v>4634</v>
      </c>
      <c r="F4402" s="331">
        <v>0.21</v>
      </c>
      <c r="G4402" s="332">
        <v>426</v>
      </c>
      <c r="H4402" s="333">
        <v>516</v>
      </c>
    </row>
    <row r="4403" spans="1:8">
      <c r="A4403" s="317" t="s">
        <v>39641</v>
      </c>
      <c r="B4403" s="317" t="s">
        <v>48769</v>
      </c>
      <c r="C4403" s="330" t="s">
        <v>12581</v>
      </c>
      <c r="D4403" s="330" t="s">
        <v>6179</v>
      </c>
      <c r="E4403" s="330" t="s">
        <v>4634</v>
      </c>
      <c r="F4403" s="331">
        <v>0.21</v>
      </c>
      <c r="G4403" s="332">
        <v>153</v>
      </c>
      <c r="H4403" s="333">
        <v>186</v>
      </c>
    </row>
    <row r="4404" spans="1:8">
      <c r="A4404" s="317" t="s">
        <v>39642</v>
      </c>
      <c r="B4404" s="317" t="s">
        <v>48770</v>
      </c>
      <c r="C4404" s="330" t="s">
        <v>12582</v>
      </c>
      <c r="D4404" s="330" t="s">
        <v>12583</v>
      </c>
      <c r="E4404" s="330" t="s">
        <v>37248</v>
      </c>
      <c r="F4404" s="331">
        <v>0.21</v>
      </c>
      <c r="G4404" s="332">
        <v>75004</v>
      </c>
      <c r="H4404" s="333">
        <v>90755</v>
      </c>
    </row>
    <row r="4405" spans="1:8">
      <c r="A4405" s="317" t="s">
        <v>39643</v>
      </c>
      <c r="B4405" s="317" t="s">
        <v>48771</v>
      </c>
      <c r="C4405" s="330" t="s">
        <v>12584</v>
      </c>
      <c r="D4405" s="330" t="s">
        <v>12585</v>
      </c>
      <c r="E4405" s="330" t="s">
        <v>37248</v>
      </c>
      <c r="F4405" s="331">
        <v>0.21</v>
      </c>
      <c r="G4405" s="332">
        <v>653</v>
      </c>
      <c r="H4405" s="333">
        <v>791</v>
      </c>
    </row>
    <row r="4406" spans="1:8">
      <c r="A4406" s="317" t="s">
        <v>39644</v>
      </c>
      <c r="B4406" s="317" t="s">
        <v>48772</v>
      </c>
      <c r="C4406" s="330" t="s">
        <v>12586</v>
      </c>
      <c r="D4406" s="330" t="s">
        <v>7235</v>
      </c>
      <c r="E4406" s="330" t="s">
        <v>37248</v>
      </c>
      <c r="F4406" s="331">
        <v>0.21</v>
      </c>
      <c r="G4406" s="332">
        <v>479</v>
      </c>
      <c r="H4406" s="333">
        <v>580</v>
      </c>
    </row>
    <row r="4407" spans="1:8">
      <c r="A4407" s="317" t="s">
        <v>39645</v>
      </c>
      <c r="B4407" s="317" t="s">
        <v>48773</v>
      </c>
      <c r="C4407" s="330" t="s">
        <v>12587</v>
      </c>
      <c r="D4407" s="330" t="s">
        <v>12465</v>
      </c>
      <c r="E4407" s="330" t="s">
        <v>37248</v>
      </c>
      <c r="F4407" s="331">
        <v>0.21</v>
      </c>
      <c r="G4407" s="332">
        <v>591</v>
      </c>
      <c r="H4407" s="333">
        <v>716</v>
      </c>
    </row>
    <row r="4408" spans="1:8">
      <c r="A4408" s="317" t="s">
        <v>39646</v>
      </c>
      <c r="B4408" s="317" t="s">
        <v>48774</v>
      </c>
      <c r="C4408" s="330" t="s">
        <v>12588</v>
      </c>
      <c r="D4408" s="330" t="s">
        <v>6179</v>
      </c>
      <c r="E4408" s="330" t="s">
        <v>4634</v>
      </c>
      <c r="F4408" s="331">
        <v>0.21</v>
      </c>
      <c r="G4408" s="332">
        <v>153</v>
      </c>
      <c r="H4408" s="333">
        <v>186</v>
      </c>
    </row>
    <row r="4409" spans="1:8">
      <c r="A4409" s="317" t="s">
        <v>39647</v>
      </c>
      <c r="B4409" s="317" t="s">
        <v>48775</v>
      </c>
      <c r="C4409" s="330" t="s">
        <v>12589</v>
      </c>
      <c r="D4409" s="330" t="s">
        <v>12590</v>
      </c>
      <c r="E4409" s="330" t="s">
        <v>4634</v>
      </c>
      <c r="F4409" s="331">
        <v>0.21</v>
      </c>
      <c r="G4409" s="332">
        <v>153</v>
      </c>
      <c r="H4409" s="333">
        <v>186</v>
      </c>
    </row>
    <row r="4410" spans="1:8">
      <c r="A4410" s="317" t="s">
        <v>39648</v>
      </c>
      <c r="B4410" s="317" t="s">
        <v>48776</v>
      </c>
      <c r="C4410" s="330" t="s">
        <v>12591</v>
      </c>
      <c r="D4410" s="330" t="s">
        <v>12592</v>
      </c>
      <c r="E4410" s="330" t="s">
        <v>4634</v>
      </c>
      <c r="F4410" s="331">
        <v>0.21</v>
      </c>
      <c r="G4410" s="332">
        <v>584</v>
      </c>
      <c r="H4410" s="333">
        <v>707</v>
      </c>
    </row>
    <row r="4411" spans="1:8">
      <c r="A4411" s="317" t="s">
        <v>39649</v>
      </c>
      <c r="B4411" s="317" t="s">
        <v>48777</v>
      </c>
      <c r="C4411" s="330" t="s">
        <v>12593</v>
      </c>
      <c r="D4411" s="330" t="s">
        <v>12594</v>
      </c>
      <c r="E4411" s="330" t="s">
        <v>4623</v>
      </c>
      <c r="F4411" s="331">
        <v>0.21</v>
      </c>
      <c r="G4411" s="332">
        <v>2910</v>
      </c>
      <c r="H4411" s="333">
        <v>3522</v>
      </c>
    </row>
    <row r="4412" spans="1:8">
      <c r="A4412" s="317" t="s">
        <v>39650</v>
      </c>
      <c r="B4412" s="317" t="s">
        <v>48778</v>
      </c>
      <c r="C4412" s="330" t="s">
        <v>12595</v>
      </c>
      <c r="D4412" s="330" t="s">
        <v>12442</v>
      </c>
      <c r="E4412" s="330" t="s">
        <v>4623</v>
      </c>
      <c r="F4412" s="331">
        <v>0.21</v>
      </c>
      <c r="G4412" s="332">
        <v>2591</v>
      </c>
      <c r="H4412" s="333">
        <v>3136</v>
      </c>
    </row>
    <row r="4413" spans="1:8">
      <c r="A4413" s="317" t="s">
        <v>39651</v>
      </c>
      <c r="B4413" s="317" t="s">
        <v>48779</v>
      </c>
      <c r="C4413" s="330" t="s">
        <v>12596</v>
      </c>
      <c r="D4413" s="330" t="s">
        <v>12532</v>
      </c>
      <c r="E4413" s="330" t="s">
        <v>4634</v>
      </c>
      <c r="F4413" s="331">
        <v>0.21</v>
      </c>
      <c r="G4413" s="332">
        <v>153</v>
      </c>
      <c r="H4413" s="333">
        <v>186</v>
      </c>
    </row>
    <row r="4414" spans="1:8">
      <c r="A4414" s="317" t="s">
        <v>39652</v>
      </c>
      <c r="B4414" s="317" t="s">
        <v>48780</v>
      </c>
      <c r="C4414" s="330" t="s">
        <v>12597</v>
      </c>
      <c r="D4414" s="330" t="s">
        <v>12410</v>
      </c>
      <c r="E4414" s="330" t="s">
        <v>37248</v>
      </c>
      <c r="F4414" s="331">
        <v>0.21</v>
      </c>
      <c r="G4414" s="332">
        <v>1247</v>
      </c>
      <c r="H4414" s="333">
        <v>1509</v>
      </c>
    </row>
    <row r="4415" spans="1:8">
      <c r="A4415" s="317" t="s">
        <v>39653</v>
      </c>
      <c r="B4415" s="317" t="s">
        <v>48781</v>
      </c>
      <c r="C4415" s="330" t="s">
        <v>12598</v>
      </c>
      <c r="D4415" s="330" t="s">
        <v>7235</v>
      </c>
      <c r="E4415" s="330" t="s">
        <v>37248</v>
      </c>
      <c r="F4415" s="331">
        <v>0.21</v>
      </c>
      <c r="G4415" s="332">
        <v>3604</v>
      </c>
      <c r="H4415" s="333">
        <v>4361</v>
      </c>
    </row>
    <row r="4416" spans="1:8">
      <c r="A4416" s="317" t="s">
        <v>39654</v>
      </c>
      <c r="B4416" s="317" t="s">
        <v>48782</v>
      </c>
      <c r="C4416" s="330" t="s">
        <v>12599</v>
      </c>
      <c r="D4416" s="330" t="s">
        <v>7235</v>
      </c>
      <c r="E4416" s="330" t="s">
        <v>4819</v>
      </c>
      <c r="F4416" s="331">
        <v>0.21</v>
      </c>
      <c r="G4416" s="332">
        <v>479</v>
      </c>
      <c r="H4416" s="333">
        <v>580</v>
      </c>
    </row>
    <row r="4417" spans="1:8">
      <c r="A4417" s="317" t="s">
        <v>39655</v>
      </c>
      <c r="B4417" s="317" t="s">
        <v>48783</v>
      </c>
      <c r="C4417" s="330" t="s">
        <v>12600</v>
      </c>
      <c r="D4417" s="330" t="s">
        <v>12532</v>
      </c>
      <c r="E4417" s="330" t="s">
        <v>4634</v>
      </c>
      <c r="F4417" s="331">
        <v>0.21</v>
      </c>
      <c r="G4417" s="332">
        <v>153</v>
      </c>
      <c r="H4417" s="333">
        <v>186</v>
      </c>
    </row>
    <row r="4418" spans="1:8">
      <c r="A4418" s="317" t="s">
        <v>39656</v>
      </c>
      <c r="B4418" s="317" t="s">
        <v>48784</v>
      </c>
      <c r="C4418" s="330" t="s">
        <v>12601</v>
      </c>
      <c r="D4418" s="330" t="s">
        <v>6205</v>
      </c>
      <c r="E4418" s="330" t="s">
        <v>37248</v>
      </c>
      <c r="F4418" s="331">
        <v>0.21</v>
      </c>
      <c r="G4418" s="332">
        <v>671</v>
      </c>
      <c r="H4418" s="333">
        <v>812</v>
      </c>
    </row>
    <row r="4419" spans="1:8">
      <c r="A4419" s="317" t="s">
        <v>39657</v>
      </c>
      <c r="B4419" s="317" t="s">
        <v>48785</v>
      </c>
      <c r="C4419" s="330" t="s">
        <v>12602</v>
      </c>
      <c r="D4419" s="330" t="s">
        <v>12603</v>
      </c>
      <c r="E4419" s="330" t="s">
        <v>4819</v>
      </c>
      <c r="F4419" s="331">
        <v>0.21</v>
      </c>
      <c r="G4419" s="332">
        <v>479</v>
      </c>
      <c r="H4419" s="333">
        <v>580</v>
      </c>
    </row>
    <row r="4420" spans="1:8">
      <c r="A4420" s="317" t="s">
        <v>39658</v>
      </c>
      <c r="B4420" s="317" t="s">
        <v>48786</v>
      </c>
      <c r="C4420" s="330" t="s">
        <v>12604</v>
      </c>
      <c r="D4420" s="330" t="s">
        <v>12532</v>
      </c>
      <c r="E4420" s="330" t="s">
        <v>37248</v>
      </c>
      <c r="F4420" s="331">
        <v>0.21</v>
      </c>
      <c r="G4420" s="332">
        <v>696</v>
      </c>
      <c r="H4420" s="333">
        <v>843</v>
      </c>
    </row>
    <row r="4421" spans="1:8">
      <c r="A4421" s="317" t="s">
        <v>39659</v>
      </c>
      <c r="B4421" s="317" t="s">
        <v>48787</v>
      </c>
      <c r="C4421" s="330" t="s">
        <v>12605</v>
      </c>
      <c r="D4421" s="330" t="s">
        <v>12606</v>
      </c>
      <c r="E4421" s="330" t="s">
        <v>4634</v>
      </c>
      <c r="F4421" s="331">
        <v>0.21</v>
      </c>
      <c r="G4421" s="332">
        <v>4887</v>
      </c>
      <c r="H4421" s="333">
        <v>5914</v>
      </c>
    </row>
    <row r="4422" spans="1:8">
      <c r="A4422" s="317" t="s">
        <v>39660</v>
      </c>
      <c r="B4422" s="317" t="s">
        <v>48788</v>
      </c>
      <c r="C4422" s="330" t="s">
        <v>12607</v>
      </c>
      <c r="D4422" s="330" t="s">
        <v>12608</v>
      </c>
      <c r="E4422" s="330" t="s">
        <v>4634</v>
      </c>
      <c r="F4422" s="331">
        <v>0.21</v>
      </c>
      <c r="G4422" s="332">
        <v>584</v>
      </c>
      <c r="H4422" s="333">
        <v>707</v>
      </c>
    </row>
    <row r="4423" spans="1:8">
      <c r="A4423" s="317" t="s">
        <v>39661</v>
      </c>
      <c r="B4423" s="317" t="s">
        <v>48789</v>
      </c>
      <c r="C4423" s="330" t="s">
        <v>12609</v>
      </c>
      <c r="D4423" s="330" t="s">
        <v>12610</v>
      </c>
      <c r="E4423" s="330" t="s">
        <v>37248</v>
      </c>
      <c r="F4423" s="331">
        <v>0.21</v>
      </c>
      <c r="G4423" s="332">
        <v>1019</v>
      </c>
      <c r="H4423" s="333">
        <v>1233</v>
      </c>
    </row>
    <row r="4424" spans="1:8">
      <c r="A4424" s="317" t="s">
        <v>39662</v>
      </c>
      <c r="B4424" s="317" t="s">
        <v>48790</v>
      </c>
      <c r="C4424" s="330" t="s">
        <v>12611</v>
      </c>
      <c r="D4424" s="330" t="s">
        <v>12612</v>
      </c>
      <c r="E4424" s="330" t="s">
        <v>4634</v>
      </c>
      <c r="F4424" s="331">
        <v>0.21</v>
      </c>
      <c r="G4424" s="332">
        <v>153</v>
      </c>
      <c r="H4424" s="333">
        <v>186</v>
      </c>
    </row>
    <row r="4425" spans="1:8">
      <c r="A4425" s="317" t="s">
        <v>39663</v>
      </c>
      <c r="B4425" s="317" t="s">
        <v>48791</v>
      </c>
      <c r="C4425" s="330" t="s">
        <v>12613</v>
      </c>
      <c r="D4425" s="330" t="s">
        <v>12614</v>
      </c>
      <c r="E4425" s="330" t="s">
        <v>4634</v>
      </c>
      <c r="F4425" s="331">
        <v>0.21</v>
      </c>
      <c r="G4425" s="332">
        <v>432</v>
      </c>
      <c r="H4425" s="333">
        <v>523</v>
      </c>
    </row>
    <row r="4426" spans="1:8">
      <c r="A4426" s="317" t="s">
        <v>39664</v>
      </c>
      <c r="B4426" s="317" t="s">
        <v>48792</v>
      </c>
      <c r="C4426" s="330" t="s">
        <v>12615</v>
      </c>
      <c r="D4426" s="330" t="s">
        <v>12616</v>
      </c>
      <c r="E4426" s="330" t="s">
        <v>37248</v>
      </c>
      <c r="F4426" s="331">
        <v>0.21</v>
      </c>
      <c r="G4426" s="332">
        <v>107</v>
      </c>
      <c r="H4426" s="333">
        <v>130</v>
      </c>
    </row>
    <row r="4427" spans="1:8">
      <c r="A4427" s="317" t="s">
        <v>39665</v>
      </c>
      <c r="B4427" s="317" t="s">
        <v>48793</v>
      </c>
      <c r="C4427" s="330" t="s">
        <v>12617</v>
      </c>
      <c r="D4427" s="330" t="s">
        <v>12618</v>
      </c>
      <c r="E4427" s="330" t="s">
        <v>4634</v>
      </c>
      <c r="F4427" s="331">
        <v>0.21</v>
      </c>
      <c r="G4427" s="332">
        <v>1344</v>
      </c>
      <c r="H4427" s="333">
        <v>1627</v>
      </c>
    </row>
    <row r="4428" spans="1:8">
      <c r="A4428" s="317" t="s">
        <v>39666</v>
      </c>
      <c r="B4428" s="317" t="s">
        <v>48794</v>
      </c>
      <c r="C4428" s="330" t="s">
        <v>12619</v>
      </c>
      <c r="D4428" s="330" t="s">
        <v>12620</v>
      </c>
      <c r="E4428" s="330" t="s">
        <v>4819</v>
      </c>
      <c r="F4428" s="331">
        <v>0.21</v>
      </c>
      <c r="G4428" s="332">
        <v>9654</v>
      </c>
      <c r="H4428" s="333">
        <v>11682</v>
      </c>
    </row>
    <row r="4429" spans="1:8">
      <c r="A4429" s="317" t="s">
        <v>39667</v>
      </c>
      <c r="B4429" s="317" t="s">
        <v>48795</v>
      </c>
      <c r="C4429" s="330" t="s">
        <v>12621</v>
      </c>
      <c r="D4429" s="330" t="s">
        <v>12622</v>
      </c>
      <c r="E4429" s="330" t="s">
        <v>4623</v>
      </c>
      <c r="F4429" s="331">
        <v>0.21</v>
      </c>
      <c r="G4429" s="332">
        <v>9487</v>
      </c>
      <c r="H4429" s="333">
        <v>11480</v>
      </c>
    </row>
    <row r="4430" spans="1:8">
      <c r="A4430" s="317" t="s">
        <v>39668</v>
      </c>
      <c r="B4430" s="317" t="s">
        <v>48796</v>
      </c>
      <c r="C4430" s="330" t="s">
        <v>12623</v>
      </c>
      <c r="D4430" s="330" t="s">
        <v>12624</v>
      </c>
      <c r="E4430" s="330" t="s">
        <v>37248</v>
      </c>
      <c r="F4430" s="331">
        <v>0.21</v>
      </c>
      <c r="G4430" s="332">
        <v>5940</v>
      </c>
      <c r="H4430" s="333">
        <v>7188</v>
      </c>
    </row>
    <row r="4431" spans="1:8">
      <c r="A4431" s="317" t="s">
        <v>39669</v>
      </c>
      <c r="B4431" s="317" t="s">
        <v>48797</v>
      </c>
      <c r="C4431" s="330" t="s">
        <v>12625</v>
      </c>
      <c r="D4431" s="330" t="s">
        <v>12626</v>
      </c>
      <c r="E4431" s="330" t="s">
        <v>4634</v>
      </c>
      <c r="F4431" s="331">
        <v>0.21</v>
      </c>
      <c r="G4431" s="332">
        <v>1474</v>
      </c>
      <c r="H4431" s="333">
        <v>1784</v>
      </c>
    </row>
    <row r="4432" spans="1:8">
      <c r="A4432" s="317" t="s">
        <v>39670</v>
      </c>
      <c r="B4432" s="317" t="s">
        <v>48798</v>
      </c>
      <c r="C4432" s="330" t="s">
        <v>12627</v>
      </c>
      <c r="D4432" s="330" t="s">
        <v>12628</v>
      </c>
      <c r="E4432" s="330" t="s">
        <v>37248</v>
      </c>
      <c r="F4432" s="331">
        <v>0.21</v>
      </c>
      <c r="G4432" s="332">
        <v>6364</v>
      </c>
      <c r="H4432" s="333">
        <v>7701</v>
      </c>
    </row>
    <row r="4433" spans="1:8">
      <c r="A4433" s="317" t="s">
        <v>39671</v>
      </c>
      <c r="B4433" s="317" t="s">
        <v>48799</v>
      </c>
      <c r="C4433" s="330" t="s">
        <v>12629</v>
      </c>
      <c r="D4433" s="330" t="s">
        <v>12592</v>
      </c>
      <c r="E4433" s="330" t="s">
        <v>4623</v>
      </c>
      <c r="F4433" s="331">
        <v>0.21</v>
      </c>
      <c r="G4433" s="332">
        <v>2591</v>
      </c>
      <c r="H4433" s="333">
        <v>3136</v>
      </c>
    </row>
    <row r="4434" spans="1:8">
      <c r="A4434" s="317" t="s">
        <v>39672</v>
      </c>
      <c r="B4434" s="317" t="s">
        <v>48800</v>
      </c>
      <c r="C4434" s="330" t="s">
        <v>12630</v>
      </c>
      <c r="D4434" s="330" t="s">
        <v>12631</v>
      </c>
      <c r="E4434" s="330" t="s">
        <v>4634</v>
      </c>
      <c r="F4434" s="331">
        <v>0.21</v>
      </c>
      <c r="G4434" s="332">
        <v>426</v>
      </c>
      <c r="H4434" s="333">
        <v>516</v>
      </c>
    </row>
    <row r="4435" spans="1:8">
      <c r="A4435" s="317" t="s">
        <v>39673</v>
      </c>
      <c r="B4435" s="317" t="s">
        <v>48801</v>
      </c>
      <c r="C4435" s="330" t="s">
        <v>12632</v>
      </c>
      <c r="D4435" s="330" t="s">
        <v>12614</v>
      </c>
      <c r="E4435" s="330" t="s">
        <v>4634</v>
      </c>
      <c r="F4435" s="331">
        <v>0.21</v>
      </c>
      <c r="G4435" s="332">
        <v>153</v>
      </c>
      <c r="H4435" s="333">
        <v>186</v>
      </c>
    </row>
    <row r="4436" spans="1:8">
      <c r="A4436" s="317" t="s">
        <v>39674</v>
      </c>
      <c r="B4436" s="317" t="s">
        <v>48802</v>
      </c>
      <c r="C4436" s="330" t="s">
        <v>12633</v>
      </c>
      <c r="D4436" s="330" t="s">
        <v>7890</v>
      </c>
      <c r="E4436" s="330" t="s">
        <v>37248</v>
      </c>
      <c r="F4436" s="331">
        <v>0.21</v>
      </c>
      <c r="G4436" s="332">
        <v>814</v>
      </c>
      <c r="H4436" s="333">
        <v>985</v>
      </c>
    </row>
    <row r="4437" spans="1:8">
      <c r="A4437" s="317" t="s">
        <v>39675</v>
      </c>
      <c r="B4437" s="317" t="s">
        <v>48803</v>
      </c>
      <c r="C4437" s="330" t="s">
        <v>12634</v>
      </c>
      <c r="D4437" s="330" t="s">
        <v>8402</v>
      </c>
      <c r="E4437" s="330" t="s">
        <v>4819</v>
      </c>
      <c r="F4437" s="331">
        <v>0.21</v>
      </c>
      <c r="G4437" s="332">
        <v>1052</v>
      </c>
      <c r="H4437" s="333">
        <v>1273</v>
      </c>
    </row>
    <row r="4438" spans="1:8">
      <c r="A4438" s="317" t="s">
        <v>39676</v>
      </c>
      <c r="B4438" s="317" t="s">
        <v>48804</v>
      </c>
      <c r="C4438" s="330" t="s">
        <v>12635</v>
      </c>
      <c r="D4438" s="330" t="s">
        <v>8402</v>
      </c>
      <c r="E4438" s="330" t="s">
        <v>37248</v>
      </c>
      <c r="F4438" s="331">
        <v>0.21</v>
      </c>
      <c r="G4438" s="332">
        <v>548</v>
      </c>
      <c r="H4438" s="333">
        <v>664</v>
      </c>
    </row>
    <row r="4439" spans="1:8">
      <c r="A4439" s="317" t="s">
        <v>39677</v>
      </c>
      <c r="B4439" s="317" t="s">
        <v>48805</v>
      </c>
      <c r="C4439" s="330" t="s">
        <v>12636</v>
      </c>
      <c r="D4439" s="330" t="s">
        <v>12637</v>
      </c>
      <c r="E4439" s="330" t="s">
        <v>37248</v>
      </c>
      <c r="F4439" s="331">
        <v>0.21</v>
      </c>
      <c r="G4439" s="332">
        <v>591</v>
      </c>
      <c r="H4439" s="333">
        <v>716</v>
      </c>
    </row>
    <row r="4440" spans="1:8">
      <c r="A4440" s="317" t="s">
        <v>39678</v>
      </c>
      <c r="B4440" s="317" t="s">
        <v>48806</v>
      </c>
      <c r="C4440" s="330" t="s">
        <v>12638</v>
      </c>
      <c r="D4440" s="330" t="s">
        <v>12639</v>
      </c>
      <c r="E4440" s="330" t="s">
        <v>37248</v>
      </c>
      <c r="F4440" s="331">
        <v>0.21</v>
      </c>
      <c r="G4440" s="332">
        <v>1844</v>
      </c>
      <c r="H4440" s="333">
        <v>2232</v>
      </c>
    </row>
    <row r="4441" spans="1:8">
      <c r="A4441" s="317" t="s">
        <v>39679</v>
      </c>
      <c r="B4441" s="317" t="s">
        <v>48807</v>
      </c>
      <c r="C4441" s="330" t="s">
        <v>12640</v>
      </c>
      <c r="D4441" s="330" t="s">
        <v>12578</v>
      </c>
      <c r="E4441" s="330" t="s">
        <v>4819</v>
      </c>
      <c r="F4441" s="331">
        <v>0.21</v>
      </c>
      <c r="G4441" s="332">
        <v>841</v>
      </c>
      <c r="H4441" s="333">
        <v>1018</v>
      </c>
    </row>
    <row r="4442" spans="1:8">
      <c r="A4442" s="317" t="s">
        <v>39680</v>
      </c>
      <c r="B4442" s="317" t="s">
        <v>48808</v>
      </c>
      <c r="C4442" s="330" t="s">
        <v>12641</v>
      </c>
      <c r="D4442" s="330" t="s">
        <v>12578</v>
      </c>
      <c r="E4442" s="330" t="s">
        <v>4819</v>
      </c>
      <c r="F4442" s="331">
        <v>0.21</v>
      </c>
      <c r="G4442" s="332">
        <v>849</v>
      </c>
      <c r="H4442" s="333">
        <v>1028</v>
      </c>
    </row>
    <row r="4443" spans="1:8">
      <c r="A4443" s="317" t="s">
        <v>39681</v>
      </c>
      <c r="B4443" s="317" t="s">
        <v>48809</v>
      </c>
      <c r="C4443" s="330" t="s">
        <v>12642</v>
      </c>
      <c r="D4443" s="330" t="s">
        <v>5007</v>
      </c>
      <c r="E4443" s="330" t="s">
        <v>4634</v>
      </c>
      <c r="F4443" s="331">
        <v>0.21</v>
      </c>
      <c r="G4443" s="332">
        <v>539</v>
      </c>
      <c r="H4443" s="333">
        <v>653</v>
      </c>
    </row>
    <row r="4444" spans="1:8">
      <c r="A4444" s="317" t="s">
        <v>39682</v>
      </c>
      <c r="B4444" s="317" t="s">
        <v>48810</v>
      </c>
      <c r="C4444" s="330" t="s">
        <v>12643</v>
      </c>
      <c r="D4444" s="330" t="s">
        <v>12644</v>
      </c>
      <c r="E4444" s="330" t="s">
        <v>4634</v>
      </c>
      <c r="F4444" s="331">
        <v>0.21</v>
      </c>
      <c r="G4444" s="332">
        <v>1713</v>
      </c>
      <c r="H4444" s="333">
        <v>2073</v>
      </c>
    </row>
    <row r="4445" spans="1:8">
      <c r="A4445" s="317" t="s">
        <v>39683</v>
      </c>
      <c r="B4445" s="317" t="s">
        <v>48811</v>
      </c>
      <c r="C4445" s="330" t="s">
        <v>12645</v>
      </c>
      <c r="D4445" s="330" t="s">
        <v>6731</v>
      </c>
      <c r="E4445" s="330" t="s">
        <v>4634</v>
      </c>
      <c r="F4445" s="331">
        <v>0.21</v>
      </c>
      <c r="G4445" s="332">
        <v>1450</v>
      </c>
      <c r="H4445" s="333">
        <v>1755</v>
      </c>
    </row>
    <row r="4446" spans="1:8">
      <c r="A4446" s="317" t="s">
        <v>39684</v>
      </c>
      <c r="B4446" s="317" t="s">
        <v>48812</v>
      </c>
      <c r="C4446" s="330" t="s">
        <v>12646</v>
      </c>
      <c r="D4446" s="330" t="s">
        <v>6731</v>
      </c>
      <c r="E4446" s="330" t="s">
        <v>4819</v>
      </c>
      <c r="F4446" s="331">
        <v>0.21</v>
      </c>
      <c r="G4446" s="332">
        <v>9960</v>
      </c>
      <c r="H4446" s="333">
        <v>12052</v>
      </c>
    </row>
    <row r="4447" spans="1:8">
      <c r="A4447" s="317" t="s">
        <v>39685</v>
      </c>
      <c r="B4447" s="317" t="s">
        <v>48813</v>
      </c>
      <c r="C4447" s="330" t="s">
        <v>12647</v>
      </c>
      <c r="D4447" s="330" t="s">
        <v>12648</v>
      </c>
      <c r="E4447" s="330" t="s">
        <v>4819</v>
      </c>
      <c r="F4447" s="331">
        <v>0.21</v>
      </c>
      <c r="G4447" s="332">
        <v>1273</v>
      </c>
      <c r="H4447" s="333">
        <v>1541</v>
      </c>
    </row>
    <row r="4448" spans="1:8">
      <c r="A4448" s="317" t="s">
        <v>39686</v>
      </c>
      <c r="B4448" s="317" t="s">
        <v>48814</v>
      </c>
      <c r="C4448" s="330" t="s">
        <v>12649</v>
      </c>
      <c r="D4448" s="330" t="s">
        <v>4830</v>
      </c>
      <c r="E4448" s="330" t="s">
        <v>4819</v>
      </c>
      <c r="F4448" s="331">
        <v>0.21</v>
      </c>
      <c r="G4448" s="332">
        <v>479</v>
      </c>
      <c r="H4448" s="333">
        <v>580</v>
      </c>
    </row>
    <row r="4449" spans="1:8">
      <c r="A4449" s="317" t="s">
        <v>39687</v>
      </c>
      <c r="B4449" s="317" t="s">
        <v>48815</v>
      </c>
      <c r="C4449" s="330" t="s">
        <v>12650</v>
      </c>
      <c r="D4449" s="330" t="s">
        <v>12510</v>
      </c>
      <c r="E4449" s="330" t="s">
        <v>4623</v>
      </c>
      <c r="F4449" s="331">
        <v>0.21</v>
      </c>
      <c r="G4449" s="332">
        <v>1344</v>
      </c>
      <c r="H4449" s="333">
        <v>1627</v>
      </c>
    </row>
    <row r="4450" spans="1:8">
      <c r="A4450" s="317" t="s">
        <v>39688</v>
      </c>
      <c r="B4450" s="317" t="s">
        <v>48816</v>
      </c>
      <c r="C4450" s="330" t="s">
        <v>12651</v>
      </c>
      <c r="D4450" s="330" t="s">
        <v>12652</v>
      </c>
      <c r="E4450" s="330" t="s">
        <v>4819</v>
      </c>
      <c r="F4450" s="331">
        <v>0.21</v>
      </c>
      <c r="G4450" s="332">
        <v>479</v>
      </c>
      <c r="H4450" s="333">
        <v>580</v>
      </c>
    </row>
    <row r="4451" spans="1:8">
      <c r="A4451" s="317" t="s">
        <v>39689</v>
      </c>
      <c r="B4451" s="317" t="s">
        <v>48817</v>
      </c>
      <c r="C4451" s="330" t="s">
        <v>12653</v>
      </c>
      <c r="D4451" s="330" t="s">
        <v>12652</v>
      </c>
      <c r="E4451" s="330" t="s">
        <v>4623</v>
      </c>
      <c r="F4451" s="331">
        <v>0.21</v>
      </c>
      <c r="G4451" s="332">
        <v>1344</v>
      </c>
      <c r="H4451" s="333">
        <v>1627</v>
      </c>
    </row>
    <row r="4452" spans="1:8">
      <c r="A4452" s="317" t="s">
        <v>39690</v>
      </c>
      <c r="B4452" s="317" t="s">
        <v>48818</v>
      </c>
      <c r="C4452" s="330" t="s">
        <v>12654</v>
      </c>
      <c r="D4452" s="330" t="s">
        <v>12652</v>
      </c>
      <c r="E4452" s="330" t="s">
        <v>4819</v>
      </c>
      <c r="F4452" s="331">
        <v>0.21</v>
      </c>
      <c r="G4452" s="332">
        <v>479</v>
      </c>
      <c r="H4452" s="333">
        <v>580</v>
      </c>
    </row>
    <row r="4453" spans="1:8">
      <c r="A4453" s="317" t="s">
        <v>39691</v>
      </c>
      <c r="B4453" s="317" t="s">
        <v>48819</v>
      </c>
      <c r="C4453" s="330" t="s">
        <v>12655</v>
      </c>
      <c r="D4453" s="330" t="s">
        <v>12652</v>
      </c>
      <c r="E4453" s="330" t="s">
        <v>4623</v>
      </c>
      <c r="F4453" s="331">
        <v>0.21</v>
      </c>
      <c r="G4453" s="332">
        <v>814</v>
      </c>
      <c r="H4453" s="333">
        <v>985</v>
      </c>
    </row>
    <row r="4454" spans="1:8">
      <c r="A4454" s="317" t="s">
        <v>39692</v>
      </c>
      <c r="B4454" s="317" t="s">
        <v>48820</v>
      </c>
      <c r="C4454" s="330" t="s">
        <v>12656</v>
      </c>
      <c r="D4454" s="330" t="s">
        <v>12510</v>
      </c>
      <c r="E4454" s="330" t="s">
        <v>37248</v>
      </c>
      <c r="F4454" s="331">
        <v>0.21</v>
      </c>
      <c r="G4454" s="332">
        <v>1155</v>
      </c>
      <c r="H4454" s="333">
        <v>1398</v>
      </c>
    </row>
    <row r="4455" spans="1:8">
      <c r="A4455" s="317" t="s">
        <v>39693</v>
      </c>
      <c r="B4455" s="317" t="s">
        <v>48821</v>
      </c>
      <c r="C4455" s="330" t="s">
        <v>12657</v>
      </c>
      <c r="D4455" s="330" t="s">
        <v>7235</v>
      </c>
      <c r="E4455" s="330" t="s">
        <v>4819</v>
      </c>
      <c r="F4455" s="331">
        <v>0.21</v>
      </c>
      <c r="G4455" s="332">
        <v>671</v>
      </c>
      <c r="H4455" s="333">
        <v>812</v>
      </c>
    </row>
    <row r="4456" spans="1:8">
      <c r="A4456" s="317" t="s">
        <v>39694</v>
      </c>
      <c r="B4456" s="317" t="s">
        <v>48822</v>
      </c>
      <c r="C4456" s="330" t="s">
        <v>12658</v>
      </c>
      <c r="D4456" s="330" t="s">
        <v>7235</v>
      </c>
      <c r="E4456" s="330" t="s">
        <v>4623</v>
      </c>
      <c r="F4456" s="331">
        <v>0.21</v>
      </c>
      <c r="G4456" s="332">
        <v>814</v>
      </c>
      <c r="H4456" s="333">
        <v>985</v>
      </c>
    </row>
    <row r="4457" spans="1:8">
      <c r="A4457" s="317" t="s">
        <v>39695</v>
      </c>
      <c r="B4457" s="317" t="s">
        <v>48823</v>
      </c>
      <c r="C4457" s="330" t="s">
        <v>12659</v>
      </c>
      <c r="D4457" s="330" t="s">
        <v>7334</v>
      </c>
      <c r="E4457" s="330" t="s">
        <v>37248</v>
      </c>
      <c r="F4457" s="331">
        <v>0.21</v>
      </c>
      <c r="G4457" s="332">
        <v>890</v>
      </c>
      <c r="H4457" s="333">
        <v>1077</v>
      </c>
    </row>
    <row r="4458" spans="1:8">
      <c r="A4458" s="317" t="s">
        <v>39696</v>
      </c>
      <c r="B4458" s="317" t="s">
        <v>48824</v>
      </c>
      <c r="C4458" s="330" t="s">
        <v>12660</v>
      </c>
      <c r="D4458" s="330" t="s">
        <v>7334</v>
      </c>
      <c r="E4458" s="330" t="s">
        <v>37248</v>
      </c>
      <c r="F4458" s="331">
        <v>0.21</v>
      </c>
      <c r="G4458" s="332">
        <v>1063</v>
      </c>
      <c r="H4458" s="333">
        <v>1287</v>
      </c>
    </row>
    <row r="4459" spans="1:8">
      <c r="A4459" s="317" t="s">
        <v>39697</v>
      </c>
      <c r="B4459" s="317" t="s">
        <v>48825</v>
      </c>
      <c r="C4459" s="330" t="s">
        <v>12661</v>
      </c>
      <c r="D4459" s="330" t="s">
        <v>7334</v>
      </c>
      <c r="E4459" s="330" t="s">
        <v>37248</v>
      </c>
      <c r="F4459" s="331">
        <v>0.21</v>
      </c>
      <c r="G4459" s="332">
        <v>1025</v>
      </c>
      <c r="H4459" s="333">
        <v>1241</v>
      </c>
    </row>
    <row r="4460" spans="1:8">
      <c r="A4460" s="317" t="s">
        <v>39698</v>
      </c>
      <c r="B4460" s="317" t="s">
        <v>48826</v>
      </c>
      <c r="C4460" s="330" t="s">
        <v>12662</v>
      </c>
      <c r="D4460" s="330" t="s">
        <v>12663</v>
      </c>
      <c r="E4460" s="330" t="s">
        <v>37248</v>
      </c>
      <c r="F4460" s="331">
        <v>0.21</v>
      </c>
      <c r="G4460" s="332">
        <v>515</v>
      </c>
      <c r="H4460" s="333">
        <v>624</v>
      </c>
    </row>
    <row r="4461" spans="1:8">
      <c r="A4461" s="317" t="s">
        <v>39699</v>
      </c>
      <c r="B4461" s="317" t="s">
        <v>48827</v>
      </c>
      <c r="C4461" s="330" t="s">
        <v>12664</v>
      </c>
      <c r="D4461" s="330" t="s">
        <v>7334</v>
      </c>
      <c r="E4461" s="330" t="s">
        <v>37248</v>
      </c>
      <c r="F4461" s="331">
        <v>0.21</v>
      </c>
      <c r="G4461" s="332">
        <v>1465</v>
      </c>
      <c r="H4461" s="333">
        <v>1773</v>
      </c>
    </row>
    <row r="4462" spans="1:8">
      <c r="A4462" s="317" t="s">
        <v>39700</v>
      </c>
      <c r="B4462" s="317" t="s">
        <v>48828</v>
      </c>
      <c r="C4462" s="330" t="s">
        <v>12665</v>
      </c>
      <c r="D4462" s="330" t="s">
        <v>7334</v>
      </c>
      <c r="E4462" s="330" t="s">
        <v>37248</v>
      </c>
      <c r="F4462" s="331">
        <v>0.21</v>
      </c>
      <c r="G4462" s="332">
        <v>1648</v>
      </c>
      <c r="H4462" s="333">
        <v>1995</v>
      </c>
    </row>
    <row r="4463" spans="1:8">
      <c r="A4463" s="317" t="s">
        <v>39701</v>
      </c>
      <c r="B4463" s="317" t="s">
        <v>48829</v>
      </c>
      <c r="C4463" s="330" t="s">
        <v>12666</v>
      </c>
      <c r="D4463" s="330" t="s">
        <v>7334</v>
      </c>
      <c r="E4463" s="330" t="s">
        <v>4634</v>
      </c>
      <c r="F4463" s="331">
        <v>0.21</v>
      </c>
      <c r="G4463" s="332">
        <v>274</v>
      </c>
      <c r="H4463" s="333">
        <v>332</v>
      </c>
    </row>
    <row r="4464" spans="1:8">
      <c r="A4464" s="317" t="s">
        <v>39702</v>
      </c>
      <c r="B4464" s="317" t="s">
        <v>48830</v>
      </c>
      <c r="C4464" s="330" t="s">
        <v>12667</v>
      </c>
      <c r="D4464" s="330" t="s">
        <v>12668</v>
      </c>
      <c r="E4464" s="330" t="s">
        <v>37248</v>
      </c>
      <c r="F4464" s="331">
        <v>0.21</v>
      </c>
      <c r="G4464" s="332">
        <v>417</v>
      </c>
      <c r="H4464" s="333">
        <v>505</v>
      </c>
    </row>
    <row r="4465" spans="1:8">
      <c r="A4465" s="317" t="s">
        <v>39703</v>
      </c>
      <c r="B4465" s="317" t="s">
        <v>48831</v>
      </c>
      <c r="C4465" s="330" t="s">
        <v>12669</v>
      </c>
      <c r="D4465" s="330" t="s">
        <v>7235</v>
      </c>
      <c r="E4465" s="330" t="s">
        <v>37248</v>
      </c>
      <c r="F4465" s="331">
        <v>0.21</v>
      </c>
      <c r="G4465" s="332">
        <v>579</v>
      </c>
      <c r="H4465" s="333">
        <v>701</v>
      </c>
    </row>
    <row r="4466" spans="1:8">
      <c r="A4466" s="317" t="s">
        <v>39704</v>
      </c>
      <c r="B4466" s="317" t="s">
        <v>48832</v>
      </c>
      <c r="C4466" s="330" t="s">
        <v>12670</v>
      </c>
      <c r="D4466" s="330" t="s">
        <v>7653</v>
      </c>
      <c r="E4466" s="330" t="s">
        <v>37248</v>
      </c>
      <c r="F4466" s="331">
        <v>0.21</v>
      </c>
      <c r="G4466" s="332">
        <v>600</v>
      </c>
      <c r="H4466" s="333">
        <v>726</v>
      </c>
    </row>
    <row r="4467" spans="1:8">
      <c r="A4467" s="317" t="s">
        <v>39705</v>
      </c>
      <c r="B4467" s="317" t="s">
        <v>48833</v>
      </c>
      <c r="C4467" s="330" t="s">
        <v>12671</v>
      </c>
      <c r="D4467" s="330" t="s">
        <v>7235</v>
      </c>
      <c r="E4467" s="330" t="s">
        <v>37248</v>
      </c>
      <c r="F4467" s="331">
        <v>0.21</v>
      </c>
      <c r="G4467" s="332">
        <v>696</v>
      </c>
      <c r="H4467" s="333">
        <v>843</v>
      </c>
    </row>
    <row r="4468" spans="1:8">
      <c r="A4468" s="317" t="s">
        <v>39706</v>
      </c>
      <c r="B4468" s="317" t="s">
        <v>48834</v>
      </c>
      <c r="C4468" s="330" t="s">
        <v>12672</v>
      </c>
      <c r="D4468" s="330" t="s">
        <v>7653</v>
      </c>
      <c r="E4468" s="330" t="s">
        <v>4819</v>
      </c>
      <c r="F4468" s="331">
        <v>0.21</v>
      </c>
      <c r="G4468" s="332">
        <v>910</v>
      </c>
      <c r="H4468" s="333">
        <v>1102</v>
      </c>
    </row>
    <row r="4469" spans="1:8">
      <c r="A4469" s="317" t="s">
        <v>39707</v>
      </c>
      <c r="B4469" s="317" t="s">
        <v>48835</v>
      </c>
      <c r="C4469" s="330" t="s">
        <v>12673</v>
      </c>
      <c r="D4469" s="330" t="s">
        <v>7235</v>
      </c>
      <c r="E4469" s="330" t="s">
        <v>37248</v>
      </c>
      <c r="F4469" s="331">
        <v>0.21</v>
      </c>
      <c r="G4469" s="332">
        <v>591</v>
      </c>
      <c r="H4469" s="333">
        <v>716</v>
      </c>
    </row>
    <row r="4470" spans="1:8">
      <c r="A4470" s="317" t="s">
        <v>39708</v>
      </c>
      <c r="B4470" s="317" t="s">
        <v>48836</v>
      </c>
      <c r="C4470" s="330" t="s">
        <v>12674</v>
      </c>
      <c r="D4470" s="330" t="s">
        <v>7235</v>
      </c>
      <c r="E4470" s="330" t="s">
        <v>37248</v>
      </c>
      <c r="F4470" s="331">
        <v>0.21</v>
      </c>
      <c r="G4470" s="332">
        <v>2041</v>
      </c>
      <c r="H4470" s="333">
        <v>2470</v>
      </c>
    </row>
    <row r="4471" spans="1:8">
      <c r="A4471" s="317" t="s">
        <v>39709</v>
      </c>
      <c r="B4471" s="317" t="s">
        <v>48837</v>
      </c>
      <c r="C4471" s="330" t="s">
        <v>12675</v>
      </c>
      <c r="D4471" s="330" t="s">
        <v>7653</v>
      </c>
      <c r="E4471" s="330" t="s">
        <v>37248</v>
      </c>
      <c r="F4471" s="331">
        <v>0.21</v>
      </c>
      <c r="G4471" s="332">
        <v>675</v>
      </c>
      <c r="H4471" s="333">
        <v>817</v>
      </c>
    </row>
    <row r="4472" spans="1:8">
      <c r="A4472" s="317" t="s">
        <v>39710</v>
      </c>
      <c r="B4472" s="317" t="s">
        <v>48838</v>
      </c>
      <c r="C4472" s="330" t="s">
        <v>12676</v>
      </c>
      <c r="D4472" s="330" t="s">
        <v>7235</v>
      </c>
      <c r="E4472" s="330" t="s">
        <v>37248</v>
      </c>
      <c r="F4472" s="331">
        <v>0.21</v>
      </c>
      <c r="G4472" s="332">
        <v>814</v>
      </c>
      <c r="H4472" s="333">
        <v>985</v>
      </c>
    </row>
    <row r="4473" spans="1:8">
      <c r="A4473" s="317" t="s">
        <v>39711</v>
      </c>
      <c r="B4473" s="317" t="s">
        <v>48839</v>
      </c>
      <c r="C4473" s="330" t="s">
        <v>12677</v>
      </c>
      <c r="D4473" s="330" t="s">
        <v>7235</v>
      </c>
      <c r="E4473" s="330" t="s">
        <v>37248</v>
      </c>
      <c r="F4473" s="331">
        <v>0.21</v>
      </c>
      <c r="G4473" s="332">
        <v>2041</v>
      </c>
      <c r="H4473" s="333">
        <v>2470</v>
      </c>
    </row>
    <row r="4474" spans="1:8">
      <c r="A4474" s="317" t="s">
        <v>39712</v>
      </c>
      <c r="B4474" s="317" t="s">
        <v>48840</v>
      </c>
      <c r="C4474" s="330" t="s">
        <v>12678</v>
      </c>
      <c r="D4474" s="330" t="s">
        <v>7235</v>
      </c>
      <c r="E4474" s="330" t="s">
        <v>37248</v>
      </c>
      <c r="F4474" s="331">
        <v>0.21</v>
      </c>
      <c r="G4474" s="332">
        <v>305</v>
      </c>
      <c r="H4474" s="333">
        <v>370</v>
      </c>
    </row>
    <row r="4475" spans="1:8">
      <c r="A4475" s="317" t="s">
        <v>39713</v>
      </c>
      <c r="B4475" s="317" t="s">
        <v>48841</v>
      </c>
      <c r="C4475" s="330" t="s">
        <v>12679</v>
      </c>
      <c r="D4475" s="330" t="s">
        <v>8853</v>
      </c>
      <c r="E4475" s="330" t="s">
        <v>4819</v>
      </c>
      <c r="F4475" s="331">
        <v>0.21</v>
      </c>
      <c r="G4475" s="332">
        <v>479</v>
      </c>
      <c r="H4475" s="333">
        <v>580</v>
      </c>
    </row>
    <row r="4476" spans="1:8">
      <c r="A4476" s="317" t="s">
        <v>39714</v>
      </c>
      <c r="B4476" s="317" t="s">
        <v>48842</v>
      </c>
      <c r="C4476" s="330" t="s">
        <v>12680</v>
      </c>
      <c r="D4476" s="330" t="s">
        <v>8853</v>
      </c>
      <c r="E4476" s="330" t="s">
        <v>4819</v>
      </c>
      <c r="F4476" s="331">
        <v>0.21</v>
      </c>
      <c r="G4476" s="332">
        <v>479</v>
      </c>
      <c r="H4476" s="333">
        <v>580</v>
      </c>
    </row>
    <row r="4477" spans="1:8">
      <c r="A4477" s="317" t="s">
        <v>39715</v>
      </c>
      <c r="B4477" s="317" t="s">
        <v>48843</v>
      </c>
      <c r="C4477" s="330" t="s">
        <v>12681</v>
      </c>
      <c r="D4477" s="330" t="s">
        <v>12682</v>
      </c>
      <c r="E4477" s="330" t="s">
        <v>4634</v>
      </c>
      <c r="F4477" s="331">
        <v>0.21</v>
      </c>
      <c r="G4477" s="332">
        <v>153</v>
      </c>
      <c r="H4477" s="333">
        <v>186</v>
      </c>
    </row>
    <row r="4478" spans="1:8">
      <c r="A4478" s="317" t="s">
        <v>39716</v>
      </c>
      <c r="B4478" s="317" t="s">
        <v>48844</v>
      </c>
      <c r="C4478" s="330" t="s">
        <v>12683</v>
      </c>
      <c r="D4478" s="330" t="s">
        <v>4909</v>
      </c>
      <c r="E4478" s="330" t="s">
        <v>37248</v>
      </c>
      <c r="F4478" s="331">
        <v>0.21</v>
      </c>
      <c r="G4478" s="332">
        <v>2041</v>
      </c>
      <c r="H4478" s="333">
        <v>2470</v>
      </c>
    </row>
    <row r="4479" spans="1:8">
      <c r="A4479" s="317" t="s">
        <v>39717</v>
      </c>
      <c r="B4479" s="317" t="s">
        <v>48845</v>
      </c>
      <c r="C4479" s="330" t="s">
        <v>12684</v>
      </c>
      <c r="D4479" s="330" t="s">
        <v>4909</v>
      </c>
      <c r="E4479" s="330" t="s">
        <v>37248</v>
      </c>
      <c r="F4479" s="331">
        <v>0.21</v>
      </c>
      <c r="G4479" s="332">
        <v>1835</v>
      </c>
      <c r="H4479" s="333">
        <v>2221</v>
      </c>
    </row>
    <row r="4480" spans="1:8">
      <c r="A4480" s="317" t="s">
        <v>39718</v>
      </c>
      <c r="B4480" s="317" t="s">
        <v>48846</v>
      </c>
      <c r="C4480" s="330" t="s">
        <v>12685</v>
      </c>
      <c r="D4480" s="330" t="s">
        <v>4909</v>
      </c>
      <c r="E4480" s="330" t="s">
        <v>37248</v>
      </c>
      <c r="F4480" s="331">
        <v>0.21</v>
      </c>
      <c r="G4480" s="332">
        <v>1835</v>
      </c>
      <c r="H4480" s="333">
        <v>2221</v>
      </c>
    </row>
    <row r="4481" spans="1:8">
      <c r="A4481" s="317" t="s">
        <v>39719</v>
      </c>
      <c r="B4481" s="317" t="s">
        <v>48847</v>
      </c>
      <c r="C4481" s="330" t="s">
        <v>12686</v>
      </c>
      <c r="D4481" s="330" t="s">
        <v>6408</v>
      </c>
      <c r="E4481" s="330" t="s">
        <v>4819</v>
      </c>
      <c r="F4481" s="331">
        <v>0.21</v>
      </c>
      <c r="G4481" s="332">
        <v>479</v>
      </c>
      <c r="H4481" s="333">
        <v>580</v>
      </c>
    </row>
    <row r="4482" spans="1:8">
      <c r="A4482" s="317" t="s">
        <v>39720</v>
      </c>
      <c r="B4482" s="317" t="s">
        <v>48848</v>
      </c>
      <c r="C4482" s="330" t="s">
        <v>12687</v>
      </c>
      <c r="D4482" s="330" t="s">
        <v>7235</v>
      </c>
      <c r="E4482" s="330" t="s">
        <v>37248</v>
      </c>
      <c r="F4482" s="331">
        <v>0.21</v>
      </c>
      <c r="G4482" s="332">
        <v>339</v>
      </c>
      <c r="H4482" s="333">
        <v>411</v>
      </c>
    </row>
    <row r="4483" spans="1:8">
      <c r="A4483" s="317" t="s">
        <v>39721</v>
      </c>
      <c r="B4483" s="317" t="s">
        <v>48849</v>
      </c>
      <c r="C4483" s="330" t="s">
        <v>12688</v>
      </c>
      <c r="D4483" s="330" t="s">
        <v>7653</v>
      </c>
      <c r="E4483" s="330" t="s">
        <v>4819</v>
      </c>
      <c r="F4483" s="331">
        <v>0.21</v>
      </c>
      <c r="G4483" s="332">
        <v>479</v>
      </c>
      <c r="H4483" s="333">
        <v>580</v>
      </c>
    </row>
    <row r="4484" spans="1:8">
      <c r="A4484" s="317" t="s">
        <v>39722</v>
      </c>
      <c r="B4484" s="317" t="s">
        <v>48850</v>
      </c>
      <c r="C4484" s="330" t="s">
        <v>12689</v>
      </c>
      <c r="D4484" s="330" t="s">
        <v>7235</v>
      </c>
      <c r="E4484" s="330" t="s">
        <v>37248</v>
      </c>
      <c r="F4484" s="331">
        <v>0.21</v>
      </c>
      <c r="G4484" s="332">
        <v>305</v>
      </c>
      <c r="H4484" s="333">
        <v>370</v>
      </c>
    </row>
    <row r="4485" spans="1:8">
      <c r="A4485" s="317" t="s">
        <v>39723</v>
      </c>
      <c r="B4485" s="317" t="s">
        <v>48851</v>
      </c>
      <c r="C4485" s="330" t="s">
        <v>12690</v>
      </c>
      <c r="D4485" s="330" t="s">
        <v>7653</v>
      </c>
      <c r="E4485" s="330" t="s">
        <v>37248</v>
      </c>
      <c r="F4485" s="331">
        <v>0.21</v>
      </c>
      <c r="G4485" s="332">
        <v>417</v>
      </c>
      <c r="H4485" s="333">
        <v>505</v>
      </c>
    </row>
    <row r="4486" spans="1:8">
      <c r="A4486" s="317" t="s">
        <v>39724</v>
      </c>
      <c r="B4486" s="317" t="s">
        <v>48852</v>
      </c>
      <c r="C4486" s="330" t="s">
        <v>12691</v>
      </c>
      <c r="D4486" s="330" t="s">
        <v>7235</v>
      </c>
      <c r="E4486" s="330" t="s">
        <v>37248</v>
      </c>
      <c r="F4486" s="331">
        <v>0.21</v>
      </c>
      <c r="G4486" s="332">
        <v>890</v>
      </c>
      <c r="H4486" s="333">
        <v>1077</v>
      </c>
    </row>
    <row r="4487" spans="1:8">
      <c r="A4487" s="317" t="s">
        <v>39725</v>
      </c>
      <c r="B4487" s="317" t="s">
        <v>48853</v>
      </c>
      <c r="C4487" s="330" t="s">
        <v>12692</v>
      </c>
      <c r="D4487" s="330" t="s">
        <v>7235</v>
      </c>
      <c r="E4487" s="330" t="s">
        <v>37248</v>
      </c>
      <c r="F4487" s="331">
        <v>0.21</v>
      </c>
      <c r="G4487" s="332">
        <v>814</v>
      </c>
      <c r="H4487" s="333">
        <v>985</v>
      </c>
    </row>
    <row r="4488" spans="1:8">
      <c r="A4488" s="317" t="s">
        <v>39726</v>
      </c>
      <c r="B4488" s="317" t="s">
        <v>48854</v>
      </c>
      <c r="C4488" s="330" t="s">
        <v>12693</v>
      </c>
      <c r="D4488" s="330" t="s">
        <v>7235</v>
      </c>
      <c r="E4488" s="330" t="s">
        <v>4819</v>
      </c>
      <c r="F4488" s="331">
        <v>0.21</v>
      </c>
      <c r="G4488" s="332">
        <v>479</v>
      </c>
      <c r="H4488" s="333">
        <v>580</v>
      </c>
    </row>
    <row r="4489" spans="1:8">
      <c r="A4489" s="317" t="s">
        <v>39727</v>
      </c>
      <c r="B4489" s="317" t="s">
        <v>48855</v>
      </c>
      <c r="C4489" s="330" t="s">
        <v>12694</v>
      </c>
      <c r="D4489" s="330" t="s">
        <v>7653</v>
      </c>
      <c r="E4489" s="330" t="s">
        <v>4819</v>
      </c>
      <c r="F4489" s="331">
        <v>0.21</v>
      </c>
      <c r="G4489" s="332">
        <v>479</v>
      </c>
      <c r="H4489" s="333">
        <v>580</v>
      </c>
    </row>
    <row r="4490" spans="1:8">
      <c r="A4490" s="317" t="s">
        <v>39728</v>
      </c>
      <c r="B4490" s="317" t="s">
        <v>48856</v>
      </c>
      <c r="C4490" s="330" t="s">
        <v>12695</v>
      </c>
      <c r="D4490" s="330" t="s">
        <v>7235</v>
      </c>
      <c r="E4490" s="330" t="s">
        <v>4623</v>
      </c>
      <c r="F4490" s="331">
        <v>0.21</v>
      </c>
      <c r="G4490" s="332">
        <v>1344</v>
      </c>
      <c r="H4490" s="333">
        <v>1627</v>
      </c>
    </row>
    <row r="4491" spans="1:8">
      <c r="A4491" s="317" t="s">
        <v>39729</v>
      </c>
      <c r="B4491" s="317" t="s">
        <v>48857</v>
      </c>
      <c r="C4491" s="330" t="s">
        <v>12696</v>
      </c>
      <c r="D4491" s="330" t="s">
        <v>12697</v>
      </c>
      <c r="E4491" s="330" t="s">
        <v>4819</v>
      </c>
      <c r="F4491" s="331">
        <v>0.21</v>
      </c>
      <c r="G4491" s="332">
        <v>479</v>
      </c>
      <c r="H4491" s="333">
        <v>580</v>
      </c>
    </row>
    <row r="4492" spans="1:8">
      <c r="A4492" s="317" t="s">
        <v>39730</v>
      </c>
      <c r="B4492" s="317" t="s">
        <v>48858</v>
      </c>
      <c r="C4492" s="330" t="s">
        <v>12698</v>
      </c>
      <c r="D4492" s="330" t="s">
        <v>12697</v>
      </c>
      <c r="E4492" s="330" t="s">
        <v>37248</v>
      </c>
      <c r="F4492" s="331">
        <v>0.21</v>
      </c>
      <c r="G4492" s="332">
        <v>452</v>
      </c>
      <c r="H4492" s="333">
        <v>547</v>
      </c>
    </row>
    <row r="4493" spans="1:8">
      <c r="A4493" s="317" t="s">
        <v>39731</v>
      </c>
      <c r="B4493" s="317" t="s">
        <v>48859</v>
      </c>
      <c r="C4493" s="330" t="s">
        <v>12699</v>
      </c>
      <c r="D4493" s="330" t="s">
        <v>6205</v>
      </c>
      <c r="E4493" s="330" t="s">
        <v>37248</v>
      </c>
      <c r="F4493" s="331">
        <v>0.21</v>
      </c>
      <c r="G4493" s="332">
        <v>2041</v>
      </c>
      <c r="H4493" s="333">
        <v>2470</v>
      </c>
    </row>
    <row r="4494" spans="1:8">
      <c r="A4494" s="317" t="s">
        <v>39732</v>
      </c>
      <c r="B4494" s="317" t="s">
        <v>48860</v>
      </c>
      <c r="C4494" s="330" t="s">
        <v>12700</v>
      </c>
      <c r="D4494" s="330" t="s">
        <v>6205</v>
      </c>
      <c r="E4494" s="330" t="s">
        <v>37248</v>
      </c>
      <c r="F4494" s="331">
        <v>0.21</v>
      </c>
      <c r="G4494" s="332">
        <v>497</v>
      </c>
      <c r="H4494" s="333">
        <v>602</v>
      </c>
    </row>
    <row r="4495" spans="1:8">
      <c r="A4495" s="317" t="s">
        <v>39733</v>
      </c>
      <c r="B4495" s="317" t="s">
        <v>48861</v>
      </c>
      <c r="C4495" s="330" t="s">
        <v>12701</v>
      </c>
      <c r="D4495" s="330" t="s">
        <v>6205</v>
      </c>
      <c r="E4495" s="330" t="s">
        <v>37248</v>
      </c>
      <c r="F4495" s="331">
        <v>0.21</v>
      </c>
      <c r="G4495" s="332">
        <v>2041</v>
      </c>
      <c r="H4495" s="333">
        <v>2470</v>
      </c>
    </row>
    <row r="4496" spans="1:8">
      <c r="A4496" s="317" t="s">
        <v>39734</v>
      </c>
      <c r="B4496" s="317" t="s">
        <v>48862</v>
      </c>
      <c r="C4496" s="330" t="s">
        <v>12702</v>
      </c>
      <c r="D4496" s="330" t="s">
        <v>6205</v>
      </c>
      <c r="E4496" s="330" t="s">
        <v>4819</v>
      </c>
      <c r="F4496" s="331">
        <v>0.21</v>
      </c>
      <c r="G4496" s="332">
        <v>479</v>
      </c>
      <c r="H4496" s="333">
        <v>580</v>
      </c>
    </row>
    <row r="4497" spans="1:8">
      <c r="A4497" s="317" t="s">
        <v>39735</v>
      </c>
      <c r="B4497" s="317" t="s">
        <v>48863</v>
      </c>
      <c r="C4497" s="330" t="s">
        <v>12703</v>
      </c>
      <c r="D4497" s="330" t="s">
        <v>6205</v>
      </c>
      <c r="E4497" s="330" t="s">
        <v>4819</v>
      </c>
      <c r="F4497" s="331">
        <v>0.21</v>
      </c>
      <c r="G4497" s="332">
        <v>479</v>
      </c>
      <c r="H4497" s="333">
        <v>580</v>
      </c>
    </row>
    <row r="4498" spans="1:8">
      <c r="A4498" s="317" t="s">
        <v>39736</v>
      </c>
      <c r="B4498" s="317" t="s">
        <v>48864</v>
      </c>
      <c r="C4498" s="330" t="s">
        <v>12704</v>
      </c>
      <c r="D4498" s="330" t="s">
        <v>6205</v>
      </c>
      <c r="E4498" s="330" t="s">
        <v>4819</v>
      </c>
      <c r="F4498" s="331">
        <v>0.21</v>
      </c>
      <c r="G4498" s="332">
        <v>479</v>
      </c>
      <c r="H4498" s="333">
        <v>580</v>
      </c>
    </row>
    <row r="4499" spans="1:8">
      <c r="A4499" s="317" t="s">
        <v>39737</v>
      </c>
      <c r="B4499" s="317" t="s">
        <v>48865</v>
      </c>
      <c r="C4499" s="330" t="s">
        <v>12705</v>
      </c>
      <c r="D4499" s="330" t="s">
        <v>12706</v>
      </c>
      <c r="E4499" s="330" t="s">
        <v>4819</v>
      </c>
      <c r="F4499" s="331">
        <v>0.21</v>
      </c>
      <c r="G4499" s="332">
        <v>479</v>
      </c>
      <c r="H4499" s="333">
        <v>580</v>
      </c>
    </row>
    <row r="4500" spans="1:8">
      <c r="A4500" s="317" t="s">
        <v>39738</v>
      </c>
      <c r="B4500" s="317" t="s">
        <v>48866</v>
      </c>
      <c r="C4500" s="330" t="s">
        <v>12707</v>
      </c>
      <c r="D4500" s="330" t="s">
        <v>12652</v>
      </c>
      <c r="E4500" s="330" t="s">
        <v>4623</v>
      </c>
      <c r="F4500" s="331">
        <v>0.21</v>
      </c>
      <c r="G4500" s="332">
        <v>814</v>
      </c>
      <c r="H4500" s="333">
        <v>985</v>
      </c>
    </row>
    <row r="4501" spans="1:8">
      <c r="A4501" s="317" t="s">
        <v>39739</v>
      </c>
      <c r="B4501" s="317" t="s">
        <v>48867</v>
      </c>
      <c r="C4501" s="330" t="s">
        <v>12708</v>
      </c>
      <c r="D4501" s="330" t="s">
        <v>12652</v>
      </c>
      <c r="E4501" s="330" t="s">
        <v>4819</v>
      </c>
      <c r="F4501" s="331">
        <v>0.21</v>
      </c>
      <c r="G4501" s="332">
        <v>479</v>
      </c>
      <c r="H4501" s="333">
        <v>580</v>
      </c>
    </row>
    <row r="4502" spans="1:8">
      <c r="A4502" s="317" t="s">
        <v>39740</v>
      </c>
      <c r="B4502" s="317" t="s">
        <v>48868</v>
      </c>
      <c r="C4502" s="330" t="s">
        <v>12709</v>
      </c>
      <c r="D4502" s="330" t="s">
        <v>6205</v>
      </c>
      <c r="E4502" s="330" t="s">
        <v>37248</v>
      </c>
      <c r="F4502" s="331">
        <v>0.21</v>
      </c>
      <c r="G4502" s="332">
        <v>2041</v>
      </c>
      <c r="H4502" s="333">
        <v>2470</v>
      </c>
    </row>
    <row r="4503" spans="1:8">
      <c r="A4503" s="317" t="s">
        <v>39741</v>
      </c>
      <c r="B4503" s="317" t="s">
        <v>48869</v>
      </c>
      <c r="C4503" s="330" t="s">
        <v>12710</v>
      </c>
      <c r="D4503" s="330" t="s">
        <v>12711</v>
      </c>
      <c r="E4503" s="330" t="s">
        <v>4819</v>
      </c>
      <c r="F4503" s="331">
        <v>0.21</v>
      </c>
      <c r="G4503" s="332">
        <v>479</v>
      </c>
      <c r="H4503" s="333">
        <v>580</v>
      </c>
    </row>
    <row r="4504" spans="1:8">
      <c r="A4504" s="317" t="s">
        <v>39742</v>
      </c>
      <c r="B4504" s="317" t="s">
        <v>48870</v>
      </c>
      <c r="C4504" s="330" t="s">
        <v>12712</v>
      </c>
      <c r="D4504" s="330" t="s">
        <v>6205</v>
      </c>
      <c r="E4504" s="330" t="s">
        <v>37248</v>
      </c>
      <c r="F4504" s="331">
        <v>0.21</v>
      </c>
      <c r="G4504" s="332">
        <v>2041</v>
      </c>
      <c r="H4504" s="333">
        <v>2470</v>
      </c>
    </row>
    <row r="4505" spans="1:8">
      <c r="A4505" s="317" t="s">
        <v>39743</v>
      </c>
      <c r="B4505" s="317" t="s">
        <v>48871</v>
      </c>
      <c r="C4505" s="330" t="s">
        <v>12713</v>
      </c>
      <c r="D4505" s="330" t="s">
        <v>7235</v>
      </c>
      <c r="E4505" s="330" t="s">
        <v>4819</v>
      </c>
      <c r="F4505" s="331">
        <v>0.21</v>
      </c>
      <c r="G4505" s="332">
        <v>479</v>
      </c>
      <c r="H4505" s="333">
        <v>580</v>
      </c>
    </row>
    <row r="4506" spans="1:8">
      <c r="A4506" s="317" t="s">
        <v>39744</v>
      </c>
      <c r="B4506" s="317" t="s">
        <v>48872</v>
      </c>
      <c r="C4506" s="330" t="s">
        <v>12714</v>
      </c>
      <c r="D4506" s="330" t="s">
        <v>7235</v>
      </c>
      <c r="E4506" s="330" t="s">
        <v>37248</v>
      </c>
      <c r="F4506" s="331">
        <v>0.21</v>
      </c>
      <c r="G4506" s="332">
        <v>994</v>
      </c>
      <c r="H4506" s="333">
        <v>1203</v>
      </c>
    </row>
    <row r="4507" spans="1:8">
      <c r="A4507" s="317" t="s">
        <v>39745</v>
      </c>
      <c r="B4507" s="317" t="s">
        <v>48873</v>
      </c>
      <c r="C4507" s="330" t="s">
        <v>12715</v>
      </c>
      <c r="D4507" s="330" t="s">
        <v>6729</v>
      </c>
      <c r="E4507" s="330" t="s">
        <v>4634</v>
      </c>
      <c r="F4507" s="331">
        <v>0.21</v>
      </c>
      <c r="G4507" s="332">
        <v>928</v>
      </c>
      <c r="H4507" s="333">
        <v>1123</v>
      </c>
    </row>
    <row r="4508" spans="1:8">
      <c r="A4508" s="317" t="s">
        <v>39746</v>
      </c>
      <c r="B4508" s="317" t="s">
        <v>48874</v>
      </c>
      <c r="C4508" s="330" t="s">
        <v>12716</v>
      </c>
      <c r="D4508" s="330" t="s">
        <v>7235</v>
      </c>
      <c r="E4508" s="330" t="s">
        <v>37248</v>
      </c>
      <c r="F4508" s="331">
        <v>0.21</v>
      </c>
      <c r="G4508" s="332">
        <v>591</v>
      </c>
      <c r="H4508" s="333">
        <v>716</v>
      </c>
    </row>
    <row r="4509" spans="1:8">
      <c r="A4509" s="317" t="s">
        <v>39747</v>
      </c>
      <c r="B4509" s="317" t="s">
        <v>48875</v>
      </c>
      <c r="C4509" s="330" t="s">
        <v>12717</v>
      </c>
      <c r="D4509" s="330" t="s">
        <v>4909</v>
      </c>
      <c r="E4509" s="330" t="s">
        <v>4634</v>
      </c>
      <c r="F4509" s="331">
        <v>0.21</v>
      </c>
      <c r="G4509" s="332">
        <v>153</v>
      </c>
      <c r="H4509" s="333">
        <v>186</v>
      </c>
    </row>
    <row r="4510" spans="1:8">
      <c r="A4510" s="317" t="s">
        <v>39748</v>
      </c>
      <c r="B4510" s="317" t="s">
        <v>48876</v>
      </c>
      <c r="C4510" s="330" t="s">
        <v>12718</v>
      </c>
      <c r="D4510" s="330" t="s">
        <v>6205</v>
      </c>
      <c r="E4510" s="330" t="s">
        <v>37248</v>
      </c>
      <c r="F4510" s="331">
        <v>0.21</v>
      </c>
      <c r="G4510" s="332">
        <v>2128</v>
      </c>
      <c r="H4510" s="333">
        <v>2575</v>
      </c>
    </row>
    <row r="4511" spans="1:8">
      <c r="A4511" s="317" t="s">
        <v>39749</v>
      </c>
      <c r="B4511" s="317" t="s">
        <v>48877</v>
      </c>
      <c r="C4511" s="330" t="s">
        <v>12719</v>
      </c>
      <c r="D4511" s="330" t="s">
        <v>7653</v>
      </c>
      <c r="E4511" s="330" t="s">
        <v>4634</v>
      </c>
      <c r="F4511" s="331">
        <v>0.21</v>
      </c>
      <c r="G4511" s="332">
        <v>928</v>
      </c>
      <c r="H4511" s="333">
        <v>1123</v>
      </c>
    </row>
    <row r="4512" spans="1:8">
      <c r="A4512" s="317" t="s">
        <v>39750</v>
      </c>
      <c r="B4512" s="317" t="s">
        <v>48878</v>
      </c>
      <c r="C4512" s="330" t="s">
        <v>12720</v>
      </c>
      <c r="D4512" s="330" t="s">
        <v>4909</v>
      </c>
      <c r="E4512" s="330" t="s">
        <v>4819</v>
      </c>
      <c r="F4512" s="331">
        <v>0.21</v>
      </c>
      <c r="G4512" s="332">
        <v>479</v>
      </c>
      <c r="H4512" s="333">
        <v>580</v>
      </c>
    </row>
    <row r="4513" spans="1:8">
      <c r="A4513" s="317" t="s">
        <v>39751</v>
      </c>
      <c r="B4513" s="317" t="s">
        <v>48879</v>
      </c>
      <c r="C4513" s="330" t="s">
        <v>12721</v>
      </c>
      <c r="D4513" s="330" t="s">
        <v>12426</v>
      </c>
      <c r="E4513" s="330" t="s">
        <v>37248</v>
      </c>
      <c r="F4513" s="331">
        <v>0.21</v>
      </c>
      <c r="G4513" s="332">
        <v>591</v>
      </c>
      <c r="H4513" s="333">
        <v>716</v>
      </c>
    </row>
    <row r="4514" spans="1:8">
      <c r="A4514" s="317" t="s">
        <v>39752</v>
      </c>
      <c r="B4514" s="317" t="s">
        <v>48880</v>
      </c>
      <c r="C4514" s="330" t="s">
        <v>12722</v>
      </c>
      <c r="D4514" s="330" t="s">
        <v>5932</v>
      </c>
      <c r="E4514" s="330" t="s">
        <v>4634</v>
      </c>
      <c r="F4514" s="331">
        <v>0.21</v>
      </c>
      <c r="G4514" s="332">
        <v>19711</v>
      </c>
      <c r="H4514" s="333">
        <v>23851</v>
      </c>
    </row>
    <row r="4515" spans="1:8">
      <c r="A4515" s="317" t="s">
        <v>39753</v>
      </c>
      <c r="B4515" s="317" t="s">
        <v>48881</v>
      </c>
      <c r="C4515" s="330" t="s">
        <v>12723</v>
      </c>
      <c r="D4515" s="330" t="s">
        <v>12724</v>
      </c>
      <c r="E4515" s="330" t="s">
        <v>4634</v>
      </c>
      <c r="F4515" s="331">
        <v>0.21</v>
      </c>
      <c r="G4515" s="332">
        <v>236</v>
      </c>
      <c r="H4515" s="333">
        <v>286</v>
      </c>
    </row>
    <row r="4516" spans="1:8">
      <c r="A4516" s="317" t="s">
        <v>39754</v>
      </c>
      <c r="B4516" s="317" t="s">
        <v>48882</v>
      </c>
      <c r="C4516" s="330" t="s">
        <v>12725</v>
      </c>
      <c r="D4516" s="330" t="s">
        <v>12724</v>
      </c>
      <c r="E4516" s="330" t="s">
        <v>4634</v>
      </c>
      <c r="F4516" s="331">
        <v>0.21</v>
      </c>
      <c r="G4516" s="332">
        <v>236</v>
      </c>
      <c r="H4516" s="333">
        <v>286</v>
      </c>
    </row>
    <row r="4517" spans="1:8">
      <c r="A4517" s="317" t="s">
        <v>39755</v>
      </c>
      <c r="B4517" s="317" t="s">
        <v>48883</v>
      </c>
      <c r="C4517" s="330" t="s">
        <v>12726</v>
      </c>
      <c r="D4517" s="330" t="s">
        <v>12727</v>
      </c>
      <c r="E4517" s="330" t="s">
        <v>4634</v>
      </c>
      <c r="F4517" s="331">
        <v>0.21</v>
      </c>
      <c r="G4517" s="332">
        <v>1170</v>
      </c>
      <c r="H4517" s="333">
        <v>1416</v>
      </c>
    </row>
    <row r="4518" spans="1:8">
      <c r="A4518" s="317" t="s">
        <v>39756</v>
      </c>
      <c r="B4518" s="317" t="s">
        <v>48884</v>
      </c>
      <c r="C4518" s="330" t="s">
        <v>12728</v>
      </c>
      <c r="D4518" s="330" t="s">
        <v>12729</v>
      </c>
      <c r="E4518" s="330" t="s">
        <v>4634</v>
      </c>
      <c r="F4518" s="331">
        <v>0.21</v>
      </c>
      <c r="G4518" s="332">
        <v>24723</v>
      </c>
      <c r="H4518" s="333">
        <v>29915</v>
      </c>
    </row>
    <row r="4519" spans="1:8">
      <c r="A4519" s="317" t="s">
        <v>39757</v>
      </c>
      <c r="B4519" s="317" t="s">
        <v>48885</v>
      </c>
      <c r="C4519" s="330" t="s">
        <v>12730</v>
      </c>
      <c r="D4519" s="330" t="s">
        <v>12727</v>
      </c>
      <c r="E4519" s="330" t="s">
        <v>4634</v>
      </c>
      <c r="F4519" s="331">
        <v>0.21</v>
      </c>
      <c r="G4519" s="332">
        <v>236</v>
      </c>
      <c r="H4519" s="333">
        <v>286</v>
      </c>
    </row>
    <row r="4520" spans="1:8">
      <c r="A4520" s="317" t="s">
        <v>39758</v>
      </c>
      <c r="B4520" s="317" t="s">
        <v>48886</v>
      </c>
      <c r="C4520" s="330" t="s">
        <v>12731</v>
      </c>
      <c r="D4520" s="330" t="s">
        <v>12732</v>
      </c>
      <c r="E4520" s="330" t="s">
        <v>4634</v>
      </c>
      <c r="F4520" s="331">
        <v>0.21</v>
      </c>
      <c r="G4520" s="332">
        <v>236</v>
      </c>
      <c r="H4520" s="333">
        <v>286</v>
      </c>
    </row>
    <row r="4521" spans="1:8">
      <c r="A4521" s="317" t="s">
        <v>39759</v>
      </c>
      <c r="B4521" s="317" t="s">
        <v>48887</v>
      </c>
      <c r="C4521" s="330" t="s">
        <v>12733</v>
      </c>
      <c r="D4521" s="330" t="s">
        <v>12734</v>
      </c>
      <c r="E4521" s="330" t="s">
        <v>4634</v>
      </c>
      <c r="F4521" s="331">
        <v>0.21</v>
      </c>
      <c r="G4521" s="332">
        <v>455</v>
      </c>
      <c r="H4521" s="333">
        <v>551</v>
      </c>
    </row>
    <row r="4522" spans="1:8">
      <c r="A4522" s="317" t="s">
        <v>39760</v>
      </c>
      <c r="B4522" s="317" t="s">
        <v>48888</v>
      </c>
      <c r="C4522" s="330" t="s">
        <v>12735</v>
      </c>
      <c r="D4522" s="330" t="s">
        <v>12736</v>
      </c>
      <c r="E4522" s="330" t="s">
        <v>4634</v>
      </c>
      <c r="F4522" s="331">
        <v>0.21</v>
      </c>
      <c r="G4522" s="332">
        <v>236</v>
      </c>
      <c r="H4522" s="333">
        <v>286</v>
      </c>
    </row>
    <row r="4523" spans="1:8">
      <c r="A4523" s="317" t="s">
        <v>39761</v>
      </c>
      <c r="B4523" s="317" t="s">
        <v>48889</v>
      </c>
      <c r="C4523" s="330" t="s">
        <v>12737</v>
      </c>
      <c r="D4523" s="330" t="s">
        <v>12738</v>
      </c>
      <c r="E4523" s="330" t="s">
        <v>4634</v>
      </c>
      <c r="F4523" s="331">
        <v>0.21</v>
      </c>
      <c r="G4523" s="332">
        <v>236</v>
      </c>
      <c r="H4523" s="333">
        <v>286</v>
      </c>
    </row>
    <row r="4524" spans="1:8">
      <c r="A4524" s="317" t="s">
        <v>39762</v>
      </c>
      <c r="B4524" s="317" t="s">
        <v>48890</v>
      </c>
      <c r="C4524" s="330" t="s">
        <v>12739</v>
      </c>
      <c r="D4524" s="330" t="s">
        <v>12740</v>
      </c>
      <c r="E4524" s="330" t="s">
        <v>4634</v>
      </c>
      <c r="F4524" s="331">
        <v>0.21</v>
      </c>
      <c r="G4524" s="332">
        <v>236</v>
      </c>
      <c r="H4524" s="333">
        <v>286</v>
      </c>
    </row>
    <row r="4525" spans="1:8">
      <c r="A4525" s="317" t="s">
        <v>39763</v>
      </c>
      <c r="B4525" s="317" t="s">
        <v>48891</v>
      </c>
      <c r="C4525" s="330" t="s">
        <v>12741</v>
      </c>
      <c r="D4525" s="330" t="s">
        <v>12742</v>
      </c>
      <c r="E4525" s="330" t="s">
        <v>4634</v>
      </c>
      <c r="F4525" s="331">
        <v>0.21</v>
      </c>
      <c r="G4525" s="332">
        <v>236</v>
      </c>
      <c r="H4525" s="333">
        <v>286</v>
      </c>
    </row>
    <row r="4526" spans="1:8">
      <c r="A4526" s="317" t="s">
        <v>39764</v>
      </c>
      <c r="B4526" s="317" t="s">
        <v>48892</v>
      </c>
      <c r="C4526" s="330" t="s">
        <v>12743</v>
      </c>
      <c r="D4526" s="330" t="s">
        <v>12744</v>
      </c>
      <c r="E4526" s="330" t="s">
        <v>4634</v>
      </c>
      <c r="F4526" s="331">
        <v>0.21</v>
      </c>
      <c r="G4526" s="332">
        <v>1229</v>
      </c>
      <c r="H4526" s="333">
        <v>1488</v>
      </c>
    </row>
    <row r="4527" spans="1:8">
      <c r="A4527" s="317" t="s">
        <v>39765</v>
      </c>
      <c r="B4527" s="317" t="s">
        <v>48893</v>
      </c>
      <c r="C4527" s="330" t="s">
        <v>12745</v>
      </c>
      <c r="D4527" s="330" t="s">
        <v>12740</v>
      </c>
      <c r="E4527" s="330" t="s">
        <v>4634</v>
      </c>
      <c r="F4527" s="331">
        <v>0.21</v>
      </c>
      <c r="G4527" s="332">
        <v>455</v>
      </c>
      <c r="H4527" s="333">
        <v>551</v>
      </c>
    </row>
    <row r="4528" spans="1:8">
      <c r="A4528" s="317" t="s">
        <v>39766</v>
      </c>
      <c r="B4528" s="317" t="s">
        <v>48894</v>
      </c>
      <c r="C4528" s="330" t="s">
        <v>12746</v>
      </c>
      <c r="D4528" s="330" t="s">
        <v>12747</v>
      </c>
      <c r="E4528" s="330" t="s">
        <v>4819</v>
      </c>
      <c r="F4528" s="331">
        <v>0.21</v>
      </c>
      <c r="G4528" s="332">
        <v>2295</v>
      </c>
      <c r="H4528" s="333">
        <v>2777</v>
      </c>
    </row>
    <row r="4529" spans="1:8">
      <c r="A4529" s="317" t="s">
        <v>39767</v>
      </c>
      <c r="B4529" s="317" t="s">
        <v>48895</v>
      </c>
      <c r="C4529" s="330" t="s">
        <v>12748</v>
      </c>
      <c r="D4529" s="330" t="s">
        <v>12749</v>
      </c>
      <c r="E4529" s="330" t="s">
        <v>4623</v>
      </c>
      <c r="F4529" s="331">
        <v>0.21</v>
      </c>
      <c r="G4529" s="332">
        <v>1273</v>
      </c>
      <c r="H4529" s="333">
        <v>1541</v>
      </c>
    </row>
    <row r="4530" spans="1:8">
      <c r="A4530" s="317" t="s">
        <v>39768</v>
      </c>
      <c r="B4530" s="317" t="s">
        <v>48896</v>
      </c>
      <c r="C4530" s="330" t="s">
        <v>12750</v>
      </c>
      <c r="D4530" s="330" t="s">
        <v>12751</v>
      </c>
      <c r="E4530" s="330" t="s">
        <v>4634</v>
      </c>
      <c r="F4530" s="331">
        <v>0.21</v>
      </c>
      <c r="G4530" s="332">
        <v>236</v>
      </c>
      <c r="H4530" s="333">
        <v>286</v>
      </c>
    </row>
    <row r="4531" spans="1:8">
      <c r="A4531" s="317" t="s">
        <v>39769</v>
      </c>
      <c r="B4531" s="317" t="s">
        <v>48897</v>
      </c>
      <c r="C4531" s="330" t="s">
        <v>12752</v>
      </c>
      <c r="D4531" s="330" t="s">
        <v>12753</v>
      </c>
      <c r="E4531" s="330" t="s">
        <v>4634</v>
      </c>
      <c r="F4531" s="331">
        <v>0.21</v>
      </c>
      <c r="G4531" s="332">
        <v>584</v>
      </c>
      <c r="H4531" s="333">
        <v>707</v>
      </c>
    </row>
    <row r="4532" spans="1:8">
      <c r="A4532" s="317" t="s">
        <v>39770</v>
      </c>
      <c r="B4532" s="317" t="s">
        <v>48898</v>
      </c>
      <c r="C4532" s="330" t="s">
        <v>12754</v>
      </c>
      <c r="D4532" s="330" t="s">
        <v>12742</v>
      </c>
      <c r="E4532" s="330" t="s">
        <v>4819</v>
      </c>
      <c r="F4532" s="331">
        <v>0.21</v>
      </c>
      <c r="G4532" s="332">
        <v>1373</v>
      </c>
      <c r="H4532" s="333">
        <v>1662</v>
      </c>
    </row>
    <row r="4533" spans="1:8">
      <c r="A4533" s="317" t="s">
        <v>39771</v>
      </c>
      <c r="B4533" s="317" t="s">
        <v>48899</v>
      </c>
      <c r="C4533" s="330" t="s">
        <v>12755</v>
      </c>
      <c r="D4533" s="330" t="s">
        <v>12744</v>
      </c>
      <c r="E4533" s="330" t="s">
        <v>4623</v>
      </c>
      <c r="F4533" s="331">
        <v>0.21</v>
      </c>
      <c r="G4533" s="332">
        <v>1229</v>
      </c>
      <c r="H4533" s="333">
        <v>1488</v>
      </c>
    </row>
    <row r="4534" spans="1:8">
      <c r="A4534" s="317" t="s">
        <v>39772</v>
      </c>
      <c r="B4534" s="317" t="s">
        <v>48900</v>
      </c>
      <c r="C4534" s="330" t="s">
        <v>12756</v>
      </c>
      <c r="D4534" s="330" t="s">
        <v>12742</v>
      </c>
      <c r="E4534" s="330" t="s">
        <v>4634</v>
      </c>
      <c r="F4534" s="331">
        <v>0.21</v>
      </c>
      <c r="G4534" s="332">
        <v>236</v>
      </c>
      <c r="H4534" s="333">
        <v>286</v>
      </c>
    </row>
    <row r="4535" spans="1:8">
      <c r="A4535" s="317" t="s">
        <v>39773</v>
      </c>
      <c r="B4535" s="317" t="s">
        <v>48901</v>
      </c>
      <c r="C4535" s="330" t="s">
        <v>12757</v>
      </c>
      <c r="D4535" s="330" t="s">
        <v>12758</v>
      </c>
      <c r="E4535" s="330" t="s">
        <v>4819</v>
      </c>
      <c r="F4535" s="331">
        <v>0.21</v>
      </c>
      <c r="G4535" s="332">
        <v>5663</v>
      </c>
      <c r="H4535" s="333">
        <v>6853</v>
      </c>
    </row>
    <row r="4536" spans="1:8">
      <c r="A4536" s="317" t="s">
        <v>39774</v>
      </c>
      <c r="B4536" s="317" t="s">
        <v>48902</v>
      </c>
      <c r="C4536" s="330" t="s">
        <v>12759</v>
      </c>
      <c r="D4536" s="330" t="s">
        <v>12760</v>
      </c>
      <c r="E4536" s="330" t="s">
        <v>4634</v>
      </c>
      <c r="F4536" s="331">
        <v>0.21</v>
      </c>
      <c r="G4536" s="332">
        <v>236</v>
      </c>
      <c r="H4536" s="333">
        <v>286</v>
      </c>
    </row>
    <row r="4537" spans="1:8">
      <c r="A4537" s="317" t="s">
        <v>39775</v>
      </c>
      <c r="B4537" s="317" t="s">
        <v>48903</v>
      </c>
      <c r="C4537" s="330" t="s">
        <v>12761</v>
      </c>
      <c r="D4537" s="330" t="s">
        <v>12762</v>
      </c>
      <c r="E4537" s="330" t="s">
        <v>4634</v>
      </c>
      <c r="F4537" s="331">
        <v>0.21</v>
      </c>
      <c r="G4537" s="332">
        <v>348</v>
      </c>
      <c r="H4537" s="333">
        <v>422</v>
      </c>
    </row>
    <row r="4538" spans="1:8">
      <c r="A4538" s="317" t="s">
        <v>39776</v>
      </c>
      <c r="B4538" s="317" t="s">
        <v>48904</v>
      </c>
      <c r="C4538" s="330" t="s">
        <v>12763</v>
      </c>
      <c r="D4538" s="330" t="s">
        <v>12764</v>
      </c>
      <c r="E4538" s="330" t="s">
        <v>4634</v>
      </c>
      <c r="F4538" s="331">
        <v>0.21</v>
      </c>
      <c r="G4538" s="332">
        <v>584</v>
      </c>
      <c r="H4538" s="333">
        <v>707</v>
      </c>
    </row>
    <row r="4539" spans="1:8">
      <c r="A4539" s="317" t="s">
        <v>39777</v>
      </c>
      <c r="B4539" s="317" t="s">
        <v>48905</v>
      </c>
      <c r="C4539" s="330" t="s">
        <v>12765</v>
      </c>
      <c r="D4539" s="330" t="s">
        <v>12744</v>
      </c>
      <c r="E4539" s="330" t="s">
        <v>4634</v>
      </c>
      <c r="F4539" s="331">
        <v>0.21</v>
      </c>
      <c r="G4539" s="332">
        <v>236</v>
      </c>
      <c r="H4539" s="333">
        <v>286</v>
      </c>
    </row>
    <row r="4540" spans="1:8">
      <c r="A4540" s="317" t="s">
        <v>39778</v>
      </c>
      <c r="B4540" s="317" t="s">
        <v>48906</v>
      </c>
      <c r="C4540" s="330" t="s">
        <v>12766</v>
      </c>
      <c r="D4540" s="330" t="s">
        <v>12767</v>
      </c>
      <c r="E4540" s="330" t="s">
        <v>4634</v>
      </c>
      <c r="F4540" s="331">
        <v>0.21</v>
      </c>
      <c r="G4540" s="332">
        <v>584</v>
      </c>
      <c r="H4540" s="333">
        <v>707</v>
      </c>
    </row>
    <row r="4541" spans="1:8">
      <c r="A4541" s="317" t="s">
        <v>39779</v>
      </c>
      <c r="B4541" s="317" t="s">
        <v>48907</v>
      </c>
      <c r="C4541" s="330" t="s">
        <v>12768</v>
      </c>
      <c r="D4541" s="330" t="s">
        <v>12769</v>
      </c>
      <c r="E4541" s="330" t="s">
        <v>4819</v>
      </c>
      <c r="F4541" s="331">
        <v>0.21</v>
      </c>
      <c r="G4541" s="332">
        <v>1373</v>
      </c>
      <c r="H4541" s="333">
        <v>1662</v>
      </c>
    </row>
    <row r="4542" spans="1:8">
      <c r="A4542" s="317" t="s">
        <v>39780</v>
      </c>
      <c r="B4542" s="317" t="s">
        <v>48908</v>
      </c>
      <c r="C4542" s="330" t="s">
        <v>12770</v>
      </c>
      <c r="D4542" s="330" t="s">
        <v>12771</v>
      </c>
      <c r="E4542" s="330" t="s">
        <v>4634</v>
      </c>
      <c r="F4542" s="331">
        <v>0.21</v>
      </c>
      <c r="G4542" s="332">
        <v>9734</v>
      </c>
      <c r="H4542" s="333">
        <v>11779</v>
      </c>
    </row>
    <row r="4543" spans="1:8">
      <c r="A4543" s="317" t="s">
        <v>39781</v>
      </c>
      <c r="B4543" s="317" t="s">
        <v>48909</v>
      </c>
      <c r="C4543" s="330" t="s">
        <v>12772</v>
      </c>
      <c r="D4543" s="330" t="s">
        <v>12773</v>
      </c>
      <c r="E4543" s="330" t="s">
        <v>4623</v>
      </c>
      <c r="F4543" s="331">
        <v>0.21</v>
      </c>
      <c r="G4543" s="332">
        <v>3785</v>
      </c>
      <c r="H4543" s="333">
        <v>4580</v>
      </c>
    </row>
    <row r="4544" spans="1:8">
      <c r="A4544" s="317" t="s">
        <v>39782</v>
      </c>
      <c r="B4544" s="317" t="s">
        <v>48910</v>
      </c>
      <c r="C4544" s="330" t="s">
        <v>12774</v>
      </c>
      <c r="D4544" s="330" t="s">
        <v>12762</v>
      </c>
      <c r="E4544" s="330" t="s">
        <v>4819</v>
      </c>
      <c r="F4544" s="331">
        <v>0.21</v>
      </c>
      <c r="G4544" s="332">
        <v>1744</v>
      </c>
      <c r="H4544" s="333">
        <v>2111</v>
      </c>
    </row>
    <row r="4545" spans="1:8">
      <c r="A4545" s="317" t="s">
        <v>39783</v>
      </c>
      <c r="B4545" s="317" t="s">
        <v>48911</v>
      </c>
      <c r="C4545" s="330" t="s">
        <v>12775</v>
      </c>
      <c r="D4545" s="330" t="s">
        <v>12776</v>
      </c>
      <c r="E4545" s="330" t="s">
        <v>37248</v>
      </c>
      <c r="F4545" s="331">
        <v>0.21</v>
      </c>
      <c r="G4545" s="332">
        <v>1247</v>
      </c>
      <c r="H4545" s="333">
        <v>1509</v>
      </c>
    </row>
    <row r="4546" spans="1:8">
      <c r="A4546" s="317" t="s">
        <v>39784</v>
      </c>
      <c r="B4546" s="317" t="s">
        <v>48912</v>
      </c>
      <c r="C4546" s="330" t="s">
        <v>12777</v>
      </c>
      <c r="D4546" s="330" t="s">
        <v>12738</v>
      </c>
      <c r="E4546" s="330" t="s">
        <v>4634</v>
      </c>
      <c r="F4546" s="331">
        <v>0.21</v>
      </c>
      <c r="G4546" s="332">
        <v>236</v>
      </c>
      <c r="H4546" s="333">
        <v>286</v>
      </c>
    </row>
    <row r="4547" spans="1:8">
      <c r="A4547" s="317" t="s">
        <v>39785</v>
      </c>
      <c r="B4547" s="317" t="s">
        <v>48913</v>
      </c>
      <c r="C4547" s="330" t="s">
        <v>12778</v>
      </c>
      <c r="D4547" s="330" t="s">
        <v>12779</v>
      </c>
      <c r="E4547" s="330" t="s">
        <v>4634</v>
      </c>
      <c r="F4547" s="331">
        <v>0.21</v>
      </c>
      <c r="G4547" s="332">
        <v>432</v>
      </c>
      <c r="H4547" s="333">
        <v>523</v>
      </c>
    </row>
    <row r="4548" spans="1:8">
      <c r="A4548" s="317" t="s">
        <v>39786</v>
      </c>
      <c r="B4548" s="317" t="s">
        <v>48914</v>
      </c>
      <c r="C4548" s="330" t="s">
        <v>12780</v>
      </c>
      <c r="D4548" s="330" t="s">
        <v>12736</v>
      </c>
      <c r="E4548" s="330" t="s">
        <v>4634</v>
      </c>
      <c r="F4548" s="331">
        <v>0.21</v>
      </c>
      <c r="G4548" s="332">
        <v>236</v>
      </c>
      <c r="H4548" s="333">
        <v>286</v>
      </c>
    </row>
    <row r="4549" spans="1:8">
      <c r="A4549" s="317" t="s">
        <v>39787</v>
      </c>
      <c r="B4549" s="317" t="s">
        <v>48915</v>
      </c>
      <c r="C4549" s="330" t="s">
        <v>12781</v>
      </c>
      <c r="D4549" s="330" t="s">
        <v>12758</v>
      </c>
      <c r="E4549" s="330" t="s">
        <v>4634</v>
      </c>
      <c r="F4549" s="331">
        <v>0.21</v>
      </c>
      <c r="G4549" s="332">
        <v>236</v>
      </c>
      <c r="H4549" s="333">
        <v>286</v>
      </c>
    </row>
    <row r="4550" spans="1:8">
      <c r="A4550" s="317" t="s">
        <v>39788</v>
      </c>
      <c r="B4550" s="317" t="s">
        <v>48916</v>
      </c>
      <c r="C4550" s="330" t="s">
        <v>12782</v>
      </c>
      <c r="D4550" s="330" t="s">
        <v>12744</v>
      </c>
      <c r="E4550" s="330" t="s">
        <v>4634</v>
      </c>
      <c r="F4550" s="331">
        <v>0.21</v>
      </c>
      <c r="G4550" s="332">
        <v>236</v>
      </c>
      <c r="H4550" s="333">
        <v>286</v>
      </c>
    </row>
    <row r="4551" spans="1:8">
      <c r="A4551" s="317" t="s">
        <v>39789</v>
      </c>
      <c r="B4551" s="317" t="s">
        <v>48917</v>
      </c>
      <c r="C4551" s="330" t="s">
        <v>12783</v>
      </c>
      <c r="D4551" s="330" t="s">
        <v>12784</v>
      </c>
      <c r="E4551" s="330" t="s">
        <v>4634</v>
      </c>
      <c r="F4551" s="331">
        <v>0.21</v>
      </c>
      <c r="G4551" s="332">
        <v>963</v>
      </c>
      <c r="H4551" s="333">
        <v>1166</v>
      </c>
    </row>
    <row r="4552" spans="1:8">
      <c r="A4552" s="317" t="s">
        <v>39790</v>
      </c>
      <c r="B4552" s="317" t="s">
        <v>48918</v>
      </c>
      <c r="C4552" s="330" t="s">
        <v>12785</v>
      </c>
      <c r="D4552" s="330" t="s">
        <v>12786</v>
      </c>
      <c r="E4552" s="330" t="s">
        <v>4634</v>
      </c>
      <c r="F4552" s="331">
        <v>0.21</v>
      </c>
      <c r="G4552" s="332">
        <v>3529</v>
      </c>
      <c r="H4552" s="333">
        <v>4271</v>
      </c>
    </row>
    <row r="4553" spans="1:8">
      <c r="A4553" s="317" t="s">
        <v>39791</v>
      </c>
      <c r="B4553" s="317" t="s">
        <v>48919</v>
      </c>
      <c r="C4553" s="330" t="s">
        <v>12787</v>
      </c>
      <c r="D4553" s="330" t="s">
        <v>12788</v>
      </c>
      <c r="E4553" s="330" t="s">
        <v>4634</v>
      </c>
      <c r="F4553" s="331">
        <v>0.21</v>
      </c>
      <c r="G4553" s="332">
        <v>236</v>
      </c>
      <c r="H4553" s="333">
        <v>286</v>
      </c>
    </row>
    <row r="4554" spans="1:8">
      <c r="A4554" s="317" t="s">
        <v>39792</v>
      </c>
      <c r="B4554" s="317" t="s">
        <v>48920</v>
      </c>
      <c r="C4554" s="330" t="s">
        <v>12789</v>
      </c>
      <c r="D4554" s="330" t="s">
        <v>12790</v>
      </c>
      <c r="E4554" s="330" t="s">
        <v>4623</v>
      </c>
      <c r="F4554" s="331">
        <v>0.21</v>
      </c>
      <c r="G4554" s="332">
        <v>4095</v>
      </c>
      <c r="H4554" s="333">
        <v>4955</v>
      </c>
    </row>
    <row r="4555" spans="1:8">
      <c r="A4555" s="317" t="s">
        <v>39793</v>
      </c>
      <c r="B4555" s="317" t="s">
        <v>48921</v>
      </c>
      <c r="C4555" s="330" t="s">
        <v>12791</v>
      </c>
      <c r="D4555" s="330" t="s">
        <v>12792</v>
      </c>
      <c r="E4555" s="330" t="s">
        <v>4819</v>
      </c>
      <c r="F4555" s="331">
        <v>0.21</v>
      </c>
      <c r="G4555" s="332">
        <v>71788</v>
      </c>
      <c r="H4555" s="333">
        <v>86864</v>
      </c>
    </row>
    <row r="4556" spans="1:8">
      <c r="A4556" s="317" t="s">
        <v>39794</v>
      </c>
      <c r="B4556" s="317" t="s">
        <v>48922</v>
      </c>
      <c r="C4556" s="330" t="s">
        <v>12793</v>
      </c>
      <c r="D4556" s="330" t="s">
        <v>12744</v>
      </c>
      <c r="E4556" s="330" t="s">
        <v>4634</v>
      </c>
      <c r="F4556" s="331">
        <v>0.21</v>
      </c>
      <c r="G4556" s="332">
        <v>236</v>
      </c>
      <c r="H4556" s="333">
        <v>286</v>
      </c>
    </row>
    <row r="4557" spans="1:8">
      <c r="A4557" s="317" t="s">
        <v>39795</v>
      </c>
      <c r="B4557" s="317" t="s">
        <v>48923</v>
      </c>
      <c r="C4557" s="330" t="s">
        <v>12794</v>
      </c>
      <c r="D4557" s="330" t="s">
        <v>12795</v>
      </c>
      <c r="E4557" s="330" t="s">
        <v>4634</v>
      </c>
      <c r="F4557" s="331">
        <v>0.21</v>
      </c>
      <c r="G4557" s="332">
        <v>236</v>
      </c>
      <c r="H4557" s="333">
        <v>286</v>
      </c>
    </row>
    <row r="4558" spans="1:8">
      <c r="A4558" s="317" t="s">
        <v>39796</v>
      </c>
      <c r="B4558" s="317" t="s">
        <v>48924</v>
      </c>
      <c r="C4558" s="330" t="s">
        <v>12796</v>
      </c>
      <c r="D4558" s="330" t="s">
        <v>12758</v>
      </c>
      <c r="E4558" s="330" t="s">
        <v>4634</v>
      </c>
      <c r="F4558" s="331">
        <v>0.21</v>
      </c>
      <c r="G4558" s="332">
        <v>236</v>
      </c>
      <c r="H4558" s="333">
        <v>286</v>
      </c>
    </row>
    <row r="4559" spans="1:8">
      <c r="A4559" s="317" t="s">
        <v>39797</v>
      </c>
      <c r="B4559" s="317" t="s">
        <v>48925</v>
      </c>
      <c r="C4559" s="330" t="s">
        <v>12797</v>
      </c>
      <c r="D4559" s="330" t="s">
        <v>12798</v>
      </c>
      <c r="E4559" s="330" t="s">
        <v>4634</v>
      </c>
      <c r="F4559" s="331">
        <v>0.21</v>
      </c>
      <c r="G4559" s="332">
        <v>1199</v>
      </c>
      <c r="H4559" s="333">
        <v>1451</v>
      </c>
    </row>
    <row r="4560" spans="1:8">
      <c r="A4560" s="317" t="s">
        <v>39798</v>
      </c>
      <c r="B4560" s="317" t="s">
        <v>48926</v>
      </c>
      <c r="C4560" s="330" t="s">
        <v>12799</v>
      </c>
      <c r="D4560" s="330" t="s">
        <v>12800</v>
      </c>
      <c r="E4560" s="330" t="s">
        <v>4634</v>
      </c>
      <c r="F4560" s="331">
        <v>0.21</v>
      </c>
      <c r="G4560" s="332">
        <v>236</v>
      </c>
      <c r="H4560" s="333">
        <v>286</v>
      </c>
    </row>
    <row r="4561" spans="1:8">
      <c r="A4561" s="317" t="s">
        <v>39799</v>
      </c>
      <c r="B4561" s="317" t="s">
        <v>48927</v>
      </c>
      <c r="C4561" s="330" t="s">
        <v>12801</v>
      </c>
      <c r="D4561" s="330" t="s">
        <v>12802</v>
      </c>
      <c r="E4561" s="330" t="s">
        <v>4634</v>
      </c>
      <c r="F4561" s="331">
        <v>0.21</v>
      </c>
      <c r="G4561" s="332">
        <v>791</v>
      </c>
      <c r="H4561" s="333">
        <v>958</v>
      </c>
    </row>
    <row r="4562" spans="1:8">
      <c r="A4562" s="317" t="s">
        <v>39800</v>
      </c>
      <c r="B4562" s="317" t="s">
        <v>48928</v>
      </c>
      <c r="C4562" s="330" t="s">
        <v>12803</v>
      </c>
      <c r="D4562" s="330" t="s">
        <v>12804</v>
      </c>
      <c r="E4562" s="330" t="s">
        <v>4819</v>
      </c>
      <c r="F4562" s="331">
        <v>0.21</v>
      </c>
      <c r="G4562" s="332">
        <v>3303</v>
      </c>
      <c r="H4562" s="333">
        <v>3997</v>
      </c>
    </row>
    <row r="4563" spans="1:8">
      <c r="A4563" s="317" t="s">
        <v>39801</v>
      </c>
      <c r="B4563" s="317" t="s">
        <v>48929</v>
      </c>
      <c r="C4563" s="330" t="s">
        <v>12805</v>
      </c>
      <c r="D4563" s="330" t="s">
        <v>7235</v>
      </c>
      <c r="E4563" s="330" t="s">
        <v>4634</v>
      </c>
      <c r="F4563" s="331">
        <v>0.21</v>
      </c>
      <c r="G4563" s="332">
        <v>236</v>
      </c>
      <c r="H4563" s="333">
        <v>286</v>
      </c>
    </row>
    <row r="4564" spans="1:8">
      <c r="A4564" s="317" t="s">
        <v>39802</v>
      </c>
      <c r="B4564" s="317" t="s">
        <v>48930</v>
      </c>
      <c r="C4564" s="330" t="s">
        <v>12806</v>
      </c>
      <c r="D4564" s="330" t="s">
        <v>12807</v>
      </c>
      <c r="E4564" s="330" t="s">
        <v>4634</v>
      </c>
      <c r="F4564" s="331">
        <v>0.21</v>
      </c>
      <c r="G4564" s="332">
        <v>236</v>
      </c>
      <c r="H4564" s="333">
        <v>286</v>
      </c>
    </row>
    <row r="4565" spans="1:8">
      <c r="A4565" s="317" t="s">
        <v>39803</v>
      </c>
      <c r="B4565" s="317" t="s">
        <v>48931</v>
      </c>
      <c r="C4565" s="330" t="s">
        <v>12808</v>
      </c>
      <c r="D4565" s="330" t="s">
        <v>12809</v>
      </c>
      <c r="E4565" s="330" t="s">
        <v>4634</v>
      </c>
      <c r="F4565" s="331">
        <v>0.21</v>
      </c>
      <c r="G4565" s="332">
        <v>348</v>
      </c>
      <c r="H4565" s="333">
        <v>422</v>
      </c>
    </row>
    <row r="4566" spans="1:8">
      <c r="A4566" s="317" t="s">
        <v>39804</v>
      </c>
      <c r="B4566" s="317" t="s">
        <v>48932</v>
      </c>
      <c r="C4566" s="330" t="s">
        <v>12810</v>
      </c>
      <c r="D4566" s="330" t="s">
        <v>12744</v>
      </c>
      <c r="E4566" s="330" t="s">
        <v>4634</v>
      </c>
      <c r="F4566" s="331">
        <v>0.21</v>
      </c>
      <c r="G4566" s="332">
        <v>236</v>
      </c>
      <c r="H4566" s="333">
        <v>286</v>
      </c>
    </row>
    <row r="4567" spans="1:8">
      <c r="A4567" s="317" t="s">
        <v>39805</v>
      </c>
      <c r="B4567" s="317" t="s">
        <v>48933</v>
      </c>
      <c r="C4567" s="330" t="s">
        <v>12811</v>
      </c>
      <c r="D4567" s="330" t="s">
        <v>12812</v>
      </c>
      <c r="E4567" s="330" t="s">
        <v>4819</v>
      </c>
      <c r="F4567" s="331">
        <v>0.21</v>
      </c>
      <c r="G4567" s="332">
        <v>7791</v>
      </c>
      <c r="H4567" s="333">
        <v>9428</v>
      </c>
    </row>
    <row r="4568" spans="1:8">
      <c r="A4568" s="317" t="s">
        <v>39806</v>
      </c>
      <c r="B4568" s="317" t="s">
        <v>48934</v>
      </c>
      <c r="C4568" s="330" t="s">
        <v>12813</v>
      </c>
      <c r="D4568" s="330" t="s">
        <v>12814</v>
      </c>
      <c r="E4568" s="330" t="s">
        <v>4819</v>
      </c>
      <c r="F4568" s="331">
        <v>0.21</v>
      </c>
      <c r="G4568" s="332">
        <v>7791</v>
      </c>
      <c r="H4568" s="333">
        <v>9428</v>
      </c>
    </row>
    <row r="4569" spans="1:8">
      <c r="A4569" s="317" t="s">
        <v>39807</v>
      </c>
      <c r="B4569" s="317" t="s">
        <v>48935</v>
      </c>
      <c r="C4569" s="330" t="s">
        <v>12815</v>
      </c>
      <c r="D4569" s="330" t="s">
        <v>12816</v>
      </c>
      <c r="E4569" s="330" t="s">
        <v>4623</v>
      </c>
      <c r="F4569" s="331">
        <v>0.21</v>
      </c>
      <c r="G4569" s="332">
        <v>2079</v>
      </c>
      <c r="H4569" s="333">
        <v>2516</v>
      </c>
    </row>
    <row r="4570" spans="1:8">
      <c r="A4570" s="317" t="s">
        <v>39808</v>
      </c>
      <c r="B4570" s="317" t="s">
        <v>48936</v>
      </c>
      <c r="C4570" s="330" t="s">
        <v>12817</v>
      </c>
      <c r="D4570" s="330" t="s">
        <v>12744</v>
      </c>
      <c r="E4570" s="330" t="s">
        <v>4634</v>
      </c>
      <c r="F4570" s="331">
        <v>0.21</v>
      </c>
      <c r="G4570" s="332">
        <v>236</v>
      </c>
      <c r="H4570" s="333">
        <v>286</v>
      </c>
    </row>
    <row r="4571" spans="1:8">
      <c r="A4571" s="317" t="s">
        <v>39809</v>
      </c>
      <c r="B4571" s="317" t="s">
        <v>48937</v>
      </c>
      <c r="C4571" s="330" t="s">
        <v>12818</v>
      </c>
      <c r="D4571" s="330" t="s">
        <v>12819</v>
      </c>
      <c r="E4571" s="330" t="s">
        <v>4634</v>
      </c>
      <c r="F4571" s="331">
        <v>0.21</v>
      </c>
      <c r="G4571" s="332">
        <v>280</v>
      </c>
      <c r="H4571" s="333">
        <v>339</v>
      </c>
    </row>
    <row r="4572" spans="1:8">
      <c r="A4572" s="317" t="s">
        <v>39810</v>
      </c>
      <c r="B4572" s="317" t="s">
        <v>48938</v>
      </c>
      <c r="C4572" s="330" t="s">
        <v>12820</v>
      </c>
      <c r="D4572" s="330" t="s">
        <v>12819</v>
      </c>
      <c r="E4572" s="330" t="s">
        <v>4634</v>
      </c>
      <c r="F4572" s="331">
        <v>0.21</v>
      </c>
      <c r="G4572" s="332">
        <v>432</v>
      </c>
      <c r="H4572" s="333">
        <v>523</v>
      </c>
    </row>
    <row r="4573" spans="1:8">
      <c r="A4573" s="317" t="s">
        <v>39811</v>
      </c>
      <c r="B4573" s="317" t="s">
        <v>48939</v>
      </c>
      <c r="C4573" s="330" t="s">
        <v>12821</v>
      </c>
      <c r="D4573" s="330" t="s">
        <v>12822</v>
      </c>
      <c r="E4573" s="330" t="s">
        <v>4623</v>
      </c>
      <c r="F4573" s="331">
        <v>0.21</v>
      </c>
      <c r="G4573" s="332">
        <v>1229</v>
      </c>
      <c r="H4573" s="333">
        <v>1488</v>
      </c>
    </row>
    <row r="4574" spans="1:8">
      <c r="A4574" s="317" t="s">
        <v>39812</v>
      </c>
      <c r="B4574" s="317" t="s">
        <v>48940</v>
      </c>
      <c r="C4574" s="330" t="s">
        <v>12823</v>
      </c>
      <c r="D4574" s="330" t="s">
        <v>12744</v>
      </c>
      <c r="E4574" s="330" t="s">
        <v>4819</v>
      </c>
      <c r="F4574" s="331">
        <v>0.21</v>
      </c>
      <c r="G4574" s="332">
        <v>1373</v>
      </c>
      <c r="H4574" s="333">
        <v>1662</v>
      </c>
    </row>
    <row r="4575" spans="1:8">
      <c r="A4575" s="317" t="s">
        <v>39813</v>
      </c>
      <c r="B4575" s="317" t="s">
        <v>48941</v>
      </c>
      <c r="C4575" s="330" t="s">
        <v>12824</v>
      </c>
      <c r="D4575" s="330" t="s">
        <v>12825</v>
      </c>
      <c r="E4575" s="330" t="s">
        <v>4634</v>
      </c>
      <c r="F4575" s="331">
        <v>0.21</v>
      </c>
      <c r="G4575" s="332">
        <v>348</v>
      </c>
      <c r="H4575" s="333">
        <v>422</v>
      </c>
    </row>
    <row r="4576" spans="1:8">
      <c r="A4576" s="317" t="s">
        <v>39814</v>
      </c>
      <c r="B4576" s="317" t="s">
        <v>48942</v>
      </c>
      <c r="C4576" s="330" t="s">
        <v>12826</v>
      </c>
      <c r="D4576" s="330" t="s">
        <v>12827</v>
      </c>
      <c r="E4576" s="330" t="s">
        <v>4819</v>
      </c>
      <c r="F4576" s="331">
        <v>0.21</v>
      </c>
      <c r="G4576" s="332">
        <v>1373</v>
      </c>
      <c r="H4576" s="333">
        <v>1662</v>
      </c>
    </row>
    <row r="4577" spans="1:8">
      <c r="A4577" s="317" t="s">
        <v>39815</v>
      </c>
      <c r="B4577" s="317" t="s">
        <v>48943</v>
      </c>
      <c r="C4577" s="330" t="s">
        <v>12828</v>
      </c>
      <c r="D4577" s="330" t="s">
        <v>12829</v>
      </c>
      <c r="E4577" s="330" t="s">
        <v>4819</v>
      </c>
      <c r="F4577" s="331">
        <v>0.21</v>
      </c>
      <c r="G4577" s="332">
        <v>1373</v>
      </c>
      <c r="H4577" s="333">
        <v>1662</v>
      </c>
    </row>
    <row r="4578" spans="1:8">
      <c r="A4578" s="317" t="s">
        <v>39816</v>
      </c>
      <c r="B4578" s="317" t="s">
        <v>48944</v>
      </c>
      <c r="C4578" s="330" t="s">
        <v>12830</v>
      </c>
      <c r="D4578" s="330" t="s">
        <v>12744</v>
      </c>
      <c r="E4578" s="330" t="s">
        <v>37248</v>
      </c>
      <c r="F4578" s="331">
        <v>0.21</v>
      </c>
      <c r="G4578" s="332">
        <v>1373</v>
      </c>
      <c r="H4578" s="333">
        <v>1662</v>
      </c>
    </row>
    <row r="4579" spans="1:8">
      <c r="A4579" s="317" t="s">
        <v>39817</v>
      </c>
      <c r="B4579" s="317" t="s">
        <v>48945</v>
      </c>
      <c r="C4579" s="330" t="s">
        <v>12831</v>
      </c>
      <c r="D4579" s="330" t="s">
        <v>12832</v>
      </c>
      <c r="E4579" s="330" t="s">
        <v>4634</v>
      </c>
      <c r="F4579" s="331">
        <v>0.21</v>
      </c>
      <c r="G4579" s="332">
        <v>84</v>
      </c>
      <c r="H4579" s="333">
        <v>102</v>
      </c>
    </row>
    <row r="4580" spans="1:8">
      <c r="A4580" s="317" t="s">
        <v>39818</v>
      </c>
      <c r="B4580" s="317" t="s">
        <v>48946</v>
      </c>
      <c r="C4580" s="330" t="s">
        <v>12833</v>
      </c>
      <c r="D4580" s="330" t="s">
        <v>12834</v>
      </c>
      <c r="E4580" s="330" t="s">
        <v>4623</v>
      </c>
      <c r="F4580" s="331">
        <v>0.21</v>
      </c>
      <c r="G4580" s="332">
        <v>3914</v>
      </c>
      <c r="H4580" s="333">
        <v>4736</v>
      </c>
    </row>
    <row r="4581" spans="1:8">
      <c r="A4581" s="317" t="s">
        <v>39819</v>
      </c>
      <c r="B4581" s="317" t="s">
        <v>48947</v>
      </c>
      <c r="C4581" s="330" t="s">
        <v>12835</v>
      </c>
      <c r="D4581" s="330" t="s">
        <v>12836</v>
      </c>
      <c r="E4581" s="330" t="s">
        <v>4634</v>
      </c>
      <c r="F4581" s="331">
        <v>0.21</v>
      </c>
      <c r="G4581" s="332">
        <v>348</v>
      </c>
      <c r="H4581" s="333">
        <v>422</v>
      </c>
    </row>
    <row r="4582" spans="1:8">
      <c r="A4582" s="317" t="s">
        <v>39820</v>
      </c>
      <c r="B4582" s="317" t="s">
        <v>48948</v>
      </c>
      <c r="C4582" s="330" t="s">
        <v>12837</v>
      </c>
      <c r="D4582" s="330" t="s">
        <v>12822</v>
      </c>
      <c r="E4582" s="330" t="s">
        <v>4634</v>
      </c>
      <c r="F4582" s="331">
        <v>0.21</v>
      </c>
      <c r="G4582" s="332">
        <v>236</v>
      </c>
      <c r="H4582" s="333">
        <v>286</v>
      </c>
    </row>
    <row r="4583" spans="1:8">
      <c r="A4583" s="317" t="s">
        <v>39821</v>
      </c>
      <c r="B4583" s="317" t="s">
        <v>48949</v>
      </c>
      <c r="C4583" s="330" t="s">
        <v>12838</v>
      </c>
      <c r="D4583" s="330" t="s">
        <v>12744</v>
      </c>
      <c r="E4583" s="330" t="s">
        <v>4634</v>
      </c>
      <c r="F4583" s="331">
        <v>0.21</v>
      </c>
      <c r="G4583" s="332">
        <v>280</v>
      </c>
      <c r="H4583" s="333">
        <v>339</v>
      </c>
    </row>
    <row r="4584" spans="1:8">
      <c r="A4584" s="317" t="s">
        <v>39822</v>
      </c>
      <c r="B4584" s="317" t="s">
        <v>48950</v>
      </c>
      <c r="C4584" s="330" t="s">
        <v>12839</v>
      </c>
      <c r="D4584" s="330" t="s">
        <v>12840</v>
      </c>
      <c r="E4584" s="330" t="s">
        <v>4634</v>
      </c>
      <c r="F4584" s="331">
        <v>0.21</v>
      </c>
      <c r="G4584" s="332">
        <v>280</v>
      </c>
      <c r="H4584" s="333">
        <v>339</v>
      </c>
    </row>
    <row r="4585" spans="1:8">
      <c r="A4585" s="317" t="s">
        <v>39823</v>
      </c>
      <c r="B4585" s="317" t="s">
        <v>48951</v>
      </c>
      <c r="C4585" s="330" t="s">
        <v>12841</v>
      </c>
      <c r="D4585" s="330" t="s">
        <v>12842</v>
      </c>
      <c r="E4585" s="330" t="s">
        <v>4819</v>
      </c>
      <c r="F4585" s="331">
        <v>0.21</v>
      </c>
      <c r="G4585" s="332">
        <v>2476</v>
      </c>
      <c r="H4585" s="333">
        <v>2996</v>
      </c>
    </row>
    <row r="4586" spans="1:8">
      <c r="A4586" s="317" t="s">
        <v>39824</v>
      </c>
      <c r="B4586" s="317" t="s">
        <v>48952</v>
      </c>
      <c r="C4586" s="330" t="s">
        <v>12843</v>
      </c>
      <c r="D4586" s="330" t="s">
        <v>12744</v>
      </c>
      <c r="E4586" s="330" t="s">
        <v>4819</v>
      </c>
      <c r="F4586" s="331">
        <v>0.21</v>
      </c>
      <c r="G4586" s="332">
        <v>1373</v>
      </c>
      <c r="H4586" s="333">
        <v>1662</v>
      </c>
    </row>
    <row r="4587" spans="1:8">
      <c r="A4587" s="317" t="s">
        <v>39825</v>
      </c>
      <c r="B4587" s="317" t="s">
        <v>48953</v>
      </c>
      <c r="C4587" s="330" t="s">
        <v>12844</v>
      </c>
      <c r="D4587" s="330" t="s">
        <v>12742</v>
      </c>
      <c r="E4587" s="330" t="s">
        <v>4819</v>
      </c>
      <c r="F4587" s="331">
        <v>0.21</v>
      </c>
      <c r="G4587" s="332">
        <v>1373</v>
      </c>
      <c r="H4587" s="333">
        <v>1662</v>
      </c>
    </row>
    <row r="4588" spans="1:8">
      <c r="A4588" s="317" t="s">
        <v>39826</v>
      </c>
      <c r="B4588" s="317" t="s">
        <v>48954</v>
      </c>
      <c r="C4588" s="330" t="s">
        <v>12845</v>
      </c>
      <c r="D4588" s="330" t="s">
        <v>12744</v>
      </c>
      <c r="E4588" s="330" t="s">
        <v>4634</v>
      </c>
      <c r="F4588" s="331">
        <v>0.21</v>
      </c>
      <c r="G4588" s="332">
        <v>236</v>
      </c>
      <c r="H4588" s="333">
        <v>286</v>
      </c>
    </row>
    <row r="4589" spans="1:8">
      <c r="A4589" s="317" t="s">
        <v>39827</v>
      </c>
      <c r="B4589" s="317" t="s">
        <v>48955</v>
      </c>
      <c r="C4589" s="330" t="s">
        <v>12846</v>
      </c>
      <c r="D4589" s="330" t="s">
        <v>12744</v>
      </c>
      <c r="E4589" s="330" t="s">
        <v>4634</v>
      </c>
      <c r="F4589" s="331">
        <v>0.21</v>
      </c>
      <c r="G4589" s="332">
        <v>236</v>
      </c>
      <c r="H4589" s="333">
        <v>286</v>
      </c>
    </row>
    <row r="4590" spans="1:8">
      <c r="A4590" s="317" t="s">
        <v>39828</v>
      </c>
      <c r="B4590" s="317" t="s">
        <v>48956</v>
      </c>
      <c r="C4590" s="330" t="s">
        <v>12847</v>
      </c>
      <c r="D4590" s="330" t="s">
        <v>12848</v>
      </c>
      <c r="E4590" s="330" t="s">
        <v>4634</v>
      </c>
      <c r="F4590" s="331">
        <v>0.21</v>
      </c>
      <c r="G4590" s="332">
        <v>387</v>
      </c>
      <c r="H4590" s="333">
        <v>469</v>
      </c>
    </row>
    <row r="4591" spans="1:8">
      <c r="A4591" s="317" t="s">
        <v>39829</v>
      </c>
      <c r="B4591" s="317" t="s">
        <v>48957</v>
      </c>
      <c r="C4591" s="330" t="s">
        <v>12849</v>
      </c>
      <c r="D4591" s="330" t="s">
        <v>12834</v>
      </c>
      <c r="E4591" s="330" t="s">
        <v>4634</v>
      </c>
      <c r="F4591" s="331">
        <v>0.21</v>
      </c>
      <c r="G4591" s="332">
        <v>1431</v>
      </c>
      <c r="H4591" s="333">
        <v>1732</v>
      </c>
    </row>
    <row r="4592" spans="1:8">
      <c r="A4592" s="317" t="s">
        <v>39830</v>
      </c>
      <c r="B4592" s="317" t="s">
        <v>48958</v>
      </c>
      <c r="C4592" s="330" t="s">
        <v>12850</v>
      </c>
      <c r="D4592" s="330" t="s">
        <v>12851</v>
      </c>
      <c r="E4592" s="330" t="s">
        <v>4634</v>
      </c>
      <c r="F4592" s="331">
        <v>0.21</v>
      </c>
      <c r="G4592" s="332">
        <v>584</v>
      </c>
      <c r="H4592" s="333">
        <v>707</v>
      </c>
    </row>
    <row r="4593" spans="1:8">
      <c r="A4593" s="317" t="s">
        <v>39831</v>
      </c>
      <c r="B4593" s="317" t="s">
        <v>48959</v>
      </c>
      <c r="C4593" s="330" t="s">
        <v>12852</v>
      </c>
      <c r="D4593" s="330" t="s">
        <v>12853</v>
      </c>
      <c r="E4593" s="330" t="s">
        <v>4634</v>
      </c>
      <c r="F4593" s="331">
        <v>0.21</v>
      </c>
      <c r="G4593" s="332">
        <v>584</v>
      </c>
      <c r="H4593" s="333">
        <v>707</v>
      </c>
    </row>
    <row r="4594" spans="1:8">
      <c r="A4594" s="317" t="s">
        <v>39832</v>
      </c>
      <c r="B4594" s="317" t="s">
        <v>48960</v>
      </c>
      <c r="C4594" s="330" t="s">
        <v>12854</v>
      </c>
      <c r="D4594" s="330" t="s">
        <v>6840</v>
      </c>
      <c r="E4594" s="330" t="s">
        <v>37248</v>
      </c>
      <c r="F4594" s="331">
        <v>0.21</v>
      </c>
      <c r="G4594" s="332">
        <v>13031</v>
      </c>
      <c r="H4594" s="333">
        <v>15768</v>
      </c>
    </row>
    <row r="4595" spans="1:8">
      <c r="A4595" s="317" t="s">
        <v>39833</v>
      </c>
      <c r="B4595" s="317" t="s">
        <v>48961</v>
      </c>
      <c r="C4595" s="330" t="s">
        <v>12855</v>
      </c>
      <c r="D4595" s="330" t="s">
        <v>12856</v>
      </c>
      <c r="E4595" s="330" t="s">
        <v>37248</v>
      </c>
      <c r="F4595" s="331">
        <v>0.21</v>
      </c>
      <c r="G4595" s="332">
        <v>3161</v>
      </c>
      <c r="H4595" s="333">
        <v>3825</v>
      </c>
    </row>
    <row r="4596" spans="1:8">
      <c r="A4596" s="317" t="s">
        <v>39834</v>
      </c>
      <c r="B4596" s="317" t="s">
        <v>48962</v>
      </c>
      <c r="C4596" s="330" t="s">
        <v>12857</v>
      </c>
      <c r="D4596" s="330" t="s">
        <v>12858</v>
      </c>
      <c r="E4596" s="330" t="s">
        <v>4634</v>
      </c>
      <c r="F4596" s="331">
        <v>0.21</v>
      </c>
      <c r="G4596" s="332">
        <v>820</v>
      </c>
      <c r="H4596" s="333">
        <v>993</v>
      </c>
    </row>
    <row r="4597" spans="1:8">
      <c r="A4597" s="317" t="s">
        <v>39835</v>
      </c>
      <c r="B4597" s="317" t="s">
        <v>48963</v>
      </c>
      <c r="C4597" s="330" t="s">
        <v>12859</v>
      </c>
      <c r="D4597" s="330" t="s">
        <v>12858</v>
      </c>
      <c r="E4597" s="330" t="s">
        <v>4634</v>
      </c>
      <c r="F4597" s="331">
        <v>0.21</v>
      </c>
      <c r="G4597" s="332">
        <v>820</v>
      </c>
      <c r="H4597" s="333">
        <v>993</v>
      </c>
    </row>
    <row r="4598" spans="1:8">
      <c r="A4598" s="317" t="s">
        <v>39836</v>
      </c>
      <c r="B4598" s="317" t="s">
        <v>48964</v>
      </c>
      <c r="C4598" s="330" t="s">
        <v>12860</v>
      </c>
      <c r="D4598" s="330" t="s">
        <v>12861</v>
      </c>
      <c r="E4598" s="330" t="s">
        <v>37248</v>
      </c>
      <c r="F4598" s="331">
        <v>0.21</v>
      </c>
      <c r="G4598" s="332">
        <v>4932</v>
      </c>
      <c r="H4598" s="333">
        <v>5968</v>
      </c>
    </row>
    <row r="4599" spans="1:8">
      <c r="A4599" s="317" t="s">
        <v>39837</v>
      </c>
      <c r="B4599" s="317" t="s">
        <v>48965</v>
      </c>
      <c r="C4599" s="330" t="s">
        <v>12862</v>
      </c>
      <c r="D4599" s="330" t="s">
        <v>12863</v>
      </c>
      <c r="E4599" s="330" t="s">
        <v>37248</v>
      </c>
      <c r="F4599" s="331">
        <v>0.21</v>
      </c>
      <c r="G4599" s="332">
        <v>470</v>
      </c>
      <c r="H4599" s="333">
        <v>569</v>
      </c>
    </row>
    <row r="4600" spans="1:8">
      <c r="A4600" s="317" t="s">
        <v>39838</v>
      </c>
      <c r="B4600" s="317" t="s">
        <v>48966</v>
      </c>
      <c r="C4600" s="330" t="s">
        <v>12864</v>
      </c>
      <c r="D4600" s="330" t="s">
        <v>12865</v>
      </c>
      <c r="E4600" s="330" t="s">
        <v>37248</v>
      </c>
      <c r="F4600" s="331">
        <v>0.21</v>
      </c>
      <c r="G4600" s="332">
        <v>1530</v>
      </c>
      <c r="H4600" s="333">
        <v>1852</v>
      </c>
    </row>
    <row r="4601" spans="1:8">
      <c r="A4601" s="317" t="s">
        <v>39839</v>
      </c>
      <c r="B4601" s="317" t="s">
        <v>48967</v>
      </c>
      <c r="C4601" s="330" t="s">
        <v>12866</v>
      </c>
      <c r="D4601" s="330" t="s">
        <v>12867</v>
      </c>
      <c r="E4601" s="330" t="s">
        <v>4819</v>
      </c>
      <c r="F4601" s="331">
        <v>0.21</v>
      </c>
      <c r="G4601" s="332">
        <v>3934</v>
      </c>
      <c r="H4601" s="333">
        <v>4761</v>
      </c>
    </row>
    <row r="4602" spans="1:8">
      <c r="A4602" s="317" t="s">
        <v>39840</v>
      </c>
      <c r="B4602" s="317" t="s">
        <v>48968</v>
      </c>
      <c r="C4602" s="330" t="s">
        <v>12868</v>
      </c>
      <c r="D4602" s="330" t="s">
        <v>12869</v>
      </c>
      <c r="E4602" s="330" t="s">
        <v>37248</v>
      </c>
      <c r="F4602" s="331">
        <v>0.21</v>
      </c>
      <c r="G4602" s="332">
        <v>1247</v>
      </c>
      <c r="H4602" s="333">
        <v>1509</v>
      </c>
    </row>
    <row r="4603" spans="1:8">
      <c r="A4603" s="317" t="s">
        <v>39841</v>
      </c>
      <c r="B4603" s="317" t="s">
        <v>48969</v>
      </c>
      <c r="C4603" s="330" t="s">
        <v>12870</v>
      </c>
      <c r="D4603" s="330" t="s">
        <v>12871</v>
      </c>
      <c r="E4603" s="330" t="s">
        <v>4634</v>
      </c>
      <c r="F4603" s="331">
        <v>0.21</v>
      </c>
      <c r="G4603" s="332">
        <v>93462</v>
      </c>
      <c r="H4603" s="333">
        <v>113090</v>
      </c>
    </row>
    <row r="4604" spans="1:8">
      <c r="A4604" s="317" t="s">
        <v>39842</v>
      </c>
      <c r="B4604" s="317" t="s">
        <v>48970</v>
      </c>
      <c r="C4604" s="330" t="s">
        <v>12872</v>
      </c>
      <c r="D4604" s="330" t="s">
        <v>12873</v>
      </c>
      <c r="E4604" s="330" t="s">
        <v>4819</v>
      </c>
      <c r="F4604" s="331">
        <v>0.21</v>
      </c>
      <c r="G4604" s="332">
        <v>44387</v>
      </c>
      <c r="H4604" s="333">
        <v>53709</v>
      </c>
    </row>
    <row r="4605" spans="1:8">
      <c r="A4605" s="317" t="s">
        <v>39843</v>
      </c>
      <c r="B4605" s="317" t="s">
        <v>48971</v>
      </c>
      <c r="C4605" s="330" t="s">
        <v>12874</v>
      </c>
      <c r="D4605" s="330" t="s">
        <v>12875</v>
      </c>
      <c r="E4605" s="330" t="s">
        <v>4634</v>
      </c>
      <c r="F4605" s="331">
        <v>0.21</v>
      </c>
      <c r="G4605" s="332">
        <v>280</v>
      </c>
      <c r="H4605" s="333">
        <v>339</v>
      </c>
    </row>
    <row r="4606" spans="1:8">
      <c r="A4606" s="317" t="s">
        <v>39844</v>
      </c>
      <c r="B4606" s="317" t="s">
        <v>48972</v>
      </c>
      <c r="C4606" s="330" t="s">
        <v>12876</v>
      </c>
      <c r="D4606" s="330" t="s">
        <v>12875</v>
      </c>
      <c r="E4606" s="330" t="s">
        <v>4634</v>
      </c>
      <c r="F4606" s="331">
        <v>0.21</v>
      </c>
      <c r="G4606" s="332">
        <v>432</v>
      </c>
      <c r="H4606" s="333">
        <v>523</v>
      </c>
    </row>
    <row r="4607" spans="1:8">
      <c r="A4607" s="317" t="s">
        <v>39845</v>
      </c>
      <c r="B4607" s="317" t="s">
        <v>48973</v>
      </c>
      <c r="C4607" s="330" t="s">
        <v>12877</v>
      </c>
      <c r="D4607" s="330" t="s">
        <v>12878</v>
      </c>
      <c r="E4607" s="330" t="s">
        <v>4819</v>
      </c>
      <c r="F4607" s="331">
        <v>0.21</v>
      </c>
      <c r="G4607" s="332">
        <v>29613</v>
      </c>
      <c r="H4607" s="333">
        <v>35832</v>
      </c>
    </row>
    <row r="4608" spans="1:8">
      <c r="A4608" s="317" t="s">
        <v>39846</v>
      </c>
      <c r="B4608" s="317" t="s">
        <v>48974</v>
      </c>
      <c r="C4608" s="330" t="s">
        <v>12879</v>
      </c>
      <c r="D4608" s="330" t="s">
        <v>12764</v>
      </c>
      <c r="E4608" s="330" t="s">
        <v>4634</v>
      </c>
      <c r="F4608" s="331">
        <v>0.21</v>
      </c>
      <c r="G4608" s="332">
        <v>8008</v>
      </c>
      <c r="H4608" s="333">
        <v>9690</v>
      </c>
    </row>
    <row r="4609" spans="1:8">
      <c r="A4609" s="317" t="s">
        <v>39847</v>
      </c>
      <c r="B4609" s="317" t="s">
        <v>48975</v>
      </c>
      <c r="C4609" s="330" t="s">
        <v>12880</v>
      </c>
      <c r="D4609" s="330" t="s">
        <v>7482</v>
      </c>
      <c r="E4609" s="330" t="s">
        <v>37248</v>
      </c>
      <c r="F4609" s="331">
        <v>0.21</v>
      </c>
      <c r="G4609" s="332">
        <v>16054</v>
      </c>
      <c r="H4609" s="333">
        <v>19426</v>
      </c>
    </row>
    <row r="4610" spans="1:8">
      <c r="A4610" s="317" t="s">
        <v>39848</v>
      </c>
      <c r="B4610" s="317" t="s">
        <v>48976</v>
      </c>
      <c r="C4610" s="330" t="s">
        <v>12881</v>
      </c>
      <c r="D4610" s="330" t="s">
        <v>12882</v>
      </c>
      <c r="E4610" s="330" t="s">
        <v>4634</v>
      </c>
      <c r="F4610" s="331">
        <v>0.21</v>
      </c>
      <c r="G4610" s="332">
        <v>2775</v>
      </c>
      <c r="H4610" s="333">
        <v>3358</v>
      </c>
    </row>
    <row r="4611" spans="1:8">
      <c r="A4611" s="317" t="s">
        <v>39849</v>
      </c>
      <c r="B4611" s="317" t="s">
        <v>48977</v>
      </c>
      <c r="C4611" s="330" t="s">
        <v>12883</v>
      </c>
      <c r="D4611" s="330" t="s">
        <v>12882</v>
      </c>
      <c r="E4611" s="330" t="s">
        <v>4634</v>
      </c>
      <c r="F4611" s="331">
        <v>0.21</v>
      </c>
      <c r="G4611" s="332">
        <v>2775</v>
      </c>
      <c r="H4611" s="333">
        <v>3358</v>
      </c>
    </row>
    <row r="4612" spans="1:8">
      <c r="A4612" s="317" t="s">
        <v>39850</v>
      </c>
      <c r="B4612" s="317" t="s">
        <v>48978</v>
      </c>
      <c r="C4612" s="330" t="s">
        <v>12884</v>
      </c>
      <c r="D4612" s="330" t="s">
        <v>12773</v>
      </c>
      <c r="E4612" s="330" t="s">
        <v>4634</v>
      </c>
      <c r="F4612" s="331">
        <v>0.21</v>
      </c>
      <c r="G4612" s="332">
        <v>791</v>
      </c>
      <c r="H4612" s="333">
        <v>958</v>
      </c>
    </row>
    <row r="4613" spans="1:8">
      <c r="A4613" s="317" t="s">
        <v>39851</v>
      </c>
      <c r="B4613" s="317" t="s">
        <v>48979</v>
      </c>
      <c r="C4613" s="330" t="s">
        <v>12885</v>
      </c>
      <c r="D4613" s="330" t="s">
        <v>12886</v>
      </c>
      <c r="E4613" s="330" t="s">
        <v>4623</v>
      </c>
      <c r="F4613" s="331">
        <v>0.21</v>
      </c>
      <c r="G4613" s="332">
        <v>14051</v>
      </c>
      <c r="H4613" s="333">
        <v>17002</v>
      </c>
    </row>
    <row r="4614" spans="1:8">
      <c r="A4614" s="317" t="s">
        <v>39852</v>
      </c>
      <c r="B4614" s="317" t="s">
        <v>48980</v>
      </c>
      <c r="C4614" s="330" t="s">
        <v>12887</v>
      </c>
      <c r="D4614" s="330" t="s">
        <v>12888</v>
      </c>
      <c r="E4614" s="330" t="s">
        <v>4634</v>
      </c>
      <c r="F4614" s="331">
        <v>0.21</v>
      </c>
      <c r="G4614" s="332">
        <v>8641</v>
      </c>
      <c r="H4614" s="333">
        <v>10456</v>
      </c>
    </row>
    <row r="4615" spans="1:8">
      <c r="A4615" s="317" t="s">
        <v>39853</v>
      </c>
      <c r="B4615" s="317" t="s">
        <v>48981</v>
      </c>
      <c r="C4615" s="330" t="s">
        <v>12889</v>
      </c>
      <c r="D4615" s="330" t="s">
        <v>4654</v>
      </c>
      <c r="E4615" s="330" t="s">
        <v>37248</v>
      </c>
      <c r="F4615" s="331">
        <v>0.21</v>
      </c>
      <c r="G4615" s="332">
        <v>976</v>
      </c>
      <c r="H4615" s="333">
        <v>1181</v>
      </c>
    </row>
    <row r="4616" spans="1:8">
      <c r="A4616" s="317" t="s">
        <v>39854</v>
      </c>
      <c r="B4616" s="317" t="s">
        <v>48982</v>
      </c>
      <c r="C4616" s="330" t="s">
        <v>12890</v>
      </c>
      <c r="D4616" s="330" t="s">
        <v>12891</v>
      </c>
      <c r="E4616" s="330" t="s">
        <v>37248</v>
      </c>
      <c r="F4616" s="331">
        <v>0.21</v>
      </c>
      <c r="G4616" s="332">
        <v>1247</v>
      </c>
      <c r="H4616" s="333">
        <v>1509</v>
      </c>
    </row>
    <row r="4617" spans="1:8">
      <c r="A4617" s="317" t="s">
        <v>39855</v>
      </c>
      <c r="B4617" s="317" t="s">
        <v>48983</v>
      </c>
      <c r="C4617" s="330" t="s">
        <v>12892</v>
      </c>
      <c r="D4617" s="330" t="s">
        <v>7653</v>
      </c>
      <c r="E4617" s="330" t="s">
        <v>37248</v>
      </c>
      <c r="F4617" s="331">
        <v>0.21</v>
      </c>
      <c r="G4617" s="332">
        <v>1247</v>
      </c>
      <c r="H4617" s="333">
        <v>1509</v>
      </c>
    </row>
    <row r="4618" spans="1:8">
      <c r="A4618" s="317" t="s">
        <v>39856</v>
      </c>
      <c r="B4618" s="317" t="s">
        <v>48984</v>
      </c>
      <c r="C4618" s="330" t="s">
        <v>12893</v>
      </c>
      <c r="D4618" s="330" t="s">
        <v>12894</v>
      </c>
      <c r="E4618" s="330" t="s">
        <v>37248</v>
      </c>
      <c r="F4618" s="331">
        <v>0.21</v>
      </c>
      <c r="G4618" s="332">
        <v>5211</v>
      </c>
      <c r="H4618" s="333">
        <v>6306</v>
      </c>
    </row>
    <row r="4619" spans="1:8">
      <c r="A4619" s="317" t="s">
        <v>39857</v>
      </c>
      <c r="B4619" s="317" t="s">
        <v>48985</v>
      </c>
      <c r="C4619" s="330" t="s">
        <v>12895</v>
      </c>
      <c r="D4619" s="330" t="s">
        <v>7942</v>
      </c>
      <c r="E4619" s="330" t="s">
        <v>37248</v>
      </c>
      <c r="F4619" s="331">
        <v>0.21</v>
      </c>
      <c r="G4619" s="332">
        <v>1247</v>
      </c>
      <c r="H4619" s="333">
        <v>1509</v>
      </c>
    </row>
    <row r="4620" spans="1:8">
      <c r="A4620" s="317" t="s">
        <v>39858</v>
      </c>
      <c r="B4620" s="317" t="s">
        <v>48986</v>
      </c>
      <c r="C4620" s="330" t="s">
        <v>12896</v>
      </c>
      <c r="D4620" s="330" t="s">
        <v>7653</v>
      </c>
      <c r="E4620" s="330" t="s">
        <v>37248</v>
      </c>
      <c r="F4620" s="331">
        <v>0.21</v>
      </c>
      <c r="G4620" s="332">
        <v>1247</v>
      </c>
      <c r="H4620" s="333">
        <v>1509</v>
      </c>
    </row>
    <row r="4621" spans="1:8">
      <c r="A4621" s="317" t="s">
        <v>39859</v>
      </c>
      <c r="B4621" s="317" t="s">
        <v>48987</v>
      </c>
      <c r="C4621" s="330" t="s">
        <v>12897</v>
      </c>
      <c r="D4621" s="330" t="s">
        <v>12776</v>
      </c>
      <c r="E4621" s="330" t="s">
        <v>37248</v>
      </c>
      <c r="F4621" s="331">
        <v>0.21</v>
      </c>
      <c r="G4621" s="332">
        <v>1247</v>
      </c>
      <c r="H4621" s="333">
        <v>1509</v>
      </c>
    </row>
    <row r="4622" spans="1:8">
      <c r="A4622" s="317" t="s">
        <v>39860</v>
      </c>
      <c r="B4622" s="317" t="s">
        <v>48988</v>
      </c>
      <c r="C4622" s="330" t="s">
        <v>12898</v>
      </c>
      <c r="D4622" s="330" t="s">
        <v>7653</v>
      </c>
      <c r="E4622" s="330" t="s">
        <v>37248</v>
      </c>
      <c r="F4622" s="331">
        <v>0.21</v>
      </c>
      <c r="G4622" s="332">
        <v>1247</v>
      </c>
      <c r="H4622" s="333">
        <v>1509</v>
      </c>
    </row>
    <row r="4623" spans="1:8">
      <c r="A4623" s="317" t="s">
        <v>39861</v>
      </c>
      <c r="B4623" s="317" t="s">
        <v>48989</v>
      </c>
      <c r="C4623" s="330" t="s">
        <v>12899</v>
      </c>
      <c r="D4623" s="330" t="s">
        <v>7653</v>
      </c>
      <c r="E4623" s="330" t="s">
        <v>37248</v>
      </c>
      <c r="F4623" s="331">
        <v>0.21</v>
      </c>
      <c r="G4623" s="332">
        <v>1247</v>
      </c>
      <c r="H4623" s="333">
        <v>1509</v>
      </c>
    </row>
    <row r="4624" spans="1:8">
      <c r="A4624" s="317" t="s">
        <v>39862</v>
      </c>
      <c r="B4624" s="317" t="s">
        <v>48990</v>
      </c>
      <c r="C4624" s="330" t="s">
        <v>12900</v>
      </c>
      <c r="D4624" s="330" t="s">
        <v>4590</v>
      </c>
      <c r="E4624" s="330" t="s">
        <v>37248</v>
      </c>
      <c r="F4624" s="331">
        <v>0.21</v>
      </c>
      <c r="G4624" s="332">
        <v>1247</v>
      </c>
      <c r="H4624" s="333">
        <v>1509</v>
      </c>
    </row>
    <row r="4625" spans="1:8">
      <c r="A4625" s="317" t="s">
        <v>39863</v>
      </c>
      <c r="B4625" s="317" t="s">
        <v>48991</v>
      </c>
      <c r="C4625" s="330" t="s">
        <v>12901</v>
      </c>
      <c r="D4625" s="330" t="s">
        <v>12902</v>
      </c>
      <c r="E4625" s="330" t="s">
        <v>37248</v>
      </c>
      <c r="F4625" s="331">
        <v>0.21</v>
      </c>
      <c r="G4625" s="332">
        <v>1247</v>
      </c>
      <c r="H4625" s="333">
        <v>1509</v>
      </c>
    </row>
    <row r="4626" spans="1:8">
      <c r="A4626" s="317" t="s">
        <v>39864</v>
      </c>
      <c r="B4626" s="317" t="s">
        <v>48992</v>
      </c>
      <c r="C4626" s="330" t="s">
        <v>12903</v>
      </c>
      <c r="D4626" s="330" t="s">
        <v>12904</v>
      </c>
      <c r="E4626" s="330" t="s">
        <v>4819</v>
      </c>
      <c r="F4626" s="331">
        <v>0.21</v>
      </c>
      <c r="G4626" s="332">
        <v>479</v>
      </c>
      <c r="H4626" s="333">
        <v>580</v>
      </c>
    </row>
    <row r="4627" spans="1:8">
      <c r="A4627" s="317" t="s">
        <v>39865</v>
      </c>
      <c r="B4627" s="317" t="s">
        <v>48993</v>
      </c>
      <c r="C4627" s="330" t="s">
        <v>12905</v>
      </c>
      <c r="D4627" s="330" t="s">
        <v>12906</v>
      </c>
      <c r="E4627" s="330" t="s">
        <v>4819</v>
      </c>
      <c r="F4627" s="331">
        <v>0.21</v>
      </c>
      <c r="G4627" s="332">
        <v>479</v>
      </c>
      <c r="H4627" s="333">
        <v>580</v>
      </c>
    </row>
    <row r="4628" spans="1:8">
      <c r="A4628" s="317" t="s">
        <v>39866</v>
      </c>
      <c r="B4628" s="317" t="s">
        <v>48994</v>
      </c>
      <c r="C4628" s="330" t="s">
        <v>12907</v>
      </c>
      <c r="D4628" s="330" t="s">
        <v>12908</v>
      </c>
      <c r="E4628" s="330" t="s">
        <v>4819</v>
      </c>
      <c r="F4628" s="331">
        <v>0.21</v>
      </c>
      <c r="G4628" s="332">
        <v>3825</v>
      </c>
      <c r="H4628" s="333">
        <v>4629</v>
      </c>
    </row>
    <row r="4629" spans="1:8">
      <c r="A4629" s="317" t="s">
        <v>39867</v>
      </c>
      <c r="B4629" s="317" t="s">
        <v>48995</v>
      </c>
      <c r="C4629" s="330" t="s">
        <v>12909</v>
      </c>
      <c r="D4629" s="330" t="s">
        <v>12910</v>
      </c>
      <c r="E4629" s="330" t="s">
        <v>4819</v>
      </c>
      <c r="F4629" s="331">
        <v>0.21</v>
      </c>
      <c r="G4629" s="332">
        <v>1052</v>
      </c>
      <c r="H4629" s="333">
        <v>1273</v>
      </c>
    </row>
    <row r="4630" spans="1:8">
      <c r="A4630" s="317" t="s">
        <v>39868</v>
      </c>
      <c r="B4630" s="317" t="s">
        <v>48996</v>
      </c>
      <c r="C4630" s="330" t="s">
        <v>12911</v>
      </c>
      <c r="D4630" s="330" t="s">
        <v>12912</v>
      </c>
      <c r="E4630" s="330" t="s">
        <v>4819</v>
      </c>
      <c r="F4630" s="331">
        <v>0.21</v>
      </c>
      <c r="G4630" s="332">
        <v>671</v>
      </c>
      <c r="H4630" s="333">
        <v>812</v>
      </c>
    </row>
    <row r="4631" spans="1:8">
      <c r="A4631" s="317" t="s">
        <v>39869</v>
      </c>
      <c r="B4631" s="317" t="s">
        <v>48997</v>
      </c>
      <c r="C4631" s="330" t="s">
        <v>12913</v>
      </c>
      <c r="D4631" s="330" t="s">
        <v>12914</v>
      </c>
      <c r="E4631" s="330" t="s">
        <v>4819</v>
      </c>
      <c r="F4631" s="331">
        <v>0.21</v>
      </c>
      <c r="G4631" s="332">
        <v>671</v>
      </c>
      <c r="H4631" s="333">
        <v>812</v>
      </c>
    </row>
    <row r="4632" spans="1:8">
      <c r="A4632" s="317" t="s">
        <v>39870</v>
      </c>
      <c r="B4632" s="317" t="s">
        <v>48998</v>
      </c>
      <c r="C4632" s="330" t="s">
        <v>12915</v>
      </c>
      <c r="D4632" s="330" t="s">
        <v>12914</v>
      </c>
      <c r="E4632" s="330" t="s">
        <v>4819</v>
      </c>
      <c r="F4632" s="331">
        <v>0.21</v>
      </c>
      <c r="G4632" s="332">
        <v>671</v>
      </c>
      <c r="H4632" s="333">
        <v>812</v>
      </c>
    </row>
    <row r="4633" spans="1:8">
      <c r="A4633" s="317" t="s">
        <v>39871</v>
      </c>
      <c r="B4633" s="317" t="s">
        <v>48999</v>
      </c>
      <c r="C4633" s="330" t="s">
        <v>12916</v>
      </c>
      <c r="D4633" s="330" t="s">
        <v>12917</v>
      </c>
      <c r="E4633" s="330" t="s">
        <v>4819</v>
      </c>
      <c r="F4633" s="331">
        <v>0.21</v>
      </c>
      <c r="G4633" s="332">
        <v>12242</v>
      </c>
      <c r="H4633" s="333">
        <v>14813</v>
      </c>
    </row>
    <row r="4634" spans="1:8">
      <c r="A4634" s="317" t="s">
        <v>39872</v>
      </c>
      <c r="B4634" s="317" t="s">
        <v>49000</v>
      </c>
      <c r="C4634" s="330" t="s">
        <v>12918</v>
      </c>
      <c r="D4634" s="330" t="s">
        <v>12919</v>
      </c>
      <c r="E4634" s="330" t="s">
        <v>4634</v>
      </c>
      <c r="F4634" s="331">
        <v>0.21</v>
      </c>
      <c r="G4634" s="332">
        <v>52152</v>
      </c>
      <c r="H4634" s="333">
        <v>63104</v>
      </c>
    </row>
    <row r="4635" spans="1:8">
      <c r="A4635" s="317" t="s">
        <v>39873</v>
      </c>
      <c r="B4635" s="317" t="s">
        <v>49001</v>
      </c>
      <c r="C4635" s="330" t="s">
        <v>12920</v>
      </c>
      <c r="D4635" s="330" t="s">
        <v>7832</v>
      </c>
      <c r="E4635" s="330" t="s">
        <v>4819</v>
      </c>
      <c r="F4635" s="331">
        <v>0.21</v>
      </c>
      <c r="G4635" s="332">
        <v>1566</v>
      </c>
      <c r="H4635" s="333">
        <v>1895</v>
      </c>
    </row>
    <row r="4636" spans="1:8">
      <c r="A4636" s="317" t="s">
        <v>39874</v>
      </c>
      <c r="B4636" s="317" t="s">
        <v>49002</v>
      </c>
      <c r="C4636" s="330" t="s">
        <v>12921</v>
      </c>
      <c r="D4636" s="330" t="s">
        <v>12922</v>
      </c>
      <c r="E4636" s="330" t="s">
        <v>4819</v>
      </c>
      <c r="F4636" s="331">
        <v>0.21</v>
      </c>
      <c r="G4636" s="332">
        <v>2094</v>
      </c>
      <c r="H4636" s="333">
        <v>2534</v>
      </c>
    </row>
    <row r="4637" spans="1:8">
      <c r="A4637" s="317" t="s">
        <v>39875</v>
      </c>
      <c r="B4637" s="317" t="s">
        <v>49003</v>
      </c>
      <c r="C4637" s="330" t="s">
        <v>12923</v>
      </c>
      <c r="D4637" s="330" t="s">
        <v>12924</v>
      </c>
      <c r="E4637" s="330" t="s">
        <v>4819</v>
      </c>
      <c r="F4637" s="331">
        <v>0.21</v>
      </c>
      <c r="G4637" s="332">
        <v>479</v>
      </c>
      <c r="H4637" s="333">
        <v>580</v>
      </c>
    </row>
    <row r="4638" spans="1:8">
      <c r="A4638" s="317" t="s">
        <v>39876</v>
      </c>
      <c r="B4638" s="317" t="s">
        <v>49004</v>
      </c>
      <c r="C4638" s="330" t="s">
        <v>12925</v>
      </c>
      <c r="D4638" s="330" t="s">
        <v>12926</v>
      </c>
      <c r="E4638" s="330" t="s">
        <v>4819</v>
      </c>
      <c r="F4638" s="331">
        <v>0.21</v>
      </c>
      <c r="G4638" s="332">
        <v>479</v>
      </c>
      <c r="H4638" s="333">
        <v>580</v>
      </c>
    </row>
    <row r="4639" spans="1:8">
      <c r="A4639" s="317" t="s">
        <v>39877</v>
      </c>
      <c r="B4639" s="317" t="s">
        <v>49005</v>
      </c>
      <c r="C4639" s="330" t="s">
        <v>12927</v>
      </c>
      <c r="D4639" s="330" t="s">
        <v>12928</v>
      </c>
      <c r="E4639" s="330" t="s">
        <v>4819</v>
      </c>
      <c r="F4639" s="331">
        <v>0.21</v>
      </c>
      <c r="G4639" s="332">
        <v>479</v>
      </c>
      <c r="H4639" s="333">
        <v>580</v>
      </c>
    </row>
    <row r="4640" spans="1:8">
      <c r="A4640" s="317" t="s">
        <v>39878</v>
      </c>
      <c r="B4640" s="317" t="s">
        <v>49006</v>
      </c>
      <c r="C4640" s="330" t="s">
        <v>12929</v>
      </c>
      <c r="D4640" s="330" t="s">
        <v>12930</v>
      </c>
      <c r="E4640" s="330" t="s">
        <v>4819</v>
      </c>
      <c r="F4640" s="331">
        <v>0.21</v>
      </c>
      <c r="G4640" s="332">
        <v>4851</v>
      </c>
      <c r="H4640" s="333">
        <v>5870</v>
      </c>
    </row>
    <row r="4641" spans="1:8">
      <c r="A4641" s="317" t="s">
        <v>39879</v>
      </c>
      <c r="B4641" s="317" t="s">
        <v>49007</v>
      </c>
      <c r="C4641" s="330" t="s">
        <v>12931</v>
      </c>
      <c r="D4641" s="330" t="s">
        <v>12932</v>
      </c>
      <c r="E4641" s="330" t="s">
        <v>4819</v>
      </c>
      <c r="F4641" s="331">
        <v>0.21</v>
      </c>
      <c r="G4641" s="332">
        <v>2900</v>
      </c>
      <c r="H4641" s="333">
        <v>3509</v>
      </c>
    </row>
    <row r="4642" spans="1:8">
      <c r="A4642" s="317" t="s">
        <v>39880</v>
      </c>
      <c r="B4642" s="317" t="s">
        <v>49008</v>
      </c>
      <c r="C4642" s="330" t="s">
        <v>12933</v>
      </c>
      <c r="D4642" s="330" t="s">
        <v>12928</v>
      </c>
      <c r="E4642" s="330" t="s">
        <v>4819</v>
      </c>
      <c r="F4642" s="331">
        <v>0.21</v>
      </c>
      <c r="G4642" s="332">
        <v>479</v>
      </c>
      <c r="H4642" s="333">
        <v>580</v>
      </c>
    </row>
    <row r="4643" spans="1:8">
      <c r="A4643" s="317" t="s">
        <v>39881</v>
      </c>
      <c r="B4643" s="317" t="s">
        <v>49009</v>
      </c>
      <c r="C4643" s="330" t="s">
        <v>12934</v>
      </c>
      <c r="D4643" s="330" t="s">
        <v>12928</v>
      </c>
      <c r="E4643" s="330" t="s">
        <v>4819</v>
      </c>
      <c r="F4643" s="331">
        <v>0.21</v>
      </c>
      <c r="G4643" s="332">
        <v>479</v>
      </c>
      <c r="H4643" s="333">
        <v>580</v>
      </c>
    </row>
    <row r="4644" spans="1:8">
      <c r="A4644" s="317" t="s">
        <v>39882</v>
      </c>
      <c r="B4644" s="317" t="s">
        <v>49010</v>
      </c>
      <c r="C4644" s="330" t="s">
        <v>12935</v>
      </c>
      <c r="D4644" s="330" t="s">
        <v>12936</v>
      </c>
      <c r="E4644" s="330" t="s">
        <v>4819</v>
      </c>
      <c r="F4644" s="331">
        <v>0.21</v>
      </c>
      <c r="G4644" s="332">
        <v>479</v>
      </c>
      <c r="H4644" s="333">
        <v>580</v>
      </c>
    </row>
    <row r="4645" spans="1:8">
      <c r="A4645" s="317" t="s">
        <v>39883</v>
      </c>
      <c r="B4645" s="317" t="s">
        <v>49011</v>
      </c>
      <c r="C4645" s="330" t="s">
        <v>12937</v>
      </c>
      <c r="D4645" s="330" t="s">
        <v>12938</v>
      </c>
      <c r="E4645" s="330" t="s">
        <v>4819</v>
      </c>
      <c r="F4645" s="331">
        <v>0.21</v>
      </c>
      <c r="G4645" s="332">
        <v>671</v>
      </c>
      <c r="H4645" s="333">
        <v>812</v>
      </c>
    </row>
    <row r="4646" spans="1:8">
      <c r="A4646" s="317" t="s">
        <v>39884</v>
      </c>
      <c r="B4646" s="317" t="s">
        <v>49012</v>
      </c>
      <c r="C4646" s="330" t="s">
        <v>12939</v>
      </c>
      <c r="D4646" s="330" t="s">
        <v>12940</v>
      </c>
      <c r="E4646" s="330" t="s">
        <v>4819</v>
      </c>
      <c r="F4646" s="331">
        <v>0.21</v>
      </c>
      <c r="G4646" s="332">
        <v>3825</v>
      </c>
      <c r="H4646" s="333">
        <v>4629</v>
      </c>
    </row>
    <row r="4647" spans="1:8">
      <c r="A4647" s="317" t="s">
        <v>39885</v>
      </c>
      <c r="B4647" s="317" t="s">
        <v>49013</v>
      </c>
      <c r="C4647" s="330" t="s">
        <v>12941</v>
      </c>
      <c r="D4647" s="330" t="s">
        <v>12942</v>
      </c>
      <c r="E4647" s="330" t="s">
        <v>4819</v>
      </c>
      <c r="F4647" s="331">
        <v>0.21</v>
      </c>
      <c r="G4647" s="332">
        <v>479</v>
      </c>
      <c r="H4647" s="333">
        <v>580</v>
      </c>
    </row>
    <row r="4648" spans="1:8">
      <c r="A4648" s="317" t="s">
        <v>39886</v>
      </c>
      <c r="B4648" s="317" t="s">
        <v>49014</v>
      </c>
      <c r="C4648" s="330" t="s">
        <v>12943</v>
      </c>
      <c r="D4648" s="330" t="s">
        <v>12944</v>
      </c>
      <c r="E4648" s="330" t="s">
        <v>4819</v>
      </c>
      <c r="F4648" s="331">
        <v>0.21</v>
      </c>
      <c r="G4648" s="332">
        <v>2478</v>
      </c>
      <c r="H4648" s="333">
        <v>2999</v>
      </c>
    </row>
    <row r="4649" spans="1:8">
      <c r="A4649" s="317" t="s">
        <v>39887</v>
      </c>
      <c r="B4649" s="317" t="s">
        <v>49015</v>
      </c>
      <c r="C4649" s="330" t="s">
        <v>12945</v>
      </c>
      <c r="D4649" s="330" t="s">
        <v>12946</v>
      </c>
      <c r="E4649" s="330" t="s">
        <v>4819</v>
      </c>
      <c r="F4649" s="331">
        <v>0.21</v>
      </c>
      <c r="G4649" s="332">
        <v>910</v>
      </c>
      <c r="H4649" s="333">
        <v>1102</v>
      </c>
    </row>
    <row r="4650" spans="1:8">
      <c r="A4650" s="317" t="s">
        <v>39888</v>
      </c>
      <c r="B4650" s="317" t="s">
        <v>49016</v>
      </c>
      <c r="C4650" s="330" t="s">
        <v>12947</v>
      </c>
      <c r="D4650" s="330" t="s">
        <v>12948</v>
      </c>
      <c r="E4650" s="330" t="s">
        <v>4819</v>
      </c>
      <c r="F4650" s="331">
        <v>0.21</v>
      </c>
      <c r="G4650" s="332">
        <v>479</v>
      </c>
      <c r="H4650" s="333">
        <v>580</v>
      </c>
    </row>
    <row r="4651" spans="1:8">
      <c r="A4651" s="317" t="s">
        <v>39889</v>
      </c>
      <c r="B4651" s="317" t="s">
        <v>49017</v>
      </c>
      <c r="C4651" s="330" t="s">
        <v>12949</v>
      </c>
      <c r="D4651" s="330" t="s">
        <v>12942</v>
      </c>
      <c r="E4651" s="330" t="s">
        <v>4819</v>
      </c>
      <c r="F4651" s="331">
        <v>0.21</v>
      </c>
      <c r="G4651" s="332">
        <v>479</v>
      </c>
      <c r="H4651" s="333">
        <v>580</v>
      </c>
    </row>
    <row r="4652" spans="1:8">
      <c r="A4652" s="317" t="s">
        <v>39890</v>
      </c>
      <c r="B4652" s="317" t="s">
        <v>49018</v>
      </c>
      <c r="C4652" s="330" t="s">
        <v>12950</v>
      </c>
      <c r="D4652" s="330" t="s">
        <v>12951</v>
      </c>
      <c r="E4652" s="330" t="s">
        <v>4819</v>
      </c>
      <c r="F4652" s="331">
        <v>0.21</v>
      </c>
      <c r="G4652" s="332">
        <v>1505</v>
      </c>
      <c r="H4652" s="333">
        <v>1822</v>
      </c>
    </row>
    <row r="4653" spans="1:8">
      <c r="A4653" s="317" t="s">
        <v>39891</v>
      </c>
      <c r="B4653" s="317" t="s">
        <v>49019</v>
      </c>
      <c r="C4653" s="330" t="s">
        <v>12952</v>
      </c>
      <c r="D4653" s="330" t="s">
        <v>12953</v>
      </c>
      <c r="E4653" s="330" t="s">
        <v>4819</v>
      </c>
      <c r="F4653" s="331">
        <v>0.21</v>
      </c>
      <c r="G4653" s="332">
        <v>671</v>
      </c>
      <c r="H4653" s="333">
        <v>812</v>
      </c>
    </row>
    <row r="4654" spans="1:8">
      <c r="A4654" s="317" t="s">
        <v>39892</v>
      </c>
      <c r="B4654" s="317" t="s">
        <v>49020</v>
      </c>
      <c r="C4654" s="330" t="s">
        <v>12954</v>
      </c>
      <c r="D4654" s="330" t="s">
        <v>12955</v>
      </c>
      <c r="E4654" s="330" t="s">
        <v>4819</v>
      </c>
      <c r="F4654" s="331">
        <v>0.21</v>
      </c>
      <c r="G4654" s="332">
        <v>479</v>
      </c>
      <c r="H4654" s="333">
        <v>580</v>
      </c>
    </row>
    <row r="4655" spans="1:8">
      <c r="A4655" s="317" t="s">
        <v>39893</v>
      </c>
      <c r="B4655" s="317" t="s">
        <v>49021</v>
      </c>
      <c r="C4655" s="330" t="s">
        <v>12956</v>
      </c>
      <c r="D4655" s="330" t="s">
        <v>12948</v>
      </c>
      <c r="E4655" s="330" t="s">
        <v>4819</v>
      </c>
      <c r="F4655" s="331">
        <v>0.21</v>
      </c>
      <c r="G4655" s="332">
        <v>479</v>
      </c>
      <c r="H4655" s="333">
        <v>580</v>
      </c>
    </row>
    <row r="4656" spans="1:8">
      <c r="A4656" s="317" t="s">
        <v>39894</v>
      </c>
      <c r="B4656" s="317" t="s">
        <v>49022</v>
      </c>
      <c r="C4656" s="330" t="s">
        <v>12957</v>
      </c>
      <c r="D4656" s="330" t="s">
        <v>12958</v>
      </c>
      <c r="E4656" s="330" t="s">
        <v>4819</v>
      </c>
      <c r="F4656" s="331">
        <v>0.21</v>
      </c>
      <c r="G4656" s="332">
        <v>3825</v>
      </c>
      <c r="H4656" s="333">
        <v>4629</v>
      </c>
    </row>
    <row r="4657" spans="1:8">
      <c r="A4657" s="317" t="s">
        <v>39895</v>
      </c>
      <c r="B4657" s="317" t="s">
        <v>49023</v>
      </c>
      <c r="C4657" s="330" t="s">
        <v>12959</v>
      </c>
      <c r="D4657" s="330" t="s">
        <v>12960</v>
      </c>
      <c r="E4657" s="330" t="s">
        <v>4819</v>
      </c>
      <c r="F4657" s="331">
        <v>0.21</v>
      </c>
      <c r="G4657" s="332">
        <v>994</v>
      </c>
      <c r="H4657" s="333">
        <v>1203</v>
      </c>
    </row>
    <row r="4658" spans="1:8">
      <c r="A4658" s="317" t="s">
        <v>39896</v>
      </c>
      <c r="B4658" s="317" t="s">
        <v>49024</v>
      </c>
      <c r="C4658" s="330" t="s">
        <v>12961</v>
      </c>
      <c r="D4658" s="330" t="s">
        <v>12711</v>
      </c>
      <c r="E4658" s="330" t="s">
        <v>4819</v>
      </c>
      <c r="F4658" s="331">
        <v>0.21</v>
      </c>
      <c r="G4658" s="332">
        <v>479</v>
      </c>
      <c r="H4658" s="333">
        <v>580</v>
      </c>
    </row>
    <row r="4659" spans="1:8">
      <c r="A4659" s="317" t="s">
        <v>39897</v>
      </c>
      <c r="B4659" s="317" t="s">
        <v>49025</v>
      </c>
      <c r="C4659" s="330" t="s">
        <v>12962</v>
      </c>
      <c r="D4659" s="330" t="s">
        <v>12963</v>
      </c>
      <c r="E4659" s="330" t="s">
        <v>4819</v>
      </c>
      <c r="F4659" s="331">
        <v>0.21</v>
      </c>
      <c r="G4659" s="332">
        <v>3310</v>
      </c>
      <c r="H4659" s="333">
        <v>4006</v>
      </c>
    </row>
    <row r="4660" spans="1:8">
      <c r="A4660" s="317" t="s">
        <v>39898</v>
      </c>
      <c r="B4660" s="317" t="s">
        <v>49026</v>
      </c>
      <c r="C4660" s="330" t="s">
        <v>12964</v>
      </c>
      <c r="D4660" s="330" t="s">
        <v>12965</v>
      </c>
      <c r="E4660" s="330" t="s">
        <v>4819</v>
      </c>
      <c r="F4660" s="331">
        <v>0.21</v>
      </c>
      <c r="G4660" s="332">
        <v>910</v>
      </c>
      <c r="H4660" s="333">
        <v>1102</v>
      </c>
    </row>
    <row r="4661" spans="1:8">
      <c r="A4661" s="317" t="s">
        <v>39899</v>
      </c>
      <c r="B4661" s="317" t="s">
        <v>49027</v>
      </c>
      <c r="C4661" s="330" t="s">
        <v>12966</v>
      </c>
      <c r="D4661" s="330" t="s">
        <v>12967</v>
      </c>
      <c r="E4661" s="330" t="s">
        <v>4819</v>
      </c>
      <c r="F4661" s="331">
        <v>0.21</v>
      </c>
      <c r="G4661" s="332">
        <v>1505</v>
      </c>
      <c r="H4661" s="333">
        <v>1822</v>
      </c>
    </row>
    <row r="4662" spans="1:8">
      <c r="A4662" s="317" t="s">
        <v>39900</v>
      </c>
      <c r="B4662" s="317" t="s">
        <v>49028</v>
      </c>
      <c r="C4662" s="330" t="s">
        <v>12968</v>
      </c>
      <c r="D4662" s="330" t="s">
        <v>12969</v>
      </c>
      <c r="E4662" s="330" t="s">
        <v>4819</v>
      </c>
      <c r="F4662" s="331">
        <v>0.21</v>
      </c>
      <c r="G4662" s="332">
        <v>3310</v>
      </c>
      <c r="H4662" s="333">
        <v>4006</v>
      </c>
    </row>
    <row r="4663" spans="1:8">
      <c r="A4663" s="317" t="s">
        <v>39901</v>
      </c>
      <c r="B4663" s="317" t="s">
        <v>49029</v>
      </c>
      <c r="C4663" s="330" t="s">
        <v>12970</v>
      </c>
      <c r="D4663" s="330" t="s">
        <v>12928</v>
      </c>
      <c r="E4663" s="330" t="s">
        <v>4819</v>
      </c>
      <c r="F4663" s="331">
        <v>0.21</v>
      </c>
      <c r="G4663" s="332">
        <v>479</v>
      </c>
      <c r="H4663" s="333">
        <v>580</v>
      </c>
    </row>
    <row r="4664" spans="1:8">
      <c r="A4664" s="317" t="s">
        <v>39902</v>
      </c>
      <c r="B4664" s="317" t="s">
        <v>49030</v>
      </c>
      <c r="C4664" s="330" t="s">
        <v>12971</v>
      </c>
      <c r="D4664" s="330" t="s">
        <v>12928</v>
      </c>
      <c r="E4664" s="330" t="s">
        <v>4819</v>
      </c>
      <c r="F4664" s="331">
        <v>0.21</v>
      </c>
      <c r="G4664" s="332">
        <v>497</v>
      </c>
      <c r="H4664" s="333">
        <v>602</v>
      </c>
    </row>
    <row r="4665" spans="1:8">
      <c r="A4665" s="317" t="s">
        <v>39903</v>
      </c>
      <c r="B4665" s="317" t="s">
        <v>49031</v>
      </c>
      <c r="C4665" s="330" t="s">
        <v>12972</v>
      </c>
      <c r="D4665" s="330" t="s">
        <v>12973</v>
      </c>
      <c r="E4665" s="330" t="s">
        <v>4819</v>
      </c>
      <c r="F4665" s="331">
        <v>0.21</v>
      </c>
      <c r="G4665" s="332">
        <v>1077</v>
      </c>
      <c r="H4665" s="333">
        <v>1304</v>
      </c>
    </row>
    <row r="4666" spans="1:8">
      <c r="A4666" s="317" t="s">
        <v>39904</v>
      </c>
      <c r="B4666" s="317" t="s">
        <v>49032</v>
      </c>
      <c r="C4666" s="330" t="s">
        <v>12974</v>
      </c>
      <c r="D4666" s="330" t="s">
        <v>12973</v>
      </c>
      <c r="E4666" s="330" t="s">
        <v>4819</v>
      </c>
      <c r="F4666" s="331">
        <v>0.21</v>
      </c>
      <c r="G4666" s="332">
        <v>1077</v>
      </c>
      <c r="H4666" s="333">
        <v>1304</v>
      </c>
    </row>
    <row r="4667" spans="1:8">
      <c r="A4667" s="317" t="s">
        <v>39905</v>
      </c>
      <c r="B4667" s="317" t="s">
        <v>49033</v>
      </c>
      <c r="C4667" s="330" t="s">
        <v>12975</v>
      </c>
      <c r="D4667" s="330" t="s">
        <v>12976</v>
      </c>
      <c r="E4667" s="330" t="s">
        <v>4819</v>
      </c>
      <c r="F4667" s="331">
        <v>0.21</v>
      </c>
      <c r="G4667" s="332">
        <v>479</v>
      </c>
      <c r="H4667" s="333">
        <v>580</v>
      </c>
    </row>
    <row r="4668" spans="1:8">
      <c r="A4668" s="317" t="s">
        <v>39906</v>
      </c>
      <c r="B4668" s="317" t="s">
        <v>49034</v>
      </c>
      <c r="C4668" s="330" t="s">
        <v>12977</v>
      </c>
      <c r="D4668" s="330" t="s">
        <v>12978</v>
      </c>
      <c r="E4668" s="330" t="s">
        <v>4634</v>
      </c>
      <c r="F4668" s="331">
        <v>0.21</v>
      </c>
      <c r="G4668" s="332">
        <v>1492</v>
      </c>
      <c r="H4668" s="333">
        <v>1806</v>
      </c>
    </row>
    <row r="4669" spans="1:8">
      <c r="A4669" s="317" t="s">
        <v>39907</v>
      </c>
      <c r="B4669" s="317" t="s">
        <v>49035</v>
      </c>
      <c r="C4669" s="330" t="s">
        <v>12979</v>
      </c>
      <c r="D4669" s="330" t="s">
        <v>6179</v>
      </c>
      <c r="E4669" s="330" t="s">
        <v>37248</v>
      </c>
      <c r="F4669" s="331">
        <v>0.21</v>
      </c>
      <c r="G4669" s="332">
        <v>240</v>
      </c>
      <c r="H4669" s="333">
        <v>291</v>
      </c>
    </row>
    <row r="4670" spans="1:8">
      <c r="A4670" s="317" t="s">
        <v>39908</v>
      </c>
      <c r="B4670" s="317" t="s">
        <v>49036</v>
      </c>
      <c r="C4670" s="330" t="s">
        <v>12980</v>
      </c>
      <c r="D4670" s="330" t="s">
        <v>12951</v>
      </c>
      <c r="E4670" s="330" t="s">
        <v>4819</v>
      </c>
      <c r="F4670" s="331">
        <v>0.21</v>
      </c>
      <c r="G4670" s="332">
        <v>910</v>
      </c>
      <c r="H4670" s="333">
        <v>1102</v>
      </c>
    </row>
    <row r="4671" spans="1:8">
      <c r="A4671" s="317" t="s">
        <v>39909</v>
      </c>
      <c r="B4671" s="317" t="s">
        <v>49037</v>
      </c>
      <c r="C4671" s="330" t="s">
        <v>12981</v>
      </c>
      <c r="D4671" s="330" t="s">
        <v>12982</v>
      </c>
      <c r="E4671" s="330" t="s">
        <v>4819</v>
      </c>
      <c r="F4671" s="331">
        <v>0.21</v>
      </c>
      <c r="G4671" s="332">
        <v>479</v>
      </c>
      <c r="H4671" s="333">
        <v>580</v>
      </c>
    </row>
    <row r="4672" spans="1:8">
      <c r="A4672" s="317" t="s">
        <v>39910</v>
      </c>
      <c r="B4672" s="317" t="s">
        <v>49038</v>
      </c>
      <c r="C4672" s="330" t="s">
        <v>12983</v>
      </c>
      <c r="D4672" s="330" t="s">
        <v>12984</v>
      </c>
      <c r="E4672" s="330" t="s">
        <v>4819</v>
      </c>
      <c r="F4672" s="331">
        <v>0.21</v>
      </c>
      <c r="G4672" s="332">
        <v>479</v>
      </c>
      <c r="H4672" s="333">
        <v>580</v>
      </c>
    </row>
    <row r="4673" spans="1:8">
      <c r="A4673" s="317" t="s">
        <v>39911</v>
      </c>
      <c r="B4673" s="317" t="s">
        <v>49039</v>
      </c>
      <c r="C4673" s="330" t="s">
        <v>12985</v>
      </c>
      <c r="D4673" s="330" t="s">
        <v>12986</v>
      </c>
      <c r="E4673" s="330" t="s">
        <v>4819</v>
      </c>
      <c r="F4673" s="331">
        <v>0.21</v>
      </c>
      <c r="G4673" s="332">
        <v>1373</v>
      </c>
      <c r="H4673" s="333">
        <v>1662</v>
      </c>
    </row>
    <row r="4674" spans="1:8">
      <c r="A4674" s="317" t="s">
        <v>39912</v>
      </c>
      <c r="B4674" s="317" t="s">
        <v>49040</v>
      </c>
      <c r="C4674" s="330" t="s">
        <v>12987</v>
      </c>
      <c r="D4674" s="330" t="s">
        <v>12988</v>
      </c>
      <c r="E4674" s="330" t="s">
        <v>4819</v>
      </c>
      <c r="F4674" s="331">
        <v>0.21</v>
      </c>
      <c r="G4674" s="332">
        <v>479</v>
      </c>
      <c r="H4674" s="333">
        <v>580</v>
      </c>
    </row>
    <row r="4675" spans="1:8">
      <c r="A4675" s="317" t="s">
        <v>39913</v>
      </c>
      <c r="B4675" s="317" t="s">
        <v>49041</v>
      </c>
      <c r="C4675" s="330" t="s">
        <v>12989</v>
      </c>
      <c r="D4675" s="330" t="s">
        <v>12990</v>
      </c>
      <c r="E4675" s="330" t="s">
        <v>4819</v>
      </c>
      <c r="F4675" s="331">
        <v>0.21</v>
      </c>
      <c r="G4675" s="332">
        <v>1052</v>
      </c>
      <c r="H4675" s="333">
        <v>1273</v>
      </c>
    </row>
    <row r="4676" spans="1:8">
      <c r="A4676" s="317" t="s">
        <v>39914</v>
      </c>
      <c r="B4676" s="317" t="s">
        <v>49042</v>
      </c>
      <c r="C4676" s="330" t="s">
        <v>12991</v>
      </c>
      <c r="D4676" s="330" t="s">
        <v>12992</v>
      </c>
      <c r="E4676" s="330" t="s">
        <v>37248</v>
      </c>
      <c r="F4676" s="331">
        <v>0.21</v>
      </c>
      <c r="G4676" s="332">
        <v>3604</v>
      </c>
      <c r="H4676" s="333">
        <v>4361</v>
      </c>
    </row>
    <row r="4677" spans="1:8">
      <c r="A4677" s="317" t="s">
        <v>39915</v>
      </c>
      <c r="B4677" s="317" t="s">
        <v>49043</v>
      </c>
      <c r="C4677" s="330" t="s">
        <v>12993</v>
      </c>
      <c r="D4677" s="330" t="s">
        <v>12928</v>
      </c>
      <c r="E4677" s="330" t="s">
        <v>4819</v>
      </c>
      <c r="F4677" s="331">
        <v>0.21</v>
      </c>
      <c r="G4677" s="332">
        <v>479</v>
      </c>
      <c r="H4677" s="333">
        <v>580</v>
      </c>
    </row>
    <row r="4678" spans="1:8">
      <c r="A4678" s="317" t="s">
        <v>39916</v>
      </c>
      <c r="B4678" s="317" t="s">
        <v>49044</v>
      </c>
      <c r="C4678" s="330" t="s">
        <v>12994</v>
      </c>
      <c r="D4678" s="330" t="s">
        <v>12988</v>
      </c>
      <c r="E4678" s="330" t="s">
        <v>4819</v>
      </c>
      <c r="F4678" s="331">
        <v>0.21</v>
      </c>
      <c r="G4678" s="332">
        <v>479</v>
      </c>
      <c r="H4678" s="333">
        <v>580</v>
      </c>
    </row>
    <row r="4679" spans="1:8">
      <c r="A4679" s="317" t="s">
        <v>39917</v>
      </c>
      <c r="B4679" s="317" t="s">
        <v>49045</v>
      </c>
      <c r="C4679" s="330" t="s">
        <v>12995</v>
      </c>
      <c r="D4679" s="330" t="s">
        <v>12978</v>
      </c>
      <c r="E4679" s="330" t="s">
        <v>4634</v>
      </c>
      <c r="F4679" s="331">
        <v>0.21</v>
      </c>
      <c r="G4679" s="332">
        <v>1492</v>
      </c>
      <c r="H4679" s="333">
        <v>1806</v>
      </c>
    </row>
    <row r="4680" spans="1:8">
      <c r="A4680" s="317" t="s">
        <v>39918</v>
      </c>
      <c r="B4680" s="317" t="s">
        <v>49046</v>
      </c>
      <c r="C4680" s="330" t="s">
        <v>12996</v>
      </c>
      <c r="D4680" s="330" t="s">
        <v>12997</v>
      </c>
      <c r="E4680" s="330" t="s">
        <v>4819</v>
      </c>
      <c r="F4680" s="331">
        <v>0.21</v>
      </c>
      <c r="G4680" s="332">
        <v>910</v>
      </c>
      <c r="H4680" s="333">
        <v>1102</v>
      </c>
    </row>
    <row r="4681" spans="1:8">
      <c r="A4681" s="317" t="s">
        <v>39919</v>
      </c>
      <c r="B4681" s="317" t="s">
        <v>49047</v>
      </c>
      <c r="C4681" s="330" t="s">
        <v>12998</v>
      </c>
      <c r="D4681" s="330" t="s">
        <v>12992</v>
      </c>
      <c r="E4681" s="330" t="s">
        <v>37248</v>
      </c>
      <c r="F4681" s="331">
        <v>0.21</v>
      </c>
      <c r="G4681" s="332">
        <v>3595</v>
      </c>
      <c r="H4681" s="333">
        <v>4350</v>
      </c>
    </row>
    <row r="4682" spans="1:8">
      <c r="A4682" s="317" t="s">
        <v>39920</v>
      </c>
      <c r="B4682" s="317" t="s">
        <v>49048</v>
      </c>
      <c r="C4682" s="330" t="s">
        <v>12999</v>
      </c>
      <c r="D4682" s="330" t="s">
        <v>13000</v>
      </c>
      <c r="E4682" s="330" t="s">
        <v>4634</v>
      </c>
      <c r="F4682" s="331">
        <v>0.21</v>
      </c>
      <c r="G4682" s="332">
        <v>1266</v>
      </c>
      <c r="H4682" s="333">
        <v>1532</v>
      </c>
    </row>
    <row r="4683" spans="1:8">
      <c r="A4683" s="317" t="s">
        <v>39921</v>
      </c>
      <c r="B4683" s="317" t="s">
        <v>49049</v>
      </c>
      <c r="C4683" s="330" t="s">
        <v>13001</v>
      </c>
      <c r="D4683" s="330" t="s">
        <v>12938</v>
      </c>
      <c r="E4683" s="330" t="s">
        <v>4819</v>
      </c>
      <c r="F4683" s="331">
        <v>0.21</v>
      </c>
      <c r="G4683" s="332">
        <v>1373</v>
      </c>
      <c r="H4683" s="333">
        <v>1662</v>
      </c>
    </row>
    <row r="4684" spans="1:8">
      <c r="A4684" s="317" t="s">
        <v>39922</v>
      </c>
      <c r="B4684" s="317" t="s">
        <v>49050</v>
      </c>
      <c r="C4684" s="330" t="s">
        <v>13002</v>
      </c>
      <c r="D4684" s="330" t="s">
        <v>13003</v>
      </c>
      <c r="E4684" s="330" t="s">
        <v>4819</v>
      </c>
      <c r="F4684" s="331">
        <v>0.21</v>
      </c>
      <c r="G4684" s="332">
        <v>2237</v>
      </c>
      <c r="H4684" s="333">
        <v>2707</v>
      </c>
    </row>
    <row r="4685" spans="1:8">
      <c r="A4685" s="317" t="s">
        <v>39923</v>
      </c>
      <c r="B4685" s="317" t="s">
        <v>49051</v>
      </c>
      <c r="C4685" s="330" t="s">
        <v>13004</v>
      </c>
      <c r="D4685" s="330" t="s">
        <v>13005</v>
      </c>
      <c r="E4685" s="330" t="s">
        <v>4819</v>
      </c>
      <c r="F4685" s="331">
        <v>0.21</v>
      </c>
      <c r="G4685" s="332">
        <v>3310</v>
      </c>
      <c r="H4685" s="333">
        <v>4006</v>
      </c>
    </row>
    <row r="4686" spans="1:8">
      <c r="A4686" s="317" t="s">
        <v>39924</v>
      </c>
      <c r="B4686" s="317" t="s">
        <v>49052</v>
      </c>
      <c r="C4686" s="330" t="s">
        <v>13006</v>
      </c>
      <c r="D4686" s="330" t="s">
        <v>12946</v>
      </c>
      <c r="E4686" s="330" t="s">
        <v>4819</v>
      </c>
      <c r="F4686" s="331">
        <v>0.21</v>
      </c>
      <c r="G4686" s="332">
        <v>5378</v>
      </c>
      <c r="H4686" s="333">
        <v>6508</v>
      </c>
    </row>
    <row r="4687" spans="1:8">
      <c r="A4687" s="317" t="s">
        <v>39925</v>
      </c>
      <c r="B4687" s="317" t="s">
        <v>49053</v>
      </c>
      <c r="C4687" s="330" t="s">
        <v>13007</v>
      </c>
      <c r="D4687" s="330" t="s">
        <v>12984</v>
      </c>
      <c r="E4687" s="330" t="s">
        <v>4819</v>
      </c>
      <c r="F4687" s="331">
        <v>0.21</v>
      </c>
      <c r="G4687" s="332">
        <v>1701</v>
      </c>
      <c r="H4687" s="333">
        <v>2059</v>
      </c>
    </row>
    <row r="4688" spans="1:8">
      <c r="A4688" s="317" t="s">
        <v>39926</v>
      </c>
      <c r="B4688" s="317" t="s">
        <v>49054</v>
      </c>
      <c r="C4688" s="330" t="s">
        <v>13008</v>
      </c>
      <c r="D4688" s="330" t="s">
        <v>12984</v>
      </c>
      <c r="E4688" s="330" t="s">
        <v>4819</v>
      </c>
      <c r="F4688" s="331">
        <v>0.21</v>
      </c>
      <c r="G4688" s="332">
        <v>2478</v>
      </c>
      <c r="H4688" s="333">
        <v>2999</v>
      </c>
    </row>
    <row r="4689" spans="1:8">
      <c r="A4689" s="317" t="s">
        <v>39927</v>
      </c>
      <c r="B4689" s="317" t="s">
        <v>49055</v>
      </c>
      <c r="C4689" s="330" t="s">
        <v>13009</v>
      </c>
      <c r="D4689" s="330" t="s">
        <v>13010</v>
      </c>
      <c r="E4689" s="330" t="s">
        <v>4819</v>
      </c>
      <c r="F4689" s="331">
        <v>0.21</v>
      </c>
      <c r="G4689" s="332">
        <v>479</v>
      </c>
      <c r="H4689" s="333">
        <v>580</v>
      </c>
    </row>
    <row r="4690" spans="1:8">
      <c r="A4690" s="317" t="s">
        <v>39928</v>
      </c>
      <c r="B4690" s="317" t="s">
        <v>49056</v>
      </c>
      <c r="C4690" s="330" t="s">
        <v>13011</v>
      </c>
      <c r="D4690" s="330" t="s">
        <v>13012</v>
      </c>
      <c r="E4690" s="330" t="s">
        <v>4819</v>
      </c>
      <c r="F4690" s="331">
        <v>0.21</v>
      </c>
      <c r="G4690" s="332">
        <v>671</v>
      </c>
      <c r="H4690" s="333">
        <v>812</v>
      </c>
    </row>
    <row r="4691" spans="1:8">
      <c r="A4691" s="317" t="s">
        <v>39929</v>
      </c>
      <c r="B4691" s="317" t="s">
        <v>49057</v>
      </c>
      <c r="C4691" s="330" t="s">
        <v>13013</v>
      </c>
      <c r="D4691" s="330" t="s">
        <v>13014</v>
      </c>
      <c r="E4691" s="330" t="s">
        <v>4819</v>
      </c>
      <c r="F4691" s="331">
        <v>0.21</v>
      </c>
      <c r="G4691" s="332">
        <v>910</v>
      </c>
      <c r="H4691" s="333">
        <v>1102</v>
      </c>
    </row>
    <row r="4692" spans="1:8">
      <c r="A4692" s="317" t="s">
        <v>39930</v>
      </c>
      <c r="B4692" s="317" t="s">
        <v>49058</v>
      </c>
      <c r="C4692" s="330" t="s">
        <v>13015</v>
      </c>
      <c r="D4692" s="330" t="s">
        <v>12928</v>
      </c>
      <c r="E4692" s="330" t="s">
        <v>4819</v>
      </c>
      <c r="F4692" s="331">
        <v>0.21</v>
      </c>
      <c r="G4692" s="332">
        <v>479</v>
      </c>
      <c r="H4692" s="333">
        <v>580</v>
      </c>
    </row>
    <row r="4693" spans="1:8">
      <c r="A4693" s="317" t="s">
        <v>39931</v>
      </c>
      <c r="B4693" s="317" t="s">
        <v>49059</v>
      </c>
      <c r="C4693" s="330" t="s">
        <v>13016</v>
      </c>
      <c r="D4693" s="330" t="s">
        <v>12924</v>
      </c>
      <c r="E4693" s="330" t="s">
        <v>4819</v>
      </c>
      <c r="F4693" s="331">
        <v>0.21</v>
      </c>
      <c r="G4693" s="332">
        <v>479</v>
      </c>
      <c r="H4693" s="333">
        <v>580</v>
      </c>
    </row>
    <row r="4694" spans="1:8">
      <c r="A4694" s="317" t="s">
        <v>39932</v>
      </c>
      <c r="B4694" s="317" t="s">
        <v>49060</v>
      </c>
      <c r="C4694" s="330" t="s">
        <v>13017</v>
      </c>
      <c r="D4694" s="330" t="s">
        <v>12922</v>
      </c>
      <c r="E4694" s="330" t="s">
        <v>4819</v>
      </c>
      <c r="F4694" s="331">
        <v>0.21</v>
      </c>
      <c r="G4694" s="332">
        <v>1701</v>
      </c>
      <c r="H4694" s="333">
        <v>2059</v>
      </c>
    </row>
    <row r="4695" spans="1:8">
      <c r="A4695" s="317" t="s">
        <v>39933</v>
      </c>
      <c r="B4695" s="317" t="s">
        <v>49061</v>
      </c>
      <c r="C4695" s="330" t="s">
        <v>13018</v>
      </c>
      <c r="D4695" s="330" t="s">
        <v>12953</v>
      </c>
      <c r="E4695" s="330" t="s">
        <v>4819</v>
      </c>
      <c r="F4695" s="331">
        <v>0.21</v>
      </c>
      <c r="G4695" s="332">
        <v>5103</v>
      </c>
      <c r="H4695" s="333">
        <v>6175</v>
      </c>
    </row>
    <row r="4696" spans="1:8">
      <c r="A4696" s="317" t="s">
        <v>39934</v>
      </c>
      <c r="B4696" s="317" t="s">
        <v>49062</v>
      </c>
      <c r="C4696" s="330" t="s">
        <v>13019</v>
      </c>
      <c r="D4696" s="330" t="s">
        <v>13020</v>
      </c>
      <c r="E4696" s="330" t="s">
        <v>4819</v>
      </c>
      <c r="F4696" s="331">
        <v>0.21</v>
      </c>
      <c r="G4696" s="332">
        <v>671</v>
      </c>
      <c r="H4696" s="333">
        <v>812</v>
      </c>
    </row>
    <row r="4697" spans="1:8">
      <c r="A4697" s="317" t="s">
        <v>39935</v>
      </c>
      <c r="B4697" s="317" t="s">
        <v>49063</v>
      </c>
      <c r="C4697" s="330" t="s">
        <v>13021</v>
      </c>
      <c r="D4697" s="330" t="s">
        <v>13022</v>
      </c>
      <c r="E4697" s="330" t="s">
        <v>4819</v>
      </c>
      <c r="F4697" s="331">
        <v>0.21</v>
      </c>
      <c r="G4697" s="332">
        <v>5521</v>
      </c>
      <c r="H4697" s="333">
        <v>6681</v>
      </c>
    </row>
    <row r="4698" spans="1:8">
      <c r="A4698" s="317" t="s">
        <v>39936</v>
      </c>
      <c r="B4698" s="317" t="s">
        <v>49064</v>
      </c>
      <c r="C4698" s="330" t="s">
        <v>13023</v>
      </c>
      <c r="D4698" s="330" t="s">
        <v>13020</v>
      </c>
      <c r="E4698" s="330" t="s">
        <v>4819</v>
      </c>
      <c r="F4698" s="331">
        <v>0.21</v>
      </c>
      <c r="G4698" s="332">
        <v>910</v>
      </c>
      <c r="H4698" s="333">
        <v>1102</v>
      </c>
    </row>
    <row r="4699" spans="1:8">
      <c r="A4699" s="317" t="s">
        <v>39937</v>
      </c>
      <c r="B4699" s="317" t="s">
        <v>49065</v>
      </c>
      <c r="C4699" s="330" t="s">
        <v>13024</v>
      </c>
      <c r="D4699" s="330" t="s">
        <v>13025</v>
      </c>
      <c r="E4699" s="330" t="s">
        <v>4819</v>
      </c>
      <c r="F4699" s="331">
        <v>0.21</v>
      </c>
      <c r="G4699" s="332">
        <v>8686</v>
      </c>
      <c r="H4699" s="333">
        <v>10511</v>
      </c>
    </row>
    <row r="4700" spans="1:8">
      <c r="A4700" s="317" t="s">
        <v>39938</v>
      </c>
      <c r="B4700" s="317" t="s">
        <v>49066</v>
      </c>
      <c r="C4700" s="330" t="s">
        <v>13026</v>
      </c>
      <c r="D4700" s="330" t="s">
        <v>13027</v>
      </c>
      <c r="E4700" s="330" t="s">
        <v>4819</v>
      </c>
      <c r="F4700" s="331">
        <v>0.21</v>
      </c>
      <c r="G4700" s="332">
        <v>758</v>
      </c>
      <c r="H4700" s="333">
        <v>918</v>
      </c>
    </row>
    <row r="4701" spans="1:8">
      <c r="A4701" s="317" t="s">
        <v>39939</v>
      </c>
      <c r="B4701" s="317" t="s">
        <v>49067</v>
      </c>
      <c r="C4701" s="330" t="s">
        <v>13028</v>
      </c>
      <c r="D4701" s="330" t="s">
        <v>13029</v>
      </c>
      <c r="E4701" s="330" t="s">
        <v>4819</v>
      </c>
      <c r="F4701" s="331">
        <v>0.21</v>
      </c>
      <c r="G4701" s="332">
        <v>4001</v>
      </c>
      <c r="H4701" s="333">
        <v>4842</v>
      </c>
    </row>
    <row r="4702" spans="1:8">
      <c r="A4702" s="317" t="s">
        <v>39940</v>
      </c>
      <c r="B4702" s="317" t="s">
        <v>49068</v>
      </c>
      <c r="C4702" s="330" t="s">
        <v>13030</v>
      </c>
      <c r="D4702" s="330" t="s">
        <v>13031</v>
      </c>
      <c r="E4702" s="330" t="s">
        <v>4819</v>
      </c>
      <c r="F4702" s="331">
        <v>0.21</v>
      </c>
      <c r="G4702" s="332">
        <v>43972</v>
      </c>
      <c r="H4702" s="333">
        <v>53207</v>
      </c>
    </row>
    <row r="4703" spans="1:8">
      <c r="A4703" s="317" t="s">
        <v>39941</v>
      </c>
      <c r="B4703" s="317" t="s">
        <v>49069</v>
      </c>
      <c r="C4703" s="330" t="s">
        <v>13032</v>
      </c>
      <c r="D4703" s="330" t="s">
        <v>13033</v>
      </c>
      <c r="E4703" s="330" t="s">
        <v>37248</v>
      </c>
      <c r="F4703" s="331">
        <v>0.21</v>
      </c>
      <c r="G4703" s="332">
        <v>15929</v>
      </c>
      <c r="H4703" s="333">
        <v>19275</v>
      </c>
    </row>
    <row r="4704" spans="1:8">
      <c r="A4704" s="317" t="s">
        <v>39942</v>
      </c>
      <c r="B4704" s="317" t="s">
        <v>49070</v>
      </c>
      <c r="C4704" s="330" t="s">
        <v>13034</v>
      </c>
      <c r="D4704" s="330" t="s">
        <v>13033</v>
      </c>
      <c r="E4704" s="330" t="s">
        <v>37248</v>
      </c>
      <c r="F4704" s="331">
        <v>0.21</v>
      </c>
      <c r="G4704" s="332">
        <v>17384</v>
      </c>
      <c r="H4704" s="333">
        <v>21035</v>
      </c>
    </row>
    <row r="4705" spans="1:8">
      <c r="A4705" s="317" t="s">
        <v>39943</v>
      </c>
      <c r="B4705" s="317" t="s">
        <v>49071</v>
      </c>
      <c r="C4705" s="330" t="s">
        <v>13035</v>
      </c>
      <c r="D4705" s="330" t="s">
        <v>12955</v>
      </c>
      <c r="E4705" s="330" t="s">
        <v>4819</v>
      </c>
      <c r="F4705" s="331">
        <v>0.21</v>
      </c>
      <c r="G4705" s="332">
        <v>671</v>
      </c>
      <c r="H4705" s="333">
        <v>812</v>
      </c>
    </row>
    <row r="4706" spans="1:8">
      <c r="A4706" s="317" t="s">
        <v>39944</v>
      </c>
      <c r="B4706" s="317" t="s">
        <v>49072</v>
      </c>
      <c r="C4706" s="330" t="s">
        <v>13036</v>
      </c>
      <c r="D4706" s="330" t="s">
        <v>12955</v>
      </c>
      <c r="E4706" s="330" t="s">
        <v>4819</v>
      </c>
      <c r="F4706" s="331">
        <v>0.21</v>
      </c>
      <c r="G4706" s="332">
        <v>671</v>
      </c>
      <c r="H4706" s="333">
        <v>812</v>
      </c>
    </row>
    <row r="4707" spans="1:8">
      <c r="A4707" s="317" t="s">
        <v>39945</v>
      </c>
      <c r="B4707" s="317" t="s">
        <v>49073</v>
      </c>
      <c r="C4707" s="330" t="s">
        <v>13037</v>
      </c>
      <c r="D4707" s="330" t="s">
        <v>13038</v>
      </c>
      <c r="E4707" s="330" t="s">
        <v>4819</v>
      </c>
      <c r="F4707" s="331">
        <v>0.21</v>
      </c>
      <c r="G4707" s="332">
        <v>479</v>
      </c>
      <c r="H4707" s="333">
        <v>580</v>
      </c>
    </row>
    <row r="4708" spans="1:8">
      <c r="A4708" s="317" t="s">
        <v>39946</v>
      </c>
      <c r="B4708" s="317" t="s">
        <v>49074</v>
      </c>
      <c r="C4708" s="330" t="s">
        <v>13039</v>
      </c>
      <c r="D4708" s="330" t="s">
        <v>13040</v>
      </c>
      <c r="E4708" s="330" t="s">
        <v>4819</v>
      </c>
      <c r="F4708" s="331">
        <v>0.21</v>
      </c>
      <c r="G4708" s="332">
        <v>479</v>
      </c>
      <c r="H4708" s="333">
        <v>580</v>
      </c>
    </row>
    <row r="4709" spans="1:8">
      <c r="A4709" s="317" t="s">
        <v>39947</v>
      </c>
      <c r="B4709" s="317" t="s">
        <v>49075</v>
      </c>
      <c r="C4709" s="330" t="s">
        <v>13041</v>
      </c>
      <c r="D4709" s="330" t="s">
        <v>12988</v>
      </c>
      <c r="E4709" s="330" t="s">
        <v>4819</v>
      </c>
      <c r="F4709" s="331">
        <v>0.21</v>
      </c>
      <c r="G4709" s="332">
        <v>479</v>
      </c>
      <c r="H4709" s="333">
        <v>580</v>
      </c>
    </row>
    <row r="4710" spans="1:8">
      <c r="A4710" s="317" t="s">
        <v>39948</v>
      </c>
      <c r="B4710" s="317" t="s">
        <v>49076</v>
      </c>
      <c r="C4710" s="330" t="s">
        <v>13042</v>
      </c>
      <c r="D4710" s="330" t="s">
        <v>12988</v>
      </c>
      <c r="E4710" s="330" t="s">
        <v>4819</v>
      </c>
      <c r="F4710" s="331">
        <v>0.21</v>
      </c>
      <c r="G4710" s="332">
        <v>479</v>
      </c>
      <c r="H4710" s="333">
        <v>580</v>
      </c>
    </row>
    <row r="4711" spans="1:8">
      <c r="A4711" s="317" t="s">
        <v>39949</v>
      </c>
      <c r="B4711" s="317" t="s">
        <v>49077</v>
      </c>
      <c r="C4711" s="330" t="s">
        <v>13043</v>
      </c>
      <c r="D4711" s="330" t="s">
        <v>12988</v>
      </c>
      <c r="E4711" s="330" t="s">
        <v>4819</v>
      </c>
      <c r="F4711" s="331">
        <v>0.21</v>
      </c>
      <c r="G4711" s="332">
        <v>479</v>
      </c>
      <c r="H4711" s="333">
        <v>580</v>
      </c>
    </row>
    <row r="4712" spans="1:8">
      <c r="A4712" s="317" t="s">
        <v>39950</v>
      </c>
      <c r="B4712" s="317" t="s">
        <v>49078</v>
      </c>
      <c r="C4712" s="330" t="s">
        <v>13044</v>
      </c>
      <c r="D4712" s="330" t="s">
        <v>12711</v>
      </c>
      <c r="E4712" s="330" t="s">
        <v>4819</v>
      </c>
      <c r="F4712" s="331">
        <v>0.21</v>
      </c>
      <c r="G4712" s="332">
        <v>479</v>
      </c>
      <c r="H4712" s="333">
        <v>580</v>
      </c>
    </row>
    <row r="4713" spans="1:8">
      <c r="A4713" s="317" t="s">
        <v>39951</v>
      </c>
      <c r="B4713" s="317" t="s">
        <v>49079</v>
      </c>
      <c r="C4713" s="330" t="s">
        <v>13045</v>
      </c>
      <c r="D4713" s="330" t="s">
        <v>13046</v>
      </c>
      <c r="E4713" s="330" t="s">
        <v>4819</v>
      </c>
      <c r="F4713" s="331">
        <v>0.21</v>
      </c>
      <c r="G4713" s="332">
        <v>671</v>
      </c>
      <c r="H4713" s="333">
        <v>812</v>
      </c>
    </row>
    <row r="4714" spans="1:8">
      <c r="A4714" s="317" t="s">
        <v>39952</v>
      </c>
      <c r="B4714" s="317" t="s">
        <v>49080</v>
      </c>
      <c r="C4714" s="330" t="s">
        <v>13047</v>
      </c>
      <c r="D4714" s="330" t="s">
        <v>12648</v>
      </c>
      <c r="E4714" s="330" t="s">
        <v>4819</v>
      </c>
      <c r="F4714" s="331">
        <v>0.21</v>
      </c>
      <c r="G4714" s="332">
        <v>2823</v>
      </c>
      <c r="H4714" s="333">
        <v>3416</v>
      </c>
    </row>
    <row r="4715" spans="1:8">
      <c r="A4715" s="317" t="s">
        <v>39953</v>
      </c>
      <c r="B4715" s="317" t="s">
        <v>49081</v>
      </c>
      <c r="C4715" s="330" t="s">
        <v>13048</v>
      </c>
      <c r="D4715" s="330" t="s">
        <v>13049</v>
      </c>
      <c r="E4715" s="330" t="s">
        <v>4819</v>
      </c>
      <c r="F4715" s="331">
        <v>0.21</v>
      </c>
      <c r="G4715" s="332">
        <v>479</v>
      </c>
      <c r="H4715" s="333">
        <v>580</v>
      </c>
    </row>
    <row r="4716" spans="1:8">
      <c r="A4716" s="317" t="s">
        <v>39954</v>
      </c>
      <c r="B4716" s="317" t="s">
        <v>49082</v>
      </c>
      <c r="C4716" s="330" t="s">
        <v>13050</v>
      </c>
      <c r="D4716" s="330" t="s">
        <v>12988</v>
      </c>
      <c r="E4716" s="330" t="s">
        <v>4819</v>
      </c>
      <c r="F4716" s="331">
        <v>0.21</v>
      </c>
      <c r="G4716" s="332">
        <v>479</v>
      </c>
      <c r="H4716" s="333">
        <v>580</v>
      </c>
    </row>
    <row r="4717" spans="1:8">
      <c r="A4717" s="317" t="s">
        <v>39955</v>
      </c>
      <c r="B4717" s="317" t="s">
        <v>49083</v>
      </c>
      <c r="C4717" s="330" t="s">
        <v>13051</v>
      </c>
      <c r="D4717" s="330" t="s">
        <v>12988</v>
      </c>
      <c r="E4717" s="330" t="s">
        <v>4819</v>
      </c>
      <c r="F4717" s="331">
        <v>0.21</v>
      </c>
      <c r="G4717" s="332">
        <v>479</v>
      </c>
      <c r="H4717" s="333">
        <v>580</v>
      </c>
    </row>
    <row r="4718" spans="1:8">
      <c r="A4718" s="317" t="s">
        <v>39956</v>
      </c>
      <c r="B4718" s="317" t="s">
        <v>49084</v>
      </c>
      <c r="C4718" s="330" t="s">
        <v>13052</v>
      </c>
      <c r="D4718" s="330" t="s">
        <v>7653</v>
      </c>
      <c r="E4718" s="330" t="s">
        <v>4819</v>
      </c>
      <c r="F4718" s="331">
        <v>0.21</v>
      </c>
      <c r="G4718" s="332">
        <v>479</v>
      </c>
      <c r="H4718" s="333">
        <v>580</v>
      </c>
    </row>
    <row r="4719" spans="1:8">
      <c r="A4719" s="317" t="s">
        <v>39957</v>
      </c>
      <c r="B4719" s="317" t="s">
        <v>49085</v>
      </c>
      <c r="C4719" s="330" t="s">
        <v>13053</v>
      </c>
      <c r="D4719" s="330" t="s">
        <v>12988</v>
      </c>
      <c r="E4719" s="330" t="s">
        <v>4819</v>
      </c>
      <c r="F4719" s="331">
        <v>0.21</v>
      </c>
      <c r="G4719" s="332">
        <v>479</v>
      </c>
      <c r="H4719" s="333">
        <v>580</v>
      </c>
    </row>
    <row r="4720" spans="1:8">
      <c r="A4720" s="317" t="s">
        <v>39958</v>
      </c>
      <c r="B4720" s="317" t="s">
        <v>49086</v>
      </c>
      <c r="C4720" s="330" t="s">
        <v>13054</v>
      </c>
      <c r="D4720" s="330" t="s">
        <v>7653</v>
      </c>
      <c r="E4720" s="330" t="s">
        <v>4819</v>
      </c>
      <c r="F4720" s="331">
        <v>0.21</v>
      </c>
      <c r="G4720" s="332">
        <v>976</v>
      </c>
      <c r="H4720" s="333">
        <v>1181</v>
      </c>
    </row>
    <row r="4721" spans="1:8">
      <c r="A4721" s="317" t="s">
        <v>39959</v>
      </c>
      <c r="B4721" s="317" t="s">
        <v>49087</v>
      </c>
      <c r="C4721" s="330" t="s">
        <v>13055</v>
      </c>
      <c r="D4721" s="330" t="s">
        <v>12711</v>
      </c>
      <c r="E4721" s="330" t="s">
        <v>4819</v>
      </c>
      <c r="F4721" s="331">
        <v>0.21</v>
      </c>
      <c r="G4721" s="332">
        <v>479</v>
      </c>
      <c r="H4721" s="333">
        <v>580</v>
      </c>
    </row>
    <row r="4722" spans="1:8">
      <c r="A4722" s="317" t="s">
        <v>39960</v>
      </c>
      <c r="B4722" s="317" t="s">
        <v>49088</v>
      </c>
      <c r="C4722" s="330" t="s">
        <v>13056</v>
      </c>
      <c r="D4722" s="330" t="s">
        <v>12988</v>
      </c>
      <c r="E4722" s="330" t="s">
        <v>4819</v>
      </c>
      <c r="F4722" s="331">
        <v>0.21</v>
      </c>
      <c r="G4722" s="332">
        <v>479</v>
      </c>
      <c r="H4722" s="333">
        <v>580</v>
      </c>
    </row>
    <row r="4723" spans="1:8">
      <c r="A4723" s="317" t="s">
        <v>39961</v>
      </c>
      <c r="B4723" s="317" t="s">
        <v>49089</v>
      </c>
      <c r="C4723" s="330" t="s">
        <v>13057</v>
      </c>
      <c r="D4723" s="330" t="s">
        <v>13058</v>
      </c>
      <c r="E4723" s="330" t="s">
        <v>4819</v>
      </c>
      <c r="F4723" s="331">
        <v>0.21</v>
      </c>
      <c r="G4723" s="332">
        <v>3825</v>
      </c>
      <c r="H4723" s="333">
        <v>4629</v>
      </c>
    </row>
    <row r="4724" spans="1:8">
      <c r="A4724" s="317" t="s">
        <v>39962</v>
      </c>
      <c r="B4724" s="317" t="s">
        <v>49090</v>
      </c>
      <c r="C4724" s="330" t="s">
        <v>13059</v>
      </c>
      <c r="D4724" s="330" t="s">
        <v>13060</v>
      </c>
      <c r="E4724" s="330" t="s">
        <v>37248</v>
      </c>
      <c r="F4724" s="331">
        <v>0.21</v>
      </c>
      <c r="G4724" s="332">
        <v>23485</v>
      </c>
      <c r="H4724" s="333">
        <v>28417</v>
      </c>
    </row>
    <row r="4725" spans="1:8">
      <c r="A4725" s="317" t="s">
        <v>39963</v>
      </c>
      <c r="B4725" s="317" t="s">
        <v>49091</v>
      </c>
      <c r="C4725" s="330" t="s">
        <v>13061</v>
      </c>
      <c r="D4725" s="330" t="s">
        <v>13062</v>
      </c>
      <c r="E4725" s="330" t="s">
        <v>37248</v>
      </c>
      <c r="F4725" s="331">
        <v>0.21</v>
      </c>
      <c r="G4725" s="332">
        <v>20291</v>
      </c>
      <c r="H4725" s="333">
        <v>24553</v>
      </c>
    </row>
    <row r="4726" spans="1:8">
      <c r="A4726" s="317" t="s">
        <v>39964</v>
      </c>
      <c r="B4726" s="317" t="s">
        <v>49092</v>
      </c>
      <c r="C4726" s="330" t="s">
        <v>13063</v>
      </c>
      <c r="D4726" s="330" t="s">
        <v>13064</v>
      </c>
      <c r="E4726" s="330" t="s">
        <v>37248</v>
      </c>
      <c r="F4726" s="331">
        <v>0.21</v>
      </c>
      <c r="G4726" s="332">
        <v>94238</v>
      </c>
      <c r="H4726" s="333">
        <v>114028</v>
      </c>
    </row>
    <row r="4727" spans="1:8">
      <c r="A4727" s="317" t="s">
        <v>39965</v>
      </c>
      <c r="B4727" s="317" t="s">
        <v>49093</v>
      </c>
      <c r="C4727" s="330" t="s">
        <v>13065</v>
      </c>
      <c r="D4727" s="330" t="s">
        <v>13066</v>
      </c>
      <c r="E4727" s="330" t="s">
        <v>4819</v>
      </c>
      <c r="F4727" s="331">
        <v>0.21</v>
      </c>
      <c r="G4727" s="332">
        <v>5148</v>
      </c>
      <c r="H4727" s="333">
        <v>6230</v>
      </c>
    </row>
    <row r="4728" spans="1:8">
      <c r="A4728" s="317" t="s">
        <v>39966</v>
      </c>
      <c r="B4728" s="317" t="s">
        <v>49094</v>
      </c>
      <c r="C4728" s="330" t="s">
        <v>13067</v>
      </c>
      <c r="D4728" s="330" t="s">
        <v>13068</v>
      </c>
      <c r="E4728" s="330" t="s">
        <v>4819</v>
      </c>
      <c r="F4728" s="331">
        <v>0.21</v>
      </c>
      <c r="G4728" s="332">
        <v>37244</v>
      </c>
      <c r="H4728" s="333">
        <v>45066</v>
      </c>
    </row>
    <row r="4729" spans="1:8">
      <c r="A4729" s="317" t="s">
        <v>39967</v>
      </c>
      <c r="B4729" s="317" t="s">
        <v>49095</v>
      </c>
      <c r="C4729" s="330" t="s">
        <v>13069</v>
      </c>
      <c r="D4729" s="330" t="s">
        <v>13070</v>
      </c>
      <c r="E4729" s="330" t="s">
        <v>37248</v>
      </c>
      <c r="F4729" s="331">
        <v>0.21</v>
      </c>
      <c r="G4729" s="332">
        <v>21957</v>
      </c>
      <c r="H4729" s="333">
        <v>26568</v>
      </c>
    </row>
    <row r="4730" spans="1:8">
      <c r="A4730" s="317" t="s">
        <v>39968</v>
      </c>
      <c r="B4730" s="317" t="s">
        <v>49096</v>
      </c>
      <c r="C4730" s="330" t="s">
        <v>13071</v>
      </c>
      <c r="D4730" s="330" t="s">
        <v>13072</v>
      </c>
      <c r="E4730" s="330" t="s">
        <v>4819</v>
      </c>
      <c r="F4730" s="331">
        <v>0.21</v>
      </c>
      <c r="G4730" s="332">
        <v>18174</v>
      </c>
      <c r="H4730" s="333">
        <v>21991</v>
      </c>
    </row>
    <row r="4731" spans="1:8">
      <c r="A4731" s="317" t="s">
        <v>39969</v>
      </c>
      <c r="B4731" s="317" t="s">
        <v>49097</v>
      </c>
      <c r="C4731" s="330" t="s">
        <v>13073</v>
      </c>
      <c r="D4731" s="330" t="s">
        <v>13072</v>
      </c>
      <c r="E4731" s="330" t="s">
        <v>4819</v>
      </c>
      <c r="F4731" s="331">
        <v>0.21</v>
      </c>
      <c r="G4731" s="332">
        <v>18174</v>
      </c>
      <c r="H4731" s="333">
        <v>21991</v>
      </c>
    </row>
    <row r="4732" spans="1:8">
      <c r="A4732" s="317" t="s">
        <v>39970</v>
      </c>
      <c r="B4732" s="317" t="s">
        <v>49098</v>
      </c>
      <c r="C4732" s="330" t="s">
        <v>13074</v>
      </c>
      <c r="D4732" s="330" t="s">
        <v>13075</v>
      </c>
      <c r="E4732" s="330" t="s">
        <v>4819</v>
      </c>
      <c r="F4732" s="331">
        <v>0.21</v>
      </c>
      <c r="G4732" s="332">
        <v>1505</v>
      </c>
      <c r="H4732" s="333">
        <v>1822</v>
      </c>
    </row>
    <row r="4733" spans="1:8">
      <c r="A4733" s="317" t="s">
        <v>39971</v>
      </c>
      <c r="B4733" s="317" t="s">
        <v>49099</v>
      </c>
      <c r="C4733" s="330" t="s">
        <v>13076</v>
      </c>
      <c r="D4733" s="330" t="s">
        <v>8976</v>
      </c>
      <c r="E4733" s="330" t="s">
        <v>37248</v>
      </c>
      <c r="F4733" s="331">
        <v>0.21</v>
      </c>
      <c r="G4733" s="332">
        <v>84541</v>
      </c>
      <c r="H4733" s="333">
        <v>102295</v>
      </c>
    </row>
    <row r="4734" spans="1:8">
      <c r="A4734" s="317" t="s">
        <v>39972</v>
      </c>
      <c r="B4734" s="317" t="s">
        <v>49100</v>
      </c>
      <c r="C4734" s="330" t="s">
        <v>13077</v>
      </c>
      <c r="D4734" s="330" t="s">
        <v>13078</v>
      </c>
      <c r="E4734" s="330" t="s">
        <v>4623</v>
      </c>
      <c r="F4734" s="331">
        <v>0.21</v>
      </c>
      <c r="G4734" s="332">
        <v>57509</v>
      </c>
      <c r="H4734" s="333">
        <v>69586</v>
      </c>
    </row>
    <row r="4735" spans="1:8">
      <c r="A4735" s="317" t="s">
        <v>39973</v>
      </c>
      <c r="B4735" s="317" t="s">
        <v>49101</v>
      </c>
      <c r="C4735" s="330" t="s">
        <v>13079</v>
      </c>
      <c r="D4735" s="330" t="s">
        <v>13080</v>
      </c>
      <c r="E4735" s="330" t="s">
        <v>4819</v>
      </c>
      <c r="F4735" s="331">
        <v>0.21</v>
      </c>
      <c r="G4735" s="332">
        <v>3865</v>
      </c>
      <c r="H4735" s="333">
        <v>4677</v>
      </c>
    </row>
    <row r="4736" spans="1:8">
      <c r="A4736" s="317" t="s">
        <v>39974</v>
      </c>
      <c r="B4736" s="317" t="s">
        <v>49102</v>
      </c>
      <c r="C4736" s="330" t="s">
        <v>13081</v>
      </c>
      <c r="D4736" s="330" t="s">
        <v>13082</v>
      </c>
      <c r="E4736" s="330" t="s">
        <v>37248</v>
      </c>
      <c r="F4736" s="331">
        <v>0.21</v>
      </c>
      <c r="G4736" s="332">
        <v>240</v>
      </c>
      <c r="H4736" s="333">
        <v>291</v>
      </c>
    </row>
    <row r="4737" spans="1:8">
      <c r="A4737" s="317" t="s">
        <v>39975</v>
      </c>
      <c r="B4737" s="317" t="s">
        <v>49103</v>
      </c>
      <c r="C4737" s="330" t="s">
        <v>13083</v>
      </c>
      <c r="D4737" s="330" t="s">
        <v>13084</v>
      </c>
      <c r="E4737" s="330" t="s">
        <v>37248</v>
      </c>
      <c r="F4737" s="331">
        <v>0.21</v>
      </c>
      <c r="G4737" s="332">
        <v>46344</v>
      </c>
      <c r="H4737" s="333">
        <v>56077</v>
      </c>
    </row>
    <row r="4738" spans="1:8">
      <c r="A4738" s="317" t="s">
        <v>39976</v>
      </c>
      <c r="B4738" s="317" t="s">
        <v>49104</v>
      </c>
      <c r="C4738" s="330" t="s">
        <v>13085</v>
      </c>
      <c r="D4738" s="330" t="s">
        <v>13084</v>
      </c>
      <c r="E4738" s="330" t="s">
        <v>4634</v>
      </c>
      <c r="F4738" s="331">
        <v>0.21</v>
      </c>
      <c r="G4738" s="332">
        <v>38425</v>
      </c>
      <c r="H4738" s="333">
        <v>46495</v>
      </c>
    </row>
    <row r="4739" spans="1:8">
      <c r="A4739" s="317" t="s">
        <v>39977</v>
      </c>
      <c r="B4739" s="317" t="s">
        <v>49105</v>
      </c>
      <c r="C4739" s="330" t="s">
        <v>13086</v>
      </c>
      <c r="D4739" s="330" t="s">
        <v>13087</v>
      </c>
      <c r="E4739" s="330" t="s">
        <v>4819</v>
      </c>
      <c r="F4739" s="331">
        <v>0.21</v>
      </c>
      <c r="G4739" s="332">
        <v>48478</v>
      </c>
      <c r="H4739" s="333">
        <v>58659</v>
      </c>
    </row>
    <row r="4740" spans="1:8">
      <c r="A4740" s="317" t="s">
        <v>39978</v>
      </c>
      <c r="B4740" s="317" t="s">
        <v>49106</v>
      </c>
      <c r="C4740" s="330" t="s">
        <v>13088</v>
      </c>
      <c r="D4740" s="330" t="s">
        <v>13087</v>
      </c>
      <c r="E4740" s="330" t="s">
        <v>4819</v>
      </c>
      <c r="F4740" s="331">
        <v>0.21</v>
      </c>
      <c r="G4740" s="332">
        <v>14214</v>
      </c>
      <c r="H4740" s="333">
        <v>17199</v>
      </c>
    </row>
    <row r="4741" spans="1:8">
      <c r="A4741" s="317" t="s">
        <v>39979</v>
      </c>
      <c r="B4741" s="317" t="s">
        <v>49107</v>
      </c>
      <c r="C4741" s="330" t="s">
        <v>13089</v>
      </c>
      <c r="D4741" s="330" t="s">
        <v>13090</v>
      </c>
      <c r="E4741" s="330" t="s">
        <v>37248</v>
      </c>
      <c r="F4741" s="331">
        <v>0.21</v>
      </c>
      <c r="G4741" s="332">
        <v>1182</v>
      </c>
      <c r="H4741" s="333">
        <v>1431</v>
      </c>
    </row>
    <row r="4742" spans="1:8">
      <c r="A4742" s="317" t="s">
        <v>39980</v>
      </c>
      <c r="B4742" s="317" t="s">
        <v>49108</v>
      </c>
      <c r="C4742" s="330" t="s">
        <v>13091</v>
      </c>
      <c r="D4742" s="330" t="s">
        <v>7649</v>
      </c>
      <c r="E4742" s="330" t="s">
        <v>37248</v>
      </c>
      <c r="F4742" s="331">
        <v>0.21</v>
      </c>
      <c r="G4742" s="332">
        <v>435</v>
      </c>
      <c r="H4742" s="333">
        <v>527</v>
      </c>
    </row>
    <row r="4743" spans="1:8">
      <c r="A4743" s="317" t="s">
        <v>39981</v>
      </c>
      <c r="B4743" s="317" t="s">
        <v>49109</v>
      </c>
      <c r="C4743" s="330" t="s">
        <v>13092</v>
      </c>
      <c r="D4743" s="330" t="s">
        <v>7649</v>
      </c>
      <c r="E4743" s="330" t="s">
        <v>4634</v>
      </c>
      <c r="F4743" s="331">
        <v>0.21</v>
      </c>
      <c r="G4743" s="332">
        <v>348</v>
      </c>
      <c r="H4743" s="333">
        <v>422</v>
      </c>
    </row>
    <row r="4744" spans="1:8">
      <c r="A4744" s="317" t="s">
        <v>39982</v>
      </c>
      <c r="B4744" s="317" t="s">
        <v>49110</v>
      </c>
      <c r="C4744" s="330" t="s">
        <v>13093</v>
      </c>
      <c r="D4744" s="330" t="s">
        <v>7649</v>
      </c>
      <c r="E4744" s="330" t="s">
        <v>37248</v>
      </c>
      <c r="F4744" s="331">
        <v>0.21</v>
      </c>
      <c r="G4744" s="332">
        <v>519</v>
      </c>
      <c r="H4744" s="333">
        <v>628</v>
      </c>
    </row>
    <row r="4745" spans="1:8">
      <c r="A4745" s="317" t="s">
        <v>39983</v>
      </c>
      <c r="B4745" s="317" t="s">
        <v>49111</v>
      </c>
      <c r="C4745" s="330" t="s">
        <v>13094</v>
      </c>
      <c r="D4745" s="330" t="s">
        <v>7235</v>
      </c>
      <c r="E4745" s="330" t="s">
        <v>37248</v>
      </c>
      <c r="F4745" s="331">
        <v>0.21</v>
      </c>
      <c r="G4745" s="332">
        <v>339</v>
      </c>
      <c r="H4745" s="333">
        <v>411</v>
      </c>
    </row>
    <row r="4746" spans="1:8">
      <c r="A4746" s="317" t="s">
        <v>39984</v>
      </c>
      <c r="B4746" s="317" t="s">
        <v>49112</v>
      </c>
      <c r="C4746" s="330" t="s">
        <v>13095</v>
      </c>
      <c r="D4746" s="330" t="s">
        <v>5441</v>
      </c>
      <c r="E4746" s="330" t="s">
        <v>37248</v>
      </c>
      <c r="F4746" s="331">
        <v>0.21</v>
      </c>
      <c r="G4746" s="332">
        <v>5003</v>
      </c>
      <c r="H4746" s="333">
        <v>6054</v>
      </c>
    </row>
    <row r="4747" spans="1:8">
      <c r="A4747" s="317" t="s">
        <v>39985</v>
      </c>
      <c r="B4747" s="317" t="s">
        <v>49113</v>
      </c>
      <c r="C4747" s="330" t="s">
        <v>13096</v>
      </c>
      <c r="D4747" s="330" t="s">
        <v>13097</v>
      </c>
      <c r="E4747" s="330" t="s">
        <v>37248</v>
      </c>
      <c r="F4747" s="331">
        <v>0.21</v>
      </c>
      <c r="G4747" s="332">
        <v>470</v>
      </c>
      <c r="H4747" s="333">
        <v>569</v>
      </c>
    </row>
    <row r="4748" spans="1:8">
      <c r="A4748" s="317" t="s">
        <v>39986</v>
      </c>
      <c r="B4748" s="317" t="s">
        <v>49114</v>
      </c>
      <c r="C4748" s="330" t="s">
        <v>13098</v>
      </c>
      <c r="D4748" s="330" t="s">
        <v>13099</v>
      </c>
      <c r="E4748" s="330" t="s">
        <v>4819</v>
      </c>
      <c r="F4748" s="331">
        <v>0.21</v>
      </c>
      <c r="G4748" s="332">
        <v>919</v>
      </c>
      <c r="H4748" s="333">
        <v>1112</v>
      </c>
    </row>
    <row r="4749" spans="1:8">
      <c r="A4749" s="317" t="s">
        <v>39987</v>
      </c>
      <c r="B4749" s="317" t="s">
        <v>49115</v>
      </c>
      <c r="C4749" s="330" t="s">
        <v>13100</v>
      </c>
      <c r="D4749" s="330" t="s">
        <v>13101</v>
      </c>
      <c r="E4749" s="330" t="s">
        <v>4819</v>
      </c>
      <c r="F4749" s="331">
        <v>0.21</v>
      </c>
      <c r="G4749" s="332">
        <v>14156</v>
      </c>
      <c r="H4749" s="333">
        <v>17129</v>
      </c>
    </row>
    <row r="4750" spans="1:8">
      <c r="A4750" s="317" t="s">
        <v>39988</v>
      </c>
      <c r="B4750" s="317" t="s">
        <v>49116</v>
      </c>
      <c r="C4750" s="330" t="s">
        <v>13102</v>
      </c>
      <c r="D4750" s="330" t="s">
        <v>13103</v>
      </c>
      <c r="E4750" s="330" t="s">
        <v>4819</v>
      </c>
      <c r="F4750" s="331">
        <v>0.21</v>
      </c>
      <c r="G4750" s="332">
        <v>18222</v>
      </c>
      <c r="H4750" s="333">
        <v>22049</v>
      </c>
    </row>
    <row r="4751" spans="1:8">
      <c r="A4751" s="317" t="s">
        <v>39989</v>
      </c>
      <c r="B4751" s="317" t="s">
        <v>49117</v>
      </c>
      <c r="C4751" s="330" t="s">
        <v>13104</v>
      </c>
      <c r="D4751" s="330" t="s">
        <v>13105</v>
      </c>
      <c r="E4751" s="330" t="s">
        <v>37248</v>
      </c>
      <c r="F4751" s="331">
        <v>0.21</v>
      </c>
      <c r="G4751" s="332">
        <v>5103</v>
      </c>
      <c r="H4751" s="333">
        <v>6175</v>
      </c>
    </row>
    <row r="4752" spans="1:8">
      <c r="A4752" s="317" t="s">
        <v>39990</v>
      </c>
      <c r="B4752" s="317" t="s">
        <v>49118</v>
      </c>
      <c r="C4752" s="330" t="s">
        <v>13106</v>
      </c>
      <c r="D4752" s="330" t="s">
        <v>7235</v>
      </c>
      <c r="E4752" s="330" t="s">
        <v>4623</v>
      </c>
      <c r="F4752" s="331">
        <v>0.21</v>
      </c>
      <c r="G4752" s="332">
        <v>814</v>
      </c>
      <c r="H4752" s="333">
        <v>985</v>
      </c>
    </row>
    <row r="4753" spans="1:8">
      <c r="A4753" s="317" t="s">
        <v>39991</v>
      </c>
      <c r="B4753" s="317" t="s">
        <v>49119</v>
      </c>
      <c r="C4753" s="330" t="s">
        <v>13107</v>
      </c>
      <c r="D4753" s="330" t="s">
        <v>7653</v>
      </c>
      <c r="E4753" s="330" t="s">
        <v>4819</v>
      </c>
      <c r="F4753" s="331">
        <v>0.21</v>
      </c>
      <c r="G4753" s="332">
        <v>976</v>
      </c>
      <c r="H4753" s="333">
        <v>1181</v>
      </c>
    </row>
    <row r="4754" spans="1:8">
      <c r="A4754" s="317" t="s">
        <v>39992</v>
      </c>
      <c r="B4754" s="317" t="s">
        <v>49120</v>
      </c>
      <c r="C4754" s="330" t="s">
        <v>13108</v>
      </c>
      <c r="D4754" s="330" t="s">
        <v>12706</v>
      </c>
      <c r="E4754" s="330" t="s">
        <v>37248</v>
      </c>
      <c r="F4754" s="331">
        <v>0.21</v>
      </c>
      <c r="G4754" s="332">
        <v>1247</v>
      </c>
      <c r="H4754" s="333">
        <v>1509</v>
      </c>
    </row>
    <row r="4755" spans="1:8">
      <c r="A4755" s="317" t="s">
        <v>39993</v>
      </c>
      <c r="B4755" s="317" t="s">
        <v>49121</v>
      </c>
      <c r="C4755" s="330" t="s">
        <v>13109</v>
      </c>
      <c r="D4755" s="330" t="s">
        <v>7235</v>
      </c>
      <c r="E4755" s="330" t="s">
        <v>37248</v>
      </c>
      <c r="F4755" s="331">
        <v>0.21</v>
      </c>
      <c r="G4755" s="332">
        <v>305</v>
      </c>
      <c r="H4755" s="333">
        <v>370</v>
      </c>
    </row>
    <row r="4756" spans="1:8">
      <c r="A4756" s="317" t="s">
        <v>39994</v>
      </c>
      <c r="B4756" s="317" t="s">
        <v>49122</v>
      </c>
      <c r="C4756" s="330" t="s">
        <v>13110</v>
      </c>
      <c r="D4756" s="330" t="s">
        <v>13111</v>
      </c>
      <c r="E4756" s="330" t="s">
        <v>37248</v>
      </c>
      <c r="F4756" s="331">
        <v>0.21</v>
      </c>
      <c r="G4756" s="332">
        <v>305</v>
      </c>
      <c r="H4756" s="333">
        <v>370</v>
      </c>
    </row>
    <row r="4757" spans="1:8">
      <c r="A4757" s="317" t="s">
        <v>39995</v>
      </c>
      <c r="B4757" s="317" t="s">
        <v>49123</v>
      </c>
      <c r="C4757" s="330" t="s">
        <v>13112</v>
      </c>
      <c r="D4757" s="330" t="s">
        <v>7235</v>
      </c>
      <c r="E4757" s="330" t="s">
        <v>37248</v>
      </c>
      <c r="F4757" s="331">
        <v>0.21</v>
      </c>
      <c r="G4757" s="332">
        <v>240</v>
      </c>
      <c r="H4757" s="333">
        <v>291</v>
      </c>
    </row>
    <row r="4758" spans="1:8">
      <c r="A4758" s="317" t="s">
        <v>39996</v>
      </c>
      <c r="B4758" s="317" t="s">
        <v>49124</v>
      </c>
      <c r="C4758" s="330" t="s">
        <v>13113</v>
      </c>
      <c r="D4758" s="330" t="s">
        <v>13114</v>
      </c>
      <c r="E4758" s="330" t="s">
        <v>37248</v>
      </c>
      <c r="F4758" s="331">
        <v>0.21</v>
      </c>
      <c r="G4758" s="332">
        <v>305</v>
      </c>
      <c r="H4758" s="333">
        <v>370</v>
      </c>
    </row>
    <row r="4759" spans="1:8">
      <c r="A4759" s="317" t="s">
        <v>39997</v>
      </c>
      <c r="B4759" s="317" t="s">
        <v>49125</v>
      </c>
      <c r="C4759" s="330" t="s">
        <v>13115</v>
      </c>
      <c r="D4759" s="330" t="s">
        <v>6205</v>
      </c>
      <c r="E4759" s="330" t="s">
        <v>37248</v>
      </c>
      <c r="F4759" s="331">
        <v>0.21</v>
      </c>
      <c r="G4759" s="332">
        <v>1880</v>
      </c>
      <c r="H4759" s="333">
        <v>2275</v>
      </c>
    </row>
    <row r="4760" spans="1:8">
      <c r="A4760" s="317" t="s">
        <v>39998</v>
      </c>
      <c r="B4760" s="317" t="s">
        <v>49126</v>
      </c>
      <c r="C4760" s="330" t="s">
        <v>13116</v>
      </c>
      <c r="D4760" s="330" t="s">
        <v>13117</v>
      </c>
      <c r="E4760" s="330" t="s">
        <v>37248</v>
      </c>
      <c r="F4760" s="331">
        <v>0.21</v>
      </c>
      <c r="G4760" s="332">
        <v>305</v>
      </c>
      <c r="H4760" s="333">
        <v>370</v>
      </c>
    </row>
    <row r="4761" spans="1:8">
      <c r="A4761" s="317" t="s">
        <v>39999</v>
      </c>
      <c r="B4761" s="317" t="s">
        <v>49127</v>
      </c>
      <c r="C4761" s="330" t="s">
        <v>13118</v>
      </c>
      <c r="D4761" s="330" t="s">
        <v>9501</v>
      </c>
      <c r="E4761" s="330" t="s">
        <v>4819</v>
      </c>
      <c r="F4761" s="331">
        <v>0.21</v>
      </c>
      <c r="G4761" s="332">
        <v>10805</v>
      </c>
      <c r="H4761" s="333">
        <v>13075</v>
      </c>
    </row>
    <row r="4762" spans="1:8">
      <c r="A4762" s="317" t="s">
        <v>40000</v>
      </c>
      <c r="B4762" s="317" t="s">
        <v>49128</v>
      </c>
      <c r="C4762" s="330" t="s">
        <v>13119</v>
      </c>
      <c r="D4762" s="330" t="s">
        <v>12523</v>
      </c>
      <c r="E4762" s="330" t="s">
        <v>4634</v>
      </c>
      <c r="F4762" s="331">
        <v>0.21</v>
      </c>
      <c r="G4762" s="332">
        <v>14256</v>
      </c>
      <c r="H4762" s="333">
        <v>17250</v>
      </c>
    </row>
    <row r="4763" spans="1:8">
      <c r="A4763" s="317" t="s">
        <v>40001</v>
      </c>
      <c r="B4763" s="317" t="s">
        <v>49129</v>
      </c>
      <c r="C4763" s="330" t="s">
        <v>13120</v>
      </c>
      <c r="D4763" s="330" t="s">
        <v>12523</v>
      </c>
      <c r="E4763" s="330" t="s">
        <v>4634</v>
      </c>
      <c r="F4763" s="331">
        <v>0.21</v>
      </c>
      <c r="G4763" s="332">
        <v>12713</v>
      </c>
      <c r="H4763" s="333">
        <v>15383</v>
      </c>
    </row>
    <row r="4764" spans="1:8">
      <c r="A4764" s="317" t="s">
        <v>40002</v>
      </c>
      <c r="B4764" s="317" t="s">
        <v>49130</v>
      </c>
      <c r="C4764" s="330" t="s">
        <v>13121</v>
      </c>
      <c r="D4764" s="330" t="s">
        <v>12523</v>
      </c>
      <c r="E4764" s="330" t="s">
        <v>37248</v>
      </c>
      <c r="F4764" s="331">
        <v>0.21</v>
      </c>
      <c r="G4764" s="332">
        <v>75921</v>
      </c>
      <c r="H4764" s="333">
        <v>91865</v>
      </c>
    </row>
    <row r="4765" spans="1:8">
      <c r="A4765" s="317" t="s">
        <v>40003</v>
      </c>
      <c r="B4765" s="317" t="s">
        <v>49131</v>
      </c>
      <c r="C4765" s="330" t="s">
        <v>13122</v>
      </c>
      <c r="D4765" s="330" t="s">
        <v>7322</v>
      </c>
      <c r="E4765" s="330" t="s">
        <v>4634</v>
      </c>
      <c r="F4765" s="331">
        <v>0.21</v>
      </c>
      <c r="G4765" s="332">
        <v>5819</v>
      </c>
      <c r="H4765" s="333">
        <v>7041</v>
      </c>
    </row>
    <row r="4766" spans="1:8">
      <c r="A4766" s="317" t="s">
        <v>40004</v>
      </c>
      <c r="B4766" s="317" t="s">
        <v>49132</v>
      </c>
      <c r="C4766" s="330" t="s">
        <v>13123</v>
      </c>
      <c r="D4766" s="330" t="s">
        <v>7906</v>
      </c>
      <c r="E4766" s="330" t="s">
        <v>4634</v>
      </c>
      <c r="F4766" s="331">
        <v>0.21</v>
      </c>
      <c r="G4766" s="332">
        <v>54743</v>
      </c>
      <c r="H4766" s="333">
        <v>66240</v>
      </c>
    </row>
    <row r="4767" spans="1:8">
      <c r="A4767" s="317" t="s">
        <v>40005</v>
      </c>
      <c r="B4767" s="317" t="s">
        <v>49133</v>
      </c>
      <c r="C4767" s="330" t="s">
        <v>13124</v>
      </c>
      <c r="D4767" s="330" t="s">
        <v>12505</v>
      </c>
      <c r="E4767" s="330" t="s">
        <v>4634</v>
      </c>
      <c r="F4767" s="331">
        <v>0.21</v>
      </c>
      <c r="G4767" s="332">
        <v>928</v>
      </c>
      <c r="H4767" s="333">
        <v>1123</v>
      </c>
    </row>
    <row r="4768" spans="1:8">
      <c r="A4768" s="317" t="s">
        <v>40006</v>
      </c>
      <c r="B4768" s="317" t="s">
        <v>49134</v>
      </c>
      <c r="C4768" s="330" t="s">
        <v>13125</v>
      </c>
      <c r="D4768" s="330" t="s">
        <v>13126</v>
      </c>
      <c r="E4768" s="330" t="s">
        <v>37248</v>
      </c>
      <c r="F4768" s="331">
        <v>0.21</v>
      </c>
      <c r="G4768" s="332">
        <v>9232</v>
      </c>
      <c r="H4768" s="333">
        <v>11171</v>
      </c>
    </row>
    <row r="4769" spans="1:8">
      <c r="A4769" s="317" t="s">
        <v>40007</v>
      </c>
      <c r="B4769" s="317" t="s">
        <v>49135</v>
      </c>
      <c r="C4769" s="330" t="s">
        <v>13127</v>
      </c>
      <c r="D4769" s="330" t="s">
        <v>6731</v>
      </c>
      <c r="E4769" s="330" t="s">
        <v>37248</v>
      </c>
      <c r="F4769" s="331">
        <v>0.21</v>
      </c>
      <c r="G4769" s="332">
        <v>3517</v>
      </c>
      <c r="H4769" s="333">
        <v>4256</v>
      </c>
    </row>
    <row r="4770" spans="1:8">
      <c r="A4770" s="317" t="s">
        <v>40008</v>
      </c>
      <c r="B4770" s="317" t="s">
        <v>49136</v>
      </c>
      <c r="C4770" s="330" t="s">
        <v>13128</v>
      </c>
      <c r="D4770" s="330" t="s">
        <v>6518</v>
      </c>
      <c r="E4770" s="330" t="s">
        <v>4819</v>
      </c>
      <c r="F4770" s="331">
        <v>0.21</v>
      </c>
      <c r="G4770" s="332">
        <v>8275</v>
      </c>
      <c r="H4770" s="333">
        <v>10013</v>
      </c>
    </row>
    <row r="4771" spans="1:8">
      <c r="A4771" s="317" t="s">
        <v>40009</v>
      </c>
      <c r="B4771" s="317" t="s">
        <v>49137</v>
      </c>
      <c r="C4771" s="330" t="s">
        <v>13129</v>
      </c>
      <c r="D4771" s="330" t="s">
        <v>6518</v>
      </c>
      <c r="E4771" s="330" t="s">
        <v>4623</v>
      </c>
      <c r="F4771" s="331">
        <v>0.21</v>
      </c>
      <c r="G4771" s="332">
        <v>7975</v>
      </c>
      <c r="H4771" s="333">
        <v>9650</v>
      </c>
    </row>
    <row r="4772" spans="1:8">
      <c r="A4772" s="317" t="s">
        <v>40010</v>
      </c>
      <c r="B4772" s="317" t="s">
        <v>49138</v>
      </c>
      <c r="C4772" s="330" t="s">
        <v>13130</v>
      </c>
      <c r="D4772" s="330" t="s">
        <v>12960</v>
      </c>
      <c r="E4772" s="330" t="s">
        <v>4819</v>
      </c>
      <c r="F4772" s="331">
        <v>0.21</v>
      </c>
      <c r="G4772" s="332">
        <v>994</v>
      </c>
      <c r="H4772" s="333">
        <v>1203</v>
      </c>
    </row>
    <row r="4773" spans="1:8">
      <c r="A4773" s="317" t="s">
        <v>40011</v>
      </c>
      <c r="B4773" s="317" t="s">
        <v>49139</v>
      </c>
      <c r="C4773" s="330" t="s">
        <v>13131</v>
      </c>
      <c r="D4773" s="330" t="s">
        <v>12960</v>
      </c>
      <c r="E4773" s="330" t="s">
        <v>4819</v>
      </c>
      <c r="F4773" s="331">
        <v>0.21</v>
      </c>
      <c r="G4773" s="332">
        <v>994</v>
      </c>
      <c r="H4773" s="333">
        <v>1203</v>
      </c>
    </row>
    <row r="4774" spans="1:8">
      <c r="A4774" s="317" t="s">
        <v>40012</v>
      </c>
      <c r="B4774" s="317" t="s">
        <v>49140</v>
      </c>
      <c r="C4774" s="330" t="s">
        <v>13132</v>
      </c>
      <c r="D4774" s="330" t="s">
        <v>13133</v>
      </c>
      <c r="E4774" s="330" t="s">
        <v>4819</v>
      </c>
      <c r="F4774" s="331">
        <v>0.21</v>
      </c>
      <c r="G4774" s="332">
        <v>994</v>
      </c>
      <c r="H4774" s="333">
        <v>1203</v>
      </c>
    </row>
    <row r="4775" spans="1:8">
      <c r="A4775" s="317" t="s">
        <v>40013</v>
      </c>
      <c r="B4775" s="317" t="s">
        <v>49141</v>
      </c>
      <c r="C4775" s="330" t="s">
        <v>13134</v>
      </c>
      <c r="D4775" s="330" t="s">
        <v>8164</v>
      </c>
      <c r="E4775" s="330" t="s">
        <v>37248</v>
      </c>
      <c r="F4775" s="331">
        <v>0.21</v>
      </c>
      <c r="G4775" s="332">
        <v>44633</v>
      </c>
      <c r="H4775" s="333">
        <v>54006</v>
      </c>
    </row>
    <row r="4776" spans="1:8">
      <c r="A4776" s="317" t="s">
        <v>40014</v>
      </c>
      <c r="B4776" s="317" t="s">
        <v>49142</v>
      </c>
      <c r="C4776" s="330" t="s">
        <v>13135</v>
      </c>
      <c r="D4776" s="330" t="s">
        <v>13136</v>
      </c>
      <c r="E4776" s="330" t="s">
        <v>4634</v>
      </c>
      <c r="F4776" s="331">
        <v>0.21</v>
      </c>
      <c r="G4776" s="332">
        <v>1150</v>
      </c>
      <c r="H4776" s="333">
        <v>1392</v>
      </c>
    </row>
    <row r="4777" spans="1:8">
      <c r="A4777" s="317" t="s">
        <v>40015</v>
      </c>
      <c r="B4777" s="317" t="s">
        <v>49143</v>
      </c>
      <c r="C4777" s="330" t="s">
        <v>13137</v>
      </c>
      <c r="D4777" s="330" t="s">
        <v>13138</v>
      </c>
      <c r="E4777" s="330" t="s">
        <v>37248</v>
      </c>
      <c r="F4777" s="331">
        <v>0.21</v>
      </c>
      <c r="G4777" s="332">
        <v>28440</v>
      </c>
      <c r="H4777" s="333">
        <v>34413</v>
      </c>
    </row>
    <row r="4778" spans="1:8">
      <c r="A4778" s="317" t="s">
        <v>40016</v>
      </c>
      <c r="B4778" s="317" t="s">
        <v>49144</v>
      </c>
      <c r="C4778" s="330" t="s">
        <v>13139</v>
      </c>
      <c r="D4778" s="330" t="s">
        <v>13140</v>
      </c>
      <c r="E4778" s="330" t="s">
        <v>4634</v>
      </c>
      <c r="F4778" s="331">
        <v>0.21</v>
      </c>
      <c r="G4778" s="332">
        <v>14308</v>
      </c>
      <c r="H4778" s="333">
        <v>17313</v>
      </c>
    </row>
    <row r="4779" spans="1:8">
      <c r="A4779" s="317" t="s">
        <v>40017</v>
      </c>
      <c r="B4779" s="317" t="s">
        <v>49145</v>
      </c>
      <c r="C4779" s="330" t="s">
        <v>13141</v>
      </c>
      <c r="D4779" s="330" t="s">
        <v>13142</v>
      </c>
      <c r="E4779" s="330" t="s">
        <v>4623</v>
      </c>
      <c r="F4779" s="331">
        <v>0.21</v>
      </c>
      <c r="G4779" s="332">
        <v>1344</v>
      </c>
      <c r="H4779" s="333">
        <v>1627</v>
      </c>
    </row>
    <row r="4780" spans="1:8">
      <c r="A4780" s="317" t="s">
        <v>40018</v>
      </c>
      <c r="B4780" s="317" t="s">
        <v>49146</v>
      </c>
      <c r="C4780" s="330" t="s">
        <v>13143</v>
      </c>
      <c r="D4780" s="330" t="s">
        <v>13144</v>
      </c>
      <c r="E4780" s="330" t="s">
        <v>37248</v>
      </c>
      <c r="F4780" s="331">
        <v>0.21</v>
      </c>
      <c r="G4780" s="332">
        <v>515</v>
      </c>
      <c r="H4780" s="333">
        <v>624</v>
      </c>
    </row>
    <row r="4781" spans="1:8">
      <c r="A4781" s="317" t="s">
        <v>40019</v>
      </c>
      <c r="B4781" s="317" t="s">
        <v>49147</v>
      </c>
      <c r="C4781" s="330" t="s">
        <v>13145</v>
      </c>
      <c r="D4781" s="330" t="s">
        <v>13146</v>
      </c>
      <c r="E4781" s="330" t="s">
        <v>4634</v>
      </c>
      <c r="F4781" s="331">
        <v>0.21</v>
      </c>
      <c r="G4781" s="332">
        <v>5284</v>
      </c>
      <c r="H4781" s="333">
        <v>6394</v>
      </c>
    </row>
    <row r="4782" spans="1:8">
      <c r="A4782" s="317" t="s">
        <v>40020</v>
      </c>
      <c r="B4782" s="317" t="s">
        <v>49148</v>
      </c>
      <c r="C4782" s="330" t="s">
        <v>13147</v>
      </c>
      <c r="D4782" s="330" t="s">
        <v>13148</v>
      </c>
      <c r="E4782" s="330" t="s">
        <v>4634</v>
      </c>
      <c r="F4782" s="331">
        <v>0.21</v>
      </c>
      <c r="G4782" s="332">
        <v>3154</v>
      </c>
      <c r="H4782" s="333">
        <v>3817</v>
      </c>
    </row>
    <row r="4783" spans="1:8">
      <c r="A4783" s="317" t="s">
        <v>40021</v>
      </c>
      <c r="B4783" s="317" t="s">
        <v>49149</v>
      </c>
      <c r="C4783" s="330" t="s">
        <v>13149</v>
      </c>
      <c r="D4783" s="330" t="s">
        <v>13150</v>
      </c>
      <c r="E4783" s="330" t="s">
        <v>37248</v>
      </c>
      <c r="F4783" s="331">
        <v>0.21</v>
      </c>
      <c r="G4783" s="332">
        <v>2826</v>
      </c>
      <c r="H4783" s="333">
        <v>3420</v>
      </c>
    </row>
    <row r="4784" spans="1:8">
      <c r="A4784" s="317" t="s">
        <v>40022</v>
      </c>
      <c r="B4784" s="317" t="s">
        <v>49150</v>
      </c>
      <c r="C4784" s="330" t="s">
        <v>13151</v>
      </c>
      <c r="D4784" s="330" t="s">
        <v>13152</v>
      </c>
      <c r="E4784" s="330" t="s">
        <v>4819</v>
      </c>
      <c r="F4784" s="331">
        <v>0.21</v>
      </c>
      <c r="G4784" s="332">
        <v>4461</v>
      </c>
      <c r="H4784" s="333">
        <v>5398</v>
      </c>
    </row>
    <row r="4785" spans="1:8">
      <c r="A4785" s="317" t="s">
        <v>40023</v>
      </c>
      <c r="B4785" s="317" t="s">
        <v>49151</v>
      </c>
      <c r="C4785" s="330" t="s">
        <v>13153</v>
      </c>
      <c r="D4785" s="330" t="s">
        <v>13154</v>
      </c>
      <c r="E4785" s="330" t="s">
        <v>4634</v>
      </c>
      <c r="F4785" s="331">
        <v>0.21</v>
      </c>
      <c r="G4785" s="332">
        <v>678</v>
      </c>
      <c r="H4785" s="333">
        <v>821</v>
      </c>
    </row>
    <row r="4786" spans="1:8">
      <c r="A4786" s="317" t="s">
        <v>40024</v>
      </c>
      <c r="B4786" s="317" t="s">
        <v>49152</v>
      </c>
      <c r="C4786" s="330" t="s">
        <v>13155</v>
      </c>
      <c r="D4786" s="330" t="s">
        <v>13156</v>
      </c>
      <c r="E4786" s="330" t="s">
        <v>4634</v>
      </c>
      <c r="F4786" s="331">
        <v>0.21</v>
      </c>
      <c r="G4786" s="332">
        <v>928</v>
      </c>
      <c r="H4786" s="333">
        <v>1123</v>
      </c>
    </row>
    <row r="4787" spans="1:8">
      <c r="A4787" s="317" t="s">
        <v>40025</v>
      </c>
      <c r="B4787" s="317" t="s">
        <v>49153</v>
      </c>
      <c r="C4787" s="330" t="s">
        <v>13157</v>
      </c>
      <c r="D4787" s="330" t="s">
        <v>13158</v>
      </c>
      <c r="E4787" s="330" t="s">
        <v>4634</v>
      </c>
      <c r="F4787" s="331">
        <v>0.21</v>
      </c>
      <c r="G4787" s="332">
        <v>928</v>
      </c>
      <c r="H4787" s="333">
        <v>1123</v>
      </c>
    </row>
    <row r="4788" spans="1:8">
      <c r="A4788" s="317" t="s">
        <v>40026</v>
      </c>
      <c r="B4788" s="317" t="s">
        <v>49154</v>
      </c>
      <c r="C4788" s="330" t="s">
        <v>13159</v>
      </c>
      <c r="D4788" s="330" t="s">
        <v>12408</v>
      </c>
      <c r="E4788" s="330" t="s">
        <v>4634</v>
      </c>
      <c r="F4788" s="331">
        <v>0.21</v>
      </c>
      <c r="G4788" s="332">
        <v>1258</v>
      </c>
      <c r="H4788" s="333">
        <v>1523</v>
      </c>
    </row>
    <row r="4789" spans="1:8">
      <c r="A4789" s="317" t="s">
        <v>40027</v>
      </c>
      <c r="B4789" s="317" t="s">
        <v>49155</v>
      </c>
      <c r="C4789" s="330" t="s">
        <v>13160</v>
      </c>
      <c r="D4789" s="330" t="s">
        <v>13161</v>
      </c>
      <c r="E4789" s="330" t="s">
        <v>4634</v>
      </c>
      <c r="F4789" s="331">
        <v>0.21</v>
      </c>
      <c r="G4789" s="332">
        <v>274</v>
      </c>
      <c r="H4789" s="333">
        <v>332</v>
      </c>
    </row>
    <row r="4790" spans="1:8">
      <c r="A4790" s="317" t="s">
        <v>40028</v>
      </c>
      <c r="B4790" s="317" t="s">
        <v>49156</v>
      </c>
      <c r="C4790" s="330" t="s">
        <v>13162</v>
      </c>
      <c r="D4790" s="330" t="s">
        <v>13161</v>
      </c>
      <c r="E4790" s="330" t="s">
        <v>4634</v>
      </c>
      <c r="F4790" s="331">
        <v>0.21</v>
      </c>
      <c r="G4790" s="332">
        <v>539</v>
      </c>
      <c r="H4790" s="333">
        <v>653</v>
      </c>
    </row>
    <row r="4791" spans="1:8">
      <c r="A4791" s="317" t="s">
        <v>40029</v>
      </c>
      <c r="B4791" s="317" t="s">
        <v>49157</v>
      </c>
      <c r="C4791" s="330" t="s">
        <v>13163</v>
      </c>
      <c r="D4791" s="330" t="s">
        <v>13164</v>
      </c>
      <c r="E4791" s="330" t="s">
        <v>37248</v>
      </c>
      <c r="F4791" s="331">
        <v>0.21</v>
      </c>
      <c r="G4791" s="332">
        <v>339</v>
      </c>
      <c r="H4791" s="333">
        <v>411</v>
      </c>
    </row>
    <row r="4792" spans="1:8">
      <c r="A4792" s="317" t="s">
        <v>40030</v>
      </c>
      <c r="B4792" s="317" t="s">
        <v>49158</v>
      </c>
      <c r="C4792" s="330" t="s">
        <v>13165</v>
      </c>
      <c r="D4792" s="330" t="s">
        <v>13166</v>
      </c>
      <c r="E4792" s="330" t="s">
        <v>4634</v>
      </c>
      <c r="F4792" s="331">
        <v>0.21</v>
      </c>
      <c r="G4792" s="332">
        <v>3004</v>
      </c>
      <c r="H4792" s="333">
        <v>3635</v>
      </c>
    </row>
    <row r="4793" spans="1:8">
      <c r="A4793" s="317" t="s">
        <v>40031</v>
      </c>
      <c r="B4793" s="317" t="s">
        <v>49159</v>
      </c>
      <c r="C4793" s="330" t="s">
        <v>13167</v>
      </c>
      <c r="D4793" s="330" t="s">
        <v>13168</v>
      </c>
      <c r="E4793" s="330" t="s">
        <v>4634</v>
      </c>
      <c r="F4793" s="331">
        <v>0.21</v>
      </c>
      <c r="G4793" s="332">
        <v>2576</v>
      </c>
      <c r="H4793" s="333">
        <v>3117</v>
      </c>
    </row>
    <row r="4794" spans="1:8">
      <c r="A4794" s="317" t="s">
        <v>40032</v>
      </c>
      <c r="B4794" s="317" t="s">
        <v>49160</v>
      </c>
      <c r="C4794" s="330" t="s">
        <v>13169</v>
      </c>
      <c r="D4794" s="330" t="s">
        <v>13170</v>
      </c>
      <c r="E4794" s="330" t="s">
        <v>4634</v>
      </c>
      <c r="F4794" s="331">
        <v>0.21</v>
      </c>
      <c r="G4794" s="332">
        <v>539</v>
      </c>
      <c r="H4794" s="333">
        <v>653</v>
      </c>
    </row>
    <row r="4795" spans="1:8">
      <c r="A4795" s="317" t="s">
        <v>40033</v>
      </c>
      <c r="B4795" s="317" t="s">
        <v>49161</v>
      </c>
      <c r="C4795" s="330" t="s">
        <v>13171</v>
      </c>
      <c r="D4795" s="330" t="s">
        <v>13172</v>
      </c>
      <c r="E4795" s="330" t="s">
        <v>37248</v>
      </c>
      <c r="F4795" s="331">
        <v>0.21</v>
      </c>
      <c r="G4795" s="332">
        <v>814</v>
      </c>
      <c r="H4795" s="333">
        <v>985</v>
      </c>
    </row>
    <row r="4796" spans="1:8">
      <c r="A4796" s="317" t="s">
        <v>40034</v>
      </c>
      <c r="B4796" s="317" t="s">
        <v>49162</v>
      </c>
      <c r="C4796" s="330" t="s">
        <v>13173</v>
      </c>
      <c r="D4796" s="330" t="s">
        <v>13174</v>
      </c>
      <c r="E4796" s="330" t="s">
        <v>4634</v>
      </c>
      <c r="F4796" s="331">
        <v>0.21</v>
      </c>
      <c r="G4796" s="332">
        <v>153</v>
      </c>
      <c r="H4796" s="333">
        <v>186</v>
      </c>
    </row>
    <row r="4797" spans="1:8">
      <c r="A4797" s="317" t="s">
        <v>40035</v>
      </c>
      <c r="B4797" s="317" t="s">
        <v>49163</v>
      </c>
      <c r="C4797" s="330" t="s">
        <v>13175</v>
      </c>
      <c r="D4797" s="330" t="s">
        <v>13176</v>
      </c>
      <c r="E4797" s="330" t="s">
        <v>4634</v>
      </c>
      <c r="F4797" s="331">
        <v>0.21</v>
      </c>
      <c r="G4797" s="332">
        <v>283</v>
      </c>
      <c r="H4797" s="333">
        <v>343</v>
      </c>
    </row>
    <row r="4798" spans="1:8">
      <c r="A4798" s="317" t="s">
        <v>40036</v>
      </c>
      <c r="B4798" s="317" t="s">
        <v>49164</v>
      </c>
      <c r="C4798" s="330" t="s">
        <v>13177</v>
      </c>
      <c r="D4798" s="330" t="s">
        <v>12585</v>
      </c>
      <c r="E4798" s="330" t="s">
        <v>4634</v>
      </c>
      <c r="F4798" s="331">
        <v>0.21</v>
      </c>
      <c r="G4798" s="332">
        <v>153</v>
      </c>
      <c r="H4798" s="333">
        <v>186</v>
      </c>
    </row>
    <row r="4799" spans="1:8">
      <c r="A4799" s="317" t="s">
        <v>40037</v>
      </c>
      <c r="B4799" s="317" t="s">
        <v>49165</v>
      </c>
      <c r="C4799" s="330" t="s">
        <v>13178</v>
      </c>
      <c r="D4799" s="330" t="s">
        <v>12585</v>
      </c>
      <c r="E4799" s="330" t="s">
        <v>4634</v>
      </c>
      <c r="F4799" s="331">
        <v>0.21</v>
      </c>
      <c r="G4799" s="332">
        <v>153</v>
      </c>
      <c r="H4799" s="333">
        <v>186</v>
      </c>
    </row>
    <row r="4800" spans="1:8">
      <c r="A4800" s="317" t="s">
        <v>40038</v>
      </c>
      <c r="B4800" s="317" t="s">
        <v>49166</v>
      </c>
      <c r="C4800" s="330" t="s">
        <v>13179</v>
      </c>
      <c r="D4800" s="330" t="s">
        <v>13180</v>
      </c>
      <c r="E4800" s="330" t="s">
        <v>37248</v>
      </c>
      <c r="F4800" s="331">
        <v>0.21</v>
      </c>
      <c r="G4800" s="332">
        <v>339</v>
      </c>
      <c r="H4800" s="333">
        <v>411</v>
      </c>
    </row>
    <row r="4801" spans="1:8">
      <c r="A4801" s="317" t="s">
        <v>40039</v>
      </c>
      <c r="B4801" s="317" t="s">
        <v>49167</v>
      </c>
      <c r="C4801" s="330" t="s">
        <v>13181</v>
      </c>
      <c r="D4801" s="330" t="s">
        <v>13180</v>
      </c>
      <c r="E4801" s="330" t="s">
        <v>37248</v>
      </c>
      <c r="F4801" s="331">
        <v>0.21</v>
      </c>
      <c r="G4801" s="332">
        <v>339</v>
      </c>
      <c r="H4801" s="333">
        <v>411</v>
      </c>
    </row>
    <row r="4802" spans="1:8">
      <c r="A4802" s="317" t="s">
        <v>40040</v>
      </c>
      <c r="B4802" s="317" t="s">
        <v>49168</v>
      </c>
      <c r="C4802" s="330" t="s">
        <v>13182</v>
      </c>
      <c r="D4802" s="330" t="s">
        <v>13183</v>
      </c>
      <c r="E4802" s="330" t="s">
        <v>37248</v>
      </c>
      <c r="F4802" s="331">
        <v>0.21</v>
      </c>
      <c r="G4802" s="332">
        <v>2656</v>
      </c>
      <c r="H4802" s="333">
        <v>3214</v>
      </c>
    </row>
    <row r="4803" spans="1:8">
      <c r="A4803" s="317" t="s">
        <v>40041</v>
      </c>
      <c r="B4803" s="317" t="s">
        <v>49169</v>
      </c>
      <c r="C4803" s="330" t="s">
        <v>13184</v>
      </c>
      <c r="D4803" s="330" t="s">
        <v>13185</v>
      </c>
      <c r="E4803" s="330" t="s">
        <v>4634</v>
      </c>
      <c r="F4803" s="331">
        <v>0.21</v>
      </c>
      <c r="G4803" s="332">
        <v>11555</v>
      </c>
      <c r="H4803" s="333">
        <v>13982</v>
      </c>
    </row>
    <row r="4804" spans="1:8">
      <c r="A4804" s="317" t="s">
        <v>40042</v>
      </c>
      <c r="B4804" s="317" t="s">
        <v>49170</v>
      </c>
      <c r="C4804" s="330" t="s">
        <v>13186</v>
      </c>
      <c r="D4804" s="330" t="s">
        <v>13187</v>
      </c>
      <c r="E4804" s="330" t="s">
        <v>4634</v>
      </c>
      <c r="F4804" s="331">
        <v>0.21</v>
      </c>
      <c r="G4804" s="332">
        <v>702</v>
      </c>
      <c r="H4804" s="333">
        <v>850</v>
      </c>
    </row>
    <row r="4805" spans="1:8">
      <c r="A4805" s="317" t="s">
        <v>40043</v>
      </c>
      <c r="B4805" s="317" t="s">
        <v>49171</v>
      </c>
      <c r="C4805" s="330" t="s">
        <v>13188</v>
      </c>
      <c r="D4805" s="330" t="s">
        <v>13187</v>
      </c>
      <c r="E4805" s="330" t="s">
        <v>37248</v>
      </c>
      <c r="F4805" s="331">
        <v>0.21</v>
      </c>
      <c r="G4805" s="332">
        <v>3174</v>
      </c>
      <c r="H4805" s="333">
        <v>3841</v>
      </c>
    </row>
    <row r="4806" spans="1:8">
      <c r="A4806" s="317" t="s">
        <v>40044</v>
      </c>
      <c r="B4806" s="317" t="s">
        <v>49172</v>
      </c>
      <c r="C4806" s="330" t="s">
        <v>13189</v>
      </c>
      <c r="D4806" s="330" t="s">
        <v>13190</v>
      </c>
      <c r="E4806" s="330" t="s">
        <v>4634</v>
      </c>
      <c r="F4806" s="331">
        <v>0.21</v>
      </c>
      <c r="G4806" s="332">
        <v>2232</v>
      </c>
      <c r="H4806" s="333">
        <v>2701</v>
      </c>
    </row>
    <row r="4807" spans="1:8">
      <c r="A4807" s="317" t="s">
        <v>40045</v>
      </c>
      <c r="B4807" s="317" t="s">
        <v>49173</v>
      </c>
      <c r="C4807" s="330" t="s">
        <v>13191</v>
      </c>
      <c r="D4807" s="330" t="s">
        <v>7235</v>
      </c>
      <c r="E4807" s="330" t="s">
        <v>37248</v>
      </c>
      <c r="F4807" s="331">
        <v>0.21</v>
      </c>
      <c r="G4807" s="332">
        <v>553</v>
      </c>
      <c r="H4807" s="333">
        <v>670</v>
      </c>
    </row>
    <row r="4808" spans="1:8">
      <c r="A4808" s="317" t="s">
        <v>40046</v>
      </c>
      <c r="B4808" s="317" t="s">
        <v>49174</v>
      </c>
      <c r="C4808" s="330" t="s">
        <v>13192</v>
      </c>
      <c r="D4808" s="330" t="s">
        <v>7235</v>
      </c>
      <c r="E4808" s="330" t="s">
        <v>37248</v>
      </c>
      <c r="F4808" s="331">
        <v>0.21</v>
      </c>
      <c r="G4808" s="332">
        <v>720</v>
      </c>
      <c r="H4808" s="333">
        <v>872</v>
      </c>
    </row>
    <row r="4809" spans="1:8">
      <c r="A4809" s="317" t="s">
        <v>40047</v>
      </c>
      <c r="B4809" s="317" t="s">
        <v>49175</v>
      </c>
      <c r="C4809" s="330" t="s">
        <v>13193</v>
      </c>
      <c r="D4809" s="330" t="s">
        <v>13194</v>
      </c>
      <c r="E4809" s="330" t="s">
        <v>4819</v>
      </c>
      <c r="F4809" s="331">
        <v>0.21</v>
      </c>
      <c r="G4809" s="332">
        <v>1648</v>
      </c>
      <c r="H4809" s="333">
        <v>1995</v>
      </c>
    </row>
    <row r="4810" spans="1:8">
      <c r="A4810" s="317" t="s">
        <v>40048</v>
      </c>
      <c r="B4810" s="317" t="s">
        <v>49176</v>
      </c>
      <c r="C4810" s="330" t="s">
        <v>13195</v>
      </c>
      <c r="D4810" s="330" t="s">
        <v>13196</v>
      </c>
      <c r="E4810" s="330" t="s">
        <v>4634</v>
      </c>
      <c r="F4810" s="331">
        <v>0.21</v>
      </c>
      <c r="G4810" s="332">
        <v>584</v>
      </c>
      <c r="H4810" s="333">
        <v>707</v>
      </c>
    </row>
    <row r="4811" spans="1:8">
      <c r="A4811" s="317" t="s">
        <v>40049</v>
      </c>
      <c r="B4811" s="317" t="s">
        <v>49177</v>
      </c>
      <c r="C4811" s="330" t="s">
        <v>13197</v>
      </c>
      <c r="D4811" s="330" t="s">
        <v>12503</v>
      </c>
      <c r="E4811" s="330" t="s">
        <v>4634</v>
      </c>
      <c r="F4811" s="331">
        <v>0.21</v>
      </c>
      <c r="G4811" s="332">
        <v>1043</v>
      </c>
      <c r="H4811" s="333">
        <v>1263</v>
      </c>
    </row>
    <row r="4812" spans="1:8">
      <c r="A4812" s="317" t="s">
        <v>40050</v>
      </c>
      <c r="B4812" s="317" t="s">
        <v>49178</v>
      </c>
      <c r="C4812" s="330" t="s">
        <v>13198</v>
      </c>
      <c r="D4812" s="330" t="s">
        <v>13199</v>
      </c>
      <c r="E4812" s="330" t="s">
        <v>4819</v>
      </c>
      <c r="F4812" s="331">
        <v>0.21</v>
      </c>
      <c r="G4812" s="332">
        <v>12342</v>
      </c>
      <c r="H4812" s="333">
        <v>14934</v>
      </c>
    </row>
    <row r="4813" spans="1:8">
      <c r="A4813" s="317" t="s">
        <v>40051</v>
      </c>
      <c r="B4813" s="317" t="s">
        <v>49179</v>
      </c>
      <c r="C4813" s="330" t="s">
        <v>13200</v>
      </c>
      <c r="D4813" s="330" t="s">
        <v>7235</v>
      </c>
      <c r="E4813" s="330" t="s">
        <v>37248</v>
      </c>
      <c r="F4813" s="331">
        <v>0.21</v>
      </c>
      <c r="G4813" s="332">
        <v>305</v>
      </c>
      <c r="H4813" s="333">
        <v>370</v>
      </c>
    </row>
    <row r="4814" spans="1:8">
      <c r="A4814" s="317" t="s">
        <v>40052</v>
      </c>
      <c r="B4814" s="317" t="s">
        <v>49180</v>
      </c>
      <c r="C4814" s="330" t="s">
        <v>13201</v>
      </c>
      <c r="D4814" s="330" t="s">
        <v>13202</v>
      </c>
      <c r="E4814" s="330" t="s">
        <v>37248</v>
      </c>
      <c r="F4814" s="331">
        <v>0.21</v>
      </c>
      <c r="G4814" s="332">
        <v>361</v>
      </c>
      <c r="H4814" s="333">
        <v>437</v>
      </c>
    </row>
    <row r="4815" spans="1:8">
      <c r="A4815" s="317" t="s">
        <v>40053</v>
      </c>
      <c r="B4815" s="317" t="s">
        <v>49181</v>
      </c>
      <c r="C4815" s="330" t="s">
        <v>13203</v>
      </c>
      <c r="D4815" s="330" t="s">
        <v>13204</v>
      </c>
      <c r="E4815" s="330" t="s">
        <v>37248</v>
      </c>
      <c r="F4815" s="331">
        <v>0.21</v>
      </c>
      <c r="G4815" s="332">
        <v>52617</v>
      </c>
      <c r="H4815" s="333">
        <v>63667</v>
      </c>
    </row>
    <row r="4816" spans="1:8">
      <c r="A4816" s="317" t="s">
        <v>40054</v>
      </c>
      <c r="B4816" s="317" t="s">
        <v>49182</v>
      </c>
      <c r="C4816" s="330" t="s">
        <v>13205</v>
      </c>
      <c r="D4816" s="330" t="s">
        <v>13206</v>
      </c>
      <c r="E4816" s="330" t="s">
        <v>4623</v>
      </c>
      <c r="F4816" s="331">
        <v>0.21</v>
      </c>
      <c r="G4816" s="332">
        <v>20203</v>
      </c>
      <c r="H4816" s="333">
        <v>24446</v>
      </c>
    </row>
    <row r="4817" spans="1:8">
      <c r="A4817" s="317" t="s">
        <v>40055</v>
      </c>
      <c r="B4817" s="317" t="s">
        <v>49183</v>
      </c>
      <c r="C4817" s="330" t="s">
        <v>13207</v>
      </c>
      <c r="D4817" s="330" t="s">
        <v>12486</v>
      </c>
      <c r="E4817" s="330" t="s">
        <v>4634</v>
      </c>
      <c r="F4817" s="331">
        <v>0.21</v>
      </c>
      <c r="G4817" s="332">
        <v>1713</v>
      </c>
      <c r="H4817" s="333">
        <v>2073</v>
      </c>
    </row>
    <row r="4818" spans="1:8">
      <c r="A4818" s="317" t="s">
        <v>40056</v>
      </c>
      <c r="B4818" s="317" t="s">
        <v>49184</v>
      </c>
      <c r="C4818" s="330" t="s">
        <v>13208</v>
      </c>
      <c r="D4818" s="330" t="s">
        <v>12558</v>
      </c>
      <c r="E4818" s="330" t="s">
        <v>4634</v>
      </c>
      <c r="F4818" s="331">
        <v>0.21</v>
      </c>
      <c r="G4818" s="332">
        <v>153</v>
      </c>
      <c r="H4818" s="333">
        <v>186</v>
      </c>
    </row>
    <row r="4819" spans="1:8">
      <c r="A4819" s="317" t="s">
        <v>40057</v>
      </c>
      <c r="B4819" s="317" t="s">
        <v>49185</v>
      </c>
      <c r="C4819" s="330" t="s">
        <v>13209</v>
      </c>
      <c r="D4819" s="330" t="s">
        <v>13210</v>
      </c>
      <c r="E4819" s="330" t="s">
        <v>37248</v>
      </c>
      <c r="F4819" s="331">
        <v>0.21</v>
      </c>
      <c r="G4819" s="332">
        <v>976</v>
      </c>
      <c r="H4819" s="333">
        <v>1181</v>
      </c>
    </row>
    <row r="4820" spans="1:8">
      <c r="A4820" s="317" t="s">
        <v>40058</v>
      </c>
      <c r="B4820" s="317" t="s">
        <v>49186</v>
      </c>
      <c r="C4820" s="330" t="s">
        <v>13211</v>
      </c>
      <c r="D4820" s="330" t="s">
        <v>13212</v>
      </c>
      <c r="E4820" s="330" t="s">
        <v>37248</v>
      </c>
      <c r="F4820" s="331">
        <v>0.21</v>
      </c>
      <c r="G4820" s="332">
        <v>1599</v>
      </c>
      <c r="H4820" s="333">
        <v>1935</v>
      </c>
    </row>
    <row r="4821" spans="1:8">
      <c r="A4821" s="317" t="s">
        <v>40059</v>
      </c>
      <c r="B4821" s="317" t="s">
        <v>49187</v>
      </c>
      <c r="C4821" s="330" t="s">
        <v>13213</v>
      </c>
      <c r="D4821" s="330" t="s">
        <v>13214</v>
      </c>
      <c r="E4821" s="330" t="s">
        <v>4819</v>
      </c>
      <c r="F4821" s="331">
        <v>0.21</v>
      </c>
      <c r="G4821" s="332">
        <v>1704</v>
      </c>
      <c r="H4821" s="333">
        <v>2062</v>
      </c>
    </row>
    <row r="4822" spans="1:8">
      <c r="A4822" s="317" t="s">
        <v>40060</v>
      </c>
      <c r="B4822" s="317" t="s">
        <v>49188</v>
      </c>
      <c r="C4822" s="330" t="s">
        <v>13215</v>
      </c>
      <c r="D4822" s="330" t="s">
        <v>13216</v>
      </c>
      <c r="E4822" s="330" t="s">
        <v>37248</v>
      </c>
      <c r="F4822" s="331">
        <v>0.21</v>
      </c>
      <c r="G4822" s="332">
        <v>99246</v>
      </c>
      <c r="H4822" s="333">
        <v>120088</v>
      </c>
    </row>
    <row r="4823" spans="1:8">
      <c r="A4823" s="317" t="s">
        <v>40061</v>
      </c>
      <c r="B4823" s="317" t="s">
        <v>49189</v>
      </c>
      <c r="C4823" s="330" t="s">
        <v>13217</v>
      </c>
      <c r="D4823" s="330" t="s">
        <v>13218</v>
      </c>
      <c r="E4823" s="330" t="s">
        <v>4634</v>
      </c>
      <c r="F4823" s="331">
        <v>0.21</v>
      </c>
      <c r="G4823" s="332">
        <v>283</v>
      </c>
      <c r="H4823" s="333">
        <v>343</v>
      </c>
    </row>
    <row r="4824" spans="1:8">
      <c r="A4824" s="317" t="s">
        <v>40062</v>
      </c>
      <c r="B4824" s="317" t="s">
        <v>49190</v>
      </c>
      <c r="C4824" s="330" t="s">
        <v>13219</v>
      </c>
      <c r="D4824" s="330" t="s">
        <v>13220</v>
      </c>
      <c r="E4824" s="330" t="s">
        <v>4634</v>
      </c>
      <c r="F4824" s="331">
        <v>0.21</v>
      </c>
      <c r="G4824" s="332">
        <v>1541</v>
      </c>
      <c r="H4824" s="333">
        <v>1865</v>
      </c>
    </row>
    <row r="4825" spans="1:8">
      <c r="A4825" s="317" t="s">
        <v>40063</v>
      </c>
      <c r="B4825" s="317" t="s">
        <v>49191</v>
      </c>
      <c r="C4825" s="330" t="s">
        <v>13221</v>
      </c>
      <c r="D4825" s="330" t="s">
        <v>13222</v>
      </c>
      <c r="E4825" s="330" t="s">
        <v>4634</v>
      </c>
      <c r="F4825" s="331">
        <v>0.21</v>
      </c>
      <c r="G4825" s="332">
        <v>6879</v>
      </c>
      <c r="H4825" s="333">
        <v>8324</v>
      </c>
    </row>
    <row r="4826" spans="1:8">
      <c r="A4826" s="317" t="s">
        <v>40064</v>
      </c>
      <c r="B4826" s="317" t="s">
        <v>49192</v>
      </c>
      <c r="C4826" s="330" t="s">
        <v>13223</v>
      </c>
      <c r="D4826" s="330" t="s">
        <v>9581</v>
      </c>
      <c r="E4826" s="330" t="s">
        <v>4634</v>
      </c>
      <c r="F4826" s="331">
        <v>0.21</v>
      </c>
      <c r="G4826" s="332">
        <v>6841</v>
      </c>
      <c r="H4826" s="333">
        <v>8278</v>
      </c>
    </row>
    <row r="4827" spans="1:8">
      <c r="A4827" s="317" t="s">
        <v>40065</v>
      </c>
      <c r="B4827" s="317" t="s">
        <v>49193</v>
      </c>
      <c r="C4827" s="330" t="s">
        <v>13224</v>
      </c>
      <c r="D4827" s="330" t="s">
        <v>13225</v>
      </c>
      <c r="E4827" s="330" t="s">
        <v>37248</v>
      </c>
      <c r="F4827" s="331">
        <v>0.21</v>
      </c>
      <c r="G4827" s="332">
        <v>9453</v>
      </c>
      <c r="H4827" s="333">
        <v>11439</v>
      </c>
    </row>
    <row r="4828" spans="1:8">
      <c r="A4828" s="317" t="s">
        <v>40066</v>
      </c>
      <c r="B4828" s="317" t="s">
        <v>49194</v>
      </c>
      <c r="C4828" s="330" t="s">
        <v>13226</v>
      </c>
      <c r="D4828" s="330" t="s">
        <v>13227</v>
      </c>
      <c r="E4828" s="330" t="s">
        <v>37248</v>
      </c>
      <c r="F4828" s="331">
        <v>0.21</v>
      </c>
      <c r="G4828" s="332">
        <v>470</v>
      </c>
      <c r="H4828" s="333">
        <v>569</v>
      </c>
    </row>
    <row r="4829" spans="1:8">
      <c r="A4829" s="317" t="s">
        <v>40067</v>
      </c>
      <c r="B4829" s="317" t="s">
        <v>49195</v>
      </c>
      <c r="C4829" s="330" t="s">
        <v>13228</v>
      </c>
      <c r="D4829" s="330" t="s">
        <v>13227</v>
      </c>
      <c r="E4829" s="330" t="s">
        <v>37248</v>
      </c>
      <c r="F4829" s="331">
        <v>0.21</v>
      </c>
      <c r="G4829" s="332">
        <v>410</v>
      </c>
      <c r="H4829" s="333">
        <v>497</v>
      </c>
    </row>
    <row r="4830" spans="1:8">
      <c r="A4830" s="317" t="s">
        <v>40068</v>
      </c>
      <c r="B4830" s="317" t="s">
        <v>49196</v>
      </c>
      <c r="C4830" s="330" t="s">
        <v>13229</v>
      </c>
      <c r="D4830" s="330" t="s">
        <v>12532</v>
      </c>
      <c r="E4830" s="330" t="s">
        <v>37248</v>
      </c>
      <c r="F4830" s="331">
        <v>0.21</v>
      </c>
      <c r="G4830" s="332">
        <v>814</v>
      </c>
      <c r="H4830" s="333">
        <v>985</v>
      </c>
    </row>
    <row r="4831" spans="1:8">
      <c r="A4831" s="317" t="s">
        <v>40069</v>
      </c>
      <c r="B4831" s="317" t="s">
        <v>49197</v>
      </c>
      <c r="C4831" s="330" t="s">
        <v>13230</v>
      </c>
      <c r="D4831" s="330" t="s">
        <v>6485</v>
      </c>
      <c r="E4831" s="330" t="s">
        <v>37248</v>
      </c>
      <c r="F4831" s="331">
        <v>0.21</v>
      </c>
      <c r="G4831" s="332">
        <v>34518</v>
      </c>
      <c r="H4831" s="333">
        <v>41767</v>
      </c>
    </row>
    <row r="4832" spans="1:8">
      <c r="A4832" s="317" t="s">
        <v>40070</v>
      </c>
      <c r="B4832" s="317" t="s">
        <v>49198</v>
      </c>
      <c r="C4832" s="330" t="s">
        <v>13231</v>
      </c>
      <c r="D4832" s="330" t="s">
        <v>13232</v>
      </c>
      <c r="E4832" s="330" t="s">
        <v>4634</v>
      </c>
      <c r="F4832" s="331">
        <v>0.21</v>
      </c>
      <c r="G4832" s="332">
        <v>4503</v>
      </c>
      <c r="H4832" s="333">
        <v>5449</v>
      </c>
    </row>
    <row r="4833" spans="1:8">
      <c r="A4833" s="317" t="s">
        <v>40071</v>
      </c>
      <c r="B4833" s="317" t="s">
        <v>49199</v>
      </c>
      <c r="C4833" s="330" t="s">
        <v>13233</v>
      </c>
      <c r="D4833" s="330" t="s">
        <v>13234</v>
      </c>
      <c r="E4833" s="330" t="s">
        <v>4819</v>
      </c>
      <c r="F4833" s="331">
        <v>0.21</v>
      </c>
      <c r="G4833" s="332">
        <v>133576</v>
      </c>
      <c r="H4833" s="333">
        <v>161627</v>
      </c>
    </row>
    <row r="4834" spans="1:8">
      <c r="A4834" s="317" t="s">
        <v>40072</v>
      </c>
      <c r="B4834" s="317" t="s">
        <v>49200</v>
      </c>
      <c r="C4834" s="330" t="s">
        <v>13235</v>
      </c>
      <c r="D4834" s="330" t="s">
        <v>5932</v>
      </c>
      <c r="E4834" s="330" t="s">
        <v>37248</v>
      </c>
      <c r="F4834" s="331">
        <v>0.21</v>
      </c>
      <c r="G4834" s="332">
        <v>46071</v>
      </c>
      <c r="H4834" s="333">
        <v>55746</v>
      </c>
    </row>
    <row r="4835" spans="1:8">
      <c r="A4835" s="317" t="s">
        <v>40073</v>
      </c>
      <c r="B4835" s="317" t="s">
        <v>49201</v>
      </c>
      <c r="C4835" s="330" t="s">
        <v>13236</v>
      </c>
      <c r="D4835" s="330" t="s">
        <v>13237</v>
      </c>
      <c r="E4835" s="330" t="s">
        <v>37248</v>
      </c>
      <c r="F4835" s="331">
        <v>0.21</v>
      </c>
      <c r="G4835" s="332">
        <v>12800</v>
      </c>
      <c r="H4835" s="333">
        <v>15488</v>
      </c>
    </row>
    <row r="4836" spans="1:8">
      <c r="A4836" s="317" t="s">
        <v>40074</v>
      </c>
      <c r="B4836" s="317" t="s">
        <v>49202</v>
      </c>
      <c r="C4836" s="330" t="s">
        <v>13238</v>
      </c>
      <c r="D4836" s="330" t="s">
        <v>13239</v>
      </c>
      <c r="E4836" s="330" t="s">
        <v>4634</v>
      </c>
      <c r="F4836" s="331">
        <v>0.21</v>
      </c>
      <c r="G4836" s="332">
        <v>539</v>
      </c>
      <c r="H4836" s="333">
        <v>653</v>
      </c>
    </row>
    <row r="4837" spans="1:8">
      <c r="A4837" s="317" t="s">
        <v>40075</v>
      </c>
      <c r="B4837" s="317" t="s">
        <v>49203</v>
      </c>
      <c r="C4837" s="330" t="s">
        <v>13240</v>
      </c>
      <c r="D4837" s="330" t="s">
        <v>13241</v>
      </c>
      <c r="E4837" s="330" t="s">
        <v>4819</v>
      </c>
      <c r="F4837" s="331">
        <v>0.21</v>
      </c>
      <c r="G4837" s="332">
        <v>114420</v>
      </c>
      <c r="H4837" s="333">
        <v>138449</v>
      </c>
    </row>
    <row r="4838" spans="1:8">
      <c r="A4838" s="317" t="s">
        <v>40076</v>
      </c>
      <c r="B4838" s="317" t="s">
        <v>49204</v>
      </c>
      <c r="C4838" s="330" t="s">
        <v>13242</v>
      </c>
      <c r="D4838" s="330" t="s">
        <v>13243</v>
      </c>
      <c r="E4838" s="330" t="s">
        <v>4634</v>
      </c>
      <c r="F4838" s="331">
        <v>0.21</v>
      </c>
      <c r="G4838" s="332">
        <v>1199</v>
      </c>
      <c r="H4838" s="333">
        <v>1451</v>
      </c>
    </row>
    <row r="4839" spans="1:8">
      <c r="A4839" s="317" t="s">
        <v>40077</v>
      </c>
      <c r="B4839" s="317" t="s">
        <v>49205</v>
      </c>
      <c r="C4839" s="330" t="s">
        <v>13244</v>
      </c>
      <c r="D4839" s="330" t="s">
        <v>7989</v>
      </c>
      <c r="E4839" s="330" t="s">
        <v>4634</v>
      </c>
      <c r="F4839" s="331">
        <v>0.21</v>
      </c>
      <c r="G4839" s="332">
        <v>4887</v>
      </c>
      <c r="H4839" s="333">
        <v>5914</v>
      </c>
    </row>
    <row r="4840" spans="1:8">
      <c r="A4840" s="317" t="s">
        <v>40078</v>
      </c>
      <c r="B4840" s="317" t="s">
        <v>49206</v>
      </c>
      <c r="C4840" s="330" t="s">
        <v>13245</v>
      </c>
      <c r="D4840" s="330" t="s">
        <v>12519</v>
      </c>
      <c r="E4840" s="330" t="s">
        <v>4634</v>
      </c>
      <c r="F4840" s="331">
        <v>0.21</v>
      </c>
      <c r="G4840" s="332">
        <v>1547</v>
      </c>
      <c r="H4840" s="333">
        <v>1872</v>
      </c>
    </row>
    <row r="4841" spans="1:8">
      <c r="A4841" s="317" t="s">
        <v>40079</v>
      </c>
      <c r="B4841" s="317" t="s">
        <v>49207</v>
      </c>
      <c r="C4841" s="330" t="s">
        <v>13246</v>
      </c>
      <c r="D4841" s="330" t="s">
        <v>7653</v>
      </c>
      <c r="E4841" s="330" t="s">
        <v>37248</v>
      </c>
      <c r="F4841" s="331">
        <v>0.21</v>
      </c>
      <c r="G4841" s="332">
        <v>1247</v>
      </c>
      <c r="H4841" s="333">
        <v>1509</v>
      </c>
    </row>
    <row r="4842" spans="1:8">
      <c r="A4842" s="317" t="s">
        <v>40080</v>
      </c>
      <c r="B4842" s="317" t="s">
        <v>49208</v>
      </c>
      <c r="C4842" s="330" t="s">
        <v>13247</v>
      </c>
      <c r="D4842" s="330" t="s">
        <v>4814</v>
      </c>
      <c r="E4842" s="330" t="s">
        <v>37248</v>
      </c>
      <c r="F4842" s="331">
        <v>0.21</v>
      </c>
      <c r="G4842" s="332">
        <v>976</v>
      </c>
      <c r="H4842" s="333">
        <v>1181</v>
      </c>
    </row>
    <row r="4843" spans="1:8">
      <c r="A4843" s="317" t="s">
        <v>40081</v>
      </c>
      <c r="B4843" s="317" t="s">
        <v>49209</v>
      </c>
      <c r="C4843" s="330" t="s">
        <v>13248</v>
      </c>
      <c r="D4843" s="330" t="s">
        <v>7041</v>
      </c>
      <c r="E4843" s="330" t="s">
        <v>37248</v>
      </c>
      <c r="F4843" s="331">
        <v>0.21</v>
      </c>
      <c r="G4843" s="332">
        <v>8472</v>
      </c>
      <c r="H4843" s="333">
        <v>10252</v>
      </c>
    </row>
    <row r="4844" spans="1:8">
      <c r="A4844" s="317" t="s">
        <v>40082</v>
      </c>
      <c r="B4844" s="317" t="s">
        <v>49210</v>
      </c>
      <c r="C4844" s="330" t="s">
        <v>13249</v>
      </c>
      <c r="D4844" s="330" t="s">
        <v>12523</v>
      </c>
      <c r="E4844" s="330" t="s">
        <v>37248</v>
      </c>
      <c r="F4844" s="331">
        <v>0.21</v>
      </c>
      <c r="G4844" s="332">
        <v>16324</v>
      </c>
      <c r="H4844" s="333">
        <v>19753</v>
      </c>
    </row>
    <row r="4845" spans="1:8">
      <c r="A4845" s="317" t="s">
        <v>40083</v>
      </c>
      <c r="B4845" s="317" t="s">
        <v>49211</v>
      </c>
      <c r="C4845" s="330" t="s">
        <v>13250</v>
      </c>
      <c r="D4845" s="330" t="s">
        <v>13251</v>
      </c>
      <c r="E4845" s="330" t="s">
        <v>37248</v>
      </c>
      <c r="F4845" s="331">
        <v>0.21</v>
      </c>
      <c r="G4845" s="332">
        <v>5768</v>
      </c>
      <c r="H4845" s="333">
        <v>6980</v>
      </c>
    </row>
    <row r="4846" spans="1:8">
      <c r="A4846" s="317" t="s">
        <v>40084</v>
      </c>
      <c r="B4846" s="317" t="s">
        <v>49212</v>
      </c>
      <c r="C4846" s="330" t="s">
        <v>13252</v>
      </c>
      <c r="D4846" s="330" t="s">
        <v>13251</v>
      </c>
      <c r="E4846" s="330" t="s">
        <v>37248</v>
      </c>
      <c r="F4846" s="331">
        <v>0.21</v>
      </c>
      <c r="G4846" s="332">
        <v>5242</v>
      </c>
      <c r="H4846" s="333">
        <v>6343</v>
      </c>
    </row>
    <row r="4847" spans="1:8">
      <c r="A4847" s="317" t="s">
        <v>40085</v>
      </c>
      <c r="B4847" s="317" t="s">
        <v>49213</v>
      </c>
      <c r="C4847" s="330" t="s">
        <v>13253</v>
      </c>
      <c r="D4847" s="330" t="s">
        <v>13148</v>
      </c>
      <c r="E4847" s="330" t="s">
        <v>37248</v>
      </c>
      <c r="F4847" s="331">
        <v>0.21</v>
      </c>
      <c r="G4847" s="332">
        <v>890</v>
      </c>
      <c r="H4847" s="333">
        <v>1077</v>
      </c>
    </row>
    <row r="4848" spans="1:8">
      <c r="A4848" s="317" t="s">
        <v>40086</v>
      </c>
      <c r="B4848" s="317" t="s">
        <v>49214</v>
      </c>
      <c r="C4848" s="330" t="s">
        <v>13254</v>
      </c>
      <c r="D4848" s="330" t="s">
        <v>7906</v>
      </c>
      <c r="E4848" s="330" t="s">
        <v>37248</v>
      </c>
      <c r="F4848" s="331">
        <v>0.21</v>
      </c>
      <c r="G4848" s="332">
        <v>43517</v>
      </c>
      <c r="H4848" s="333">
        <v>52656</v>
      </c>
    </row>
    <row r="4849" spans="1:8">
      <c r="A4849" s="317" t="s">
        <v>40087</v>
      </c>
      <c r="B4849" s="317" t="s">
        <v>49215</v>
      </c>
      <c r="C4849" s="330" t="s">
        <v>13255</v>
      </c>
      <c r="D4849" s="330" t="s">
        <v>13256</v>
      </c>
      <c r="E4849" s="330" t="s">
        <v>37248</v>
      </c>
      <c r="F4849" s="331">
        <v>0.21</v>
      </c>
      <c r="G4849" s="332">
        <v>49224</v>
      </c>
      <c r="H4849" s="333">
        <v>59562</v>
      </c>
    </row>
    <row r="4850" spans="1:8">
      <c r="A4850" s="317" t="s">
        <v>40088</v>
      </c>
      <c r="B4850" s="317" t="s">
        <v>49216</v>
      </c>
      <c r="C4850" s="330" t="s">
        <v>13257</v>
      </c>
      <c r="D4850" s="330" t="s">
        <v>13258</v>
      </c>
      <c r="E4850" s="330" t="s">
        <v>37248</v>
      </c>
      <c r="F4850" s="331">
        <v>0.21</v>
      </c>
      <c r="G4850" s="332">
        <v>1505</v>
      </c>
      <c r="H4850" s="333">
        <v>1822</v>
      </c>
    </row>
    <row r="4851" spans="1:8">
      <c r="A4851" s="317" t="s">
        <v>40089</v>
      </c>
      <c r="B4851" s="317" t="s">
        <v>49217</v>
      </c>
      <c r="C4851" s="330" t="s">
        <v>13259</v>
      </c>
      <c r="D4851" s="330" t="s">
        <v>5155</v>
      </c>
      <c r="E4851" s="330" t="s">
        <v>37248</v>
      </c>
      <c r="F4851" s="331">
        <v>0.21</v>
      </c>
      <c r="G4851" s="332">
        <v>32558</v>
      </c>
      <c r="H4851" s="333">
        <v>39396</v>
      </c>
    </row>
    <row r="4852" spans="1:8">
      <c r="A4852" s="317" t="s">
        <v>40090</v>
      </c>
      <c r="B4852" s="317" t="s">
        <v>49218</v>
      </c>
      <c r="C4852" s="330" t="s">
        <v>13260</v>
      </c>
      <c r="D4852" s="330" t="s">
        <v>7457</v>
      </c>
      <c r="E4852" s="330" t="s">
        <v>37248</v>
      </c>
      <c r="F4852" s="331">
        <v>0.21</v>
      </c>
      <c r="G4852" s="332">
        <v>720</v>
      </c>
      <c r="H4852" s="333">
        <v>872</v>
      </c>
    </row>
    <row r="4853" spans="1:8">
      <c r="A4853" s="317" t="s">
        <v>40091</v>
      </c>
      <c r="B4853" s="317" t="s">
        <v>49219</v>
      </c>
      <c r="C4853" s="330" t="s">
        <v>13261</v>
      </c>
      <c r="D4853" s="330" t="s">
        <v>12668</v>
      </c>
      <c r="E4853" s="330" t="s">
        <v>37248</v>
      </c>
      <c r="F4853" s="331">
        <v>0.21</v>
      </c>
      <c r="G4853" s="332">
        <v>240</v>
      </c>
      <c r="H4853" s="333">
        <v>291</v>
      </c>
    </row>
    <row r="4854" spans="1:8">
      <c r="A4854" s="317" t="s">
        <v>40092</v>
      </c>
      <c r="B4854" s="317" t="s">
        <v>49220</v>
      </c>
      <c r="C4854" s="330" t="s">
        <v>13262</v>
      </c>
      <c r="D4854" s="330" t="s">
        <v>6731</v>
      </c>
      <c r="E4854" s="330" t="s">
        <v>37248</v>
      </c>
      <c r="F4854" s="331">
        <v>0.21</v>
      </c>
      <c r="G4854" s="332">
        <v>4064</v>
      </c>
      <c r="H4854" s="333">
        <v>4918</v>
      </c>
    </row>
    <row r="4855" spans="1:8">
      <c r="A4855" s="317" t="s">
        <v>40093</v>
      </c>
      <c r="B4855" s="317" t="s">
        <v>49221</v>
      </c>
      <c r="C4855" s="330" t="s">
        <v>13263</v>
      </c>
      <c r="D4855" s="330" t="s">
        <v>12461</v>
      </c>
      <c r="E4855" s="330" t="s">
        <v>37248</v>
      </c>
      <c r="F4855" s="331">
        <v>0.21</v>
      </c>
      <c r="G4855" s="332">
        <v>2529</v>
      </c>
      <c r="H4855" s="333">
        <v>3061</v>
      </c>
    </row>
    <row r="4856" spans="1:8">
      <c r="A4856" s="317" t="s">
        <v>40094</v>
      </c>
      <c r="B4856" s="317" t="s">
        <v>49222</v>
      </c>
      <c r="C4856" s="330" t="s">
        <v>13264</v>
      </c>
      <c r="D4856" s="330" t="s">
        <v>7879</v>
      </c>
      <c r="E4856" s="330" t="s">
        <v>37248</v>
      </c>
      <c r="F4856" s="331">
        <v>0.21</v>
      </c>
      <c r="G4856" s="332">
        <v>709</v>
      </c>
      <c r="H4856" s="333">
        <v>858</v>
      </c>
    </row>
    <row r="4857" spans="1:8">
      <c r="A4857" s="317" t="s">
        <v>40095</v>
      </c>
      <c r="B4857" s="317" t="s">
        <v>49223</v>
      </c>
      <c r="C4857" s="330" t="s">
        <v>13265</v>
      </c>
      <c r="D4857" s="330" t="s">
        <v>13266</v>
      </c>
      <c r="E4857" s="330" t="s">
        <v>37248</v>
      </c>
      <c r="F4857" s="331">
        <v>0.21</v>
      </c>
      <c r="G4857" s="332">
        <v>107</v>
      </c>
      <c r="H4857" s="333">
        <v>130</v>
      </c>
    </row>
    <row r="4858" spans="1:8">
      <c r="A4858" s="317" t="s">
        <v>40096</v>
      </c>
      <c r="B4858" s="317" t="s">
        <v>49224</v>
      </c>
      <c r="C4858" s="330" t="s">
        <v>13267</v>
      </c>
      <c r="D4858" s="330" t="s">
        <v>13268</v>
      </c>
      <c r="E4858" s="330" t="s">
        <v>37248</v>
      </c>
      <c r="F4858" s="331">
        <v>0.21</v>
      </c>
      <c r="G4858" s="332">
        <v>19601</v>
      </c>
      <c r="H4858" s="333">
        <v>23718</v>
      </c>
    </row>
    <row r="4859" spans="1:8">
      <c r="A4859" s="317" t="s">
        <v>40097</v>
      </c>
      <c r="B4859" s="317" t="s">
        <v>49225</v>
      </c>
      <c r="C4859" s="330" t="s">
        <v>13269</v>
      </c>
      <c r="D4859" s="330" t="s">
        <v>13270</v>
      </c>
      <c r="E4859" s="330" t="s">
        <v>37248</v>
      </c>
      <c r="F4859" s="331">
        <v>0.21</v>
      </c>
      <c r="G4859" s="332">
        <v>361</v>
      </c>
      <c r="H4859" s="333">
        <v>437</v>
      </c>
    </row>
    <row r="4860" spans="1:8">
      <c r="A4860" s="317" t="s">
        <v>40098</v>
      </c>
      <c r="B4860" s="317" t="s">
        <v>49226</v>
      </c>
      <c r="C4860" s="330" t="s">
        <v>13271</v>
      </c>
      <c r="D4860" s="330" t="s">
        <v>13272</v>
      </c>
      <c r="E4860" s="330" t="s">
        <v>37248</v>
      </c>
      <c r="F4860" s="331">
        <v>0.21</v>
      </c>
      <c r="G4860" s="332">
        <v>1266</v>
      </c>
      <c r="H4860" s="333">
        <v>1532</v>
      </c>
    </row>
    <row r="4861" spans="1:8">
      <c r="A4861" s="317" t="s">
        <v>40099</v>
      </c>
      <c r="B4861" s="317" t="s">
        <v>49227</v>
      </c>
      <c r="C4861" s="330" t="s">
        <v>13273</v>
      </c>
      <c r="D4861" s="330" t="s">
        <v>7653</v>
      </c>
      <c r="E4861" s="330" t="s">
        <v>4819</v>
      </c>
      <c r="F4861" s="331">
        <v>0.21</v>
      </c>
      <c r="G4861" s="332">
        <v>976</v>
      </c>
      <c r="H4861" s="333">
        <v>1181</v>
      </c>
    </row>
    <row r="4862" spans="1:8">
      <c r="A4862" s="317" t="s">
        <v>40100</v>
      </c>
      <c r="B4862" s="317" t="s">
        <v>49228</v>
      </c>
      <c r="C4862" s="330" t="s">
        <v>13274</v>
      </c>
      <c r="D4862" s="330" t="s">
        <v>7653</v>
      </c>
      <c r="E4862" s="330" t="s">
        <v>37248</v>
      </c>
      <c r="F4862" s="331">
        <v>0.21</v>
      </c>
      <c r="G4862" s="332">
        <v>976</v>
      </c>
      <c r="H4862" s="333">
        <v>1181</v>
      </c>
    </row>
    <row r="4863" spans="1:8">
      <c r="A4863" s="317" t="s">
        <v>40101</v>
      </c>
      <c r="B4863" s="317" t="s">
        <v>49229</v>
      </c>
      <c r="C4863" s="330" t="s">
        <v>13275</v>
      </c>
      <c r="D4863" s="330" t="s">
        <v>13276</v>
      </c>
      <c r="E4863" s="330" t="s">
        <v>4634</v>
      </c>
      <c r="F4863" s="331">
        <v>0.21</v>
      </c>
      <c r="G4863" s="332">
        <v>15343</v>
      </c>
      <c r="H4863" s="333">
        <v>18566</v>
      </c>
    </row>
    <row r="4864" spans="1:8">
      <c r="A4864" s="317" t="s">
        <v>40102</v>
      </c>
      <c r="B4864" s="317" t="s">
        <v>49230</v>
      </c>
      <c r="C4864" s="330" t="s">
        <v>13277</v>
      </c>
      <c r="D4864" s="330" t="s">
        <v>13278</v>
      </c>
      <c r="E4864" s="330" t="s">
        <v>4634</v>
      </c>
      <c r="F4864" s="331">
        <v>0.21</v>
      </c>
      <c r="G4864" s="332">
        <v>16889</v>
      </c>
      <c r="H4864" s="333">
        <v>20436</v>
      </c>
    </row>
    <row r="4865" spans="1:8">
      <c r="A4865" s="317" t="s">
        <v>40103</v>
      </c>
      <c r="B4865" s="317" t="s">
        <v>49231</v>
      </c>
      <c r="C4865" s="330" t="s">
        <v>13279</v>
      </c>
      <c r="D4865" s="330" t="s">
        <v>13280</v>
      </c>
      <c r="E4865" s="330" t="s">
        <v>4634</v>
      </c>
      <c r="F4865" s="331">
        <v>0.21</v>
      </c>
      <c r="G4865" s="332">
        <v>490</v>
      </c>
      <c r="H4865" s="333">
        <v>593</v>
      </c>
    </row>
    <row r="4866" spans="1:8">
      <c r="A4866" s="317" t="s">
        <v>40104</v>
      </c>
      <c r="B4866" s="317" t="s">
        <v>49232</v>
      </c>
      <c r="C4866" s="330" t="s">
        <v>13281</v>
      </c>
      <c r="D4866" s="330" t="s">
        <v>13282</v>
      </c>
      <c r="E4866" s="330" t="s">
        <v>4634</v>
      </c>
      <c r="F4866" s="331">
        <v>0.21</v>
      </c>
      <c r="G4866" s="332">
        <v>1956</v>
      </c>
      <c r="H4866" s="333">
        <v>2367</v>
      </c>
    </row>
    <row r="4867" spans="1:8">
      <c r="A4867" s="317" t="s">
        <v>40105</v>
      </c>
      <c r="B4867" s="317" t="s">
        <v>49233</v>
      </c>
      <c r="C4867" s="330" t="s">
        <v>13283</v>
      </c>
      <c r="D4867" s="330" t="s">
        <v>13284</v>
      </c>
      <c r="E4867" s="330" t="s">
        <v>37248</v>
      </c>
      <c r="F4867" s="331">
        <v>0.21</v>
      </c>
      <c r="G4867" s="332">
        <v>57915</v>
      </c>
      <c r="H4867" s="333">
        <v>70078</v>
      </c>
    </row>
    <row r="4868" spans="1:8">
      <c r="A4868" s="317" t="s">
        <v>40106</v>
      </c>
      <c r="B4868" s="317" t="s">
        <v>49234</v>
      </c>
      <c r="C4868" s="330" t="s">
        <v>13285</v>
      </c>
      <c r="D4868" s="330" t="s">
        <v>13286</v>
      </c>
      <c r="E4868" s="330" t="s">
        <v>37248</v>
      </c>
      <c r="F4868" s="331">
        <v>0.21</v>
      </c>
      <c r="G4868" s="332">
        <v>2398</v>
      </c>
      <c r="H4868" s="333">
        <v>2902</v>
      </c>
    </row>
    <row r="4869" spans="1:8">
      <c r="A4869" s="317" t="s">
        <v>40107</v>
      </c>
      <c r="B4869" s="317" t="s">
        <v>49235</v>
      </c>
      <c r="C4869" s="330" t="s">
        <v>13287</v>
      </c>
      <c r="D4869" s="330" t="s">
        <v>13288</v>
      </c>
      <c r="E4869" s="330" t="s">
        <v>4819</v>
      </c>
      <c r="F4869" s="331">
        <v>0.21</v>
      </c>
      <c r="G4869" s="332">
        <v>919</v>
      </c>
      <c r="H4869" s="333">
        <v>1112</v>
      </c>
    </row>
    <row r="4870" spans="1:8">
      <c r="A4870" s="317" t="s">
        <v>40108</v>
      </c>
      <c r="B4870" s="317" t="s">
        <v>49236</v>
      </c>
      <c r="C4870" s="330" t="s">
        <v>13289</v>
      </c>
      <c r="D4870" s="330" t="s">
        <v>13290</v>
      </c>
      <c r="E4870" s="330" t="s">
        <v>4634</v>
      </c>
      <c r="F4870" s="331">
        <v>0.21</v>
      </c>
      <c r="G4870" s="332">
        <v>10150</v>
      </c>
      <c r="H4870" s="333">
        <v>12282</v>
      </c>
    </row>
    <row r="4871" spans="1:8">
      <c r="A4871" s="317" t="s">
        <v>40109</v>
      </c>
      <c r="B4871" s="317" t="s">
        <v>49237</v>
      </c>
      <c r="C4871" s="330" t="s">
        <v>13291</v>
      </c>
      <c r="D4871" s="330" t="s">
        <v>13290</v>
      </c>
      <c r="E4871" s="330" t="s">
        <v>4634</v>
      </c>
      <c r="F4871" s="331">
        <v>0.21</v>
      </c>
      <c r="G4871" s="332">
        <v>7662</v>
      </c>
      <c r="H4871" s="333">
        <v>9272</v>
      </c>
    </row>
    <row r="4872" spans="1:8">
      <c r="A4872" s="317" t="s">
        <v>40110</v>
      </c>
      <c r="B4872" s="317" t="s">
        <v>49238</v>
      </c>
      <c r="C4872" s="330" t="s">
        <v>13292</v>
      </c>
      <c r="D4872" s="330" t="s">
        <v>13293</v>
      </c>
      <c r="E4872" s="330" t="s">
        <v>4634</v>
      </c>
      <c r="F4872" s="331">
        <v>0.21</v>
      </c>
      <c r="G4872" s="332">
        <v>1692</v>
      </c>
      <c r="H4872" s="333">
        <v>2048</v>
      </c>
    </row>
    <row r="4873" spans="1:8">
      <c r="A4873" s="317" t="s">
        <v>40111</v>
      </c>
      <c r="B4873" s="317" t="s">
        <v>49239</v>
      </c>
      <c r="C4873" s="330" t="s">
        <v>13294</v>
      </c>
      <c r="D4873" s="330" t="s">
        <v>13295</v>
      </c>
      <c r="E4873" s="330" t="s">
        <v>4634</v>
      </c>
      <c r="F4873" s="331">
        <v>0.21</v>
      </c>
      <c r="G4873" s="332">
        <v>2730</v>
      </c>
      <c r="H4873" s="333">
        <v>3304</v>
      </c>
    </row>
    <row r="4874" spans="1:8">
      <c r="A4874" s="317" t="s">
        <v>40112</v>
      </c>
      <c r="B4874" s="317" t="s">
        <v>49240</v>
      </c>
      <c r="C4874" s="330" t="s">
        <v>13296</v>
      </c>
      <c r="D4874" s="330" t="s">
        <v>13297</v>
      </c>
      <c r="E4874" s="330" t="s">
        <v>4634</v>
      </c>
      <c r="F4874" s="331">
        <v>0.21</v>
      </c>
      <c r="G4874" s="332">
        <v>1479</v>
      </c>
      <c r="H4874" s="333">
        <v>1790</v>
      </c>
    </row>
    <row r="4875" spans="1:8">
      <c r="A4875" s="317" t="s">
        <v>40113</v>
      </c>
      <c r="B4875" s="317" t="s">
        <v>49241</v>
      </c>
      <c r="C4875" s="330" t="s">
        <v>13298</v>
      </c>
      <c r="D4875" s="330" t="s">
        <v>13299</v>
      </c>
      <c r="E4875" s="330" t="s">
        <v>4634</v>
      </c>
      <c r="F4875" s="331">
        <v>0.21</v>
      </c>
      <c r="G4875" s="332">
        <v>1692</v>
      </c>
      <c r="H4875" s="333">
        <v>2048</v>
      </c>
    </row>
    <row r="4876" spans="1:8">
      <c r="A4876" s="317" t="s">
        <v>40114</v>
      </c>
      <c r="B4876" s="317" t="s">
        <v>49242</v>
      </c>
      <c r="C4876" s="330" t="s">
        <v>13300</v>
      </c>
      <c r="D4876" s="330" t="s">
        <v>13301</v>
      </c>
      <c r="E4876" s="330" t="s">
        <v>4634</v>
      </c>
      <c r="F4876" s="331">
        <v>0.21</v>
      </c>
      <c r="G4876" s="332">
        <v>1008</v>
      </c>
      <c r="H4876" s="333">
        <v>1220</v>
      </c>
    </row>
    <row r="4877" spans="1:8">
      <c r="A4877" s="317" t="s">
        <v>40115</v>
      </c>
      <c r="B4877" s="317" t="s">
        <v>49243</v>
      </c>
      <c r="C4877" s="330" t="s">
        <v>13302</v>
      </c>
      <c r="D4877" s="330" t="s">
        <v>13303</v>
      </c>
      <c r="E4877" s="330" t="s">
        <v>4634</v>
      </c>
      <c r="F4877" s="331">
        <v>0.21</v>
      </c>
      <c r="G4877" s="332">
        <v>1115</v>
      </c>
      <c r="H4877" s="333">
        <v>1350</v>
      </c>
    </row>
    <row r="4878" spans="1:8">
      <c r="A4878" s="317" t="s">
        <v>40116</v>
      </c>
      <c r="B4878" s="317" t="s">
        <v>49244</v>
      </c>
      <c r="C4878" s="330" t="s">
        <v>13304</v>
      </c>
      <c r="D4878" s="330" t="s">
        <v>13305</v>
      </c>
      <c r="E4878" s="330" t="s">
        <v>4634</v>
      </c>
      <c r="F4878" s="331">
        <v>0.21</v>
      </c>
      <c r="G4878" s="332">
        <v>1479</v>
      </c>
      <c r="H4878" s="333">
        <v>1790</v>
      </c>
    </row>
    <row r="4879" spans="1:8">
      <c r="A4879" s="317" t="s">
        <v>40117</v>
      </c>
      <c r="B4879" s="317" t="s">
        <v>49245</v>
      </c>
      <c r="C4879" s="330" t="s">
        <v>13306</v>
      </c>
      <c r="D4879" s="330" t="s">
        <v>13307</v>
      </c>
      <c r="E4879" s="330" t="s">
        <v>4634</v>
      </c>
      <c r="F4879" s="331">
        <v>0.21</v>
      </c>
      <c r="G4879" s="332">
        <v>1479</v>
      </c>
      <c r="H4879" s="333">
        <v>1790</v>
      </c>
    </row>
    <row r="4880" spans="1:8">
      <c r="A4880" s="317" t="s">
        <v>40118</v>
      </c>
      <c r="B4880" s="317" t="s">
        <v>49246</v>
      </c>
      <c r="C4880" s="330" t="s">
        <v>13308</v>
      </c>
      <c r="D4880" s="330" t="s">
        <v>13309</v>
      </c>
      <c r="E4880" s="330" t="s">
        <v>4634</v>
      </c>
      <c r="F4880" s="331">
        <v>0.21</v>
      </c>
      <c r="G4880" s="332">
        <v>711</v>
      </c>
      <c r="H4880" s="333">
        <v>861</v>
      </c>
    </row>
    <row r="4881" spans="1:8">
      <c r="A4881" s="317" t="s">
        <v>40119</v>
      </c>
      <c r="B4881" s="317" t="s">
        <v>49247</v>
      </c>
      <c r="C4881" s="330" t="s">
        <v>13310</v>
      </c>
      <c r="D4881" s="330" t="s">
        <v>13311</v>
      </c>
      <c r="E4881" s="330" t="s">
        <v>4634</v>
      </c>
      <c r="F4881" s="331">
        <v>0.21</v>
      </c>
      <c r="G4881" s="332">
        <v>711</v>
      </c>
      <c r="H4881" s="333">
        <v>861</v>
      </c>
    </row>
    <row r="4882" spans="1:8">
      <c r="A4882" s="317" t="s">
        <v>40120</v>
      </c>
      <c r="B4882" s="317" t="s">
        <v>49248</v>
      </c>
      <c r="C4882" s="330" t="s">
        <v>13312</v>
      </c>
      <c r="D4882" s="330" t="s">
        <v>13313</v>
      </c>
      <c r="E4882" s="330" t="s">
        <v>4819</v>
      </c>
      <c r="F4882" s="331">
        <v>0.21</v>
      </c>
      <c r="G4882" s="332">
        <v>4965</v>
      </c>
      <c r="H4882" s="333">
        <v>6008</v>
      </c>
    </row>
    <row r="4883" spans="1:8">
      <c r="A4883" s="317" t="s">
        <v>40121</v>
      </c>
      <c r="B4883" s="317" t="s">
        <v>49249</v>
      </c>
      <c r="C4883" s="330" t="s">
        <v>13314</v>
      </c>
      <c r="D4883" s="330" t="s">
        <v>13315</v>
      </c>
      <c r="E4883" s="330" t="s">
        <v>4634</v>
      </c>
      <c r="F4883" s="331">
        <v>0.21</v>
      </c>
      <c r="G4883" s="332">
        <v>1956</v>
      </c>
      <c r="H4883" s="333">
        <v>2367</v>
      </c>
    </row>
    <row r="4884" spans="1:8">
      <c r="A4884" s="317" t="s">
        <v>40122</v>
      </c>
      <c r="B4884" s="317" t="s">
        <v>49250</v>
      </c>
      <c r="C4884" s="330" t="s">
        <v>13316</v>
      </c>
      <c r="D4884" s="330" t="s">
        <v>13317</v>
      </c>
      <c r="E4884" s="330" t="s">
        <v>37248</v>
      </c>
      <c r="F4884" s="331">
        <v>0.21</v>
      </c>
      <c r="G4884" s="332">
        <v>2736</v>
      </c>
      <c r="H4884" s="333">
        <v>3311</v>
      </c>
    </row>
    <row r="4885" spans="1:8">
      <c r="A4885" s="317" t="s">
        <v>40123</v>
      </c>
      <c r="B4885" s="317" t="s">
        <v>49251</v>
      </c>
      <c r="C4885" s="330" t="s">
        <v>13318</v>
      </c>
      <c r="D4885" s="330" t="s">
        <v>13319</v>
      </c>
      <c r="E4885" s="330" t="s">
        <v>4634</v>
      </c>
      <c r="F4885" s="331">
        <v>0.21</v>
      </c>
      <c r="G4885" s="332">
        <v>180</v>
      </c>
      <c r="H4885" s="333">
        <v>218</v>
      </c>
    </row>
    <row r="4886" spans="1:8">
      <c r="A4886" s="317" t="s">
        <v>40124</v>
      </c>
      <c r="B4886" s="317" t="s">
        <v>49252</v>
      </c>
      <c r="C4886" s="330" t="s">
        <v>13320</v>
      </c>
      <c r="D4886" s="330" t="s">
        <v>13321</v>
      </c>
      <c r="E4886" s="330" t="s">
        <v>4819</v>
      </c>
      <c r="F4886" s="331">
        <v>0.21</v>
      </c>
      <c r="G4886" s="332">
        <v>1373</v>
      </c>
      <c r="H4886" s="333">
        <v>1662</v>
      </c>
    </row>
    <row r="4887" spans="1:8">
      <c r="A4887" s="317" t="s">
        <v>40125</v>
      </c>
      <c r="B4887" s="317" t="s">
        <v>49253</v>
      </c>
      <c r="C4887" s="330" t="s">
        <v>13322</v>
      </c>
      <c r="D4887" s="330" t="s">
        <v>13323</v>
      </c>
      <c r="E4887" s="330" t="s">
        <v>37248</v>
      </c>
      <c r="F4887" s="331">
        <v>0.21</v>
      </c>
      <c r="G4887" s="332">
        <v>42688</v>
      </c>
      <c r="H4887" s="333">
        <v>51653</v>
      </c>
    </row>
    <row r="4888" spans="1:8">
      <c r="A4888" s="317" t="s">
        <v>40126</v>
      </c>
      <c r="B4888" s="317" t="s">
        <v>49254</v>
      </c>
      <c r="C4888" s="330" t="s">
        <v>13324</v>
      </c>
      <c r="D4888" s="330" t="s">
        <v>13325</v>
      </c>
      <c r="E4888" s="330" t="s">
        <v>4819</v>
      </c>
      <c r="F4888" s="331">
        <v>0.21</v>
      </c>
      <c r="G4888" s="332">
        <v>6863</v>
      </c>
      <c r="H4888" s="333">
        <v>8305</v>
      </c>
    </row>
    <row r="4889" spans="1:8">
      <c r="A4889" s="317" t="s">
        <v>40127</v>
      </c>
      <c r="B4889" s="317" t="s">
        <v>49255</v>
      </c>
      <c r="C4889" s="330" t="s">
        <v>13326</v>
      </c>
      <c r="D4889" s="330" t="s">
        <v>13327</v>
      </c>
      <c r="E4889" s="330" t="s">
        <v>4634</v>
      </c>
      <c r="F4889" s="331">
        <v>0.21</v>
      </c>
      <c r="G4889" s="332">
        <v>74505</v>
      </c>
      <c r="H4889" s="333">
        <v>90152</v>
      </c>
    </row>
    <row r="4890" spans="1:8">
      <c r="A4890" s="317" t="s">
        <v>40128</v>
      </c>
      <c r="B4890" s="317" t="s">
        <v>49256</v>
      </c>
      <c r="C4890" s="330" t="s">
        <v>13328</v>
      </c>
      <c r="D4890" s="330" t="s">
        <v>13329</v>
      </c>
      <c r="E4890" s="330" t="s">
        <v>4819</v>
      </c>
      <c r="F4890" s="331">
        <v>0.21</v>
      </c>
      <c r="G4890" s="332">
        <v>63541</v>
      </c>
      <c r="H4890" s="333">
        <v>76885</v>
      </c>
    </row>
    <row r="4891" spans="1:8">
      <c r="A4891" s="317" t="s">
        <v>40129</v>
      </c>
      <c r="B4891" s="317" t="s">
        <v>49257</v>
      </c>
      <c r="C4891" s="330" t="s">
        <v>13330</v>
      </c>
      <c r="D4891" s="330" t="s">
        <v>13331</v>
      </c>
      <c r="E4891" s="330" t="s">
        <v>4819</v>
      </c>
      <c r="F4891" s="331">
        <v>0.21</v>
      </c>
      <c r="G4891" s="332">
        <v>6710</v>
      </c>
      <c r="H4891" s="333">
        <v>8120</v>
      </c>
    </row>
    <row r="4892" spans="1:8">
      <c r="A4892" s="317" t="s">
        <v>40130</v>
      </c>
      <c r="B4892" s="317" t="s">
        <v>49258</v>
      </c>
      <c r="C4892" s="330" t="s">
        <v>13332</v>
      </c>
      <c r="D4892" s="330" t="s">
        <v>13333</v>
      </c>
      <c r="E4892" s="330" t="s">
        <v>4819</v>
      </c>
      <c r="F4892" s="331">
        <v>0.21</v>
      </c>
      <c r="G4892" s="332">
        <v>919</v>
      </c>
      <c r="H4892" s="333">
        <v>1112</v>
      </c>
    </row>
    <row r="4893" spans="1:8">
      <c r="A4893" s="317" t="s">
        <v>40131</v>
      </c>
      <c r="B4893" s="317" t="s">
        <v>49259</v>
      </c>
      <c r="C4893" s="330" t="s">
        <v>13334</v>
      </c>
      <c r="D4893" s="330" t="s">
        <v>13335</v>
      </c>
      <c r="E4893" s="330" t="s">
        <v>4819</v>
      </c>
      <c r="F4893" s="331">
        <v>0.21</v>
      </c>
      <c r="G4893" s="332">
        <v>13092</v>
      </c>
      <c r="H4893" s="333">
        <v>15842</v>
      </c>
    </row>
    <row r="4894" spans="1:8">
      <c r="A4894" s="317" t="s">
        <v>40132</v>
      </c>
      <c r="B4894" s="317" t="s">
        <v>49260</v>
      </c>
      <c r="C4894" s="330" t="s">
        <v>13336</v>
      </c>
      <c r="D4894" s="330" t="s">
        <v>13337</v>
      </c>
      <c r="E4894" s="330" t="s">
        <v>4819</v>
      </c>
      <c r="F4894" s="331">
        <v>0.21</v>
      </c>
      <c r="G4894" s="332">
        <v>33905</v>
      </c>
      <c r="H4894" s="333">
        <v>41026</v>
      </c>
    </row>
    <row r="4895" spans="1:8">
      <c r="A4895" s="317" t="s">
        <v>40133</v>
      </c>
      <c r="B4895" s="317" t="s">
        <v>49261</v>
      </c>
      <c r="C4895" s="330" t="s">
        <v>13338</v>
      </c>
      <c r="D4895" s="330" t="s">
        <v>13339</v>
      </c>
      <c r="E4895" s="330" t="s">
        <v>37248</v>
      </c>
      <c r="F4895" s="331">
        <v>0.21</v>
      </c>
      <c r="G4895" s="332">
        <v>5326</v>
      </c>
      <c r="H4895" s="333">
        <v>6445</v>
      </c>
    </row>
    <row r="4896" spans="1:8">
      <c r="A4896" s="317" t="s">
        <v>40134</v>
      </c>
      <c r="B4896" s="317" t="s">
        <v>49262</v>
      </c>
      <c r="C4896" s="330" t="s">
        <v>13340</v>
      </c>
      <c r="D4896" s="330" t="s">
        <v>13341</v>
      </c>
      <c r="E4896" s="330" t="s">
        <v>4819</v>
      </c>
      <c r="F4896" s="331">
        <v>0.21</v>
      </c>
      <c r="G4896" s="332">
        <v>3818</v>
      </c>
      <c r="H4896" s="333">
        <v>4620</v>
      </c>
    </row>
    <row r="4897" spans="1:8">
      <c r="A4897" s="317" t="s">
        <v>40135</v>
      </c>
      <c r="B4897" s="317" t="s">
        <v>49263</v>
      </c>
      <c r="C4897" s="330" t="s">
        <v>13342</v>
      </c>
      <c r="D4897" s="330" t="s">
        <v>13343</v>
      </c>
      <c r="E4897" s="330" t="s">
        <v>4819</v>
      </c>
      <c r="F4897" s="331">
        <v>0.21</v>
      </c>
      <c r="G4897" s="332">
        <v>1831</v>
      </c>
      <c r="H4897" s="333">
        <v>2216</v>
      </c>
    </row>
    <row r="4898" spans="1:8">
      <c r="A4898" s="317" t="s">
        <v>40136</v>
      </c>
      <c r="B4898" s="317" t="s">
        <v>49264</v>
      </c>
      <c r="C4898" s="330" t="s">
        <v>13344</v>
      </c>
      <c r="D4898" s="330" t="s">
        <v>13345</v>
      </c>
      <c r="E4898" s="330" t="s">
        <v>4819</v>
      </c>
      <c r="F4898" s="331">
        <v>0.21</v>
      </c>
      <c r="G4898" s="332">
        <v>10131</v>
      </c>
      <c r="H4898" s="333">
        <v>12259</v>
      </c>
    </row>
    <row r="4899" spans="1:8">
      <c r="A4899" s="317" t="s">
        <v>40137</v>
      </c>
      <c r="B4899" s="317" t="s">
        <v>49265</v>
      </c>
      <c r="C4899" s="330" t="s">
        <v>13346</v>
      </c>
      <c r="D4899" s="330" t="s">
        <v>13347</v>
      </c>
      <c r="E4899" s="330" t="s">
        <v>4634</v>
      </c>
      <c r="F4899" s="331">
        <v>0.21</v>
      </c>
      <c r="G4899" s="332">
        <v>10120</v>
      </c>
      <c r="H4899" s="333">
        <v>12246</v>
      </c>
    </row>
    <row r="4900" spans="1:8">
      <c r="A4900" s="317" t="s">
        <v>40138</v>
      </c>
      <c r="B4900" s="317" t="s">
        <v>49266</v>
      </c>
      <c r="C4900" s="330" t="s">
        <v>13348</v>
      </c>
      <c r="D4900" s="330" t="s">
        <v>13349</v>
      </c>
      <c r="E4900" s="330" t="s">
        <v>4819</v>
      </c>
      <c r="F4900" s="331">
        <v>0.21</v>
      </c>
      <c r="G4900" s="332">
        <v>15532</v>
      </c>
      <c r="H4900" s="333">
        <v>18794</v>
      </c>
    </row>
    <row r="4901" spans="1:8">
      <c r="A4901" s="317" t="s">
        <v>40139</v>
      </c>
      <c r="B4901" s="317" t="s">
        <v>49267</v>
      </c>
      <c r="C4901" s="330" t="s">
        <v>13350</v>
      </c>
      <c r="D4901" s="330" t="s">
        <v>13351</v>
      </c>
      <c r="E4901" s="330" t="s">
        <v>37248</v>
      </c>
      <c r="F4901" s="331">
        <v>0.21</v>
      </c>
      <c r="G4901" s="332">
        <v>2145</v>
      </c>
      <c r="H4901" s="333">
        <v>2596</v>
      </c>
    </row>
    <row r="4902" spans="1:8">
      <c r="A4902" s="317" t="s">
        <v>40140</v>
      </c>
      <c r="B4902" s="317" t="s">
        <v>49268</v>
      </c>
      <c r="C4902" s="330" t="s">
        <v>13352</v>
      </c>
      <c r="D4902" s="330" t="s">
        <v>13353</v>
      </c>
      <c r="E4902" s="330" t="s">
        <v>4819</v>
      </c>
      <c r="F4902" s="331">
        <v>0.21</v>
      </c>
      <c r="G4902" s="332">
        <v>4581</v>
      </c>
      <c r="H4902" s="333">
        <v>5544</v>
      </c>
    </row>
    <row r="4903" spans="1:8">
      <c r="A4903" s="317" t="s">
        <v>40141</v>
      </c>
      <c r="B4903" s="317" t="s">
        <v>49269</v>
      </c>
      <c r="C4903" s="330" t="s">
        <v>13354</v>
      </c>
      <c r="D4903" s="330" t="s">
        <v>13355</v>
      </c>
      <c r="E4903" s="330" t="s">
        <v>4634</v>
      </c>
      <c r="F4903" s="331">
        <v>0.21</v>
      </c>
      <c r="G4903" s="332">
        <v>14606</v>
      </c>
      <c r="H4903" s="333">
        <v>17674</v>
      </c>
    </row>
    <row r="4904" spans="1:8">
      <c r="A4904" s="317" t="s">
        <v>40142</v>
      </c>
      <c r="B4904" s="317" t="s">
        <v>49270</v>
      </c>
      <c r="C4904" s="330" t="s">
        <v>13356</v>
      </c>
      <c r="D4904" s="330" t="s">
        <v>13357</v>
      </c>
      <c r="E4904" s="330" t="s">
        <v>4819</v>
      </c>
      <c r="F4904" s="331">
        <v>0.21</v>
      </c>
      <c r="G4904" s="332">
        <v>439</v>
      </c>
      <c r="H4904" s="333">
        <v>532</v>
      </c>
    </row>
    <row r="4905" spans="1:8">
      <c r="A4905" s="317" t="s">
        <v>40143</v>
      </c>
      <c r="B4905" s="317" t="s">
        <v>49271</v>
      </c>
      <c r="C4905" s="330" t="s">
        <v>13358</v>
      </c>
      <c r="D4905" s="330" t="s">
        <v>13359</v>
      </c>
      <c r="E4905" s="330" t="s">
        <v>37248</v>
      </c>
      <c r="F4905" s="331">
        <v>0.21</v>
      </c>
      <c r="G4905" s="332">
        <v>305</v>
      </c>
      <c r="H4905" s="333">
        <v>370</v>
      </c>
    </row>
    <row r="4906" spans="1:8">
      <c r="A4906" s="317" t="s">
        <v>40144</v>
      </c>
      <c r="B4906" s="317" t="s">
        <v>49272</v>
      </c>
      <c r="C4906" s="330" t="s">
        <v>13360</v>
      </c>
      <c r="D4906" s="330" t="s">
        <v>13361</v>
      </c>
      <c r="E4906" s="330" t="s">
        <v>4819</v>
      </c>
      <c r="F4906" s="331">
        <v>0.21</v>
      </c>
      <c r="G4906" s="332">
        <v>919</v>
      </c>
      <c r="H4906" s="333">
        <v>1112</v>
      </c>
    </row>
    <row r="4907" spans="1:8">
      <c r="A4907" s="317" t="s">
        <v>40145</v>
      </c>
      <c r="B4907" s="317" t="s">
        <v>49273</v>
      </c>
      <c r="C4907" s="330" t="s">
        <v>13362</v>
      </c>
      <c r="D4907" s="330" t="s">
        <v>13363</v>
      </c>
      <c r="E4907" s="330" t="s">
        <v>4819</v>
      </c>
      <c r="F4907" s="331">
        <v>0.21</v>
      </c>
      <c r="G4907" s="332">
        <v>2398</v>
      </c>
      <c r="H4907" s="333">
        <v>2902</v>
      </c>
    </row>
    <row r="4908" spans="1:8">
      <c r="A4908" s="317" t="s">
        <v>40146</v>
      </c>
      <c r="B4908" s="317" t="s">
        <v>49274</v>
      </c>
      <c r="C4908" s="330" t="s">
        <v>13364</v>
      </c>
      <c r="D4908" s="330" t="s">
        <v>13365</v>
      </c>
      <c r="E4908" s="330" t="s">
        <v>4819</v>
      </c>
      <c r="F4908" s="331">
        <v>0.21</v>
      </c>
      <c r="G4908" s="332">
        <v>10326</v>
      </c>
      <c r="H4908" s="333">
        <v>12495</v>
      </c>
    </row>
    <row r="4909" spans="1:8">
      <c r="A4909" s="317" t="s">
        <v>40147</v>
      </c>
      <c r="B4909" s="317" t="s">
        <v>49275</v>
      </c>
      <c r="C4909" s="330" t="s">
        <v>13366</v>
      </c>
      <c r="D4909" s="330" t="s">
        <v>13367</v>
      </c>
      <c r="E4909" s="330" t="s">
        <v>4819</v>
      </c>
      <c r="F4909" s="331">
        <v>0.21</v>
      </c>
      <c r="G4909" s="332">
        <v>3102</v>
      </c>
      <c r="H4909" s="333">
        <v>3754</v>
      </c>
    </row>
    <row r="4910" spans="1:8">
      <c r="A4910" s="317" t="s">
        <v>40148</v>
      </c>
      <c r="B4910" s="317" t="s">
        <v>49276</v>
      </c>
      <c r="C4910" s="330" t="s">
        <v>13368</v>
      </c>
      <c r="D4910" s="330" t="s">
        <v>13369</v>
      </c>
      <c r="E4910" s="330" t="s">
        <v>4819</v>
      </c>
      <c r="F4910" s="331">
        <v>0.21</v>
      </c>
      <c r="G4910" s="332">
        <v>1530</v>
      </c>
      <c r="H4910" s="333">
        <v>1852</v>
      </c>
    </row>
    <row r="4911" spans="1:8">
      <c r="A4911" s="317" t="s">
        <v>40149</v>
      </c>
      <c r="B4911" s="317" t="s">
        <v>49277</v>
      </c>
      <c r="C4911" s="330" t="s">
        <v>13370</v>
      </c>
      <c r="D4911" s="330" t="s">
        <v>13371</v>
      </c>
      <c r="E4911" s="330" t="s">
        <v>4819</v>
      </c>
      <c r="F4911" s="331">
        <v>0.21</v>
      </c>
      <c r="G4911" s="332">
        <v>854</v>
      </c>
      <c r="H4911" s="333">
        <v>1034</v>
      </c>
    </row>
    <row r="4912" spans="1:8">
      <c r="A4912" s="317" t="s">
        <v>40150</v>
      </c>
      <c r="B4912" s="317" t="s">
        <v>49278</v>
      </c>
      <c r="C4912" s="330" t="s">
        <v>13372</v>
      </c>
      <c r="D4912" s="330" t="s">
        <v>13373</v>
      </c>
      <c r="E4912" s="330" t="s">
        <v>4819</v>
      </c>
      <c r="F4912" s="331">
        <v>0.21</v>
      </c>
      <c r="G4912" s="332">
        <v>1530</v>
      </c>
      <c r="H4912" s="333">
        <v>1852</v>
      </c>
    </row>
    <row r="4913" spans="1:8">
      <c r="A4913" s="317" t="s">
        <v>40151</v>
      </c>
      <c r="B4913" s="317" t="s">
        <v>49279</v>
      </c>
      <c r="C4913" s="330" t="s">
        <v>13374</v>
      </c>
      <c r="D4913" s="330" t="s">
        <v>13375</v>
      </c>
      <c r="E4913" s="330" t="s">
        <v>4819</v>
      </c>
      <c r="F4913" s="331">
        <v>0.21</v>
      </c>
      <c r="G4913" s="332">
        <v>13781</v>
      </c>
      <c r="H4913" s="333">
        <v>16676</v>
      </c>
    </row>
    <row r="4914" spans="1:8">
      <c r="A4914" s="317" t="s">
        <v>40152</v>
      </c>
      <c r="B4914" s="317" t="s">
        <v>49280</v>
      </c>
      <c r="C4914" s="330" t="s">
        <v>13376</v>
      </c>
      <c r="D4914" s="330" t="s">
        <v>13377</v>
      </c>
      <c r="E4914" s="330" t="s">
        <v>37248</v>
      </c>
      <c r="F4914" s="331">
        <v>0.21</v>
      </c>
      <c r="G4914" s="332">
        <v>339</v>
      </c>
      <c r="H4914" s="333">
        <v>411</v>
      </c>
    </row>
    <row r="4915" spans="1:8">
      <c r="A4915" s="317" t="s">
        <v>40153</v>
      </c>
      <c r="B4915" s="317" t="s">
        <v>49281</v>
      </c>
      <c r="C4915" s="330" t="s">
        <v>13378</v>
      </c>
      <c r="D4915" s="330" t="s">
        <v>13359</v>
      </c>
      <c r="E4915" s="330" t="s">
        <v>4819</v>
      </c>
      <c r="F4915" s="331">
        <v>0.21</v>
      </c>
      <c r="G4915" s="332">
        <v>968</v>
      </c>
      <c r="H4915" s="333">
        <v>1172</v>
      </c>
    </row>
    <row r="4916" spans="1:8">
      <c r="A4916" s="317" t="s">
        <v>40154</v>
      </c>
      <c r="B4916" s="317" t="s">
        <v>49282</v>
      </c>
      <c r="C4916" s="330" t="s">
        <v>13379</v>
      </c>
      <c r="D4916" s="330" t="s">
        <v>13380</v>
      </c>
      <c r="E4916" s="330" t="s">
        <v>4819</v>
      </c>
      <c r="F4916" s="331">
        <v>0.21</v>
      </c>
      <c r="G4916" s="332">
        <v>994</v>
      </c>
      <c r="H4916" s="333">
        <v>1203</v>
      </c>
    </row>
    <row r="4917" spans="1:8">
      <c r="A4917" s="317" t="s">
        <v>40155</v>
      </c>
      <c r="B4917" s="317" t="s">
        <v>49283</v>
      </c>
      <c r="C4917" s="330" t="s">
        <v>13381</v>
      </c>
      <c r="D4917" s="330" t="s">
        <v>12960</v>
      </c>
      <c r="E4917" s="330" t="s">
        <v>4819</v>
      </c>
      <c r="F4917" s="331">
        <v>0.21</v>
      </c>
      <c r="G4917" s="332">
        <v>994</v>
      </c>
      <c r="H4917" s="333">
        <v>1203</v>
      </c>
    </row>
    <row r="4918" spans="1:8">
      <c r="A4918" s="317" t="s">
        <v>40156</v>
      </c>
      <c r="B4918" s="317" t="s">
        <v>49284</v>
      </c>
      <c r="C4918" s="330" t="s">
        <v>13382</v>
      </c>
      <c r="D4918" s="330" t="s">
        <v>13383</v>
      </c>
      <c r="E4918" s="330" t="s">
        <v>4819</v>
      </c>
      <c r="F4918" s="331">
        <v>0.21</v>
      </c>
      <c r="G4918" s="332">
        <v>919</v>
      </c>
      <c r="H4918" s="333">
        <v>1112</v>
      </c>
    </row>
    <row r="4919" spans="1:8">
      <c r="A4919" s="317" t="s">
        <v>40157</v>
      </c>
      <c r="B4919" s="317" t="s">
        <v>49285</v>
      </c>
      <c r="C4919" s="330" t="s">
        <v>13384</v>
      </c>
      <c r="D4919" s="330" t="s">
        <v>13385</v>
      </c>
      <c r="E4919" s="330" t="s">
        <v>4634</v>
      </c>
      <c r="F4919" s="331">
        <v>0.21</v>
      </c>
      <c r="G4919" s="332">
        <v>280</v>
      </c>
      <c r="H4919" s="333">
        <v>339</v>
      </c>
    </row>
    <row r="4920" spans="1:8">
      <c r="A4920" s="317" t="s">
        <v>40158</v>
      </c>
      <c r="B4920" s="317" t="s">
        <v>49286</v>
      </c>
      <c r="C4920" s="330" t="s">
        <v>13386</v>
      </c>
      <c r="D4920" s="330" t="s">
        <v>13387</v>
      </c>
      <c r="E4920" s="330" t="s">
        <v>37248</v>
      </c>
      <c r="F4920" s="331">
        <v>0.21</v>
      </c>
      <c r="G4920" s="332">
        <v>110144</v>
      </c>
      <c r="H4920" s="333">
        <v>133275</v>
      </c>
    </row>
    <row r="4921" spans="1:8">
      <c r="A4921" s="317" t="s">
        <v>40159</v>
      </c>
      <c r="B4921" s="317" t="s">
        <v>49287</v>
      </c>
      <c r="C4921" s="330" t="s">
        <v>13388</v>
      </c>
      <c r="D4921" s="330" t="s">
        <v>13389</v>
      </c>
      <c r="E4921" s="330" t="s">
        <v>37248</v>
      </c>
      <c r="F4921" s="331">
        <v>0.21</v>
      </c>
      <c r="G4921" s="332">
        <v>33454</v>
      </c>
      <c r="H4921" s="333">
        <v>40480</v>
      </c>
    </row>
    <row r="4922" spans="1:8">
      <c r="A4922" s="317" t="s">
        <v>40160</v>
      </c>
      <c r="B4922" s="317" t="s">
        <v>49288</v>
      </c>
      <c r="C4922" s="330" t="s">
        <v>13390</v>
      </c>
      <c r="D4922" s="330" t="s">
        <v>13391</v>
      </c>
      <c r="E4922" s="330" t="s">
        <v>4819</v>
      </c>
      <c r="F4922" s="331">
        <v>0.21</v>
      </c>
      <c r="G4922" s="332">
        <v>31110</v>
      </c>
      <c r="H4922" s="333">
        <v>37644</v>
      </c>
    </row>
    <row r="4923" spans="1:8">
      <c r="A4923" s="317" t="s">
        <v>40161</v>
      </c>
      <c r="B4923" s="317" t="s">
        <v>49289</v>
      </c>
      <c r="C4923" s="330" t="s">
        <v>13392</v>
      </c>
      <c r="D4923" s="330" t="s">
        <v>13393</v>
      </c>
      <c r="E4923" s="330" t="s">
        <v>4819</v>
      </c>
      <c r="F4923" s="331">
        <v>0.21</v>
      </c>
      <c r="G4923" s="332">
        <v>994</v>
      </c>
      <c r="H4923" s="333">
        <v>1203</v>
      </c>
    </row>
    <row r="4924" spans="1:8">
      <c r="A4924" s="317" t="s">
        <v>40162</v>
      </c>
      <c r="B4924" s="317" t="s">
        <v>49290</v>
      </c>
      <c r="C4924" s="330" t="s">
        <v>13394</v>
      </c>
      <c r="D4924" s="330" t="s">
        <v>13395</v>
      </c>
      <c r="E4924" s="330" t="s">
        <v>4819</v>
      </c>
      <c r="F4924" s="331">
        <v>0.21</v>
      </c>
      <c r="G4924" s="332">
        <v>919</v>
      </c>
      <c r="H4924" s="333">
        <v>1112</v>
      </c>
    </row>
    <row r="4925" spans="1:8">
      <c r="A4925" s="317" t="s">
        <v>40163</v>
      </c>
      <c r="B4925" s="317" t="s">
        <v>49291</v>
      </c>
      <c r="C4925" s="330" t="s">
        <v>13396</v>
      </c>
      <c r="D4925" s="330" t="s">
        <v>12960</v>
      </c>
      <c r="E4925" s="330" t="s">
        <v>4819</v>
      </c>
      <c r="F4925" s="331">
        <v>0.21</v>
      </c>
      <c r="G4925" s="332">
        <v>994</v>
      </c>
      <c r="H4925" s="333">
        <v>1203</v>
      </c>
    </row>
    <row r="4926" spans="1:8">
      <c r="A4926" s="317" t="s">
        <v>40164</v>
      </c>
      <c r="B4926" s="317" t="s">
        <v>49292</v>
      </c>
      <c r="C4926" s="330" t="s">
        <v>13397</v>
      </c>
      <c r="D4926" s="330" t="s">
        <v>13398</v>
      </c>
      <c r="E4926" s="330" t="s">
        <v>4634</v>
      </c>
      <c r="F4926" s="331">
        <v>0.21</v>
      </c>
      <c r="G4926" s="332">
        <v>180</v>
      </c>
      <c r="H4926" s="333">
        <v>218</v>
      </c>
    </row>
    <row r="4927" spans="1:8">
      <c r="A4927" s="317" t="s">
        <v>40165</v>
      </c>
      <c r="B4927" s="317" t="s">
        <v>49293</v>
      </c>
      <c r="C4927" s="330" t="s">
        <v>13399</v>
      </c>
      <c r="D4927" s="330" t="s">
        <v>13400</v>
      </c>
      <c r="E4927" s="330" t="s">
        <v>4819</v>
      </c>
      <c r="F4927" s="331">
        <v>0.21</v>
      </c>
      <c r="G4927" s="332">
        <v>10491</v>
      </c>
      <c r="H4927" s="333">
        <v>12695</v>
      </c>
    </row>
    <row r="4928" spans="1:8">
      <c r="A4928" s="317" t="s">
        <v>40166</v>
      </c>
      <c r="B4928" s="317" t="s">
        <v>49294</v>
      </c>
      <c r="C4928" s="330" t="s">
        <v>13401</v>
      </c>
      <c r="D4928" s="330" t="s">
        <v>13402</v>
      </c>
      <c r="E4928" s="330" t="s">
        <v>4819</v>
      </c>
      <c r="F4928" s="331">
        <v>0.21</v>
      </c>
      <c r="G4928" s="332">
        <v>5242</v>
      </c>
      <c r="H4928" s="333">
        <v>6343</v>
      </c>
    </row>
    <row r="4929" spans="1:8">
      <c r="A4929" s="317" t="s">
        <v>40167</v>
      </c>
      <c r="B4929" s="317" t="s">
        <v>49295</v>
      </c>
      <c r="C4929" s="330" t="s">
        <v>13403</v>
      </c>
      <c r="D4929" s="330" t="s">
        <v>13404</v>
      </c>
      <c r="E4929" s="330" t="s">
        <v>4819</v>
      </c>
      <c r="F4929" s="331">
        <v>0.21</v>
      </c>
      <c r="G4929" s="332">
        <v>16211</v>
      </c>
      <c r="H4929" s="333">
        <v>19616</v>
      </c>
    </row>
    <row r="4930" spans="1:8">
      <c r="A4930" s="317" t="s">
        <v>40168</v>
      </c>
      <c r="B4930" s="317" t="s">
        <v>49296</v>
      </c>
      <c r="C4930" s="330" t="s">
        <v>13405</v>
      </c>
      <c r="D4930" s="330" t="s">
        <v>12960</v>
      </c>
      <c r="E4930" s="330" t="s">
        <v>4819</v>
      </c>
      <c r="F4930" s="331">
        <v>0.21</v>
      </c>
      <c r="G4930" s="332">
        <v>994</v>
      </c>
      <c r="H4930" s="333">
        <v>1203</v>
      </c>
    </row>
    <row r="4931" spans="1:8">
      <c r="A4931" s="317" t="s">
        <v>40169</v>
      </c>
      <c r="B4931" s="317" t="s">
        <v>49297</v>
      </c>
      <c r="C4931" s="330" t="s">
        <v>13406</v>
      </c>
      <c r="D4931" s="330" t="s">
        <v>13407</v>
      </c>
      <c r="E4931" s="330" t="s">
        <v>4634</v>
      </c>
      <c r="F4931" s="331">
        <v>0.21</v>
      </c>
      <c r="G4931" s="332">
        <v>11486</v>
      </c>
      <c r="H4931" s="333">
        <v>13899</v>
      </c>
    </row>
    <row r="4932" spans="1:8">
      <c r="A4932" s="317" t="s">
        <v>40170</v>
      </c>
      <c r="B4932" s="317" t="s">
        <v>49298</v>
      </c>
      <c r="C4932" s="330" t="s">
        <v>13408</v>
      </c>
      <c r="D4932" s="330" t="s">
        <v>13409</v>
      </c>
      <c r="E4932" s="330" t="s">
        <v>4819</v>
      </c>
      <c r="F4932" s="331">
        <v>0.21</v>
      </c>
      <c r="G4932" s="332">
        <v>976</v>
      </c>
      <c r="H4932" s="333">
        <v>1181</v>
      </c>
    </row>
    <row r="4933" spans="1:8">
      <c r="A4933" s="317" t="s">
        <v>40171</v>
      </c>
      <c r="B4933" s="317" t="s">
        <v>49299</v>
      </c>
      <c r="C4933" s="330" t="s">
        <v>13410</v>
      </c>
      <c r="D4933" s="330" t="s">
        <v>7334</v>
      </c>
      <c r="E4933" s="330" t="s">
        <v>37248</v>
      </c>
      <c r="F4933" s="331">
        <v>0.21</v>
      </c>
      <c r="G4933" s="332">
        <v>240</v>
      </c>
      <c r="H4933" s="333">
        <v>291</v>
      </c>
    </row>
    <row r="4934" spans="1:8">
      <c r="A4934" s="317" t="s">
        <v>40172</v>
      </c>
      <c r="B4934" s="317" t="s">
        <v>49300</v>
      </c>
      <c r="C4934" s="330" t="s">
        <v>13411</v>
      </c>
      <c r="D4934" s="330" t="s">
        <v>13412</v>
      </c>
      <c r="E4934" s="330" t="s">
        <v>37248</v>
      </c>
      <c r="F4934" s="331">
        <v>0.21</v>
      </c>
      <c r="G4934" s="332">
        <v>1247</v>
      </c>
      <c r="H4934" s="333">
        <v>1509</v>
      </c>
    </row>
    <row r="4935" spans="1:8">
      <c r="A4935" s="317" t="s">
        <v>40173</v>
      </c>
      <c r="B4935" s="317" t="s">
        <v>49301</v>
      </c>
      <c r="C4935" s="330" t="s">
        <v>13413</v>
      </c>
      <c r="D4935" s="330" t="s">
        <v>13414</v>
      </c>
      <c r="E4935" s="330" t="s">
        <v>37248</v>
      </c>
      <c r="F4935" s="331">
        <v>0.21</v>
      </c>
      <c r="G4935" s="332">
        <v>1247</v>
      </c>
      <c r="H4935" s="333">
        <v>1509</v>
      </c>
    </row>
    <row r="4936" spans="1:8">
      <c r="A4936" s="317" t="s">
        <v>40174</v>
      </c>
      <c r="B4936" s="317" t="s">
        <v>49302</v>
      </c>
      <c r="C4936" s="330" t="s">
        <v>13415</v>
      </c>
      <c r="D4936" s="330" t="s">
        <v>8215</v>
      </c>
      <c r="E4936" s="330" t="s">
        <v>37248</v>
      </c>
      <c r="F4936" s="331">
        <v>0.21</v>
      </c>
      <c r="G4936" s="332">
        <v>7028</v>
      </c>
      <c r="H4936" s="333">
        <v>8504</v>
      </c>
    </row>
    <row r="4937" spans="1:8">
      <c r="A4937" s="317" t="s">
        <v>40175</v>
      </c>
      <c r="B4937" s="317" t="s">
        <v>49303</v>
      </c>
      <c r="C4937" s="330" t="s">
        <v>13416</v>
      </c>
      <c r="D4937" s="330" t="s">
        <v>8159</v>
      </c>
      <c r="E4937" s="330" t="s">
        <v>37248</v>
      </c>
      <c r="F4937" s="331">
        <v>0.21</v>
      </c>
      <c r="G4937" s="332">
        <v>1505</v>
      </c>
      <c r="H4937" s="333">
        <v>1822</v>
      </c>
    </row>
    <row r="4938" spans="1:8">
      <c r="A4938" s="317" t="s">
        <v>40176</v>
      </c>
      <c r="B4938" s="317" t="s">
        <v>49304</v>
      </c>
      <c r="C4938" s="330" t="s">
        <v>13417</v>
      </c>
      <c r="D4938" s="330" t="s">
        <v>13418</v>
      </c>
      <c r="E4938" s="330" t="s">
        <v>37248</v>
      </c>
      <c r="F4938" s="331">
        <v>0.21</v>
      </c>
      <c r="G4938" s="332">
        <v>2513</v>
      </c>
      <c r="H4938" s="333">
        <v>3041</v>
      </c>
    </row>
    <row r="4939" spans="1:8">
      <c r="A4939" s="317" t="s">
        <v>40177</v>
      </c>
      <c r="B4939" s="317" t="s">
        <v>49305</v>
      </c>
      <c r="C4939" s="330" t="s">
        <v>13419</v>
      </c>
      <c r="D4939" s="330" t="s">
        <v>13420</v>
      </c>
      <c r="E4939" s="330" t="s">
        <v>37248</v>
      </c>
      <c r="F4939" s="331">
        <v>0.21</v>
      </c>
      <c r="G4939" s="332">
        <v>3102</v>
      </c>
      <c r="H4939" s="333">
        <v>3754</v>
      </c>
    </row>
    <row r="4940" spans="1:8">
      <c r="A4940" s="317" t="s">
        <v>40178</v>
      </c>
      <c r="B4940" s="317" t="s">
        <v>49306</v>
      </c>
      <c r="C4940" s="330" t="s">
        <v>13421</v>
      </c>
      <c r="D4940" s="330" t="s">
        <v>8186</v>
      </c>
      <c r="E4940" s="330" t="s">
        <v>37248</v>
      </c>
      <c r="F4940" s="331">
        <v>0.21</v>
      </c>
      <c r="G4940" s="332">
        <v>2513</v>
      </c>
      <c r="H4940" s="333">
        <v>3041</v>
      </c>
    </row>
    <row r="4941" spans="1:8">
      <c r="A4941" s="317" t="s">
        <v>40179</v>
      </c>
      <c r="B4941" s="317" t="s">
        <v>49307</v>
      </c>
      <c r="C4941" s="330" t="s">
        <v>13422</v>
      </c>
      <c r="D4941" s="330" t="s">
        <v>8094</v>
      </c>
      <c r="E4941" s="330" t="s">
        <v>37248</v>
      </c>
      <c r="F4941" s="331">
        <v>0.21</v>
      </c>
      <c r="G4941" s="332">
        <v>1247</v>
      </c>
      <c r="H4941" s="333">
        <v>1509</v>
      </c>
    </row>
    <row r="4942" spans="1:8">
      <c r="A4942" s="317" t="s">
        <v>40180</v>
      </c>
      <c r="B4942" s="317" t="s">
        <v>49308</v>
      </c>
      <c r="C4942" s="330" t="s">
        <v>13423</v>
      </c>
      <c r="D4942" s="330" t="s">
        <v>13424</v>
      </c>
      <c r="E4942" s="330" t="s">
        <v>37248</v>
      </c>
      <c r="F4942" s="331">
        <v>0.21</v>
      </c>
      <c r="G4942" s="332">
        <v>1247</v>
      </c>
      <c r="H4942" s="333">
        <v>1509</v>
      </c>
    </row>
    <row r="4943" spans="1:8">
      <c r="A4943" s="317" t="s">
        <v>40181</v>
      </c>
      <c r="B4943" s="317" t="s">
        <v>49309</v>
      </c>
      <c r="C4943" s="330" t="s">
        <v>13425</v>
      </c>
      <c r="D4943" s="330" t="s">
        <v>13426</v>
      </c>
      <c r="E4943" s="330" t="s">
        <v>37248</v>
      </c>
      <c r="F4943" s="331">
        <v>0.21</v>
      </c>
      <c r="G4943" s="332">
        <v>1247</v>
      </c>
      <c r="H4943" s="333">
        <v>1509</v>
      </c>
    </row>
    <row r="4944" spans="1:8">
      <c r="A4944" s="317" t="s">
        <v>40182</v>
      </c>
      <c r="B4944" s="317" t="s">
        <v>49310</v>
      </c>
      <c r="C4944" s="330" t="s">
        <v>13427</v>
      </c>
      <c r="D4944" s="330" t="s">
        <v>8085</v>
      </c>
      <c r="E4944" s="330" t="s">
        <v>37248</v>
      </c>
      <c r="F4944" s="331">
        <v>0.21</v>
      </c>
      <c r="G4944" s="332">
        <v>1247</v>
      </c>
      <c r="H4944" s="333">
        <v>1509</v>
      </c>
    </row>
    <row r="4945" spans="1:8">
      <c r="A4945" s="317" t="s">
        <v>40183</v>
      </c>
      <c r="B4945" s="317" t="s">
        <v>49311</v>
      </c>
      <c r="C4945" s="330" t="s">
        <v>13428</v>
      </c>
      <c r="D4945" s="330" t="s">
        <v>13429</v>
      </c>
      <c r="E4945" s="330" t="s">
        <v>37248</v>
      </c>
      <c r="F4945" s="331">
        <v>0.21</v>
      </c>
      <c r="G4945" s="332">
        <v>6435</v>
      </c>
      <c r="H4945" s="333">
        <v>7787</v>
      </c>
    </row>
    <row r="4946" spans="1:8">
      <c r="A4946" s="317" t="s">
        <v>40184</v>
      </c>
      <c r="B4946" s="317" t="s">
        <v>49312</v>
      </c>
      <c r="C4946" s="330" t="s">
        <v>13430</v>
      </c>
      <c r="D4946" s="330" t="s">
        <v>8064</v>
      </c>
      <c r="E4946" s="330" t="s">
        <v>37248</v>
      </c>
      <c r="F4946" s="331">
        <v>0.21</v>
      </c>
      <c r="G4946" s="332">
        <v>5211</v>
      </c>
      <c r="H4946" s="333">
        <v>6306</v>
      </c>
    </row>
    <row r="4947" spans="1:8">
      <c r="A4947" s="317" t="s">
        <v>40185</v>
      </c>
      <c r="B4947" s="317" t="s">
        <v>49313</v>
      </c>
      <c r="C4947" s="330" t="s">
        <v>13431</v>
      </c>
      <c r="D4947" s="330" t="s">
        <v>13432</v>
      </c>
      <c r="E4947" s="330" t="s">
        <v>37248</v>
      </c>
      <c r="F4947" s="331">
        <v>0.21</v>
      </c>
      <c r="G4947" s="332">
        <v>1247</v>
      </c>
      <c r="H4947" s="333">
        <v>1509</v>
      </c>
    </row>
    <row r="4948" spans="1:8">
      <c r="A4948" s="317" t="s">
        <v>40186</v>
      </c>
      <c r="B4948" s="317" t="s">
        <v>49314</v>
      </c>
      <c r="C4948" s="330" t="s">
        <v>13433</v>
      </c>
      <c r="D4948" s="330" t="s">
        <v>13434</v>
      </c>
      <c r="E4948" s="330" t="s">
        <v>37248</v>
      </c>
      <c r="F4948" s="331">
        <v>0.21</v>
      </c>
      <c r="G4948" s="332">
        <v>9174</v>
      </c>
      <c r="H4948" s="333">
        <v>11101</v>
      </c>
    </row>
    <row r="4949" spans="1:8">
      <c r="A4949" s="317" t="s">
        <v>40187</v>
      </c>
      <c r="B4949" s="317" t="s">
        <v>49315</v>
      </c>
      <c r="C4949" s="330" t="s">
        <v>13435</v>
      </c>
      <c r="D4949" s="330" t="s">
        <v>10537</v>
      </c>
      <c r="E4949" s="330" t="s">
        <v>37248</v>
      </c>
      <c r="F4949" s="331">
        <v>0.21</v>
      </c>
      <c r="G4949" s="332">
        <v>9174</v>
      </c>
      <c r="H4949" s="333">
        <v>11101</v>
      </c>
    </row>
    <row r="4950" spans="1:8">
      <c r="A4950" s="317" t="s">
        <v>40188</v>
      </c>
      <c r="B4950" s="317" t="s">
        <v>49316</v>
      </c>
      <c r="C4950" s="330" t="s">
        <v>13436</v>
      </c>
      <c r="D4950" s="330" t="s">
        <v>10537</v>
      </c>
      <c r="E4950" s="330" t="s">
        <v>37248</v>
      </c>
      <c r="F4950" s="331">
        <v>0.21</v>
      </c>
      <c r="G4950" s="332">
        <v>6023</v>
      </c>
      <c r="H4950" s="333">
        <v>7288</v>
      </c>
    </row>
    <row r="4951" spans="1:8">
      <c r="A4951" s="317" t="s">
        <v>40189</v>
      </c>
      <c r="B4951" s="317" t="s">
        <v>49317</v>
      </c>
      <c r="C4951" s="330" t="s">
        <v>13437</v>
      </c>
      <c r="D4951" s="330" t="s">
        <v>13438</v>
      </c>
      <c r="E4951" s="330" t="s">
        <v>37248</v>
      </c>
      <c r="F4951" s="331">
        <v>0.21</v>
      </c>
      <c r="G4951" s="332">
        <v>1247</v>
      </c>
      <c r="H4951" s="333">
        <v>1509</v>
      </c>
    </row>
    <row r="4952" spans="1:8">
      <c r="A4952" s="317" t="s">
        <v>40190</v>
      </c>
      <c r="B4952" s="317" t="s">
        <v>49318</v>
      </c>
      <c r="C4952" s="330" t="s">
        <v>13439</v>
      </c>
      <c r="D4952" s="330" t="s">
        <v>13440</v>
      </c>
      <c r="E4952" s="330" t="s">
        <v>37248</v>
      </c>
      <c r="F4952" s="331">
        <v>0.21</v>
      </c>
      <c r="G4952" s="332">
        <v>1505</v>
      </c>
      <c r="H4952" s="333">
        <v>1822</v>
      </c>
    </row>
    <row r="4953" spans="1:8">
      <c r="A4953" s="317" t="s">
        <v>40191</v>
      </c>
      <c r="B4953" s="317" t="s">
        <v>49319</v>
      </c>
      <c r="C4953" s="330" t="s">
        <v>13441</v>
      </c>
      <c r="D4953" s="330" t="s">
        <v>13442</v>
      </c>
      <c r="E4953" s="330" t="s">
        <v>37248</v>
      </c>
      <c r="F4953" s="331">
        <v>0.21</v>
      </c>
      <c r="G4953" s="332">
        <v>1247</v>
      </c>
      <c r="H4953" s="333">
        <v>1509</v>
      </c>
    </row>
    <row r="4954" spans="1:8">
      <c r="A4954" s="317" t="s">
        <v>40192</v>
      </c>
      <c r="B4954" s="317" t="s">
        <v>49320</v>
      </c>
      <c r="C4954" s="330" t="s">
        <v>13443</v>
      </c>
      <c r="D4954" s="330" t="s">
        <v>13444</v>
      </c>
      <c r="E4954" s="330" t="s">
        <v>37248</v>
      </c>
      <c r="F4954" s="331">
        <v>0.21</v>
      </c>
      <c r="G4954" s="332">
        <v>2197</v>
      </c>
      <c r="H4954" s="333">
        <v>2659</v>
      </c>
    </row>
    <row r="4955" spans="1:8">
      <c r="A4955" s="317" t="s">
        <v>40193</v>
      </c>
      <c r="B4955" s="317" t="s">
        <v>49321</v>
      </c>
      <c r="C4955" s="330" t="s">
        <v>13445</v>
      </c>
      <c r="D4955" s="330" t="s">
        <v>13446</v>
      </c>
      <c r="E4955" s="330" t="s">
        <v>37248</v>
      </c>
      <c r="F4955" s="331">
        <v>0.21</v>
      </c>
      <c r="G4955" s="332">
        <v>1247</v>
      </c>
      <c r="H4955" s="333">
        <v>1509</v>
      </c>
    </row>
    <row r="4956" spans="1:8">
      <c r="A4956" s="317" t="s">
        <v>40194</v>
      </c>
      <c r="B4956" s="317" t="s">
        <v>49322</v>
      </c>
      <c r="C4956" s="330" t="s">
        <v>13447</v>
      </c>
      <c r="D4956" s="330" t="s">
        <v>13446</v>
      </c>
      <c r="E4956" s="330" t="s">
        <v>37248</v>
      </c>
      <c r="F4956" s="331">
        <v>0.21</v>
      </c>
      <c r="G4956" s="332">
        <v>1247</v>
      </c>
      <c r="H4956" s="333">
        <v>1509</v>
      </c>
    </row>
    <row r="4957" spans="1:8">
      <c r="A4957" s="317" t="s">
        <v>40195</v>
      </c>
      <c r="B4957" s="317" t="s">
        <v>49323</v>
      </c>
      <c r="C4957" s="330" t="s">
        <v>13448</v>
      </c>
      <c r="D4957" s="330" t="s">
        <v>8094</v>
      </c>
      <c r="E4957" s="330" t="s">
        <v>37248</v>
      </c>
      <c r="F4957" s="331">
        <v>0.21</v>
      </c>
      <c r="G4957" s="332">
        <v>1247</v>
      </c>
      <c r="H4957" s="333">
        <v>1509</v>
      </c>
    </row>
    <row r="4958" spans="1:8">
      <c r="A4958" s="317" t="s">
        <v>40196</v>
      </c>
      <c r="B4958" s="317" t="s">
        <v>49324</v>
      </c>
      <c r="C4958" s="330" t="s">
        <v>13449</v>
      </c>
      <c r="D4958" s="330" t="s">
        <v>8101</v>
      </c>
      <c r="E4958" s="330" t="s">
        <v>37248</v>
      </c>
      <c r="F4958" s="331">
        <v>0.21</v>
      </c>
      <c r="G4958" s="332">
        <v>1247</v>
      </c>
      <c r="H4958" s="333">
        <v>1509</v>
      </c>
    </row>
    <row r="4959" spans="1:8">
      <c r="A4959" s="317" t="s">
        <v>40197</v>
      </c>
      <c r="B4959" s="317" t="s">
        <v>49325</v>
      </c>
      <c r="C4959" s="330" t="s">
        <v>13450</v>
      </c>
      <c r="D4959" s="330" t="s">
        <v>13451</v>
      </c>
      <c r="E4959" s="330" t="s">
        <v>37248</v>
      </c>
      <c r="F4959" s="331">
        <v>0.21</v>
      </c>
      <c r="G4959" s="332">
        <v>2513</v>
      </c>
      <c r="H4959" s="333">
        <v>3041</v>
      </c>
    </row>
    <row r="4960" spans="1:8">
      <c r="A4960" s="317" t="s">
        <v>40198</v>
      </c>
      <c r="B4960" s="317" t="s">
        <v>49326</v>
      </c>
      <c r="C4960" s="330" t="s">
        <v>13452</v>
      </c>
      <c r="D4960" s="330" t="s">
        <v>13453</v>
      </c>
      <c r="E4960" s="330" t="s">
        <v>37248</v>
      </c>
      <c r="F4960" s="331">
        <v>0.21</v>
      </c>
      <c r="G4960" s="332">
        <v>1247</v>
      </c>
      <c r="H4960" s="333">
        <v>1509</v>
      </c>
    </row>
    <row r="4961" spans="1:8">
      <c r="A4961" s="317" t="s">
        <v>40199</v>
      </c>
      <c r="B4961" s="317" t="s">
        <v>49327</v>
      </c>
      <c r="C4961" s="330" t="s">
        <v>13454</v>
      </c>
      <c r="D4961" s="330" t="s">
        <v>8196</v>
      </c>
      <c r="E4961" s="330" t="s">
        <v>37248</v>
      </c>
      <c r="F4961" s="331">
        <v>0.21</v>
      </c>
      <c r="G4961" s="332">
        <v>1247</v>
      </c>
      <c r="H4961" s="333">
        <v>1509</v>
      </c>
    </row>
    <row r="4962" spans="1:8">
      <c r="A4962" s="317" t="s">
        <v>40200</v>
      </c>
      <c r="B4962" s="317" t="s">
        <v>49328</v>
      </c>
      <c r="C4962" s="330" t="s">
        <v>13455</v>
      </c>
      <c r="D4962" s="330" t="s">
        <v>13456</v>
      </c>
      <c r="E4962" s="330" t="s">
        <v>37248</v>
      </c>
      <c r="F4962" s="331">
        <v>0.21</v>
      </c>
      <c r="G4962" s="332">
        <v>1247</v>
      </c>
      <c r="H4962" s="333">
        <v>1509</v>
      </c>
    </row>
    <row r="4963" spans="1:8">
      <c r="A4963" s="317" t="s">
        <v>40201</v>
      </c>
      <c r="B4963" s="317" t="s">
        <v>49329</v>
      </c>
      <c r="C4963" s="330" t="s">
        <v>13457</v>
      </c>
      <c r="D4963" s="330" t="s">
        <v>13458</v>
      </c>
      <c r="E4963" s="330" t="s">
        <v>37248</v>
      </c>
      <c r="F4963" s="331">
        <v>0.21</v>
      </c>
      <c r="G4963" s="332">
        <v>1247</v>
      </c>
      <c r="H4963" s="333">
        <v>1509</v>
      </c>
    </row>
    <row r="4964" spans="1:8">
      <c r="A4964" s="317" t="s">
        <v>40202</v>
      </c>
      <c r="B4964" s="317" t="s">
        <v>49330</v>
      </c>
      <c r="C4964" s="330" t="s">
        <v>13459</v>
      </c>
      <c r="D4964" s="330" t="s">
        <v>7818</v>
      </c>
      <c r="E4964" s="330" t="s">
        <v>37248</v>
      </c>
      <c r="F4964" s="331">
        <v>0.21</v>
      </c>
      <c r="G4964" s="332">
        <v>1247</v>
      </c>
      <c r="H4964" s="333">
        <v>1509</v>
      </c>
    </row>
    <row r="4965" spans="1:8">
      <c r="A4965" s="317" t="s">
        <v>40203</v>
      </c>
      <c r="B4965" s="317" t="s">
        <v>49331</v>
      </c>
      <c r="C4965" s="330" t="s">
        <v>13460</v>
      </c>
      <c r="D4965" s="330" t="s">
        <v>8111</v>
      </c>
      <c r="E4965" s="330" t="s">
        <v>37248</v>
      </c>
      <c r="F4965" s="331">
        <v>0.21</v>
      </c>
      <c r="G4965" s="332">
        <v>1247</v>
      </c>
      <c r="H4965" s="333">
        <v>1509</v>
      </c>
    </row>
    <row r="4966" spans="1:8">
      <c r="A4966" s="317" t="s">
        <v>40204</v>
      </c>
      <c r="B4966" s="317" t="s">
        <v>49332</v>
      </c>
      <c r="C4966" s="330" t="s">
        <v>13461</v>
      </c>
      <c r="D4966" s="330" t="s">
        <v>13462</v>
      </c>
      <c r="E4966" s="330" t="s">
        <v>37248</v>
      </c>
      <c r="F4966" s="331">
        <v>0.21</v>
      </c>
      <c r="G4966" s="332">
        <v>8860</v>
      </c>
      <c r="H4966" s="333">
        <v>10721</v>
      </c>
    </row>
    <row r="4967" spans="1:8">
      <c r="A4967" s="317" t="s">
        <v>40205</v>
      </c>
      <c r="B4967" s="317" t="s">
        <v>49333</v>
      </c>
      <c r="C4967" s="330" t="s">
        <v>13463</v>
      </c>
      <c r="D4967" s="330" t="s">
        <v>8162</v>
      </c>
      <c r="E4967" s="330" t="s">
        <v>37248</v>
      </c>
      <c r="F4967" s="331">
        <v>0.21</v>
      </c>
      <c r="G4967" s="332">
        <v>1247</v>
      </c>
      <c r="H4967" s="333">
        <v>1509</v>
      </c>
    </row>
    <row r="4968" spans="1:8">
      <c r="A4968" s="317" t="s">
        <v>40206</v>
      </c>
      <c r="B4968" s="317" t="s">
        <v>49334</v>
      </c>
      <c r="C4968" s="330" t="s">
        <v>13464</v>
      </c>
      <c r="D4968" s="330" t="s">
        <v>8164</v>
      </c>
      <c r="E4968" s="330" t="s">
        <v>37248</v>
      </c>
      <c r="F4968" s="331">
        <v>0.21</v>
      </c>
      <c r="G4968" s="332">
        <v>34652</v>
      </c>
      <c r="H4968" s="333">
        <v>41929</v>
      </c>
    </row>
    <row r="4969" spans="1:8">
      <c r="A4969" s="317" t="s">
        <v>40207</v>
      </c>
      <c r="B4969" s="317" t="s">
        <v>49335</v>
      </c>
      <c r="C4969" s="330" t="s">
        <v>13465</v>
      </c>
      <c r="D4969" s="330" t="s">
        <v>13466</v>
      </c>
      <c r="E4969" s="330" t="s">
        <v>37248</v>
      </c>
      <c r="F4969" s="331">
        <v>0.21</v>
      </c>
      <c r="G4969" s="332">
        <v>15722</v>
      </c>
      <c r="H4969" s="333">
        <v>19024</v>
      </c>
    </row>
    <row r="4970" spans="1:8">
      <c r="A4970" s="317" t="s">
        <v>40208</v>
      </c>
      <c r="B4970" s="317" t="s">
        <v>49336</v>
      </c>
      <c r="C4970" s="330" t="s">
        <v>13467</v>
      </c>
      <c r="D4970" s="330" t="s">
        <v>13468</v>
      </c>
      <c r="E4970" s="330" t="s">
        <v>37248</v>
      </c>
      <c r="F4970" s="331">
        <v>0.21</v>
      </c>
      <c r="G4970" s="332">
        <v>8860</v>
      </c>
      <c r="H4970" s="333">
        <v>10721</v>
      </c>
    </row>
    <row r="4971" spans="1:8">
      <c r="A4971" s="317" t="s">
        <v>40209</v>
      </c>
      <c r="B4971" s="317" t="s">
        <v>49337</v>
      </c>
      <c r="C4971" s="330" t="s">
        <v>13469</v>
      </c>
      <c r="D4971" s="330" t="s">
        <v>13470</v>
      </c>
      <c r="E4971" s="330" t="s">
        <v>37248</v>
      </c>
      <c r="F4971" s="331">
        <v>0.21</v>
      </c>
      <c r="G4971" s="332">
        <v>1247</v>
      </c>
      <c r="H4971" s="333">
        <v>1509</v>
      </c>
    </row>
    <row r="4972" spans="1:8">
      <c r="A4972" s="317" t="s">
        <v>40210</v>
      </c>
      <c r="B4972" s="317" t="s">
        <v>49338</v>
      </c>
      <c r="C4972" s="330" t="s">
        <v>13471</v>
      </c>
      <c r="D4972" s="330" t="s">
        <v>7320</v>
      </c>
      <c r="E4972" s="330" t="s">
        <v>37248</v>
      </c>
      <c r="F4972" s="331">
        <v>0.21</v>
      </c>
      <c r="G4972" s="332">
        <v>3102</v>
      </c>
      <c r="H4972" s="333">
        <v>3754</v>
      </c>
    </row>
    <row r="4973" spans="1:8">
      <c r="A4973" s="317" t="s">
        <v>40211</v>
      </c>
      <c r="B4973" s="317" t="s">
        <v>49339</v>
      </c>
      <c r="C4973" s="330" t="s">
        <v>13472</v>
      </c>
      <c r="D4973" s="330" t="s">
        <v>13424</v>
      </c>
      <c r="E4973" s="330" t="s">
        <v>37248</v>
      </c>
      <c r="F4973" s="331">
        <v>0.21</v>
      </c>
      <c r="G4973" s="332">
        <v>1247</v>
      </c>
      <c r="H4973" s="333">
        <v>1509</v>
      </c>
    </row>
    <row r="4974" spans="1:8">
      <c r="A4974" s="317" t="s">
        <v>40212</v>
      </c>
      <c r="B4974" s="317" t="s">
        <v>49340</v>
      </c>
      <c r="C4974" s="330" t="s">
        <v>13473</v>
      </c>
      <c r="D4974" s="330" t="s">
        <v>8162</v>
      </c>
      <c r="E4974" s="330" t="s">
        <v>37248</v>
      </c>
      <c r="F4974" s="331">
        <v>0.21</v>
      </c>
      <c r="G4974" s="332">
        <v>1247</v>
      </c>
      <c r="H4974" s="333">
        <v>1509</v>
      </c>
    </row>
    <row r="4975" spans="1:8">
      <c r="A4975" s="317" t="s">
        <v>40213</v>
      </c>
      <c r="B4975" s="317" t="s">
        <v>49341</v>
      </c>
      <c r="C4975" s="330" t="s">
        <v>13474</v>
      </c>
      <c r="D4975" s="330" t="s">
        <v>8162</v>
      </c>
      <c r="E4975" s="330" t="s">
        <v>37248</v>
      </c>
      <c r="F4975" s="331">
        <v>0.21</v>
      </c>
      <c r="G4975" s="332">
        <v>1247</v>
      </c>
      <c r="H4975" s="333">
        <v>1509</v>
      </c>
    </row>
    <row r="4976" spans="1:8">
      <c r="A4976" s="317" t="s">
        <v>40214</v>
      </c>
      <c r="B4976" s="317" t="s">
        <v>49342</v>
      </c>
      <c r="C4976" s="330" t="s">
        <v>13475</v>
      </c>
      <c r="D4976" s="330" t="s">
        <v>13453</v>
      </c>
      <c r="E4976" s="330" t="s">
        <v>37248</v>
      </c>
      <c r="F4976" s="331">
        <v>0.21</v>
      </c>
      <c r="G4976" s="332">
        <v>1247</v>
      </c>
      <c r="H4976" s="333">
        <v>1509</v>
      </c>
    </row>
    <row r="4977" spans="1:8">
      <c r="A4977" s="317" t="s">
        <v>40215</v>
      </c>
      <c r="B4977" s="317" t="s">
        <v>49343</v>
      </c>
      <c r="C4977" s="330" t="s">
        <v>13476</v>
      </c>
      <c r="D4977" s="330" t="s">
        <v>13456</v>
      </c>
      <c r="E4977" s="330" t="s">
        <v>37248</v>
      </c>
      <c r="F4977" s="331">
        <v>0.21</v>
      </c>
      <c r="G4977" s="332">
        <v>1247</v>
      </c>
      <c r="H4977" s="333">
        <v>1509</v>
      </c>
    </row>
    <row r="4978" spans="1:8">
      <c r="A4978" s="317" t="s">
        <v>40216</v>
      </c>
      <c r="B4978" s="317" t="s">
        <v>49344</v>
      </c>
      <c r="C4978" s="330" t="s">
        <v>13477</v>
      </c>
      <c r="D4978" s="330" t="s">
        <v>13478</v>
      </c>
      <c r="E4978" s="330" t="s">
        <v>37248</v>
      </c>
      <c r="F4978" s="331">
        <v>0.21</v>
      </c>
      <c r="G4978" s="332">
        <v>976</v>
      </c>
      <c r="H4978" s="333">
        <v>1181</v>
      </c>
    </row>
    <row r="4979" spans="1:8">
      <c r="A4979" s="317" t="s">
        <v>40217</v>
      </c>
      <c r="B4979" s="317" t="s">
        <v>49345</v>
      </c>
      <c r="C4979" s="330" t="s">
        <v>13479</v>
      </c>
      <c r="D4979" s="330" t="s">
        <v>6205</v>
      </c>
      <c r="E4979" s="330" t="s">
        <v>37248</v>
      </c>
      <c r="F4979" s="331">
        <v>0.21</v>
      </c>
      <c r="G4979" s="332">
        <v>194</v>
      </c>
      <c r="H4979" s="333">
        <v>235</v>
      </c>
    </row>
    <row r="4980" spans="1:8">
      <c r="A4980" s="317" t="s">
        <v>40218</v>
      </c>
      <c r="B4980" s="317" t="s">
        <v>49346</v>
      </c>
      <c r="C4980" s="330" t="s">
        <v>13480</v>
      </c>
      <c r="D4980" s="330" t="s">
        <v>13481</v>
      </c>
      <c r="E4980" s="330" t="s">
        <v>37248</v>
      </c>
      <c r="F4980" s="331">
        <v>0.21</v>
      </c>
      <c r="G4980" s="332">
        <v>671</v>
      </c>
      <c r="H4980" s="333">
        <v>812</v>
      </c>
    </row>
    <row r="4981" spans="1:8">
      <c r="A4981" s="317" t="s">
        <v>40219</v>
      </c>
      <c r="B4981" s="317" t="s">
        <v>49347</v>
      </c>
      <c r="C4981" s="330" t="s">
        <v>13482</v>
      </c>
      <c r="D4981" s="330" t="s">
        <v>13483</v>
      </c>
      <c r="E4981" s="330" t="s">
        <v>4819</v>
      </c>
      <c r="F4981" s="331">
        <v>0.21</v>
      </c>
      <c r="G4981" s="332">
        <v>2792</v>
      </c>
      <c r="H4981" s="333">
        <v>3379</v>
      </c>
    </row>
    <row r="4982" spans="1:8">
      <c r="A4982" s="317" t="s">
        <v>40220</v>
      </c>
      <c r="B4982" s="317" t="s">
        <v>49348</v>
      </c>
      <c r="C4982" s="330" t="s">
        <v>13484</v>
      </c>
      <c r="D4982" s="330" t="s">
        <v>13485</v>
      </c>
      <c r="E4982" s="330" t="s">
        <v>37248</v>
      </c>
      <c r="F4982" s="331">
        <v>0.21</v>
      </c>
      <c r="G4982" s="332">
        <v>910</v>
      </c>
      <c r="H4982" s="333">
        <v>1102</v>
      </c>
    </row>
    <row r="4983" spans="1:8">
      <c r="A4983" s="317" t="s">
        <v>40221</v>
      </c>
      <c r="B4983" s="317" t="s">
        <v>49349</v>
      </c>
      <c r="C4983" s="330" t="s">
        <v>13486</v>
      </c>
      <c r="D4983" s="330" t="s">
        <v>13187</v>
      </c>
      <c r="E4983" s="330" t="s">
        <v>37248</v>
      </c>
      <c r="F4983" s="331">
        <v>0.21</v>
      </c>
      <c r="G4983" s="332">
        <v>46440</v>
      </c>
      <c r="H4983" s="333">
        <v>56193</v>
      </c>
    </row>
    <row r="4984" spans="1:8">
      <c r="A4984" s="317" t="s">
        <v>40222</v>
      </c>
      <c r="B4984" s="317" t="s">
        <v>49350</v>
      </c>
      <c r="C4984" s="330" t="s">
        <v>13487</v>
      </c>
      <c r="D4984" s="330" t="s">
        <v>13488</v>
      </c>
      <c r="E4984" s="330" t="s">
        <v>37248</v>
      </c>
      <c r="F4984" s="331">
        <v>0.21</v>
      </c>
      <c r="G4984" s="332">
        <v>27183</v>
      </c>
      <c r="H4984" s="333">
        <v>32892</v>
      </c>
    </row>
    <row r="4985" spans="1:8">
      <c r="A4985" s="317" t="s">
        <v>40223</v>
      </c>
      <c r="B4985" s="317" t="s">
        <v>49351</v>
      </c>
      <c r="C4985" s="330" t="s">
        <v>13489</v>
      </c>
      <c r="D4985" s="330" t="s">
        <v>13488</v>
      </c>
      <c r="E4985" s="330" t="s">
        <v>37248</v>
      </c>
      <c r="F4985" s="331">
        <v>0.21</v>
      </c>
      <c r="G4985" s="332">
        <v>30657</v>
      </c>
      <c r="H4985" s="333">
        <v>37095</v>
      </c>
    </row>
    <row r="4986" spans="1:8">
      <c r="A4986" s="317" t="s">
        <v>40224</v>
      </c>
      <c r="B4986" s="317" t="s">
        <v>49352</v>
      </c>
      <c r="C4986" s="330" t="s">
        <v>13490</v>
      </c>
      <c r="D4986" s="330" t="s">
        <v>13199</v>
      </c>
      <c r="E4986" s="330" t="s">
        <v>37248</v>
      </c>
      <c r="F4986" s="331">
        <v>0.21</v>
      </c>
      <c r="G4986" s="332">
        <v>2380</v>
      </c>
      <c r="H4986" s="333">
        <v>2880</v>
      </c>
    </row>
    <row r="4987" spans="1:8">
      <c r="A4987" s="317" t="s">
        <v>40225</v>
      </c>
      <c r="B4987" s="317" t="s">
        <v>49353</v>
      </c>
      <c r="C4987" s="330" t="s">
        <v>13491</v>
      </c>
      <c r="D4987" s="330" t="s">
        <v>13492</v>
      </c>
      <c r="E4987" s="330" t="s">
        <v>37248</v>
      </c>
      <c r="F4987" s="331">
        <v>0.21</v>
      </c>
      <c r="G4987" s="332">
        <v>1072</v>
      </c>
      <c r="H4987" s="333">
        <v>1298</v>
      </c>
    </row>
    <row r="4988" spans="1:8">
      <c r="A4988" s="317" t="s">
        <v>40226</v>
      </c>
      <c r="B4988" s="317" t="s">
        <v>49354</v>
      </c>
      <c r="C4988" s="330" t="s">
        <v>13493</v>
      </c>
      <c r="D4988" s="330" t="s">
        <v>13494</v>
      </c>
      <c r="E4988" s="330" t="s">
        <v>37248</v>
      </c>
      <c r="F4988" s="331">
        <v>0.21</v>
      </c>
      <c r="G4988" s="332">
        <v>240</v>
      </c>
      <c r="H4988" s="333">
        <v>291</v>
      </c>
    </row>
    <row r="4989" spans="1:8">
      <c r="A4989" s="317" t="s">
        <v>40227</v>
      </c>
      <c r="B4989" s="317" t="s">
        <v>49355</v>
      </c>
      <c r="C4989" s="330" t="s">
        <v>13495</v>
      </c>
      <c r="D4989" s="330" t="s">
        <v>13496</v>
      </c>
      <c r="E4989" s="330" t="s">
        <v>37248</v>
      </c>
      <c r="F4989" s="331">
        <v>0.21</v>
      </c>
      <c r="G4989" s="332">
        <v>579</v>
      </c>
      <c r="H4989" s="333">
        <v>701</v>
      </c>
    </row>
    <row r="4990" spans="1:8">
      <c r="A4990" s="317" t="s">
        <v>40228</v>
      </c>
      <c r="B4990" s="317" t="s">
        <v>49356</v>
      </c>
      <c r="C4990" s="330" t="s">
        <v>13497</v>
      </c>
      <c r="D4990" s="330" t="s">
        <v>12553</v>
      </c>
      <c r="E4990" s="330" t="s">
        <v>37248</v>
      </c>
      <c r="F4990" s="331">
        <v>0.21</v>
      </c>
      <c r="G4990" s="332">
        <v>780</v>
      </c>
      <c r="H4990" s="333">
        <v>944</v>
      </c>
    </row>
    <row r="4991" spans="1:8">
      <c r="A4991" s="317" t="s">
        <v>40229</v>
      </c>
      <c r="B4991" s="317" t="s">
        <v>49357</v>
      </c>
      <c r="C4991" s="330" t="s">
        <v>13498</v>
      </c>
      <c r="D4991" s="330" t="s">
        <v>12519</v>
      </c>
      <c r="E4991" s="330" t="s">
        <v>37248</v>
      </c>
      <c r="F4991" s="331">
        <v>0.21</v>
      </c>
      <c r="G4991" s="332">
        <v>194</v>
      </c>
      <c r="H4991" s="333">
        <v>235</v>
      </c>
    </row>
    <row r="4992" spans="1:8">
      <c r="A4992" s="317" t="s">
        <v>40230</v>
      </c>
      <c r="B4992" s="317" t="s">
        <v>49358</v>
      </c>
      <c r="C4992" s="330" t="s">
        <v>13499</v>
      </c>
      <c r="D4992" s="330" t="s">
        <v>7729</v>
      </c>
      <c r="E4992" s="330" t="s">
        <v>37248</v>
      </c>
      <c r="F4992" s="331">
        <v>0.21</v>
      </c>
      <c r="G4992" s="332">
        <v>1505</v>
      </c>
      <c r="H4992" s="333">
        <v>1822</v>
      </c>
    </row>
    <row r="4993" spans="1:8">
      <c r="A4993" s="317" t="s">
        <v>40231</v>
      </c>
      <c r="B4993" s="317" t="s">
        <v>49359</v>
      </c>
      <c r="C4993" s="330" t="s">
        <v>13500</v>
      </c>
      <c r="D4993" s="330" t="s">
        <v>13501</v>
      </c>
      <c r="E4993" s="330" t="s">
        <v>37248</v>
      </c>
      <c r="F4993" s="331">
        <v>0.21</v>
      </c>
      <c r="G4993" s="332">
        <v>194</v>
      </c>
      <c r="H4993" s="333">
        <v>235</v>
      </c>
    </row>
    <row r="4994" spans="1:8">
      <c r="A4994" s="317" t="s">
        <v>40232</v>
      </c>
      <c r="B4994" s="317" t="s">
        <v>49360</v>
      </c>
      <c r="C4994" s="330" t="s">
        <v>13502</v>
      </c>
      <c r="D4994" s="330" t="s">
        <v>7421</v>
      </c>
      <c r="E4994" s="330" t="s">
        <v>37248</v>
      </c>
      <c r="F4994" s="331">
        <v>0.21</v>
      </c>
      <c r="G4994" s="332">
        <v>8222</v>
      </c>
      <c r="H4994" s="333">
        <v>9949</v>
      </c>
    </row>
    <row r="4995" spans="1:8">
      <c r="A4995" s="317" t="s">
        <v>40233</v>
      </c>
      <c r="B4995" s="317" t="s">
        <v>49361</v>
      </c>
      <c r="C4995" s="330" t="s">
        <v>13503</v>
      </c>
      <c r="D4995" s="330" t="s">
        <v>13501</v>
      </c>
      <c r="E4995" s="330" t="s">
        <v>37248</v>
      </c>
      <c r="F4995" s="331">
        <v>0.21</v>
      </c>
      <c r="G4995" s="332">
        <v>6569</v>
      </c>
      <c r="H4995" s="333">
        <v>7949</v>
      </c>
    </row>
    <row r="4996" spans="1:8">
      <c r="A4996" s="317" t="s">
        <v>40234</v>
      </c>
      <c r="B4996" s="317" t="s">
        <v>49362</v>
      </c>
      <c r="C4996" s="330" t="s">
        <v>13504</v>
      </c>
      <c r="D4996" s="330" t="s">
        <v>13505</v>
      </c>
      <c r="E4996" s="330" t="s">
        <v>37248</v>
      </c>
      <c r="F4996" s="331">
        <v>0.21</v>
      </c>
      <c r="G4996" s="332">
        <v>18885</v>
      </c>
      <c r="H4996" s="333">
        <v>22851</v>
      </c>
    </row>
    <row r="4997" spans="1:8">
      <c r="A4997" s="317" t="s">
        <v>40235</v>
      </c>
      <c r="B4997" s="317" t="s">
        <v>49363</v>
      </c>
      <c r="C4997" s="330" t="s">
        <v>13506</v>
      </c>
      <c r="D4997" s="330" t="s">
        <v>13501</v>
      </c>
      <c r="E4997" s="330" t="s">
        <v>37248</v>
      </c>
      <c r="F4997" s="331">
        <v>0.21</v>
      </c>
      <c r="G4997" s="332">
        <v>5143</v>
      </c>
      <c r="H4997" s="333">
        <v>6224</v>
      </c>
    </row>
    <row r="4998" spans="1:8">
      <c r="A4998" s="317" t="s">
        <v>40236</v>
      </c>
      <c r="B4998" s="317" t="s">
        <v>49364</v>
      </c>
      <c r="C4998" s="330" t="s">
        <v>13507</v>
      </c>
      <c r="D4998" s="330" t="s">
        <v>13488</v>
      </c>
      <c r="E4998" s="330" t="s">
        <v>37248</v>
      </c>
      <c r="F4998" s="331">
        <v>0.21</v>
      </c>
      <c r="G4998" s="332">
        <v>25930</v>
      </c>
      <c r="H4998" s="333">
        <v>31376</v>
      </c>
    </row>
    <row r="4999" spans="1:8">
      <c r="A4999" s="317" t="s">
        <v>40237</v>
      </c>
      <c r="B4999" s="317" t="s">
        <v>49365</v>
      </c>
      <c r="C4999" s="330" t="s">
        <v>13508</v>
      </c>
      <c r="D4999" s="330" t="s">
        <v>13488</v>
      </c>
      <c r="E4999" s="330" t="s">
        <v>37248</v>
      </c>
      <c r="F4999" s="331">
        <v>0.21</v>
      </c>
      <c r="G4999" s="332">
        <v>24645</v>
      </c>
      <c r="H4999" s="333">
        <v>29821</v>
      </c>
    </row>
    <row r="5000" spans="1:8">
      <c r="A5000" s="317" t="s">
        <v>40238</v>
      </c>
      <c r="B5000" s="317" t="s">
        <v>49366</v>
      </c>
      <c r="C5000" s="330" t="s">
        <v>13509</v>
      </c>
      <c r="D5000" s="330" t="s">
        <v>13510</v>
      </c>
      <c r="E5000" s="330" t="s">
        <v>37248</v>
      </c>
      <c r="F5000" s="331">
        <v>0.21</v>
      </c>
      <c r="G5000" s="332">
        <v>23431</v>
      </c>
      <c r="H5000" s="333">
        <v>28352</v>
      </c>
    </row>
    <row r="5001" spans="1:8">
      <c r="A5001" s="317" t="s">
        <v>40239</v>
      </c>
      <c r="B5001" s="317" t="s">
        <v>49367</v>
      </c>
      <c r="C5001" s="330" t="s">
        <v>13511</v>
      </c>
      <c r="D5001" s="330" t="s">
        <v>13512</v>
      </c>
      <c r="E5001" s="330" t="s">
        <v>37248</v>
      </c>
      <c r="F5001" s="331">
        <v>0.21</v>
      </c>
      <c r="G5001" s="332">
        <v>1748</v>
      </c>
      <c r="H5001" s="333">
        <v>2116</v>
      </c>
    </row>
    <row r="5002" spans="1:8">
      <c r="A5002" s="317" t="s">
        <v>40240</v>
      </c>
      <c r="B5002" s="317" t="s">
        <v>49368</v>
      </c>
      <c r="C5002" s="330" t="s">
        <v>13513</v>
      </c>
      <c r="D5002" s="330" t="s">
        <v>13060</v>
      </c>
      <c r="E5002" s="330" t="s">
        <v>37248</v>
      </c>
      <c r="F5002" s="331">
        <v>0.21</v>
      </c>
      <c r="G5002" s="332">
        <v>1247</v>
      </c>
      <c r="H5002" s="333">
        <v>1509</v>
      </c>
    </row>
    <row r="5003" spans="1:8">
      <c r="A5003" s="317" t="s">
        <v>40241</v>
      </c>
      <c r="B5003" s="317" t="s">
        <v>49369</v>
      </c>
      <c r="C5003" s="330" t="s">
        <v>13514</v>
      </c>
      <c r="D5003" s="330" t="s">
        <v>7832</v>
      </c>
      <c r="E5003" s="330" t="s">
        <v>37248</v>
      </c>
      <c r="F5003" s="331">
        <v>0.21</v>
      </c>
      <c r="G5003" s="332">
        <v>1748</v>
      </c>
      <c r="H5003" s="333">
        <v>2116</v>
      </c>
    </row>
    <row r="5004" spans="1:8">
      <c r="A5004" s="317" t="s">
        <v>40242</v>
      </c>
      <c r="B5004" s="317" t="s">
        <v>49370</v>
      </c>
      <c r="C5004" s="330" t="s">
        <v>13515</v>
      </c>
      <c r="D5004" s="330" t="s">
        <v>13516</v>
      </c>
      <c r="E5004" s="330" t="s">
        <v>37248</v>
      </c>
      <c r="F5004" s="331">
        <v>0.21</v>
      </c>
      <c r="G5004" s="332">
        <v>1247</v>
      </c>
      <c r="H5004" s="333">
        <v>1509</v>
      </c>
    </row>
    <row r="5005" spans="1:8">
      <c r="A5005" s="317" t="s">
        <v>40243</v>
      </c>
      <c r="B5005" s="317" t="s">
        <v>49371</v>
      </c>
      <c r="C5005" s="330" t="s">
        <v>13517</v>
      </c>
      <c r="D5005" s="330" t="s">
        <v>13516</v>
      </c>
      <c r="E5005" s="330" t="s">
        <v>37248</v>
      </c>
      <c r="F5005" s="331">
        <v>0.21</v>
      </c>
      <c r="G5005" s="332">
        <v>1247</v>
      </c>
      <c r="H5005" s="333">
        <v>1509</v>
      </c>
    </row>
    <row r="5006" spans="1:8">
      <c r="A5006" s="317" t="s">
        <v>40244</v>
      </c>
      <c r="B5006" s="317" t="s">
        <v>49372</v>
      </c>
      <c r="C5006" s="330" t="s">
        <v>13518</v>
      </c>
      <c r="D5006" s="330" t="s">
        <v>13519</v>
      </c>
      <c r="E5006" s="330" t="s">
        <v>37248</v>
      </c>
      <c r="F5006" s="331">
        <v>0.21</v>
      </c>
      <c r="G5006" s="332">
        <v>1505</v>
      </c>
      <c r="H5006" s="333">
        <v>1822</v>
      </c>
    </row>
    <row r="5007" spans="1:8">
      <c r="A5007" s="317" t="s">
        <v>40245</v>
      </c>
      <c r="B5007" s="317" t="s">
        <v>49373</v>
      </c>
      <c r="C5007" s="330" t="s">
        <v>13520</v>
      </c>
      <c r="D5007" s="330" t="s">
        <v>13521</v>
      </c>
      <c r="E5007" s="330" t="s">
        <v>37248</v>
      </c>
      <c r="F5007" s="331">
        <v>0.21</v>
      </c>
      <c r="G5007" s="332">
        <v>2197</v>
      </c>
      <c r="H5007" s="333">
        <v>2659</v>
      </c>
    </row>
    <row r="5008" spans="1:8">
      <c r="A5008" s="317" t="s">
        <v>40246</v>
      </c>
      <c r="B5008" s="317" t="s">
        <v>49374</v>
      </c>
      <c r="C5008" s="330" t="s">
        <v>13522</v>
      </c>
      <c r="D5008" s="330" t="s">
        <v>13523</v>
      </c>
      <c r="E5008" s="330" t="s">
        <v>37248</v>
      </c>
      <c r="F5008" s="331">
        <v>0.21</v>
      </c>
      <c r="G5008" s="332">
        <v>1247</v>
      </c>
      <c r="H5008" s="333">
        <v>1509</v>
      </c>
    </row>
    <row r="5009" spans="1:8">
      <c r="A5009" s="317" t="s">
        <v>40247</v>
      </c>
      <c r="B5009" s="317" t="s">
        <v>49375</v>
      </c>
      <c r="C5009" s="330" t="s">
        <v>13524</v>
      </c>
      <c r="D5009" s="330" t="s">
        <v>13525</v>
      </c>
      <c r="E5009" s="330" t="s">
        <v>37248</v>
      </c>
      <c r="F5009" s="331">
        <v>0.21</v>
      </c>
      <c r="G5009" s="332">
        <v>1247</v>
      </c>
      <c r="H5009" s="333">
        <v>1509</v>
      </c>
    </row>
    <row r="5010" spans="1:8">
      <c r="A5010" s="317" t="s">
        <v>40248</v>
      </c>
      <c r="B5010" s="317" t="s">
        <v>49376</v>
      </c>
      <c r="C5010" s="330" t="s">
        <v>13526</v>
      </c>
      <c r="D5010" s="330" t="s">
        <v>7818</v>
      </c>
      <c r="E5010" s="330" t="s">
        <v>37248</v>
      </c>
      <c r="F5010" s="331">
        <v>0.21</v>
      </c>
      <c r="G5010" s="332">
        <v>1247</v>
      </c>
      <c r="H5010" s="333">
        <v>1509</v>
      </c>
    </row>
    <row r="5011" spans="1:8">
      <c r="A5011" s="317" t="s">
        <v>40249</v>
      </c>
      <c r="B5011" s="317" t="s">
        <v>49377</v>
      </c>
      <c r="C5011" s="330" t="s">
        <v>13527</v>
      </c>
      <c r="D5011" s="330" t="s">
        <v>8111</v>
      </c>
      <c r="E5011" s="330" t="s">
        <v>37248</v>
      </c>
      <c r="F5011" s="331">
        <v>0.21</v>
      </c>
      <c r="G5011" s="332">
        <v>1247</v>
      </c>
      <c r="H5011" s="333">
        <v>1509</v>
      </c>
    </row>
    <row r="5012" spans="1:8">
      <c r="A5012" s="317" t="s">
        <v>40250</v>
      </c>
      <c r="B5012" s="317" t="s">
        <v>49378</v>
      </c>
      <c r="C5012" s="330" t="s">
        <v>13528</v>
      </c>
      <c r="D5012" s="330" t="s">
        <v>7653</v>
      </c>
      <c r="E5012" s="330" t="s">
        <v>37248</v>
      </c>
      <c r="F5012" s="331">
        <v>0.21</v>
      </c>
      <c r="G5012" s="332">
        <v>1247</v>
      </c>
      <c r="H5012" s="333">
        <v>1509</v>
      </c>
    </row>
    <row r="5013" spans="1:8">
      <c r="A5013" s="317" t="s">
        <v>40251</v>
      </c>
      <c r="B5013" s="317" t="s">
        <v>49379</v>
      </c>
      <c r="C5013" s="330" t="s">
        <v>13529</v>
      </c>
      <c r="D5013" s="330" t="s">
        <v>13530</v>
      </c>
      <c r="E5013" s="330" t="s">
        <v>37248</v>
      </c>
      <c r="F5013" s="331">
        <v>0.21</v>
      </c>
      <c r="G5013" s="332">
        <v>1247</v>
      </c>
      <c r="H5013" s="333">
        <v>1509</v>
      </c>
    </row>
    <row r="5014" spans="1:8">
      <c r="A5014" s="317" t="s">
        <v>40252</v>
      </c>
      <c r="B5014" s="317" t="s">
        <v>49380</v>
      </c>
      <c r="C5014" s="330" t="s">
        <v>13531</v>
      </c>
      <c r="D5014" s="330" t="s">
        <v>7653</v>
      </c>
      <c r="E5014" s="330" t="s">
        <v>37248</v>
      </c>
      <c r="F5014" s="331">
        <v>0.21</v>
      </c>
      <c r="G5014" s="332">
        <v>1247</v>
      </c>
      <c r="H5014" s="333">
        <v>1509</v>
      </c>
    </row>
    <row r="5015" spans="1:8">
      <c r="A5015" s="317" t="s">
        <v>40253</v>
      </c>
      <c r="B5015" s="317" t="s">
        <v>49381</v>
      </c>
      <c r="C5015" s="330" t="s">
        <v>13532</v>
      </c>
      <c r="D5015" s="330" t="s">
        <v>13533</v>
      </c>
      <c r="E5015" s="330" t="s">
        <v>37248</v>
      </c>
      <c r="F5015" s="331">
        <v>0.21</v>
      </c>
      <c r="G5015" s="332">
        <v>1247</v>
      </c>
      <c r="H5015" s="333">
        <v>1509</v>
      </c>
    </row>
    <row r="5016" spans="1:8">
      <c r="A5016" s="317" t="s">
        <v>40254</v>
      </c>
      <c r="B5016" s="317" t="s">
        <v>49382</v>
      </c>
      <c r="C5016" s="330" t="s">
        <v>13534</v>
      </c>
      <c r="D5016" s="330" t="s">
        <v>13535</v>
      </c>
      <c r="E5016" s="330" t="s">
        <v>37248</v>
      </c>
      <c r="F5016" s="331">
        <v>0.21</v>
      </c>
      <c r="G5016" s="332">
        <v>25839</v>
      </c>
      <c r="H5016" s="333">
        <v>31266</v>
      </c>
    </row>
    <row r="5017" spans="1:8">
      <c r="A5017" s="317" t="s">
        <v>40255</v>
      </c>
      <c r="B5017" s="317" t="s">
        <v>49383</v>
      </c>
      <c r="C5017" s="330" t="s">
        <v>13536</v>
      </c>
      <c r="D5017" s="330" t="s">
        <v>6408</v>
      </c>
      <c r="E5017" s="330" t="s">
        <v>37248</v>
      </c>
      <c r="F5017" s="331">
        <v>0.21</v>
      </c>
      <c r="G5017" s="332">
        <v>1247</v>
      </c>
      <c r="H5017" s="333">
        <v>1509</v>
      </c>
    </row>
    <row r="5018" spans="1:8">
      <c r="A5018" s="317" t="s">
        <v>40256</v>
      </c>
      <c r="B5018" s="317" t="s">
        <v>49384</v>
      </c>
      <c r="C5018" s="330" t="s">
        <v>13537</v>
      </c>
      <c r="D5018" s="330" t="s">
        <v>7879</v>
      </c>
      <c r="E5018" s="330" t="s">
        <v>37248</v>
      </c>
      <c r="F5018" s="331">
        <v>0.21</v>
      </c>
      <c r="G5018" s="332">
        <v>5465</v>
      </c>
      <c r="H5018" s="333">
        <v>6613</v>
      </c>
    </row>
    <row r="5019" spans="1:8">
      <c r="A5019" s="317" t="s">
        <v>40257</v>
      </c>
      <c r="B5019" s="317" t="s">
        <v>49385</v>
      </c>
      <c r="C5019" s="330" t="s">
        <v>13538</v>
      </c>
      <c r="D5019" s="330" t="s">
        <v>13539</v>
      </c>
      <c r="E5019" s="330" t="s">
        <v>37248</v>
      </c>
      <c r="F5019" s="331">
        <v>0.21</v>
      </c>
      <c r="G5019" s="332">
        <v>2966</v>
      </c>
      <c r="H5019" s="333">
        <v>3589</v>
      </c>
    </row>
    <row r="5020" spans="1:8">
      <c r="A5020" s="317" t="s">
        <v>40258</v>
      </c>
      <c r="B5020" s="317" t="s">
        <v>49386</v>
      </c>
      <c r="C5020" s="330" t="s">
        <v>13540</v>
      </c>
      <c r="D5020" s="330" t="s">
        <v>8281</v>
      </c>
      <c r="E5020" s="330" t="s">
        <v>37248</v>
      </c>
      <c r="F5020" s="331">
        <v>0.21</v>
      </c>
      <c r="G5020" s="332">
        <v>976</v>
      </c>
      <c r="H5020" s="333">
        <v>1181</v>
      </c>
    </row>
    <row r="5021" spans="1:8">
      <c r="A5021" s="317" t="s">
        <v>40259</v>
      </c>
      <c r="B5021" s="317" t="s">
        <v>49387</v>
      </c>
      <c r="C5021" s="330" t="s">
        <v>13541</v>
      </c>
      <c r="D5021" s="330" t="s">
        <v>13542</v>
      </c>
      <c r="E5021" s="330" t="s">
        <v>37248</v>
      </c>
      <c r="F5021" s="331">
        <v>0.21</v>
      </c>
      <c r="G5021" s="332">
        <v>976</v>
      </c>
      <c r="H5021" s="333">
        <v>1181</v>
      </c>
    </row>
    <row r="5022" spans="1:8">
      <c r="A5022" s="317" t="s">
        <v>40260</v>
      </c>
      <c r="B5022" s="317" t="s">
        <v>49388</v>
      </c>
      <c r="C5022" s="330" t="s">
        <v>13543</v>
      </c>
      <c r="D5022" s="330" t="s">
        <v>13544</v>
      </c>
      <c r="E5022" s="330" t="s">
        <v>37248</v>
      </c>
      <c r="F5022" s="331">
        <v>0.21</v>
      </c>
      <c r="G5022" s="332">
        <v>976</v>
      </c>
      <c r="H5022" s="333">
        <v>1181</v>
      </c>
    </row>
    <row r="5023" spans="1:8">
      <c r="A5023" s="317" t="s">
        <v>40261</v>
      </c>
      <c r="B5023" s="317" t="s">
        <v>49389</v>
      </c>
      <c r="C5023" s="330" t="s">
        <v>13545</v>
      </c>
      <c r="D5023" s="330" t="s">
        <v>12578</v>
      </c>
      <c r="E5023" s="330" t="s">
        <v>37248</v>
      </c>
      <c r="F5023" s="331">
        <v>0.21</v>
      </c>
      <c r="G5023" s="332">
        <v>194</v>
      </c>
      <c r="H5023" s="333">
        <v>235</v>
      </c>
    </row>
    <row r="5024" spans="1:8">
      <c r="A5024" s="317" t="s">
        <v>40262</v>
      </c>
      <c r="B5024" s="317" t="s">
        <v>49390</v>
      </c>
      <c r="C5024" s="330" t="s">
        <v>13546</v>
      </c>
      <c r="D5024" s="330" t="s">
        <v>7725</v>
      </c>
      <c r="E5024" s="330" t="s">
        <v>37248</v>
      </c>
      <c r="F5024" s="331">
        <v>0.21</v>
      </c>
      <c r="G5024" s="332">
        <v>4544</v>
      </c>
      <c r="H5024" s="333">
        <v>5499</v>
      </c>
    </row>
    <row r="5025" spans="1:8">
      <c r="A5025" s="317" t="s">
        <v>40263</v>
      </c>
      <c r="B5025" s="317" t="s">
        <v>49391</v>
      </c>
      <c r="C5025" s="330" t="s">
        <v>13547</v>
      </c>
      <c r="D5025" s="330" t="s">
        <v>13548</v>
      </c>
      <c r="E5025" s="330" t="s">
        <v>37248</v>
      </c>
      <c r="F5025" s="331">
        <v>0.21</v>
      </c>
      <c r="G5025" s="332">
        <v>976</v>
      </c>
      <c r="H5025" s="333">
        <v>1181</v>
      </c>
    </row>
    <row r="5026" spans="1:8">
      <c r="A5026" s="317" t="s">
        <v>40264</v>
      </c>
      <c r="B5026" s="317" t="s">
        <v>49392</v>
      </c>
      <c r="C5026" s="330" t="s">
        <v>13549</v>
      </c>
      <c r="D5026" s="330" t="s">
        <v>8402</v>
      </c>
      <c r="E5026" s="330" t="s">
        <v>37248</v>
      </c>
      <c r="F5026" s="331">
        <v>0.21</v>
      </c>
      <c r="G5026" s="332">
        <v>548</v>
      </c>
      <c r="H5026" s="333">
        <v>664</v>
      </c>
    </row>
    <row r="5027" spans="1:8">
      <c r="A5027" s="317" t="s">
        <v>40265</v>
      </c>
      <c r="B5027" s="317" t="s">
        <v>49393</v>
      </c>
      <c r="C5027" s="330" t="s">
        <v>13550</v>
      </c>
      <c r="D5027" s="330" t="s">
        <v>7649</v>
      </c>
      <c r="E5027" s="330" t="s">
        <v>37248</v>
      </c>
      <c r="F5027" s="331">
        <v>0.21</v>
      </c>
      <c r="G5027" s="332">
        <v>519</v>
      </c>
      <c r="H5027" s="333">
        <v>628</v>
      </c>
    </row>
    <row r="5028" spans="1:8">
      <c r="A5028" s="317" t="s">
        <v>40266</v>
      </c>
      <c r="B5028" s="317" t="s">
        <v>49394</v>
      </c>
      <c r="C5028" s="330" t="s">
        <v>13551</v>
      </c>
      <c r="D5028" s="330" t="s">
        <v>7649</v>
      </c>
      <c r="E5028" s="330" t="s">
        <v>37248</v>
      </c>
      <c r="F5028" s="331">
        <v>0.21</v>
      </c>
      <c r="G5028" s="332">
        <v>519</v>
      </c>
      <c r="H5028" s="333">
        <v>628</v>
      </c>
    </row>
    <row r="5029" spans="1:8">
      <c r="A5029" s="317" t="s">
        <v>40267</v>
      </c>
      <c r="B5029" s="317" t="s">
        <v>49395</v>
      </c>
      <c r="C5029" s="330" t="s">
        <v>13552</v>
      </c>
      <c r="D5029" s="330" t="s">
        <v>7649</v>
      </c>
      <c r="E5029" s="330" t="s">
        <v>37248</v>
      </c>
      <c r="F5029" s="331">
        <v>0.21</v>
      </c>
      <c r="G5029" s="332">
        <v>519</v>
      </c>
      <c r="H5029" s="333">
        <v>628</v>
      </c>
    </row>
    <row r="5030" spans="1:8">
      <c r="A5030" s="317" t="s">
        <v>40268</v>
      </c>
      <c r="B5030" s="317" t="s">
        <v>49396</v>
      </c>
      <c r="C5030" s="330" t="s">
        <v>13553</v>
      </c>
      <c r="D5030" s="330" t="s">
        <v>13554</v>
      </c>
      <c r="E5030" s="330" t="s">
        <v>37248</v>
      </c>
      <c r="F5030" s="331">
        <v>0.21</v>
      </c>
      <c r="G5030" s="332">
        <v>7787</v>
      </c>
      <c r="H5030" s="333">
        <v>9423</v>
      </c>
    </row>
    <row r="5031" spans="1:8">
      <c r="A5031" s="317" t="s">
        <v>40269</v>
      </c>
      <c r="B5031" s="317" t="s">
        <v>49397</v>
      </c>
      <c r="C5031" s="330" t="s">
        <v>13555</v>
      </c>
      <c r="D5031" s="330" t="s">
        <v>8101</v>
      </c>
      <c r="E5031" s="330" t="s">
        <v>37248</v>
      </c>
      <c r="F5031" s="331">
        <v>0.21</v>
      </c>
      <c r="G5031" s="332">
        <v>5940</v>
      </c>
      <c r="H5031" s="333">
        <v>7188</v>
      </c>
    </row>
    <row r="5032" spans="1:8">
      <c r="A5032" s="317" t="s">
        <v>40270</v>
      </c>
      <c r="B5032" s="317" t="s">
        <v>49398</v>
      </c>
      <c r="C5032" s="330" t="s">
        <v>13556</v>
      </c>
      <c r="D5032" s="330" t="s">
        <v>7725</v>
      </c>
      <c r="E5032" s="330" t="s">
        <v>37248</v>
      </c>
      <c r="F5032" s="331">
        <v>0.21</v>
      </c>
      <c r="G5032" s="332">
        <v>19300</v>
      </c>
      <c r="H5032" s="333">
        <v>23353</v>
      </c>
    </row>
    <row r="5033" spans="1:8">
      <c r="A5033" s="317" t="s">
        <v>40271</v>
      </c>
      <c r="B5033" s="317" t="s">
        <v>49399</v>
      </c>
      <c r="C5033" s="330" t="s">
        <v>13557</v>
      </c>
      <c r="D5033" s="330" t="s">
        <v>13558</v>
      </c>
      <c r="E5033" s="330" t="s">
        <v>37248</v>
      </c>
      <c r="F5033" s="331">
        <v>0.21</v>
      </c>
      <c r="G5033" s="332">
        <v>452</v>
      </c>
      <c r="H5033" s="333">
        <v>547</v>
      </c>
    </row>
    <row r="5034" spans="1:8">
      <c r="A5034" s="317" t="s">
        <v>40272</v>
      </c>
      <c r="B5034" s="317" t="s">
        <v>49400</v>
      </c>
      <c r="C5034" s="330" t="s">
        <v>13559</v>
      </c>
      <c r="D5034" s="330" t="s">
        <v>13560</v>
      </c>
      <c r="E5034" s="330" t="s">
        <v>37248</v>
      </c>
      <c r="F5034" s="331">
        <v>0.21</v>
      </c>
      <c r="G5034" s="332">
        <v>5081</v>
      </c>
      <c r="H5034" s="333">
        <v>6149</v>
      </c>
    </row>
    <row r="5035" spans="1:8">
      <c r="A5035" s="317" t="s">
        <v>40273</v>
      </c>
      <c r="B5035" s="317" t="s">
        <v>49401</v>
      </c>
      <c r="C5035" s="330" t="s">
        <v>13561</v>
      </c>
      <c r="D5035" s="330" t="s">
        <v>13562</v>
      </c>
      <c r="E5035" s="330" t="s">
        <v>37248</v>
      </c>
      <c r="F5035" s="331">
        <v>0.21</v>
      </c>
      <c r="G5035" s="332">
        <v>296</v>
      </c>
      <c r="H5035" s="333">
        <v>359</v>
      </c>
    </row>
    <row r="5036" spans="1:8">
      <c r="A5036" s="317" t="s">
        <v>40274</v>
      </c>
      <c r="B5036" s="317" t="s">
        <v>49402</v>
      </c>
      <c r="C5036" s="330" t="s">
        <v>13563</v>
      </c>
      <c r="D5036" s="330" t="s">
        <v>13564</v>
      </c>
      <c r="E5036" s="330" t="s">
        <v>37248</v>
      </c>
      <c r="F5036" s="331">
        <v>0.21</v>
      </c>
      <c r="G5036" s="332">
        <v>1247</v>
      </c>
      <c r="H5036" s="333">
        <v>1509</v>
      </c>
    </row>
    <row r="5037" spans="1:8">
      <c r="A5037" s="317" t="s">
        <v>40275</v>
      </c>
      <c r="B5037" s="317" t="s">
        <v>49403</v>
      </c>
      <c r="C5037" s="330" t="s">
        <v>13565</v>
      </c>
      <c r="D5037" s="330" t="s">
        <v>13566</v>
      </c>
      <c r="E5037" s="330" t="s">
        <v>37248</v>
      </c>
      <c r="F5037" s="331">
        <v>0.21</v>
      </c>
      <c r="G5037" s="332">
        <v>1247</v>
      </c>
      <c r="H5037" s="333">
        <v>1509</v>
      </c>
    </row>
    <row r="5038" spans="1:8">
      <c r="A5038" s="317" t="s">
        <v>40276</v>
      </c>
      <c r="B5038" s="317" t="s">
        <v>49404</v>
      </c>
      <c r="C5038" s="330" t="s">
        <v>13567</v>
      </c>
      <c r="D5038" s="330" t="s">
        <v>13568</v>
      </c>
      <c r="E5038" s="330" t="s">
        <v>37248</v>
      </c>
      <c r="F5038" s="331">
        <v>0.21</v>
      </c>
      <c r="G5038" s="332">
        <v>3345</v>
      </c>
      <c r="H5038" s="333">
        <v>4048</v>
      </c>
    </row>
    <row r="5039" spans="1:8">
      <c r="A5039" s="317" t="s">
        <v>40277</v>
      </c>
      <c r="B5039" s="317" t="s">
        <v>49405</v>
      </c>
      <c r="C5039" s="330" t="s">
        <v>13569</v>
      </c>
      <c r="D5039" s="330" t="s">
        <v>13570</v>
      </c>
      <c r="E5039" s="330" t="s">
        <v>37248</v>
      </c>
      <c r="F5039" s="331">
        <v>0.21</v>
      </c>
      <c r="G5039" s="332">
        <v>3102</v>
      </c>
      <c r="H5039" s="333">
        <v>3754</v>
      </c>
    </row>
    <row r="5040" spans="1:8">
      <c r="A5040" s="317" t="s">
        <v>40278</v>
      </c>
      <c r="B5040" s="317" t="s">
        <v>49406</v>
      </c>
      <c r="C5040" s="330" t="s">
        <v>13571</v>
      </c>
      <c r="D5040" s="330" t="s">
        <v>7851</v>
      </c>
      <c r="E5040" s="330" t="s">
        <v>37248</v>
      </c>
      <c r="F5040" s="331">
        <v>0.21</v>
      </c>
      <c r="G5040" s="332">
        <v>2513</v>
      </c>
      <c r="H5040" s="333">
        <v>3041</v>
      </c>
    </row>
    <row r="5041" spans="1:8">
      <c r="A5041" s="317" t="s">
        <v>40279</v>
      </c>
      <c r="B5041" s="317" t="s">
        <v>49407</v>
      </c>
      <c r="C5041" s="330" t="s">
        <v>13572</v>
      </c>
      <c r="D5041" s="330" t="s">
        <v>13573</v>
      </c>
      <c r="E5041" s="330" t="s">
        <v>37248</v>
      </c>
      <c r="F5041" s="331">
        <v>0.21</v>
      </c>
      <c r="G5041" s="332">
        <v>1247</v>
      </c>
      <c r="H5041" s="333">
        <v>1509</v>
      </c>
    </row>
    <row r="5042" spans="1:8">
      <c r="A5042" s="317" t="s">
        <v>40280</v>
      </c>
      <c r="B5042" s="317" t="s">
        <v>49408</v>
      </c>
      <c r="C5042" s="330" t="s">
        <v>13574</v>
      </c>
      <c r="D5042" s="330" t="s">
        <v>7632</v>
      </c>
      <c r="E5042" s="330" t="s">
        <v>37248</v>
      </c>
      <c r="F5042" s="331">
        <v>0.21</v>
      </c>
      <c r="G5042" s="332">
        <v>1247</v>
      </c>
      <c r="H5042" s="333">
        <v>1509</v>
      </c>
    </row>
    <row r="5043" spans="1:8">
      <c r="A5043" s="317" t="s">
        <v>40281</v>
      </c>
      <c r="B5043" s="317" t="s">
        <v>49409</v>
      </c>
      <c r="C5043" s="330" t="s">
        <v>13575</v>
      </c>
      <c r="D5043" s="330" t="s">
        <v>10546</v>
      </c>
      <c r="E5043" s="330" t="s">
        <v>37248</v>
      </c>
      <c r="F5043" s="331">
        <v>0.21</v>
      </c>
      <c r="G5043" s="332">
        <v>13449</v>
      </c>
      <c r="H5043" s="333">
        <v>16274</v>
      </c>
    </row>
    <row r="5044" spans="1:8">
      <c r="A5044" s="317" t="s">
        <v>40282</v>
      </c>
      <c r="B5044" s="317" t="s">
        <v>49410</v>
      </c>
      <c r="C5044" s="330" t="s">
        <v>13576</v>
      </c>
      <c r="D5044" s="330" t="s">
        <v>13577</v>
      </c>
      <c r="E5044" s="330" t="s">
        <v>37248</v>
      </c>
      <c r="F5044" s="331">
        <v>0.21</v>
      </c>
      <c r="G5044" s="332">
        <v>6408</v>
      </c>
      <c r="H5044" s="333">
        <v>7754</v>
      </c>
    </row>
    <row r="5045" spans="1:8">
      <c r="A5045" s="317" t="s">
        <v>40283</v>
      </c>
      <c r="B5045" s="317" t="s">
        <v>49411</v>
      </c>
      <c r="C5045" s="330" t="s">
        <v>13578</v>
      </c>
      <c r="D5045" s="330" t="s">
        <v>7588</v>
      </c>
      <c r="E5045" s="330" t="s">
        <v>37248</v>
      </c>
      <c r="F5045" s="331">
        <v>0.21</v>
      </c>
      <c r="G5045" s="332">
        <v>17101</v>
      </c>
      <c r="H5045" s="333">
        <v>20693</v>
      </c>
    </row>
    <row r="5046" spans="1:8">
      <c r="A5046" s="317" t="s">
        <v>40284</v>
      </c>
      <c r="B5046" s="317" t="s">
        <v>49412</v>
      </c>
      <c r="C5046" s="330" t="s">
        <v>13579</v>
      </c>
      <c r="D5046" s="330" t="s">
        <v>7774</v>
      </c>
      <c r="E5046" s="330" t="s">
        <v>37248</v>
      </c>
      <c r="F5046" s="331">
        <v>0.21</v>
      </c>
      <c r="G5046" s="332">
        <v>2513</v>
      </c>
      <c r="H5046" s="333">
        <v>3041</v>
      </c>
    </row>
    <row r="5047" spans="1:8">
      <c r="A5047" s="317" t="s">
        <v>40285</v>
      </c>
      <c r="B5047" s="317" t="s">
        <v>49413</v>
      </c>
      <c r="C5047" s="330" t="s">
        <v>13580</v>
      </c>
      <c r="D5047" s="330" t="s">
        <v>7320</v>
      </c>
      <c r="E5047" s="330" t="s">
        <v>37248</v>
      </c>
      <c r="F5047" s="331">
        <v>0.21</v>
      </c>
      <c r="G5047" s="332">
        <v>1247</v>
      </c>
      <c r="H5047" s="333">
        <v>1509</v>
      </c>
    </row>
    <row r="5048" spans="1:8">
      <c r="A5048" s="317" t="s">
        <v>40286</v>
      </c>
      <c r="B5048" s="317" t="s">
        <v>49414</v>
      </c>
      <c r="C5048" s="330" t="s">
        <v>13581</v>
      </c>
      <c r="D5048" s="330" t="s">
        <v>13582</v>
      </c>
      <c r="E5048" s="330" t="s">
        <v>37248</v>
      </c>
      <c r="F5048" s="331">
        <v>0.21</v>
      </c>
      <c r="G5048" s="332">
        <v>3131</v>
      </c>
      <c r="H5048" s="333">
        <v>3789</v>
      </c>
    </row>
    <row r="5049" spans="1:8">
      <c r="A5049" s="317" t="s">
        <v>40287</v>
      </c>
      <c r="B5049" s="317" t="s">
        <v>49415</v>
      </c>
      <c r="C5049" s="330" t="s">
        <v>13583</v>
      </c>
      <c r="D5049" s="330" t="s">
        <v>9121</v>
      </c>
      <c r="E5049" s="330" t="s">
        <v>37248</v>
      </c>
      <c r="F5049" s="331">
        <v>0.21</v>
      </c>
      <c r="G5049" s="332">
        <v>76328</v>
      </c>
      <c r="H5049" s="333">
        <v>92357</v>
      </c>
    </row>
    <row r="5050" spans="1:8">
      <c r="A5050" s="317" t="s">
        <v>40288</v>
      </c>
      <c r="B5050" s="317" t="s">
        <v>49416</v>
      </c>
      <c r="C5050" s="330" t="s">
        <v>13584</v>
      </c>
      <c r="D5050" s="330" t="s">
        <v>11016</v>
      </c>
      <c r="E5050" s="330" t="s">
        <v>37248</v>
      </c>
      <c r="F5050" s="331">
        <v>0.21</v>
      </c>
      <c r="G5050" s="332">
        <v>1247</v>
      </c>
      <c r="H5050" s="333">
        <v>1509</v>
      </c>
    </row>
    <row r="5051" spans="1:8">
      <c r="A5051" s="317" t="s">
        <v>40289</v>
      </c>
      <c r="B5051" s="317" t="s">
        <v>49417</v>
      </c>
      <c r="C5051" s="330" t="s">
        <v>13585</v>
      </c>
      <c r="D5051" s="330" t="s">
        <v>13586</v>
      </c>
      <c r="E5051" s="330" t="s">
        <v>37248</v>
      </c>
      <c r="F5051" s="331">
        <v>0.21</v>
      </c>
      <c r="G5051" s="332">
        <v>976</v>
      </c>
      <c r="H5051" s="333">
        <v>1181</v>
      </c>
    </row>
    <row r="5052" spans="1:8">
      <c r="A5052" s="317" t="s">
        <v>40290</v>
      </c>
      <c r="B5052" s="317" t="s">
        <v>49418</v>
      </c>
      <c r="C5052" s="330" t="s">
        <v>13587</v>
      </c>
      <c r="D5052" s="330" t="s">
        <v>13588</v>
      </c>
      <c r="E5052" s="330" t="s">
        <v>37248</v>
      </c>
      <c r="F5052" s="331">
        <v>0.21</v>
      </c>
      <c r="G5052" s="332">
        <v>976</v>
      </c>
      <c r="H5052" s="333">
        <v>1181</v>
      </c>
    </row>
    <row r="5053" spans="1:8">
      <c r="A5053" s="317" t="s">
        <v>40291</v>
      </c>
      <c r="B5053" s="317" t="s">
        <v>49419</v>
      </c>
      <c r="C5053" s="330" t="s">
        <v>13589</v>
      </c>
      <c r="D5053" s="330" t="s">
        <v>13590</v>
      </c>
      <c r="E5053" s="330" t="s">
        <v>37248</v>
      </c>
      <c r="F5053" s="331">
        <v>0.21</v>
      </c>
      <c r="G5053" s="332">
        <v>1247</v>
      </c>
      <c r="H5053" s="333">
        <v>1509</v>
      </c>
    </row>
    <row r="5054" spans="1:8">
      <c r="A5054" s="317" t="s">
        <v>40292</v>
      </c>
      <c r="B5054" s="317" t="s">
        <v>49420</v>
      </c>
      <c r="C5054" s="330" t="s">
        <v>13591</v>
      </c>
      <c r="D5054" s="330" t="s">
        <v>8113</v>
      </c>
      <c r="E5054" s="330" t="s">
        <v>37248</v>
      </c>
      <c r="F5054" s="331">
        <v>0.21</v>
      </c>
      <c r="G5054" s="332">
        <v>1247</v>
      </c>
      <c r="H5054" s="333">
        <v>1509</v>
      </c>
    </row>
    <row r="5055" spans="1:8">
      <c r="A5055" s="317" t="s">
        <v>40293</v>
      </c>
      <c r="B5055" s="317" t="s">
        <v>49421</v>
      </c>
      <c r="C5055" s="330" t="s">
        <v>13592</v>
      </c>
      <c r="D5055" s="330" t="s">
        <v>8113</v>
      </c>
      <c r="E5055" s="330" t="s">
        <v>37248</v>
      </c>
      <c r="F5055" s="331">
        <v>0.21</v>
      </c>
      <c r="G5055" s="332">
        <v>1247</v>
      </c>
      <c r="H5055" s="333">
        <v>1509</v>
      </c>
    </row>
    <row r="5056" spans="1:8">
      <c r="A5056" s="317" t="s">
        <v>40294</v>
      </c>
      <c r="B5056" s="317" t="s">
        <v>49422</v>
      </c>
      <c r="C5056" s="330" t="s">
        <v>13593</v>
      </c>
      <c r="D5056" s="330" t="s">
        <v>13594</v>
      </c>
      <c r="E5056" s="330" t="s">
        <v>37248</v>
      </c>
      <c r="F5056" s="331">
        <v>0.21</v>
      </c>
      <c r="G5056" s="332">
        <v>1247</v>
      </c>
      <c r="H5056" s="333">
        <v>1509</v>
      </c>
    </row>
    <row r="5057" spans="1:8">
      <c r="A5057" s="317" t="s">
        <v>40295</v>
      </c>
      <c r="B5057" s="317" t="s">
        <v>49423</v>
      </c>
      <c r="C5057" s="330" t="s">
        <v>13595</v>
      </c>
      <c r="D5057" s="330" t="s">
        <v>13596</v>
      </c>
      <c r="E5057" s="330" t="s">
        <v>37248</v>
      </c>
      <c r="F5057" s="331">
        <v>0.21</v>
      </c>
      <c r="G5057" s="332">
        <v>8048</v>
      </c>
      <c r="H5057" s="333">
        <v>9739</v>
      </c>
    </row>
    <row r="5058" spans="1:8">
      <c r="A5058" s="317" t="s">
        <v>40296</v>
      </c>
      <c r="B5058" s="317" t="s">
        <v>49424</v>
      </c>
      <c r="C5058" s="330" t="s">
        <v>13597</v>
      </c>
      <c r="D5058" s="330" t="s">
        <v>13598</v>
      </c>
      <c r="E5058" s="330" t="s">
        <v>37248</v>
      </c>
      <c r="F5058" s="331">
        <v>0.21</v>
      </c>
      <c r="G5058" s="332">
        <v>1247</v>
      </c>
      <c r="H5058" s="333">
        <v>1509</v>
      </c>
    </row>
    <row r="5059" spans="1:8">
      <c r="A5059" s="317" t="s">
        <v>40297</v>
      </c>
      <c r="B5059" s="317" t="s">
        <v>49425</v>
      </c>
      <c r="C5059" s="330" t="s">
        <v>13599</v>
      </c>
      <c r="D5059" s="330" t="s">
        <v>7653</v>
      </c>
      <c r="E5059" s="330" t="s">
        <v>37248</v>
      </c>
      <c r="F5059" s="331">
        <v>0.21</v>
      </c>
      <c r="G5059" s="332">
        <v>1247</v>
      </c>
      <c r="H5059" s="333">
        <v>1509</v>
      </c>
    </row>
    <row r="5060" spans="1:8">
      <c r="A5060" s="317" t="s">
        <v>40298</v>
      </c>
      <c r="B5060" s="317" t="s">
        <v>49426</v>
      </c>
      <c r="C5060" s="330" t="s">
        <v>13600</v>
      </c>
      <c r="D5060" s="330" t="s">
        <v>13438</v>
      </c>
      <c r="E5060" s="330" t="s">
        <v>37248</v>
      </c>
      <c r="F5060" s="331">
        <v>0.21</v>
      </c>
      <c r="G5060" s="332">
        <v>1247</v>
      </c>
      <c r="H5060" s="333">
        <v>1509</v>
      </c>
    </row>
    <row r="5061" spans="1:8">
      <c r="A5061" s="317" t="s">
        <v>40299</v>
      </c>
      <c r="B5061" s="317" t="s">
        <v>49427</v>
      </c>
      <c r="C5061" s="330" t="s">
        <v>13601</v>
      </c>
      <c r="D5061" s="330" t="s">
        <v>7653</v>
      </c>
      <c r="E5061" s="330" t="s">
        <v>37248</v>
      </c>
      <c r="F5061" s="331">
        <v>0.21</v>
      </c>
      <c r="G5061" s="332">
        <v>1247</v>
      </c>
      <c r="H5061" s="333">
        <v>1509</v>
      </c>
    </row>
    <row r="5062" spans="1:8">
      <c r="A5062" s="317" t="s">
        <v>40300</v>
      </c>
      <c r="B5062" s="317" t="s">
        <v>49428</v>
      </c>
      <c r="C5062" s="330" t="s">
        <v>13602</v>
      </c>
      <c r="D5062" s="330" t="s">
        <v>7320</v>
      </c>
      <c r="E5062" s="330" t="s">
        <v>37248</v>
      </c>
      <c r="F5062" s="331">
        <v>0.21</v>
      </c>
      <c r="G5062" s="332">
        <v>1247</v>
      </c>
      <c r="H5062" s="333">
        <v>1509</v>
      </c>
    </row>
    <row r="5063" spans="1:8">
      <c r="A5063" s="317" t="s">
        <v>40301</v>
      </c>
      <c r="B5063" s="317" t="s">
        <v>49429</v>
      </c>
      <c r="C5063" s="330" t="s">
        <v>13603</v>
      </c>
      <c r="D5063" s="330" t="s">
        <v>13516</v>
      </c>
      <c r="E5063" s="330" t="s">
        <v>37248</v>
      </c>
      <c r="F5063" s="331">
        <v>0.21</v>
      </c>
      <c r="G5063" s="332">
        <v>1247</v>
      </c>
      <c r="H5063" s="333">
        <v>1509</v>
      </c>
    </row>
    <row r="5064" spans="1:8">
      <c r="A5064" s="317" t="s">
        <v>40302</v>
      </c>
      <c r="B5064" s="317" t="s">
        <v>49430</v>
      </c>
      <c r="C5064" s="330" t="s">
        <v>13604</v>
      </c>
      <c r="D5064" s="330" t="s">
        <v>13418</v>
      </c>
      <c r="E5064" s="330" t="s">
        <v>37248</v>
      </c>
      <c r="F5064" s="331">
        <v>0.21</v>
      </c>
      <c r="G5064" s="332">
        <v>1247</v>
      </c>
      <c r="H5064" s="333">
        <v>1509</v>
      </c>
    </row>
    <row r="5065" spans="1:8">
      <c r="A5065" s="317" t="s">
        <v>40303</v>
      </c>
      <c r="B5065" s="317" t="s">
        <v>49431</v>
      </c>
      <c r="C5065" s="330" t="s">
        <v>13605</v>
      </c>
      <c r="D5065" s="330" t="s">
        <v>7653</v>
      </c>
      <c r="E5065" s="330" t="s">
        <v>37248</v>
      </c>
      <c r="F5065" s="331">
        <v>0.21</v>
      </c>
      <c r="G5065" s="332">
        <v>1247</v>
      </c>
      <c r="H5065" s="333">
        <v>1509</v>
      </c>
    </row>
    <row r="5066" spans="1:8">
      <c r="A5066" s="317" t="s">
        <v>40304</v>
      </c>
      <c r="B5066" s="317" t="s">
        <v>49432</v>
      </c>
      <c r="C5066" s="330" t="s">
        <v>13606</v>
      </c>
      <c r="D5066" s="330" t="s">
        <v>7320</v>
      </c>
      <c r="E5066" s="330" t="s">
        <v>37248</v>
      </c>
      <c r="F5066" s="331">
        <v>0.21</v>
      </c>
      <c r="G5066" s="332">
        <v>1247</v>
      </c>
      <c r="H5066" s="333">
        <v>1509</v>
      </c>
    </row>
    <row r="5067" spans="1:8">
      <c r="A5067" s="317" t="s">
        <v>40305</v>
      </c>
      <c r="B5067" s="317" t="s">
        <v>49433</v>
      </c>
      <c r="C5067" s="330" t="s">
        <v>13607</v>
      </c>
      <c r="D5067" s="330" t="s">
        <v>7653</v>
      </c>
      <c r="E5067" s="330" t="s">
        <v>37248</v>
      </c>
      <c r="F5067" s="331">
        <v>0.21</v>
      </c>
      <c r="G5067" s="332">
        <v>1247</v>
      </c>
      <c r="H5067" s="333">
        <v>1509</v>
      </c>
    </row>
    <row r="5068" spans="1:8">
      <c r="A5068" s="317" t="s">
        <v>40306</v>
      </c>
      <c r="B5068" s="317" t="s">
        <v>49434</v>
      </c>
      <c r="C5068" s="330" t="s">
        <v>13608</v>
      </c>
      <c r="D5068" s="330" t="s">
        <v>13458</v>
      </c>
      <c r="E5068" s="330" t="s">
        <v>37248</v>
      </c>
      <c r="F5068" s="331">
        <v>0.21</v>
      </c>
      <c r="G5068" s="332">
        <v>1247</v>
      </c>
      <c r="H5068" s="333">
        <v>1509</v>
      </c>
    </row>
    <row r="5069" spans="1:8">
      <c r="A5069" s="317" t="s">
        <v>40307</v>
      </c>
      <c r="B5069" s="317" t="s">
        <v>49435</v>
      </c>
      <c r="C5069" s="330" t="s">
        <v>13609</v>
      </c>
      <c r="D5069" s="330" t="s">
        <v>13610</v>
      </c>
      <c r="E5069" s="330" t="s">
        <v>37248</v>
      </c>
      <c r="F5069" s="331">
        <v>0.21</v>
      </c>
      <c r="G5069" s="332">
        <v>2197</v>
      </c>
      <c r="H5069" s="333">
        <v>2659</v>
      </c>
    </row>
    <row r="5070" spans="1:8">
      <c r="A5070" s="317" t="s">
        <v>40308</v>
      </c>
      <c r="B5070" s="317" t="s">
        <v>49436</v>
      </c>
      <c r="C5070" s="330" t="s">
        <v>13611</v>
      </c>
      <c r="D5070" s="330" t="s">
        <v>8162</v>
      </c>
      <c r="E5070" s="330" t="s">
        <v>37248</v>
      </c>
      <c r="F5070" s="331">
        <v>0.21</v>
      </c>
      <c r="G5070" s="332">
        <v>1247</v>
      </c>
      <c r="H5070" s="333">
        <v>1509</v>
      </c>
    </row>
    <row r="5071" spans="1:8">
      <c r="A5071" s="317" t="s">
        <v>40309</v>
      </c>
      <c r="B5071" s="317" t="s">
        <v>49437</v>
      </c>
      <c r="C5071" s="330" t="s">
        <v>13612</v>
      </c>
      <c r="D5071" s="330" t="s">
        <v>13613</v>
      </c>
      <c r="E5071" s="330" t="s">
        <v>37248</v>
      </c>
      <c r="F5071" s="331">
        <v>0.21</v>
      </c>
      <c r="G5071" s="332">
        <v>8073</v>
      </c>
      <c r="H5071" s="333">
        <v>9769</v>
      </c>
    </row>
    <row r="5072" spans="1:8">
      <c r="A5072" s="317" t="s">
        <v>40310</v>
      </c>
      <c r="B5072" s="317" t="s">
        <v>49438</v>
      </c>
      <c r="C5072" s="330" t="s">
        <v>13614</v>
      </c>
      <c r="D5072" s="330" t="s">
        <v>8083</v>
      </c>
      <c r="E5072" s="330" t="s">
        <v>37248</v>
      </c>
      <c r="F5072" s="331">
        <v>0.21</v>
      </c>
      <c r="G5072" s="332">
        <v>1247</v>
      </c>
      <c r="H5072" s="333">
        <v>1509</v>
      </c>
    </row>
    <row r="5073" spans="1:8">
      <c r="A5073" s="317" t="s">
        <v>40311</v>
      </c>
      <c r="B5073" s="317" t="s">
        <v>49439</v>
      </c>
      <c r="C5073" s="330" t="s">
        <v>13615</v>
      </c>
      <c r="D5073" s="330" t="s">
        <v>13616</v>
      </c>
      <c r="E5073" s="330" t="s">
        <v>37248</v>
      </c>
      <c r="F5073" s="331">
        <v>0.21</v>
      </c>
      <c r="G5073" s="332">
        <v>7241</v>
      </c>
      <c r="H5073" s="333">
        <v>8762</v>
      </c>
    </row>
    <row r="5074" spans="1:8">
      <c r="A5074" s="317" t="s">
        <v>40312</v>
      </c>
      <c r="B5074" s="317" t="s">
        <v>49440</v>
      </c>
      <c r="C5074" s="330" t="s">
        <v>13617</v>
      </c>
      <c r="D5074" s="330" t="s">
        <v>13618</v>
      </c>
      <c r="E5074" s="330" t="s">
        <v>37248</v>
      </c>
      <c r="F5074" s="331">
        <v>0.21</v>
      </c>
      <c r="G5074" s="332">
        <v>1247</v>
      </c>
      <c r="H5074" s="333">
        <v>1509</v>
      </c>
    </row>
    <row r="5075" spans="1:8">
      <c r="A5075" s="317" t="s">
        <v>40313</v>
      </c>
      <c r="B5075" s="317" t="s">
        <v>49441</v>
      </c>
      <c r="C5075" s="330" t="s">
        <v>13619</v>
      </c>
      <c r="D5075" s="330" t="s">
        <v>13620</v>
      </c>
      <c r="E5075" s="330" t="s">
        <v>4819</v>
      </c>
      <c r="F5075" s="331">
        <v>0.21</v>
      </c>
      <c r="G5075" s="332">
        <v>994</v>
      </c>
      <c r="H5075" s="333">
        <v>1203</v>
      </c>
    </row>
    <row r="5076" spans="1:8">
      <c r="A5076" s="317" t="s">
        <v>40314</v>
      </c>
      <c r="B5076" s="317" t="s">
        <v>49442</v>
      </c>
      <c r="C5076" s="330" t="s">
        <v>13621</v>
      </c>
      <c r="D5076" s="330" t="s">
        <v>13622</v>
      </c>
      <c r="E5076" s="330" t="s">
        <v>37248</v>
      </c>
      <c r="F5076" s="331">
        <v>0.21</v>
      </c>
      <c r="G5076" s="332">
        <v>339</v>
      </c>
      <c r="H5076" s="333">
        <v>411</v>
      </c>
    </row>
    <row r="5077" spans="1:8">
      <c r="A5077" s="317" t="s">
        <v>40315</v>
      </c>
      <c r="B5077" s="317" t="s">
        <v>49443</v>
      </c>
      <c r="C5077" s="330" t="s">
        <v>13623</v>
      </c>
      <c r="D5077" s="330" t="s">
        <v>13624</v>
      </c>
      <c r="E5077" s="330" t="s">
        <v>37248</v>
      </c>
      <c r="F5077" s="331">
        <v>0.21</v>
      </c>
      <c r="G5077" s="332">
        <v>20291</v>
      </c>
      <c r="H5077" s="333">
        <v>24553</v>
      </c>
    </row>
    <row r="5078" spans="1:8">
      <c r="A5078" s="317" t="s">
        <v>40316</v>
      </c>
      <c r="B5078" s="317" t="s">
        <v>49444</v>
      </c>
      <c r="C5078" s="330" t="s">
        <v>13625</v>
      </c>
      <c r="D5078" s="330" t="s">
        <v>13626</v>
      </c>
      <c r="E5078" s="330" t="s">
        <v>37248</v>
      </c>
      <c r="F5078" s="331">
        <v>0.21</v>
      </c>
      <c r="G5078" s="332">
        <v>2513</v>
      </c>
      <c r="H5078" s="333">
        <v>3041</v>
      </c>
    </row>
    <row r="5079" spans="1:8">
      <c r="A5079" s="317" t="s">
        <v>40317</v>
      </c>
      <c r="B5079" s="317" t="s">
        <v>49445</v>
      </c>
      <c r="C5079" s="330" t="s">
        <v>13627</v>
      </c>
      <c r="D5079" s="330" t="s">
        <v>13628</v>
      </c>
      <c r="E5079" s="330" t="s">
        <v>37248</v>
      </c>
      <c r="F5079" s="331">
        <v>0.21</v>
      </c>
      <c r="G5079" s="332">
        <v>863</v>
      </c>
      <c r="H5079" s="333">
        <v>1045</v>
      </c>
    </row>
    <row r="5080" spans="1:8">
      <c r="A5080" s="317" t="s">
        <v>40318</v>
      </c>
      <c r="B5080" s="317" t="s">
        <v>49446</v>
      </c>
      <c r="C5080" s="330" t="s">
        <v>13629</v>
      </c>
      <c r="D5080" s="330" t="s">
        <v>13628</v>
      </c>
      <c r="E5080" s="330" t="s">
        <v>37248</v>
      </c>
      <c r="F5080" s="331">
        <v>0.21</v>
      </c>
      <c r="G5080" s="332">
        <v>863</v>
      </c>
      <c r="H5080" s="333">
        <v>1045</v>
      </c>
    </row>
    <row r="5081" spans="1:8">
      <c r="A5081" s="317" t="s">
        <v>40319</v>
      </c>
      <c r="B5081" s="317" t="s">
        <v>49447</v>
      </c>
      <c r="C5081" s="330" t="s">
        <v>13630</v>
      </c>
      <c r="D5081" s="330" t="s">
        <v>13628</v>
      </c>
      <c r="E5081" s="330" t="s">
        <v>37248</v>
      </c>
      <c r="F5081" s="331">
        <v>0.21</v>
      </c>
      <c r="G5081" s="332">
        <v>863</v>
      </c>
      <c r="H5081" s="333">
        <v>1045</v>
      </c>
    </row>
    <row r="5082" spans="1:8">
      <c r="A5082" s="317" t="s">
        <v>40320</v>
      </c>
      <c r="B5082" s="317" t="s">
        <v>49448</v>
      </c>
      <c r="C5082" s="330" t="s">
        <v>13631</v>
      </c>
      <c r="D5082" s="330" t="s">
        <v>13632</v>
      </c>
      <c r="E5082" s="330" t="s">
        <v>37248</v>
      </c>
      <c r="F5082" s="331">
        <v>0.21</v>
      </c>
      <c r="G5082" s="332">
        <v>1072</v>
      </c>
      <c r="H5082" s="333">
        <v>1298</v>
      </c>
    </row>
    <row r="5083" spans="1:8">
      <c r="A5083" s="317" t="s">
        <v>40321</v>
      </c>
      <c r="B5083" s="317" t="s">
        <v>49449</v>
      </c>
      <c r="C5083" s="330" t="s">
        <v>13633</v>
      </c>
      <c r="D5083" s="330" t="s">
        <v>8226</v>
      </c>
      <c r="E5083" s="330" t="s">
        <v>37248</v>
      </c>
      <c r="F5083" s="331">
        <v>0.21</v>
      </c>
      <c r="G5083" s="332">
        <v>976</v>
      </c>
      <c r="H5083" s="333">
        <v>1181</v>
      </c>
    </row>
    <row r="5084" spans="1:8">
      <c r="A5084" s="317" t="s">
        <v>40322</v>
      </c>
      <c r="B5084" s="317" t="s">
        <v>49450</v>
      </c>
      <c r="C5084" s="330" t="s">
        <v>13634</v>
      </c>
      <c r="D5084" s="330" t="s">
        <v>13635</v>
      </c>
      <c r="E5084" s="330" t="s">
        <v>37248</v>
      </c>
      <c r="F5084" s="331">
        <v>0.21</v>
      </c>
      <c r="G5084" s="332">
        <v>976</v>
      </c>
      <c r="H5084" s="333">
        <v>1181</v>
      </c>
    </row>
    <row r="5085" spans="1:8">
      <c r="A5085" s="317" t="s">
        <v>40323</v>
      </c>
      <c r="B5085" s="317" t="s">
        <v>49451</v>
      </c>
      <c r="C5085" s="330" t="s">
        <v>13636</v>
      </c>
      <c r="D5085" s="330" t="s">
        <v>13632</v>
      </c>
      <c r="E5085" s="330" t="s">
        <v>37248</v>
      </c>
      <c r="F5085" s="331">
        <v>0.21</v>
      </c>
      <c r="G5085" s="332">
        <v>976</v>
      </c>
      <c r="H5085" s="333">
        <v>1181</v>
      </c>
    </row>
    <row r="5086" spans="1:8">
      <c r="A5086" s="317" t="s">
        <v>40324</v>
      </c>
      <c r="B5086" s="317" t="s">
        <v>49452</v>
      </c>
      <c r="C5086" s="330" t="s">
        <v>13637</v>
      </c>
      <c r="D5086" s="330" t="s">
        <v>13638</v>
      </c>
      <c r="E5086" s="330" t="s">
        <v>37248</v>
      </c>
      <c r="F5086" s="331">
        <v>0.21</v>
      </c>
      <c r="G5086" s="332">
        <v>976</v>
      </c>
      <c r="H5086" s="333">
        <v>1181</v>
      </c>
    </row>
    <row r="5087" spans="1:8">
      <c r="A5087" s="317" t="s">
        <v>40325</v>
      </c>
      <c r="B5087" s="317" t="s">
        <v>49453</v>
      </c>
      <c r="C5087" s="330" t="s">
        <v>13639</v>
      </c>
      <c r="D5087" s="330" t="s">
        <v>13640</v>
      </c>
      <c r="E5087" s="330" t="s">
        <v>37248</v>
      </c>
      <c r="F5087" s="331">
        <v>0.21</v>
      </c>
      <c r="G5087" s="332">
        <v>976</v>
      </c>
      <c r="H5087" s="333">
        <v>1181</v>
      </c>
    </row>
    <row r="5088" spans="1:8">
      <c r="A5088" s="317" t="s">
        <v>40326</v>
      </c>
      <c r="B5088" s="317" t="s">
        <v>49454</v>
      </c>
      <c r="C5088" s="330" t="s">
        <v>13641</v>
      </c>
      <c r="D5088" s="330" t="s">
        <v>8281</v>
      </c>
      <c r="E5088" s="330" t="s">
        <v>37248</v>
      </c>
      <c r="F5088" s="331">
        <v>0.21</v>
      </c>
      <c r="G5088" s="332">
        <v>976</v>
      </c>
      <c r="H5088" s="333">
        <v>1181</v>
      </c>
    </row>
    <row r="5089" spans="1:8">
      <c r="A5089" s="317" t="s">
        <v>40327</v>
      </c>
      <c r="B5089" s="317" t="s">
        <v>49455</v>
      </c>
      <c r="C5089" s="330" t="s">
        <v>13642</v>
      </c>
      <c r="D5089" s="330" t="s">
        <v>13643</v>
      </c>
      <c r="E5089" s="330" t="s">
        <v>37248</v>
      </c>
      <c r="F5089" s="331">
        <v>0.21</v>
      </c>
      <c r="G5089" s="332">
        <v>976</v>
      </c>
      <c r="H5089" s="333">
        <v>1181</v>
      </c>
    </row>
    <row r="5090" spans="1:8">
      <c r="A5090" s="317" t="s">
        <v>40328</v>
      </c>
      <c r="B5090" s="317" t="s">
        <v>49456</v>
      </c>
      <c r="C5090" s="330" t="s">
        <v>13644</v>
      </c>
      <c r="D5090" s="330" t="s">
        <v>13645</v>
      </c>
      <c r="E5090" s="330" t="s">
        <v>37248</v>
      </c>
      <c r="F5090" s="331">
        <v>0.21</v>
      </c>
      <c r="G5090" s="332">
        <v>976</v>
      </c>
      <c r="H5090" s="333">
        <v>1181</v>
      </c>
    </row>
    <row r="5091" spans="1:8">
      <c r="A5091" s="317" t="s">
        <v>40329</v>
      </c>
      <c r="B5091" s="317" t="s">
        <v>49457</v>
      </c>
      <c r="C5091" s="330" t="s">
        <v>13646</v>
      </c>
      <c r="D5091" s="330" t="s">
        <v>7653</v>
      </c>
      <c r="E5091" s="330" t="s">
        <v>4819</v>
      </c>
      <c r="F5091" s="331">
        <v>0.21</v>
      </c>
      <c r="G5091" s="332">
        <v>976</v>
      </c>
      <c r="H5091" s="333">
        <v>1181</v>
      </c>
    </row>
    <row r="5092" spans="1:8">
      <c r="A5092" s="317" t="s">
        <v>40330</v>
      </c>
      <c r="B5092" s="317" t="s">
        <v>49458</v>
      </c>
      <c r="C5092" s="330" t="s">
        <v>13647</v>
      </c>
      <c r="D5092" s="330" t="s">
        <v>13643</v>
      </c>
      <c r="E5092" s="330" t="s">
        <v>37248</v>
      </c>
      <c r="F5092" s="331">
        <v>0.21</v>
      </c>
      <c r="G5092" s="332">
        <v>976</v>
      </c>
      <c r="H5092" s="333">
        <v>1181</v>
      </c>
    </row>
    <row r="5093" spans="1:8">
      <c r="A5093" s="317" t="s">
        <v>40331</v>
      </c>
      <c r="B5093" s="317" t="s">
        <v>49459</v>
      </c>
      <c r="C5093" s="330" t="s">
        <v>13648</v>
      </c>
      <c r="D5093" s="330" t="s">
        <v>13649</v>
      </c>
      <c r="E5093" s="330" t="s">
        <v>37248</v>
      </c>
      <c r="F5093" s="331">
        <v>0.21</v>
      </c>
      <c r="G5093" s="332">
        <v>976</v>
      </c>
      <c r="H5093" s="333">
        <v>1181</v>
      </c>
    </row>
    <row r="5094" spans="1:8">
      <c r="A5094" s="317" t="s">
        <v>40332</v>
      </c>
      <c r="B5094" s="317" t="s">
        <v>49460</v>
      </c>
      <c r="C5094" s="330" t="s">
        <v>13650</v>
      </c>
      <c r="D5094" s="330" t="s">
        <v>7320</v>
      </c>
      <c r="E5094" s="330" t="s">
        <v>37248</v>
      </c>
      <c r="F5094" s="331">
        <v>0.21</v>
      </c>
      <c r="G5094" s="332">
        <v>976</v>
      </c>
      <c r="H5094" s="333">
        <v>1181</v>
      </c>
    </row>
    <row r="5095" spans="1:8">
      <c r="A5095" s="317" t="s">
        <v>40333</v>
      </c>
      <c r="B5095" s="317" t="s">
        <v>49461</v>
      </c>
      <c r="C5095" s="330" t="s">
        <v>13651</v>
      </c>
      <c r="D5095" s="330" t="s">
        <v>13652</v>
      </c>
      <c r="E5095" s="330" t="s">
        <v>37248</v>
      </c>
      <c r="F5095" s="331">
        <v>0.21</v>
      </c>
      <c r="G5095" s="332">
        <v>976</v>
      </c>
      <c r="H5095" s="333">
        <v>1181</v>
      </c>
    </row>
    <row r="5096" spans="1:8">
      <c r="A5096" s="317" t="s">
        <v>40334</v>
      </c>
      <c r="B5096" s="317" t="s">
        <v>49462</v>
      </c>
      <c r="C5096" s="330" t="s">
        <v>13653</v>
      </c>
      <c r="D5096" s="330" t="s">
        <v>7320</v>
      </c>
      <c r="E5096" s="330" t="s">
        <v>37248</v>
      </c>
      <c r="F5096" s="331">
        <v>0.21</v>
      </c>
      <c r="G5096" s="332">
        <v>976</v>
      </c>
      <c r="H5096" s="333">
        <v>1181</v>
      </c>
    </row>
    <row r="5097" spans="1:8">
      <c r="A5097" s="317" t="s">
        <v>40335</v>
      </c>
      <c r="B5097" s="317" t="s">
        <v>49463</v>
      </c>
      <c r="C5097" s="330" t="s">
        <v>13654</v>
      </c>
      <c r="D5097" s="330" t="s">
        <v>13655</v>
      </c>
      <c r="E5097" s="330" t="s">
        <v>37248</v>
      </c>
      <c r="F5097" s="331">
        <v>0.21</v>
      </c>
      <c r="G5097" s="332">
        <v>976</v>
      </c>
      <c r="H5097" s="333">
        <v>1181</v>
      </c>
    </row>
    <row r="5098" spans="1:8">
      <c r="A5098" s="317" t="s">
        <v>40336</v>
      </c>
      <c r="B5098" s="317" t="s">
        <v>49464</v>
      </c>
      <c r="C5098" s="330" t="s">
        <v>13656</v>
      </c>
      <c r="D5098" s="330" t="s">
        <v>13657</v>
      </c>
      <c r="E5098" s="330" t="s">
        <v>37248</v>
      </c>
      <c r="F5098" s="331">
        <v>0.21</v>
      </c>
      <c r="G5098" s="332">
        <v>18667</v>
      </c>
      <c r="H5098" s="333">
        <v>22588</v>
      </c>
    </row>
    <row r="5099" spans="1:8">
      <c r="A5099" s="317" t="s">
        <v>40337</v>
      </c>
      <c r="B5099" s="317" t="s">
        <v>49465</v>
      </c>
      <c r="C5099" s="330" t="s">
        <v>13658</v>
      </c>
      <c r="D5099" s="330" t="s">
        <v>13645</v>
      </c>
      <c r="E5099" s="330" t="s">
        <v>37248</v>
      </c>
      <c r="F5099" s="331">
        <v>0.21</v>
      </c>
      <c r="G5099" s="332">
        <v>976</v>
      </c>
      <c r="H5099" s="333">
        <v>1181</v>
      </c>
    </row>
    <row r="5100" spans="1:8">
      <c r="A5100" s="317" t="s">
        <v>40338</v>
      </c>
      <c r="B5100" s="317" t="s">
        <v>49466</v>
      </c>
      <c r="C5100" s="330" t="s">
        <v>13659</v>
      </c>
      <c r="D5100" s="330" t="s">
        <v>7653</v>
      </c>
      <c r="E5100" s="330" t="s">
        <v>4819</v>
      </c>
      <c r="F5100" s="331">
        <v>0.21</v>
      </c>
      <c r="G5100" s="332">
        <v>976</v>
      </c>
      <c r="H5100" s="333">
        <v>1181</v>
      </c>
    </row>
    <row r="5101" spans="1:8">
      <c r="A5101" s="317" t="s">
        <v>40339</v>
      </c>
      <c r="B5101" s="317" t="s">
        <v>49467</v>
      </c>
      <c r="C5101" s="330" t="s">
        <v>13660</v>
      </c>
      <c r="D5101" s="330" t="s">
        <v>13661</v>
      </c>
      <c r="E5101" s="330" t="s">
        <v>37248</v>
      </c>
      <c r="F5101" s="331">
        <v>0.21</v>
      </c>
      <c r="G5101" s="332">
        <v>814</v>
      </c>
      <c r="H5101" s="333">
        <v>985</v>
      </c>
    </row>
    <row r="5102" spans="1:8">
      <c r="A5102" s="317" t="s">
        <v>40340</v>
      </c>
      <c r="B5102" s="317" t="s">
        <v>49468</v>
      </c>
      <c r="C5102" s="330" t="s">
        <v>13662</v>
      </c>
      <c r="D5102" s="330" t="s">
        <v>13663</v>
      </c>
      <c r="E5102" s="330" t="s">
        <v>37248</v>
      </c>
      <c r="F5102" s="331">
        <v>0.21</v>
      </c>
      <c r="G5102" s="332">
        <v>885</v>
      </c>
      <c r="H5102" s="333">
        <v>1071</v>
      </c>
    </row>
    <row r="5103" spans="1:8">
      <c r="A5103" s="317" t="s">
        <v>40341</v>
      </c>
      <c r="B5103" s="317" t="s">
        <v>49469</v>
      </c>
      <c r="C5103" s="330" t="s">
        <v>13664</v>
      </c>
      <c r="D5103" s="330" t="s">
        <v>13655</v>
      </c>
      <c r="E5103" s="330" t="s">
        <v>37248</v>
      </c>
      <c r="F5103" s="331">
        <v>0.21</v>
      </c>
      <c r="G5103" s="332">
        <v>976</v>
      </c>
      <c r="H5103" s="333">
        <v>1181</v>
      </c>
    </row>
    <row r="5104" spans="1:8">
      <c r="A5104" s="317" t="s">
        <v>40342</v>
      </c>
      <c r="B5104" s="317" t="s">
        <v>49470</v>
      </c>
      <c r="C5104" s="330" t="s">
        <v>13665</v>
      </c>
      <c r="D5104" s="330" t="s">
        <v>7653</v>
      </c>
      <c r="E5104" s="330" t="s">
        <v>4819</v>
      </c>
      <c r="F5104" s="331">
        <v>0.21</v>
      </c>
      <c r="G5104" s="332">
        <v>976</v>
      </c>
      <c r="H5104" s="333">
        <v>1181</v>
      </c>
    </row>
    <row r="5105" spans="1:8">
      <c r="A5105" s="317" t="s">
        <v>40343</v>
      </c>
      <c r="B5105" s="317" t="s">
        <v>49471</v>
      </c>
      <c r="C5105" s="330" t="s">
        <v>13666</v>
      </c>
      <c r="D5105" s="330" t="s">
        <v>13645</v>
      </c>
      <c r="E5105" s="330" t="s">
        <v>37248</v>
      </c>
      <c r="F5105" s="331">
        <v>0.21</v>
      </c>
      <c r="G5105" s="332">
        <v>976</v>
      </c>
      <c r="H5105" s="333">
        <v>1181</v>
      </c>
    </row>
    <row r="5106" spans="1:8">
      <c r="A5106" s="317" t="s">
        <v>40344</v>
      </c>
      <c r="B5106" s="317" t="s">
        <v>49472</v>
      </c>
      <c r="C5106" s="330" t="s">
        <v>13667</v>
      </c>
      <c r="D5106" s="330" t="s">
        <v>13668</v>
      </c>
      <c r="E5106" s="330" t="s">
        <v>37248</v>
      </c>
      <c r="F5106" s="331">
        <v>0.21</v>
      </c>
      <c r="G5106" s="332">
        <v>976</v>
      </c>
      <c r="H5106" s="333">
        <v>1181</v>
      </c>
    </row>
    <row r="5107" spans="1:8">
      <c r="A5107" s="317" t="s">
        <v>40345</v>
      </c>
      <c r="B5107" s="317" t="s">
        <v>49473</v>
      </c>
      <c r="C5107" s="330" t="s">
        <v>13669</v>
      </c>
      <c r="D5107" s="330" t="s">
        <v>8101</v>
      </c>
      <c r="E5107" s="330" t="s">
        <v>37248</v>
      </c>
      <c r="F5107" s="331">
        <v>0.21</v>
      </c>
      <c r="G5107" s="332">
        <v>976</v>
      </c>
      <c r="H5107" s="333">
        <v>1181</v>
      </c>
    </row>
    <row r="5108" spans="1:8">
      <c r="A5108" s="317" t="s">
        <v>40346</v>
      </c>
      <c r="B5108" s="317" t="s">
        <v>49474</v>
      </c>
      <c r="C5108" s="330" t="s">
        <v>13670</v>
      </c>
      <c r="D5108" s="330" t="s">
        <v>8281</v>
      </c>
      <c r="E5108" s="330" t="s">
        <v>37248</v>
      </c>
      <c r="F5108" s="331">
        <v>0.21</v>
      </c>
      <c r="G5108" s="332">
        <v>976</v>
      </c>
      <c r="H5108" s="333">
        <v>1181</v>
      </c>
    </row>
    <row r="5109" spans="1:8">
      <c r="A5109" s="317" t="s">
        <v>40347</v>
      </c>
      <c r="B5109" s="317" t="s">
        <v>49475</v>
      </c>
      <c r="C5109" s="330" t="s">
        <v>13671</v>
      </c>
      <c r="D5109" s="330" t="s">
        <v>13672</v>
      </c>
      <c r="E5109" s="330" t="s">
        <v>37248</v>
      </c>
      <c r="F5109" s="331">
        <v>0.21</v>
      </c>
      <c r="G5109" s="332">
        <v>976</v>
      </c>
      <c r="H5109" s="333">
        <v>1181</v>
      </c>
    </row>
    <row r="5110" spans="1:8">
      <c r="A5110" s="317" t="s">
        <v>40348</v>
      </c>
      <c r="B5110" s="317" t="s">
        <v>49476</v>
      </c>
      <c r="C5110" s="330" t="s">
        <v>13673</v>
      </c>
      <c r="D5110" s="330" t="s">
        <v>13674</v>
      </c>
      <c r="E5110" s="330" t="s">
        <v>37248</v>
      </c>
      <c r="F5110" s="331">
        <v>0.21</v>
      </c>
      <c r="G5110" s="332">
        <v>339</v>
      </c>
      <c r="H5110" s="333">
        <v>411</v>
      </c>
    </row>
    <row r="5111" spans="1:8">
      <c r="A5111" s="317" t="s">
        <v>40349</v>
      </c>
      <c r="B5111" s="317" t="s">
        <v>49477</v>
      </c>
      <c r="C5111" s="330" t="s">
        <v>13675</v>
      </c>
      <c r="D5111" s="330" t="s">
        <v>6470</v>
      </c>
      <c r="E5111" s="330" t="s">
        <v>37248</v>
      </c>
      <c r="F5111" s="331">
        <v>0.21</v>
      </c>
      <c r="G5111" s="332">
        <v>2513</v>
      </c>
      <c r="H5111" s="333">
        <v>3041</v>
      </c>
    </row>
    <row r="5112" spans="1:8">
      <c r="A5112" s="317" t="s">
        <v>40350</v>
      </c>
      <c r="B5112" s="317" t="s">
        <v>49478</v>
      </c>
      <c r="C5112" s="330" t="s">
        <v>13676</v>
      </c>
      <c r="D5112" s="330" t="s">
        <v>12416</v>
      </c>
      <c r="E5112" s="330" t="s">
        <v>37248</v>
      </c>
      <c r="F5112" s="331">
        <v>0.21</v>
      </c>
      <c r="G5112" s="332">
        <v>2922</v>
      </c>
      <c r="H5112" s="333">
        <v>3536</v>
      </c>
    </row>
    <row r="5113" spans="1:8">
      <c r="A5113" s="317" t="s">
        <v>40351</v>
      </c>
      <c r="B5113" s="317" t="s">
        <v>49479</v>
      </c>
      <c r="C5113" s="330" t="s">
        <v>13677</v>
      </c>
      <c r="D5113" s="330" t="s">
        <v>7653</v>
      </c>
      <c r="E5113" s="330" t="s">
        <v>37248</v>
      </c>
      <c r="F5113" s="331">
        <v>0.21</v>
      </c>
      <c r="G5113" s="332">
        <v>1247</v>
      </c>
      <c r="H5113" s="333">
        <v>1509</v>
      </c>
    </row>
    <row r="5114" spans="1:8">
      <c r="A5114" s="317" t="s">
        <v>40352</v>
      </c>
      <c r="B5114" s="317" t="s">
        <v>49480</v>
      </c>
      <c r="C5114" s="330" t="s">
        <v>13678</v>
      </c>
      <c r="D5114" s="330" t="s">
        <v>7653</v>
      </c>
      <c r="E5114" s="330" t="s">
        <v>37248</v>
      </c>
      <c r="F5114" s="331">
        <v>0.21</v>
      </c>
      <c r="G5114" s="332">
        <v>1247</v>
      </c>
      <c r="H5114" s="333">
        <v>1509</v>
      </c>
    </row>
    <row r="5115" spans="1:8">
      <c r="A5115" s="317" t="s">
        <v>40353</v>
      </c>
      <c r="B5115" s="317" t="s">
        <v>49481</v>
      </c>
      <c r="C5115" s="330" t="s">
        <v>13679</v>
      </c>
      <c r="D5115" s="330" t="s">
        <v>13680</v>
      </c>
      <c r="E5115" s="330" t="s">
        <v>37248</v>
      </c>
      <c r="F5115" s="331">
        <v>0.21</v>
      </c>
      <c r="G5115" s="332">
        <v>1247</v>
      </c>
      <c r="H5115" s="333">
        <v>1509</v>
      </c>
    </row>
    <row r="5116" spans="1:8">
      <c r="A5116" s="317" t="s">
        <v>40354</v>
      </c>
      <c r="B5116" s="317" t="s">
        <v>49482</v>
      </c>
      <c r="C5116" s="330" t="s">
        <v>13681</v>
      </c>
      <c r="D5116" s="330" t="s">
        <v>9297</v>
      </c>
      <c r="E5116" s="330" t="s">
        <v>37248</v>
      </c>
      <c r="F5116" s="331">
        <v>0.21</v>
      </c>
      <c r="G5116" s="332">
        <v>3517</v>
      </c>
      <c r="H5116" s="333">
        <v>4256</v>
      </c>
    </row>
    <row r="5117" spans="1:8">
      <c r="A5117" s="317" t="s">
        <v>40355</v>
      </c>
      <c r="B5117" s="317" t="s">
        <v>49483</v>
      </c>
      <c r="C5117" s="330" t="s">
        <v>13682</v>
      </c>
      <c r="D5117" s="330" t="s">
        <v>13683</v>
      </c>
      <c r="E5117" s="330" t="s">
        <v>37248</v>
      </c>
      <c r="F5117" s="331">
        <v>0.21</v>
      </c>
      <c r="G5117" s="332">
        <v>1505</v>
      </c>
      <c r="H5117" s="333">
        <v>1822</v>
      </c>
    </row>
    <row r="5118" spans="1:8">
      <c r="A5118" s="317" t="s">
        <v>40356</v>
      </c>
      <c r="B5118" s="317" t="s">
        <v>49484</v>
      </c>
      <c r="C5118" s="330" t="s">
        <v>13684</v>
      </c>
      <c r="D5118" s="330" t="s">
        <v>7320</v>
      </c>
      <c r="E5118" s="330" t="s">
        <v>37248</v>
      </c>
      <c r="F5118" s="331">
        <v>0.21</v>
      </c>
      <c r="G5118" s="332">
        <v>1247</v>
      </c>
      <c r="H5118" s="333">
        <v>1509</v>
      </c>
    </row>
    <row r="5119" spans="1:8">
      <c r="A5119" s="317" t="s">
        <v>40357</v>
      </c>
      <c r="B5119" s="317" t="s">
        <v>49485</v>
      </c>
      <c r="C5119" s="330" t="s">
        <v>13685</v>
      </c>
      <c r="D5119" s="330" t="s">
        <v>13686</v>
      </c>
      <c r="E5119" s="330" t="s">
        <v>37248</v>
      </c>
      <c r="F5119" s="331">
        <v>0.21</v>
      </c>
      <c r="G5119" s="332">
        <v>1247</v>
      </c>
      <c r="H5119" s="333">
        <v>1509</v>
      </c>
    </row>
    <row r="5120" spans="1:8">
      <c r="A5120" s="317" t="s">
        <v>40358</v>
      </c>
      <c r="B5120" s="317" t="s">
        <v>49486</v>
      </c>
      <c r="C5120" s="330" t="s">
        <v>13687</v>
      </c>
      <c r="D5120" s="330" t="s">
        <v>7320</v>
      </c>
      <c r="E5120" s="330" t="s">
        <v>37248</v>
      </c>
      <c r="F5120" s="331">
        <v>0.21</v>
      </c>
      <c r="G5120" s="332">
        <v>1247</v>
      </c>
      <c r="H5120" s="333">
        <v>1509</v>
      </c>
    </row>
    <row r="5121" spans="1:8">
      <c r="A5121" s="317" t="s">
        <v>40359</v>
      </c>
      <c r="B5121" s="317" t="s">
        <v>49487</v>
      </c>
      <c r="C5121" s="330" t="s">
        <v>13688</v>
      </c>
      <c r="D5121" s="330" t="s">
        <v>13689</v>
      </c>
      <c r="E5121" s="330" t="s">
        <v>37248</v>
      </c>
      <c r="F5121" s="331">
        <v>0.21</v>
      </c>
      <c r="G5121" s="332">
        <v>1748</v>
      </c>
      <c r="H5121" s="333">
        <v>2116</v>
      </c>
    </row>
    <row r="5122" spans="1:8">
      <c r="A5122" s="317" t="s">
        <v>40360</v>
      </c>
      <c r="B5122" s="317" t="s">
        <v>49488</v>
      </c>
      <c r="C5122" s="330" t="s">
        <v>13690</v>
      </c>
      <c r="D5122" s="330" t="s">
        <v>13689</v>
      </c>
      <c r="E5122" s="330" t="s">
        <v>37248</v>
      </c>
      <c r="F5122" s="331">
        <v>0.21</v>
      </c>
      <c r="G5122" s="332">
        <v>1247</v>
      </c>
      <c r="H5122" s="333">
        <v>1509</v>
      </c>
    </row>
    <row r="5123" spans="1:8">
      <c r="A5123" s="317" t="s">
        <v>40361</v>
      </c>
      <c r="B5123" s="317" t="s">
        <v>49489</v>
      </c>
      <c r="C5123" s="330" t="s">
        <v>13691</v>
      </c>
      <c r="D5123" s="330" t="s">
        <v>13692</v>
      </c>
      <c r="E5123" s="330" t="s">
        <v>37248</v>
      </c>
      <c r="F5123" s="331">
        <v>0.21</v>
      </c>
      <c r="G5123" s="332">
        <v>3102</v>
      </c>
      <c r="H5123" s="333">
        <v>3754</v>
      </c>
    </row>
    <row r="5124" spans="1:8">
      <c r="A5124" s="317" t="s">
        <v>40362</v>
      </c>
      <c r="B5124" s="317" t="s">
        <v>49490</v>
      </c>
      <c r="C5124" s="330" t="s">
        <v>13693</v>
      </c>
      <c r="D5124" s="330" t="s">
        <v>13694</v>
      </c>
      <c r="E5124" s="330" t="s">
        <v>37248</v>
      </c>
      <c r="F5124" s="331">
        <v>0.21</v>
      </c>
      <c r="G5124" s="332">
        <v>1247</v>
      </c>
      <c r="H5124" s="333">
        <v>1509</v>
      </c>
    </row>
    <row r="5125" spans="1:8">
      <c r="A5125" s="317" t="s">
        <v>40363</v>
      </c>
      <c r="B5125" s="317" t="s">
        <v>49491</v>
      </c>
      <c r="C5125" s="330" t="s">
        <v>13695</v>
      </c>
      <c r="D5125" s="330" t="s">
        <v>13438</v>
      </c>
      <c r="E5125" s="330" t="s">
        <v>37248</v>
      </c>
      <c r="F5125" s="331">
        <v>0.21</v>
      </c>
      <c r="G5125" s="332">
        <v>2513</v>
      </c>
      <c r="H5125" s="333">
        <v>3041</v>
      </c>
    </row>
    <row r="5126" spans="1:8">
      <c r="A5126" s="317" t="s">
        <v>40364</v>
      </c>
      <c r="B5126" s="317" t="s">
        <v>49492</v>
      </c>
      <c r="C5126" s="330" t="s">
        <v>13696</v>
      </c>
      <c r="D5126" s="330" t="s">
        <v>7320</v>
      </c>
      <c r="E5126" s="330" t="s">
        <v>37248</v>
      </c>
      <c r="F5126" s="331">
        <v>0.21</v>
      </c>
      <c r="G5126" s="332">
        <v>1247</v>
      </c>
      <c r="H5126" s="333">
        <v>1509</v>
      </c>
    </row>
    <row r="5127" spans="1:8">
      <c r="A5127" s="317" t="s">
        <v>40365</v>
      </c>
      <c r="B5127" s="317" t="s">
        <v>49493</v>
      </c>
      <c r="C5127" s="330" t="s">
        <v>13697</v>
      </c>
      <c r="D5127" s="330" t="s">
        <v>8178</v>
      </c>
      <c r="E5127" s="330" t="s">
        <v>37248</v>
      </c>
      <c r="F5127" s="331">
        <v>0.21</v>
      </c>
      <c r="G5127" s="332">
        <v>75814</v>
      </c>
      <c r="H5127" s="333">
        <v>91735</v>
      </c>
    </row>
    <row r="5128" spans="1:8">
      <c r="A5128" s="317" t="s">
        <v>40366</v>
      </c>
      <c r="B5128" s="317" t="s">
        <v>49494</v>
      </c>
      <c r="C5128" s="330" t="s">
        <v>13698</v>
      </c>
      <c r="D5128" s="330" t="s">
        <v>9598</v>
      </c>
      <c r="E5128" s="330" t="s">
        <v>37248</v>
      </c>
      <c r="F5128" s="331">
        <v>0.21</v>
      </c>
      <c r="G5128" s="332">
        <v>2197</v>
      </c>
      <c r="H5128" s="333">
        <v>2659</v>
      </c>
    </row>
    <row r="5129" spans="1:8">
      <c r="A5129" s="317" t="s">
        <v>40367</v>
      </c>
      <c r="B5129" s="317" t="s">
        <v>49495</v>
      </c>
      <c r="C5129" s="330" t="s">
        <v>13699</v>
      </c>
      <c r="D5129" s="330" t="s">
        <v>13700</v>
      </c>
      <c r="E5129" s="330" t="s">
        <v>37248</v>
      </c>
      <c r="F5129" s="331">
        <v>0.21</v>
      </c>
      <c r="G5129" s="332">
        <v>3912</v>
      </c>
      <c r="H5129" s="333">
        <v>4734</v>
      </c>
    </row>
    <row r="5130" spans="1:8">
      <c r="A5130" s="317" t="s">
        <v>40368</v>
      </c>
      <c r="B5130" s="317" t="s">
        <v>49496</v>
      </c>
      <c r="C5130" s="330" t="s">
        <v>13701</v>
      </c>
      <c r="D5130" s="330" t="s">
        <v>13440</v>
      </c>
      <c r="E5130" s="330" t="s">
        <v>37248</v>
      </c>
      <c r="F5130" s="331">
        <v>0.21</v>
      </c>
      <c r="G5130" s="332">
        <v>6435</v>
      </c>
      <c r="H5130" s="333">
        <v>7787</v>
      </c>
    </row>
    <row r="5131" spans="1:8">
      <c r="A5131" s="317" t="s">
        <v>40369</v>
      </c>
      <c r="B5131" s="317" t="s">
        <v>49497</v>
      </c>
      <c r="C5131" s="330" t="s">
        <v>13702</v>
      </c>
      <c r="D5131" s="330" t="s">
        <v>13703</v>
      </c>
      <c r="E5131" s="330" t="s">
        <v>37248</v>
      </c>
      <c r="F5131" s="331">
        <v>0.21</v>
      </c>
      <c r="G5131" s="332">
        <v>2197</v>
      </c>
      <c r="H5131" s="333">
        <v>2659</v>
      </c>
    </row>
    <row r="5132" spans="1:8">
      <c r="A5132" s="317" t="s">
        <v>40370</v>
      </c>
      <c r="B5132" s="317" t="s">
        <v>49498</v>
      </c>
      <c r="C5132" s="330" t="s">
        <v>13704</v>
      </c>
      <c r="D5132" s="330" t="s">
        <v>7320</v>
      </c>
      <c r="E5132" s="330" t="s">
        <v>37248</v>
      </c>
      <c r="F5132" s="331">
        <v>0.21</v>
      </c>
      <c r="G5132" s="332">
        <v>1247</v>
      </c>
      <c r="H5132" s="333">
        <v>1509</v>
      </c>
    </row>
    <row r="5133" spans="1:8">
      <c r="A5133" s="317" t="s">
        <v>40371</v>
      </c>
      <c r="B5133" s="317" t="s">
        <v>49499</v>
      </c>
      <c r="C5133" s="330" t="s">
        <v>13705</v>
      </c>
      <c r="D5133" s="330" t="s">
        <v>7320</v>
      </c>
      <c r="E5133" s="330" t="s">
        <v>37248</v>
      </c>
      <c r="F5133" s="331">
        <v>0.21</v>
      </c>
      <c r="G5133" s="332">
        <v>1247</v>
      </c>
      <c r="H5133" s="333">
        <v>1509</v>
      </c>
    </row>
    <row r="5134" spans="1:8">
      <c r="A5134" s="317" t="s">
        <v>40372</v>
      </c>
      <c r="B5134" s="317" t="s">
        <v>49500</v>
      </c>
      <c r="C5134" s="330" t="s">
        <v>13706</v>
      </c>
      <c r="D5134" s="330" t="s">
        <v>8060</v>
      </c>
      <c r="E5134" s="330" t="s">
        <v>37248</v>
      </c>
      <c r="F5134" s="331">
        <v>0.21</v>
      </c>
      <c r="G5134" s="332">
        <v>1247</v>
      </c>
      <c r="H5134" s="333">
        <v>1509</v>
      </c>
    </row>
    <row r="5135" spans="1:8">
      <c r="A5135" s="317" t="s">
        <v>40373</v>
      </c>
      <c r="B5135" s="317" t="s">
        <v>49501</v>
      </c>
      <c r="C5135" s="330" t="s">
        <v>13707</v>
      </c>
      <c r="D5135" s="330" t="s">
        <v>8060</v>
      </c>
      <c r="E5135" s="330" t="s">
        <v>37248</v>
      </c>
      <c r="F5135" s="331">
        <v>0.21</v>
      </c>
      <c r="G5135" s="332">
        <v>492</v>
      </c>
      <c r="H5135" s="333">
        <v>596</v>
      </c>
    </row>
    <row r="5136" spans="1:8">
      <c r="A5136" s="317" t="s">
        <v>40374</v>
      </c>
      <c r="B5136" s="317" t="s">
        <v>49502</v>
      </c>
      <c r="C5136" s="330" t="s">
        <v>13708</v>
      </c>
      <c r="D5136" s="330" t="s">
        <v>7725</v>
      </c>
      <c r="E5136" s="330" t="s">
        <v>37248</v>
      </c>
      <c r="F5136" s="331">
        <v>0.21</v>
      </c>
      <c r="G5136" s="332">
        <v>5211</v>
      </c>
      <c r="H5136" s="333">
        <v>6306</v>
      </c>
    </row>
    <row r="5137" spans="1:8">
      <c r="A5137" s="317" t="s">
        <v>40375</v>
      </c>
      <c r="B5137" s="317" t="s">
        <v>49503</v>
      </c>
      <c r="C5137" s="330" t="s">
        <v>13709</v>
      </c>
      <c r="D5137" s="330" t="s">
        <v>6840</v>
      </c>
      <c r="E5137" s="330" t="s">
        <v>37248</v>
      </c>
      <c r="F5137" s="331">
        <v>0.21</v>
      </c>
      <c r="G5137" s="332">
        <v>5715</v>
      </c>
      <c r="H5137" s="333">
        <v>6916</v>
      </c>
    </row>
    <row r="5138" spans="1:8">
      <c r="A5138" s="317" t="s">
        <v>40376</v>
      </c>
      <c r="B5138" s="317" t="s">
        <v>49504</v>
      </c>
      <c r="C5138" s="330" t="s">
        <v>13710</v>
      </c>
      <c r="D5138" s="330" t="s">
        <v>13711</v>
      </c>
      <c r="E5138" s="330" t="s">
        <v>37248</v>
      </c>
      <c r="F5138" s="331">
        <v>0.21</v>
      </c>
      <c r="G5138" s="332">
        <v>21319</v>
      </c>
      <c r="H5138" s="333">
        <v>25796</v>
      </c>
    </row>
    <row r="5139" spans="1:8">
      <c r="A5139" s="317" t="s">
        <v>40377</v>
      </c>
      <c r="B5139" s="317" t="s">
        <v>49505</v>
      </c>
      <c r="C5139" s="330" t="s">
        <v>13712</v>
      </c>
      <c r="D5139" s="330" t="s">
        <v>13713</v>
      </c>
      <c r="E5139" s="330" t="s">
        <v>4819</v>
      </c>
      <c r="F5139" s="331">
        <v>0.21</v>
      </c>
      <c r="G5139" s="332">
        <v>976</v>
      </c>
      <c r="H5139" s="333">
        <v>1181</v>
      </c>
    </row>
    <row r="5140" spans="1:8">
      <c r="A5140" s="317" t="s">
        <v>40378</v>
      </c>
      <c r="B5140" s="317" t="s">
        <v>49506</v>
      </c>
      <c r="C5140" s="330" t="s">
        <v>13714</v>
      </c>
      <c r="D5140" s="330" t="s">
        <v>13713</v>
      </c>
      <c r="E5140" s="330" t="s">
        <v>4819</v>
      </c>
      <c r="F5140" s="331">
        <v>0.21</v>
      </c>
      <c r="G5140" s="332">
        <v>1063</v>
      </c>
      <c r="H5140" s="333">
        <v>1287</v>
      </c>
    </row>
    <row r="5141" spans="1:8">
      <c r="A5141" s="317" t="s">
        <v>40379</v>
      </c>
      <c r="B5141" s="317" t="s">
        <v>49507</v>
      </c>
      <c r="C5141" s="330" t="s">
        <v>13715</v>
      </c>
      <c r="D5141" s="330" t="s">
        <v>13716</v>
      </c>
      <c r="E5141" s="330" t="s">
        <v>4819</v>
      </c>
      <c r="F5141" s="331">
        <v>0.21</v>
      </c>
      <c r="G5141" s="332">
        <v>976</v>
      </c>
      <c r="H5141" s="333">
        <v>1181</v>
      </c>
    </row>
    <row r="5142" spans="1:8">
      <c r="A5142" s="317" t="s">
        <v>40380</v>
      </c>
      <c r="B5142" s="317" t="s">
        <v>49508</v>
      </c>
      <c r="C5142" s="330" t="s">
        <v>13717</v>
      </c>
      <c r="D5142" s="330" t="s">
        <v>13718</v>
      </c>
      <c r="E5142" s="330" t="s">
        <v>37248</v>
      </c>
      <c r="F5142" s="331">
        <v>0.21</v>
      </c>
      <c r="G5142" s="332">
        <v>14674</v>
      </c>
      <c r="H5142" s="333">
        <v>17756</v>
      </c>
    </row>
    <row r="5143" spans="1:8">
      <c r="A5143" s="317" t="s">
        <v>40381</v>
      </c>
      <c r="B5143" s="317" t="s">
        <v>49509</v>
      </c>
      <c r="C5143" s="330" t="s">
        <v>13719</v>
      </c>
      <c r="D5143" s="330" t="s">
        <v>13720</v>
      </c>
      <c r="E5143" s="330" t="s">
        <v>37248</v>
      </c>
      <c r="F5143" s="331">
        <v>0.21</v>
      </c>
      <c r="G5143" s="332">
        <v>13585</v>
      </c>
      <c r="H5143" s="333">
        <v>16438</v>
      </c>
    </row>
    <row r="5144" spans="1:8">
      <c r="A5144" s="317" t="s">
        <v>40382</v>
      </c>
      <c r="B5144" s="317" t="s">
        <v>49510</v>
      </c>
      <c r="C5144" s="330" t="s">
        <v>13721</v>
      </c>
      <c r="D5144" s="330" t="s">
        <v>13722</v>
      </c>
      <c r="E5144" s="330" t="s">
        <v>37248</v>
      </c>
      <c r="F5144" s="331">
        <v>0.21</v>
      </c>
      <c r="G5144" s="332">
        <v>17493</v>
      </c>
      <c r="H5144" s="333">
        <v>21167</v>
      </c>
    </row>
    <row r="5145" spans="1:8">
      <c r="A5145" s="317" t="s">
        <v>40383</v>
      </c>
      <c r="B5145" s="317" t="s">
        <v>49511</v>
      </c>
      <c r="C5145" s="330" t="s">
        <v>13723</v>
      </c>
      <c r="D5145" s="330" t="s">
        <v>13060</v>
      </c>
      <c r="E5145" s="330" t="s">
        <v>37248</v>
      </c>
      <c r="F5145" s="331">
        <v>0.21</v>
      </c>
      <c r="G5145" s="332">
        <v>11753</v>
      </c>
      <c r="H5145" s="333">
        <v>14222</v>
      </c>
    </row>
    <row r="5146" spans="1:8">
      <c r="A5146" s="317" t="s">
        <v>40384</v>
      </c>
      <c r="B5146" s="317" t="s">
        <v>49512</v>
      </c>
      <c r="C5146" s="330" t="s">
        <v>13724</v>
      </c>
      <c r="D5146" s="330" t="s">
        <v>13725</v>
      </c>
      <c r="E5146" s="330" t="s">
        <v>37248</v>
      </c>
      <c r="F5146" s="331">
        <v>0.21</v>
      </c>
      <c r="G5146" s="332">
        <v>2215</v>
      </c>
      <c r="H5146" s="333">
        <v>2681</v>
      </c>
    </row>
    <row r="5147" spans="1:8">
      <c r="A5147" s="317" t="s">
        <v>40385</v>
      </c>
      <c r="B5147" s="317" t="s">
        <v>49513</v>
      </c>
      <c r="C5147" s="330" t="s">
        <v>13726</v>
      </c>
      <c r="D5147" s="330" t="s">
        <v>13727</v>
      </c>
      <c r="E5147" s="330" t="s">
        <v>37248</v>
      </c>
      <c r="F5147" s="331">
        <v>0.21</v>
      </c>
      <c r="G5147" s="332">
        <v>976</v>
      </c>
      <c r="H5147" s="333">
        <v>1181</v>
      </c>
    </row>
    <row r="5148" spans="1:8">
      <c r="A5148" s="317" t="s">
        <v>40386</v>
      </c>
      <c r="B5148" s="317" t="s">
        <v>49514</v>
      </c>
      <c r="C5148" s="330" t="s">
        <v>13728</v>
      </c>
      <c r="D5148" s="330" t="s">
        <v>13729</v>
      </c>
      <c r="E5148" s="330" t="s">
        <v>37248</v>
      </c>
      <c r="F5148" s="331">
        <v>0.21</v>
      </c>
      <c r="G5148" s="332">
        <v>4686</v>
      </c>
      <c r="H5148" s="333">
        <v>5671</v>
      </c>
    </row>
    <row r="5149" spans="1:8">
      <c r="A5149" s="317" t="s">
        <v>40387</v>
      </c>
      <c r="B5149" s="317" t="s">
        <v>49515</v>
      </c>
      <c r="C5149" s="330" t="s">
        <v>13730</v>
      </c>
      <c r="D5149" s="330" t="s">
        <v>13731</v>
      </c>
      <c r="E5149" s="330" t="s">
        <v>37248</v>
      </c>
      <c r="F5149" s="331">
        <v>0.21</v>
      </c>
      <c r="G5149" s="332">
        <v>11599</v>
      </c>
      <c r="H5149" s="333">
        <v>14035</v>
      </c>
    </row>
    <row r="5150" spans="1:8">
      <c r="A5150" s="317" t="s">
        <v>40388</v>
      </c>
      <c r="B5150" s="317" t="s">
        <v>49516</v>
      </c>
      <c r="C5150" s="330" t="s">
        <v>13732</v>
      </c>
      <c r="D5150" s="330" t="s">
        <v>7851</v>
      </c>
      <c r="E5150" s="330" t="s">
        <v>37248</v>
      </c>
      <c r="F5150" s="331">
        <v>0.21</v>
      </c>
      <c r="G5150" s="332">
        <v>3102</v>
      </c>
      <c r="H5150" s="333">
        <v>3754</v>
      </c>
    </row>
    <row r="5151" spans="1:8">
      <c r="A5151" s="317" t="s">
        <v>40389</v>
      </c>
      <c r="B5151" s="317" t="s">
        <v>49517</v>
      </c>
      <c r="C5151" s="330" t="s">
        <v>13733</v>
      </c>
      <c r="D5151" s="330" t="s">
        <v>10537</v>
      </c>
      <c r="E5151" s="330" t="s">
        <v>37248</v>
      </c>
      <c r="F5151" s="331">
        <v>0.21</v>
      </c>
      <c r="G5151" s="332">
        <v>1247</v>
      </c>
      <c r="H5151" s="333">
        <v>1509</v>
      </c>
    </row>
    <row r="5152" spans="1:8">
      <c r="A5152" s="317" t="s">
        <v>40390</v>
      </c>
      <c r="B5152" s="317" t="s">
        <v>49518</v>
      </c>
      <c r="C5152" s="330" t="s">
        <v>13734</v>
      </c>
      <c r="D5152" s="330" t="s">
        <v>10537</v>
      </c>
      <c r="E5152" s="330" t="s">
        <v>37248</v>
      </c>
      <c r="F5152" s="331">
        <v>0.21</v>
      </c>
      <c r="G5152" s="332">
        <v>1247</v>
      </c>
      <c r="H5152" s="333">
        <v>1509</v>
      </c>
    </row>
    <row r="5153" spans="1:8">
      <c r="A5153" s="317" t="s">
        <v>40391</v>
      </c>
      <c r="B5153" s="317" t="s">
        <v>49519</v>
      </c>
      <c r="C5153" s="330" t="s">
        <v>13735</v>
      </c>
      <c r="D5153" s="330" t="s">
        <v>7653</v>
      </c>
      <c r="E5153" s="330" t="s">
        <v>37248</v>
      </c>
      <c r="F5153" s="331">
        <v>0.21</v>
      </c>
      <c r="G5153" s="332">
        <v>1748</v>
      </c>
      <c r="H5153" s="333">
        <v>2116</v>
      </c>
    </row>
    <row r="5154" spans="1:8">
      <c r="A5154" s="317" t="s">
        <v>40392</v>
      </c>
      <c r="B5154" s="317" t="s">
        <v>49520</v>
      </c>
      <c r="C5154" s="330" t="s">
        <v>13736</v>
      </c>
      <c r="D5154" s="330" t="s">
        <v>12706</v>
      </c>
      <c r="E5154" s="330" t="s">
        <v>37248</v>
      </c>
      <c r="F5154" s="331">
        <v>0.21</v>
      </c>
      <c r="G5154" s="332">
        <v>1247</v>
      </c>
      <c r="H5154" s="333">
        <v>1509</v>
      </c>
    </row>
    <row r="5155" spans="1:8">
      <c r="A5155" s="317" t="s">
        <v>40393</v>
      </c>
      <c r="B5155" s="317" t="s">
        <v>49521</v>
      </c>
      <c r="C5155" s="330" t="s">
        <v>13737</v>
      </c>
      <c r="D5155" s="330" t="s">
        <v>12706</v>
      </c>
      <c r="E5155" s="330" t="s">
        <v>37248</v>
      </c>
      <c r="F5155" s="331">
        <v>0.21</v>
      </c>
      <c r="G5155" s="332">
        <v>1247</v>
      </c>
      <c r="H5155" s="333">
        <v>1509</v>
      </c>
    </row>
    <row r="5156" spans="1:8">
      <c r="A5156" s="317" t="s">
        <v>40394</v>
      </c>
      <c r="B5156" s="317" t="s">
        <v>49522</v>
      </c>
      <c r="C5156" s="330" t="s">
        <v>13738</v>
      </c>
      <c r="D5156" s="330" t="s">
        <v>13739</v>
      </c>
      <c r="E5156" s="330" t="s">
        <v>37248</v>
      </c>
      <c r="F5156" s="331">
        <v>0.21</v>
      </c>
      <c r="G5156" s="332">
        <v>3267</v>
      </c>
      <c r="H5156" s="333">
        <v>3954</v>
      </c>
    </row>
    <row r="5157" spans="1:8">
      <c r="A5157" s="317" t="s">
        <v>40395</v>
      </c>
      <c r="B5157" s="317" t="s">
        <v>49523</v>
      </c>
      <c r="C5157" s="330" t="s">
        <v>13740</v>
      </c>
      <c r="D5157" s="330" t="s">
        <v>10700</v>
      </c>
      <c r="E5157" s="330" t="s">
        <v>4634</v>
      </c>
      <c r="F5157" s="331">
        <v>0.21</v>
      </c>
      <c r="G5157" s="332">
        <v>490</v>
      </c>
      <c r="H5157" s="333">
        <v>593</v>
      </c>
    </row>
    <row r="5158" spans="1:8">
      <c r="A5158" s="317" t="s">
        <v>40396</v>
      </c>
      <c r="B5158" s="317" t="s">
        <v>49524</v>
      </c>
      <c r="C5158" s="330" t="s">
        <v>13741</v>
      </c>
      <c r="D5158" s="330" t="s">
        <v>10700</v>
      </c>
      <c r="E5158" s="330" t="s">
        <v>37248</v>
      </c>
      <c r="F5158" s="331">
        <v>0.21</v>
      </c>
      <c r="G5158" s="332">
        <v>515</v>
      </c>
      <c r="H5158" s="333">
        <v>624</v>
      </c>
    </row>
    <row r="5159" spans="1:8">
      <c r="A5159" s="317" t="s">
        <v>40397</v>
      </c>
      <c r="B5159" s="317" t="s">
        <v>49525</v>
      </c>
      <c r="C5159" s="330" t="s">
        <v>13742</v>
      </c>
      <c r="D5159" s="330" t="s">
        <v>7508</v>
      </c>
      <c r="E5159" s="330" t="s">
        <v>37248</v>
      </c>
      <c r="F5159" s="331">
        <v>0.21</v>
      </c>
      <c r="G5159" s="332">
        <v>1063</v>
      </c>
      <c r="H5159" s="333">
        <v>1287</v>
      </c>
    </row>
    <row r="5160" spans="1:8">
      <c r="A5160" s="317" t="s">
        <v>40398</v>
      </c>
      <c r="B5160" s="317" t="s">
        <v>49526</v>
      </c>
      <c r="C5160" s="330" t="s">
        <v>13743</v>
      </c>
      <c r="D5160" s="330" t="s">
        <v>7508</v>
      </c>
      <c r="E5160" s="330" t="s">
        <v>37248</v>
      </c>
      <c r="F5160" s="331">
        <v>0.21</v>
      </c>
      <c r="G5160" s="332">
        <v>1063</v>
      </c>
      <c r="H5160" s="333">
        <v>1287</v>
      </c>
    </row>
    <row r="5161" spans="1:8">
      <c r="A5161" s="317" t="s">
        <v>40399</v>
      </c>
      <c r="B5161" s="317" t="s">
        <v>49527</v>
      </c>
      <c r="C5161" s="330" t="s">
        <v>13744</v>
      </c>
      <c r="D5161" s="330" t="s">
        <v>13745</v>
      </c>
      <c r="E5161" s="330" t="s">
        <v>37248</v>
      </c>
      <c r="F5161" s="331">
        <v>0.21</v>
      </c>
      <c r="G5161" s="332">
        <v>1247</v>
      </c>
      <c r="H5161" s="333">
        <v>1509</v>
      </c>
    </row>
    <row r="5162" spans="1:8">
      <c r="A5162" s="317" t="s">
        <v>40400</v>
      </c>
      <c r="B5162" s="317" t="s">
        <v>49528</v>
      </c>
      <c r="C5162" s="330" t="s">
        <v>13746</v>
      </c>
      <c r="D5162" s="330" t="s">
        <v>12706</v>
      </c>
      <c r="E5162" s="330" t="s">
        <v>4819</v>
      </c>
      <c r="F5162" s="331">
        <v>0.21</v>
      </c>
      <c r="G5162" s="332">
        <v>292</v>
      </c>
      <c r="H5162" s="333">
        <v>354</v>
      </c>
    </row>
    <row r="5163" spans="1:8">
      <c r="A5163" s="317" t="s">
        <v>40401</v>
      </c>
      <c r="B5163" s="317" t="s">
        <v>49529</v>
      </c>
      <c r="C5163" s="330" t="s">
        <v>13747</v>
      </c>
      <c r="D5163" s="330" t="s">
        <v>13373</v>
      </c>
      <c r="E5163" s="330" t="s">
        <v>4819</v>
      </c>
      <c r="F5163" s="331">
        <v>0.21</v>
      </c>
      <c r="G5163" s="332">
        <v>968</v>
      </c>
      <c r="H5163" s="333">
        <v>1172</v>
      </c>
    </row>
    <row r="5164" spans="1:8">
      <c r="A5164" s="317" t="s">
        <v>40402</v>
      </c>
      <c r="B5164" s="317" t="s">
        <v>49530</v>
      </c>
      <c r="C5164" s="330" t="s">
        <v>13748</v>
      </c>
      <c r="D5164" s="330" t="s">
        <v>13749</v>
      </c>
      <c r="E5164" s="330" t="s">
        <v>4634</v>
      </c>
      <c r="F5164" s="331">
        <v>0.21</v>
      </c>
      <c r="G5164" s="332">
        <v>280</v>
      </c>
      <c r="H5164" s="333">
        <v>339</v>
      </c>
    </row>
    <row r="5165" spans="1:8">
      <c r="A5165" s="317" t="s">
        <v>40403</v>
      </c>
      <c r="B5165" s="317" t="s">
        <v>49531</v>
      </c>
      <c r="C5165" s="330" t="s">
        <v>13750</v>
      </c>
      <c r="D5165" s="330" t="s">
        <v>4598</v>
      </c>
      <c r="E5165" s="330" t="s">
        <v>4634</v>
      </c>
      <c r="F5165" s="331">
        <v>0.21</v>
      </c>
      <c r="G5165" s="332">
        <v>1003</v>
      </c>
      <c r="H5165" s="333">
        <v>1214</v>
      </c>
    </row>
    <row r="5166" spans="1:8">
      <c r="A5166" s="317" t="s">
        <v>40404</v>
      </c>
      <c r="B5166" s="317" t="s">
        <v>49532</v>
      </c>
      <c r="C5166" s="330" t="s">
        <v>13751</v>
      </c>
      <c r="D5166" s="330" t="s">
        <v>7510</v>
      </c>
      <c r="E5166" s="330" t="s">
        <v>4819</v>
      </c>
      <c r="F5166" s="331">
        <v>0.21</v>
      </c>
      <c r="G5166" s="332">
        <v>671</v>
      </c>
      <c r="H5166" s="333">
        <v>812</v>
      </c>
    </row>
    <row r="5167" spans="1:8">
      <c r="A5167" s="317" t="s">
        <v>40405</v>
      </c>
      <c r="B5167" s="317" t="s">
        <v>49533</v>
      </c>
      <c r="C5167" s="330" t="s">
        <v>13752</v>
      </c>
      <c r="D5167" s="330" t="s">
        <v>8853</v>
      </c>
      <c r="E5167" s="330" t="s">
        <v>37248</v>
      </c>
      <c r="F5167" s="331">
        <v>0.21</v>
      </c>
      <c r="G5167" s="332">
        <v>976</v>
      </c>
      <c r="H5167" s="333">
        <v>1181</v>
      </c>
    </row>
    <row r="5168" spans="1:8">
      <c r="A5168" s="317" t="s">
        <v>40406</v>
      </c>
      <c r="B5168" s="317" t="s">
        <v>49534</v>
      </c>
      <c r="C5168" s="330" t="s">
        <v>13753</v>
      </c>
      <c r="D5168" s="330" t="s">
        <v>8853</v>
      </c>
      <c r="E5168" s="330" t="s">
        <v>37248</v>
      </c>
      <c r="F5168" s="331">
        <v>0.21</v>
      </c>
      <c r="G5168" s="332">
        <v>1247</v>
      </c>
      <c r="H5168" s="333">
        <v>1509</v>
      </c>
    </row>
    <row r="5169" spans="1:8">
      <c r="A5169" s="317" t="s">
        <v>40407</v>
      </c>
      <c r="B5169" s="317" t="s">
        <v>49535</v>
      </c>
      <c r="C5169" s="330" t="s">
        <v>13754</v>
      </c>
      <c r="D5169" s="330" t="s">
        <v>8094</v>
      </c>
      <c r="E5169" s="330" t="s">
        <v>37248</v>
      </c>
      <c r="F5169" s="331">
        <v>0.21</v>
      </c>
      <c r="G5169" s="332">
        <v>1247</v>
      </c>
      <c r="H5169" s="333">
        <v>1509</v>
      </c>
    </row>
    <row r="5170" spans="1:8">
      <c r="A5170" s="317">
        <v>1610005002</v>
      </c>
      <c r="B5170" s="317" t="s">
        <v>49536</v>
      </c>
      <c r="C5170" s="330" t="s">
        <v>13755</v>
      </c>
      <c r="D5170" s="330" t="s">
        <v>13756</v>
      </c>
      <c r="E5170" s="330" t="s">
        <v>4634</v>
      </c>
      <c r="F5170" s="331">
        <v>0.21</v>
      </c>
      <c r="G5170" s="332">
        <v>584</v>
      </c>
      <c r="H5170" s="333">
        <v>707</v>
      </c>
    </row>
    <row r="5171" spans="1:8">
      <c r="A5171" s="317">
        <v>1610009007</v>
      </c>
      <c r="B5171" s="317" t="s">
        <v>49537</v>
      </c>
      <c r="C5171" s="330" t="s">
        <v>13757</v>
      </c>
      <c r="D5171" s="330" t="s">
        <v>13758</v>
      </c>
      <c r="E5171" s="330" t="s">
        <v>37248</v>
      </c>
      <c r="F5171" s="331">
        <v>0.21</v>
      </c>
      <c r="G5171" s="332">
        <v>3132</v>
      </c>
      <c r="H5171" s="333">
        <v>3790</v>
      </c>
    </row>
    <row r="5172" spans="1:8">
      <c r="A5172" s="317">
        <v>1610009008</v>
      </c>
      <c r="B5172" s="317" t="s">
        <v>49538</v>
      </c>
      <c r="C5172" s="330" t="s">
        <v>13759</v>
      </c>
      <c r="D5172" s="330" t="s">
        <v>13760</v>
      </c>
      <c r="E5172" s="330" t="s">
        <v>37248</v>
      </c>
      <c r="F5172" s="331">
        <v>0.21</v>
      </c>
      <c r="G5172" s="332">
        <v>4633</v>
      </c>
      <c r="H5172" s="333">
        <v>5606</v>
      </c>
    </row>
    <row r="5173" spans="1:8">
      <c r="A5173" s="317">
        <v>1610021004</v>
      </c>
      <c r="B5173" s="317" t="s">
        <v>49539</v>
      </c>
      <c r="C5173" s="330" t="s">
        <v>13761</v>
      </c>
      <c r="D5173" s="330" t="s">
        <v>13762</v>
      </c>
      <c r="E5173" s="330" t="s">
        <v>37248</v>
      </c>
      <c r="F5173" s="331">
        <v>0.21</v>
      </c>
      <c r="G5173" s="332">
        <v>805</v>
      </c>
      <c r="H5173" s="333">
        <v>975</v>
      </c>
    </row>
    <row r="5174" spans="1:8">
      <c r="A5174" s="317">
        <v>1610021005</v>
      </c>
      <c r="B5174" s="317" t="s">
        <v>49540</v>
      </c>
      <c r="C5174" s="330" t="s">
        <v>13763</v>
      </c>
      <c r="D5174" s="330" t="s">
        <v>13764</v>
      </c>
      <c r="E5174" s="330" t="s">
        <v>37248</v>
      </c>
      <c r="F5174" s="331">
        <v>0.21</v>
      </c>
      <c r="G5174" s="332">
        <v>789</v>
      </c>
      <c r="H5174" s="333">
        <v>955</v>
      </c>
    </row>
    <row r="5175" spans="1:8">
      <c r="A5175" s="317">
        <v>1610021006</v>
      </c>
      <c r="B5175" s="317" t="s">
        <v>49541</v>
      </c>
      <c r="C5175" s="330" t="s">
        <v>13765</v>
      </c>
      <c r="D5175" s="330" t="s">
        <v>13766</v>
      </c>
      <c r="E5175" s="330" t="s">
        <v>37248</v>
      </c>
      <c r="F5175" s="331">
        <v>0.21</v>
      </c>
      <c r="G5175" s="332">
        <v>789</v>
      </c>
      <c r="H5175" s="333">
        <v>955</v>
      </c>
    </row>
    <row r="5176" spans="1:8">
      <c r="A5176" s="317">
        <v>1610026002</v>
      </c>
      <c r="B5176" s="317" t="s">
        <v>49542</v>
      </c>
      <c r="C5176" s="330" t="s">
        <v>13767</v>
      </c>
      <c r="D5176" s="330" t="s">
        <v>13768</v>
      </c>
      <c r="E5176" s="330" t="s">
        <v>4819</v>
      </c>
      <c r="F5176" s="331">
        <v>0.21</v>
      </c>
      <c r="G5176" s="332">
        <v>1530</v>
      </c>
      <c r="H5176" s="333">
        <v>1852</v>
      </c>
    </row>
    <row r="5177" spans="1:8">
      <c r="A5177" s="317">
        <v>1610026003</v>
      </c>
      <c r="B5177" s="317" t="s">
        <v>49543</v>
      </c>
      <c r="C5177" s="330" t="s">
        <v>13769</v>
      </c>
      <c r="D5177" s="330" t="s">
        <v>13768</v>
      </c>
      <c r="E5177" s="330" t="s">
        <v>4819</v>
      </c>
      <c r="F5177" s="331">
        <v>0.21</v>
      </c>
      <c r="G5177" s="332">
        <v>1704</v>
      </c>
      <c r="H5177" s="333">
        <v>2062</v>
      </c>
    </row>
    <row r="5178" spans="1:8">
      <c r="A5178" s="317">
        <v>1610026004</v>
      </c>
      <c r="B5178" s="317" t="s">
        <v>49544</v>
      </c>
      <c r="C5178" s="330" t="s">
        <v>13770</v>
      </c>
      <c r="D5178" s="330" t="s">
        <v>13771</v>
      </c>
      <c r="E5178" s="330" t="s">
        <v>37248</v>
      </c>
      <c r="F5178" s="331">
        <v>0.21</v>
      </c>
      <c r="G5178" s="332">
        <v>243</v>
      </c>
      <c r="H5178" s="333">
        <v>295</v>
      </c>
    </row>
    <row r="5179" spans="1:8">
      <c r="A5179" s="317">
        <v>1610031005</v>
      </c>
      <c r="B5179" s="317" t="s">
        <v>49545</v>
      </c>
      <c r="C5179" s="330" t="s">
        <v>13772</v>
      </c>
      <c r="D5179" s="330" t="s">
        <v>13773</v>
      </c>
      <c r="E5179" s="330" t="s">
        <v>37248</v>
      </c>
      <c r="F5179" s="331">
        <v>0.21</v>
      </c>
      <c r="G5179" s="332">
        <v>3517</v>
      </c>
      <c r="H5179" s="333">
        <v>4256</v>
      </c>
    </row>
    <row r="5180" spans="1:8">
      <c r="A5180" s="317">
        <v>1610099004</v>
      </c>
      <c r="B5180" s="317" t="s">
        <v>49546</v>
      </c>
      <c r="C5180" s="330" t="s">
        <v>13774</v>
      </c>
      <c r="D5180" s="330" t="s">
        <v>13775</v>
      </c>
      <c r="E5180" s="330" t="s">
        <v>37248</v>
      </c>
      <c r="F5180" s="331">
        <v>0.21</v>
      </c>
      <c r="G5180" s="332">
        <v>2823</v>
      </c>
      <c r="H5180" s="333">
        <v>3416</v>
      </c>
    </row>
    <row r="5181" spans="1:8">
      <c r="A5181" s="317">
        <v>1610099005</v>
      </c>
      <c r="B5181" s="317" t="s">
        <v>49547</v>
      </c>
      <c r="C5181" s="330" t="s">
        <v>13776</v>
      </c>
      <c r="D5181" s="330" t="s">
        <v>13777</v>
      </c>
      <c r="E5181" s="330" t="s">
        <v>4819</v>
      </c>
      <c r="F5181" s="331">
        <v>0.21</v>
      </c>
      <c r="G5181" s="332">
        <v>2823</v>
      </c>
      <c r="H5181" s="333">
        <v>3416</v>
      </c>
    </row>
    <row r="5182" spans="1:8">
      <c r="A5182" s="317">
        <v>1610099006</v>
      </c>
      <c r="B5182" s="317" t="s">
        <v>49548</v>
      </c>
      <c r="C5182" s="330" t="s">
        <v>13778</v>
      </c>
      <c r="D5182" s="330" t="s">
        <v>13779</v>
      </c>
      <c r="E5182" s="330" t="s">
        <v>4634</v>
      </c>
      <c r="F5182" s="331">
        <v>0.21</v>
      </c>
      <c r="G5182" s="332">
        <v>6884</v>
      </c>
      <c r="H5182" s="333">
        <v>8330</v>
      </c>
    </row>
    <row r="5183" spans="1:8">
      <c r="A5183" s="317">
        <v>1610099008</v>
      </c>
      <c r="B5183" s="317" t="s">
        <v>49549</v>
      </c>
      <c r="C5183" s="330" t="s">
        <v>13780</v>
      </c>
      <c r="D5183" s="330" t="s">
        <v>10530</v>
      </c>
      <c r="E5183" s="330" t="s">
        <v>4634</v>
      </c>
      <c r="F5183" s="331">
        <v>0.21</v>
      </c>
      <c r="G5183" s="332">
        <v>432</v>
      </c>
      <c r="H5183" s="333">
        <v>523</v>
      </c>
    </row>
    <row r="5184" spans="1:8">
      <c r="A5184" s="317">
        <v>1610099009</v>
      </c>
      <c r="B5184" s="317" t="s">
        <v>49550</v>
      </c>
      <c r="C5184" s="330" t="s">
        <v>13781</v>
      </c>
      <c r="D5184" s="330" t="s">
        <v>13782</v>
      </c>
      <c r="E5184" s="330" t="s">
        <v>4634</v>
      </c>
      <c r="F5184" s="331">
        <v>0.21</v>
      </c>
      <c r="G5184" s="332">
        <v>564</v>
      </c>
      <c r="H5184" s="333">
        <v>683</v>
      </c>
    </row>
    <row r="5185" spans="1:8">
      <c r="A5185" s="317">
        <v>1610099013</v>
      </c>
      <c r="B5185" s="317" t="s">
        <v>49551</v>
      </c>
      <c r="C5185" s="330" t="s">
        <v>13783</v>
      </c>
      <c r="D5185" s="330" t="s">
        <v>13784</v>
      </c>
      <c r="E5185" s="330" t="s">
        <v>4634</v>
      </c>
      <c r="F5185" s="331">
        <v>0.21</v>
      </c>
      <c r="G5185" s="332">
        <v>372</v>
      </c>
      <c r="H5185" s="333">
        <v>451</v>
      </c>
    </row>
    <row r="5186" spans="1:8">
      <c r="A5186" s="317">
        <v>1610099018</v>
      </c>
      <c r="B5186" s="317" t="s">
        <v>49552</v>
      </c>
      <c r="C5186" s="330" t="s">
        <v>13785</v>
      </c>
      <c r="D5186" s="330" t="s">
        <v>13786</v>
      </c>
      <c r="E5186" s="330" t="s">
        <v>37248</v>
      </c>
      <c r="F5186" s="331">
        <v>0.21</v>
      </c>
      <c r="G5186" s="332">
        <v>515</v>
      </c>
      <c r="H5186" s="333">
        <v>624</v>
      </c>
    </row>
    <row r="5187" spans="1:8">
      <c r="A5187" s="317">
        <v>1610099019</v>
      </c>
      <c r="B5187" s="317" t="s">
        <v>49553</v>
      </c>
      <c r="C5187" s="330" t="s">
        <v>13787</v>
      </c>
      <c r="D5187" s="330" t="s">
        <v>13786</v>
      </c>
      <c r="E5187" s="330" t="s">
        <v>37248</v>
      </c>
      <c r="F5187" s="331">
        <v>0.21</v>
      </c>
      <c r="G5187" s="332">
        <v>515</v>
      </c>
      <c r="H5187" s="333">
        <v>624</v>
      </c>
    </row>
    <row r="5188" spans="1:8">
      <c r="A5188" s="317">
        <v>1610100003</v>
      </c>
      <c r="B5188" s="317" t="s">
        <v>49554</v>
      </c>
      <c r="C5188" s="330" t="s">
        <v>13788</v>
      </c>
      <c r="D5188" s="330" t="s">
        <v>13789</v>
      </c>
      <c r="E5188" s="330" t="s">
        <v>4819</v>
      </c>
      <c r="F5188" s="331">
        <v>0.21</v>
      </c>
      <c r="G5188" s="332">
        <v>2286</v>
      </c>
      <c r="H5188" s="333">
        <v>2767</v>
      </c>
    </row>
    <row r="5189" spans="1:8">
      <c r="A5189" s="317">
        <v>1610100007</v>
      </c>
      <c r="B5189" s="317" t="s">
        <v>49555</v>
      </c>
      <c r="C5189" s="330" t="s">
        <v>13790</v>
      </c>
      <c r="D5189" s="330" t="s">
        <v>13791</v>
      </c>
      <c r="E5189" s="330" t="s">
        <v>4634</v>
      </c>
      <c r="F5189" s="331">
        <v>0.21</v>
      </c>
      <c r="G5189" s="332">
        <v>372</v>
      </c>
      <c r="H5189" s="333">
        <v>451</v>
      </c>
    </row>
    <row r="5190" spans="1:8">
      <c r="A5190" s="317">
        <v>1610100008</v>
      </c>
      <c r="B5190" s="317" t="s">
        <v>49556</v>
      </c>
      <c r="C5190" s="330" t="s">
        <v>13792</v>
      </c>
      <c r="D5190" s="330" t="s">
        <v>13793</v>
      </c>
      <c r="E5190" s="330" t="s">
        <v>4634</v>
      </c>
      <c r="F5190" s="331">
        <v>0.21</v>
      </c>
      <c r="G5190" s="332">
        <v>372</v>
      </c>
      <c r="H5190" s="333">
        <v>451</v>
      </c>
    </row>
    <row r="5191" spans="1:8">
      <c r="A5191" s="317">
        <v>1610100016</v>
      </c>
      <c r="B5191" s="317" t="s">
        <v>49557</v>
      </c>
      <c r="C5191" s="330" t="s">
        <v>13794</v>
      </c>
      <c r="D5191" s="330" t="s">
        <v>13766</v>
      </c>
      <c r="E5191" s="330" t="s">
        <v>4819</v>
      </c>
      <c r="F5191" s="331">
        <v>0.21</v>
      </c>
      <c r="G5191" s="332">
        <v>2823</v>
      </c>
      <c r="H5191" s="333">
        <v>3416</v>
      </c>
    </row>
    <row r="5192" spans="1:8">
      <c r="A5192" s="317">
        <v>1610100021</v>
      </c>
      <c r="B5192" s="317" t="s">
        <v>49558</v>
      </c>
      <c r="C5192" s="330" t="s">
        <v>13795</v>
      </c>
      <c r="D5192" s="330" t="s">
        <v>13796</v>
      </c>
      <c r="E5192" s="330" t="s">
        <v>4819</v>
      </c>
      <c r="F5192" s="331">
        <v>0.21</v>
      </c>
      <c r="G5192" s="332">
        <v>910</v>
      </c>
      <c r="H5192" s="333">
        <v>1102</v>
      </c>
    </row>
    <row r="5193" spans="1:8">
      <c r="A5193" s="317">
        <v>1610100023</v>
      </c>
      <c r="B5193" s="317" t="s">
        <v>49559</v>
      </c>
      <c r="C5193" s="330" t="s">
        <v>13797</v>
      </c>
      <c r="D5193" s="330" t="s">
        <v>13798</v>
      </c>
      <c r="E5193" s="330" t="s">
        <v>37248</v>
      </c>
      <c r="F5193" s="331">
        <v>0.21</v>
      </c>
      <c r="G5193" s="332">
        <v>296</v>
      </c>
      <c r="H5193" s="333">
        <v>359</v>
      </c>
    </row>
    <row r="5194" spans="1:8">
      <c r="A5194" s="317">
        <v>1610100602</v>
      </c>
      <c r="B5194" s="317" t="s">
        <v>49560</v>
      </c>
      <c r="C5194" s="330" t="s">
        <v>13799</v>
      </c>
      <c r="D5194" s="330" t="s">
        <v>13800</v>
      </c>
      <c r="E5194" s="330" t="s">
        <v>4634</v>
      </c>
      <c r="F5194" s="331">
        <v>0.21</v>
      </c>
      <c r="G5194" s="332">
        <v>372</v>
      </c>
      <c r="H5194" s="333">
        <v>451</v>
      </c>
    </row>
    <row r="5195" spans="1:8">
      <c r="A5195" s="317">
        <v>1610100604</v>
      </c>
      <c r="B5195" s="317" t="s">
        <v>49561</v>
      </c>
      <c r="C5195" s="330" t="s">
        <v>13801</v>
      </c>
      <c r="D5195" s="330" t="s">
        <v>13802</v>
      </c>
      <c r="E5195" s="330" t="s">
        <v>4634</v>
      </c>
      <c r="F5195" s="331">
        <v>0.21</v>
      </c>
      <c r="G5195" s="332">
        <v>372</v>
      </c>
      <c r="H5195" s="333">
        <v>451</v>
      </c>
    </row>
    <row r="5196" spans="1:8">
      <c r="A5196" s="317">
        <v>1610100605</v>
      </c>
      <c r="B5196" s="317" t="s">
        <v>49562</v>
      </c>
      <c r="C5196" s="330" t="s">
        <v>13803</v>
      </c>
      <c r="D5196" s="330" t="s">
        <v>13802</v>
      </c>
      <c r="E5196" s="330" t="s">
        <v>4634</v>
      </c>
      <c r="F5196" s="331">
        <v>0.21</v>
      </c>
      <c r="G5196" s="332">
        <v>372</v>
      </c>
      <c r="H5196" s="333">
        <v>451</v>
      </c>
    </row>
    <row r="5197" spans="1:8">
      <c r="A5197" s="317">
        <v>1610100608</v>
      </c>
      <c r="B5197" s="317" t="s">
        <v>49563</v>
      </c>
      <c r="C5197" s="330" t="s">
        <v>13804</v>
      </c>
      <c r="D5197" s="330" t="s">
        <v>13805</v>
      </c>
      <c r="E5197" s="330" t="s">
        <v>4634</v>
      </c>
      <c r="F5197" s="331">
        <v>0.21</v>
      </c>
      <c r="G5197" s="332">
        <v>387</v>
      </c>
      <c r="H5197" s="333">
        <v>469</v>
      </c>
    </row>
    <row r="5198" spans="1:8">
      <c r="A5198" s="317">
        <v>1610100612</v>
      </c>
      <c r="B5198" s="317" t="s">
        <v>49564</v>
      </c>
      <c r="C5198" s="330" t="s">
        <v>13806</v>
      </c>
      <c r="D5198" s="330" t="s">
        <v>13807</v>
      </c>
      <c r="E5198" s="330" t="s">
        <v>4634</v>
      </c>
      <c r="F5198" s="331">
        <v>0.21</v>
      </c>
      <c r="G5198" s="332">
        <v>372</v>
      </c>
      <c r="H5198" s="333">
        <v>451</v>
      </c>
    </row>
    <row r="5199" spans="1:8">
      <c r="A5199" s="317">
        <v>1610101008</v>
      </c>
      <c r="B5199" s="317" t="s">
        <v>49565</v>
      </c>
      <c r="C5199" s="330" t="s">
        <v>13808</v>
      </c>
      <c r="D5199" s="330" t="s">
        <v>13809</v>
      </c>
      <c r="E5199" s="330" t="s">
        <v>4634</v>
      </c>
      <c r="F5199" s="331">
        <v>0.21</v>
      </c>
      <c r="G5199" s="332">
        <v>2328</v>
      </c>
      <c r="H5199" s="333">
        <v>2817</v>
      </c>
    </row>
    <row r="5200" spans="1:8">
      <c r="A5200" s="317">
        <v>1610101011</v>
      </c>
      <c r="B5200" s="317" t="s">
        <v>49566</v>
      </c>
      <c r="C5200" s="330" t="s">
        <v>13810</v>
      </c>
      <c r="D5200" s="330" t="s">
        <v>13811</v>
      </c>
      <c r="E5200" s="330" t="s">
        <v>37248</v>
      </c>
      <c r="F5200" s="331">
        <v>0.21</v>
      </c>
      <c r="G5200" s="332">
        <v>2411</v>
      </c>
      <c r="H5200" s="333">
        <v>2918</v>
      </c>
    </row>
    <row r="5201" spans="1:8">
      <c r="A5201" s="317">
        <v>1610101014</v>
      </c>
      <c r="B5201" s="317" t="s">
        <v>49567</v>
      </c>
      <c r="C5201" s="330" t="s">
        <v>13812</v>
      </c>
      <c r="D5201" s="330" t="s">
        <v>13813</v>
      </c>
      <c r="E5201" s="330" t="s">
        <v>4634</v>
      </c>
      <c r="F5201" s="331">
        <v>0.21</v>
      </c>
      <c r="G5201" s="332">
        <v>9059</v>
      </c>
      <c r="H5201" s="333">
        <v>10962</v>
      </c>
    </row>
    <row r="5202" spans="1:8">
      <c r="A5202" s="317">
        <v>1610101015</v>
      </c>
      <c r="B5202" s="317" t="s">
        <v>49568</v>
      </c>
      <c r="C5202" s="330" t="s">
        <v>13814</v>
      </c>
      <c r="D5202" s="330" t="s">
        <v>13815</v>
      </c>
      <c r="E5202" s="330" t="s">
        <v>37248</v>
      </c>
      <c r="F5202" s="331">
        <v>0.21</v>
      </c>
      <c r="G5202" s="332">
        <v>463</v>
      </c>
      <c r="H5202" s="333">
        <v>561</v>
      </c>
    </row>
    <row r="5203" spans="1:8">
      <c r="A5203" s="317">
        <v>1610101018</v>
      </c>
      <c r="B5203" s="317" t="s">
        <v>49569</v>
      </c>
      <c r="C5203" s="330" t="s">
        <v>13816</v>
      </c>
      <c r="D5203" s="330" t="s">
        <v>13817</v>
      </c>
      <c r="E5203" s="330" t="s">
        <v>4634</v>
      </c>
      <c r="F5203" s="331">
        <v>0.21</v>
      </c>
      <c r="G5203" s="332">
        <v>274</v>
      </c>
      <c r="H5203" s="333">
        <v>332</v>
      </c>
    </row>
    <row r="5204" spans="1:8">
      <c r="A5204" s="317">
        <v>1610101020</v>
      </c>
      <c r="B5204" s="317" t="s">
        <v>49570</v>
      </c>
      <c r="C5204" s="330" t="s">
        <v>13818</v>
      </c>
      <c r="D5204" s="330" t="s">
        <v>6906</v>
      </c>
      <c r="E5204" s="330" t="s">
        <v>4819</v>
      </c>
      <c r="F5204" s="331">
        <v>0.21</v>
      </c>
      <c r="G5204" s="332">
        <v>4321</v>
      </c>
      <c r="H5204" s="333">
        <v>5229</v>
      </c>
    </row>
    <row r="5205" spans="1:8">
      <c r="A5205" s="317">
        <v>1610101023</v>
      </c>
      <c r="B5205" s="317" t="s">
        <v>49571</v>
      </c>
      <c r="C5205" s="330" t="s">
        <v>13819</v>
      </c>
      <c r="D5205" s="330" t="s">
        <v>13820</v>
      </c>
      <c r="E5205" s="330" t="s">
        <v>4819</v>
      </c>
      <c r="F5205" s="331">
        <v>0.21</v>
      </c>
      <c r="G5205" s="332">
        <v>3161</v>
      </c>
      <c r="H5205" s="333">
        <v>3825</v>
      </c>
    </row>
    <row r="5206" spans="1:8">
      <c r="A5206" s="317">
        <v>1610101024</v>
      </c>
      <c r="B5206" s="317" t="s">
        <v>49572</v>
      </c>
      <c r="C5206" s="330" t="s">
        <v>13821</v>
      </c>
      <c r="D5206" s="330" t="s">
        <v>13822</v>
      </c>
      <c r="E5206" s="330" t="s">
        <v>4819</v>
      </c>
      <c r="F5206" s="331">
        <v>0.21</v>
      </c>
      <c r="G5206" s="332">
        <v>863</v>
      </c>
      <c r="H5206" s="333">
        <v>1045</v>
      </c>
    </row>
    <row r="5207" spans="1:8">
      <c r="A5207" s="317">
        <v>1610101603</v>
      </c>
      <c r="B5207" s="317" t="s">
        <v>49573</v>
      </c>
      <c r="C5207" s="330" t="s">
        <v>13823</v>
      </c>
      <c r="D5207" s="330" t="s">
        <v>13824</v>
      </c>
      <c r="E5207" s="330" t="s">
        <v>4634</v>
      </c>
      <c r="F5207" s="331">
        <v>0.21</v>
      </c>
      <c r="G5207" s="332">
        <v>309</v>
      </c>
      <c r="H5207" s="333">
        <v>374</v>
      </c>
    </row>
    <row r="5208" spans="1:8">
      <c r="A5208" s="317">
        <v>1610101607</v>
      </c>
      <c r="B5208" s="317" t="s">
        <v>49574</v>
      </c>
      <c r="C5208" s="330" t="s">
        <v>13825</v>
      </c>
      <c r="D5208" s="330" t="s">
        <v>13826</v>
      </c>
      <c r="E5208" s="330" t="s">
        <v>4634</v>
      </c>
      <c r="F5208" s="331">
        <v>0.21</v>
      </c>
      <c r="G5208" s="332">
        <v>372</v>
      </c>
      <c r="H5208" s="333">
        <v>451</v>
      </c>
    </row>
    <row r="5209" spans="1:8">
      <c r="A5209" s="317">
        <v>1610101608</v>
      </c>
      <c r="B5209" s="317" t="s">
        <v>49575</v>
      </c>
      <c r="C5209" s="330" t="s">
        <v>13827</v>
      </c>
      <c r="D5209" s="330" t="s">
        <v>13828</v>
      </c>
      <c r="E5209" s="330" t="s">
        <v>37248</v>
      </c>
      <c r="F5209" s="331">
        <v>0.21</v>
      </c>
      <c r="G5209" s="332">
        <v>2823</v>
      </c>
      <c r="H5209" s="333">
        <v>3416</v>
      </c>
    </row>
    <row r="5210" spans="1:8">
      <c r="A5210" s="317">
        <v>1610101609</v>
      </c>
      <c r="B5210" s="317" t="s">
        <v>49576</v>
      </c>
      <c r="C5210" s="330" t="s">
        <v>13829</v>
      </c>
      <c r="D5210" s="330" t="s">
        <v>13830</v>
      </c>
      <c r="E5210" s="330" t="s">
        <v>4634</v>
      </c>
      <c r="F5210" s="331">
        <v>0.21</v>
      </c>
      <c r="G5210" s="332">
        <v>455</v>
      </c>
      <c r="H5210" s="333">
        <v>551</v>
      </c>
    </row>
    <row r="5211" spans="1:8">
      <c r="A5211" s="317">
        <v>1610101616</v>
      </c>
      <c r="B5211" s="317" t="s">
        <v>49577</v>
      </c>
      <c r="C5211" s="330" t="s">
        <v>13831</v>
      </c>
      <c r="D5211" s="330" t="s">
        <v>13832</v>
      </c>
      <c r="E5211" s="330" t="s">
        <v>4634</v>
      </c>
      <c r="F5211" s="331">
        <v>0.21</v>
      </c>
      <c r="G5211" s="332">
        <v>372</v>
      </c>
      <c r="H5211" s="333">
        <v>451</v>
      </c>
    </row>
    <row r="5212" spans="1:8">
      <c r="A5212" s="317">
        <v>1610101617</v>
      </c>
      <c r="B5212" s="317" t="s">
        <v>49578</v>
      </c>
      <c r="C5212" s="330" t="s">
        <v>13833</v>
      </c>
      <c r="D5212" s="330" t="s">
        <v>13834</v>
      </c>
      <c r="E5212" s="330" t="s">
        <v>4634</v>
      </c>
      <c r="F5212" s="331">
        <v>0.21</v>
      </c>
      <c r="G5212" s="332">
        <v>584</v>
      </c>
      <c r="H5212" s="333">
        <v>707</v>
      </c>
    </row>
    <row r="5213" spans="1:8">
      <c r="A5213" s="317">
        <v>1610101618</v>
      </c>
      <c r="B5213" s="317" t="s">
        <v>49579</v>
      </c>
      <c r="C5213" s="330" t="s">
        <v>13835</v>
      </c>
      <c r="D5213" s="330" t="s">
        <v>13832</v>
      </c>
      <c r="E5213" s="330" t="s">
        <v>4634</v>
      </c>
      <c r="F5213" s="331">
        <v>0.21</v>
      </c>
      <c r="G5213" s="332">
        <v>387</v>
      </c>
      <c r="H5213" s="333">
        <v>469</v>
      </c>
    </row>
    <row r="5214" spans="1:8">
      <c r="A5214" s="317">
        <v>1610101621</v>
      </c>
      <c r="B5214" s="317" t="s">
        <v>49580</v>
      </c>
      <c r="C5214" s="330" t="s">
        <v>13836</v>
      </c>
      <c r="D5214" s="330" t="s">
        <v>13832</v>
      </c>
      <c r="E5214" s="330" t="s">
        <v>4634</v>
      </c>
      <c r="F5214" s="331">
        <v>0.21</v>
      </c>
      <c r="G5214" s="332">
        <v>387</v>
      </c>
      <c r="H5214" s="333">
        <v>469</v>
      </c>
    </row>
    <row r="5215" spans="1:8">
      <c r="A5215" s="317">
        <v>1610101622</v>
      </c>
      <c r="B5215" s="317" t="s">
        <v>49581</v>
      </c>
      <c r="C5215" s="330" t="s">
        <v>13837</v>
      </c>
      <c r="D5215" s="330" t="s">
        <v>13838</v>
      </c>
      <c r="E5215" s="330" t="s">
        <v>4634</v>
      </c>
      <c r="F5215" s="331">
        <v>0.21</v>
      </c>
      <c r="G5215" s="332">
        <v>455</v>
      </c>
      <c r="H5215" s="333">
        <v>551</v>
      </c>
    </row>
    <row r="5216" spans="1:8">
      <c r="A5216" s="317">
        <v>1610101626</v>
      </c>
      <c r="B5216" s="317" t="s">
        <v>49582</v>
      </c>
      <c r="C5216" s="330" t="s">
        <v>13839</v>
      </c>
      <c r="D5216" s="330" t="s">
        <v>6921</v>
      </c>
      <c r="E5216" s="330" t="s">
        <v>4819</v>
      </c>
      <c r="F5216" s="331">
        <v>0.21</v>
      </c>
      <c r="G5216" s="332">
        <v>2328</v>
      </c>
      <c r="H5216" s="333">
        <v>2817</v>
      </c>
    </row>
    <row r="5217" spans="1:8">
      <c r="A5217" s="317">
        <v>1610101627</v>
      </c>
      <c r="B5217" s="317" t="s">
        <v>49583</v>
      </c>
      <c r="C5217" s="330" t="s">
        <v>13840</v>
      </c>
      <c r="D5217" s="330" t="s">
        <v>13841</v>
      </c>
      <c r="E5217" s="330" t="s">
        <v>4634</v>
      </c>
      <c r="F5217" s="331">
        <v>0.21</v>
      </c>
      <c r="G5217" s="332">
        <v>372</v>
      </c>
      <c r="H5217" s="333">
        <v>451</v>
      </c>
    </row>
    <row r="5218" spans="1:8">
      <c r="A5218" s="317">
        <v>1610101629</v>
      </c>
      <c r="B5218" s="317" t="s">
        <v>49584</v>
      </c>
      <c r="C5218" s="330" t="s">
        <v>13842</v>
      </c>
      <c r="D5218" s="330" t="s">
        <v>13843</v>
      </c>
      <c r="E5218" s="330" t="s">
        <v>4634</v>
      </c>
      <c r="F5218" s="331">
        <v>0.21</v>
      </c>
      <c r="G5218" s="332">
        <v>274</v>
      </c>
      <c r="H5218" s="333">
        <v>332</v>
      </c>
    </row>
    <row r="5219" spans="1:8">
      <c r="A5219" s="317">
        <v>1610102010</v>
      </c>
      <c r="B5219" s="317" t="s">
        <v>49585</v>
      </c>
      <c r="C5219" s="330" t="s">
        <v>13844</v>
      </c>
      <c r="D5219" s="330" t="s">
        <v>13845</v>
      </c>
      <c r="E5219" s="330" t="s">
        <v>4634</v>
      </c>
      <c r="F5219" s="331">
        <v>0.21</v>
      </c>
      <c r="G5219" s="332">
        <v>1170</v>
      </c>
      <c r="H5219" s="333">
        <v>1416</v>
      </c>
    </row>
    <row r="5220" spans="1:8">
      <c r="A5220" s="317">
        <v>1610102013</v>
      </c>
      <c r="B5220" s="317" t="s">
        <v>49586</v>
      </c>
      <c r="C5220" s="330" t="s">
        <v>13846</v>
      </c>
      <c r="D5220" s="330" t="s">
        <v>13847</v>
      </c>
      <c r="E5220" s="330" t="s">
        <v>4634</v>
      </c>
      <c r="F5220" s="331">
        <v>0.21</v>
      </c>
      <c r="G5220" s="332">
        <v>372</v>
      </c>
      <c r="H5220" s="333">
        <v>451</v>
      </c>
    </row>
    <row r="5221" spans="1:8">
      <c r="A5221" s="317">
        <v>1610102017</v>
      </c>
      <c r="B5221" s="317" t="s">
        <v>49587</v>
      </c>
      <c r="C5221" s="330" t="s">
        <v>13848</v>
      </c>
      <c r="D5221" s="330" t="s">
        <v>13826</v>
      </c>
      <c r="E5221" s="330" t="s">
        <v>4634</v>
      </c>
      <c r="F5221" s="331">
        <v>0.21</v>
      </c>
      <c r="G5221" s="332">
        <v>455</v>
      </c>
      <c r="H5221" s="333">
        <v>551</v>
      </c>
    </row>
    <row r="5222" spans="1:8">
      <c r="A5222" s="317">
        <v>1610102022</v>
      </c>
      <c r="B5222" s="317" t="s">
        <v>49588</v>
      </c>
      <c r="C5222" s="330" t="s">
        <v>13849</v>
      </c>
      <c r="D5222" s="330" t="s">
        <v>13850</v>
      </c>
      <c r="E5222" s="330" t="s">
        <v>4819</v>
      </c>
      <c r="F5222" s="331">
        <v>0.21</v>
      </c>
      <c r="G5222" s="332">
        <v>2730</v>
      </c>
      <c r="H5222" s="333">
        <v>3304</v>
      </c>
    </row>
    <row r="5223" spans="1:8">
      <c r="A5223" s="317">
        <v>1610102025</v>
      </c>
      <c r="B5223" s="317" t="s">
        <v>49589</v>
      </c>
      <c r="C5223" s="330" t="s">
        <v>13851</v>
      </c>
      <c r="D5223" s="330" t="s">
        <v>13090</v>
      </c>
      <c r="E5223" s="330" t="s">
        <v>37248</v>
      </c>
      <c r="F5223" s="331">
        <v>0.21</v>
      </c>
      <c r="G5223" s="332">
        <v>2596</v>
      </c>
      <c r="H5223" s="333">
        <v>3142</v>
      </c>
    </row>
    <row r="5224" spans="1:8">
      <c r="A5224" s="317">
        <v>1610102026</v>
      </c>
      <c r="B5224" s="317" t="s">
        <v>49590</v>
      </c>
      <c r="C5224" s="330" t="s">
        <v>13852</v>
      </c>
      <c r="D5224" s="330" t="s">
        <v>13853</v>
      </c>
      <c r="E5224" s="330" t="s">
        <v>37248</v>
      </c>
      <c r="F5224" s="331">
        <v>0.21</v>
      </c>
      <c r="G5224" s="332">
        <v>4240</v>
      </c>
      <c r="H5224" s="333">
        <v>5131</v>
      </c>
    </row>
    <row r="5225" spans="1:8">
      <c r="A5225" s="317">
        <v>1610102029</v>
      </c>
      <c r="B5225" s="317" t="s">
        <v>49591</v>
      </c>
      <c r="C5225" s="330" t="s">
        <v>13854</v>
      </c>
      <c r="D5225" s="330" t="s">
        <v>4825</v>
      </c>
      <c r="E5225" s="330" t="s">
        <v>37248</v>
      </c>
      <c r="F5225" s="331">
        <v>0.21</v>
      </c>
      <c r="G5225" s="332">
        <v>5114</v>
      </c>
      <c r="H5225" s="333">
        <v>6188</v>
      </c>
    </row>
    <row r="5226" spans="1:8">
      <c r="A5226" s="317">
        <v>1610102030</v>
      </c>
      <c r="B5226" s="317" t="s">
        <v>49592</v>
      </c>
      <c r="C5226" s="330" t="s">
        <v>13855</v>
      </c>
      <c r="D5226" s="330" t="s">
        <v>13856</v>
      </c>
      <c r="E5226" s="330" t="s">
        <v>4634</v>
      </c>
      <c r="F5226" s="331">
        <v>0.21</v>
      </c>
      <c r="G5226" s="332">
        <v>584</v>
      </c>
      <c r="H5226" s="333">
        <v>707</v>
      </c>
    </row>
    <row r="5227" spans="1:8">
      <c r="A5227" s="317">
        <v>1610102032</v>
      </c>
      <c r="B5227" s="317" t="s">
        <v>49593</v>
      </c>
      <c r="C5227" s="330" t="s">
        <v>13857</v>
      </c>
      <c r="D5227" s="330" t="s">
        <v>13858</v>
      </c>
      <c r="E5227" s="330" t="s">
        <v>4634</v>
      </c>
      <c r="F5227" s="331">
        <v>0.21</v>
      </c>
      <c r="G5227" s="332">
        <v>791</v>
      </c>
      <c r="H5227" s="333">
        <v>958</v>
      </c>
    </row>
    <row r="5228" spans="1:8">
      <c r="A5228" s="317">
        <v>1610102036</v>
      </c>
      <c r="B5228" s="317" t="s">
        <v>49594</v>
      </c>
      <c r="C5228" s="330" t="s">
        <v>13859</v>
      </c>
      <c r="D5228" s="330" t="s">
        <v>13860</v>
      </c>
      <c r="E5228" s="330" t="s">
        <v>4819</v>
      </c>
      <c r="F5228" s="331">
        <v>0.21</v>
      </c>
      <c r="G5228" s="332">
        <v>3589</v>
      </c>
      <c r="H5228" s="333">
        <v>4343</v>
      </c>
    </row>
    <row r="5229" spans="1:8">
      <c r="A5229" s="317">
        <v>1610102037</v>
      </c>
      <c r="B5229" s="317" t="s">
        <v>49595</v>
      </c>
      <c r="C5229" s="330" t="s">
        <v>13861</v>
      </c>
      <c r="D5229" s="330" t="s">
        <v>13862</v>
      </c>
      <c r="E5229" s="330" t="s">
        <v>4634</v>
      </c>
      <c r="F5229" s="331">
        <v>0.21</v>
      </c>
      <c r="G5229" s="332">
        <v>437</v>
      </c>
      <c r="H5229" s="333">
        <v>529</v>
      </c>
    </row>
    <row r="5230" spans="1:8">
      <c r="A5230" s="317">
        <v>1610102045</v>
      </c>
      <c r="B5230" s="317" t="s">
        <v>49596</v>
      </c>
      <c r="C5230" s="330" t="s">
        <v>13863</v>
      </c>
      <c r="D5230" s="330" t="s">
        <v>13864</v>
      </c>
      <c r="E5230" s="330" t="s">
        <v>37248</v>
      </c>
      <c r="F5230" s="331">
        <v>0.21</v>
      </c>
      <c r="G5230" s="332">
        <v>361</v>
      </c>
      <c r="H5230" s="333">
        <v>437</v>
      </c>
    </row>
    <row r="5231" spans="1:8">
      <c r="A5231" s="317">
        <v>1610102046</v>
      </c>
      <c r="B5231" s="317" t="s">
        <v>49597</v>
      </c>
      <c r="C5231" s="330" t="s">
        <v>13865</v>
      </c>
      <c r="D5231" s="330" t="s">
        <v>13866</v>
      </c>
      <c r="E5231" s="330" t="s">
        <v>4634</v>
      </c>
      <c r="F5231" s="331">
        <v>0.21</v>
      </c>
      <c r="G5231" s="332">
        <v>280</v>
      </c>
      <c r="H5231" s="333">
        <v>339</v>
      </c>
    </row>
    <row r="5232" spans="1:8">
      <c r="A5232" s="317">
        <v>1610102047</v>
      </c>
      <c r="B5232" s="317" t="s">
        <v>49598</v>
      </c>
      <c r="C5232" s="330" t="s">
        <v>13867</v>
      </c>
      <c r="D5232" s="330" t="s">
        <v>13868</v>
      </c>
      <c r="E5232" s="330" t="s">
        <v>4634</v>
      </c>
      <c r="F5232" s="331">
        <v>0.21</v>
      </c>
      <c r="G5232" s="332">
        <v>791</v>
      </c>
      <c r="H5232" s="333">
        <v>958</v>
      </c>
    </row>
    <row r="5233" spans="1:8">
      <c r="A5233" s="317">
        <v>1610102048</v>
      </c>
      <c r="B5233" s="317" t="s">
        <v>49599</v>
      </c>
      <c r="C5233" s="330" t="s">
        <v>13869</v>
      </c>
      <c r="D5233" s="330" t="s">
        <v>13870</v>
      </c>
      <c r="E5233" s="330" t="s">
        <v>4819</v>
      </c>
      <c r="F5233" s="331">
        <v>0.21</v>
      </c>
      <c r="G5233" s="332">
        <v>3468</v>
      </c>
      <c r="H5233" s="333">
        <v>4197</v>
      </c>
    </row>
    <row r="5234" spans="1:8">
      <c r="A5234" s="317">
        <v>1610102049</v>
      </c>
      <c r="B5234" s="317" t="s">
        <v>49600</v>
      </c>
      <c r="C5234" s="330" t="s">
        <v>13871</v>
      </c>
      <c r="D5234" s="330" t="s">
        <v>13872</v>
      </c>
      <c r="E5234" s="330" t="s">
        <v>4819</v>
      </c>
      <c r="F5234" s="331">
        <v>0.21</v>
      </c>
      <c r="G5234" s="332">
        <v>3399</v>
      </c>
      <c r="H5234" s="333">
        <v>4113</v>
      </c>
    </row>
    <row r="5235" spans="1:8">
      <c r="A5235" s="317">
        <v>1610102051</v>
      </c>
      <c r="B5235" s="317" t="s">
        <v>49601</v>
      </c>
      <c r="C5235" s="330" t="s">
        <v>13873</v>
      </c>
      <c r="D5235" s="330" t="s">
        <v>13874</v>
      </c>
      <c r="E5235" s="330" t="s">
        <v>4634</v>
      </c>
      <c r="F5235" s="331">
        <v>0.21</v>
      </c>
      <c r="G5235" s="332">
        <v>387</v>
      </c>
      <c r="H5235" s="333">
        <v>469</v>
      </c>
    </row>
    <row r="5236" spans="1:8">
      <c r="A5236" s="317">
        <v>1610102052</v>
      </c>
      <c r="B5236" s="317" t="s">
        <v>49602</v>
      </c>
      <c r="C5236" s="330" t="s">
        <v>13875</v>
      </c>
      <c r="D5236" s="330" t="s">
        <v>13874</v>
      </c>
      <c r="E5236" s="330" t="s">
        <v>4634</v>
      </c>
      <c r="F5236" s="331">
        <v>0.21</v>
      </c>
      <c r="G5236" s="332">
        <v>387</v>
      </c>
      <c r="H5236" s="333">
        <v>469</v>
      </c>
    </row>
    <row r="5237" spans="1:8">
      <c r="A5237" s="317">
        <v>1610102053</v>
      </c>
      <c r="B5237" s="317" t="s">
        <v>49603</v>
      </c>
      <c r="C5237" s="330" t="s">
        <v>13876</v>
      </c>
      <c r="D5237" s="330" t="s">
        <v>13877</v>
      </c>
      <c r="E5237" s="330" t="s">
        <v>4634</v>
      </c>
      <c r="F5237" s="331">
        <v>0.21</v>
      </c>
      <c r="G5237" s="332">
        <v>387</v>
      </c>
      <c r="H5237" s="333">
        <v>469</v>
      </c>
    </row>
    <row r="5238" spans="1:8">
      <c r="A5238" s="317">
        <v>1610102054</v>
      </c>
      <c r="B5238" s="317" t="s">
        <v>49604</v>
      </c>
      <c r="C5238" s="330" t="s">
        <v>13878</v>
      </c>
      <c r="D5238" s="330" t="s">
        <v>13879</v>
      </c>
      <c r="E5238" s="330" t="s">
        <v>4819</v>
      </c>
      <c r="F5238" s="331">
        <v>0.21</v>
      </c>
      <c r="G5238" s="332">
        <v>5208</v>
      </c>
      <c r="H5238" s="333">
        <v>6302</v>
      </c>
    </row>
    <row r="5239" spans="1:8">
      <c r="A5239" s="317">
        <v>1610102056</v>
      </c>
      <c r="B5239" s="317" t="s">
        <v>49605</v>
      </c>
      <c r="C5239" s="330" t="s">
        <v>13880</v>
      </c>
      <c r="D5239" s="330" t="s">
        <v>13773</v>
      </c>
      <c r="E5239" s="330" t="s">
        <v>37248</v>
      </c>
      <c r="F5239" s="331">
        <v>0.21</v>
      </c>
      <c r="G5239" s="332">
        <v>3934</v>
      </c>
      <c r="H5239" s="333">
        <v>4761</v>
      </c>
    </row>
    <row r="5240" spans="1:8">
      <c r="A5240" s="317">
        <v>1610102057</v>
      </c>
      <c r="B5240" s="317" t="s">
        <v>49606</v>
      </c>
      <c r="C5240" s="330" t="s">
        <v>13881</v>
      </c>
      <c r="D5240" s="330" t="s">
        <v>13773</v>
      </c>
      <c r="E5240" s="330" t="s">
        <v>4819</v>
      </c>
      <c r="F5240" s="331">
        <v>0.21</v>
      </c>
      <c r="G5240" s="332">
        <v>2823</v>
      </c>
      <c r="H5240" s="333">
        <v>3416</v>
      </c>
    </row>
    <row r="5241" spans="1:8">
      <c r="A5241" s="317">
        <v>1610102058</v>
      </c>
      <c r="B5241" s="317" t="s">
        <v>49607</v>
      </c>
      <c r="C5241" s="330" t="s">
        <v>13882</v>
      </c>
      <c r="D5241" s="330" t="s">
        <v>13773</v>
      </c>
      <c r="E5241" s="330" t="s">
        <v>37248</v>
      </c>
      <c r="F5241" s="331">
        <v>0.21</v>
      </c>
      <c r="G5241" s="332">
        <v>2736</v>
      </c>
      <c r="H5241" s="333">
        <v>3311</v>
      </c>
    </row>
    <row r="5242" spans="1:8">
      <c r="A5242" s="317">
        <v>1610102059</v>
      </c>
      <c r="B5242" s="317" t="s">
        <v>49608</v>
      </c>
      <c r="C5242" s="330" t="s">
        <v>13883</v>
      </c>
      <c r="D5242" s="330" t="s">
        <v>13884</v>
      </c>
      <c r="E5242" s="330" t="s">
        <v>4819</v>
      </c>
      <c r="F5242" s="331">
        <v>0.21</v>
      </c>
      <c r="G5242" s="332">
        <v>3595</v>
      </c>
      <c r="H5242" s="333">
        <v>4350</v>
      </c>
    </row>
    <row r="5243" spans="1:8">
      <c r="A5243" s="317">
        <v>1610102072</v>
      </c>
      <c r="B5243" s="317" t="s">
        <v>49609</v>
      </c>
      <c r="C5243" s="330" t="s">
        <v>13885</v>
      </c>
      <c r="D5243" s="330" t="s">
        <v>6865</v>
      </c>
      <c r="E5243" s="330" t="s">
        <v>37248</v>
      </c>
      <c r="F5243" s="331">
        <v>0.21</v>
      </c>
      <c r="G5243" s="332">
        <v>7772</v>
      </c>
      <c r="H5243" s="333">
        <v>9405</v>
      </c>
    </row>
    <row r="5244" spans="1:8">
      <c r="A5244" s="317">
        <v>1610102073</v>
      </c>
      <c r="B5244" s="317" t="s">
        <v>49610</v>
      </c>
      <c r="C5244" s="330" t="s">
        <v>13886</v>
      </c>
      <c r="D5244" s="330" t="s">
        <v>13887</v>
      </c>
      <c r="E5244" s="330" t="s">
        <v>37248</v>
      </c>
      <c r="F5244" s="331">
        <v>0.21</v>
      </c>
      <c r="G5244" s="332">
        <v>5549</v>
      </c>
      <c r="H5244" s="333">
        <v>6715</v>
      </c>
    </row>
    <row r="5245" spans="1:8">
      <c r="A5245" s="317">
        <v>1610102079</v>
      </c>
      <c r="B5245" s="317" t="s">
        <v>49611</v>
      </c>
      <c r="C5245" s="330" t="s">
        <v>13888</v>
      </c>
      <c r="D5245" s="330" t="s">
        <v>13889</v>
      </c>
      <c r="E5245" s="330" t="s">
        <v>4819</v>
      </c>
      <c r="F5245" s="331">
        <v>0.21</v>
      </c>
      <c r="G5245" s="332">
        <v>1530</v>
      </c>
      <c r="H5245" s="333">
        <v>1852</v>
      </c>
    </row>
    <row r="5246" spans="1:8">
      <c r="A5246" s="317">
        <v>1610102080</v>
      </c>
      <c r="B5246" s="317" t="s">
        <v>49612</v>
      </c>
      <c r="C5246" s="330" t="s">
        <v>13890</v>
      </c>
      <c r="D5246" s="330" t="s">
        <v>5233</v>
      </c>
      <c r="E5246" s="330" t="s">
        <v>4623</v>
      </c>
      <c r="F5246" s="331">
        <v>0.21</v>
      </c>
      <c r="G5246" s="332">
        <v>2509</v>
      </c>
      <c r="H5246" s="333">
        <v>3036</v>
      </c>
    </row>
    <row r="5247" spans="1:8">
      <c r="A5247" s="317">
        <v>1610102081</v>
      </c>
      <c r="B5247" s="317" t="s">
        <v>49613</v>
      </c>
      <c r="C5247" s="330" t="s">
        <v>13891</v>
      </c>
      <c r="D5247" s="330" t="s">
        <v>5233</v>
      </c>
      <c r="E5247" s="330" t="s">
        <v>4819</v>
      </c>
      <c r="F5247" s="331">
        <v>0.21</v>
      </c>
      <c r="G5247" s="332">
        <v>2328</v>
      </c>
      <c r="H5247" s="333">
        <v>2817</v>
      </c>
    </row>
    <row r="5248" spans="1:8">
      <c r="A5248" s="317">
        <v>1610102082</v>
      </c>
      <c r="B5248" s="317" t="s">
        <v>49614</v>
      </c>
      <c r="C5248" s="330" t="s">
        <v>13892</v>
      </c>
      <c r="D5248" s="330" t="s">
        <v>13893</v>
      </c>
      <c r="E5248" s="330" t="s">
        <v>4634</v>
      </c>
      <c r="F5248" s="331">
        <v>0.21</v>
      </c>
      <c r="G5248" s="332">
        <v>1730</v>
      </c>
      <c r="H5248" s="333">
        <v>2094</v>
      </c>
    </row>
    <row r="5249" spans="1:8">
      <c r="A5249" s="317">
        <v>1610102084</v>
      </c>
      <c r="B5249" s="317" t="s">
        <v>49615</v>
      </c>
      <c r="C5249" s="330" t="s">
        <v>13894</v>
      </c>
      <c r="D5249" s="330" t="s">
        <v>13895</v>
      </c>
      <c r="E5249" s="330" t="s">
        <v>37248</v>
      </c>
      <c r="F5249" s="331">
        <v>0.21</v>
      </c>
      <c r="G5249" s="332">
        <v>7772</v>
      </c>
      <c r="H5249" s="333">
        <v>9405</v>
      </c>
    </row>
    <row r="5250" spans="1:8">
      <c r="A5250" s="317">
        <v>1610102086</v>
      </c>
      <c r="B5250" s="317" t="s">
        <v>49616</v>
      </c>
      <c r="C5250" s="330" t="s">
        <v>13896</v>
      </c>
      <c r="D5250" s="330" t="s">
        <v>13897</v>
      </c>
      <c r="E5250" s="330" t="s">
        <v>4819</v>
      </c>
      <c r="F5250" s="331">
        <v>0.21</v>
      </c>
      <c r="G5250" s="332">
        <v>907</v>
      </c>
      <c r="H5250" s="333">
        <v>1098</v>
      </c>
    </row>
    <row r="5251" spans="1:8">
      <c r="A5251" s="317">
        <v>1610102087</v>
      </c>
      <c r="B5251" s="317" t="s">
        <v>49617</v>
      </c>
      <c r="C5251" s="330" t="s">
        <v>13898</v>
      </c>
      <c r="D5251" s="330" t="s">
        <v>5233</v>
      </c>
      <c r="E5251" s="330" t="s">
        <v>37248</v>
      </c>
      <c r="F5251" s="331">
        <v>0.21</v>
      </c>
      <c r="G5251" s="332">
        <v>985</v>
      </c>
      <c r="H5251" s="333">
        <v>1192</v>
      </c>
    </row>
    <row r="5252" spans="1:8">
      <c r="A5252" s="317">
        <v>1610102089</v>
      </c>
      <c r="B5252" s="317" t="s">
        <v>49618</v>
      </c>
      <c r="C5252" s="330" t="s">
        <v>13899</v>
      </c>
      <c r="D5252" s="330" t="s">
        <v>13900</v>
      </c>
      <c r="E5252" s="330" t="s">
        <v>4819</v>
      </c>
      <c r="F5252" s="331">
        <v>0.21</v>
      </c>
      <c r="G5252" s="332">
        <v>910</v>
      </c>
      <c r="H5252" s="333">
        <v>1102</v>
      </c>
    </row>
    <row r="5253" spans="1:8">
      <c r="A5253" s="317">
        <v>1610102090</v>
      </c>
      <c r="B5253" s="317" t="s">
        <v>49619</v>
      </c>
      <c r="C5253" s="330" t="s">
        <v>13901</v>
      </c>
      <c r="D5253" s="330" t="s">
        <v>13902</v>
      </c>
      <c r="E5253" s="330" t="s">
        <v>4634</v>
      </c>
      <c r="F5253" s="331">
        <v>0.21</v>
      </c>
      <c r="G5253" s="332">
        <v>1686</v>
      </c>
      <c r="H5253" s="333">
        <v>2041</v>
      </c>
    </row>
    <row r="5254" spans="1:8">
      <c r="A5254" s="317">
        <v>1610102092</v>
      </c>
      <c r="B5254" s="317" t="s">
        <v>49620</v>
      </c>
      <c r="C5254" s="330" t="s">
        <v>13903</v>
      </c>
      <c r="D5254" s="330" t="s">
        <v>13904</v>
      </c>
      <c r="E5254" s="330" t="s">
        <v>4634</v>
      </c>
      <c r="F5254" s="331">
        <v>0.21</v>
      </c>
      <c r="G5254" s="332">
        <v>236</v>
      </c>
      <c r="H5254" s="333">
        <v>286</v>
      </c>
    </row>
    <row r="5255" spans="1:8">
      <c r="A5255" s="317">
        <v>1610102094</v>
      </c>
      <c r="B5255" s="317" t="s">
        <v>49621</v>
      </c>
      <c r="C5255" s="330" t="s">
        <v>13905</v>
      </c>
      <c r="D5255" s="330" t="s">
        <v>13906</v>
      </c>
      <c r="E5255" s="330" t="s">
        <v>4634</v>
      </c>
      <c r="F5255" s="331">
        <v>0.21</v>
      </c>
      <c r="G5255" s="332">
        <v>2953</v>
      </c>
      <c r="H5255" s="333">
        <v>3574</v>
      </c>
    </row>
    <row r="5256" spans="1:8">
      <c r="A5256" s="317">
        <v>1610102095</v>
      </c>
      <c r="B5256" s="317" t="s">
        <v>49622</v>
      </c>
      <c r="C5256" s="330" t="s">
        <v>13907</v>
      </c>
      <c r="D5256" s="330" t="s">
        <v>13908</v>
      </c>
      <c r="E5256" s="330" t="s">
        <v>37248</v>
      </c>
      <c r="F5256" s="331">
        <v>0.21</v>
      </c>
      <c r="G5256" s="332">
        <v>243</v>
      </c>
      <c r="H5256" s="333">
        <v>295</v>
      </c>
    </row>
    <row r="5257" spans="1:8">
      <c r="A5257" s="317">
        <v>1610102096</v>
      </c>
      <c r="B5257" s="317" t="s">
        <v>49623</v>
      </c>
      <c r="C5257" s="330" t="s">
        <v>13909</v>
      </c>
      <c r="D5257" s="330" t="s">
        <v>13908</v>
      </c>
      <c r="E5257" s="330" t="s">
        <v>37248</v>
      </c>
      <c r="F5257" s="331">
        <v>0.21</v>
      </c>
      <c r="G5257" s="332">
        <v>383</v>
      </c>
      <c r="H5257" s="333">
        <v>464</v>
      </c>
    </row>
    <row r="5258" spans="1:8">
      <c r="A5258" s="317">
        <v>1610102614</v>
      </c>
      <c r="B5258" s="317" t="s">
        <v>49624</v>
      </c>
      <c r="C5258" s="330" t="s">
        <v>13910</v>
      </c>
      <c r="D5258" s="330" t="s">
        <v>13911</v>
      </c>
      <c r="E5258" s="330" t="s">
        <v>4634</v>
      </c>
      <c r="F5258" s="331">
        <v>0.21</v>
      </c>
      <c r="G5258" s="332">
        <v>678</v>
      </c>
      <c r="H5258" s="333">
        <v>821</v>
      </c>
    </row>
    <row r="5259" spans="1:8">
      <c r="A5259" s="317">
        <v>1610102615</v>
      </c>
      <c r="B5259" s="317" t="s">
        <v>49625</v>
      </c>
      <c r="C5259" s="330" t="s">
        <v>13912</v>
      </c>
      <c r="D5259" s="330" t="s">
        <v>13913</v>
      </c>
      <c r="E5259" s="330" t="s">
        <v>4634</v>
      </c>
      <c r="F5259" s="331">
        <v>0.21</v>
      </c>
      <c r="G5259" s="332">
        <v>455</v>
      </c>
      <c r="H5259" s="333">
        <v>551</v>
      </c>
    </row>
    <row r="5260" spans="1:8">
      <c r="A5260" s="317">
        <v>1610102616</v>
      </c>
      <c r="B5260" s="317" t="s">
        <v>49626</v>
      </c>
      <c r="C5260" s="330" t="s">
        <v>13914</v>
      </c>
      <c r="D5260" s="330" t="s">
        <v>13915</v>
      </c>
      <c r="E5260" s="330" t="s">
        <v>37248</v>
      </c>
      <c r="F5260" s="331">
        <v>0.21</v>
      </c>
      <c r="G5260" s="332">
        <v>4706</v>
      </c>
      <c r="H5260" s="333">
        <v>5695</v>
      </c>
    </row>
    <row r="5261" spans="1:8">
      <c r="A5261" s="317">
        <v>1610102617</v>
      </c>
      <c r="B5261" s="317" t="s">
        <v>49627</v>
      </c>
      <c r="C5261" s="330" t="s">
        <v>13916</v>
      </c>
      <c r="D5261" s="330" t="s">
        <v>6510</v>
      </c>
      <c r="E5261" s="330" t="s">
        <v>4634</v>
      </c>
      <c r="F5261" s="331">
        <v>0.21</v>
      </c>
      <c r="G5261" s="332">
        <v>455</v>
      </c>
      <c r="H5261" s="333">
        <v>551</v>
      </c>
    </row>
    <row r="5262" spans="1:8">
      <c r="A5262" s="317">
        <v>1610102618</v>
      </c>
      <c r="B5262" s="317" t="s">
        <v>49628</v>
      </c>
      <c r="C5262" s="330" t="s">
        <v>13917</v>
      </c>
      <c r="D5262" s="330" t="s">
        <v>13918</v>
      </c>
      <c r="E5262" s="330" t="s">
        <v>4634</v>
      </c>
      <c r="F5262" s="331">
        <v>0.21</v>
      </c>
      <c r="G5262" s="332">
        <v>584</v>
      </c>
      <c r="H5262" s="333">
        <v>707</v>
      </c>
    </row>
    <row r="5263" spans="1:8">
      <c r="A5263" s="317">
        <v>1610102622</v>
      </c>
      <c r="B5263" s="317" t="s">
        <v>49629</v>
      </c>
      <c r="C5263" s="330" t="s">
        <v>13919</v>
      </c>
      <c r="D5263" s="330" t="s">
        <v>13920</v>
      </c>
      <c r="E5263" s="330" t="s">
        <v>4634</v>
      </c>
      <c r="F5263" s="331">
        <v>0.21</v>
      </c>
      <c r="G5263" s="332">
        <v>678</v>
      </c>
      <c r="H5263" s="333">
        <v>821</v>
      </c>
    </row>
    <row r="5264" spans="1:8">
      <c r="A5264" s="317">
        <v>1610102623</v>
      </c>
      <c r="B5264" s="317" t="s">
        <v>49630</v>
      </c>
      <c r="C5264" s="330" t="s">
        <v>13921</v>
      </c>
      <c r="D5264" s="330" t="s">
        <v>13922</v>
      </c>
      <c r="E5264" s="330" t="s">
        <v>4634</v>
      </c>
      <c r="F5264" s="331">
        <v>0.21</v>
      </c>
      <c r="G5264" s="332">
        <v>963</v>
      </c>
      <c r="H5264" s="333">
        <v>1166</v>
      </c>
    </row>
    <row r="5265" spans="1:8">
      <c r="A5265" s="317">
        <v>1610102627</v>
      </c>
      <c r="B5265" s="317" t="s">
        <v>49631</v>
      </c>
      <c r="C5265" s="330" t="s">
        <v>13923</v>
      </c>
      <c r="D5265" s="330" t="s">
        <v>13924</v>
      </c>
      <c r="E5265" s="330" t="s">
        <v>4634</v>
      </c>
      <c r="F5265" s="331">
        <v>0.21</v>
      </c>
      <c r="G5265" s="332">
        <v>648</v>
      </c>
      <c r="H5265" s="333">
        <v>785</v>
      </c>
    </row>
    <row r="5266" spans="1:8">
      <c r="A5266" s="317">
        <v>1610102630</v>
      </c>
      <c r="B5266" s="317" t="s">
        <v>49632</v>
      </c>
      <c r="C5266" s="330" t="s">
        <v>13925</v>
      </c>
      <c r="D5266" s="330" t="s">
        <v>13926</v>
      </c>
      <c r="E5266" s="330" t="s">
        <v>4634</v>
      </c>
      <c r="F5266" s="331">
        <v>0.21</v>
      </c>
      <c r="G5266" s="332">
        <v>820</v>
      </c>
      <c r="H5266" s="333">
        <v>993</v>
      </c>
    </row>
    <row r="5267" spans="1:8">
      <c r="A5267" s="317">
        <v>1610102634</v>
      </c>
      <c r="B5267" s="317" t="s">
        <v>49633</v>
      </c>
      <c r="C5267" s="330" t="s">
        <v>13927</v>
      </c>
      <c r="D5267" s="330" t="s">
        <v>6921</v>
      </c>
      <c r="E5267" s="330" t="s">
        <v>4634</v>
      </c>
      <c r="F5267" s="331">
        <v>0.21</v>
      </c>
      <c r="G5267" s="332">
        <v>564</v>
      </c>
      <c r="H5267" s="333">
        <v>683</v>
      </c>
    </row>
    <row r="5268" spans="1:8">
      <c r="A5268" s="317">
        <v>1610102635</v>
      </c>
      <c r="B5268" s="317" t="s">
        <v>49634</v>
      </c>
      <c r="C5268" s="330" t="s">
        <v>13928</v>
      </c>
      <c r="D5268" s="330" t="s">
        <v>13929</v>
      </c>
      <c r="E5268" s="330" t="s">
        <v>37248</v>
      </c>
      <c r="F5268" s="331">
        <v>0.21</v>
      </c>
      <c r="G5268" s="332">
        <v>18243</v>
      </c>
      <c r="H5268" s="333">
        <v>22075</v>
      </c>
    </row>
    <row r="5269" spans="1:8">
      <c r="A5269" s="317">
        <v>1610102637</v>
      </c>
      <c r="B5269" s="317" t="s">
        <v>49635</v>
      </c>
      <c r="C5269" s="330" t="s">
        <v>13930</v>
      </c>
      <c r="D5269" s="330" t="s">
        <v>13931</v>
      </c>
      <c r="E5269" s="330" t="s">
        <v>4634</v>
      </c>
      <c r="F5269" s="331">
        <v>0.21</v>
      </c>
      <c r="G5269" s="332">
        <v>236</v>
      </c>
      <c r="H5269" s="333">
        <v>286</v>
      </c>
    </row>
    <row r="5270" spans="1:8">
      <c r="A5270" s="317">
        <v>1610102638</v>
      </c>
      <c r="B5270" s="317" t="s">
        <v>49636</v>
      </c>
      <c r="C5270" s="330" t="s">
        <v>13932</v>
      </c>
      <c r="D5270" s="330" t="s">
        <v>13933</v>
      </c>
      <c r="E5270" s="330" t="s">
        <v>4634</v>
      </c>
      <c r="F5270" s="331">
        <v>0.21</v>
      </c>
      <c r="G5270" s="332">
        <v>580</v>
      </c>
      <c r="H5270" s="333">
        <v>702</v>
      </c>
    </row>
    <row r="5271" spans="1:8">
      <c r="A5271" s="317">
        <v>1610103019</v>
      </c>
      <c r="B5271" s="317" t="s">
        <v>49637</v>
      </c>
      <c r="C5271" s="330" t="s">
        <v>13934</v>
      </c>
      <c r="D5271" s="330" t="s">
        <v>13935</v>
      </c>
      <c r="E5271" s="330" t="s">
        <v>4819</v>
      </c>
      <c r="F5271" s="331">
        <v>0.21</v>
      </c>
      <c r="G5271" s="332">
        <v>3031</v>
      </c>
      <c r="H5271" s="333">
        <v>3668</v>
      </c>
    </row>
    <row r="5272" spans="1:8">
      <c r="A5272" s="317">
        <v>1610103021</v>
      </c>
      <c r="B5272" s="317" t="s">
        <v>49638</v>
      </c>
      <c r="C5272" s="330" t="s">
        <v>13936</v>
      </c>
      <c r="D5272" s="330" t="s">
        <v>13937</v>
      </c>
      <c r="E5272" s="330" t="s">
        <v>4819</v>
      </c>
      <c r="F5272" s="331">
        <v>0.21</v>
      </c>
      <c r="G5272" s="332">
        <v>4240</v>
      </c>
      <c r="H5272" s="333">
        <v>5131</v>
      </c>
    </row>
    <row r="5273" spans="1:8">
      <c r="A5273" s="317">
        <v>1610103025</v>
      </c>
      <c r="B5273" s="317" t="s">
        <v>49639</v>
      </c>
      <c r="C5273" s="330" t="s">
        <v>13938</v>
      </c>
      <c r="D5273" s="330" t="s">
        <v>13939</v>
      </c>
      <c r="E5273" s="330" t="s">
        <v>37248</v>
      </c>
      <c r="F5273" s="331">
        <v>0.21</v>
      </c>
      <c r="G5273" s="332">
        <v>3238</v>
      </c>
      <c r="H5273" s="333">
        <v>3918</v>
      </c>
    </row>
    <row r="5274" spans="1:8">
      <c r="A5274" s="317">
        <v>1610103026</v>
      </c>
      <c r="B5274" s="317" t="s">
        <v>49640</v>
      </c>
      <c r="C5274" s="330" t="s">
        <v>13940</v>
      </c>
      <c r="D5274" s="330" t="s">
        <v>13941</v>
      </c>
      <c r="E5274" s="330" t="s">
        <v>4634</v>
      </c>
      <c r="F5274" s="331">
        <v>0.21</v>
      </c>
      <c r="G5274" s="332">
        <v>19918</v>
      </c>
      <c r="H5274" s="333">
        <v>24101</v>
      </c>
    </row>
    <row r="5275" spans="1:8">
      <c r="A5275" s="317">
        <v>1610103027</v>
      </c>
      <c r="B5275" s="317" t="s">
        <v>49641</v>
      </c>
      <c r="C5275" s="330" t="s">
        <v>13942</v>
      </c>
      <c r="D5275" s="330" t="s">
        <v>13943</v>
      </c>
      <c r="E5275" s="330" t="s">
        <v>4634</v>
      </c>
      <c r="F5275" s="331">
        <v>0.21</v>
      </c>
      <c r="G5275" s="332">
        <v>2683</v>
      </c>
      <c r="H5275" s="333">
        <v>3247</v>
      </c>
    </row>
    <row r="5276" spans="1:8">
      <c r="A5276" s="317">
        <v>1610108012</v>
      </c>
      <c r="B5276" s="317" t="s">
        <v>49642</v>
      </c>
      <c r="C5276" s="330" t="s">
        <v>13944</v>
      </c>
      <c r="D5276" s="330" t="s">
        <v>13945</v>
      </c>
      <c r="E5276" s="330" t="s">
        <v>4634</v>
      </c>
      <c r="F5276" s="331">
        <v>0.21</v>
      </c>
      <c r="G5276" s="332">
        <v>372</v>
      </c>
      <c r="H5276" s="333">
        <v>451</v>
      </c>
    </row>
    <row r="5277" spans="1:8">
      <c r="A5277" s="317">
        <v>1610108013</v>
      </c>
      <c r="B5277" s="317" t="s">
        <v>49643</v>
      </c>
      <c r="C5277" s="330" t="s">
        <v>13946</v>
      </c>
      <c r="D5277" s="330" t="s">
        <v>13915</v>
      </c>
      <c r="E5277" s="330" t="s">
        <v>37248</v>
      </c>
      <c r="F5277" s="331">
        <v>0.21</v>
      </c>
      <c r="G5277" s="332">
        <v>4602</v>
      </c>
      <c r="H5277" s="333">
        <v>5569</v>
      </c>
    </row>
    <row r="5278" spans="1:8">
      <c r="A5278" s="317">
        <v>1610108014</v>
      </c>
      <c r="B5278" s="317" t="s">
        <v>49644</v>
      </c>
      <c r="C5278" s="330" t="s">
        <v>13947</v>
      </c>
      <c r="D5278" s="330" t="s">
        <v>13948</v>
      </c>
      <c r="E5278" s="330" t="s">
        <v>4634</v>
      </c>
      <c r="F5278" s="331">
        <v>0.21</v>
      </c>
      <c r="G5278" s="332">
        <v>678</v>
      </c>
      <c r="H5278" s="333">
        <v>821</v>
      </c>
    </row>
    <row r="5279" spans="1:8">
      <c r="A5279" s="317">
        <v>1610108020</v>
      </c>
      <c r="B5279" s="317" t="s">
        <v>49645</v>
      </c>
      <c r="C5279" s="330" t="s">
        <v>13949</v>
      </c>
      <c r="D5279" s="330" t="s">
        <v>13950</v>
      </c>
      <c r="E5279" s="330" t="s">
        <v>37248</v>
      </c>
      <c r="F5279" s="331">
        <v>0.21</v>
      </c>
      <c r="G5279" s="332">
        <v>9763</v>
      </c>
      <c r="H5279" s="333">
        <v>11814</v>
      </c>
    </row>
    <row r="5280" spans="1:8">
      <c r="A5280" s="317">
        <v>1610108021</v>
      </c>
      <c r="B5280" s="317" t="s">
        <v>49646</v>
      </c>
      <c r="C5280" s="330" t="s">
        <v>13951</v>
      </c>
      <c r="D5280" s="330" t="s">
        <v>13952</v>
      </c>
      <c r="E5280" s="330" t="s">
        <v>4634</v>
      </c>
      <c r="F5280" s="331">
        <v>0.21</v>
      </c>
      <c r="G5280" s="332">
        <v>1581</v>
      </c>
      <c r="H5280" s="333">
        <v>1914</v>
      </c>
    </row>
    <row r="5281" spans="1:8">
      <c r="A5281" s="317">
        <v>1610109017</v>
      </c>
      <c r="B5281" s="317" t="s">
        <v>49647</v>
      </c>
      <c r="C5281" s="330" t="s">
        <v>13953</v>
      </c>
      <c r="D5281" s="330" t="s">
        <v>13954</v>
      </c>
      <c r="E5281" s="330" t="s">
        <v>4634</v>
      </c>
      <c r="F5281" s="331">
        <v>0.21</v>
      </c>
      <c r="G5281" s="332">
        <v>584</v>
      </c>
      <c r="H5281" s="333">
        <v>707</v>
      </c>
    </row>
    <row r="5282" spans="1:8">
      <c r="A5282" s="317">
        <v>1610109019</v>
      </c>
      <c r="B5282" s="317" t="s">
        <v>49648</v>
      </c>
      <c r="C5282" s="330" t="s">
        <v>13955</v>
      </c>
      <c r="D5282" s="330" t="s">
        <v>13956</v>
      </c>
      <c r="E5282" s="330" t="s">
        <v>4634</v>
      </c>
      <c r="F5282" s="331">
        <v>0.21</v>
      </c>
      <c r="G5282" s="332">
        <v>274</v>
      </c>
      <c r="H5282" s="333">
        <v>332</v>
      </c>
    </row>
    <row r="5283" spans="1:8">
      <c r="A5283" s="317">
        <v>1610113005</v>
      </c>
      <c r="B5283" s="317" t="s">
        <v>49649</v>
      </c>
      <c r="C5283" s="330" t="s">
        <v>13957</v>
      </c>
      <c r="D5283" s="330" t="s">
        <v>13958</v>
      </c>
      <c r="E5283" s="330" t="s">
        <v>4623</v>
      </c>
      <c r="F5283" s="331">
        <v>0.21</v>
      </c>
      <c r="G5283" s="332">
        <v>600</v>
      </c>
      <c r="H5283" s="333">
        <v>726</v>
      </c>
    </row>
    <row r="5284" spans="1:8">
      <c r="A5284" s="317">
        <v>1610113012</v>
      </c>
      <c r="B5284" s="317" t="s">
        <v>49650</v>
      </c>
      <c r="C5284" s="330" t="s">
        <v>13959</v>
      </c>
      <c r="D5284" s="330" t="s">
        <v>13960</v>
      </c>
      <c r="E5284" s="330" t="s">
        <v>4819</v>
      </c>
      <c r="F5284" s="331">
        <v>0.21</v>
      </c>
      <c r="G5284" s="332">
        <v>2538</v>
      </c>
      <c r="H5284" s="333">
        <v>3071</v>
      </c>
    </row>
    <row r="5285" spans="1:8">
      <c r="A5285" s="317">
        <v>1610114015</v>
      </c>
      <c r="B5285" s="317" t="s">
        <v>49651</v>
      </c>
      <c r="C5285" s="330" t="s">
        <v>13961</v>
      </c>
      <c r="D5285" s="330" t="s">
        <v>13962</v>
      </c>
      <c r="E5285" s="330" t="s">
        <v>4634</v>
      </c>
      <c r="F5285" s="331">
        <v>0.21</v>
      </c>
      <c r="G5285" s="332">
        <v>2186</v>
      </c>
      <c r="H5285" s="333">
        <v>2646</v>
      </c>
    </row>
    <row r="5286" spans="1:8">
      <c r="A5286" s="317">
        <v>1610114020</v>
      </c>
      <c r="B5286" s="317" t="s">
        <v>49652</v>
      </c>
      <c r="C5286" s="330" t="s">
        <v>13963</v>
      </c>
      <c r="D5286" s="330" t="s">
        <v>13964</v>
      </c>
      <c r="E5286" s="330" t="s">
        <v>4634</v>
      </c>
      <c r="F5286" s="331">
        <v>0.21</v>
      </c>
      <c r="G5286" s="332">
        <v>1126</v>
      </c>
      <c r="H5286" s="333">
        <v>1363</v>
      </c>
    </row>
    <row r="5287" spans="1:8">
      <c r="A5287" s="317">
        <v>1610115001</v>
      </c>
      <c r="B5287" s="317" t="s">
        <v>49653</v>
      </c>
      <c r="C5287" s="330" t="s">
        <v>13965</v>
      </c>
      <c r="D5287" s="330" t="s">
        <v>13966</v>
      </c>
      <c r="E5287" s="330" t="s">
        <v>4634</v>
      </c>
      <c r="F5287" s="331">
        <v>0.21</v>
      </c>
      <c r="G5287" s="332">
        <v>5492</v>
      </c>
      <c r="H5287" s="333">
        <v>6646</v>
      </c>
    </row>
    <row r="5288" spans="1:8">
      <c r="A5288" s="317">
        <v>1610116003</v>
      </c>
      <c r="B5288" s="317" t="s">
        <v>49654</v>
      </c>
      <c r="C5288" s="330" t="s">
        <v>13967</v>
      </c>
      <c r="D5288" s="330" t="s">
        <v>13968</v>
      </c>
      <c r="E5288" s="330" t="s">
        <v>4634</v>
      </c>
      <c r="F5288" s="331">
        <v>0.21</v>
      </c>
      <c r="G5288" s="332">
        <v>372</v>
      </c>
      <c r="H5288" s="333">
        <v>451</v>
      </c>
    </row>
    <row r="5289" spans="1:8">
      <c r="A5289" s="317">
        <v>1610116004</v>
      </c>
      <c r="B5289" s="317" t="s">
        <v>49655</v>
      </c>
      <c r="C5289" s="330" t="s">
        <v>13969</v>
      </c>
      <c r="D5289" s="330" t="s">
        <v>13970</v>
      </c>
      <c r="E5289" s="330" t="s">
        <v>4634</v>
      </c>
      <c r="F5289" s="331">
        <v>0.21</v>
      </c>
      <c r="G5289" s="332">
        <v>372</v>
      </c>
      <c r="H5289" s="333">
        <v>451</v>
      </c>
    </row>
    <row r="5290" spans="1:8">
      <c r="A5290" s="317">
        <v>1610116007</v>
      </c>
      <c r="B5290" s="317" t="s">
        <v>49656</v>
      </c>
      <c r="C5290" s="330" t="s">
        <v>13971</v>
      </c>
      <c r="D5290" s="330" t="s">
        <v>13972</v>
      </c>
      <c r="E5290" s="330" t="s">
        <v>4634</v>
      </c>
      <c r="F5290" s="331">
        <v>0.21</v>
      </c>
      <c r="G5290" s="332">
        <v>1376</v>
      </c>
      <c r="H5290" s="333">
        <v>1665</v>
      </c>
    </row>
    <row r="5291" spans="1:8">
      <c r="A5291" s="317">
        <v>1610119004</v>
      </c>
      <c r="B5291" s="317" t="s">
        <v>49657</v>
      </c>
      <c r="C5291" s="330" t="s">
        <v>13973</v>
      </c>
      <c r="D5291" s="330" t="s">
        <v>13974</v>
      </c>
      <c r="E5291" s="330" t="s">
        <v>4634</v>
      </c>
      <c r="F5291" s="331">
        <v>0.21</v>
      </c>
      <c r="G5291" s="332">
        <v>437</v>
      </c>
      <c r="H5291" s="333">
        <v>529</v>
      </c>
    </row>
    <row r="5292" spans="1:8">
      <c r="A5292" s="317">
        <v>1610119007</v>
      </c>
      <c r="B5292" s="317" t="s">
        <v>49658</v>
      </c>
      <c r="C5292" s="330" t="s">
        <v>13975</v>
      </c>
      <c r="D5292" s="330" t="s">
        <v>13968</v>
      </c>
      <c r="E5292" s="330" t="s">
        <v>4634</v>
      </c>
      <c r="F5292" s="331">
        <v>0.21</v>
      </c>
      <c r="G5292" s="332">
        <v>372</v>
      </c>
      <c r="H5292" s="333">
        <v>451</v>
      </c>
    </row>
    <row r="5293" spans="1:8">
      <c r="A5293" s="317">
        <v>1610119008</v>
      </c>
      <c r="B5293" s="317" t="s">
        <v>49659</v>
      </c>
      <c r="C5293" s="330" t="s">
        <v>13976</v>
      </c>
      <c r="D5293" s="330" t="s">
        <v>13977</v>
      </c>
      <c r="E5293" s="330" t="s">
        <v>4634</v>
      </c>
      <c r="F5293" s="331">
        <v>0.21</v>
      </c>
      <c r="G5293" s="332">
        <v>791</v>
      </c>
      <c r="H5293" s="333">
        <v>958</v>
      </c>
    </row>
    <row r="5294" spans="1:8">
      <c r="A5294" s="317">
        <v>1610119009</v>
      </c>
      <c r="B5294" s="317" t="s">
        <v>49660</v>
      </c>
      <c r="C5294" s="330" t="s">
        <v>13978</v>
      </c>
      <c r="D5294" s="330" t="s">
        <v>13979</v>
      </c>
      <c r="E5294" s="330" t="s">
        <v>4634</v>
      </c>
      <c r="F5294" s="331">
        <v>0.21</v>
      </c>
      <c r="G5294" s="332">
        <v>372</v>
      </c>
      <c r="H5294" s="333">
        <v>451</v>
      </c>
    </row>
    <row r="5295" spans="1:8">
      <c r="A5295" s="317">
        <v>1610119010</v>
      </c>
      <c r="B5295" s="317" t="s">
        <v>49661</v>
      </c>
      <c r="C5295" s="330" t="s">
        <v>13980</v>
      </c>
      <c r="D5295" s="330" t="s">
        <v>13981</v>
      </c>
      <c r="E5295" s="330" t="s">
        <v>37248</v>
      </c>
      <c r="F5295" s="331">
        <v>0.21</v>
      </c>
      <c r="G5295" s="332">
        <v>4829</v>
      </c>
      <c r="H5295" s="333">
        <v>5844</v>
      </c>
    </row>
    <row r="5296" spans="1:8">
      <c r="A5296" s="317">
        <v>1610119011</v>
      </c>
      <c r="B5296" s="317" t="s">
        <v>49662</v>
      </c>
      <c r="C5296" s="330" t="s">
        <v>13982</v>
      </c>
      <c r="D5296" s="330" t="s">
        <v>13983</v>
      </c>
      <c r="E5296" s="330" t="s">
        <v>4634</v>
      </c>
      <c r="F5296" s="331">
        <v>0.21</v>
      </c>
      <c r="G5296" s="332">
        <v>678</v>
      </c>
      <c r="H5296" s="333">
        <v>821</v>
      </c>
    </row>
    <row r="5297" spans="1:8">
      <c r="A5297" s="317">
        <v>1610119012</v>
      </c>
      <c r="B5297" s="317" t="s">
        <v>49663</v>
      </c>
      <c r="C5297" s="330" t="s">
        <v>13984</v>
      </c>
      <c r="D5297" s="330" t="s">
        <v>13985</v>
      </c>
      <c r="E5297" s="330" t="s">
        <v>37248</v>
      </c>
      <c r="F5297" s="331">
        <v>0.21</v>
      </c>
      <c r="G5297" s="332">
        <v>2128</v>
      </c>
      <c r="H5297" s="333">
        <v>2575</v>
      </c>
    </row>
    <row r="5298" spans="1:8">
      <c r="A5298" s="317">
        <v>1610134005</v>
      </c>
      <c r="B5298" s="317" t="s">
        <v>49664</v>
      </c>
      <c r="C5298" s="330" t="s">
        <v>13986</v>
      </c>
      <c r="D5298" s="330" t="s">
        <v>13987</v>
      </c>
      <c r="E5298" s="330" t="s">
        <v>4819</v>
      </c>
      <c r="F5298" s="331">
        <v>0.21</v>
      </c>
      <c r="G5298" s="332">
        <v>671</v>
      </c>
      <c r="H5298" s="333">
        <v>812</v>
      </c>
    </row>
    <row r="5299" spans="1:8">
      <c r="A5299" s="317">
        <v>1610134006</v>
      </c>
      <c r="B5299" s="317" t="s">
        <v>49665</v>
      </c>
      <c r="C5299" s="330" t="s">
        <v>13988</v>
      </c>
      <c r="D5299" s="330" t="s">
        <v>13989</v>
      </c>
      <c r="E5299" s="330" t="s">
        <v>4819</v>
      </c>
      <c r="F5299" s="331">
        <v>0.21</v>
      </c>
      <c r="G5299" s="332">
        <v>671</v>
      </c>
      <c r="H5299" s="333">
        <v>812</v>
      </c>
    </row>
    <row r="5300" spans="1:8">
      <c r="A5300" s="317">
        <v>1610134007</v>
      </c>
      <c r="B5300" s="317" t="s">
        <v>49666</v>
      </c>
      <c r="C5300" s="330" t="s">
        <v>13990</v>
      </c>
      <c r="D5300" s="330" t="s">
        <v>13991</v>
      </c>
      <c r="E5300" s="330" t="s">
        <v>4634</v>
      </c>
      <c r="F5300" s="331">
        <v>0.21</v>
      </c>
      <c r="G5300" s="332">
        <v>348</v>
      </c>
      <c r="H5300" s="333">
        <v>422</v>
      </c>
    </row>
    <row r="5301" spans="1:8">
      <c r="A5301" s="317">
        <v>1610147008</v>
      </c>
      <c r="B5301" s="317" t="s">
        <v>49667</v>
      </c>
      <c r="C5301" s="330" t="s">
        <v>13992</v>
      </c>
      <c r="D5301" s="330" t="s">
        <v>13993</v>
      </c>
      <c r="E5301" s="330" t="s">
        <v>4634</v>
      </c>
      <c r="F5301" s="331">
        <v>0.21</v>
      </c>
      <c r="G5301" s="332">
        <v>671</v>
      </c>
      <c r="H5301" s="333">
        <v>812</v>
      </c>
    </row>
    <row r="5302" spans="1:8">
      <c r="A5302" s="317">
        <v>1610151007</v>
      </c>
      <c r="B5302" s="317" t="s">
        <v>49668</v>
      </c>
      <c r="C5302" s="330" t="s">
        <v>13994</v>
      </c>
      <c r="D5302" s="330" t="s">
        <v>13995</v>
      </c>
      <c r="E5302" s="330" t="s">
        <v>37248</v>
      </c>
      <c r="F5302" s="331">
        <v>0.21</v>
      </c>
      <c r="G5302" s="332">
        <v>78</v>
      </c>
      <c r="H5302" s="333">
        <v>95</v>
      </c>
    </row>
    <row r="5303" spans="1:8">
      <c r="A5303" s="317">
        <v>1610190010</v>
      </c>
      <c r="B5303" s="317" t="s">
        <v>49669</v>
      </c>
      <c r="C5303" s="330" t="s">
        <v>13996</v>
      </c>
      <c r="D5303" s="330" t="s">
        <v>13997</v>
      </c>
      <c r="E5303" s="330" t="s">
        <v>4634</v>
      </c>
      <c r="F5303" s="331">
        <v>0.21</v>
      </c>
      <c r="G5303" s="332">
        <v>1126</v>
      </c>
      <c r="H5303" s="333">
        <v>1363</v>
      </c>
    </row>
    <row r="5304" spans="1:8">
      <c r="A5304" s="317">
        <v>1610190011</v>
      </c>
      <c r="B5304" s="317" t="s">
        <v>49670</v>
      </c>
      <c r="C5304" s="330" t="s">
        <v>13998</v>
      </c>
      <c r="D5304" s="330" t="s">
        <v>4867</v>
      </c>
      <c r="E5304" s="330" t="s">
        <v>37248</v>
      </c>
      <c r="F5304" s="331">
        <v>0.21</v>
      </c>
      <c r="G5304" s="332">
        <v>1608</v>
      </c>
      <c r="H5304" s="333">
        <v>1946</v>
      </c>
    </row>
    <row r="5305" spans="1:8">
      <c r="A5305" s="317">
        <v>1610190016</v>
      </c>
      <c r="B5305" s="317" t="s">
        <v>49671</v>
      </c>
      <c r="C5305" s="330" t="s">
        <v>13999</v>
      </c>
      <c r="D5305" s="330" t="s">
        <v>14000</v>
      </c>
      <c r="E5305" s="330" t="s">
        <v>4634</v>
      </c>
      <c r="F5305" s="331">
        <v>0.21</v>
      </c>
      <c r="G5305" s="332">
        <v>584</v>
      </c>
      <c r="H5305" s="333">
        <v>707</v>
      </c>
    </row>
    <row r="5306" spans="1:8">
      <c r="A5306" s="317">
        <v>1610190018</v>
      </c>
      <c r="B5306" s="317" t="s">
        <v>49672</v>
      </c>
      <c r="C5306" s="330" t="s">
        <v>14001</v>
      </c>
      <c r="D5306" s="330" t="s">
        <v>14002</v>
      </c>
      <c r="E5306" s="330" t="s">
        <v>4634</v>
      </c>
      <c r="F5306" s="331">
        <v>0.21</v>
      </c>
      <c r="G5306" s="332">
        <v>58</v>
      </c>
      <c r="H5306" s="333">
        <v>71</v>
      </c>
    </row>
    <row r="5307" spans="1:8">
      <c r="A5307" s="317">
        <v>1610190019</v>
      </c>
      <c r="B5307" s="317" t="s">
        <v>49673</v>
      </c>
      <c r="C5307" s="330" t="s">
        <v>14003</v>
      </c>
      <c r="D5307" s="330" t="s">
        <v>14004</v>
      </c>
      <c r="E5307" s="330" t="s">
        <v>37248</v>
      </c>
      <c r="F5307" s="331">
        <v>0.21</v>
      </c>
      <c r="G5307" s="332">
        <v>15492</v>
      </c>
      <c r="H5307" s="333">
        <v>18746</v>
      </c>
    </row>
    <row r="5308" spans="1:8">
      <c r="A5308" s="317">
        <v>1610190020</v>
      </c>
      <c r="B5308" s="317" t="s">
        <v>49674</v>
      </c>
      <c r="C5308" s="330" t="s">
        <v>14005</v>
      </c>
      <c r="D5308" s="330" t="s">
        <v>14006</v>
      </c>
      <c r="E5308" s="330" t="s">
        <v>4634</v>
      </c>
      <c r="F5308" s="331">
        <v>0.21</v>
      </c>
      <c r="G5308" s="332">
        <v>455</v>
      </c>
      <c r="H5308" s="333">
        <v>551</v>
      </c>
    </row>
    <row r="5309" spans="1:8">
      <c r="A5309" s="317">
        <v>1610190021</v>
      </c>
      <c r="B5309" s="317" t="s">
        <v>49675</v>
      </c>
      <c r="C5309" s="330" t="s">
        <v>14007</v>
      </c>
      <c r="D5309" s="330" t="s">
        <v>13856</v>
      </c>
      <c r="E5309" s="330" t="s">
        <v>4634</v>
      </c>
      <c r="F5309" s="331">
        <v>0.21</v>
      </c>
      <c r="G5309" s="332">
        <v>455</v>
      </c>
      <c r="H5309" s="333">
        <v>551</v>
      </c>
    </row>
    <row r="5310" spans="1:8">
      <c r="A5310" s="317">
        <v>1610190022</v>
      </c>
      <c r="B5310" s="317" t="s">
        <v>49676</v>
      </c>
      <c r="C5310" s="330" t="s">
        <v>14008</v>
      </c>
      <c r="D5310" s="330" t="s">
        <v>14009</v>
      </c>
      <c r="E5310" s="330" t="s">
        <v>4634</v>
      </c>
      <c r="F5310" s="331">
        <v>0.21</v>
      </c>
      <c r="G5310" s="332">
        <v>3154</v>
      </c>
      <c r="H5310" s="333">
        <v>3817</v>
      </c>
    </row>
    <row r="5311" spans="1:8">
      <c r="A5311" s="317">
        <v>1610190023</v>
      </c>
      <c r="B5311" s="317" t="s">
        <v>49677</v>
      </c>
      <c r="C5311" s="330" t="s">
        <v>14010</v>
      </c>
      <c r="D5311" s="330" t="s">
        <v>14011</v>
      </c>
      <c r="E5311" s="330" t="s">
        <v>4634</v>
      </c>
      <c r="F5311" s="331">
        <v>0.21</v>
      </c>
      <c r="G5311" s="332">
        <v>1126</v>
      </c>
      <c r="H5311" s="333">
        <v>1363</v>
      </c>
    </row>
    <row r="5312" spans="1:8">
      <c r="A5312" s="317">
        <v>1610190024</v>
      </c>
      <c r="B5312" s="317" t="s">
        <v>49678</v>
      </c>
      <c r="C5312" s="330" t="s">
        <v>14012</v>
      </c>
      <c r="D5312" s="330" t="s">
        <v>14013</v>
      </c>
      <c r="E5312" s="330" t="s">
        <v>4634</v>
      </c>
      <c r="F5312" s="331">
        <v>0.21</v>
      </c>
      <c r="G5312" s="332">
        <v>7162</v>
      </c>
      <c r="H5312" s="333">
        <v>8667</v>
      </c>
    </row>
    <row r="5313" spans="1:8">
      <c r="A5313" s="317">
        <v>1610190026</v>
      </c>
      <c r="B5313" s="317" t="s">
        <v>49679</v>
      </c>
      <c r="C5313" s="330" t="s">
        <v>14014</v>
      </c>
      <c r="D5313" s="330" t="s">
        <v>14015</v>
      </c>
      <c r="E5313" s="330" t="s">
        <v>4819</v>
      </c>
      <c r="F5313" s="331">
        <v>0.21</v>
      </c>
      <c r="G5313" s="332">
        <v>7022</v>
      </c>
      <c r="H5313" s="333">
        <v>8497</v>
      </c>
    </row>
    <row r="5314" spans="1:8">
      <c r="A5314" s="317">
        <v>1610190027</v>
      </c>
      <c r="B5314" s="317" t="s">
        <v>49680</v>
      </c>
      <c r="C5314" s="330" t="s">
        <v>14016</v>
      </c>
      <c r="D5314" s="330" t="s">
        <v>14017</v>
      </c>
      <c r="E5314" s="330" t="s">
        <v>37248</v>
      </c>
      <c r="F5314" s="331">
        <v>0.21</v>
      </c>
      <c r="G5314" s="332">
        <v>1452</v>
      </c>
      <c r="H5314" s="333">
        <v>1757</v>
      </c>
    </row>
    <row r="5315" spans="1:8">
      <c r="A5315" s="317">
        <v>1610190028</v>
      </c>
      <c r="B5315" s="317" t="s">
        <v>49681</v>
      </c>
      <c r="C5315" s="330" t="s">
        <v>14018</v>
      </c>
      <c r="D5315" s="330" t="s">
        <v>13964</v>
      </c>
      <c r="E5315" s="330" t="s">
        <v>4634</v>
      </c>
      <c r="F5315" s="331">
        <v>0.21</v>
      </c>
      <c r="G5315" s="332">
        <v>6435</v>
      </c>
      <c r="H5315" s="333">
        <v>7787</v>
      </c>
    </row>
    <row r="5316" spans="1:8">
      <c r="A5316" s="317">
        <v>1610190029</v>
      </c>
      <c r="B5316" s="317" t="s">
        <v>49682</v>
      </c>
      <c r="C5316" s="330" t="s">
        <v>14019</v>
      </c>
      <c r="D5316" s="330" t="s">
        <v>14020</v>
      </c>
      <c r="E5316" s="330" t="s">
        <v>4623</v>
      </c>
      <c r="F5316" s="331">
        <v>0.21</v>
      </c>
      <c r="G5316" s="332">
        <v>17502</v>
      </c>
      <c r="H5316" s="333">
        <v>21178</v>
      </c>
    </row>
    <row r="5317" spans="1:8">
      <c r="A5317" s="317">
        <v>1610190030</v>
      </c>
      <c r="B5317" s="317" t="s">
        <v>49683</v>
      </c>
      <c r="C5317" s="330" t="s">
        <v>14021</v>
      </c>
      <c r="D5317" s="330" t="s">
        <v>14022</v>
      </c>
      <c r="E5317" s="330" t="s">
        <v>4819</v>
      </c>
      <c r="F5317" s="331">
        <v>0.21</v>
      </c>
      <c r="G5317" s="332">
        <v>4234</v>
      </c>
      <c r="H5317" s="333">
        <v>5124</v>
      </c>
    </row>
    <row r="5318" spans="1:8">
      <c r="A5318" s="317">
        <v>1610190033</v>
      </c>
      <c r="B5318" s="317" t="s">
        <v>49684</v>
      </c>
      <c r="C5318" s="330" t="s">
        <v>14023</v>
      </c>
      <c r="D5318" s="330" t="s">
        <v>14024</v>
      </c>
      <c r="E5318" s="330" t="s">
        <v>4623</v>
      </c>
      <c r="F5318" s="331">
        <v>0.21</v>
      </c>
      <c r="G5318" s="332">
        <v>6968</v>
      </c>
      <c r="H5318" s="333">
        <v>8432</v>
      </c>
    </row>
    <row r="5319" spans="1:8">
      <c r="A5319" s="317">
        <v>1610190038</v>
      </c>
      <c r="B5319" s="317" t="s">
        <v>49685</v>
      </c>
      <c r="C5319" s="330" t="s">
        <v>14025</v>
      </c>
      <c r="D5319" s="330" t="s">
        <v>14026</v>
      </c>
      <c r="E5319" s="330" t="s">
        <v>4819</v>
      </c>
      <c r="F5319" s="331">
        <v>0.21</v>
      </c>
      <c r="G5319" s="332">
        <v>1505</v>
      </c>
      <c r="H5319" s="333">
        <v>1822</v>
      </c>
    </row>
    <row r="5320" spans="1:8">
      <c r="A5320" s="317">
        <v>1610190040</v>
      </c>
      <c r="B5320" s="317" t="s">
        <v>49686</v>
      </c>
      <c r="C5320" s="330" t="s">
        <v>14027</v>
      </c>
      <c r="D5320" s="330" t="s">
        <v>14028</v>
      </c>
      <c r="E5320" s="330" t="s">
        <v>4819</v>
      </c>
      <c r="F5320" s="331">
        <v>0.21</v>
      </c>
      <c r="G5320" s="332">
        <v>3698</v>
      </c>
      <c r="H5320" s="333">
        <v>4475</v>
      </c>
    </row>
    <row r="5321" spans="1:8">
      <c r="A5321" s="317">
        <v>1610190045</v>
      </c>
      <c r="B5321" s="317" t="s">
        <v>49687</v>
      </c>
      <c r="C5321" s="330" t="s">
        <v>14029</v>
      </c>
      <c r="D5321" s="330" t="s">
        <v>14030</v>
      </c>
      <c r="E5321" s="330" t="s">
        <v>4819</v>
      </c>
      <c r="F5321" s="331">
        <v>0.21</v>
      </c>
      <c r="G5321" s="332">
        <v>6147</v>
      </c>
      <c r="H5321" s="333">
        <v>7438</v>
      </c>
    </row>
    <row r="5322" spans="1:8">
      <c r="A5322" s="317">
        <v>1610190046</v>
      </c>
      <c r="B5322" s="317" t="s">
        <v>49688</v>
      </c>
      <c r="C5322" s="330" t="s">
        <v>14031</v>
      </c>
      <c r="D5322" s="330" t="s">
        <v>14030</v>
      </c>
      <c r="E5322" s="330" t="s">
        <v>4634</v>
      </c>
      <c r="F5322" s="331">
        <v>0.21</v>
      </c>
      <c r="G5322" s="332">
        <v>176</v>
      </c>
      <c r="H5322" s="333">
        <v>213</v>
      </c>
    </row>
    <row r="5323" spans="1:8">
      <c r="A5323" s="317">
        <v>1610190048</v>
      </c>
      <c r="B5323" s="317" t="s">
        <v>49689</v>
      </c>
      <c r="C5323" s="330" t="s">
        <v>14032</v>
      </c>
      <c r="D5323" s="330" t="s">
        <v>14033</v>
      </c>
      <c r="E5323" s="330" t="s">
        <v>37248</v>
      </c>
      <c r="F5323" s="331">
        <v>0.21</v>
      </c>
      <c r="G5323" s="332">
        <v>6486</v>
      </c>
      <c r="H5323" s="333">
        <v>7849</v>
      </c>
    </row>
    <row r="5324" spans="1:8">
      <c r="A5324" s="317">
        <v>1610190049</v>
      </c>
      <c r="B5324" s="317" t="s">
        <v>49690</v>
      </c>
      <c r="C5324" s="330" t="s">
        <v>14034</v>
      </c>
      <c r="D5324" s="330" t="s">
        <v>14035</v>
      </c>
      <c r="E5324" s="330" t="s">
        <v>4634</v>
      </c>
      <c r="F5324" s="331">
        <v>0.21</v>
      </c>
      <c r="G5324" s="332">
        <v>564</v>
      </c>
      <c r="H5324" s="333">
        <v>683</v>
      </c>
    </row>
    <row r="5325" spans="1:8">
      <c r="A5325" s="317">
        <v>1610190053</v>
      </c>
      <c r="B5325" s="317" t="s">
        <v>49691</v>
      </c>
      <c r="C5325" s="330" t="s">
        <v>14036</v>
      </c>
      <c r="D5325" s="330" t="s">
        <v>14037</v>
      </c>
      <c r="E5325" s="330" t="s">
        <v>4819</v>
      </c>
      <c r="F5325" s="331">
        <v>0.21</v>
      </c>
      <c r="G5325" s="332">
        <v>1505</v>
      </c>
      <c r="H5325" s="333">
        <v>1822</v>
      </c>
    </row>
    <row r="5326" spans="1:8">
      <c r="A5326" s="317">
        <v>1610190054</v>
      </c>
      <c r="B5326" s="317" t="s">
        <v>49692</v>
      </c>
      <c r="C5326" s="330" t="s">
        <v>14038</v>
      </c>
      <c r="D5326" s="330" t="s">
        <v>14039</v>
      </c>
      <c r="E5326" s="330" t="s">
        <v>4634</v>
      </c>
      <c r="F5326" s="331">
        <v>0.21</v>
      </c>
      <c r="G5326" s="332">
        <v>432</v>
      </c>
      <c r="H5326" s="333">
        <v>523</v>
      </c>
    </row>
    <row r="5327" spans="1:8">
      <c r="A5327" s="317">
        <v>1610190055</v>
      </c>
      <c r="B5327" s="317" t="s">
        <v>49693</v>
      </c>
      <c r="C5327" s="330" t="s">
        <v>14040</v>
      </c>
      <c r="D5327" s="330" t="s">
        <v>14041</v>
      </c>
      <c r="E5327" s="330" t="s">
        <v>37248</v>
      </c>
      <c r="F5327" s="331">
        <v>0.21</v>
      </c>
      <c r="G5327" s="332">
        <v>6910</v>
      </c>
      <c r="H5327" s="333">
        <v>8362</v>
      </c>
    </row>
    <row r="5328" spans="1:8">
      <c r="A5328" s="317">
        <v>1610190058</v>
      </c>
      <c r="B5328" s="317" t="s">
        <v>49694</v>
      </c>
      <c r="C5328" s="330" t="s">
        <v>14042</v>
      </c>
      <c r="D5328" s="330" t="s">
        <v>14043</v>
      </c>
      <c r="E5328" s="330" t="s">
        <v>37248</v>
      </c>
      <c r="F5328" s="331">
        <v>0.21</v>
      </c>
      <c r="G5328" s="332">
        <v>16819</v>
      </c>
      <c r="H5328" s="333">
        <v>20351</v>
      </c>
    </row>
    <row r="5329" spans="1:8">
      <c r="A5329" s="317">
        <v>1610190060</v>
      </c>
      <c r="B5329" s="317" t="s">
        <v>49695</v>
      </c>
      <c r="C5329" s="330" t="s">
        <v>14044</v>
      </c>
      <c r="D5329" s="330" t="s">
        <v>14045</v>
      </c>
      <c r="E5329" s="330" t="s">
        <v>4819</v>
      </c>
      <c r="F5329" s="331">
        <v>0.21</v>
      </c>
      <c r="G5329" s="332">
        <v>2286</v>
      </c>
      <c r="H5329" s="333">
        <v>2767</v>
      </c>
    </row>
    <row r="5330" spans="1:8">
      <c r="A5330" s="317">
        <v>1610190065</v>
      </c>
      <c r="B5330" s="317" t="s">
        <v>49696</v>
      </c>
      <c r="C5330" s="330" t="s">
        <v>14046</v>
      </c>
      <c r="D5330" s="330" t="s">
        <v>14047</v>
      </c>
      <c r="E5330" s="330" t="s">
        <v>4634</v>
      </c>
      <c r="F5330" s="331">
        <v>0.21</v>
      </c>
      <c r="G5330" s="332">
        <v>1150</v>
      </c>
      <c r="H5330" s="333">
        <v>1392</v>
      </c>
    </row>
    <row r="5331" spans="1:8">
      <c r="A5331" s="317">
        <v>1610190066</v>
      </c>
      <c r="B5331" s="317" t="s">
        <v>49697</v>
      </c>
      <c r="C5331" s="330" t="s">
        <v>14048</v>
      </c>
      <c r="D5331" s="330" t="s">
        <v>14049</v>
      </c>
      <c r="E5331" s="330" t="s">
        <v>4634</v>
      </c>
      <c r="F5331" s="331">
        <v>0.21</v>
      </c>
      <c r="G5331" s="332">
        <v>820</v>
      </c>
      <c r="H5331" s="333">
        <v>993</v>
      </c>
    </row>
    <row r="5332" spans="1:8">
      <c r="A5332" s="317">
        <v>1610190067</v>
      </c>
      <c r="B5332" s="317" t="s">
        <v>49698</v>
      </c>
      <c r="C5332" s="330" t="s">
        <v>14050</v>
      </c>
      <c r="D5332" s="330" t="s">
        <v>14045</v>
      </c>
      <c r="E5332" s="330" t="s">
        <v>4634</v>
      </c>
      <c r="F5332" s="331">
        <v>0.21</v>
      </c>
      <c r="G5332" s="332">
        <v>580</v>
      </c>
      <c r="H5332" s="333">
        <v>702</v>
      </c>
    </row>
    <row r="5333" spans="1:8">
      <c r="A5333" s="317">
        <v>1610190069</v>
      </c>
      <c r="B5333" s="317" t="s">
        <v>49699</v>
      </c>
      <c r="C5333" s="330" t="s">
        <v>14051</v>
      </c>
      <c r="D5333" s="330" t="s">
        <v>14052</v>
      </c>
      <c r="E5333" s="330" t="s">
        <v>4819</v>
      </c>
      <c r="F5333" s="331">
        <v>0.21</v>
      </c>
      <c r="G5333" s="332">
        <v>26198</v>
      </c>
      <c r="H5333" s="333">
        <v>31700</v>
      </c>
    </row>
    <row r="5334" spans="1:8">
      <c r="A5334" s="317">
        <v>1610190071</v>
      </c>
      <c r="B5334" s="317" t="s">
        <v>49700</v>
      </c>
      <c r="C5334" s="330" t="s">
        <v>14053</v>
      </c>
      <c r="D5334" s="330" t="s">
        <v>14054</v>
      </c>
      <c r="E5334" s="330" t="s">
        <v>4634</v>
      </c>
      <c r="F5334" s="331">
        <v>0.21</v>
      </c>
      <c r="G5334" s="332">
        <v>5554</v>
      </c>
      <c r="H5334" s="333">
        <v>6721</v>
      </c>
    </row>
    <row r="5335" spans="1:8">
      <c r="A5335" s="317">
        <v>1610190073</v>
      </c>
      <c r="B5335" s="317" t="s">
        <v>49701</v>
      </c>
      <c r="C5335" s="330" t="s">
        <v>14055</v>
      </c>
      <c r="D5335" s="330" t="s">
        <v>14056</v>
      </c>
      <c r="E5335" s="330" t="s">
        <v>37248</v>
      </c>
      <c r="F5335" s="331">
        <v>0.21</v>
      </c>
      <c r="G5335" s="332">
        <v>194</v>
      </c>
      <c r="H5335" s="333">
        <v>235</v>
      </c>
    </row>
    <row r="5336" spans="1:8">
      <c r="A5336" s="317">
        <v>1610190078</v>
      </c>
      <c r="B5336" s="317" t="s">
        <v>49702</v>
      </c>
      <c r="C5336" s="330" t="s">
        <v>14057</v>
      </c>
      <c r="D5336" s="330" t="s">
        <v>14058</v>
      </c>
      <c r="E5336" s="330" t="s">
        <v>4819</v>
      </c>
      <c r="F5336" s="331">
        <v>0.21</v>
      </c>
      <c r="G5336" s="332">
        <v>2237</v>
      </c>
      <c r="H5336" s="333">
        <v>2707</v>
      </c>
    </row>
    <row r="5337" spans="1:8">
      <c r="A5337" s="317">
        <v>1610190079</v>
      </c>
      <c r="B5337" s="317" t="s">
        <v>49703</v>
      </c>
      <c r="C5337" s="330" t="s">
        <v>14059</v>
      </c>
      <c r="D5337" s="330" t="s">
        <v>14060</v>
      </c>
      <c r="E5337" s="330" t="s">
        <v>4634</v>
      </c>
      <c r="F5337" s="331">
        <v>0.21</v>
      </c>
      <c r="G5337" s="332">
        <v>4459</v>
      </c>
      <c r="H5337" s="333">
        <v>5396</v>
      </c>
    </row>
    <row r="5338" spans="1:8">
      <c r="A5338" s="317">
        <v>1610190080</v>
      </c>
      <c r="B5338" s="317" t="s">
        <v>49704</v>
      </c>
      <c r="C5338" s="330" t="s">
        <v>14061</v>
      </c>
      <c r="D5338" s="330" t="s">
        <v>7836</v>
      </c>
      <c r="E5338" s="330" t="s">
        <v>37248</v>
      </c>
      <c r="F5338" s="331">
        <v>0.21</v>
      </c>
      <c r="G5338" s="332">
        <v>9871</v>
      </c>
      <c r="H5338" s="333">
        <v>11944</v>
      </c>
    </row>
    <row r="5339" spans="1:8">
      <c r="A5339" s="317">
        <v>1610200014</v>
      </c>
      <c r="B5339" s="317" t="s">
        <v>49705</v>
      </c>
      <c r="C5339" s="330" t="s">
        <v>14062</v>
      </c>
      <c r="D5339" s="330" t="s">
        <v>14063</v>
      </c>
      <c r="E5339" s="330" t="s">
        <v>4634</v>
      </c>
      <c r="F5339" s="331">
        <v>0.21</v>
      </c>
      <c r="G5339" s="332">
        <v>372</v>
      </c>
      <c r="H5339" s="333">
        <v>451</v>
      </c>
    </row>
    <row r="5340" spans="1:8">
      <c r="A5340" s="317">
        <v>1610200018</v>
      </c>
      <c r="B5340" s="317" t="s">
        <v>49706</v>
      </c>
      <c r="C5340" s="330" t="s">
        <v>14064</v>
      </c>
      <c r="D5340" s="330" t="s">
        <v>14065</v>
      </c>
      <c r="E5340" s="330" t="s">
        <v>4634</v>
      </c>
      <c r="F5340" s="331">
        <v>0.21</v>
      </c>
      <c r="G5340" s="332">
        <v>1976</v>
      </c>
      <c r="H5340" s="333">
        <v>2391</v>
      </c>
    </row>
    <row r="5341" spans="1:8">
      <c r="A5341" s="317">
        <v>1610200020</v>
      </c>
      <c r="B5341" s="317" t="s">
        <v>49707</v>
      </c>
      <c r="C5341" s="330" t="s">
        <v>14066</v>
      </c>
      <c r="D5341" s="330" t="s">
        <v>14067</v>
      </c>
      <c r="E5341" s="330" t="s">
        <v>4634</v>
      </c>
      <c r="F5341" s="331">
        <v>0.21</v>
      </c>
      <c r="G5341" s="332">
        <v>372</v>
      </c>
      <c r="H5341" s="333">
        <v>451</v>
      </c>
    </row>
    <row r="5342" spans="1:8">
      <c r="A5342" s="317">
        <v>1610200025</v>
      </c>
      <c r="B5342" s="317" t="s">
        <v>49708</v>
      </c>
      <c r="C5342" s="330" t="s">
        <v>14068</v>
      </c>
      <c r="D5342" s="330" t="s">
        <v>14069</v>
      </c>
      <c r="E5342" s="330" t="s">
        <v>4634</v>
      </c>
      <c r="F5342" s="331">
        <v>0.21</v>
      </c>
      <c r="G5342" s="332">
        <v>702</v>
      </c>
      <c r="H5342" s="333">
        <v>850</v>
      </c>
    </row>
    <row r="5343" spans="1:8">
      <c r="A5343" s="317">
        <v>1610200027</v>
      </c>
      <c r="B5343" s="317" t="s">
        <v>49709</v>
      </c>
      <c r="C5343" s="330" t="s">
        <v>14070</v>
      </c>
      <c r="D5343" s="330" t="s">
        <v>4596</v>
      </c>
      <c r="E5343" s="330" t="s">
        <v>37248</v>
      </c>
      <c r="F5343" s="331">
        <v>0.21</v>
      </c>
      <c r="G5343" s="332">
        <v>3825</v>
      </c>
      <c r="H5343" s="333">
        <v>4629</v>
      </c>
    </row>
    <row r="5344" spans="1:8">
      <c r="A5344" s="317">
        <v>1610200028</v>
      </c>
      <c r="B5344" s="317" t="s">
        <v>49710</v>
      </c>
      <c r="C5344" s="330" t="s">
        <v>14071</v>
      </c>
      <c r="D5344" s="330" t="s">
        <v>4596</v>
      </c>
      <c r="E5344" s="330" t="s">
        <v>4819</v>
      </c>
      <c r="F5344" s="331">
        <v>0.21</v>
      </c>
      <c r="G5344" s="332">
        <v>10065</v>
      </c>
      <c r="H5344" s="333">
        <v>12179</v>
      </c>
    </row>
    <row r="5345" spans="1:8">
      <c r="A5345" s="317">
        <v>1610200029</v>
      </c>
      <c r="B5345" s="317" t="s">
        <v>49711</v>
      </c>
      <c r="C5345" s="330" t="s">
        <v>14072</v>
      </c>
      <c r="D5345" s="330" t="s">
        <v>14073</v>
      </c>
      <c r="E5345" s="330" t="s">
        <v>37248</v>
      </c>
      <c r="F5345" s="331">
        <v>0.21</v>
      </c>
      <c r="G5345" s="332">
        <v>9799</v>
      </c>
      <c r="H5345" s="333">
        <v>11857</v>
      </c>
    </row>
    <row r="5346" spans="1:8">
      <c r="A5346" s="317">
        <v>1610200032</v>
      </c>
      <c r="B5346" s="317" t="s">
        <v>49712</v>
      </c>
      <c r="C5346" s="330" t="s">
        <v>14074</v>
      </c>
      <c r="D5346" s="330" t="s">
        <v>14075</v>
      </c>
      <c r="E5346" s="330" t="s">
        <v>4819</v>
      </c>
      <c r="F5346" s="331">
        <v>0.21</v>
      </c>
      <c r="G5346" s="332">
        <v>16808</v>
      </c>
      <c r="H5346" s="333">
        <v>20338</v>
      </c>
    </row>
    <row r="5347" spans="1:8">
      <c r="A5347" s="317">
        <v>1610202012</v>
      </c>
      <c r="B5347" s="317" t="s">
        <v>49713</v>
      </c>
      <c r="C5347" s="330" t="s">
        <v>14076</v>
      </c>
      <c r="D5347" s="330" t="s">
        <v>6259</v>
      </c>
      <c r="E5347" s="330" t="s">
        <v>4634</v>
      </c>
      <c r="F5347" s="331">
        <v>0.21</v>
      </c>
      <c r="G5347" s="332">
        <v>1008</v>
      </c>
      <c r="H5347" s="333">
        <v>1220</v>
      </c>
    </row>
    <row r="5348" spans="1:8">
      <c r="A5348" s="317">
        <v>1610202014</v>
      </c>
      <c r="B5348" s="317" t="s">
        <v>49714</v>
      </c>
      <c r="C5348" s="330" t="s">
        <v>14077</v>
      </c>
      <c r="D5348" s="330" t="s">
        <v>14078</v>
      </c>
      <c r="E5348" s="330" t="s">
        <v>4634</v>
      </c>
      <c r="F5348" s="331">
        <v>0.21</v>
      </c>
      <c r="G5348" s="332">
        <v>3154</v>
      </c>
      <c r="H5348" s="333">
        <v>3817</v>
      </c>
    </row>
    <row r="5349" spans="1:8">
      <c r="A5349" s="317">
        <v>1610202015</v>
      </c>
      <c r="B5349" s="317" t="s">
        <v>49715</v>
      </c>
      <c r="C5349" s="330" t="s">
        <v>14079</v>
      </c>
      <c r="D5349" s="330" t="s">
        <v>5133</v>
      </c>
      <c r="E5349" s="330" t="s">
        <v>4634</v>
      </c>
      <c r="F5349" s="331">
        <v>0.21</v>
      </c>
      <c r="G5349" s="332">
        <v>372</v>
      </c>
      <c r="H5349" s="333">
        <v>451</v>
      </c>
    </row>
    <row r="5350" spans="1:8">
      <c r="A5350" s="317">
        <v>1610202016</v>
      </c>
      <c r="B5350" s="317" t="s">
        <v>49716</v>
      </c>
      <c r="C5350" s="330" t="s">
        <v>14080</v>
      </c>
      <c r="D5350" s="330" t="s">
        <v>14081</v>
      </c>
      <c r="E5350" s="330" t="s">
        <v>4634</v>
      </c>
      <c r="F5350" s="331">
        <v>0.21</v>
      </c>
      <c r="G5350" s="332">
        <v>2299</v>
      </c>
      <c r="H5350" s="333">
        <v>2782</v>
      </c>
    </row>
    <row r="5351" spans="1:8">
      <c r="A5351" s="317">
        <v>1610202018</v>
      </c>
      <c r="B5351" s="317" t="s">
        <v>49717</v>
      </c>
      <c r="C5351" s="330" t="s">
        <v>14082</v>
      </c>
      <c r="D5351" s="330" t="s">
        <v>14083</v>
      </c>
      <c r="E5351" s="330" t="s">
        <v>4634</v>
      </c>
      <c r="F5351" s="331">
        <v>0.21</v>
      </c>
      <c r="G5351" s="332">
        <v>702</v>
      </c>
      <c r="H5351" s="333">
        <v>850</v>
      </c>
    </row>
    <row r="5352" spans="1:8">
      <c r="A5352" s="317">
        <v>1610202020</v>
      </c>
      <c r="B5352" s="317" t="s">
        <v>49718</v>
      </c>
      <c r="C5352" s="330" t="s">
        <v>14084</v>
      </c>
      <c r="D5352" s="330" t="s">
        <v>14085</v>
      </c>
      <c r="E5352" s="330" t="s">
        <v>4634</v>
      </c>
      <c r="F5352" s="331">
        <v>0.21</v>
      </c>
      <c r="G5352" s="332">
        <v>455</v>
      </c>
      <c r="H5352" s="333">
        <v>551</v>
      </c>
    </row>
    <row r="5353" spans="1:8">
      <c r="A5353" s="317">
        <v>1610202021</v>
      </c>
      <c r="B5353" s="317" t="s">
        <v>49719</v>
      </c>
      <c r="C5353" s="330" t="s">
        <v>14086</v>
      </c>
      <c r="D5353" s="330" t="s">
        <v>14087</v>
      </c>
      <c r="E5353" s="330" t="s">
        <v>37248</v>
      </c>
      <c r="F5353" s="331">
        <v>0.21</v>
      </c>
      <c r="G5353" s="332">
        <v>3731</v>
      </c>
      <c r="H5353" s="333">
        <v>4515</v>
      </c>
    </row>
    <row r="5354" spans="1:8">
      <c r="A5354" s="317">
        <v>1610202024</v>
      </c>
      <c r="B5354" s="317" t="s">
        <v>49720</v>
      </c>
      <c r="C5354" s="330" t="s">
        <v>14088</v>
      </c>
      <c r="D5354" s="330" t="s">
        <v>4596</v>
      </c>
      <c r="E5354" s="330" t="s">
        <v>37248</v>
      </c>
      <c r="F5354" s="331">
        <v>0.21</v>
      </c>
      <c r="G5354" s="332">
        <v>6516</v>
      </c>
      <c r="H5354" s="333">
        <v>7885</v>
      </c>
    </row>
    <row r="5355" spans="1:8">
      <c r="A5355" s="317">
        <v>1610202026</v>
      </c>
      <c r="B5355" s="317" t="s">
        <v>49721</v>
      </c>
      <c r="C5355" s="330" t="s">
        <v>14089</v>
      </c>
      <c r="D5355" s="330" t="s">
        <v>14090</v>
      </c>
      <c r="E5355" s="330" t="s">
        <v>37248</v>
      </c>
      <c r="F5355" s="331">
        <v>0.21</v>
      </c>
      <c r="G5355" s="332">
        <v>4637</v>
      </c>
      <c r="H5355" s="333">
        <v>5611</v>
      </c>
    </row>
    <row r="5356" spans="1:8">
      <c r="A5356" s="317">
        <v>1610202031</v>
      </c>
      <c r="B5356" s="317" t="s">
        <v>49722</v>
      </c>
      <c r="C5356" s="330" t="s">
        <v>14091</v>
      </c>
      <c r="D5356" s="330" t="s">
        <v>14087</v>
      </c>
      <c r="E5356" s="330" t="s">
        <v>4634</v>
      </c>
      <c r="F5356" s="331">
        <v>0.21</v>
      </c>
      <c r="G5356" s="332">
        <v>1258</v>
      </c>
      <c r="H5356" s="333">
        <v>1523</v>
      </c>
    </row>
    <row r="5357" spans="1:8">
      <c r="A5357" s="317">
        <v>1610205002</v>
      </c>
      <c r="B5357" s="317" t="s">
        <v>49723</v>
      </c>
      <c r="C5357" s="330" t="s">
        <v>14092</v>
      </c>
      <c r="D5357" s="330" t="s">
        <v>14093</v>
      </c>
      <c r="E5357" s="330" t="s">
        <v>4634</v>
      </c>
      <c r="F5357" s="331">
        <v>0.21</v>
      </c>
      <c r="G5357" s="332">
        <v>372</v>
      </c>
      <c r="H5357" s="333">
        <v>451</v>
      </c>
    </row>
    <row r="5358" spans="1:8">
      <c r="A5358" s="317">
        <v>1610205006</v>
      </c>
      <c r="B5358" s="317" t="s">
        <v>49724</v>
      </c>
      <c r="C5358" s="330" t="s">
        <v>14094</v>
      </c>
      <c r="D5358" s="330" t="s">
        <v>14095</v>
      </c>
      <c r="E5358" s="330" t="s">
        <v>4634</v>
      </c>
      <c r="F5358" s="331">
        <v>0.21</v>
      </c>
      <c r="G5358" s="332">
        <v>928</v>
      </c>
      <c r="H5358" s="333">
        <v>1123</v>
      </c>
    </row>
    <row r="5359" spans="1:8">
      <c r="A5359" s="317">
        <v>1610205008</v>
      </c>
      <c r="B5359" s="317" t="s">
        <v>49725</v>
      </c>
      <c r="C5359" s="330" t="s">
        <v>14096</v>
      </c>
      <c r="D5359" s="330" t="s">
        <v>14097</v>
      </c>
      <c r="E5359" s="330" t="s">
        <v>4634</v>
      </c>
      <c r="F5359" s="331">
        <v>0.21</v>
      </c>
      <c r="G5359" s="332">
        <v>372</v>
      </c>
      <c r="H5359" s="333">
        <v>451</v>
      </c>
    </row>
    <row r="5360" spans="1:8">
      <c r="A5360" s="317">
        <v>1610205012</v>
      </c>
      <c r="B5360" s="317" t="s">
        <v>49726</v>
      </c>
      <c r="C5360" s="330" t="s">
        <v>14098</v>
      </c>
      <c r="D5360" s="330" t="s">
        <v>14099</v>
      </c>
      <c r="E5360" s="330" t="s">
        <v>4819</v>
      </c>
      <c r="F5360" s="331">
        <v>0.21</v>
      </c>
      <c r="G5360" s="332">
        <v>1530</v>
      </c>
      <c r="H5360" s="333">
        <v>1852</v>
      </c>
    </row>
    <row r="5361" spans="1:8">
      <c r="A5361" s="317">
        <v>1610205014</v>
      </c>
      <c r="B5361" s="317" t="s">
        <v>49727</v>
      </c>
      <c r="C5361" s="330" t="s">
        <v>14100</v>
      </c>
      <c r="D5361" s="330" t="s">
        <v>14101</v>
      </c>
      <c r="E5361" s="330" t="s">
        <v>4819</v>
      </c>
      <c r="F5361" s="331">
        <v>0.21</v>
      </c>
      <c r="G5361" s="332">
        <v>1164</v>
      </c>
      <c r="H5361" s="333">
        <v>1409</v>
      </c>
    </row>
    <row r="5362" spans="1:8">
      <c r="A5362" s="317">
        <v>1610205016</v>
      </c>
      <c r="B5362" s="317" t="s">
        <v>49728</v>
      </c>
      <c r="C5362" s="330" t="s">
        <v>14102</v>
      </c>
      <c r="D5362" s="330" t="s">
        <v>14103</v>
      </c>
      <c r="E5362" s="330" t="s">
        <v>37248</v>
      </c>
      <c r="F5362" s="331">
        <v>0.21</v>
      </c>
      <c r="G5362" s="332">
        <v>671</v>
      </c>
      <c r="H5362" s="333">
        <v>812</v>
      </c>
    </row>
    <row r="5363" spans="1:8">
      <c r="A5363" s="317">
        <v>1610206016</v>
      </c>
      <c r="B5363" s="317" t="s">
        <v>49729</v>
      </c>
      <c r="C5363" s="330" t="s">
        <v>14104</v>
      </c>
      <c r="D5363" s="330" t="s">
        <v>6427</v>
      </c>
      <c r="E5363" s="330" t="s">
        <v>4634</v>
      </c>
      <c r="F5363" s="331">
        <v>0.21</v>
      </c>
      <c r="G5363" s="332">
        <v>372</v>
      </c>
      <c r="H5363" s="333">
        <v>451</v>
      </c>
    </row>
    <row r="5364" spans="1:8">
      <c r="A5364" s="317">
        <v>1610206017</v>
      </c>
      <c r="B5364" s="317" t="s">
        <v>49730</v>
      </c>
      <c r="C5364" s="330" t="s">
        <v>14105</v>
      </c>
      <c r="D5364" s="330" t="s">
        <v>6427</v>
      </c>
      <c r="E5364" s="330" t="s">
        <v>4634</v>
      </c>
      <c r="F5364" s="331">
        <v>0.21</v>
      </c>
      <c r="G5364" s="332">
        <v>97</v>
      </c>
      <c r="H5364" s="333">
        <v>118</v>
      </c>
    </row>
    <row r="5365" spans="1:8">
      <c r="A5365" s="317">
        <v>1610206021</v>
      </c>
      <c r="B5365" s="317" t="s">
        <v>49731</v>
      </c>
      <c r="C5365" s="330" t="s">
        <v>14106</v>
      </c>
      <c r="D5365" s="330" t="s">
        <v>14107</v>
      </c>
      <c r="E5365" s="330" t="s">
        <v>37248</v>
      </c>
      <c r="F5365" s="331">
        <v>0.21</v>
      </c>
      <c r="G5365" s="332">
        <v>3027</v>
      </c>
      <c r="H5365" s="333">
        <v>3663</v>
      </c>
    </row>
    <row r="5366" spans="1:8">
      <c r="A5366" s="317">
        <v>1610206023</v>
      </c>
      <c r="B5366" s="317" t="s">
        <v>49732</v>
      </c>
      <c r="C5366" s="330" t="s">
        <v>14108</v>
      </c>
      <c r="D5366" s="330" t="s">
        <v>14109</v>
      </c>
      <c r="E5366" s="330" t="s">
        <v>37248</v>
      </c>
      <c r="F5366" s="331">
        <v>0.21</v>
      </c>
      <c r="G5366" s="332">
        <v>3689</v>
      </c>
      <c r="H5366" s="333">
        <v>4464</v>
      </c>
    </row>
    <row r="5367" spans="1:8">
      <c r="A5367" s="317">
        <v>1610206027</v>
      </c>
      <c r="B5367" s="317" t="s">
        <v>49733</v>
      </c>
      <c r="C5367" s="330" t="s">
        <v>14110</v>
      </c>
      <c r="D5367" s="330" t="s">
        <v>14111</v>
      </c>
      <c r="E5367" s="330" t="s">
        <v>37248</v>
      </c>
      <c r="F5367" s="331">
        <v>0.21</v>
      </c>
      <c r="G5367" s="332">
        <v>2128</v>
      </c>
      <c r="H5367" s="333">
        <v>2575</v>
      </c>
    </row>
    <row r="5368" spans="1:8">
      <c r="A5368" s="317">
        <v>1610206028</v>
      </c>
      <c r="B5368" s="317" t="s">
        <v>49734</v>
      </c>
      <c r="C5368" s="330" t="s">
        <v>14112</v>
      </c>
      <c r="D5368" s="330" t="s">
        <v>14113</v>
      </c>
      <c r="E5368" s="330" t="s">
        <v>4634</v>
      </c>
      <c r="F5368" s="331">
        <v>0.21</v>
      </c>
      <c r="G5368" s="332">
        <v>820</v>
      </c>
      <c r="H5368" s="333">
        <v>993</v>
      </c>
    </row>
    <row r="5369" spans="1:8">
      <c r="A5369" s="317">
        <v>1610209006</v>
      </c>
      <c r="B5369" s="317" t="s">
        <v>49735</v>
      </c>
      <c r="C5369" s="330" t="s">
        <v>14114</v>
      </c>
      <c r="D5369" s="330" t="s">
        <v>14115</v>
      </c>
      <c r="E5369" s="330" t="s">
        <v>37248</v>
      </c>
      <c r="F5369" s="331">
        <v>0.21</v>
      </c>
      <c r="G5369" s="332">
        <v>1019</v>
      </c>
      <c r="H5369" s="333">
        <v>1233</v>
      </c>
    </row>
    <row r="5370" spans="1:8">
      <c r="A5370" s="317">
        <v>1610209007</v>
      </c>
      <c r="B5370" s="317" t="s">
        <v>49736</v>
      </c>
      <c r="C5370" s="330" t="s">
        <v>14116</v>
      </c>
      <c r="D5370" s="330" t="s">
        <v>14117</v>
      </c>
      <c r="E5370" s="330" t="s">
        <v>37248</v>
      </c>
      <c r="F5370" s="331">
        <v>0.21</v>
      </c>
      <c r="G5370" s="332">
        <v>3096</v>
      </c>
      <c r="H5370" s="333">
        <v>3747</v>
      </c>
    </row>
    <row r="5371" spans="1:8">
      <c r="A5371" s="317">
        <v>1610209008</v>
      </c>
      <c r="B5371" s="317" t="s">
        <v>49737</v>
      </c>
      <c r="C5371" s="330" t="s">
        <v>14118</v>
      </c>
      <c r="D5371" s="330" t="s">
        <v>14119</v>
      </c>
      <c r="E5371" s="330" t="s">
        <v>4634</v>
      </c>
      <c r="F5371" s="331">
        <v>0.21</v>
      </c>
      <c r="G5371" s="332">
        <v>584</v>
      </c>
      <c r="H5371" s="333">
        <v>707</v>
      </c>
    </row>
    <row r="5372" spans="1:8">
      <c r="A5372" s="317">
        <v>1610209009</v>
      </c>
      <c r="B5372" s="317" t="s">
        <v>49738</v>
      </c>
      <c r="C5372" s="330" t="s">
        <v>14120</v>
      </c>
      <c r="D5372" s="330" t="s">
        <v>14121</v>
      </c>
      <c r="E5372" s="330" t="s">
        <v>37248</v>
      </c>
      <c r="F5372" s="331">
        <v>0.21</v>
      </c>
      <c r="G5372" s="332">
        <v>693</v>
      </c>
      <c r="H5372" s="333">
        <v>839</v>
      </c>
    </row>
    <row r="5373" spans="1:8">
      <c r="A5373" s="317">
        <v>1610209011</v>
      </c>
      <c r="B5373" s="317" t="s">
        <v>49739</v>
      </c>
      <c r="C5373" s="330" t="s">
        <v>14122</v>
      </c>
      <c r="D5373" s="330" t="s">
        <v>14123</v>
      </c>
      <c r="E5373" s="330" t="s">
        <v>37248</v>
      </c>
      <c r="F5373" s="331">
        <v>0.21</v>
      </c>
      <c r="G5373" s="332">
        <v>7365</v>
      </c>
      <c r="H5373" s="333">
        <v>8912</v>
      </c>
    </row>
    <row r="5374" spans="1:8">
      <c r="A5374" s="317">
        <v>1610209015</v>
      </c>
      <c r="B5374" s="317" t="s">
        <v>49740</v>
      </c>
      <c r="C5374" s="330" t="s">
        <v>14124</v>
      </c>
      <c r="D5374" s="330" t="s">
        <v>14125</v>
      </c>
      <c r="E5374" s="330" t="s">
        <v>37248</v>
      </c>
      <c r="F5374" s="331">
        <v>0.21</v>
      </c>
      <c r="G5374" s="332">
        <v>479</v>
      </c>
      <c r="H5374" s="333">
        <v>580</v>
      </c>
    </row>
    <row r="5375" spans="1:8">
      <c r="A5375" s="317">
        <v>1610209016</v>
      </c>
      <c r="B5375" s="317" t="s">
        <v>49741</v>
      </c>
      <c r="C5375" s="330" t="s">
        <v>14126</v>
      </c>
      <c r="D5375" s="330" t="s">
        <v>14125</v>
      </c>
      <c r="E5375" s="330" t="s">
        <v>4819</v>
      </c>
      <c r="F5375" s="331">
        <v>0.21</v>
      </c>
      <c r="G5375" s="332">
        <v>479</v>
      </c>
      <c r="H5375" s="333">
        <v>580</v>
      </c>
    </row>
    <row r="5376" spans="1:8">
      <c r="A5376" s="317">
        <v>1610209017</v>
      </c>
      <c r="B5376" s="317" t="s">
        <v>49742</v>
      </c>
      <c r="C5376" s="330" t="s">
        <v>14127</v>
      </c>
      <c r="D5376" s="330" t="s">
        <v>14128</v>
      </c>
      <c r="E5376" s="330" t="s">
        <v>4819</v>
      </c>
      <c r="F5376" s="331">
        <v>0.21</v>
      </c>
      <c r="G5376" s="332">
        <v>2380</v>
      </c>
      <c r="H5376" s="333">
        <v>2880</v>
      </c>
    </row>
    <row r="5377" spans="1:8">
      <c r="A5377" s="317">
        <v>1610210008</v>
      </c>
      <c r="B5377" s="317" t="s">
        <v>49743</v>
      </c>
      <c r="C5377" s="330" t="s">
        <v>14129</v>
      </c>
      <c r="D5377" s="330" t="s">
        <v>14130</v>
      </c>
      <c r="E5377" s="330" t="s">
        <v>37248</v>
      </c>
      <c r="F5377" s="331">
        <v>0.21</v>
      </c>
      <c r="G5377" s="332">
        <v>8191</v>
      </c>
      <c r="H5377" s="333">
        <v>9912</v>
      </c>
    </row>
    <row r="5378" spans="1:8">
      <c r="A5378" s="317">
        <v>1610210013</v>
      </c>
      <c r="B5378" s="317" t="s">
        <v>49744</v>
      </c>
      <c r="C5378" s="330" t="s">
        <v>14131</v>
      </c>
      <c r="D5378" s="330" t="s">
        <v>14132</v>
      </c>
      <c r="E5378" s="330" t="s">
        <v>4819</v>
      </c>
      <c r="F5378" s="331">
        <v>0.21</v>
      </c>
      <c r="G5378" s="332">
        <v>1505</v>
      </c>
      <c r="H5378" s="333">
        <v>1822</v>
      </c>
    </row>
    <row r="5379" spans="1:8">
      <c r="A5379" s="317">
        <v>1610210014</v>
      </c>
      <c r="B5379" s="317" t="s">
        <v>49745</v>
      </c>
      <c r="C5379" s="330" t="s">
        <v>14133</v>
      </c>
      <c r="D5379" s="330" t="s">
        <v>14134</v>
      </c>
      <c r="E5379" s="330" t="s">
        <v>4634</v>
      </c>
      <c r="F5379" s="331">
        <v>0.21</v>
      </c>
      <c r="G5379" s="332">
        <v>274</v>
      </c>
      <c r="H5379" s="333">
        <v>332</v>
      </c>
    </row>
    <row r="5380" spans="1:8">
      <c r="A5380" s="317">
        <v>1610210026</v>
      </c>
      <c r="B5380" s="317" t="s">
        <v>49746</v>
      </c>
      <c r="C5380" s="330" t="s">
        <v>14135</v>
      </c>
      <c r="D5380" s="330" t="s">
        <v>14136</v>
      </c>
      <c r="E5380" s="330" t="s">
        <v>4634</v>
      </c>
      <c r="F5380" s="331">
        <v>0.21</v>
      </c>
      <c r="G5380" s="332">
        <v>372</v>
      </c>
      <c r="H5380" s="333">
        <v>451</v>
      </c>
    </row>
    <row r="5381" spans="1:8">
      <c r="A5381" s="317">
        <v>1610210034</v>
      </c>
      <c r="B5381" s="317" t="s">
        <v>49747</v>
      </c>
      <c r="C5381" s="330" t="s">
        <v>14137</v>
      </c>
      <c r="D5381" s="330" t="s">
        <v>14138</v>
      </c>
      <c r="E5381" s="330" t="s">
        <v>4634</v>
      </c>
      <c r="F5381" s="331">
        <v>0.21</v>
      </c>
      <c r="G5381" s="332">
        <v>372</v>
      </c>
      <c r="H5381" s="333">
        <v>451</v>
      </c>
    </row>
    <row r="5382" spans="1:8">
      <c r="A5382" s="317">
        <v>1610210035</v>
      </c>
      <c r="B5382" s="317" t="s">
        <v>49748</v>
      </c>
      <c r="C5382" s="330" t="s">
        <v>14139</v>
      </c>
      <c r="D5382" s="330" t="s">
        <v>14140</v>
      </c>
      <c r="E5382" s="330" t="s">
        <v>4634</v>
      </c>
      <c r="F5382" s="331">
        <v>0.21</v>
      </c>
      <c r="G5382" s="332">
        <v>983</v>
      </c>
      <c r="H5382" s="333">
        <v>1190</v>
      </c>
    </row>
    <row r="5383" spans="1:8">
      <c r="A5383" s="317">
        <v>1610210036</v>
      </c>
      <c r="B5383" s="317" t="s">
        <v>49749</v>
      </c>
      <c r="C5383" s="330" t="s">
        <v>14141</v>
      </c>
      <c r="D5383" s="330" t="s">
        <v>14142</v>
      </c>
      <c r="E5383" s="330" t="s">
        <v>4634</v>
      </c>
      <c r="F5383" s="331">
        <v>0.21</v>
      </c>
      <c r="G5383" s="332">
        <v>1479</v>
      </c>
      <c r="H5383" s="333">
        <v>1790</v>
      </c>
    </row>
    <row r="5384" spans="1:8">
      <c r="A5384" s="317">
        <v>1610210041</v>
      </c>
      <c r="B5384" s="317" t="s">
        <v>49750</v>
      </c>
      <c r="C5384" s="330" t="s">
        <v>14143</v>
      </c>
      <c r="D5384" s="330" t="s">
        <v>14144</v>
      </c>
      <c r="E5384" s="330" t="s">
        <v>4634</v>
      </c>
      <c r="F5384" s="331">
        <v>0.21</v>
      </c>
      <c r="G5384" s="332">
        <v>2067</v>
      </c>
      <c r="H5384" s="333">
        <v>2502</v>
      </c>
    </row>
    <row r="5385" spans="1:8">
      <c r="A5385" s="317">
        <v>1610210042</v>
      </c>
      <c r="B5385" s="317" t="s">
        <v>49751</v>
      </c>
      <c r="C5385" s="330" t="s">
        <v>14145</v>
      </c>
      <c r="D5385" s="330" t="s">
        <v>14146</v>
      </c>
      <c r="E5385" s="330" t="s">
        <v>4819</v>
      </c>
      <c r="F5385" s="331">
        <v>0.21</v>
      </c>
      <c r="G5385" s="332">
        <v>671</v>
      </c>
      <c r="H5385" s="333">
        <v>812</v>
      </c>
    </row>
    <row r="5386" spans="1:8">
      <c r="A5386" s="317">
        <v>1610210043</v>
      </c>
      <c r="B5386" s="317" t="s">
        <v>49752</v>
      </c>
      <c r="C5386" s="330" t="s">
        <v>14147</v>
      </c>
      <c r="D5386" s="330" t="s">
        <v>4814</v>
      </c>
      <c r="E5386" s="330" t="s">
        <v>4634</v>
      </c>
      <c r="F5386" s="331">
        <v>0.21</v>
      </c>
      <c r="G5386" s="332">
        <v>280</v>
      </c>
      <c r="H5386" s="333">
        <v>339</v>
      </c>
    </row>
    <row r="5387" spans="1:8">
      <c r="A5387" s="317">
        <v>1610210045</v>
      </c>
      <c r="B5387" s="317" t="s">
        <v>49753</v>
      </c>
      <c r="C5387" s="330" t="s">
        <v>14148</v>
      </c>
      <c r="D5387" s="330" t="s">
        <v>14149</v>
      </c>
      <c r="E5387" s="330" t="s">
        <v>4819</v>
      </c>
      <c r="F5387" s="331">
        <v>0.21</v>
      </c>
      <c r="G5387" s="332">
        <v>968</v>
      </c>
      <c r="H5387" s="333">
        <v>1172</v>
      </c>
    </row>
    <row r="5388" spans="1:8">
      <c r="A5388" s="317">
        <v>1610210046</v>
      </c>
      <c r="B5388" s="317" t="s">
        <v>49754</v>
      </c>
      <c r="C5388" s="330" t="s">
        <v>14150</v>
      </c>
      <c r="D5388" s="330" t="s">
        <v>4830</v>
      </c>
      <c r="E5388" s="330" t="s">
        <v>37248</v>
      </c>
      <c r="F5388" s="331">
        <v>0.21</v>
      </c>
      <c r="G5388" s="332">
        <v>2596</v>
      </c>
      <c r="H5388" s="333">
        <v>3142</v>
      </c>
    </row>
    <row r="5389" spans="1:8">
      <c r="A5389" s="317">
        <v>1610210057</v>
      </c>
      <c r="B5389" s="317" t="s">
        <v>49755</v>
      </c>
      <c r="C5389" s="330" t="s">
        <v>14151</v>
      </c>
      <c r="D5389" s="330" t="s">
        <v>14152</v>
      </c>
      <c r="E5389" s="330" t="s">
        <v>4634</v>
      </c>
      <c r="F5389" s="331">
        <v>0.21</v>
      </c>
      <c r="G5389" s="332">
        <v>564</v>
      </c>
      <c r="H5389" s="333">
        <v>683</v>
      </c>
    </row>
    <row r="5390" spans="1:8">
      <c r="A5390" s="317">
        <v>1610210058</v>
      </c>
      <c r="B5390" s="317" t="s">
        <v>49756</v>
      </c>
      <c r="C5390" s="330" t="s">
        <v>14153</v>
      </c>
      <c r="D5390" s="330" t="s">
        <v>14109</v>
      </c>
      <c r="E5390" s="330" t="s">
        <v>37248</v>
      </c>
      <c r="F5390" s="331">
        <v>0.21</v>
      </c>
      <c r="G5390" s="332">
        <v>3859</v>
      </c>
      <c r="H5390" s="333">
        <v>4670</v>
      </c>
    </row>
    <row r="5391" spans="1:8">
      <c r="A5391" s="317">
        <v>1610210067</v>
      </c>
      <c r="B5391" s="317" t="s">
        <v>49757</v>
      </c>
      <c r="C5391" s="330" t="s">
        <v>14154</v>
      </c>
      <c r="D5391" s="330" t="s">
        <v>14155</v>
      </c>
      <c r="E5391" s="330" t="s">
        <v>4634</v>
      </c>
      <c r="F5391" s="331">
        <v>0.21</v>
      </c>
      <c r="G5391" s="332">
        <v>64</v>
      </c>
      <c r="H5391" s="333">
        <v>78</v>
      </c>
    </row>
    <row r="5392" spans="1:8">
      <c r="A5392" s="317">
        <v>1610210068</v>
      </c>
      <c r="B5392" s="317" t="s">
        <v>49758</v>
      </c>
      <c r="C5392" s="330" t="s">
        <v>14156</v>
      </c>
      <c r="D5392" s="330" t="s">
        <v>4830</v>
      </c>
      <c r="E5392" s="330" t="s">
        <v>37248</v>
      </c>
      <c r="F5392" s="331">
        <v>0.21</v>
      </c>
      <c r="G5392" s="332">
        <v>3027</v>
      </c>
      <c r="H5392" s="333">
        <v>3663</v>
      </c>
    </row>
    <row r="5393" spans="1:8">
      <c r="A5393" s="317">
        <v>1610210069</v>
      </c>
      <c r="B5393" s="317" t="s">
        <v>49759</v>
      </c>
      <c r="C5393" s="330" t="s">
        <v>14157</v>
      </c>
      <c r="D5393" s="330" t="s">
        <v>14109</v>
      </c>
      <c r="E5393" s="330" t="s">
        <v>37248</v>
      </c>
      <c r="F5393" s="331">
        <v>0.21</v>
      </c>
      <c r="G5393" s="332">
        <v>2705</v>
      </c>
      <c r="H5393" s="333">
        <v>3274</v>
      </c>
    </row>
    <row r="5394" spans="1:8">
      <c r="A5394" s="317">
        <v>1610210073</v>
      </c>
      <c r="B5394" s="317" t="s">
        <v>49760</v>
      </c>
      <c r="C5394" s="330" t="s">
        <v>14158</v>
      </c>
      <c r="D5394" s="330" t="s">
        <v>13918</v>
      </c>
      <c r="E5394" s="330" t="s">
        <v>37248</v>
      </c>
      <c r="F5394" s="331">
        <v>0.21</v>
      </c>
      <c r="G5394" s="332">
        <v>3439</v>
      </c>
      <c r="H5394" s="333">
        <v>4162</v>
      </c>
    </row>
    <row r="5395" spans="1:8">
      <c r="A5395" s="317">
        <v>1610210075</v>
      </c>
      <c r="B5395" s="317" t="s">
        <v>49761</v>
      </c>
      <c r="C5395" s="330" t="s">
        <v>14159</v>
      </c>
      <c r="D5395" s="330" t="s">
        <v>4818</v>
      </c>
      <c r="E5395" s="330" t="s">
        <v>4634</v>
      </c>
      <c r="F5395" s="331">
        <v>0.21</v>
      </c>
      <c r="G5395" s="332">
        <v>432</v>
      </c>
      <c r="H5395" s="333">
        <v>523</v>
      </c>
    </row>
    <row r="5396" spans="1:8">
      <c r="A5396" s="317">
        <v>1610210081</v>
      </c>
      <c r="B5396" s="317" t="s">
        <v>49762</v>
      </c>
      <c r="C5396" s="330" t="s">
        <v>14160</v>
      </c>
      <c r="D5396" s="330" t="s">
        <v>14161</v>
      </c>
      <c r="E5396" s="330" t="s">
        <v>4819</v>
      </c>
      <c r="F5396" s="331">
        <v>0.21</v>
      </c>
      <c r="G5396" s="332">
        <v>4376</v>
      </c>
      <c r="H5396" s="333">
        <v>5295</v>
      </c>
    </row>
    <row r="5397" spans="1:8">
      <c r="A5397" s="317">
        <v>1610210082</v>
      </c>
      <c r="B5397" s="317" t="s">
        <v>49763</v>
      </c>
      <c r="C5397" s="330" t="s">
        <v>14162</v>
      </c>
      <c r="D5397" s="330" t="s">
        <v>13834</v>
      </c>
      <c r="E5397" s="330" t="s">
        <v>4634</v>
      </c>
      <c r="F5397" s="331">
        <v>0.21</v>
      </c>
      <c r="G5397" s="332">
        <v>702</v>
      </c>
      <c r="H5397" s="333">
        <v>850</v>
      </c>
    </row>
    <row r="5398" spans="1:8">
      <c r="A5398" s="317">
        <v>1610210084</v>
      </c>
      <c r="B5398" s="317" t="s">
        <v>49764</v>
      </c>
      <c r="C5398" s="330" t="s">
        <v>14163</v>
      </c>
      <c r="D5398" s="330" t="s">
        <v>14164</v>
      </c>
      <c r="E5398" s="330" t="s">
        <v>4819</v>
      </c>
      <c r="F5398" s="331">
        <v>0.21</v>
      </c>
      <c r="G5398" s="332">
        <v>2380</v>
      </c>
      <c r="H5398" s="333">
        <v>2880</v>
      </c>
    </row>
    <row r="5399" spans="1:8">
      <c r="A5399" s="317">
        <v>1610210086</v>
      </c>
      <c r="B5399" s="317" t="s">
        <v>49765</v>
      </c>
      <c r="C5399" s="330" t="s">
        <v>14165</v>
      </c>
      <c r="D5399" s="330" t="s">
        <v>14166</v>
      </c>
      <c r="E5399" s="330" t="s">
        <v>4634</v>
      </c>
      <c r="F5399" s="331">
        <v>0.21</v>
      </c>
      <c r="G5399" s="332">
        <v>564</v>
      </c>
      <c r="H5399" s="333">
        <v>683</v>
      </c>
    </row>
    <row r="5400" spans="1:8">
      <c r="A5400" s="317">
        <v>1610210087</v>
      </c>
      <c r="B5400" s="317" t="s">
        <v>49766</v>
      </c>
      <c r="C5400" s="330" t="s">
        <v>14167</v>
      </c>
      <c r="D5400" s="330" t="s">
        <v>14168</v>
      </c>
      <c r="E5400" s="330" t="s">
        <v>4634</v>
      </c>
      <c r="F5400" s="331">
        <v>0.21</v>
      </c>
      <c r="G5400" s="332">
        <v>309</v>
      </c>
      <c r="H5400" s="333">
        <v>374</v>
      </c>
    </row>
    <row r="5401" spans="1:8">
      <c r="A5401" s="317">
        <v>1610210089</v>
      </c>
      <c r="B5401" s="317" t="s">
        <v>49767</v>
      </c>
      <c r="C5401" s="330" t="s">
        <v>14169</v>
      </c>
      <c r="D5401" s="330" t="s">
        <v>14170</v>
      </c>
      <c r="E5401" s="330" t="s">
        <v>4634</v>
      </c>
      <c r="F5401" s="331">
        <v>0.21</v>
      </c>
      <c r="G5401" s="332">
        <v>455</v>
      </c>
      <c r="H5401" s="333">
        <v>551</v>
      </c>
    </row>
    <row r="5402" spans="1:8">
      <c r="A5402" s="317">
        <v>1610210090</v>
      </c>
      <c r="B5402" s="317" t="s">
        <v>49768</v>
      </c>
      <c r="C5402" s="330" t="s">
        <v>14171</v>
      </c>
      <c r="D5402" s="330" t="s">
        <v>14172</v>
      </c>
      <c r="E5402" s="330" t="s">
        <v>4634</v>
      </c>
      <c r="F5402" s="331">
        <v>0.21</v>
      </c>
      <c r="G5402" s="332">
        <v>1258</v>
      </c>
      <c r="H5402" s="333">
        <v>1523</v>
      </c>
    </row>
    <row r="5403" spans="1:8">
      <c r="A5403" s="317">
        <v>1610210092</v>
      </c>
      <c r="B5403" s="317" t="s">
        <v>49769</v>
      </c>
      <c r="C5403" s="330" t="s">
        <v>14173</v>
      </c>
      <c r="D5403" s="330" t="s">
        <v>14136</v>
      </c>
      <c r="E5403" s="330" t="s">
        <v>4634</v>
      </c>
      <c r="F5403" s="331">
        <v>0.21</v>
      </c>
      <c r="G5403" s="332">
        <v>387</v>
      </c>
      <c r="H5403" s="333">
        <v>469</v>
      </c>
    </row>
    <row r="5404" spans="1:8">
      <c r="A5404" s="317">
        <v>1610210093</v>
      </c>
      <c r="B5404" s="317" t="s">
        <v>49770</v>
      </c>
      <c r="C5404" s="330" t="s">
        <v>14174</v>
      </c>
      <c r="D5404" s="330" t="s">
        <v>14175</v>
      </c>
      <c r="E5404" s="330" t="s">
        <v>4819</v>
      </c>
      <c r="F5404" s="331">
        <v>0.21</v>
      </c>
      <c r="G5404" s="332">
        <v>2328</v>
      </c>
      <c r="H5404" s="333">
        <v>2817</v>
      </c>
    </row>
    <row r="5405" spans="1:8">
      <c r="A5405" s="317">
        <v>1610210094</v>
      </c>
      <c r="B5405" s="317" t="s">
        <v>49771</v>
      </c>
      <c r="C5405" s="330" t="s">
        <v>14176</v>
      </c>
      <c r="D5405" s="330" t="s">
        <v>14177</v>
      </c>
      <c r="E5405" s="330" t="s">
        <v>4819</v>
      </c>
      <c r="F5405" s="331">
        <v>0.21</v>
      </c>
      <c r="G5405" s="332">
        <v>3607</v>
      </c>
      <c r="H5405" s="333">
        <v>4365</v>
      </c>
    </row>
    <row r="5406" spans="1:8">
      <c r="A5406" s="317">
        <v>1610210096</v>
      </c>
      <c r="B5406" s="317" t="s">
        <v>49772</v>
      </c>
      <c r="C5406" s="330" t="s">
        <v>14178</v>
      </c>
      <c r="D5406" s="330" t="s">
        <v>14179</v>
      </c>
      <c r="E5406" s="330" t="s">
        <v>37248</v>
      </c>
      <c r="F5406" s="331">
        <v>0.21</v>
      </c>
      <c r="G5406" s="332">
        <v>4706</v>
      </c>
      <c r="H5406" s="333">
        <v>5695</v>
      </c>
    </row>
    <row r="5407" spans="1:8">
      <c r="A5407" s="317">
        <v>1610210098</v>
      </c>
      <c r="B5407" s="317" t="s">
        <v>49773</v>
      </c>
      <c r="C5407" s="330" t="s">
        <v>14180</v>
      </c>
      <c r="D5407" s="330" t="s">
        <v>14181</v>
      </c>
      <c r="E5407" s="330" t="s">
        <v>4634</v>
      </c>
      <c r="F5407" s="331">
        <v>0.21</v>
      </c>
      <c r="G5407" s="332">
        <v>564</v>
      </c>
      <c r="H5407" s="333">
        <v>683</v>
      </c>
    </row>
    <row r="5408" spans="1:8">
      <c r="A5408" s="317">
        <v>1610210099</v>
      </c>
      <c r="B5408" s="317" t="s">
        <v>49774</v>
      </c>
      <c r="C5408" s="330" t="s">
        <v>14182</v>
      </c>
      <c r="D5408" s="330" t="s">
        <v>14183</v>
      </c>
      <c r="E5408" s="330" t="s">
        <v>4634</v>
      </c>
      <c r="F5408" s="331">
        <v>0.21</v>
      </c>
      <c r="G5408" s="332">
        <v>455</v>
      </c>
      <c r="H5408" s="333">
        <v>551</v>
      </c>
    </row>
    <row r="5409" spans="1:8">
      <c r="A5409" s="317">
        <v>1610210100</v>
      </c>
      <c r="B5409" s="317" t="s">
        <v>49775</v>
      </c>
      <c r="C5409" s="330" t="s">
        <v>14184</v>
      </c>
      <c r="D5409" s="330" t="s">
        <v>14185</v>
      </c>
      <c r="E5409" s="330" t="s">
        <v>4819</v>
      </c>
      <c r="F5409" s="331">
        <v>0.21</v>
      </c>
      <c r="G5409" s="332">
        <v>2823</v>
      </c>
      <c r="H5409" s="333">
        <v>3416</v>
      </c>
    </row>
    <row r="5410" spans="1:8">
      <c r="A5410" s="317">
        <v>1610210101</v>
      </c>
      <c r="B5410" s="317" t="s">
        <v>49776</v>
      </c>
      <c r="C5410" s="330" t="s">
        <v>14186</v>
      </c>
      <c r="D5410" s="330" t="s">
        <v>4814</v>
      </c>
      <c r="E5410" s="330" t="s">
        <v>37248</v>
      </c>
      <c r="F5410" s="331">
        <v>0.21</v>
      </c>
      <c r="G5410" s="332">
        <v>2922</v>
      </c>
      <c r="H5410" s="333">
        <v>3536</v>
      </c>
    </row>
    <row r="5411" spans="1:8">
      <c r="A5411" s="317">
        <v>1610210103</v>
      </c>
      <c r="B5411" s="317" t="s">
        <v>49777</v>
      </c>
      <c r="C5411" s="330" t="s">
        <v>14187</v>
      </c>
      <c r="D5411" s="330" t="s">
        <v>4602</v>
      </c>
      <c r="E5411" s="330" t="s">
        <v>37248</v>
      </c>
      <c r="F5411" s="331">
        <v>0.21</v>
      </c>
      <c r="G5411" s="332">
        <v>4095</v>
      </c>
      <c r="H5411" s="333">
        <v>4955</v>
      </c>
    </row>
    <row r="5412" spans="1:8">
      <c r="A5412" s="317">
        <v>1610210106</v>
      </c>
      <c r="B5412" s="317" t="s">
        <v>49778</v>
      </c>
      <c r="C5412" s="330" t="s">
        <v>14188</v>
      </c>
      <c r="D5412" s="330" t="s">
        <v>14189</v>
      </c>
      <c r="E5412" s="330" t="s">
        <v>37248</v>
      </c>
      <c r="F5412" s="331">
        <v>0.21</v>
      </c>
      <c r="G5412" s="332">
        <v>3952</v>
      </c>
      <c r="H5412" s="333">
        <v>4782</v>
      </c>
    </row>
    <row r="5413" spans="1:8">
      <c r="A5413" s="317">
        <v>1610210109</v>
      </c>
      <c r="B5413" s="317" t="s">
        <v>49779</v>
      </c>
      <c r="C5413" s="330" t="s">
        <v>14190</v>
      </c>
      <c r="D5413" s="330" t="s">
        <v>14191</v>
      </c>
      <c r="E5413" s="330" t="s">
        <v>37248</v>
      </c>
      <c r="F5413" s="331">
        <v>0.21</v>
      </c>
      <c r="G5413" s="332">
        <v>6007</v>
      </c>
      <c r="H5413" s="333">
        <v>7269</v>
      </c>
    </row>
    <row r="5414" spans="1:8">
      <c r="A5414" s="317">
        <v>1610210116</v>
      </c>
      <c r="B5414" s="317" t="s">
        <v>49780</v>
      </c>
      <c r="C5414" s="330" t="s">
        <v>14192</v>
      </c>
      <c r="D5414" s="330" t="s">
        <v>14193</v>
      </c>
      <c r="E5414" s="330" t="s">
        <v>4634</v>
      </c>
      <c r="F5414" s="331">
        <v>0.21</v>
      </c>
      <c r="G5414" s="332">
        <v>377</v>
      </c>
      <c r="H5414" s="333">
        <v>457</v>
      </c>
    </row>
    <row r="5415" spans="1:8">
      <c r="A5415" s="317">
        <v>1610210118</v>
      </c>
      <c r="B5415" s="317" t="s">
        <v>49781</v>
      </c>
      <c r="C5415" s="330" t="s">
        <v>14194</v>
      </c>
      <c r="D5415" s="330" t="s">
        <v>14195</v>
      </c>
      <c r="E5415" s="330" t="s">
        <v>4634</v>
      </c>
      <c r="F5415" s="331">
        <v>0.21</v>
      </c>
      <c r="G5415" s="332">
        <v>791</v>
      </c>
      <c r="H5415" s="333">
        <v>958</v>
      </c>
    </row>
    <row r="5416" spans="1:8">
      <c r="A5416" s="317">
        <v>1610210119</v>
      </c>
      <c r="B5416" s="317" t="s">
        <v>49782</v>
      </c>
      <c r="C5416" s="330" t="s">
        <v>14196</v>
      </c>
      <c r="D5416" s="330" t="s">
        <v>14197</v>
      </c>
      <c r="E5416" s="330" t="s">
        <v>4634</v>
      </c>
      <c r="F5416" s="331">
        <v>0.21</v>
      </c>
      <c r="G5416" s="332">
        <v>854</v>
      </c>
      <c r="H5416" s="333">
        <v>1034</v>
      </c>
    </row>
    <row r="5417" spans="1:8">
      <c r="A5417" s="317">
        <v>1610210123</v>
      </c>
      <c r="B5417" s="317" t="s">
        <v>49783</v>
      </c>
      <c r="C5417" s="330" t="s">
        <v>14198</v>
      </c>
      <c r="D5417" s="330" t="s">
        <v>4825</v>
      </c>
      <c r="E5417" s="330" t="s">
        <v>37248</v>
      </c>
      <c r="F5417" s="331">
        <v>0.21</v>
      </c>
      <c r="G5417" s="332">
        <v>4234</v>
      </c>
      <c r="H5417" s="333">
        <v>5124</v>
      </c>
    </row>
    <row r="5418" spans="1:8">
      <c r="A5418" s="317">
        <v>1610210125</v>
      </c>
      <c r="B5418" s="317" t="s">
        <v>49784</v>
      </c>
      <c r="C5418" s="330" t="s">
        <v>14199</v>
      </c>
      <c r="D5418" s="330" t="s">
        <v>14200</v>
      </c>
      <c r="E5418" s="330" t="s">
        <v>4634</v>
      </c>
      <c r="F5418" s="331">
        <v>0.21</v>
      </c>
      <c r="G5418" s="332">
        <v>564</v>
      </c>
      <c r="H5418" s="333">
        <v>683</v>
      </c>
    </row>
    <row r="5419" spans="1:8">
      <c r="A5419" s="317">
        <v>1610210127</v>
      </c>
      <c r="B5419" s="317" t="s">
        <v>49785</v>
      </c>
      <c r="C5419" s="330" t="s">
        <v>14201</v>
      </c>
      <c r="D5419" s="330" t="s">
        <v>4825</v>
      </c>
      <c r="E5419" s="330" t="s">
        <v>37248</v>
      </c>
      <c r="F5419" s="331">
        <v>0.21</v>
      </c>
      <c r="G5419" s="332">
        <v>3415</v>
      </c>
      <c r="H5419" s="333">
        <v>4133</v>
      </c>
    </row>
    <row r="5420" spans="1:8">
      <c r="A5420" s="317">
        <v>1610210129</v>
      </c>
      <c r="B5420" s="317" t="s">
        <v>49786</v>
      </c>
      <c r="C5420" s="330" t="s">
        <v>14202</v>
      </c>
      <c r="D5420" s="330" t="s">
        <v>14203</v>
      </c>
      <c r="E5420" s="330" t="s">
        <v>4634</v>
      </c>
      <c r="F5420" s="331">
        <v>0.21</v>
      </c>
      <c r="G5420" s="332">
        <v>823</v>
      </c>
      <c r="H5420" s="333">
        <v>996</v>
      </c>
    </row>
    <row r="5421" spans="1:8">
      <c r="A5421" s="317">
        <v>1610210130</v>
      </c>
      <c r="B5421" s="317" t="s">
        <v>49787</v>
      </c>
      <c r="C5421" s="330" t="s">
        <v>14204</v>
      </c>
      <c r="D5421" s="330" t="s">
        <v>14205</v>
      </c>
      <c r="E5421" s="330" t="s">
        <v>37248</v>
      </c>
      <c r="F5421" s="331">
        <v>0.21</v>
      </c>
      <c r="G5421" s="332">
        <v>8035</v>
      </c>
      <c r="H5421" s="333">
        <v>9723</v>
      </c>
    </row>
    <row r="5422" spans="1:8">
      <c r="A5422" s="317">
        <v>1610210132</v>
      </c>
      <c r="B5422" s="317" t="s">
        <v>49788</v>
      </c>
      <c r="C5422" s="330" t="s">
        <v>14206</v>
      </c>
      <c r="D5422" s="330" t="s">
        <v>14207</v>
      </c>
      <c r="E5422" s="330" t="s">
        <v>4819</v>
      </c>
      <c r="F5422" s="331">
        <v>0.21</v>
      </c>
      <c r="G5422" s="332">
        <v>4271</v>
      </c>
      <c r="H5422" s="333">
        <v>5168</v>
      </c>
    </row>
    <row r="5423" spans="1:8">
      <c r="A5423" s="317">
        <v>1610210133</v>
      </c>
      <c r="B5423" s="317" t="s">
        <v>49789</v>
      </c>
      <c r="C5423" s="330" t="s">
        <v>14208</v>
      </c>
      <c r="D5423" s="330" t="s">
        <v>14209</v>
      </c>
      <c r="E5423" s="330" t="s">
        <v>37248</v>
      </c>
      <c r="F5423" s="331">
        <v>0.21</v>
      </c>
      <c r="G5423" s="332">
        <v>8023</v>
      </c>
      <c r="H5423" s="333">
        <v>9708</v>
      </c>
    </row>
    <row r="5424" spans="1:8">
      <c r="A5424" s="317">
        <v>1610210134</v>
      </c>
      <c r="B5424" s="317" t="s">
        <v>49790</v>
      </c>
      <c r="C5424" s="330" t="s">
        <v>14210</v>
      </c>
      <c r="D5424" s="330" t="s">
        <v>14209</v>
      </c>
      <c r="E5424" s="330" t="s">
        <v>37248</v>
      </c>
      <c r="F5424" s="331">
        <v>0.21</v>
      </c>
      <c r="G5424" s="332">
        <v>4706</v>
      </c>
      <c r="H5424" s="333">
        <v>5695</v>
      </c>
    </row>
    <row r="5425" spans="1:8">
      <c r="A5425" s="317">
        <v>1610210138</v>
      </c>
      <c r="B5425" s="317" t="s">
        <v>49791</v>
      </c>
      <c r="C5425" s="330" t="s">
        <v>14211</v>
      </c>
      <c r="D5425" s="330" t="s">
        <v>14212</v>
      </c>
      <c r="E5425" s="330" t="s">
        <v>4634</v>
      </c>
      <c r="F5425" s="331">
        <v>0.21</v>
      </c>
      <c r="G5425" s="332">
        <v>455</v>
      </c>
      <c r="H5425" s="333">
        <v>551</v>
      </c>
    </row>
    <row r="5426" spans="1:8">
      <c r="A5426" s="317">
        <v>1610210139</v>
      </c>
      <c r="B5426" s="317" t="s">
        <v>49792</v>
      </c>
      <c r="C5426" s="330" t="s">
        <v>14213</v>
      </c>
      <c r="D5426" s="330" t="s">
        <v>14214</v>
      </c>
      <c r="E5426" s="330" t="s">
        <v>4819</v>
      </c>
      <c r="F5426" s="331">
        <v>0.21</v>
      </c>
      <c r="G5426" s="332">
        <v>3245</v>
      </c>
      <c r="H5426" s="333">
        <v>3927</v>
      </c>
    </row>
    <row r="5427" spans="1:8">
      <c r="A5427" s="317">
        <v>1610210140</v>
      </c>
      <c r="B5427" s="317" t="s">
        <v>49793</v>
      </c>
      <c r="C5427" s="330" t="s">
        <v>14215</v>
      </c>
      <c r="D5427" s="330" t="s">
        <v>14216</v>
      </c>
      <c r="E5427" s="330" t="s">
        <v>4819</v>
      </c>
      <c r="F5427" s="331">
        <v>0.21</v>
      </c>
      <c r="G5427" s="332">
        <v>2478</v>
      </c>
      <c r="H5427" s="333">
        <v>2999</v>
      </c>
    </row>
    <row r="5428" spans="1:8">
      <c r="A5428" s="317">
        <v>1610210141</v>
      </c>
      <c r="B5428" s="317" t="s">
        <v>49794</v>
      </c>
      <c r="C5428" s="330" t="s">
        <v>14217</v>
      </c>
      <c r="D5428" s="330" t="s">
        <v>14218</v>
      </c>
      <c r="E5428" s="330" t="s">
        <v>37248</v>
      </c>
      <c r="F5428" s="331">
        <v>0.21</v>
      </c>
      <c r="G5428" s="332">
        <v>2478</v>
      </c>
      <c r="H5428" s="333">
        <v>2999</v>
      </c>
    </row>
    <row r="5429" spans="1:8">
      <c r="A5429" s="317">
        <v>1610210142</v>
      </c>
      <c r="B5429" s="317" t="s">
        <v>49795</v>
      </c>
      <c r="C5429" s="330" t="s">
        <v>14219</v>
      </c>
      <c r="D5429" s="330" t="s">
        <v>14220</v>
      </c>
      <c r="E5429" s="330" t="s">
        <v>4819</v>
      </c>
      <c r="F5429" s="331">
        <v>0.21</v>
      </c>
      <c r="G5429" s="332">
        <v>3303</v>
      </c>
      <c r="H5429" s="333">
        <v>3997</v>
      </c>
    </row>
    <row r="5430" spans="1:8">
      <c r="A5430" s="317">
        <v>1610210145</v>
      </c>
      <c r="B5430" s="317" t="s">
        <v>49796</v>
      </c>
      <c r="C5430" s="330" t="s">
        <v>14221</v>
      </c>
      <c r="D5430" s="330" t="s">
        <v>14216</v>
      </c>
      <c r="E5430" s="330" t="s">
        <v>4819</v>
      </c>
      <c r="F5430" s="331">
        <v>0.21</v>
      </c>
      <c r="G5430" s="332">
        <v>8354</v>
      </c>
      <c r="H5430" s="333">
        <v>10109</v>
      </c>
    </row>
    <row r="5431" spans="1:8">
      <c r="A5431" s="317">
        <v>1610210146</v>
      </c>
      <c r="B5431" s="317" t="s">
        <v>49797</v>
      </c>
      <c r="C5431" s="330" t="s">
        <v>14222</v>
      </c>
      <c r="D5431" s="330" t="s">
        <v>14223</v>
      </c>
      <c r="E5431" s="330" t="s">
        <v>4634</v>
      </c>
      <c r="F5431" s="331">
        <v>0.21</v>
      </c>
      <c r="G5431" s="332">
        <v>372</v>
      </c>
      <c r="H5431" s="333">
        <v>451</v>
      </c>
    </row>
    <row r="5432" spans="1:8">
      <c r="A5432" s="317">
        <v>1610210147</v>
      </c>
      <c r="B5432" s="317" t="s">
        <v>49798</v>
      </c>
      <c r="C5432" s="330" t="s">
        <v>14224</v>
      </c>
      <c r="D5432" s="330" t="s">
        <v>14225</v>
      </c>
      <c r="E5432" s="330" t="s">
        <v>37248</v>
      </c>
      <c r="F5432" s="331">
        <v>0.21</v>
      </c>
      <c r="G5432" s="332">
        <v>4147</v>
      </c>
      <c r="H5432" s="333">
        <v>5018</v>
      </c>
    </row>
    <row r="5433" spans="1:8">
      <c r="A5433" s="317">
        <v>1610210148</v>
      </c>
      <c r="B5433" s="317" t="s">
        <v>49799</v>
      </c>
      <c r="C5433" s="330" t="s">
        <v>14226</v>
      </c>
      <c r="D5433" s="330" t="s">
        <v>14227</v>
      </c>
      <c r="E5433" s="330" t="s">
        <v>4819</v>
      </c>
      <c r="F5433" s="331">
        <v>0.21</v>
      </c>
      <c r="G5433" s="332">
        <v>2900</v>
      </c>
      <c r="H5433" s="333">
        <v>3509</v>
      </c>
    </row>
    <row r="5434" spans="1:8">
      <c r="A5434" s="317">
        <v>1610210149</v>
      </c>
      <c r="B5434" s="317" t="s">
        <v>49800</v>
      </c>
      <c r="C5434" s="330" t="s">
        <v>14228</v>
      </c>
      <c r="D5434" s="330" t="s">
        <v>14216</v>
      </c>
      <c r="E5434" s="330" t="s">
        <v>4623</v>
      </c>
      <c r="F5434" s="331">
        <v>0.21</v>
      </c>
      <c r="G5434" s="332">
        <v>2591</v>
      </c>
      <c r="H5434" s="333">
        <v>3136</v>
      </c>
    </row>
    <row r="5435" spans="1:8">
      <c r="A5435" s="317">
        <v>1610210155</v>
      </c>
      <c r="B5435" s="317" t="s">
        <v>49801</v>
      </c>
      <c r="C5435" s="330" t="s">
        <v>14229</v>
      </c>
      <c r="D5435" s="330" t="s">
        <v>14230</v>
      </c>
      <c r="E5435" s="330" t="s">
        <v>4634</v>
      </c>
      <c r="F5435" s="331">
        <v>0.21</v>
      </c>
      <c r="G5435" s="332">
        <v>348</v>
      </c>
      <c r="H5435" s="333">
        <v>422</v>
      </c>
    </row>
    <row r="5436" spans="1:8">
      <c r="A5436" s="317">
        <v>1610210156</v>
      </c>
      <c r="B5436" s="317" t="s">
        <v>49802</v>
      </c>
      <c r="C5436" s="330" t="s">
        <v>14231</v>
      </c>
      <c r="D5436" s="330" t="s">
        <v>14232</v>
      </c>
      <c r="E5436" s="330" t="s">
        <v>4819</v>
      </c>
      <c r="F5436" s="331">
        <v>0.21</v>
      </c>
      <c r="G5436" s="332">
        <v>1880</v>
      </c>
      <c r="H5436" s="333">
        <v>2275</v>
      </c>
    </row>
    <row r="5437" spans="1:8">
      <c r="A5437" s="317">
        <v>1610210157</v>
      </c>
      <c r="B5437" s="317" t="s">
        <v>49803</v>
      </c>
      <c r="C5437" s="330" t="s">
        <v>14233</v>
      </c>
      <c r="D5437" s="330" t="s">
        <v>14230</v>
      </c>
      <c r="E5437" s="330" t="s">
        <v>4623</v>
      </c>
      <c r="F5437" s="331">
        <v>0.21</v>
      </c>
      <c r="G5437" s="332">
        <v>1875</v>
      </c>
      <c r="H5437" s="333">
        <v>2269</v>
      </c>
    </row>
    <row r="5438" spans="1:8">
      <c r="A5438" s="317">
        <v>1610210159</v>
      </c>
      <c r="B5438" s="317" t="s">
        <v>49804</v>
      </c>
      <c r="C5438" s="330" t="s">
        <v>14234</v>
      </c>
      <c r="D5438" s="330" t="s">
        <v>14235</v>
      </c>
      <c r="E5438" s="330" t="s">
        <v>37248</v>
      </c>
      <c r="F5438" s="331">
        <v>0.21</v>
      </c>
      <c r="G5438" s="332">
        <v>4147</v>
      </c>
      <c r="H5438" s="333">
        <v>5018</v>
      </c>
    </row>
    <row r="5439" spans="1:8">
      <c r="A5439" s="317">
        <v>1610210160</v>
      </c>
      <c r="B5439" s="317" t="s">
        <v>49805</v>
      </c>
      <c r="C5439" s="330" t="s">
        <v>14236</v>
      </c>
      <c r="D5439" s="330" t="s">
        <v>4816</v>
      </c>
      <c r="E5439" s="330" t="s">
        <v>4819</v>
      </c>
      <c r="F5439" s="331">
        <v>0.21</v>
      </c>
      <c r="G5439" s="332">
        <v>3303</v>
      </c>
      <c r="H5439" s="333">
        <v>3997</v>
      </c>
    </row>
    <row r="5440" spans="1:8">
      <c r="A5440" s="317">
        <v>1610210161</v>
      </c>
      <c r="B5440" s="317" t="s">
        <v>49806</v>
      </c>
      <c r="C5440" s="330" t="s">
        <v>14237</v>
      </c>
      <c r="D5440" s="330" t="s">
        <v>14238</v>
      </c>
      <c r="E5440" s="330" t="s">
        <v>4819</v>
      </c>
      <c r="F5440" s="331">
        <v>0.21</v>
      </c>
      <c r="G5440" s="332">
        <v>3912</v>
      </c>
      <c r="H5440" s="333">
        <v>4734</v>
      </c>
    </row>
    <row r="5441" spans="1:8">
      <c r="A5441" s="317">
        <v>1610210163</v>
      </c>
      <c r="B5441" s="317" t="s">
        <v>49807</v>
      </c>
      <c r="C5441" s="330" t="s">
        <v>14239</v>
      </c>
      <c r="D5441" s="330" t="s">
        <v>14238</v>
      </c>
      <c r="E5441" s="330" t="s">
        <v>37248</v>
      </c>
      <c r="F5441" s="331">
        <v>0.21</v>
      </c>
      <c r="G5441" s="332">
        <v>4479</v>
      </c>
      <c r="H5441" s="333">
        <v>5420</v>
      </c>
    </row>
    <row r="5442" spans="1:8">
      <c r="A5442" s="317">
        <v>1610210172</v>
      </c>
      <c r="B5442" s="317" t="s">
        <v>49808</v>
      </c>
      <c r="C5442" s="330" t="s">
        <v>14240</v>
      </c>
      <c r="D5442" s="330" t="s">
        <v>4828</v>
      </c>
      <c r="E5442" s="330" t="s">
        <v>4819</v>
      </c>
      <c r="F5442" s="331">
        <v>0.21</v>
      </c>
      <c r="G5442" s="332">
        <v>9241</v>
      </c>
      <c r="H5442" s="333">
        <v>11182</v>
      </c>
    </row>
    <row r="5443" spans="1:8">
      <c r="A5443" s="317">
        <v>1610210173</v>
      </c>
      <c r="B5443" s="317" t="s">
        <v>49809</v>
      </c>
      <c r="C5443" s="330" t="s">
        <v>14241</v>
      </c>
      <c r="D5443" s="330" t="s">
        <v>14242</v>
      </c>
      <c r="E5443" s="330" t="s">
        <v>37248</v>
      </c>
      <c r="F5443" s="331">
        <v>0.21</v>
      </c>
      <c r="G5443" s="332">
        <v>2596</v>
      </c>
      <c r="H5443" s="333">
        <v>3142</v>
      </c>
    </row>
    <row r="5444" spans="1:8">
      <c r="A5444" s="317">
        <v>1610210174</v>
      </c>
      <c r="B5444" s="317" t="s">
        <v>49810</v>
      </c>
      <c r="C5444" s="330" t="s">
        <v>14243</v>
      </c>
      <c r="D5444" s="330" t="s">
        <v>14238</v>
      </c>
      <c r="E5444" s="330" t="s">
        <v>4634</v>
      </c>
      <c r="F5444" s="331">
        <v>0.21</v>
      </c>
      <c r="G5444" s="332">
        <v>455</v>
      </c>
      <c r="H5444" s="333">
        <v>551</v>
      </c>
    </row>
    <row r="5445" spans="1:8">
      <c r="A5445" s="317">
        <v>1610210177</v>
      </c>
      <c r="B5445" s="317" t="s">
        <v>49811</v>
      </c>
      <c r="C5445" s="330" t="s">
        <v>14244</v>
      </c>
      <c r="D5445" s="330" t="s">
        <v>14245</v>
      </c>
      <c r="E5445" s="330" t="s">
        <v>4819</v>
      </c>
      <c r="F5445" s="331">
        <v>0.21</v>
      </c>
      <c r="G5445" s="332">
        <v>3471</v>
      </c>
      <c r="H5445" s="333">
        <v>4200</v>
      </c>
    </row>
    <row r="5446" spans="1:8">
      <c r="A5446" s="317">
        <v>1610210184</v>
      </c>
      <c r="B5446" s="317" t="s">
        <v>49812</v>
      </c>
      <c r="C5446" s="330" t="s">
        <v>14246</v>
      </c>
      <c r="D5446" s="330" t="s">
        <v>4830</v>
      </c>
      <c r="E5446" s="330" t="s">
        <v>37248</v>
      </c>
      <c r="F5446" s="331">
        <v>0.21</v>
      </c>
      <c r="G5446" s="332">
        <v>1684</v>
      </c>
      <c r="H5446" s="333">
        <v>2038</v>
      </c>
    </row>
    <row r="5447" spans="1:8">
      <c r="A5447" s="317">
        <v>1610210185</v>
      </c>
      <c r="B5447" s="317" t="s">
        <v>49813</v>
      </c>
      <c r="C5447" s="330" t="s">
        <v>14247</v>
      </c>
      <c r="D5447" s="330" t="s">
        <v>14248</v>
      </c>
      <c r="E5447" s="330" t="s">
        <v>4634</v>
      </c>
      <c r="F5447" s="331">
        <v>0.21</v>
      </c>
      <c r="G5447" s="332">
        <v>236</v>
      </c>
      <c r="H5447" s="333">
        <v>286</v>
      </c>
    </row>
    <row r="5448" spans="1:8">
      <c r="A5448" s="317">
        <v>1610210191</v>
      </c>
      <c r="B5448" s="317" t="s">
        <v>49814</v>
      </c>
      <c r="C5448" s="330" t="s">
        <v>14249</v>
      </c>
      <c r="D5448" s="330" t="s">
        <v>5481</v>
      </c>
      <c r="E5448" s="330" t="s">
        <v>37248</v>
      </c>
      <c r="F5448" s="331">
        <v>0.21</v>
      </c>
      <c r="G5448" s="332">
        <v>4785</v>
      </c>
      <c r="H5448" s="333">
        <v>5790</v>
      </c>
    </row>
    <row r="5449" spans="1:8">
      <c r="A5449" s="317">
        <v>1610210192</v>
      </c>
      <c r="B5449" s="317" t="s">
        <v>49815</v>
      </c>
      <c r="C5449" s="330" t="s">
        <v>14250</v>
      </c>
      <c r="D5449" s="330" t="s">
        <v>5481</v>
      </c>
      <c r="E5449" s="330" t="s">
        <v>37248</v>
      </c>
      <c r="F5449" s="331">
        <v>0.21</v>
      </c>
      <c r="G5449" s="332">
        <v>5425</v>
      </c>
      <c r="H5449" s="333">
        <v>6565</v>
      </c>
    </row>
    <row r="5450" spans="1:8">
      <c r="A5450" s="317">
        <v>1610210193</v>
      </c>
      <c r="B5450" s="317" t="s">
        <v>49816</v>
      </c>
      <c r="C5450" s="330" t="s">
        <v>14251</v>
      </c>
      <c r="D5450" s="330" t="s">
        <v>14252</v>
      </c>
      <c r="E5450" s="330" t="s">
        <v>4634</v>
      </c>
      <c r="F5450" s="331">
        <v>0.21</v>
      </c>
      <c r="G5450" s="332">
        <v>1222</v>
      </c>
      <c r="H5450" s="333">
        <v>1479</v>
      </c>
    </row>
    <row r="5451" spans="1:8">
      <c r="A5451" s="317">
        <v>1610210194</v>
      </c>
      <c r="B5451" s="317" t="s">
        <v>49817</v>
      </c>
      <c r="C5451" s="330" t="s">
        <v>14253</v>
      </c>
      <c r="D5451" s="330" t="s">
        <v>5481</v>
      </c>
      <c r="E5451" s="330" t="s">
        <v>37248</v>
      </c>
      <c r="F5451" s="331">
        <v>0.21</v>
      </c>
      <c r="G5451" s="332">
        <v>4405</v>
      </c>
      <c r="H5451" s="333">
        <v>5331</v>
      </c>
    </row>
    <row r="5452" spans="1:8">
      <c r="A5452" s="317">
        <v>1610210196</v>
      </c>
      <c r="B5452" s="317" t="s">
        <v>49818</v>
      </c>
      <c r="C5452" s="330" t="s">
        <v>14254</v>
      </c>
      <c r="D5452" s="330" t="s">
        <v>14255</v>
      </c>
      <c r="E5452" s="330" t="s">
        <v>37248</v>
      </c>
      <c r="F5452" s="331">
        <v>0.21</v>
      </c>
      <c r="G5452" s="332">
        <v>1936</v>
      </c>
      <c r="H5452" s="333">
        <v>2343</v>
      </c>
    </row>
    <row r="5453" spans="1:8">
      <c r="A5453" s="317">
        <v>1610210198</v>
      </c>
      <c r="B5453" s="317" t="s">
        <v>49819</v>
      </c>
      <c r="C5453" s="330" t="s">
        <v>14256</v>
      </c>
      <c r="D5453" s="330" t="s">
        <v>4814</v>
      </c>
      <c r="E5453" s="330" t="s">
        <v>37248</v>
      </c>
      <c r="F5453" s="331">
        <v>0.21</v>
      </c>
      <c r="G5453" s="332">
        <v>383</v>
      </c>
      <c r="H5453" s="333">
        <v>464</v>
      </c>
    </row>
    <row r="5454" spans="1:8">
      <c r="A5454" s="317">
        <v>1610210199</v>
      </c>
      <c r="B5454" s="317" t="s">
        <v>49820</v>
      </c>
      <c r="C5454" s="330" t="s">
        <v>14257</v>
      </c>
      <c r="D5454" s="330" t="s">
        <v>14258</v>
      </c>
      <c r="E5454" s="330" t="s">
        <v>37248</v>
      </c>
      <c r="F5454" s="331">
        <v>0.21</v>
      </c>
      <c r="G5454" s="332">
        <v>2563</v>
      </c>
      <c r="H5454" s="333">
        <v>3102</v>
      </c>
    </row>
    <row r="5455" spans="1:8">
      <c r="A5455" s="317">
        <v>1610210202</v>
      </c>
      <c r="B5455" s="317" t="s">
        <v>49821</v>
      </c>
      <c r="C5455" s="330" t="s">
        <v>14259</v>
      </c>
      <c r="D5455" s="330" t="s">
        <v>14260</v>
      </c>
      <c r="E5455" s="330" t="s">
        <v>4819</v>
      </c>
      <c r="F5455" s="331">
        <v>0.21</v>
      </c>
      <c r="G5455" s="332">
        <v>2478</v>
      </c>
      <c r="H5455" s="333">
        <v>2999</v>
      </c>
    </row>
    <row r="5456" spans="1:8">
      <c r="A5456" s="317">
        <v>1610210205</v>
      </c>
      <c r="B5456" s="317" t="s">
        <v>49822</v>
      </c>
      <c r="C5456" s="330" t="s">
        <v>14261</v>
      </c>
      <c r="D5456" s="330" t="s">
        <v>4818</v>
      </c>
      <c r="E5456" s="330" t="s">
        <v>4819</v>
      </c>
      <c r="F5456" s="331">
        <v>0.21</v>
      </c>
      <c r="G5456" s="332">
        <v>1155</v>
      </c>
      <c r="H5456" s="333">
        <v>1398</v>
      </c>
    </row>
    <row r="5457" spans="1:8">
      <c r="A5457" s="317">
        <v>1610210206</v>
      </c>
      <c r="B5457" s="317" t="s">
        <v>49823</v>
      </c>
      <c r="C5457" s="330" t="s">
        <v>14262</v>
      </c>
      <c r="D5457" s="330" t="s">
        <v>14263</v>
      </c>
      <c r="E5457" s="330" t="s">
        <v>37248</v>
      </c>
      <c r="F5457" s="331">
        <v>0.21</v>
      </c>
      <c r="G5457" s="332">
        <v>5413</v>
      </c>
      <c r="H5457" s="333">
        <v>6550</v>
      </c>
    </row>
    <row r="5458" spans="1:8">
      <c r="A5458" s="317">
        <v>1610210207</v>
      </c>
      <c r="B5458" s="317" t="s">
        <v>49824</v>
      </c>
      <c r="C5458" s="330" t="s">
        <v>14264</v>
      </c>
      <c r="D5458" s="330" t="s">
        <v>14265</v>
      </c>
      <c r="E5458" s="330" t="s">
        <v>4634</v>
      </c>
      <c r="F5458" s="331">
        <v>0.21</v>
      </c>
      <c r="G5458" s="332">
        <v>992</v>
      </c>
      <c r="H5458" s="333">
        <v>1201</v>
      </c>
    </row>
    <row r="5459" spans="1:8">
      <c r="A5459" s="317">
        <v>1610210208</v>
      </c>
      <c r="B5459" s="317" t="s">
        <v>49825</v>
      </c>
      <c r="C5459" s="330" t="s">
        <v>14266</v>
      </c>
      <c r="D5459" s="330" t="s">
        <v>14267</v>
      </c>
      <c r="E5459" s="330" t="s">
        <v>4819</v>
      </c>
      <c r="F5459" s="331">
        <v>0.21</v>
      </c>
      <c r="G5459" s="332">
        <v>1798</v>
      </c>
      <c r="H5459" s="333">
        <v>2176</v>
      </c>
    </row>
    <row r="5460" spans="1:8">
      <c r="A5460" s="317">
        <v>1610210209</v>
      </c>
      <c r="B5460" s="317" t="s">
        <v>49826</v>
      </c>
      <c r="C5460" s="330" t="s">
        <v>14268</v>
      </c>
      <c r="D5460" s="330" t="s">
        <v>14269</v>
      </c>
      <c r="E5460" s="330" t="s">
        <v>37248</v>
      </c>
      <c r="F5460" s="331">
        <v>0.21</v>
      </c>
      <c r="G5460" s="332">
        <v>1809</v>
      </c>
      <c r="H5460" s="333">
        <v>2189</v>
      </c>
    </row>
    <row r="5461" spans="1:8">
      <c r="A5461" s="317">
        <v>1610210211</v>
      </c>
      <c r="B5461" s="317" t="s">
        <v>49827</v>
      </c>
      <c r="C5461" s="330" t="s">
        <v>14270</v>
      </c>
      <c r="D5461" s="330" t="s">
        <v>4836</v>
      </c>
      <c r="E5461" s="330" t="s">
        <v>37248</v>
      </c>
      <c r="F5461" s="331">
        <v>0.21</v>
      </c>
      <c r="G5461" s="332">
        <v>6603</v>
      </c>
      <c r="H5461" s="333">
        <v>7990</v>
      </c>
    </row>
    <row r="5462" spans="1:8">
      <c r="A5462" s="317">
        <v>1610210212</v>
      </c>
      <c r="B5462" s="317" t="s">
        <v>49828</v>
      </c>
      <c r="C5462" s="330" t="s">
        <v>14271</v>
      </c>
      <c r="D5462" s="330" t="s">
        <v>4836</v>
      </c>
      <c r="E5462" s="330" t="s">
        <v>4819</v>
      </c>
      <c r="F5462" s="331">
        <v>0.21</v>
      </c>
      <c r="G5462" s="332">
        <v>2922</v>
      </c>
      <c r="H5462" s="333">
        <v>3536</v>
      </c>
    </row>
    <row r="5463" spans="1:8">
      <c r="A5463" s="317">
        <v>1610210214</v>
      </c>
      <c r="B5463" s="317" t="s">
        <v>49829</v>
      </c>
      <c r="C5463" s="330" t="s">
        <v>14272</v>
      </c>
      <c r="D5463" s="330" t="s">
        <v>14273</v>
      </c>
      <c r="E5463" s="330" t="s">
        <v>4819</v>
      </c>
      <c r="F5463" s="331">
        <v>0.21</v>
      </c>
      <c r="G5463" s="332">
        <v>1909</v>
      </c>
      <c r="H5463" s="333">
        <v>2310</v>
      </c>
    </row>
    <row r="5464" spans="1:8">
      <c r="A5464" s="317">
        <v>1610210215</v>
      </c>
      <c r="B5464" s="317" t="s">
        <v>49830</v>
      </c>
      <c r="C5464" s="330" t="s">
        <v>14274</v>
      </c>
      <c r="D5464" s="330" t="s">
        <v>14275</v>
      </c>
      <c r="E5464" s="330" t="s">
        <v>37248</v>
      </c>
      <c r="F5464" s="331">
        <v>0.21</v>
      </c>
      <c r="G5464" s="332">
        <v>1117</v>
      </c>
      <c r="H5464" s="333">
        <v>1352</v>
      </c>
    </row>
    <row r="5465" spans="1:8">
      <c r="A5465" s="317">
        <v>1610210216</v>
      </c>
      <c r="B5465" s="317" t="s">
        <v>49831</v>
      </c>
      <c r="C5465" s="330" t="s">
        <v>14276</v>
      </c>
      <c r="D5465" s="330" t="s">
        <v>14275</v>
      </c>
      <c r="E5465" s="330" t="s">
        <v>4819</v>
      </c>
      <c r="F5465" s="331">
        <v>0.21</v>
      </c>
      <c r="G5465" s="332">
        <v>2054</v>
      </c>
      <c r="H5465" s="333">
        <v>2486</v>
      </c>
    </row>
    <row r="5466" spans="1:8">
      <c r="A5466" s="317">
        <v>1610210219</v>
      </c>
      <c r="B5466" s="317" t="s">
        <v>49832</v>
      </c>
      <c r="C5466" s="330" t="s">
        <v>14277</v>
      </c>
      <c r="D5466" s="330" t="s">
        <v>14278</v>
      </c>
      <c r="E5466" s="330" t="s">
        <v>4819</v>
      </c>
      <c r="F5466" s="331">
        <v>0.21</v>
      </c>
      <c r="G5466" s="332">
        <v>16679</v>
      </c>
      <c r="H5466" s="333">
        <v>20182</v>
      </c>
    </row>
    <row r="5467" spans="1:8">
      <c r="A5467" s="317">
        <v>1610210222</v>
      </c>
      <c r="B5467" s="317" t="s">
        <v>49833</v>
      </c>
      <c r="C5467" s="330" t="s">
        <v>14279</v>
      </c>
      <c r="D5467" s="330" t="s">
        <v>4602</v>
      </c>
      <c r="E5467" s="330" t="s">
        <v>37248</v>
      </c>
      <c r="F5467" s="331">
        <v>0.21</v>
      </c>
      <c r="G5467" s="332">
        <v>243</v>
      </c>
      <c r="H5467" s="333">
        <v>295</v>
      </c>
    </row>
    <row r="5468" spans="1:8">
      <c r="A5468" s="317">
        <v>1610210224</v>
      </c>
      <c r="B5468" s="317" t="s">
        <v>49834</v>
      </c>
      <c r="C5468" s="330" t="s">
        <v>14280</v>
      </c>
      <c r="D5468" s="330" t="s">
        <v>4602</v>
      </c>
      <c r="E5468" s="330" t="s">
        <v>37248</v>
      </c>
      <c r="F5468" s="331">
        <v>0.21</v>
      </c>
      <c r="G5468" s="332">
        <v>1266</v>
      </c>
      <c r="H5468" s="333">
        <v>1532</v>
      </c>
    </row>
    <row r="5469" spans="1:8">
      <c r="A5469" s="317">
        <v>1610210226</v>
      </c>
      <c r="B5469" s="317" t="s">
        <v>49835</v>
      </c>
      <c r="C5469" s="330" t="s">
        <v>14281</v>
      </c>
      <c r="D5469" s="330" t="s">
        <v>14282</v>
      </c>
      <c r="E5469" s="330" t="s">
        <v>4623</v>
      </c>
      <c r="F5469" s="331">
        <v>0.21</v>
      </c>
      <c r="G5469" s="332">
        <v>4653</v>
      </c>
      <c r="H5469" s="333">
        <v>5631</v>
      </c>
    </row>
    <row r="5470" spans="1:8">
      <c r="A5470" s="317">
        <v>1610210227</v>
      </c>
      <c r="B5470" s="317" t="s">
        <v>49836</v>
      </c>
      <c r="C5470" s="330" t="s">
        <v>14283</v>
      </c>
      <c r="D5470" s="330" t="s">
        <v>14284</v>
      </c>
      <c r="E5470" s="330" t="s">
        <v>37248</v>
      </c>
      <c r="F5470" s="331">
        <v>0.21</v>
      </c>
      <c r="G5470" s="332">
        <v>1880</v>
      </c>
      <c r="H5470" s="333">
        <v>2275</v>
      </c>
    </row>
    <row r="5471" spans="1:8">
      <c r="A5471" s="317">
        <v>1610210228</v>
      </c>
      <c r="B5471" s="317" t="s">
        <v>49837</v>
      </c>
      <c r="C5471" s="330" t="s">
        <v>14285</v>
      </c>
      <c r="D5471" s="330" t="s">
        <v>14286</v>
      </c>
      <c r="E5471" s="330" t="s">
        <v>4634</v>
      </c>
      <c r="F5471" s="331">
        <v>0.21</v>
      </c>
      <c r="G5471" s="332">
        <v>3312</v>
      </c>
      <c r="H5471" s="333">
        <v>4008</v>
      </c>
    </row>
    <row r="5472" spans="1:8">
      <c r="A5472" s="317">
        <v>1610210229</v>
      </c>
      <c r="B5472" s="317" t="s">
        <v>49838</v>
      </c>
      <c r="C5472" s="330" t="s">
        <v>14287</v>
      </c>
      <c r="D5472" s="330" t="s">
        <v>14288</v>
      </c>
      <c r="E5472" s="330" t="s">
        <v>37248</v>
      </c>
      <c r="F5472" s="331">
        <v>0.21</v>
      </c>
      <c r="G5472" s="332">
        <v>3049</v>
      </c>
      <c r="H5472" s="333">
        <v>3690</v>
      </c>
    </row>
    <row r="5473" spans="1:8">
      <c r="A5473" s="317">
        <v>1610210233</v>
      </c>
      <c r="B5473" s="317" t="s">
        <v>49839</v>
      </c>
      <c r="C5473" s="330" t="s">
        <v>14289</v>
      </c>
      <c r="D5473" s="330" t="s">
        <v>4602</v>
      </c>
      <c r="E5473" s="330" t="s">
        <v>37248</v>
      </c>
      <c r="F5473" s="331">
        <v>0.21</v>
      </c>
      <c r="G5473" s="332">
        <v>292</v>
      </c>
      <c r="H5473" s="333">
        <v>354</v>
      </c>
    </row>
    <row r="5474" spans="1:8">
      <c r="A5474" s="317">
        <v>1610210236</v>
      </c>
      <c r="B5474" s="317" t="s">
        <v>49840</v>
      </c>
      <c r="C5474" s="330" t="s">
        <v>14290</v>
      </c>
      <c r="D5474" s="330" t="s">
        <v>14291</v>
      </c>
      <c r="E5474" s="330" t="s">
        <v>4819</v>
      </c>
      <c r="F5474" s="331">
        <v>0.21</v>
      </c>
      <c r="G5474" s="332">
        <v>479</v>
      </c>
      <c r="H5474" s="333">
        <v>580</v>
      </c>
    </row>
    <row r="5475" spans="1:8">
      <c r="A5475" s="317">
        <v>1610210237</v>
      </c>
      <c r="B5475" s="317" t="s">
        <v>49841</v>
      </c>
      <c r="C5475" s="330" t="s">
        <v>14292</v>
      </c>
      <c r="D5475" s="330" t="s">
        <v>14291</v>
      </c>
      <c r="E5475" s="330" t="s">
        <v>37248</v>
      </c>
      <c r="F5475" s="331">
        <v>0.21</v>
      </c>
      <c r="G5475" s="332">
        <v>1876</v>
      </c>
      <c r="H5475" s="333">
        <v>2270</v>
      </c>
    </row>
    <row r="5476" spans="1:8">
      <c r="A5476" s="317">
        <v>1610210238</v>
      </c>
      <c r="B5476" s="317" t="s">
        <v>49842</v>
      </c>
      <c r="C5476" s="330" t="s">
        <v>14293</v>
      </c>
      <c r="D5476" s="330" t="s">
        <v>14291</v>
      </c>
      <c r="E5476" s="330" t="s">
        <v>4819</v>
      </c>
      <c r="F5476" s="331">
        <v>0.21</v>
      </c>
      <c r="G5476" s="332">
        <v>537</v>
      </c>
      <c r="H5476" s="333">
        <v>650</v>
      </c>
    </row>
    <row r="5477" spans="1:8">
      <c r="A5477" s="317">
        <v>1610210239</v>
      </c>
      <c r="B5477" s="317" t="s">
        <v>49843</v>
      </c>
      <c r="C5477" s="330" t="s">
        <v>14294</v>
      </c>
      <c r="D5477" s="330" t="s">
        <v>6418</v>
      </c>
      <c r="E5477" s="330" t="s">
        <v>4819</v>
      </c>
      <c r="F5477" s="331">
        <v>0.21</v>
      </c>
      <c r="G5477" s="332">
        <v>671</v>
      </c>
      <c r="H5477" s="333">
        <v>812</v>
      </c>
    </row>
    <row r="5478" spans="1:8">
      <c r="A5478" s="317">
        <v>1610210240</v>
      </c>
      <c r="B5478" s="317" t="s">
        <v>49844</v>
      </c>
      <c r="C5478" s="330" t="s">
        <v>14295</v>
      </c>
      <c r="D5478" s="330" t="s">
        <v>14296</v>
      </c>
      <c r="E5478" s="330" t="s">
        <v>37248</v>
      </c>
      <c r="F5478" s="331">
        <v>0.21</v>
      </c>
      <c r="G5478" s="332">
        <v>1373</v>
      </c>
      <c r="H5478" s="333">
        <v>1662</v>
      </c>
    </row>
    <row r="5479" spans="1:8">
      <c r="A5479" s="317">
        <v>1610210241</v>
      </c>
      <c r="B5479" s="317" t="s">
        <v>49845</v>
      </c>
      <c r="C5479" s="330" t="s">
        <v>14297</v>
      </c>
      <c r="D5479" s="330" t="s">
        <v>14296</v>
      </c>
      <c r="E5479" s="330" t="s">
        <v>37248</v>
      </c>
      <c r="F5479" s="331">
        <v>0.21</v>
      </c>
      <c r="G5479" s="332">
        <v>4925</v>
      </c>
      <c r="H5479" s="333">
        <v>5960</v>
      </c>
    </row>
    <row r="5480" spans="1:8">
      <c r="A5480" s="317">
        <v>1610210242</v>
      </c>
      <c r="B5480" s="317" t="s">
        <v>49846</v>
      </c>
      <c r="C5480" s="330" t="s">
        <v>14298</v>
      </c>
      <c r="D5480" s="330" t="s">
        <v>6869</v>
      </c>
      <c r="E5480" s="330" t="s">
        <v>4819</v>
      </c>
      <c r="F5480" s="331">
        <v>0.21</v>
      </c>
      <c r="G5480" s="332">
        <v>5697</v>
      </c>
      <c r="H5480" s="333">
        <v>6894</v>
      </c>
    </row>
    <row r="5481" spans="1:8">
      <c r="A5481" s="317">
        <v>1610210244</v>
      </c>
      <c r="B5481" s="317" t="s">
        <v>49847</v>
      </c>
      <c r="C5481" s="330" t="s">
        <v>14299</v>
      </c>
      <c r="D5481" s="330" t="s">
        <v>4830</v>
      </c>
      <c r="E5481" s="330" t="s">
        <v>37248</v>
      </c>
      <c r="F5481" s="331">
        <v>0.21</v>
      </c>
      <c r="G5481" s="332">
        <v>1461</v>
      </c>
      <c r="H5481" s="333">
        <v>1768</v>
      </c>
    </row>
    <row r="5482" spans="1:8">
      <c r="A5482" s="317">
        <v>1610210245</v>
      </c>
      <c r="B5482" s="317" t="s">
        <v>49848</v>
      </c>
      <c r="C5482" s="330" t="s">
        <v>14300</v>
      </c>
      <c r="D5482" s="330" t="s">
        <v>14301</v>
      </c>
      <c r="E5482" s="330" t="s">
        <v>37248</v>
      </c>
      <c r="F5482" s="331">
        <v>0.21</v>
      </c>
      <c r="G5482" s="332">
        <v>1208</v>
      </c>
      <c r="H5482" s="333">
        <v>1462</v>
      </c>
    </row>
    <row r="5483" spans="1:8">
      <c r="A5483" s="317">
        <v>1610210246</v>
      </c>
      <c r="B5483" s="317" t="s">
        <v>49849</v>
      </c>
      <c r="C5483" s="330" t="s">
        <v>14302</v>
      </c>
      <c r="D5483" s="330" t="s">
        <v>4602</v>
      </c>
      <c r="E5483" s="330" t="s">
        <v>37248</v>
      </c>
      <c r="F5483" s="331">
        <v>0.21</v>
      </c>
      <c r="G5483" s="332">
        <v>1505</v>
      </c>
      <c r="H5483" s="333">
        <v>1822</v>
      </c>
    </row>
    <row r="5484" spans="1:8">
      <c r="A5484" s="317">
        <v>1610211019</v>
      </c>
      <c r="B5484" s="317" t="s">
        <v>49850</v>
      </c>
      <c r="C5484" s="330" t="s">
        <v>14303</v>
      </c>
      <c r="D5484" s="330" t="s">
        <v>14304</v>
      </c>
      <c r="E5484" s="330" t="s">
        <v>4819</v>
      </c>
      <c r="F5484" s="331">
        <v>0.21</v>
      </c>
      <c r="G5484" s="332">
        <v>3934</v>
      </c>
      <c r="H5484" s="333">
        <v>4761</v>
      </c>
    </row>
    <row r="5485" spans="1:8">
      <c r="A5485" s="317">
        <v>1610220009</v>
      </c>
      <c r="B5485" s="317" t="s">
        <v>49851</v>
      </c>
      <c r="C5485" s="330" t="s">
        <v>14305</v>
      </c>
      <c r="D5485" s="330" t="s">
        <v>14306</v>
      </c>
      <c r="E5485" s="330" t="s">
        <v>4819</v>
      </c>
      <c r="F5485" s="331">
        <v>0.21</v>
      </c>
      <c r="G5485" s="332">
        <v>29501</v>
      </c>
      <c r="H5485" s="333">
        <v>35697</v>
      </c>
    </row>
    <row r="5486" spans="1:8">
      <c r="A5486" s="317">
        <v>1610221001</v>
      </c>
      <c r="B5486" s="317" t="s">
        <v>49852</v>
      </c>
      <c r="C5486" s="330" t="s">
        <v>14307</v>
      </c>
      <c r="D5486" s="330" t="s">
        <v>14308</v>
      </c>
      <c r="E5486" s="330" t="s">
        <v>4634</v>
      </c>
      <c r="F5486" s="331">
        <v>0.21</v>
      </c>
      <c r="G5486" s="332">
        <v>29</v>
      </c>
      <c r="H5486" s="333">
        <v>36</v>
      </c>
    </row>
    <row r="5487" spans="1:8">
      <c r="A5487" s="317">
        <v>1610222008</v>
      </c>
      <c r="B5487" s="317" t="s">
        <v>49853</v>
      </c>
      <c r="C5487" s="330" t="s">
        <v>14309</v>
      </c>
      <c r="D5487" s="330" t="s">
        <v>14310</v>
      </c>
      <c r="E5487" s="330" t="s">
        <v>4634</v>
      </c>
      <c r="F5487" s="331">
        <v>0.21</v>
      </c>
      <c r="G5487" s="332">
        <v>1474</v>
      </c>
      <c r="H5487" s="333">
        <v>1784</v>
      </c>
    </row>
    <row r="5488" spans="1:8">
      <c r="A5488" s="317">
        <v>1610222010</v>
      </c>
      <c r="B5488" s="317" t="s">
        <v>49854</v>
      </c>
      <c r="C5488" s="330" t="s">
        <v>14311</v>
      </c>
      <c r="D5488" s="330" t="s">
        <v>14312</v>
      </c>
      <c r="E5488" s="330" t="s">
        <v>4634</v>
      </c>
      <c r="F5488" s="331">
        <v>0.21</v>
      </c>
      <c r="G5488" s="332">
        <v>11133</v>
      </c>
      <c r="H5488" s="333">
        <v>13471</v>
      </c>
    </row>
    <row r="5489" spans="1:8">
      <c r="A5489" s="317">
        <v>1610224001</v>
      </c>
      <c r="B5489" s="317" t="s">
        <v>49855</v>
      </c>
      <c r="C5489" s="330" t="s">
        <v>14313</v>
      </c>
      <c r="D5489" s="330" t="s">
        <v>6259</v>
      </c>
      <c r="E5489" s="330" t="s">
        <v>4634</v>
      </c>
      <c r="F5489" s="331">
        <v>0.21</v>
      </c>
      <c r="G5489" s="332">
        <v>180</v>
      </c>
      <c r="H5489" s="333">
        <v>218</v>
      </c>
    </row>
    <row r="5490" spans="1:8">
      <c r="A5490" s="317">
        <v>1610224005</v>
      </c>
      <c r="B5490" s="317" t="s">
        <v>49856</v>
      </c>
      <c r="C5490" s="330" t="s">
        <v>14314</v>
      </c>
      <c r="D5490" s="330" t="s">
        <v>14315</v>
      </c>
      <c r="E5490" s="330" t="s">
        <v>4634</v>
      </c>
      <c r="F5490" s="331">
        <v>0.21</v>
      </c>
      <c r="G5490" s="332">
        <v>541</v>
      </c>
      <c r="H5490" s="333">
        <v>655</v>
      </c>
    </row>
    <row r="5491" spans="1:8">
      <c r="A5491" s="317">
        <v>1610224006</v>
      </c>
      <c r="B5491" s="317" t="s">
        <v>49857</v>
      </c>
      <c r="C5491" s="330" t="s">
        <v>14316</v>
      </c>
      <c r="D5491" s="330" t="s">
        <v>14317</v>
      </c>
      <c r="E5491" s="330" t="s">
        <v>4634</v>
      </c>
      <c r="F5491" s="331">
        <v>0.21</v>
      </c>
      <c r="G5491" s="332">
        <v>372</v>
      </c>
      <c r="H5491" s="333">
        <v>451</v>
      </c>
    </row>
    <row r="5492" spans="1:8">
      <c r="A5492" s="317">
        <v>1610224009</v>
      </c>
      <c r="B5492" s="317" t="s">
        <v>49858</v>
      </c>
      <c r="C5492" s="330" t="s">
        <v>14318</v>
      </c>
      <c r="D5492" s="330" t="s">
        <v>14319</v>
      </c>
      <c r="E5492" s="330" t="s">
        <v>4819</v>
      </c>
      <c r="F5492" s="331">
        <v>0.21</v>
      </c>
      <c r="G5492" s="332">
        <v>2286</v>
      </c>
      <c r="H5492" s="333">
        <v>2767</v>
      </c>
    </row>
    <row r="5493" spans="1:8">
      <c r="A5493" s="317">
        <v>1610224010</v>
      </c>
      <c r="B5493" s="317" t="s">
        <v>49859</v>
      </c>
      <c r="C5493" s="330" t="s">
        <v>14320</v>
      </c>
      <c r="D5493" s="330" t="s">
        <v>14321</v>
      </c>
      <c r="E5493" s="330" t="s">
        <v>4634</v>
      </c>
      <c r="F5493" s="331">
        <v>0.21</v>
      </c>
      <c r="G5493" s="332">
        <v>928</v>
      </c>
      <c r="H5493" s="333">
        <v>1123</v>
      </c>
    </row>
    <row r="5494" spans="1:8">
      <c r="A5494" s="317">
        <v>1610224011</v>
      </c>
      <c r="B5494" s="317" t="s">
        <v>49860</v>
      </c>
      <c r="C5494" s="330" t="s">
        <v>14322</v>
      </c>
      <c r="D5494" s="330" t="s">
        <v>14323</v>
      </c>
      <c r="E5494" s="330" t="s">
        <v>4634</v>
      </c>
      <c r="F5494" s="331">
        <v>0.21</v>
      </c>
      <c r="G5494" s="332">
        <v>416</v>
      </c>
      <c r="H5494" s="333">
        <v>504</v>
      </c>
    </row>
    <row r="5495" spans="1:8">
      <c r="A5495" s="317">
        <v>1610224012</v>
      </c>
      <c r="B5495" s="317" t="s">
        <v>49861</v>
      </c>
      <c r="C5495" s="330" t="s">
        <v>14324</v>
      </c>
      <c r="D5495" s="330" t="s">
        <v>14323</v>
      </c>
      <c r="E5495" s="330" t="s">
        <v>4819</v>
      </c>
      <c r="F5495" s="331">
        <v>0.21</v>
      </c>
      <c r="G5495" s="332">
        <v>807</v>
      </c>
      <c r="H5495" s="333">
        <v>977</v>
      </c>
    </row>
    <row r="5496" spans="1:8">
      <c r="A5496" s="317">
        <v>1610224013</v>
      </c>
      <c r="B5496" s="317" t="s">
        <v>49862</v>
      </c>
      <c r="C5496" s="330" t="s">
        <v>14325</v>
      </c>
      <c r="D5496" s="330" t="s">
        <v>14323</v>
      </c>
      <c r="E5496" s="330" t="s">
        <v>4634</v>
      </c>
      <c r="F5496" s="331">
        <v>0.21</v>
      </c>
      <c r="G5496" s="332">
        <v>153</v>
      </c>
      <c r="H5496" s="333">
        <v>186</v>
      </c>
    </row>
    <row r="5497" spans="1:8">
      <c r="A5497" s="317">
        <v>1610224015</v>
      </c>
      <c r="B5497" s="317" t="s">
        <v>49863</v>
      </c>
      <c r="C5497" s="330" t="s">
        <v>14326</v>
      </c>
      <c r="D5497" s="330" t="s">
        <v>14327</v>
      </c>
      <c r="E5497" s="330" t="s">
        <v>37248</v>
      </c>
      <c r="F5497" s="331">
        <v>0.21</v>
      </c>
      <c r="G5497" s="332">
        <v>1282</v>
      </c>
      <c r="H5497" s="333">
        <v>1552</v>
      </c>
    </row>
    <row r="5498" spans="1:8">
      <c r="A5498" s="317">
        <v>1610231000</v>
      </c>
      <c r="B5498" s="317" t="s">
        <v>49864</v>
      </c>
      <c r="C5498" s="330" t="s">
        <v>14328</v>
      </c>
      <c r="D5498" s="330" t="s">
        <v>14329</v>
      </c>
      <c r="E5498" s="330" t="s">
        <v>4623</v>
      </c>
      <c r="F5498" s="331">
        <v>0.21</v>
      </c>
      <c r="G5498" s="332">
        <v>15294</v>
      </c>
      <c r="H5498" s="333">
        <v>18506</v>
      </c>
    </row>
    <row r="5499" spans="1:8">
      <c r="A5499" s="317">
        <v>1610231001</v>
      </c>
      <c r="B5499" s="317" t="s">
        <v>49865</v>
      </c>
      <c r="C5499" s="330" t="s">
        <v>14330</v>
      </c>
      <c r="D5499" s="330" t="s">
        <v>14331</v>
      </c>
      <c r="E5499" s="330" t="s">
        <v>4819</v>
      </c>
      <c r="F5499" s="331">
        <v>0.21</v>
      </c>
      <c r="G5499" s="332">
        <v>10741</v>
      </c>
      <c r="H5499" s="333">
        <v>12997</v>
      </c>
    </row>
    <row r="5500" spans="1:8">
      <c r="A5500" s="317">
        <v>1610231004</v>
      </c>
      <c r="B5500" s="317" t="s">
        <v>49866</v>
      </c>
      <c r="C5500" s="330" t="s">
        <v>14332</v>
      </c>
      <c r="D5500" s="330" t="s">
        <v>14333</v>
      </c>
      <c r="E5500" s="330" t="s">
        <v>37248</v>
      </c>
      <c r="F5500" s="331">
        <v>0.21</v>
      </c>
      <c r="G5500" s="332">
        <v>30893</v>
      </c>
      <c r="H5500" s="333">
        <v>37381</v>
      </c>
    </row>
    <row r="5501" spans="1:8">
      <c r="A5501" s="317">
        <v>1610241000</v>
      </c>
      <c r="B5501" s="317" t="s">
        <v>49867</v>
      </c>
      <c r="C5501" s="330" t="s">
        <v>14334</v>
      </c>
      <c r="D5501" s="330" t="s">
        <v>14335</v>
      </c>
      <c r="E5501" s="330" t="s">
        <v>37248</v>
      </c>
      <c r="F5501" s="331">
        <v>0.21</v>
      </c>
      <c r="G5501" s="332">
        <v>5148</v>
      </c>
      <c r="H5501" s="333">
        <v>6230</v>
      </c>
    </row>
    <row r="5502" spans="1:8">
      <c r="A5502" s="317">
        <v>1610250007</v>
      </c>
      <c r="B5502" s="317" t="s">
        <v>49868</v>
      </c>
      <c r="C5502" s="330" t="s">
        <v>14336</v>
      </c>
      <c r="D5502" s="330" t="s">
        <v>14337</v>
      </c>
      <c r="E5502" s="330" t="s">
        <v>4634</v>
      </c>
      <c r="F5502" s="331">
        <v>0.21</v>
      </c>
      <c r="G5502" s="332">
        <v>3297</v>
      </c>
      <c r="H5502" s="333">
        <v>3990</v>
      </c>
    </row>
    <row r="5503" spans="1:8">
      <c r="A5503" s="317">
        <v>1610250010</v>
      </c>
      <c r="B5503" s="317" t="s">
        <v>49869</v>
      </c>
      <c r="C5503" s="330" t="s">
        <v>14338</v>
      </c>
      <c r="D5503" s="330" t="s">
        <v>14339</v>
      </c>
      <c r="E5503" s="330" t="s">
        <v>4634</v>
      </c>
      <c r="F5503" s="331">
        <v>0.21</v>
      </c>
      <c r="G5503" s="332">
        <v>1170</v>
      </c>
      <c r="H5503" s="333">
        <v>1416</v>
      </c>
    </row>
    <row r="5504" spans="1:8">
      <c r="A5504" s="317">
        <v>1610251001</v>
      </c>
      <c r="B5504" s="317" t="s">
        <v>49870</v>
      </c>
      <c r="C5504" s="330" t="s">
        <v>14340</v>
      </c>
      <c r="D5504" s="330" t="s">
        <v>14341</v>
      </c>
      <c r="E5504" s="330" t="s">
        <v>4634</v>
      </c>
      <c r="F5504" s="331">
        <v>0.21</v>
      </c>
      <c r="G5504" s="332">
        <v>220</v>
      </c>
      <c r="H5504" s="333">
        <v>267</v>
      </c>
    </row>
    <row r="5505" spans="1:8">
      <c r="A5505" s="317">
        <v>1610251006</v>
      </c>
      <c r="B5505" s="317" t="s">
        <v>49871</v>
      </c>
      <c r="C5505" s="330" t="s">
        <v>14342</v>
      </c>
      <c r="D5505" s="330" t="s">
        <v>14343</v>
      </c>
      <c r="E5505" s="330" t="s">
        <v>37248</v>
      </c>
      <c r="F5505" s="331">
        <v>0.21</v>
      </c>
      <c r="G5505" s="332">
        <v>7332</v>
      </c>
      <c r="H5505" s="333">
        <v>8872</v>
      </c>
    </row>
    <row r="5506" spans="1:8">
      <c r="A5506" s="317">
        <v>1610280006</v>
      </c>
      <c r="B5506" s="317" t="s">
        <v>49872</v>
      </c>
      <c r="C5506" s="330" t="s">
        <v>14344</v>
      </c>
      <c r="D5506" s="330" t="s">
        <v>14345</v>
      </c>
      <c r="E5506" s="330" t="s">
        <v>4634</v>
      </c>
      <c r="F5506" s="331">
        <v>0.21</v>
      </c>
      <c r="G5506" s="332">
        <v>791</v>
      </c>
      <c r="H5506" s="333">
        <v>958</v>
      </c>
    </row>
    <row r="5507" spans="1:8">
      <c r="A5507" s="317">
        <v>1610283004</v>
      </c>
      <c r="B5507" s="317" t="s">
        <v>49873</v>
      </c>
      <c r="C5507" s="330" t="s">
        <v>14346</v>
      </c>
      <c r="D5507" s="330" t="s">
        <v>14347</v>
      </c>
      <c r="E5507" s="330" t="s">
        <v>4634</v>
      </c>
      <c r="F5507" s="331">
        <v>0.21</v>
      </c>
      <c r="G5507" s="332">
        <v>1322</v>
      </c>
      <c r="H5507" s="333">
        <v>1600</v>
      </c>
    </row>
    <row r="5508" spans="1:8">
      <c r="A5508" s="317">
        <v>1610283012</v>
      </c>
      <c r="B5508" s="317" t="s">
        <v>49874</v>
      </c>
      <c r="C5508" s="330" t="s">
        <v>14348</v>
      </c>
      <c r="D5508" s="330" t="s">
        <v>14349</v>
      </c>
      <c r="E5508" s="330" t="s">
        <v>4634</v>
      </c>
      <c r="F5508" s="331">
        <v>0.21</v>
      </c>
      <c r="G5508" s="332">
        <v>1798</v>
      </c>
      <c r="H5508" s="333">
        <v>2176</v>
      </c>
    </row>
    <row r="5509" spans="1:8">
      <c r="A5509" s="317">
        <v>1610283013</v>
      </c>
      <c r="B5509" s="317" t="s">
        <v>49875</v>
      </c>
      <c r="C5509" s="330" t="s">
        <v>14350</v>
      </c>
      <c r="D5509" s="330" t="s">
        <v>14351</v>
      </c>
      <c r="E5509" s="330" t="s">
        <v>4634</v>
      </c>
      <c r="F5509" s="331">
        <v>0.21</v>
      </c>
      <c r="G5509" s="332">
        <v>1547</v>
      </c>
      <c r="H5509" s="333">
        <v>1872</v>
      </c>
    </row>
    <row r="5510" spans="1:8">
      <c r="A5510" s="317">
        <v>1610283014</v>
      </c>
      <c r="B5510" s="317" t="s">
        <v>49876</v>
      </c>
      <c r="C5510" s="330" t="s">
        <v>14352</v>
      </c>
      <c r="D5510" s="330" t="s">
        <v>14138</v>
      </c>
      <c r="E5510" s="330" t="s">
        <v>4634</v>
      </c>
      <c r="F5510" s="331">
        <v>0.21</v>
      </c>
      <c r="G5510" s="332">
        <v>1798</v>
      </c>
      <c r="H5510" s="333">
        <v>2176</v>
      </c>
    </row>
    <row r="5511" spans="1:8">
      <c r="A5511" s="317">
        <v>1610283017</v>
      </c>
      <c r="B5511" s="317" t="s">
        <v>49877</v>
      </c>
      <c r="C5511" s="330" t="s">
        <v>14353</v>
      </c>
      <c r="D5511" s="330" t="s">
        <v>14354</v>
      </c>
      <c r="E5511" s="330" t="s">
        <v>37248</v>
      </c>
      <c r="F5511" s="331">
        <v>0.21</v>
      </c>
      <c r="G5511" s="332">
        <v>9139</v>
      </c>
      <c r="H5511" s="333">
        <v>11059</v>
      </c>
    </row>
    <row r="5512" spans="1:8">
      <c r="A5512" s="317">
        <v>1610283019</v>
      </c>
      <c r="B5512" s="317" t="s">
        <v>49878</v>
      </c>
      <c r="C5512" s="330" t="s">
        <v>14355</v>
      </c>
      <c r="D5512" s="330" t="s">
        <v>14356</v>
      </c>
      <c r="E5512" s="330" t="s">
        <v>37248</v>
      </c>
      <c r="F5512" s="331">
        <v>0.21</v>
      </c>
      <c r="G5512" s="332">
        <v>6150</v>
      </c>
      <c r="H5512" s="333">
        <v>7442</v>
      </c>
    </row>
    <row r="5513" spans="1:8">
      <c r="A5513" s="317">
        <v>1610283020</v>
      </c>
      <c r="B5513" s="317" t="s">
        <v>49879</v>
      </c>
      <c r="C5513" s="330" t="s">
        <v>14357</v>
      </c>
      <c r="D5513" s="330" t="s">
        <v>14183</v>
      </c>
      <c r="E5513" s="330" t="s">
        <v>4634</v>
      </c>
      <c r="F5513" s="331">
        <v>0.21</v>
      </c>
      <c r="G5513" s="332">
        <v>1371</v>
      </c>
      <c r="H5513" s="333">
        <v>1659</v>
      </c>
    </row>
    <row r="5514" spans="1:8">
      <c r="A5514" s="317">
        <v>1610283023</v>
      </c>
      <c r="B5514" s="317" t="s">
        <v>49880</v>
      </c>
      <c r="C5514" s="330" t="s">
        <v>14358</v>
      </c>
      <c r="D5514" s="330" t="s">
        <v>14359</v>
      </c>
      <c r="E5514" s="330" t="s">
        <v>4819</v>
      </c>
      <c r="F5514" s="331">
        <v>0.21</v>
      </c>
      <c r="G5514" s="332">
        <v>7049</v>
      </c>
      <c r="H5514" s="333">
        <v>8530</v>
      </c>
    </row>
    <row r="5515" spans="1:8">
      <c r="A5515" s="317">
        <v>1610283024</v>
      </c>
      <c r="B5515" s="317" t="s">
        <v>49881</v>
      </c>
      <c r="C5515" s="330" t="s">
        <v>14360</v>
      </c>
      <c r="D5515" s="330" t="s">
        <v>14361</v>
      </c>
      <c r="E5515" s="330" t="s">
        <v>4634</v>
      </c>
      <c r="F5515" s="331">
        <v>0.21</v>
      </c>
      <c r="G5515" s="332">
        <v>2217</v>
      </c>
      <c r="H5515" s="333">
        <v>2683</v>
      </c>
    </row>
    <row r="5516" spans="1:8">
      <c r="A5516" s="317">
        <v>1610283025</v>
      </c>
      <c r="B5516" s="317" t="s">
        <v>49882</v>
      </c>
      <c r="C5516" s="330" t="s">
        <v>14362</v>
      </c>
      <c r="D5516" s="330" t="s">
        <v>14363</v>
      </c>
      <c r="E5516" s="330" t="s">
        <v>4634</v>
      </c>
      <c r="F5516" s="331">
        <v>0.21</v>
      </c>
      <c r="G5516" s="332">
        <v>4767</v>
      </c>
      <c r="H5516" s="333">
        <v>5769</v>
      </c>
    </row>
    <row r="5517" spans="1:8">
      <c r="A5517" s="317">
        <v>1610283026</v>
      </c>
      <c r="B5517" s="317" t="s">
        <v>49883</v>
      </c>
      <c r="C5517" s="330" t="s">
        <v>14364</v>
      </c>
      <c r="D5517" s="330" t="s">
        <v>14365</v>
      </c>
      <c r="E5517" s="330" t="s">
        <v>37248</v>
      </c>
      <c r="F5517" s="331">
        <v>0.21</v>
      </c>
      <c r="G5517" s="332">
        <v>5949</v>
      </c>
      <c r="H5517" s="333">
        <v>7199</v>
      </c>
    </row>
    <row r="5518" spans="1:8">
      <c r="A5518" s="317">
        <v>1610283027</v>
      </c>
      <c r="B5518" s="317" t="s">
        <v>49884</v>
      </c>
      <c r="C5518" s="330" t="s">
        <v>14366</v>
      </c>
      <c r="D5518" s="330" t="s">
        <v>14367</v>
      </c>
      <c r="E5518" s="330" t="s">
        <v>4634</v>
      </c>
      <c r="F5518" s="331">
        <v>0.21</v>
      </c>
      <c r="G5518" s="332">
        <v>5897</v>
      </c>
      <c r="H5518" s="333">
        <v>7136</v>
      </c>
    </row>
    <row r="5519" spans="1:8">
      <c r="A5519" s="317">
        <v>1610283028</v>
      </c>
      <c r="B5519" s="317" t="s">
        <v>49885</v>
      </c>
      <c r="C5519" s="330" t="s">
        <v>14368</v>
      </c>
      <c r="D5519" s="330" t="s">
        <v>14369</v>
      </c>
      <c r="E5519" s="330" t="s">
        <v>4819</v>
      </c>
      <c r="F5519" s="331">
        <v>0.21</v>
      </c>
      <c r="G5519" s="332">
        <v>7207</v>
      </c>
      <c r="H5519" s="333">
        <v>8721</v>
      </c>
    </row>
    <row r="5520" spans="1:8">
      <c r="A5520" s="317">
        <v>1610283030</v>
      </c>
      <c r="B5520" s="317" t="s">
        <v>49886</v>
      </c>
      <c r="C5520" s="330" t="s">
        <v>14370</v>
      </c>
      <c r="D5520" s="330" t="s">
        <v>14371</v>
      </c>
      <c r="E5520" s="330" t="s">
        <v>4634</v>
      </c>
      <c r="F5520" s="331">
        <v>0.21</v>
      </c>
      <c r="G5520" s="332">
        <v>11517</v>
      </c>
      <c r="H5520" s="333">
        <v>13936</v>
      </c>
    </row>
    <row r="5521" spans="1:8">
      <c r="A5521" s="317">
        <v>1610283031</v>
      </c>
      <c r="B5521" s="317" t="s">
        <v>49887</v>
      </c>
      <c r="C5521" s="330" t="s">
        <v>14372</v>
      </c>
      <c r="D5521" s="330" t="s">
        <v>14373</v>
      </c>
      <c r="E5521" s="330" t="s">
        <v>4634</v>
      </c>
      <c r="F5521" s="331">
        <v>0.21</v>
      </c>
      <c r="G5521" s="332">
        <v>928</v>
      </c>
      <c r="H5521" s="333">
        <v>1123</v>
      </c>
    </row>
    <row r="5522" spans="1:8">
      <c r="A5522" s="317">
        <v>1610283032</v>
      </c>
      <c r="B5522" s="317" t="s">
        <v>49888</v>
      </c>
      <c r="C5522" s="330" t="s">
        <v>14374</v>
      </c>
      <c r="D5522" s="330" t="s">
        <v>14373</v>
      </c>
      <c r="E5522" s="330" t="s">
        <v>4634</v>
      </c>
      <c r="F5522" s="331">
        <v>0.21</v>
      </c>
      <c r="G5522" s="332">
        <v>1258</v>
      </c>
      <c r="H5522" s="333">
        <v>1523</v>
      </c>
    </row>
    <row r="5523" spans="1:8">
      <c r="A5523" s="317">
        <v>1610283033</v>
      </c>
      <c r="B5523" s="317" t="s">
        <v>49889</v>
      </c>
      <c r="C5523" s="330" t="s">
        <v>14375</v>
      </c>
      <c r="D5523" s="330" t="s">
        <v>4816</v>
      </c>
      <c r="E5523" s="330" t="s">
        <v>37248</v>
      </c>
      <c r="F5523" s="331">
        <v>0.21</v>
      </c>
      <c r="G5523" s="332">
        <v>8729</v>
      </c>
      <c r="H5523" s="333">
        <v>10563</v>
      </c>
    </row>
    <row r="5524" spans="1:8">
      <c r="A5524" s="317">
        <v>1610283035</v>
      </c>
      <c r="B5524" s="317" t="s">
        <v>49890</v>
      </c>
      <c r="C5524" s="330" t="s">
        <v>14376</v>
      </c>
      <c r="D5524" s="330" t="s">
        <v>14377</v>
      </c>
      <c r="E5524" s="330" t="s">
        <v>37248</v>
      </c>
      <c r="F5524" s="331">
        <v>0.21</v>
      </c>
      <c r="G5524" s="332">
        <v>6060</v>
      </c>
      <c r="H5524" s="333">
        <v>7333</v>
      </c>
    </row>
    <row r="5525" spans="1:8">
      <c r="A5525" s="317">
        <v>1610283036</v>
      </c>
      <c r="B5525" s="317" t="s">
        <v>49891</v>
      </c>
      <c r="C5525" s="330" t="s">
        <v>14378</v>
      </c>
      <c r="D5525" s="330" t="s">
        <v>14377</v>
      </c>
      <c r="E5525" s="330" t="s">
        <v>37248</v>
      </c>
      <c r="F5525" s="331">
        <v>0.21</v>
      </c>
      <c r="G5525" s="332">
        <v>8575</v>
      </c>
      <c r="H5525" s="333">
        <v>10376</v>
      </c>
    </row>
    <row r="5526" spans="1:8">
      <c r="A5526" s="317">
        <v>1610283039</v>
      </c>
      <c r="B5526" s="317" t="s">
        <v>49892</v>
      </c>
      <c r="C5526" s="330" t="s">
        <v>14379</v>
      </c>
      <c r="D5526" s="330" t="s">
        <v>14380</v>
      </c>
      <c r="E5526" s="330" t="s">
        <v>4634</v>
      </c>
      <c r="F5526" s="331">
        <v>0.21</v>
      </c>
      <c r="G5526" s="332">
        <v>1021</v>
      </c>
      <c r="H5526" s="333">
        <v>1236</v>
      </c>
    </row>
    <row r="5527" spans="1:8">
      <c r="A5527" s="317">
        <v>1610283041</v>
      </c>
      <c r="B5527" s="317" t="s">
        <v>49893</v>
      </c>
      <c r="C5527" s="330" t="s">
        <v>14381</v>
      </c>
      <c r="D5527" s="330" t="s">
        <v>14382</v>
      </c>
      <c r="E5527" s="330" t="s">
        <v>4819</v>
      </c>
      <c r="F5527" s="331">
        <v>0.21</v>
      </c>
      <c r="G5527" s="332">
        <v>9114</v>
      </c>
      <c r="H5527" s="333">
        <v>11028</v>
      </c>
    </row>
    <row r="5528" spans="1:8">
      <c r="A5528" s="317">
        <v>1610283042</v>
      </c>
      <c r="B5528" s="317" t="s">
        <v>49894</v>
      </c>
      <c r="C5528" s="330" t="s">
        <v>14383</v>
      </c>
      <c r="D5528" s="330" t="s">
        <v>14384</v>
      </c>
      <c r="E5528" s="330" t="s">
        <v>4634</v>
      </c>
      <c r="F5528" s="331">
        <v>0.21</v>
      </c>
      <c r="G5528" s="332">
        <v>1478</v>
      </c>
      <c r="H5528" s="333">
        <v>1789</v>
      </c>
    </row>
    <row r="5529" spans="1:8">
      <c r="A5529" s="317">
        <v>1610283043</v>
      </c>
      <c r="B5529" s="317" t="s">
        <v>49895</v>
      </c>
      <c r="C5529" s="330" t="s">
        <v>14385</v>
      </c>
      <c r="D5529" s="330" t="s">
        <v>14386</v>
      </c>
      <c r="E5529" s="330" t="s">
        <v>4634</v>
      </c>
      <c r="F5529" s="331">
        <v>0.21</v>
      </c>
      <c r="G5529" s="332">
        <v>3421</v>
      </c>
      <c r="H5529" s="333">
        <v>4140</v>
      </c>
    </row>
    <row r="5530" spans="1:8">
      <c r="A5530" s="317">
        <v>1610283045</v>
      </c>
      <c r="B5530" s="317" t="s">
        <v>49896</v>
      </c>
      <c r="C5530" s="330" t="s">
        <v>14387</v>
      </c>
      <c r="D5530" s="330" t="s">
        <v>14388</v>
      </c>
      <c r="E5530" s="330" t="s">
        <v>4634</v>
      </c>
      <c r="F5530" s="331">
        <v>0.21</v>
      </c>
      <c r="G5530" s="332">
        <v>1431</v>
      </c>
      <c r="H5530" s="333">
        <v>1732</v>
      </c>
    </row>
    <row r="5531" spans="1:8">
      <c r="A5531" s="317">
        <v>1610283047</v>
      </c>
      <c r="B5531" s="317" t="s">
        <v>49897</v>
      </c>
      <c r="C5531" s="330" t="s">
        <v>14389</v>
      </c>
      <c r="D5531" s="330" t="s">
        <v>14390</v>
      </c>
      <c r="E5531" s="330" t="s">
        <v>4819</v>
      </c>
      <c r="F5531" s="331">
        <v>0.21</v>
      </c>
      <c r="G5531" s="332">
        <v>5021</v>
      </c>
      <c r="H5531" s="333">
        <v>6076</v>
      </c>
    </row>
    <row r="5532" spans="1:8">
      <c r="A5532" s="317">
        <v>1610283052</v>
      </c>
      <c r="B5532" s="317" t="s">
        <v>49898</v>
      </c>
      <c r="C5532" s="330" t="s">
        <v>14391</v>
      </c>
      <c r="D5532" s="330" t="s">
        <v>14392</v>
      </c>
      <c r="E5532" s="330" t="s">
        <v>37248</v>
      </c>
      <c r="F5532" s="331">
        <v>0.21</v>
      </c>
      <c r="G5532" s="332">
        <v>3934</v>
      </c>
      <c r="H5532" s="333">
        <v>4761</v>
      </c>
    </row>
    <row r="5533" spans="1:8">
      <c r="A5533" s="317">
        <v>1610284000</v>
      </c>
      <c r="B5533" s="317" t="s">
        <v>49899</v>
      </c>
      <c r="C5533" s="330" t="s">
        <v>14393</v>
      </c>
      <c r="D5533" s="330" t="s">
        <v>14394</v>
      </c>
      <c r="E5533" s="330" t="s">
        <v>4623</v>
      </c>
      <c r="F5533" s="331">
        <v>0.21</v>
      </c>
      <c r="G5533" s="332">
        <v>11782</v>
      </c>
      <c r="H5533" s="333">
        <v>14257</v>
      </c>
    </row>
    <row r="5534" spans="1:8">
      <c r="A5534" s="317">
        <v>1610284001</v>
      </c>
      <c r="B5534" s="317" t="s">
        <v>49900</v>
      </c>
      <c r="C5534" s="330" t="s">
        <v>14395</v>
      </c>
      <c r="D5534" s="330" t="s">
        <v>14396</v>
      </c>
      <c r="E5534" s="330" t="s">
        <v>37248</v>
      </c>
      <c r="F5534" s="331">
        <v>0.21</v>
      </c>
      <c r="G5534" s="332">
        <v>6774</v>
      </c>
      <c r="H5534" s="333">
        <v>8197</v>
      </c>
    </row>
    <row r="5535" spans="1:8">
      <c r="A5535" s="317">
        <v>1610284002</v>
      </c>
      <c r="B5535" s="317" t="s">
        <v>49901</v>
      </c>
      <c r="C5535" s="330" t="s">
        <v>14397</v>
      </c>
      <c r="D5535" s="330" t="s">
        <v>14398</v>
      </c>
      <c r="E5535" s="330" t="s">
        <v>4819</v>
      </c>
      <c r="F5535" s="331">
        <v>0.21</v>
      </c>
      <c r="G5535" s="332">
        <v>1400</v>
      </c>
      <c r="H5535" s="333">
        <v>1694</v>
      </c>
    </row>
    <row r="5536" spans="1:8">
      <c r="A5536" s="317">
        <v>1610284007</v>
      </c>
      <c r="B5536" s="317" t="s">
        <v>49902</v>
      </c>
      <c r="C5536" s="330" t="s">
        <v>14399</v>
      </c>
      <c r="D5536" s="330" t="s">
        <v>14398</v>
      </c>
      <c r="E5536" s="330" t="s">
        <v>4819</v>
      </c>
      <c r="F5536" s="331">
        <v>0.21</v>
      </c>
      <c r="G5536" s="332">
        <v>4965</v>
      </c>
      <c r="H5536" s="333">
        <v>6008</v>
      </c>
    </row>
    <row r="5537" spans="1:8">
      <c r="A5537" s="317">
        <v>1610284012</v>
      </c>
      <c r="B5537" s="317" t="s">
        <v>49903</v>
      </c>
      <c r="C5537" s="330" t="s">
        <v>14400</v>
      </c>
      <c r="D5537" s="330" t="s">
        <v>14401</v>
      </c>
      <c r="E5537" s="330" t="s">
        <v>4819</v>
      </c>
      <c r="F5537" s="331">
        <v>0.21</v>
      </c>
      <c r="G5537" s="332">
        <v>2237</v>
      </c>
      <c r="H5537" s="333">
        <v>2707</v>
      </c>
    </row>
    <row r="5538" spans="1:8">
      <c r="A5538" s="317">
        <v>1610284013</v>
      </c>
      <c r="B5538" s="317" t="s">
        <v>49904</v>
      </c>
      <c r="C5538" s="330" t="s">
        <v>14402</v>
      </c>
      <c r="D5538" s="330" t="s">
        <v>14401</v>
      </c>
      <c r="E5538" s="330" t="s">
        <v>4819</v>
      </c>
      <c r="F5538" s="331">
        <v>0.21</v>
      </c>
      <c r="G5538" s="332">
        <v>2237</v>
      </c>
      <c r="H5538" s="333">
        <v>2707</v>
      </c>
    </row>
    <row r="5539" spans="1:8">
      <c r="A5539" s="317">
        <v>1610290003</v>
      </c>
      <c r="B5539" s="317" t="s">
        <v>49905</v>
      </c>
      <c r="C5539" s="330" t="s">
        <v>14403</v>
      </c>
      <c r="D5539" s="330" t="s">
        <v>14404</v>
      </c>
      <c r="E5539" s="330" t="s">
        <v>4634</v>
      </c>
      <c r="F5539" s="331">
        <v>0.21</v>
      </c>
      <c r="G5539" s="332">
        <v>372</v>
      </c>
      <c r="H5539" s="333">
        <v>451</v>
      </c>
    </row>
    <row r="5540" spans="1:8">
      <c r="A5540" s="317">
        <v>1610290008</v>
      </c>
      <c r="B5540" s="317" t="s">
        <v>49906</v>
      </c>
      <c r="C5540" s="330" t="s">
        <v>14405</v>
      </c>
      <c r="D5540" s="330" t="s">
        <v>14406</v>
      </c>
      <c r="E5540" s="330" t="s">
        <v>4634</v>
      </c>
      <c r="F5540" s="331">
        <v>0.21</v>
      </c>
      <c r="G5540" s="332">
        <v>564</v>
      </c>
      <c r="H5540" s="333">
        <v>683</v>
      </c>
    </row>
    <row r="5541" spans="1:8">
      <c r="A5541" s="317">
        <v>1610290009</v>
      </c>
      <c r="B5541" s="317" t="s">
        <v>49907</v>
      </c>
      <c r="C5541" s="330" t="s">
        <v>14407</v>
      </c>
      <c r="D5541" s="330" t="s">
        <v>14408</v>
      </c>
      <c r="E5541" s="330" t="s">
        <v>4634</v>
      </c>
      <c r="F5541" s="331">
        <v>0.21</v>
      </c>
      <c r="G5541" s="332">
        <v>3528</v>
      </c>
      <c r="H5541" s="333">
        <v>4269</v>
      </c>
    </row>
    <row r="5542" spans="1:8">
      <c r="A5542" s="317">
        <v>1610290012</v>
      </c>
      <c r="B5542" s="317" t="s">
        <v>49908</v>
      </c>
      <c r="C5542" s="330" t="s">
        <v>14409</v>
      </c>
      <c r="D5542" s="330" t="s">
        <v>14410</v>
      </c>
      <c r="E5542" s="330" t="s">
        <v>4634</v>
      </c>
      <c r="F5542" s="331">
        <v>0.21</v>
      </c>
      <c r="G5542" s="332">
        <v>584</v>
      </c>
      <c r="H5542" s="333">
        <v>707</v>
      </c>
    </row>
    <row r="5543" spans="1:8">
      <c r="A5543" s="317">
        <v>1610290015</v>
      </c>
      <c r="B5543" s="317" t="s">
        <v>49909</v>
      </c>
      <c r="C5543" s="330" t="s">
        <v>14411</v>
      </c>
      <c r="D5543" s="330" t="s">
        <v>14412</v>
      </c>
      <c r="E5543" s="330" t="s">
        <v>4634</v>
      </c>
      <c r="F5543" s="331">
        <v>0.21</v>
      </c>
      <c r="G5543" s="332">
        <v>437</v>
      </c>
      <c r="H5543" s="333">
        <v>529</v>
      </c>
    </row>
    <row r="5544" spans="1:8">
      <c r="A5544" s="317">
        <v>1610290016</v>
      </c>
      <c r="B5544" s="317" t="s">
        <v>49910</v>
      </c>
      <c r="C5544" s="330" t="s">
        <v>14413</v>
      </c>
      <c r="D5544" s="330" t="s">
        <v>14414</v>
      </c>
      <c r="E5544" s="330" t="s">
        <v>4634</v>
      </c>
      <c r="F5544" s="331">
        <v>0.21</v>
      </c>
      <c r="G5544" s="332">
        <v>437</v>
      </c>
      <c r="H5544" s="333">
        <v>529</v>
      </c>
    </row>
    <row r="5545" spans="1:8">
      <c r="A5545" s="317">
        <v>1610290024</v>
      </c>
      <c r="B5545" s="317" t="s">
        <v>49911</v>
      </c>
      <c r="C5545" s="330" t="s">
        <v>14415</v>
      </c>
      <c r="D5545" s="330" t="s">
        <v>14416</v>
      </c>
      <c r="E5545" s="330" t="s">
        <v>4634</v>
      </c>
      <c r="F5545" s="331">
        <v>0.21</v>
      </c>
      <c r="G5545" s="332">
        <v>1798</v>
      </c>
      <c r="H5545" s="333">
        <v>2176</v>
      </c>
    </row>
    <row r="5546" spans="1:8">
      <c r="A5546" s="317">
        <v>1610290025</v>
      </c>
      <c r="B5546" s="317" t="s">
        <v>49912</v>
      </c>
      <c r="C5546" s="330" t="s">
        <v>14417</v>
      </c>
      <c r="D5546" s="330" t="s">
        <v>14418</v>
      </c>
      <c r="E5546" s="330" t="s">
        <v>37248</v>
      </c>
      <c r="F5546" s="331">
        <v>0.21</v>
      </c>
      <c r="G5546" s="332">
        <v>7912</v>
      </c>
      <c r="H5546" s="333">
        <v>9574</v>
      </c>
    </row>
    <row r="5547" spans="1:8">
      <c r="A5547" s="317">
        <v>1610290026</v>
      </c>
      <c r="B5547" s="317" t="s">
        <v>49913</v>
      </c>
      <c r="C5547" s="330" t="s">
        <v>14419</v>
      </c>
      <c r="D5547" s="330" t="s">
        <v>4825</v>
      </c>
      <c r="E5547" s="330" t="s">
        <v>37248</v>
      </c>
      <c r="F5547" s="331">
        <v>0.21</v>
      </c>
      <c r="G5547" s="332">
        <v>5661</v>
      </c>
      <c r="H5547" s="333">
        <v>6850</v>
      </c>
    </row>
    <row r="5548" spans="1:8">
      <c r="A5548" s="317">
        <v>1610290027</v>
      </c>
      <c r="B5548" s="317" t="s">
        <v>49914</v>
      </c>
      <c r="C5548" s="330" t="s">
        <v>14420</v>
      </c>
      <c r="D5548" s="330" t="s">
        <v>14421</v>
      </c>
      <c r="E5548" s="330" t="s">
        <v>37248</v>
      </c>
      <c r="F5548" s="331">
        <v>0.21</v>
      </c>
      <c r="G5548" s="332">
        <v>6150</v>
      </c>
      <c r="H5548" s="333">
        <v>7442</v>
      </c>
    </row>
    <row r="5549" spans="1:8">
      <c r="A5549" s="317">
        <v>1610290030</v>
      </c>
      <c r="B5549" s="317" t="s">
        <v>49915</v>
      </c>
      <c r="C5549" s="330" t="s">
        <v>14422</v>
      </c>
      <c r="D5549" s="330" t="s">
        <v>14423</v>
      </c>
      <c r="E5549" s="330" t="s">
        <v>4623</v>
      </c>
      <c r="F5549" s="331">
        <v>0.21</v>
      </c>
      <c r="G5549" s="332">
        <v>2823</v>
      </c>
      <c r="H5549" s="333">
        <v>3416</v>
      </c>
    </row>
    <row r="5550" spans="1:8">
      <c r="A5550" s="317">
        <v>1610290031</v>
      </c>
      <c r="B5550" s="317" t="s">
        <v>49916</v>
      </c>
      <c r="C5550" s="330" t="s">
        <v>14424</v>
      </c>
      <c r="D5550" s="330" t="s">
        <v>14423</v>
      </c>
      <c r="E5550" s="330" t="s">
        <v>4819</v>
      </c>
      <c r="F5550" s="331">
        <v>0.21</v>
      </c>
      <c r="G5550" s="332">
        <v>3468</v>
      </c>
      <c r="H5550" s="333">
        <v>4197</v>
      </c>
    </row>
    <row r="5551" spans="1:8">
      <c r="A5551" s="317">
        <v>1610290032</v>
      </c>
      <c r="B5551" s="317" t="s">
        <v>49917</v>
      </c>
      <c r="C5551" s="330" t="s">
        <v>14425</v>
      </c>
      <c r="D5551" s="330" t="s">
        <v>14426</v>
      </c>
      <c r="E5551" s="330" t="s">
        <v>37248</v>
      </c>
      <c r="F5551" s="331">
        <v>0.21</v>
      </c>
      <c r="G5551" s="332">
        <v>5081</v>
      </c>
      <c r="H5551" s="333">
        <v>6149</v>
      </c>
    </row>
    <row r="5552" spans="1:8">
      <c r="A5552" s="317">
        <v>1610290034</v>
      </c>
      <c r="B5552" s="317" t="s">
        <v>49918</v>
      </c>
      <c r="C5552" s="330" t="s">
        <v>14427</v>
      </c>
      <c r="D5552" s="330" t="s">
        <v>14428</v>
      </c>
      <c r="E5552" s="330" t="s">
        <v>4634</v>
      </c>
      <c r="F5552" s="331">
        <v>0.21</v>
      </c>
      <c r="G5552" s="332">
        <v>2063</v>
      </c>
      <c r="H5552" s="333">
        <v>2497</v>
      </c>
    </row>
    <row r="5553" spans="1:8">
      <c r="A5553" s="317">
        <v>1610290035</v>
      </c>
      <c r="B5553" s="317" t="s">
        <v>49919</v>
      </c>
      <c r="C5553" s="330" t="s">
        <v>14429</v>
      </c>
      <c r="D5553" s="330" t="s">
        <v>14430</v>
      </c>
      <c r="E5553" s="330" t="s">
        <v>4819</v>
      </c>
      <c r="F5553" s="331">
        <v>0.21</v>
      </c>
      <c r="G5553" s="332">
        <v>20931</v>
      </c>
      <c r="H5553" s="333">
        <v>25327</v>
      </c>
    </row>
    <row r="5554" spans="1:8">
      <c r="A5554" s="317">
        <v>1610290036</v>
      </c>
      <c r="B5554" s="317" t="s">
        <v>49920</v>
      </c>
      <c r="C5554" s="330" t="s">
        <v>14431</v>
      </c>
      <c r="D5554" s="330" t="s">
        <v>14432</v>
      </c>
      <c r="E5554" s="330" t="s">
        <v>37248</v>
      </c>
      <c r="F5554" s="331">
        <v>0.21</v>
      </c>
      <c r="G5554" s="332">
        <v>4814</v>
      </c>
      <c r="H5554" s="333">
        <v>5825</v>
      </c>
    </row>
    <row r="5555" spans="1:8">
      <c r="A5555" s="317">
        <v>1610290037</v>
      </c>
      <c r="B5555" s="317" t="s">
        <v>49921</v>
      </c>
      <c r="C5555" s="330" t="s">
        <v>14433</v>
      </c>
      <c r="D5555" s="330" t="s">
        <v>14434</v>
      </c>
      <c r="E5555" s="330" t="s">
        <v>4634</v>
      </c>
      <c r="F5555" s="331">
        <v>0.21</v>
      </c>
      <c r="G5555" s="332">
        <v>5480</v>
      </c>
      <c r="H5555" s="333">
        <v>6631</v>
      </c>
    </row>
    <row r="5556" spans="1:8">
      <c r="A5556" s="317">
        <v>1610290043</v>
      </c>
      <c r="B5556" s="317" t="s">
        <v>49922</v>
      </c>
      <c r="C5556" s="330" t="s">
        <v>14435</v>
      </c>
      <c r="D5556" s="330" t="s">
        <v>14436</v>
      </c>
      <c r="E5556" s="330" t="s">
        <v>4634</v>
      </c>
      <c r="F5556" s="331">
        <v>0.21</v>
      </c>
      <c r="G5556" s="332">
        <v>372</v>
      </c>
      <c r="H5556" s="333">
        <v>451</v>
      </c>
    </row>
    <row r="5557" spans="1:8">
      <c r="A5557" s="317">
        <v>1610290046</v>
      </c>
      <c r="B5557" s="317" t="s">
        <v>49923</v>
      </c>
      <c r="C5557" s="330" t="s">
        <v>14437</v>
      </c>
      <c r="D5557" s="330" t="s">
        <v>14438</v>
      </c>
      <c r="E5557" s="330" t="s">
        <v>37248</v>
      </c>
      <c r="F5557" s="331">
        <v>0.21</v>
      </c>
      <c r="G5557" s="332">
        <v>2380</v>
      </c>
      <c r="H5557" s="333">
        <v>2880</v>
      </c>
    </row>
    <row r="5558" spans="1:8">
      <c r="A5558" s="317">
        <v>1610290049</v>
      </c>
      <c r="B5558" s="317" t="s">
        <v>49924</v>
      </c>
      <c r="C5558" s="330" t="s">
        <v>14439</v>
      </c>
      <c r="D5558" s="330" t="s">
        <v>14440</v>
      </c>
      <c r="E5558" s="330" t="s">
        <v>4819</v>
      </c>
      <c r="F5558" s="331">
        <v>0.21</v>
      </c>
      <c r="G5558" s="332">
        <v>4706</v>
      </c>
      <c r="H5558" s="333">
        <v>5695</v>
      </c>
    </row>
    <row r="5559" spans="1:8">
      <c r="A5559" s="317">
        <v>1610290050</v>
      </c>
      <c r="B5559" s="317" t="s">
        <v>49925</v>
      </c>
      <c r="C5559" s="330" t="s">
        <v>14441</v>
      </c>
      <c r="D5559" s="330" t="s">
        <v>14442</v>
      </c>
      <c r="E5559" s="330" t="s">
        <v>37248</v>
      </c>
      <c r="F5559" s="331">
        <v>0.21</v>
      </c>
      <c r="G5559" s="332">
        <v>5117</v>
      </c>
      <c r="H5559" s="333">
        <v>6192</v>
      </c>
    </row>
    <row r="5560" spans="1:8">
      <c r="A5560" s="317">
        <v>1610290051</v>
      </c>
      <c r="B5560" s="317" t="s">
        <v>49926</v>
      </c>
      <c r="C5560" s="330" t="s">
        <v>14443</v>
      </c>
      <c r="D5560" s="330" t="s">
        <v>14444</v>
      </c>
      <c r="E5560" s="330" t="s">
        <v>37248</v>
      </c>
      <c r="F5560" s="331">
        <v>0.21</v>
      </c>
      <c r="G5560" s="332">
        <v>5418</v>
      </c>
      <c r="H5560" s="333">
        <v>6556</v>
      </c>
    </row>
    <row r="5561" spans="1:8">
      <c r="A5561" s="317">
        <v>1610290052</v>
      </c>
      <c r="B5561" s="317" t="s">
        <v>49927</v>
      </c>
      <c r="C5561" s="330" t="s">
        <v>14445</v>
      </c>
      <c r="D5561" s="330" t="s">
        <v>14446</v>
      </c>
      <c r="E5561" s="330" t="s">
        <v>4634</v>
      </c>
      <c r="F5561" s="331">
        <v>0.21</v>
      </c>
      <c r="G5561" s="332">
        <v>791</v>
      </c>
      <c r="H5561" s="333">
        <v>958</v>
      </c>
    </row>
    <row r="5562" spans="1:8">
      <c r="A5562" s="317">
        <v>1610290057</v>
      </c>
      <c r="B5562" s="317" t="s">
        <v>49928</v>
      </c>
      <c r="C5562" s="330" t="s">
        <v>14447</v>
      </c>
      <c r="D5562" s="330" t="s">
        <v>14448</v>
      </c>
      <c r="E5562" s="330" t="s">
        <v>37248</v>
      </c>
      <c r="F5562" s="331">
        <v>0.21</v>
      </c>
      <c r="G5562" s="332">
        <v>10082</v>
      </c>
      <c r="H5562" s="333">
        <v>12200</v>
      </c>
    </row>
    <row r="5563" spans="1:8">
      <c r="A5563" s="317">
        <v>1610290059</v>
      </c>
      <c r="B5563" s="317" t="s">
        <v>49929</v>
      </c>
      <c r="C5563" s="330" t="s">
        <v>14449</v>
      </c>
      <c r="D5563" s="330" t="s">
        <v>14450</v>
      </c>
      <c r="E5563" s="330" t="s">
        <v>4634</v>
      </c>
      <c r="F5563" s="331">
        <v>0.21</v>
      </c>
      <c r="G5563" s="332">
        <v>372</v>
      </c>
      <c r="H5563" s="333">
        <v>451</v>
      </c>
    </row>
    <row r="5564" spans="1:8">
      <c r="A5564" s="317">
        <v>1610290061</v>
      </c>
      <c r="B5564" s="317" t="s">
        <v>49930</v>
      </c>
      <c r="C5564" s="330" t="s">
        <v>14451</v>
      </c>
      <c r="D5564" s="330" t="s">
        <v>4828</v>
      </c>
      <c r="E5564" s="330" t="s">
        <v>4819</v>
      </c>
      <c r="F5564" s="331">
        <v>0.21</v>
      </c>
      <c r="G5564" s="332">
        <v>6025</v>
      </c>
      <c r="H5564" s="333">
        <v>7291</v>
      </c>
    </row>
    <row r="5565" spans="1:8">
      <c r="A5565" s="317">
        <v>1610290062</v>
      </c>
      <c r="B5565" s="317" t="s">
        <v>49931</v>
      </c>
      <c r="C5565" s="330" t="s">
        <v>14452</v>
      </c>
      <c r="D5565" s="330" t="s">
        <v>4828</v>
      </c>
      <c r="E5565" s="330" t="s">
        <v>37248</v>
      </c>
      <c r="F5565" s="331">
        <v>0.21</v>
      </c>
      <c r="G5565" s="332">
        <v>6032</v>
      </c>
      <c r="H5565" s="333">
        <v>7299</v>
      </c>
    </row>
    <row r="5566" spans="1:8">
      <c r="A5566" s="317">
        <v>1610290064</v>
      </c>
      <c r="B5566" s="317" t="s">
        <v>49932</v>
      </c>
      <c r="C5566" s="330" t="s">
        <v>14453</v>
      </c>
      <c r="D5566" s="330" t="s">
        <v>14454</v>
      </c>
      <c r="E5566" s="330" t="s">
        <v>37248</v>
      </c>
      <c r="F5566" s="331">
        <v>0.21</v>
      </c>
      <c r="G5566" s="332">
        <v>2250</v>
      </c>
      <c r="H5566" s="333">
        <v>2723</v>
      </c>
    </row>
    <row r="5567" spans="1:8">
      <c r="A5567" s="317">
        <v>1610290066</v>
      </c>
      <c r="B5567" s="317" t="s">
        <v>49933</v>
      </c>
      <c r="C5567" s="330" t="s">
        <v>14455</v>
      </c>
      <c r="D5567" s="330" t="s">
        <v>14456</v>
      </c>
      <c r="E5567" s="330" t="s">
        <v>37248</v>
      </c>
      <c r="F5567" s="331">
        <v>0.21</v>
      </c>
      <c r="G5567" s="332">
        <v>12188</v>
      </c>
      <c r="H5567" s="333">
        <v>14748</v>
      </c>
    </row>
    <row r="5568" spans="1:8">
      <c r="A5568" s="317">
        <v>1610290068</v>
      </c>
      <c r="B5568" s="317" t="s">
        <v>49934</v>
      </c>
      <c r="C5568" s="330" t="s">
        <v>14457</v>
      </c>
      <c r="D5568" s="330" t="s">
        <v>13884</v>
      </c>
      <c r="E5568" s="330" t="s">
        <v>4819</v>
      </c>
      <c r="F5568" s="331">
        <v>0.21</v>
      </c>
      <c r="G5568" s="332">
        <v>3731</v>
      </c>
      <c r="H5568" s="333">
        <v>4515</v>
      </c>
    </row>
    <row r="5569" spans="1:8">
      <c r="A5569" s="317">
        <v>1610290071</v>
      </c>
      <c r="B5569" s="317" t="s">
        <v>49935</v>
      </c>
      <c r="C5569" s="330" t="s">
        <v>14458</v>
      </c>
      <c r="D5569" s="330" t="s">
        <v>14459</v>
      </c>
      <c r="E5569" s="330" t="s">
        <v>4634</v>
      </c>
      <c r="F5569" s="331">
        <v>0.21</v>
      </c>
      <c r="G5569" s="332">
        <v>372</v>
      </c>
      <c r="H5569" s="333">
        <v>451</v>
      </c>
    </row>
    <row r="5570" spans="1:8">
      <c r="A5570" s="317">
        <v>1610290078</v>
      </c>
      <c r="B5570" s="317" t="s">
        <v>49936</v>
      </c>
      <c r="C5570" s="330" t="s">
        <v>14460</v>
      </c>
      <c r="D5570" s="330" t="s">
        <v>14461</v>
      </c>
      <c r="E5570" s="330" t="s">
        <v>4634</v>
      </c>
      <c r="F5570" s="331">
        <v>0.21</v>
      </c>
      <c r="G5570" s="332">
        <v>372</v>
      </c>
      <c r="H5570" s="333">
        <v>451</v>
      </c>
    </row>
    <row r="5571" spans="1:8">
      <c r="A5571" s="317">
        <v>1610290079</v>
      </c>
      <c r="B5571" s="317" t="s">
        <v>49937</v>
      </c>
      <c r="C5571" s="330" t="s">
        <v>14462</v>
      </c>
      <c r="D5571" s="330" t="s">
        <v>14463</v>
      </c>
      <c r="E5571" s="330" t="s">
        <v>4634</v>
      </c>
      <c r="F5571" s="331">
        <v>0.21</v>
      </c>
      <c r="G5571" s="332">
        <v>791</v>
      </c>
      <c r="H5571" s="333">
        <v>958</v>
      </c>
    </row>
    <row r="5572" spans="1:8">
      <c r="A5572" s="317">
        <v>1610290081</v>
      </c>
      <c r="B5572" s="317" t="s">
        <v>49938</v>
      </c>
      <c r="C5572" s="330" t="s">
        <v>14464</v>
      </c>
      <c r="D5572" s="330" t="s">
        <v>14465</v>
      </c>
      <c r="E5572" s="330" t="s">
        <v>4634</v>
      </c>
      <c r="F5572" s="331">
        <v>0.21</v>
      </c>
      <c r="G5572" s="332">
        <v>2467</v>
      </c>
      <c r="H5572" s="333">
        <v>2986</v>
      </c>
    </row>
    <row r="5573" spans="1:8">
      <c r="A5573" s="317">
        <v>1610290084</v>
      </c>
      <c r="B5573" s="317" t="s">
        <v>49939</v>
      </c>
      <c r="C5573" s="330" t="s">
        <v>14466</v>
      </c>
      <c r="D5573" s="330" t="s">
        <v>14467</v>
      </c>
      <c r="E5573" s="330" t="s">
        <v>4634</v>
      </c>
      <c r="F5573" s="331">
        <v>0.21</v>
      </c>
      <c r="G5573" s="332">
        <v>1371</v>
      </c>
      <c r="H5573" s="333">
        <v>1659</v>
      </c>
    </row>
    <row r="5574" spans="1:8">
      <c r="A5574" s="317">
        <v>1610290085</v>
      </c>
      <c r="B5574" s="330" t="s">
        <v>49940</v>
      </c>
      <c r="C5574" s="330" t="s">
        <v>14468</v>
      </c>
      <c r="D5574" s="330" t="s">
        <v>14469</v>
      </c>
      <c r="E5574" s="330" t="s">
        <v>4819</v>
      </c>
      <c r="F5574" s="331">
        <v>0.21</v>
      </c>
      <c r="G5574" s="332">
        <v>22184</v>
      </c>
      <c r="H5574" s="333">
        <v>26843</v>
      </c>
    </row>
    <row r="5575" spans="1:8">
      <c r="A5575" s="317">
        <v>1610290089</v>
      </c>
      <c r="B5575" s="330" t="s">
        <v>49941</v>
      </c>
      <c r="C5575" s="330" t="s">
        <v>14470</v>
      </c>
      <c r="D5575" s="330" t="s">
        <v>14471</v>
      </c>
      <c r="E5575" s="330" t="s">
        <v>4634</v>
      </c>
      <c r="F5575" s="331">
        <v>0.21</v>
      </c>
      <c r="G5575" s="332">
        <v>432</v>
      </c>
      <c r="H5575" s="333">
        <v>523</v>
      </c>
    </row>
    <row r="5576" spans="1:8">
      <c r="A5576" s="317">
        <v>1610290090</v>
      </c>
      <c r="B5576" s="330" t="s">
        <v>49942</v>
      </c>
      <c r="C5576" s="330" t="s">
        <v>14472</v>
      </c>
      <c r="D5576" s="330" t="s">
        <v>14473</v>
      </c>
      <c r="E5576" s="330" t="s">
        <v>4634</v>
      </c>
      <c r="F5576" s="331">
        <v>0.21</v>
      </c>
      <c r="G5576" s="332">
        <v>1075</v>
      </c>
      <c r="H5576" s="333">
        <v>1301</v>
      </c>
    </row>
    <row r="5577" spans="1:8">
      <c r="A5577" s="317">
        <v>1610290092</v>
      </c>
      <c r="B5577" s="330" t="s">
        <v>49943</v>
      </c>
      <c r="C5577" s="330" t="s">
        <v>14474</v>
      </c>
      <c r="D5577" s="330" t="s">
        <v>6405</v>
      </c>
      <c r="E5577" s="330" t="s">
        <v>4819</v>
      </c>
      <c r="F5577" s="331">
        <v>0.21</v>
      </c>
      <c r="G5577" s="332">
        <v>4755</v>
      </c>
      <c r="H5577" s="333">
        <v>5754</v>
      </c>
    </row>
    <row r="5578" spans="1:8">
      <c r="A5578" s="317">
        <v>1610290093</v>
      </c>
      <c r="B5578" s="330" t="s">
        <v>49944</v>
      </c>
      <c r="C5578" s="330" t="s">
        <v>14475</v>
      </c>
      <c r="D5578" s="330" t="s">
        <v>14476</v>
      </c>
      <c r="E5578" s="330" t="s">
        <v>37248</v>
      </c>
      <c r="F5578" s="331">
        <v>0.21</v>
      </c>
      <c r="G5578" s="332">
        <v>2426</v>
      </c>
      <c r="H5578" s="333">
        <v>2936</v>
      </c>
    </row>
    <row r="5579" spans="1:8">
      <c r="A5579" s="317">
        <v>1610290094</v>
      </c>
      <c r="B5579" s="330" t="s">
        <v>49945</v>
      </c>
      <c r="C5579" s="330" t="s">
        <v>14477</v>
      </c>
      <c r="D5579" s="330" t="s">
        <v>14478</v>
      </c>
      <c r="E5579" s="330" t="s">
        <v>4819</v>
      </c>
      <c r="F5579" s="331">
        <v>0.21</v>
      </c>
      <c r="G5579" s="332">
        <v>4240</v>
      </c>
      <c r="H5579" s="333">
        <v>5131</v>
      </c>
    </row>
    <row r="5580" spans="1:8">
      <c r="A5580" s="317">
        <v>1610290095</v>
      </c>
      <c r="B5580" s="330" t="s">
        <v>49946</v>
      </c>
      <c r="C5580" s="330" t="s">
        <v>14479</v>
      </c>
      <c r="D5580" s="330" t="s">
        <v>14480</v>
      </c>
      <c r="E5580" s="330" t="s">
        <v>4819</v>
      </c>
      <c r="F5580" s="331">
        <v>0.21</v>
      </c>
      <c r="G5580" s="332">
        <v>15448</v>
      </c>
      <c r="H5580" s="333">
        <v>18693</v>
      </c>
    </row>
    <row r="5581" spans="1:8">
      <c r="A5581" s="317">
        <v>1610290096</v>
      </c>
      <c r="B5581" s="330" t="s">
        <v>49947</v>
      </c>
      <c r="C5581" s="330" t="s">
        <v>14481</v>
      </c>
      <c r="D5581" s="330" t="s">
        <v>14440</v>
      </c>
      <c r="E5581" s="330" t="s">
        <v>4819</v>
      </c>
      <c r="F5581" s="331">
        <v>0.21</v>
      </c>
      <c r="G5581" s="332">
        <v>3825</v>
      </c>
      <c r="H5581" s="333">
        <v>4629</v>
      </c>
    </row>
    <row r="5582" spans="1:8">
      <c r="A5582" s="317">
        <v>1610290098</v>
      </c>
      <c r="B5582" s="330" t="s">
        <v>49948</v>
      </c>
      <c r="C5582" s="330" t="s">
        <v>14482</v>
      </c>
      <c r="D5582" s="330" t="s">
        <v>14483</v>
      </c>
      <c r="E5582" s="330" t="s">
        <v>4819</v>
      </c>
      <c r="F5582" s="331">
        <v>0.21</v>
      </c>
      <c r="G5582" s="332">
        <v>1251</v>
      </c>
      <c r="H5582" s="333">
        <v>1514</v>
      </c>
    </row>
    <row r="5583" spans="1:8">
      <c r="A5583" s="317">
        <v>1610290099</v>
      </c>
      <c r="B5583" s="330" t="s">
        <v>49949</v>
      </c>
      <c r="C5583" s="330" t="s">
        <v>14484</v>
      </c>
      <c r="D5583" s="330" t="s">
        <v>14485</v>
      </c>
      <c r="E5583" s="330" t="s">
        <v>4634</v>
      </c>
      <c r="F5583" s="331">
        <v>0.21</v>
      </c>
      <c r="G5583" s="332">
        <v>898</v>
      </c>
      <c r="H5583" s="333">
        <v>1087</v>
      </c>
    </row>
    <row r="5584" spans="1:8">
      <c r="A5584" s="317">
        <v>1610290101</v>
      </c>
      <c r="B5584" s="330" t="s">
        <v>49950</v>
      </c>
      <c r="C5584" s="330" t="s">
        <v>14486</v>
      </c>
      <c r="D5584" s="330" t="s">
        <v>14487</v>
      </c>
      <c r="E5584" s="330" t="s">
        <v>4634</v>
      </c>
      <c r="F5584" s="331">
        <v>0.21</v>
      </c>
      <c r="G5584" s="332">
        <v>12447</v>
      </c>
      <c r="H5584" s="333">
        <v>15061</v>
      </c>
    </row>
    <row r="5585" spans="1:8">
      <c r="A5585" s="317">
        <v>1610290102</v>
      </c>
      <c r="B5585" s="330" t="s">
        <v>49951</v>
      </c>
      <c r="C5585" s="330" t="s">
        <v>14488</v>
      </c>
      <c r="D5585" s="330" t="s">
        <v>14489</v>
      </c>
      <c r="E5585" s="330" t="s">
        <v>4634</v>
      </c>
      <c r="F5585" s="331">
        <v>0.21</v>
      </c>
      <c r="G5585" s="332">
        <v>1150</v>
      </c>
      <c r="H5585" s="333">
        <v>1392</v>
      </c>
    </row>
    <row r="5586" spans="1:8">
      <c r="A5586" s="317">
        <v>1610290103</v>
      </c>
      <c r="B5586" s="330" t="s">
        <v>49952</v>
      </c>
      <c r="C5586" s="330" t="s">
        <v>14490</v>
      </c>
      <c r="D5586" s="330" t="s">
        <v>14491</v>
      </c>
      <c r="E5586" s="330" t="s">
        <v>4819</v>
      </c>
      <c r="F5586" s="331">
        <v>0.21</v>
      </c>
      <c r="G5586" s="332">
        <v>17817</v>
      </c>
      <c r="H5586" s="333">
        <v>21559</v>
      </c>
    </row>
    <row r="5587" spans="1:8">
      <c r="A5587" s="317">
        <v>1610290104</v>
      </c>
      <c r="B5587" s="330" t="s">
        <v>49953</v>
      </c>
      <c r="C5587" s="330" t="s">
        <v>14492</v>
      </c>
      <c r="D5587" s="330" t="s">
        <v>14493</v>
      </c>
      <c r="E5587" s="330" t="s">
        <v>4819</v>
      </c>
      <c r="F5587" s="331">
        <v>0.21</v>
      </c>
      <c r="G5587" s="332">
        <v>2861</v>
      </c>
      <c r="H5587" s="333">
        <v>3462</v>
      </c>
    </row>
    <row r="5588" spans="1:8">
      <c r="A5588" s="317">
        <v>1610290105</v>
      </c>
      <c r="B5588" s="330" t="s">
        <v>49954</v>
      </c>
      <c r="C5588" s="330" t="s">
        <v>14494</v>
      </c>
      <c r="D5588" s="330" t="s">
        <v>14495</v>
      </c>
      <c r="E5588" s="330" t="s">
        <v>37248</v>
      </c>
      <c r="F5588" s="331">
        <v>0.21</v>
      </c>
      <c r="G5588" s="332">
        <v>2997</v>
      </c>
      <c r="H5588" s="333">
        <v>3627</v>
      </c>
    </row>
    <row r="5589" spans="1:8">
      <c r="A5589" s="317">
        <v>1610290106</v>
      </c>
      <c r="B5589" s="330" t="s">
        <v>49955</v>
      </c>
      <c r="C5589" s="330" t="s">
        <v>14496</v>
      </c>
      <c r="D5589" s="330" t="s">
        <v>14497</v>
      </c>
      <c r="E5589" s="330" t="s">
        <v>4819</v>
      </c>
      <c r="F5589" s="331">
        <v>0.21</v>
      </c>
      <c r="G5589" s="332">
        <v>2478</v>
      </c>
      <c r="H5589" s="333">
        <v>2999</v>
      </c>
    </row>
    <row r="5590" spans="1:8">
      <c r="A5590" s="317">
        <v>1610290108</v>
      </c>
      <c r="B5590" s="330" t="s">
        <v>49956</v>
      </c>
      <c r="C5590" s="330" t="s">
        <v>14498</v>
      </c>
      <c r="D5590" s="330" t="s">
        <v>4830</v>
      </c>
      <c r="E5590" s="330" t="s">
        <v>4819</v>
      </c>
      <c r="F5590" s="331">
        <v>0.21</v>
      </c>
      <c r="G5590" s="332">
        <v>2079</v>
      </c>
      <c r="H5590" s="333">
        <v>2516</v>
      </c>
    </row>
    <row r="5591" spans="1:8">
      <c r="A5591" s="317">
        <v>1610290109</v>
      </c>
      <c r="B5591" s="330" t="s">
        <v>49957</v>
      </c>
      <c r="C5591" s="330" t="s">
        <v>14499</v>
      </c>
      <c r="D5591" s="330" t="s">
        <v>14500</v>
      </c>
      <c r="E5591" s="330" t="s">
        <v>4634</v>
      </c>
      <c r="F5591" s="331">
        <v>0.21</v>
      </c>
      <c r="G5591" s="332">
        <v>4760</v>
      </c>
      <c r="H5591" s="333">
        <v>5760</v>
      </c>
    </row>
    <row r="5592" spans="1:8">
      <c r="A5592" s="317">
        <v>1610290110</v>
      </c>
      <c r="B5592" s="330" t="s">
        <v>49958</v>
      </c>
      <c r="C5592" s="330" t="s">
        <v>14501</v>
      </c>
      <c r="D5592" s="330" t="s">
        <v>14502</v>
      </c>
      <c r="E5592" s="330" t="s">
        <v>4634</v>
      </c>
      <c r="F5592" s="331">
        <v>0.21</v>
      </c>
      <c r="G5592" s="332">
        <v>820</v>
      </c>
      <c r="H5592" s="333">
        <v>993</v>
      </c>
    </row>
    <row r="5593" spans="1:8">
      <c r="A5593" s="317">
        <v>1610290111</v>
      </c>
      <c r="B5593" s="330" t="s">
        <v>49959</v>
      </c>
      <c r="C5593" s="330" t="s">
        <v>14503</v>
      </c>
      <c r="D5593" s="330" t="s">
        <v>13939</v>
      </c>
      <c r="E5593" s="330" t="s">
        <v>37248</v>
      </c>
      <c r="F5593" s="331">
        <v>0.21</v>
      </c>
      <c r="G5593" s="332">
        <v>515</v>
      </c>
      <c r="H5593" s="333">
        <v>624</v>
      </c>
    </row>
    <row r="5594" spans="1:8">
      <c r="A5594" s="317">
        <v>1610290112</v>
      </c>
      <c r="B5594" s="330" t="s">
        <v>49960</v>
      </c>
      <c r="C5594" s="330" t="s">
        <v>14504</v>
      </c>
      <c r="D5594" s="330" t="s">
        <v>14390</v>
      </c>
      <c r="E5594" s="330" t="s">
        <v>37248</v>
      </c>
      <c r="F5594" s="331">
        <v>0.21</v>
      </c>
      <c r="G5594" s="332">
        <v>5425</v>
      </c>
      <c r="H5594" s="333">
        <v>6565</v>
      </c>
    </row>
    <row r="5595" spans="1:8">
      <c r="A5595" s="317">
        <v>1610290113</v>
      </c>
      <c r="B5595" s="330" t="s">
        <v>49961</v>
      </c>
      <c r="C5595" s="330" t="s">
        <v>14505</v>
      </c>
      <c r="D5595" s="330" t="s">
        <v>14506</v>
      </c>
      <c r="E5595" s="330" t="s">
        <v>4634</v>
      </c>
      <c r="F5595" s="331">
        <v>0.21</v>
      </c>
      <c r="G5595" s="332">
        <v>2683</v>
      </c>
      <c r="H5595" s="333">
        <v>3247</v>
      </c>
    </row>
    <row r="5596" spans="1:8">
      <c r="A5596" s="317">
        <v>1610290115</v>
      </c>
      <c r="B5596" s="330" t="s">
        <v>49962</v>
      </c>
      <c r="C5596" s="330" t="s">
        <v>14507</v>
      </c>
      <c r="D5596" s="330" t="s">
        <v>14508</v>
      </c>
      <c r="E5596" s="330" t="s">
        <v>4634</v>
      </c>
      <c r="F5596" s="331">
        <v>0.21</v>
      </c>
      <c r="G5596" s="332">
        <v>1518</v>
      </c>
      <c r="H5596" s="333">
        <v>1837</v>
      </c>
    </row>
    <row r="5597" spans="1:8">
      <c r="A5597" s="317">
        <v>1610290116</v>
      </c>
      <c r="B5597" s="330" t="s">
        <v>49963</v>
      </c>
      <c r="C5597" s="330" t="s">
        <v>14509</v>
      </c>
      <c r="D5597" s="330" t="s">
        <v>14510</v>
      </c>
      <c r="E5597" s="330" t="s">
        <v>37248</v>
      </c>
      <c r="F5597" s="331">
        <v>0.21</v>
      </c>
      <c r="G5597" s="332">
        <v>1487</v>
      </c>
      <c r="H5597" s="333">
        <v>1800</v>
      </c>
    </row>
    <row r="5598" spans="1:8">
      <c r="A5598" s="317">
        <v>1610290118</v>
      </c>
      <c r="B5598" s="330" t="s">
        <v>49964</v>
      </c>
      <c r="C5598" s="330" t="s">
        <v>14511</v>
      </c>
      <c r="D5598" s="330" t="s">
        <v>14512</v>
      </c>
      <c r="E5598" s="330" t="s">
        <v>37248</v>
      </c>
      <c r="F5598" s="331">
        <v>0.21</v>
      </c>
      <c r="G5598" s="332">
        <v>4200</v>
      </c>
      <c r="H5598" s="333">
        <v>5082</v>
      </c>
    </row>
    <row r="5599" spans="1:8">
      <c r="A5599" s="317">
        <v>1610290119</v>
      </c>
      <c r="B5599" s="330" t="s">
        <v>49965</v>
      </c>
      <c r="C5599" s="330" t="s">
        <v>14513</v>
      </c>
      <c r="D5599" s="330" t="s">
        <v>14514</v>
      </c>
      <c r="E5599" s="330" t="s">
        <v>4819</v>
      </c>
      <c r="F5599" s="331">
        <v>0.21</v>
      </c>
      <c r="G5599" s="332">
        <v>1701</v>
      </c>
      <c r="H5599" s="333">
        <v>2059</v>
      </c>
    </row>
    <row r="5600" spans="1:8">
      <c r="A5600" s="317">
        <v>1610290122</v>
      </c>
      <c r="B5600" s="330" t="s">
        <v>49966</v>
      </c>
      <c r="C5600" s="330" t="s">
        <v>14515</v>
      </c>
      <c r="D5600" s="330" t="s">
        <v>14516</v>
      </c>
      <c r="E5600" s="330" t="s">
        <v>4819</v>
      </c>
      <c r="F5600" s="331">
        <v>0.21</v>
      </c>
      <c r="G5600" s="332">
        <v>1373</v>
      </c>
      <c r="H5600" s="333">
        <v>1662</v>
      </c>
    </row>
    <row r="5601" spans="1:8">
      <c r="A5601" s="317">
        <v>1610290123</v>
      </c>
      <c r="B5601" s="330" t="s">
        <v>49967</v>
      </c>
      <c r="C5601" s="330" t="s">
        <v>14517</v>
      </c>
      <c r="D5601" s="330" t="s">
        <v>14296</v>
      </c>
      <c r="E5601" s="330" t="s">
        <v>4819</v>
      </c>
      <c r="F5601" s="331">
        <v>0.21</v>
      </c>
      <c r="G5601" s="332">
        <v>1505</v>
      </c>
      <c r="H5601" s="333">
        <v>1822</v>
      </c>
    </row>
    <row r="5602" spans="1:8">
      <c r="A5602" s="317">
        <v>1610290124</v>
      </c>
      <c r="B5602" s="330" t="s">
        <v>49968</v>
      </c>
      <c r="C5602" s="330" t="s">
        <v>14518</v>
      </c>
      <c r="D5602" s="330" t="s">
        <v>14519</v>
      </c>
      <c r="E5602" s="330" t="s">
        <v>4819</v>
      </c>
      <c r="F5602" s="331">
        <v>0.21</v>
      </c>
      <c r="G5602" s="332">
        <v>3310</v>
      </c>
      <c r="H5602" s="333">
        <v>4006</v>
      </c>
    </row>
    <row r="5603" spans="1:8">
      <c r="A5603" s="317">
        <v>1610290125</v>
      </c>
      <c r="B5603" s="330" t="s">
        <v>49969</v>
      </c>
      <c r="C5603" s="330" t="s">
        <v>14520</v>
      </c>
      <c r="D5603" s="330" t="s">
        <v>14521</v>
      </c>
      <c r="E5603" s="330" t="s">
        <v>37248</v>
      </c>
      <c r="F5603" s="331">
        <v>0.21</v>
      </c>
      <c r="G5603" s="332">
        <v>9413</v>
      </c>
      <c r="H5603" s="333">
        <v>11390</v>
      </c>
    </row>
    <row r="5604" spans="1:8">
      <c r="A5604" s="317">
        <v>1610290128</v>
      </c>
      <c r="B5604" s="330" t="s">
        <v>49970</v>
      </c>
      <c r="C5604" s="330" t="s">
        <v>14522</v>
      </c>
      <c r="D5604" s="330" t="s">
        <v>14523</v>
      </c>
      <c r="E5604" s="330" t="s">
        <v>37248</v>
      </c>
      <c r="F5604" s="331">
        <v>0.21</v>
      </c>
      <c r="G5604" s="332">
        <v>6058</v>
      </c>
      <c r="H5604" s="333">
        <v>7331</v>
      </c>
    </row>
    <row r="5605" spans="1:8">
      <c r="A5605" s="317">
        <v>1610290129</v>
      </c>
      <c r="B5605" s="330" t="s">
        <v>49971</v>
      </c>
      <c r="C5605" s="330" t="s">
        <v>14524</v>
      </c>
      <c r="D5605" s="330" t="s">
        <v>14284</v>
      </c>
      <c r="E5605" s="330" t="s">
        <v>37248</v>
      </c>
      <c r="F5605" s="331">
        <v>0.21</v>
      </c>
      <c r="G5605" s="332">
        <v>3607</v>
      </c>
      <c r="H5605" s="333">
        <v>4365</v>
      </c>
    </row>
    <row r="5606" spans="1:8">
      <c r="A5606" s="317" t="s">
        <v>40408</v>
      </c>
      <c r="B5606" s="330" t="s">
        <v>49972</v>
      </c>
      <c r="C5606" s="330" t="s">
        <v>14525</v>
      </c>
      <c r="D5606" s="330" t="s">
        <v>14390</v>
      </c>
      <c r="E5606" s="330" t="s">
        <v>37248</v>
      </c>
      <c r="F5606" s="331">
        <v>0.21</v>
      </c>
      <c r="G5606" s="332">
        <v>3707</v>
      </c>
      <c r="H5606" s="333">
        <v>4486</v>
      </c>
    </row>
    <row r="5607" spans="1:8">
      <c r="A5607" s="317">
        <v>1610290226</v>
      </c>
      <c r="B5607" s="330" t="s">
        <v>49973</v>
      </c>
      <c r="C5607" s="330" t="s">
        <v>14526</v>
      </c>
      <c r="D5607" s="330" t="s">
        <v>6896</v>
      </c>
      <c r="E5607" s="330" t="s">
        <v>4819</v>
      </c>
      <c r="F5607" s="331">
        <v>0.21</v>
      </c>
      <c r="G5607" s="332">
        <v>4914</v>
      </c>
      <c r="H5607" s="333">
        <v>5946</v>
      </c>
    </row>
    <row r="5608" spans="1:8">
      <c r="A5608" s="317">
        <v>1610300033</v>
      </c>
      <c r="B5608" s="330" t="s">
        <v>49974</v>
      </c>
      <c r="C5608" s="330" t="s">
        <v>14527</v>
      </c>
      <c r="D5608" s="330" t="s">
        <v>14528</v>
      </c>
      <c r="E5608" s="330" t="s">
        <v>4819</v>
      </c>
      <c r="F5608" s="331">
        <v>0.21</v>
      </c>
      <c r="G5608" s="332">
        <v>39102</v>
      </c>
      <c r="H5608" s="333">
        <v>47314</v>
      </c>
    </row>
    <row r="5609" spans="1:8">
      <c r="A5609" s="317">
        <v>1610300034</v>
      </c>
      <c r="B5609" s="330" t="s">
        <v>49975</v>
      </c>
      <c r="C5609" s="330" t="s">
        <v>14529</v>
      </c>
      <c r="D5609" s="330" t="s">
        <v>14530</v>
      </c>
      <c r="E5609" s="330" t="s">
        <v>4634</v>
      </c>
      <c r="F5609" s="331">
        <v>0.21</v>
      </c>
      <c r="G5609" s="332">
        <v>9000</v>
      </c>
      <c r="H5609" s="333">
        <v>10890</v>
      </c>
    </row>
    <row r="5610" spans="1:8">
      <c r="A5610" s="317">
        <v>1610300043</v>
      </c>
      <c r="B5610" s="330" t="s">
        <v>49976</v>
      </c>
      <c r="C5610" s="330" t="s">
        <v>14531</v>
      </c>
      <c r="D5610" s="330" t="s">
        <v>6458</v>
      </c>
      <c r="E5610" s="330" t="s">
        <v>4634</v>
      </c>
      <c r="F5610" s="331">
        <v>0.21</v>
      </c>
      <c r="G5610" s="332">
        <v>2491</v>
      </c>
      <c r="H5610" s="333">
        <v>3015</v>
      </c>
    </row>
    <row r="5611" spans="1:8">
      <c r="A5611" s="317">
        <v>1610300046</v>
      </c>
      <c r="B5611" s="330" t="s">
        <v>49977</v>
      </c>
      <c r="C5611" s="330" t="s">
        <v>14532</v>
      </c>
      <c r="D5611" s="330" t="s">
        <v>5133</v>
      </c>
      <c r="E5611" s="330" t="s">
        <v>4634</v>
      </c>
      <c r="F5611" s="331">
        <v>0.21</v>
      </c>
      <c r="G5611" s="332">
        <v>2491</v>
      </c>
      <c r="H5611" s="333">
        <v>3015</v>
      </c>
    </row>
    <row r="5612" spans="1:8">
      <c r="A5612" s="317">
        <v>1610300058</v>
      </c>
      <c r="B5612" s="330" t="s">
        <v>49978</v>
      </c>
      <c r="C5612" s="330" t="s">
        <v>14533</v>
      </c>
      <c r="D5612" s="330" t="s">
        <v>14534</v>
      </c>
      <c r="E5612" s="330" t="s">
        <v>4634</v>
      </c>
      <c r="F5612" s="331">
        <v>0.21</v>
      </c>
      <c r="G5612" s="332">
        <v>1030</v>
      </c>
      <c r="H5612" s="333">
        <v>1247</v>
      </c>
    </row>
    <row r="5613" spans="1:8">
      <c r="A5613" s="317">
        <v>1610300060</v>
      </c>
      <c r="B5613" s="330" t="s">
        <v>49979</v>
      </c>
      <c r="C5613" s="330" t="s">
        <v>14535</v>
      </c>
      <c r="D5613" s="330" t="s">
        <v>14536</v>
      </c>
      <c r="E5613" s="330" t="s">
        <v>4634</v>
      </c>
      <c r="F5613" s="331">
        <v>0.21</v>
      </c>
      <c r="G5613" s="332">
        <v>1371</v>
      </c>
      <c r="H5613" s="333">
        <v>1659</v>
      </c>
    </row>
    <row r="5614" spans="1:8">
      <c r="A5614" s="317">
        <v>1610300063</v>
      </c>
      <c r="B5614" s="330" t="s">
        <v>49980</v>
      </c>
      <c r="C5614" s="330" t="s">
        <v>14537</v>
      </c>
      <c r="D5614" s="330" t="s">
        <v>14538</v>
      </c>
      <c r="E5614" s="330" t="s">
        <v>37248</v>
      </c>
      <c r="F5614" s="331">
        <v>0.21</v>
      </c>
      <c r="G5614" s="332">
        <v>7673</v>
      </c>
      <c r="H5614" s="333">
        <v>9285</v>
      </c>
    </row>
    <row r="5615" spans="1:8">
      <c r="A5615" s="317">
        <v>1610300064</v>
      </c>
      <c r="B5615" s="330" t="s">
        <v>49981</v>
      </c>
      <c r="C5615" s="330" t="s">
        <v>14539</v>
      </c>
      <c r="D5615" s="330" t="s">
        <v>14540</v>
      </c>
      <c r="E5615" s="330" t="s">
        <v>4634</v>
      </c>
      <c r="F5615" s="331">
        <v>0.21</v>
      </c>
      <c r="G5615" s="332">
        <v>1547</v>
      </c>
      <c r="H5615" s="333">
        <v>1872</v>
      </c>
    </row>
    <row r="5616" spans="1:8">
      <c r="A5616" s="317">
        <v>1610300067</v>
      </c>
      <c r="B5616" s="330" t="s">
        <v>49982</v>
      </c>
      <c r="C5616" s="330" t="s">
        <v>14541</v>
      </c>
      <c r="D5616" s="330" t="s">
        <v>14536</v>
      </c>
      <c r="E5616" s="330" t="s">
        <v>4819</v>
      </c>
      <c r="F5616" s="331">
        <v>0.21</v>
      </c>
      <c r="G5616" s="332">
        <v>14711</v>
      </c>
      <c r="H5616" s="333">
        <v>17801</v>
      </c>
    </row>
    <row r="5617" spans="1:8">
      <c r="A5617" s="317">
        <v>1610300076</v>
      </c>
      <c r="B5617" s="330" t="s">
        <v>49983</v>
      </c>
      <c r="C5617" s="330" t="s">
        <v>14542</v>
      </c>
      <c r="D5617" s="330" t="s">
        <v>10328</v>
      </c>
      <c r="E5617" s="330" t="s">
        <v>37248</v>
      </c>
      <c r="F5617" s="331">
        <v>0.21</v>
      </c>
      <c r="G5617" s="332">
        <v>1880</v>
      </c>
      <c r="H5617" s="333">
        <v>2275</v>
      </c>
    </row>
    <row r="5618" spans="1:8">
      <c r="A5618" s="317">
        <v>1610300079</v>
      </c>
      <c r="B5618" s="330" t="s">
        <v>49984</v>
      </c>
      <c r="C5618" s="330" t="s">
        <v>14543</v>
      </c>
      <c r="D5618" s="330" t="s">
        <v>14544</v>
      </c>
      <c r="E5618" s="330" t="s">
        <v>37248</v>
      </c>
      <c r="F5618" s="331">
        <v>0.21</v>
      </c>
      <c r="G5618" s="332">
        <v>3865</v>
      </c>
      <c r="H5618" s="333">
        <v>4677</v>
      </c>
    </row>
    <row r="5619" spans="1:8">
      <c r="A5619" s="317">
        <v>1610300080</v>
      </c>
      <c r="B5619" s="330" t="s">
        <v>49985</v>
      </c>
      <c r="C5619" s="330" t="s">
        <v>14545</v>
      </c>
      <c r="D5619" s="330" t="s">
        <v>14544</v>
      </c>
      <c r="E5619" s="330" t="s">
        <v>37248</v>
      </c>
      <c r="F5619" s="331">
        <v>0.21</v>
      </c>
      <c r="G5619" s="332">
        <v>1019</v>
      </c>
      <c r="H5619" s="333">
        <v>1233</v>
      </c>
    </row>
    <row r="5620" spans="1:8">
      <c r="A5620" s="317">
        <v>1610300082</v>
      </c>
      <c r="B5620" s="330" t="s">
        <v>49986</v>
      </c>
      <c r="C5620" s="330" t="s">
        <v>14546</v>
      </c>
      <c r="D5620" s="330" t="s">
        <v>14547</v>
      </c>
      <c r="E5620" s="330" t="s">
        <v>4819</v>
      </c>
      <c r="F5620" s="331">
        <v>0.21</v>
      </c>
      <c r="G5620" s="332">
        <v>2900</v>
      </c>
      <c r="H5620" s="333">
        <v>3509</v>
      </c>
    </row>
    <row r="5621" spans="1:8">
      <c r="A5621" s="317">
        <v>1610300086</v>
      </c>
      <c r="B5621" s="330" t="s">
        <v>49987</v>
      </c>
      <c r="C5621" s="330" t="s">
        <v>14548</v>
      </c>
      <c r="D5621" s="330" t="s">
        <v>14549</v>
      </c>
      <c r="E5621" s="330" t="s">
        <v>37248</v>
      </c>
      <c r="F5621" s="331">
        <v>0.21</v>
      </c>
      <c r="G5621" s="332">
        <v>5146</v>
      </c>
      <c r="H5621" s="333">
        <v>6227</v>
      </c>
    </row>
    <row r="5622" spans="1:8">
      <c r="A5622" s="317">
        <v>1610301000</v>
      </c>
      <c r="B5622" s="330" t="s">
        <v>49988</v>
      </c>
      <c r="C5622" s="330" t="s">
        <v>14550</v>
      </c>
      <c r="D5622" s="330" t="s">
        <v>14551</v>
      </c>
      <c r="E5622" s="330" t="s">
        <v>4634</v>
      </c>
      <c r="F5622" s="331">
        <v>0.21</v>
      </c>
      <c r="G5622" s="332">
        <v>791</v>
      </c>
      <c r="H5622" s="333">
        <v>958</v>
      </c>
    </row>
    <row r="5623" spans="1:8">
      <c r="A5623" s="317">
        <v>1610301004</v>
      </c>
      <c r="B5623" s="330" t="s">
        <v>49989</v>
      </c>
      <c r="C5623" s="330" t="s">
        <v>14552</v>
      </c>
      <c r="D5623" s="330" t="s">
        <v>14553</v>
      </c>
      <c r="E5623" s="330" t="s">
        <v>4634</v>
      </c>
      <c r="F5623" s="331">
        <v>0.21</v>
      </c>
      <c r="G5623" s="332">
        <v>928</v>
      </c>
      <c r="H5623" s="333">
        <v>1123</v>
      </c>
    </row>
    <row r="5624" spans="1:8">
      <c r="A5624" s="317">
        <v>1610301007</v>
      </c>
      <c r="B5624" s="330" t="s">
        <v>49990</v>
      </c>
      <c r="C5624" s="330" t="s">
        <v>14554</v>
      </c>
      <c r="D5624" s="330" t="s">
        <v>4596</v>
      </c>
      <c r="E5624" s="330" t="s">
        <v>37248</v>
      </c>
      <c r="F5624" s="331">
        <v>0.21</v>
      </c>
      <c r="G5624" s="332">
        <v>5117</v>
      </c>
      <c r="H5624" s="333">
        <v>6192</v>
      </c>
    </row>
    <row r="5625" spans="1:8">
      <c r="A5625" s="317">
        <v>1610311016</v>
      </c>
      <c r="B5625" s="330" t="s">
        <v>49991</v>
      </c>
      <c r="C5625" s="330" t="s">
        <v>14555</v>
      </c>
      <c r="D5625" s="330" t="s">
        <v>14556</v>
      </c>
      <c r="E5625" s="330" t="s">
        <v>4634</v>
      </c>
      <c r="F5625" s="331">
        <v>0.21</v>
      </c>
      <c r="G5625" s="332">
        <v>3383</v>
      </c>
      <c r="H5625" s="333">
        <v>4094</v>
      </c>
    </row>
    <row r="5626" spans="1:8">
      <c r="A5626" s="317">
        <v>1610311017</v>
      </c>
      <c r="B5626" s="330" t="s">
        <v>49992</v>
      </c>
      <c r="C5626" s="330" t="s">
        <v>14557</v>
      </c>
      <c r="D5626" s="330" t="s">
        <v>14558</v>
      </c>
      <c r="E5626" s="330" t="s">
        <v>37248</v>
      </c>
      <c r="F5626" s="331">
        <v>0.21</v>
      </c>
      <c r="G5626" s="332">
        <v>8947</v>
      </c>
      <c r="H5626" s="333">
        <v>10826</v>
      </c>
    </row>
    <row r="5627" spans="1:8">
      <c r="A5627" s="317">
        <v>1610311018</v>
      </c>
      <c r="B5627" s="330" t="s">
        <v>49993</v>
      </c>
      <c r="C5627" s="330" t="s">
        <v>14559</v>
      </c>
      <c r="D5627" s="330" t="s">
        <v>14560</v>
      </c>
      <c r="E5627" s="330" t="s">
        <v>37248</v>
      </c>
      <c r="F5627" s="331">
        <v>0.21</v>
      </c>
      <c r="G5627" s="332">
        <v>19238</v>
      </c>
      <c r="H5627" s="333">
        <v>23278</v>
      </c>
    </row>
    <row r="5628" spans="1:8">
      <c r="A5628" s="317">
        <v>1610311019</v>
      </c>
      <c r="B5628" s="330" t="s">
        <v>49994</v>
      </c>
      <c r="C5628" s="330" t="s">
        <v>14561</v>
      </c>
      <c r="D5628" s="330" t="s">
        <v>14562</v>
      </c>
      <c r="E5628" s="330" t="s">
        <v>37248</v>
      </c>
      <c r="F5628" s="331">
        <v>0.21</v>
      </c>
      <c r="G5628" s="332">
        <v>20906</v>
      </c>
      <c r="H5628" s="333">
        <v>25297</v>
      </c>
    </row>
    <row r="5629" spans="1:8">
      <c r="A5629" s="317">
        <v>1610312003</v>
      </c>
      <c r="B5629" s="330" t="s">
        <v>49995</v>
      </c>
      <c r="C5629" s="330" t="s">
        <v>14563</v>
      </c>
      <c r="D5629" s="330" t="s">
        <v>14564</v>
      </c>
      <c r="E5629" s="330" t="s">
        <v>4634</v>
      </c>
      <c r="F5629" s="331">
        <v>0.21</v>
      </c>
      <c r="G5629" s="332">
        <v>6627</v>
      </c>
      <c r="H5629" s="333">
        <v>8019</v>
      </c>
    </row>
    <row r="5630" spans="1:8">
      <c r="A5630" s="317">
        <v>1610312004</v>
      </c>
      <c r="B5630" s="330" t="s">
        <v>49996</v>
      </c>
      <c r="C5630" s="330" t="s">
        <v>14565</v>
      </c>
      <c r="D5630" s="330" t="s">
        <v>14566</v>
      </c>
      <c r="E5630" s="330" t="s">
        <v>4634</v>
      </c>
      <c r="F5630" s="331">
        <v>0.21</v>
      </c>
      <c r="G5630" s="332">
        <v>25655</v>
      </c>
      <c r="H5630" s="333">
        <v>31043</v>
      </c>
    </row>
    <row r="5631" spans="1:8">
      <c r="A5631" s="317">
        <v>1610314003</v>
      </c>
      <c r="B5631" s="330" t="s">
        <v>49997</v>
      </c>
      <c r="C5631" s="330" t="s">
        <v>14567</v>
      </c>
      <c r="D5631" s="330" t="s">
        <v>14568</v>
      </c>
      <c r="E5631" s="330" t="s">
        <v>4634</v>
      </c>
      <c r="F5631" s="331">
        <v>0.21</v>
      </c>
      <c r="G5631" s="332">
        <v>678</v>
      </c>
      <c r="H5631" s="333">
        <v>821</v>
      </c>
    </row>
    <row r="5632" spans="1:8">
      <c r="A5632" s="317">
        <v>1610314004</v>
      </c>
      <c r="B5632" s="330" t="s">
        <v>49998</v>
      </c>
      <c r="C5632" s="330" t="s">
        <v>14569</v>
      </c>
      <c r="D5632" s="330" t="s">
        <v>14568</v>
      </c>
      <c r="E5632" s="330" t="s">
        <v>4623</v>
      </c>
      <c r="F5632" s="331">
        <v>0.21</v>
      </c>
      <c r="G5632" s="332">
        <v>11133</v>
      </c>
      <c r="H5632" s="333">
        <v>13471</v>
      </c>
    </row>
    <row r="5633" spans="1:8">
      <c r="A5633" s="317">
        <v>1610314005</v>
      </c>
      <c r="B5633" s="330" t="s">
        <v>49999</v>
      </c>
      <c r="C5633" s="330" t="s">
        <v>14570</v>
      </c>
      <c r="D5633" s="330" t="s">
        <v>14571</v>
      </c>
      <c r="E5633" s="330" t="s">
        <v>4819</v>
      </c>
      <c r="F5633" s="331">
        <v>0.21</v>
      </c>
      <c r="G5633" s="332">
        <v>3310</v>
      </c>
      <c r="H5633" s="333">
        <v>4006</v>
      </c>
    </row>
    <row r="5634" spans="1:8">
      <c r="A5634" s="317">
        <v>1610314006</v>
      </c>
      <c r="B5634" s="330" t="s">
        <v>50000</v>
      </c>
      <c r="C5634" s="330" t="s">
        <v>14572</v>
      </c>
      <c r="D5634" s="330" t="s">
        <v>14573</v>
      </c>
      <c r="E5634" s="330" t="s">
        <v>4819</v>
      </c>
      <c r="F5634" s="331">
        <v>0.21</v>
      </c>
      <c r="G5634" s="332">
        <v>13214</v>
      </c>
      <c r="H5634" s="333">
        <v>15989</v>
      </c>
    </row>
    <row r="5635" spans="1:8">
      <c r="A5635" s="317">
        <v>1610320015</v>
      </c>
      <c r="B5635" s="330" t="s">
        <v>50001</v>
      </c>
      <c r="C5635" s="330" t="s">
        <v>14574</v>
      </c>
      <c r="D5635" s="330" t="s">
        <v>14575</v>
      </c>
      <c r="E5635" s="330" t="s">
        <v>37248</v>
      </c>
      <c r="F5635" s="331">
        <v>0.21</v>
      </c>
      <c r="G5635" s="332">
        <v>13785</v>
      </c>
      <c r="H5635" s="333">
        <v>16680</v>
      </c>
    </row>
    <row r="5636" spans="1:8">
      <c r="A5636" s="317">
        <v>1610322007</v>
      </c>
      <c r="B5636" s="330" t="s">
        <v>50002</v>
      </c>
      <c r="C5636" s="330" t="s">
        <v>14576</v>
      </c>
      <c r="D5636" s="330" t="s">
        <v>14577</v>
      </c>
      <c r="E5636" s="330" t="s">
        <v>4634</v>
      </c>
      <c r="F5636" s="331">
        <v>0.21</v>
      </c>
      <c r="G5636" s="332">
        <v>4592</v>
      </c>
      <c r="H5636" s="333">
        <v>5557</v>
      </c>
    </row>
    <row r="5637" spans="1:8">
      <c r="A5637" s="317">
        <v>1610322009</v>
      </c>
      <c r="B5637" s="330" t="s">
        <v>50003</v>
      </c>
      <c r="C5637" s="330" t="s">
        <v>14578</v>
      </c>
      <c r="D5637" s="330" t="s">
        <v>14579</v>
      </c>
      <c r="E5637" s="330" t="s">
        <v>4634</v>
      </c>
      <c r="F5637" s="331">
        <v>0.21</v>
      </c>
      <c r="G5637" s="332">
        <v>584</v>
      </c>
      <c r="H5637" s="333">
        <v>707</v>
      </c>
    </row>
    <row r="5638" spans="1:8">
      <c r="A5638" s="317">
        <v>1610322014</v>
      </c>
      <c r="B5638" s="330" t="s">
        <v>50004</v>
      </c>
      <c r="C5638" s="330" t="s">
        <v>14580</v>
      </c>
      <c r="D5638" s="330" t="s">
        <v>14581</v>
      </c>
      <c r="E5638" s="330" t="s">
        <v>4819</v>
      </c>
      <c r="F5638" s="331">
        <v>0.21</v>
      </c>
      <c r="G5638" s="332">
        <v>5822</v>
      </c>
      <c r="H5638" s="333">
        <v>7045</v>
      </c>
    </row>
    <row r="5639" spans="1:8">
      <c r="A5639" s="317">
        <v>1610322017</v>
      </c>
      <c r="B5639" s="330" t="s">
        <v>50005</v>
      </c>
      <c r="C5639" s="330" t="s">
        <v>14582</v>
      </c>
      <c r="D5639" s="330" t="s">
        <v>14583</v>
      </c>
      <c r="E5639" s="330" t="s">
        <v>37248</v>
      </c>
      <c r="F5639" s="331">
        <v>0.21</v>
      </c>
      <c r="G5639" s="332">
        <v>31275</v>
      </c>
      <c r="H5639" s="333">
        <v>37843</v>
      </c>
    </row>
    <row r="5640" spans="1:8">
      <c r="A5640" s="317">
        <v>1610322018</v>
      </c>
      <c r="B5640" s="330" t="s">
        <v>50006</v>
      </c>
      <c r="C5640" s="330" t="s">
        <v>14584</v>
      </c>
      <c r="D5640" s="330" t="s">
        <v>14585</v>
      </c>
      <c r="E5640" s="330" t="s">
        <v>37248</v>
      </c>
      <c r="F5640" s="331">
        <v>0.21</v>
      </c>
      <c r="G5640" s="332">
        <v>1641</v>
      </c>
      <c r="H5640" s="333">
        <v>1986</v>
      </c>
    </row>
    <row r="5641" spans="1:8">
      <c r="A5641" s="317">
        <v>1610322019</v>
      </c>
      <c r="B5641" s="330" t="s">
        <v>50007</v>
      </c>
      <c r="C5641" s="330" t="s">
        <v>14586</v>
      </c>
      <c r="D5641" s="330" t="s">
        <v>14587</v>
      </c>
      <c r="E5641" s="330" t="s">
        <v>37248</v>
      </c>
      <c r="F5641" s="331">
        <v>0.21</v>
      </c>
      <c r="G5641" s="332">
        <v>2478</v>
      </c>
      <c r="H5641" s="333">
        <v>2999</v>
      </c>
    </row>
    <row r="5642" spans="1:8">
      <c r="A5642" s="317">
        <v>1610328010</v>
      </c>
      <c r="B5642" s="330" t="s">
        <v>50008</v>
      </c>
      <c r="C5642" s="330" t="s">
        <v>14588</v>
      </c>
      <c r="D5642" s="330" t="s">
        <v>6259</v>
      </c>
      <c r="E5642" s="330" t="s">
        <v>4634</v>
      </c>
      <c r="F5642" s="331">
        <v>0.21</v>
      </c>
      <c r="G5642" s="332">
        <v>3171</v>
      </c>
      <c r="H5642" s="333">
        <v>3837</v>
      </c>
    </row>
    <row r="5643" spans="1:8">
      <c r="A5643" s="317">
        <v>1610328011</v>
      </c>
      <c r="B5643" s="330" t="s">
        <v>50009</v>
      </c>
      <c r="C5643" s="330" t="s">
        <v>14589</v>
      </c>
      <c r="D5643" s="330" t="s">
        <v>14590</v>
      </c>
      <c r="E5643" s="330" t="s">
        <v>4634</v>
      </c>
      <c r="F5643" s="331">
        <v>0.21</v>
      </c>
      <c r="G5643" s="332">
        <v>3923</v>
      </c>
      <c r="H5643" s="333">
        <v>4747</v>
      </c>
    </row>
    <row r="5644" spans="1:8">
      <c r="A5644" s="317">
        <v>1610328013</v>
      </c>
      <c r="B5644" s="330" t="s">
        <v>50010</v>
      </c>
      <c r="C5644" s="330" t="s">
        <v>14591</v>
      </c>
      <c r="D5644" s="330" t="s">
        <v>14592</v>
      </c>
      <c r="E5644" s="330" t="s">
        <v>4634</v>
      </c>
      <c r="F5644" s="331">
        <v>0.21</v>
      </c>
      <c r="G5644" s="332">
        <v>387</v>
      </c>
      <c r="H5644" s="333">
        <v>469</v>
      </c>
    </row>
    <row r="5645" spans="1:8">
      <c r="A5645" s="317">
        <v>1610328016</v>
      </c>
      <c r="B5645" s="330" t="s">
        <v>50011</v>
      </c>
      <c r="C5645" s="330" t="s">
        <v>14593</v>
      </c>
      <c r="D5645" s="330" t="s">
        <v>14536</v>
      </c>
      <c r="E5645" s="330" t="s">
        <v>4634</v>
      </c>
      <c r="F5645" s="331">
        <v>0.21</v>
      </c>
      <c r="G5645" s="332">
        <v>372</v>
      </c>
      <c r="H5645" s="333">
        <v>451</v>
      </c>
    </row>
    <row r="5646" spans="1:8">
      <c r="A5646" s="317">
        <v>1610328018</v>
      </c>
      <c r="B5646" s="330" t="s">
        <v>50012</v>
      </c>
      <c r="C5646" s="330" t="s">
        <v>14594</v>
      </c>
      <c r="D5646" s="330" t="s">
        <v>14595</v>
      </c>
      <c r="E5646" s="330" t="s">
        <v>4634</v>
      </c>
      <c r="F5646" s="331">
        <v>0.21</v>
      </c>
      <c r="G5646" s="332">
        <v>3154</v>
      </c>
      <c r="H5646" s="333">
        <v>3817</v>
      </c>
    </row>
    <row r="5647" spans="1:8">
      <c r="A5647" s="317">
        <v>1610390007</v>
      </c>
      <c r="B5647" s="330" t="s">
        <v>50013</v>
      </c>
      <c r="C5647" s="330" t="s">
        <v>14596</v>
      </c>
      <c r="D5647" s="330" t="s">
        <v>6458</v>
      </c>
      <c r="E5647" s="330" t="s">
        <v>4634</v>
      </c>
      <c r="F5647" s="331">
        <v>0.21</v>
      </c>
      <c r="G5647" s="332">
        <v>2063</v>
      </c>
      <c r="H5647" s="333">
        <v>2497</v>
      </c>
    </row>
    <row r="5648" spans="1:8">
      <c r="A5648" s="317">
        <v>1610390011</v>
      </c>
      <c r="B5648" s="330" t="s">
        <v>50014</v>
      </c>
      <c r="C5648" s="330" t="s">
        <v>14597</v>
      </c>
      <c r="D5648" s="330" t="s">
        <v>14598</v>
      </c>
      <c r="E5648" s="330" t="s">
        <v>37248</v>
      </c>
      <c r="F5648" s="331">
        <v>0.21</v>
      </c>
      <c r="G5648" s="332">
        <v>4488</v>
      </c>
      <c r="H5648" s="333">
        <v>5431</v>
      </c>
    </row>
    <row r="5649" spans="1:8">
      <c r="A5649" s="317">
        <v>1610390014</v>
      </c>
      <c r="B5649" s="330" t="s">
        <v>50015</v>
      </c>
      <c r="C5649" s="330" t="s">
        <v>14599</v>
      </c>
      <c r="D5649" s="330" t="s">
        <v>14410</v>
      </c>
      <c r="E5649" s="330" t="s">
        <v>4634</v>
      </c>
      <c r="F5649" s="331">
        <v>0.21</v>
      </c>
      <c r="G5649" s="332">
        <v>2775</v>
      </c>
      <c r="H5649" s="333">
        <v>3358</v>
      </c>
    </row>
    <row r="5650" spans="1:8">
      <c r="A5650" s="317">
        <v>1610390015</v>
      </c>
      <c r="B5650" s="330" t="s">
        <v>50016</v>
      </c>
      <c r="C5650" s="330" t="s">
        <v>14600</v>
      </c>
      <c r="D5650" s="330" t="s">
        <v>14601</v>
      </c>
      <c r="E5650" s="330" t="s">
        <v>4634</v>
      </c>
      <c r="F5650" s="331">
        <v>0.21</v>
      </c>
      <c r="G5650" s="332">
        <v>584</v>
      </c>
      <c r="H5650" s="333">
        <v>707</v>
      </c>
    </row>
    <row r="5651" spans="1:8">
      <c r="A5651" s="317">
        <v>1610390016</v>
      </c>
      <c r="B5651" s="330" t="s">
        <v>50017</v>
      </c>
      <c r="C5651" s="330" t="s">
        <v>14602</v>
      </c>
      <c r="D5651" s="330" t="s">
        <v>14603</v>
      </c>
      <c r="E5651" s="330" t="s">
        <v>4634</v>
      </c>
      <c r="F5651" s="331">
        <v>0.21</v>
      </c>
      <c r="G5651" s="332">
        <v>13572</v>
      </c>
      <c r="H5651" s="333">
        <v>16423</v>
      </c>
    </row>
    <row r="5652" spans="1:8">
      <c r="A5652" s="317">
        <v>1610390022</v>
      </c>
      <c r="B5652" s="330" t="s">
        <v>50018</v>
      </c>
      <c r="C5652" s="330" t="s">
        <v>14604</v>
      </c>
      <c r="D5652" s="330" t="s">
        <v>14605</v>
      </c>
      <c r="E5652" s="330" t="s">
        <v>4634</v>
      </c>
      <c r="F5652" s="331">
        <v>0.21</v>
      </c>
      <c r="G5652" s="332">
        <v>12545</v>
      </c>
      <c r="H5652" s="333">
        <v>15180</v>
      </c>
    </row>
    <row r="5653" spans="1:8">
      <c r="A5653" s="317">
        <v>1610390025</v>
      </c>
      <c r="B5653" s="330" t="s">
        <v>50019</v>
      </c>
      <c r="C5653" s="330" t="s">
        <v>14606</v>
      </c>
      <c r="D5653" s="330" t="s">
        <v>14607</v>
      </c>
      <c r="E5653" s="330" t="s">
        <v>37248</v>
      </c>
      <c r="F5653" s="331">
        <v>0.21</v>
      </c>
      <c r="G5653" s="332">
        <v>13121</v>
      </c>
      <c r="H5653" s="333">
        <v>15877</v>
      </c>
    </row>
    <row r="5654" spans="1:8">
      <c r="A5654" s="317">
        <v>1610390026</v>
      </c>
      <c r="B5654" s="330" t="s">
        <v>50020</v>
      </c>
      <c r="C5654" s="330" t="s">
        <v>14608</v>
      </c>
      <c r="D5654" s="330" t="s">
        <v>6259</v>
      </c>
      <c r="E5654" s="330" t="s">
        <v>4819</v>
      </c>
      <c r="F5654" s="331">
        <v>0.21</v>
      </c>
      <c r="G5654" s="332">
        <v>19121</v>
      </c>
      <c r="H5654" s="333">
        <v>23137</v>
      </c>
    </row>
    <row r="5655" spans="1:8">
      <c r="A5655" s="317">
        <v>1610390027</v>
      </c>
      <c r="B5655" s="330" t="s">
        <v>50021</v>
      </c>
      <c r="C5655" s="330" t="s">
        <v>14609</v>
      </c>
      <c r="D5655" s="330" t="s">
        <v>14610</v>
      </c>
      <c r="E5655" s="330" t="s">
        <v>4634</v>
      </c>
      <c r="F5655" s="331">
        <v>0.21</v>
      </c>
      <c r="G5655" s="332">
        <v>372</v>
      </c>
      <c r="H5655" s="333">
        <v>451</v>
      </c>
    </row>
    <row r="5656" spans="1:8">
      <c r="A5656" s="317">
        <v>1610390028</v>
      </c>
      <c r="B5656" s="330" t="s">
        <v>50022</v>
      </c>
      <c r="C5656" s="330" t="s">
        <v>14611</v>
      </c>
      <c r="D5656" s="330" t="s">
        <v>14612</v>
      </c>
      <c r="E5656" s="330" t="s">
        <v>4634</v>
      </c>
      <c r="F5656" s="331">
        <v>0.21</v>
      </c>
      <c r="G5656" s="332">
        <v>2511</v>
      </c>
      <c r="H5656" s="333">
        <v>3039</v>
      </c>
    </row>
    <row r="5657" spans="1:8">
      <c r="A5657" s="317">
        <v>1610390029</v>
      </c>
      <c r="B5657" s="330" t="s">
        <v>50023</v>
      </c>
      <c r="C5657" s="330" t="s">
        <v>14613</v>
      </c>
      <c r="D5657" s="330" t="s">
        <v>14004</v>
      </c>
      <c r="E5657" s="330" t="s">
        <v>37248</v>
      </c>
      <c r="F5657" s="331">
        <v>0.21</v>
      </c>
      <c r="G5657" s="332">
        <v>21120</v>
      </c>
      <c r="H5657" s="333">
        <v>25556</v>
      </c>
    </row>
    <row r="5658" spans="1:8">
      <c r="A5658" s="317">
        <v>1610390030</v>
      </c>
      <c r="B5658" s="330" t="s">
        <v>50024</v>
      </c>
      <c r="C5658" s="330" t="s">
        <v>14614</v>
      </c>
      <c r="D5658" s="330" t="s">
        <v>14615</v>
      </c>
      <c r="E5658" s="330" t="s">
        <v>4634</v>
      </c>
      <c r="F5658" s="331">
        <v>0.21</v>
      </c>
      <c r="G5658" s="332">
        <v>2881</v>
      </c>
      <c r="H5658" s="333">
        <v>3487</v>
      </c>
    </row>
    <row r="5659" spans="1:8">
      <c r="A5659" s="317">
        <v>1610390032</v>
      </c>
      <c r="B5659" s="330" t="s">
        <v>50025</v>
      </c>
      <c r="C5659" s="330" t="s">
        <v>14616</v>
      </c>
      <c r="D5659" s="330" t="s">
        <v>14617</v>
      </c>
      <c r="E5659" s="330" t="s">
        <v>37248</v>
      </c>
      <c r="F5659" s="331">
        <v>0.21</v>
      </c>
      <c r="G5659" s="332">
        <v>7173</v>
      </c>
      <c r="H5659" s="333">
        <v>8680</v>
      </c>
    </row>
    <row r="5660" spans="1:8">
      <c r="A5660" s="317">
        <v>1610390038</v>
      </c>
      <c r="B5660" s="330" t="s">
        <v>50026</v>
      </c>
      <c r="C5660" s="330" t="s">
        <v>14618</v>
      </c>
      <c r="D5660" s="330" t="s">
        <v>14619</v>
      </c>
      <c r="E5660" s="330" t="s">
        <v>4634</v>
      </c>
      <c r="F5660" s="331">
        <v>0.21</v>
      </c>
      <c r="G5660" s="332">
        <v>7772</v>
      </c>
      <c r="H5660" s="333">
        <v>9405</v>
      </c>
    </row>
    <row r="5661" spans="1:8">
      <c r="A5661" s="317">
        <v>1610390043</v>
      </c>
      <c r="B5661" s="330" t="s">
        <v>50027</v>
      </c>
      <c r="C5661" s="330" t="s">
        <v>14620</v>
      </c>
      <c r="D5661" s="330" t="s">
        <v>14621</v>
      </c>
      <c r="E5661" s="330" t="s">
        <v>4634</v>
      </c>
      <c r="F5661" s="331">
        <v>0.21</v>
      </c>
      <c r="G5661" s="332">
        <v>372</v>
      </c>
      <c r="H5661" s="333">
        <v>451</v>
      </c>
    </row>
    <row r="5662" spans="1:8">
      <c r="A5662" s="317">
        <v>1610390053</v>
      </c>
      <c r="B5662" s="330" t="s">
        <v>50028</v>
      </c>
      <c r="C5662" s="330" t="s">
        <v>14622</v>
      </c>
      <c r="D5662" s="330" t="s">
        <v>13516</v>
      </c>
      <c r="E5662" s="330" t="s">
        <v>4634</v>
      </c>
      <c r="F5662" s="331">
        <v>0.21</v>
      </c>
      <c r="G5662" s="332">
        <v>2232</v>
      </c>
      <c r="H5662" s="333">
        <v>2701</v>
      </c>
    </row>
    <row r="5663" spans="1:8">
      <c r="A5663" s="317">
        <v>1610390056</v>
      </c>
      <c r="B5663" s="330" t="s">
        <v>50029</v>
      </c>
      <c r="C5663" s="330" t="s">
        <v>14623</v>
      </c>
      <c r="D5663" s="330" t="s">
        <v>14624</v>
      </c>
      <c r="E5663" s="330" t="s">
        <v>37248</v>
      </c>
      <c r="F5663" s="331">
        <v>0.21</v>
      </c>
      <c r="G5663" s="332">
        <v>3819</v>
      </c>
      <c r="H5663" s="333">
        <v>4621</v>
      </c>
    </row>
    <row r="5664" spans="1:8">
      <c r="A5664" s="317">
        <v>1610390066</v>
      </c>
      <c r="B5664" s="330" t="s">
        <v>50030</v>
      </c>
      <c r="C5664" s="330" t="s">
        <v>14625</v>
      </c>
      <c r="D5664" s="330" t="s">
        <v>14626</v>
      </c>
      <c r="E5664" s="330" t="s">
        <v>4634</v>
      </c>
      <c r="F5664" s="331">
        <v>0.21</v>
      </c>
      <c r="G5664" s="332">
        <v>1782</v>
      </c>
      <c r="H5664" s="333">
        <v>2157</v>
      </c>
    </row>
    <row r="5665" spans="1:8">
      <c r="A5665" s="317">
        <v>1610390068</v>
      </c>
      <c r="B5665" s="330" t="s">
        <v>50031</v>
      </c>
      <c r="C5665" s="330" t="s">
        <v>14627</v>
      </c>
      <c r="D5665" s="330" t="s">
        <v>14628</v>
      </c>
      <c r="E5665" s="330" t="s">
        <v>37248</v>
      </c>
      <c r="F5665" s="331">
        <v>0.21</v>
      </c>
      <c r="G5665" s="332">
        <v>16744</v>
      </c>
      <c r="H5665" s="333">
        <v>20261</v>
      </c>
    </row>
    <row r="5666" spans="1:8">
      <c r="A5666" s="317">
        <v>1610390069</v>
      </c>
      <c r="B5666" s="330" t="s">
        <v>50032</v>
      </c>
      <c r="C5666" s="330" t="s">
        <v>14629</v>
      </c>
      <c r="D5666" s="330" t="s">
        <v>14630</v>
      </c>
      <c r="E5666" s="330" t="s">
        <v>4819</v>
      </c>
      <c r="F5666" s="331">
        <v>0.21</v>
      </c>
      <c r="G5666" s="332">
        <v>863</v>
      </c>
      <c r="H5666" s="333">
        <v>1045</v>
      </c>
    </row>
    <row r="5667" spans="1:8">
      <c r="A5667" s="317">
        <v>1610400022</v>
      </c>
      <c r="B5667" s="330" t="s">
        <v>50033</v>
      </c>
      <c r="C5667" s="330" t="s">
        <v>14631</v>
      </c>
      <c r="D5667" s="330" t="s">
        <v>14632</v>
      </c>
      <c r="E5667" s="330" t="s">
        <v>4634</v>
      </c>
      <c r="F5667" s="331">
        <v>0.21</v>
      </c>
      <c r="G5667" s="332">
        <v>437</v>
      </c>
      <c r="H5667" s="333">
        <v>529</v>
      </c>
    </row>
    <row r="5668" spans="1:8">
      <c r="A5668" s="317">
        <v>1610400029</v>
      </c>
      <c r="B5668" s="330" t="s">
        <v>50034</v>
      </c>
      <c r="C5668" s="330" t="s">
        <v>14633</v>
      </c>
      <c r="D5668" s="330" t="s">
        <v>14634</v>
      </c>
      <c r="E5668" s="330" t="s">
        <v>4634</v>
      </c>
      <c r="F5668" s="331">
        <v>0.21</v>
      </c>
      <c r="G5668" s="332">
        <v>2707</v>
      </c>
      <c r="H5668" s="333">
        <v>3276</v>
      </c>
    </row>
    <row r="5669" spans="1:8">
      <c r="A5669" s="317">
        <v>1610400030</v>
      </c>
      <c r="B5669" s="330" t="s">
        <v>50035</v>
      </c>
      <c r="C5669" s="330" t="s">
        <v>14635</v>
      </c>
      <c r="D5669" s="330" t="s">
        <v>14636</v>
      </c>
      <c r="E5669" s="330" t="s">
        <v>4634</v>
      </c>
      <c r="F5669" s="331">
        <v>0.21</v>
      </c>
      <c r="G5669" s="332">
        <v>437</v>
      </c>
      <c r="H5669" s="333">
        <v>529</v>
      </c>
    </row>
    <row r="5670" spans="1:8">
      <c r="A5670" s="317">
        <v>1610400039</v>
      </c>
      <c r="B5670" s="330" t="s">
        <v>50036</v>
      </c>
      <c r="C5670" s="330" t="s">
        <v>14637</v>
      </c>
      <c r="D5670" s="330" t="s">
        <v>14638</v>
      </c>
      <c r="E5670" s="330" t="s">
        <v>4634</v>
      </c>
      <c r="F5670" s="331">
        <v>0.21</v>
      </c>
      <c r="G5670" s="332">
        <v>1951</v>
      </c>
      <c r="H5670" s="333">
        <v>2361</v>
      </c>
    </row>
    <row r="5671" spans="1:8">
      <c r="A5671" s="317">
        <v>1610415003</v>
      </c>
      <c r="B5671" s="330" t="s">
        <v>50037</v>
      </c>
      <c r="C5671" s="330" t="s">
        <v>14639</v>
      </c>
      <c r="D5671" s="330" t="s">
        <v>14640</v>
      </c>
      <c r="E5671" s="330" t="s">
        <v>4634</v>
      </c>
      <c r="F5671" s="331">
        <v>0.21</v>
      </c>
      <c r="G5671" s="332">
        <v>2324</v>
      </c>
      <c r="H5671" s="333">
        <v>2813</v>
      </c>
    </row>
    <row r="5672" spans="1:8">
      <c r="A5672" s="317">
        <v>1610415004</v>
      </c>
      <c r="B5672" s="330" t="s">
        <v>50038</v>
      </c>
      <c r="C5672" s="330" t="s">
        <v>14641</v>
      </c>
      <c r="D5672" s="330" t="s">
        <v>14642</v>
      </c>
      <c r="E5672" s="330" t="s">
        <v>37248</v>
      </c>
      <c r="F5672" s="331">
        <v>0.21</v>
      </c>
      <c r="G5672" s="332">
        <v>1880</v>
      </c>
      <c r="H5672" s="333">
        <v>2275</v>
      </c>
    </row>
    <row r="5673" spans="1:8">
      <c r="A5673" s="317">
        <v>1610415005</v>
      </c>
      <c r="B5673" s="330" t="s">
        <v>50039</v>
      </c>
      <c r="C5673" s="330" t="s">
        <v>14643</v>
      </c>
      <c r="D5673" s="330" t="s">
        <v>14642</v>
      </c>
      <c r="E5673" s="330" t="s">
        <v>37248</v>
      </c>
      <c r="F5673" s="331">
        <v>0.21</v>
      </c>
      <c r="G5673" s="332">
        <v>1880</v>
      </c>
      <c r="H5673" s="333">
        <v>2275</v>
      </c>
    </row>
    <row r="5674" spans="1:8">
      <c r="A5674" s="317">
        <v>1610420004</v>
      </c>
      <c r="B5674" s="330" t="s">
        <v>50040</v>
      </c>
      <c r="C5674" s="330" t="s">
        <v>14644</v>
      </c>
      <c r="D5674" s="330" t="s">
        <v>14645</v>
      </c>
      <c r="E5674" s="330" t="s">
        <v>4634</v>
      </c>
      <c r="F5674" s="331">
        <v>0.21</v>
      </c>
      <c r="G5674" s="332">
        <v>8075</v>
      </c>
      <c r="H5674" s="333">
        <v>9771</v>
      </c>
    </row>
    <row r="5675" spans="1:8">
      <c r="A5675" s="317">
        <v>1610420005</v>
      </c>
      <c r="B5675" s="330" t="s">
        <v>50041</v>
      </c>
      <c r="C5675" s="330" t="s">
        <v>14646</v>
      </c>
      <c r="D5675" s="330" t="s">
        <v>14647</v>
      </c>
      <c r="E5675" s="330" t="s">
        <v>4819</v>
      </c>
      <c r="F5675" s="331">
        <v>0.21</v>
      </c>
      <c r="G5675" s="332">
        <v>28038</v>
      </c>
      <c r="H5675" s="333">
        <v>33926</v>
      </c>
    </row>
    <row r="5676" spans="1:8">
      <c r="A5676" s="317">
        <v>1610420006</v>
      </c>
      <c r="B5676" s="330" t="s">
        <v>50042</v>
      </c>
      <c r="C5676" s="330" t="s">
        <v>14648</v>
      </c>
      <c r="D5676" s="330" t="s">
        <v>14649</v>
      </c>
      <c r="E5676" s="330" t="s">
        <v>4819</v>
      </c>
      <c r="F5676" s="331">
        <v>0.21</v>
      </c>
      <c r="G5676" s="332">
        <v>26568</v>
      </c>
      <c r="H5676" s="333">
        <v>32148</v>
      </c>
    </row>
    <row r="5677" spans="1:8">
      <c r="A5677" s="317">
        <v>1610422012</v>
      </c>
      <c r="B5677" s="330" t="s">
        <v>50043</v>
      </c>
      <c r="C5677" s="330" t="s">
        <v>14650</v>
      </c>
      <c r="D5677" s="330" t="s">
        <v>14651</v>
      </c>
      <c r="E5677" s="330" t="s">
        <v>4634</v>
      </c>
      <c r="F5677" s="331">
        <v>0.21</v>
      </c>
      <c r="G5677" s="332">
        <v>928</v>
      </c>
      <c r="H5677" s="333">
        <v>1123</v>
      </c>
    </row>
    <row r="5678" spans="1:8">
      <c r="A5678" s="317">
        <v>1610422017</v>
      </c>
      <c r="B5678" s="330" t="s">
        <v>50044</v>
      </c>
      <c r="C5678" s="330" t="s">
        <v>14652</v>
      </c>
      <c r="D5678" s="330" t="s">
        <v>14245</v>
      </c>
      <c r="E5678" s="330" t="s">
        <v>4819</v>
      </c>
      <c r="F5678" s="331">
        <v>0.21</v>
      </c>
      <c r="G5678" s="332">
        <v>5068</v>
      </c>
      <c r="H5678" s="333">
        <v>6133</v>
      </c>
    </row>
    <row r="5679" spans="1:8">
      <c r="A5679" s="317">
        <v>1610422021</v>
      </c>
      <c r="B5679" s="330" t="s">
        <v>50045</v>
      </c>
      <c r="C5679" s="330" t="s">
        <v>14653</v>
      </c>
      <c r="D5679" s="330" t="s">
        <v>13516</v>
      </c>
      <c r="E5679" s="330" t="s">
        <v>4634</v>
      </c>
      <c r="F5679" s="331">
        <v>0.21</v>
      </c>
      <c r="G5679" s="332">
        <v>963</v>
      </c>
      <c r="H5679" s="333">
        <v>1166</v>
      </c>
    </row>
    <row r="5680" spans="1:8">
      <c r="A5680" s="317">
        <v>1610499008</v>
      </c>
      <c r="B5680" s="330" t="s">
        <v>50046</v>
      </c>
      <c r="C5680" s="330" t="s">
        <v>14654</v>
      </c>
      <c r="D5680" s="330" t="s">
        <v>14655</v>
      </c>
      <c r="E5680" s="330" t="s">
        <v>4634</v>
      </c>
      <c r="F5680" s="331">
        <v>0.21</v>
      </c>
      <c r="G5680" s="332">
        <v>106</v>
      </c>
      <c r="H5680" s="333">
        <v>129</v>
      </c>
    </row>
    <row r="5681" spans="1:8">
      <c r="A5681" s="317">
        <v>1610499010</v>
      </c>
      <c r="B5681" s="330" t="s">
        <v>50047</v>
      </c>
      <c r="C5681" s="330" t="s">
        <v>14656</v>
      </c>
      <c r="D5681" s="330" t="s">
        <v>14657</v>
      </c>
      <c r="E5681" s="330" t="s">
        <v>4634</v>
      </c>
      <c r="F5681" s="331">
        <v>0.21</v>
      </c>
      <c r="G5681" s="332">
        <v>319</v>
      </c>
      <c r="H5681" s="333">
        <v>386</v>
      </c>
    </row>
    <row r="5682" spans="1:8">
      <c r="A5682" s="317">
        <v>1610499012</v>
      </c>
      <c r="B5682" s="330" t="s">
        <v>50048</v>
      </c>
      <c r="C5682" s="330" t="s">
        <v>14658</v>
      </c>
      <c r="D5682" s="330" t="s">
        <v>14659</v>
      </c>
      <c r="E5682" s="330" t="s">
        <v>37248</v>
      </c>
      <c r="F5682" s="331">
        <v>0.21</v>
      </c>
      <c r="G5682" s="332">
        <v>1764</v>
      </c>
      <c r="H5682" s="333">
        <v>2135</v>
      </c>
    </row>
    <row r="5683" spans="1:8">
      <c r="A5683" s="317">
        <v>1610499015</v>
      </c>
      <c r="B5683" s="330" t="s">
        <v>50049</v>
      </c>
      <c r="C5683" s="330" t="s">
        <v>14660</v>
      </c>
      <c r="D5683" s="330" t="s">
        <v>14661</v>
      </c>
      <c r="E5683" s="330" t="s">
        <v>4634</v>
      </c>
      <c r="F5683" s="331">
        <v>0.21</v>
      </c>
      <c r="G5683" s="332">
        <v>6051</v>
      </c>
      <c r="H5683" s="333">
        <v>7322</v>
      </c>
    </row>
    <row r="5684" spans="1:8">
      <c r="A5684" s="317">
        <v>1610499016</v>
      </c>
      <c r="B5684" s="330" t="s">
        <v>50050</v>
      </c>
      <c r="C5684" s="330" t="s">
        <v>14662</v>
      </c>
      <c r="D5684" s="330" t="s">
        <v>14663</v>
      </c>
      <c r="E5684" s="330" t="s">
        <v>4634</v>
      </c>
      <c r="F5684" s="331">
        <v>0.21</v>
      </c>
      <c r="G5684" s="332">
        <v>3301</v>
      </c>
      <c r="H5684" s="333">
        <v>3995</v>
      </c>
    </row>
    <row r="5685" spans="1:8">
      <c r="A5685" s="317">
        <v>1610499022</v>
      </c>
      <c r="B5685" s="330" t="s">
        <v>50051</v>
      </c>
      <c r="C5685" s="330" t="s">
        <v>14664</v>
      </c>
      <c r="D5685" s="330" t="s">
        <v>14665</v>
      </c>
      <c r="E5685" s="330" t="s">
        <v>37248</v>
      </c>
      <c r="F5685" s="331">
        <v>0.21</v>
      </c>
      <c r="G5685" s="332">
        <v>5409</v>
      </c>
      <c r="H5685" s="333">
        <v>6545</v>
      </c>
    </row>
    <row r="5686" spans="1:8">
      <c r="A5686" s="317">
        <v>1610499025</v>
      </c>
      <c r="B5686" s="330" t="s">
        <v>50052</v>
      </c>
      <c r="C5686" s="330" t="s">
        <v>14666</v>
      </c>
      <c r="D5686" s="330" t="s">
        <v>14667</v>
      </c>
      <c r="E5686" s="330" t="s">
        <v>4634</v>
      </c>
      <c r="F5686" s="331">
        <v>0.21</v>
      </c>
      <c r="G5686" s="332">
        <v>1431</v>
      </c>
      <c r="H5686" s="333">
        <v>1732</v>
      </c>
    </row>
    <row r="5687" spans="1:8">
      <c r="A5687" s="317">
        <v>1610499027</v>
      </c>
      <c r="B5687" s="330" t="s">
        <v>50053</v>
      </c>
      <c r="C5687" s="330" t="s">
        <v>14668</v>
      </c>
      <c r="D5687" s="330" t="s">
        <v>14669</v>
      </c>
      <c r="E5687" s="330" t="s">
        <v>4634</v>
      </c>
      <c r="F5687" s="331">
        <v>0.21</v>
      </c>
      <c r="G5687" s="332">
        <v>648</v>
      </c>
      <c r="H5687" s="333">
        <v>785</v>
      </c>
    </row>
    <row r="5688" spans="1:8">
      <c r="A5688" s="317">
        <v>1610499032</v>
      </c>
      <c r="B5688" s="330" t="s">
        <v>50054</v>
      </c>
      <c r="C5688" s="330" t="s">
        <v>14670</v>
      </c>
      <c r="D5688" s="330" t="s">
        <v>14671</v>
      </c>
      <c r="E5688" s="330" t="s">
        <v>4634</v>
      </c>
      <c r="F5688" s="331">
        <v>0.21</v>
      </c>
      <c r="G5688" s="332">
        <v>1431</v>
      </c>
      <c r="H5688" s="333">
        <v>1732</v>
      </c>
    </row>
    <row r="5689" spans="1:8">
      <c r="A5689" s="317">
        <v>1610499042</v>
      </c>
      <c r="B5689" s="330" t="s">
        <v>50055</v>
      </c>
      <c r="C5689" s="330" t="s">
        <v>14672</v>
      </c>
      <c r="D5689" s="330" t="s">
        <v>14673</v>
      </c>
      <c r="E5689" s="330" t="s">
        <v>37248</v>
      </c>
      <c r="F5689" s="331">
        <v>0.21</v>
      </c>
      <c r="G5689" s="332">
        <v>2156</v>
      </c>
      <c r="H5689" s="333">
        <v>2609</v>
      </c>
    </row>
    <row r="5690" spans="1:8">
      <c r="A5690" s="317">
        <v>1610499054</v>
      </c>
      <c r="B5690" s="330" t="s">
        <v>50056</v>
      </c>
      <c r="C5690" s="330" t="s">
        <v>14674</v>
      </c>
      <c r="D5690" s="330" t="s">
        <v>14675</v>
      </c>
      <c r="E5690" s="330" t="s">
        <v>4819</v>
      </c>
      <c r="F5690" s="331">
        <v>0.21</v>
      </c>
      <c r="G5690" s="332">
        <v>919</v>
      </c>
      <c r="H5690" s="333">
        <v>1112</v>
      </c>
    </row>
    <row r="5691" spans="1:8">
      <c r="A5691" s="317">
        <v>1610499059</v>
      </c>
      <c r="B5691" s="330" t="s">
        <v>50057</v>
      </c>
      <c r="C5691" s="330" t="s">
        <v>14676</v>
      </c>
      <c r="D5691" s="330" t="s">
        <v>14677</v>
      </c>
      <c r="E5691" s="330" t="s">
        <v>37248</v>
      </c>
      <c r="F5691" s="331">
        <v>0.21</v>
      </c>
      <c r="G5691" s="332">
        <v>4240</v>
      </c>
      <c r="H5691" s="333">
        <v>5131</v>
      </c>
    </row>
    <row r="5692" spans="1:8">
      <c r="A5692" s="317">
        <v>1610499064</v>
      </c>
      <c r="B5692" s="330" t="s">
        <v>50058</v>
      </c>
      <c r="C5692" s="330" t="s">
        <v>14678</v>
      </c>
      <c r="D5692" s="330" t="s">
        <v>14679</v>
      </c>
      <c r="E5692" s="330" t="s">
        <v>4819</v>
      </c>
      <c r="F5692" s="331">
        <v>0.21</v>
      </c>
      <c r="G5692" s="332">
        <v>18191</v>
      </c>
      <c r="H5692" s="333">
        <v>22012</v>
      </c>
    </row>
    <row r="5693" spans="1:8">
      <c r="A5693" s="317">
        <v>1610499067</v>
      </c>
      <c r="B5693" s="330" t="s">
        <v>50059</v>
      </c>
      <c r="C5693" s="330" t="s">
        <v>14680</v>
      </c>
      <c r="D5693" s="330" t="s">
        <v>14681</v>
      </c>
      <c r="E5693" s="330" t="s">
        <v>4634</v>
      </c>
      <c r="F5693" s="331">
        <v>0.21</v>
      </c>
      <c r="G5693" s="332">
        <v>1199</v>
      </c>
      <c r="H5693" s="333">
        <v>1451</v>
      </c>
    </row>
    <row r="5694" spans="1:8">
      <c r="A5694" s="317">
        <v>1610499069</v>
      </c>
      <c r="B5694" s="330" t="s">
        <v>50060</v>
      </c>
      <c r="C5694" s="330" t="s">
        <v>14682</v>
      </c>
      <c r="D5694" s="330" t="s">
        <v>14683</v>
      </c>
      <c r="E5694" s="330" t="s">
        <v>4634</v>
      </c>
      <c r="F5694" s="331">
        <v>0.21</v>
      </c>
      <c r="G5694" s="332">
        <v>3047</v>
      </c>
      <c r="H5694" s="333">
        <v>3687</v>
      </c>
    </row>
    <row r="5695" spans="1:8">
      <c r="A5695" s="317">
        <v>1610499070</v>
      </c>
      <c r="B5695" s="330" t="s">
        <v>50061</v>
      </c>
      <c r="C5695" s="330" t="s">
        <v>14684</v>
      </c>
      <c r="D5695" s="330" t="s">
        <v>14685</v>
      </c>
      <c r="E5695" s="330" t="s">
        <v>4634</v>
      </c>
      <c r="F5695" s="331">
        <v>0.21</v>
      </c>
      <c r="G5695" s="332">
        <v>3935</v>
      </c>
      <c r="H5695" s="333">
        <v>4762</v>
      </c>
    </row>
    <row r="5696" spans="1:8">
      <c r="A5696" s="317">
        <v>1610499073</v>
      </c>
      <c r="B5696" s="330" t="s">
        <v>50062</v>
      </c>
      <c r="C5696" s="330" t="s">
        <v>14686</v>
      </c>
      <c r="D5696" s="330" t="s">
        <v>14687</v>
      </c>
      <c r="E5696" s="330" t="s">
        <v>4634</v>
      </c>
      <c r="F5696" s="331">
        <v>0.21</v>
      </c>
      <c r="G5696" s="332">
        <v>1267</v>
      </c>
      <c r="H5696" s="333">
        <v>1534</v>
      </c>
    </row>
    <row r="5697" spans="1:8">
      <c r="A5697" s="317">
        <v>1610499076</v>
      </c>
      <c r="B5697" s="330" t="s">
        <v>50063</v>
      </c>
      <c r="C5697" s="330" t="s">
        <v>14688</v>
      </c>
      <c r="D5697" s="330" t="s">
        <v>14689</v>
      </c>
      <c r="E5697" s="330" t="s">
        <v>4819</v>
      </c>
      <c r="F5697" s="331">
        <v>0.21</v>
      </c>
      <c r="G5697" s="332">
        <v>10785</v>
      </c>
      <c r="H5697" s="333">
        <v>13050</v>
      </c>
    </row>
    <row r="5698" spans="1:8">
      <c r="A5698" s="317">
        <v>1610499078</v>
      </c>
      <c r="B5698" s="330" t="s">
        <v>50064</v>
      </c>
      <c r="C5698" s="330" t="s">
        <v>14690</v>
      </c>
      <c r="D5698" s="330" t="s">
        <v>14691</v>
      </c>
      <c r="E5698" s="330" t="s">
        <v>37248</v>
      </c>
      <c r="F5698" s="331">
        <v>0.21</v>
      </c>
      <c r="G5698" s="332">
        <v>5418</v>
      </c>
      <c r="H5698" s="333">
        <v>6556</v>
      </c>
    </row>
    <row r="5699" spans="1:8">
      <c r="A5699" s="317">
        <v>1610499080</v>
      </c>
      <c r="B5699" s="330" t="s">
        <v>50065</v>
      </c>
      <c r="C5699" s="330" t="s">
        <v>14692</v>
      </c>
      <c r="D5699" s="330" t="s">
        <v>14693</v>
      </c>
      <c r="E5699" s="330" t="s">
        <v>37248</v>
      </c>
      <c r="F5699" s="331">
        <v>0.21</v>
      </c>
      <c r="G5699" s="332">
        <v>758</v>
      </c>
      <c r="H5699" s="333">
        <v>918</v>
      </c>
    </row>
    <row r="5700" spans="1:8">
      <c r="A5700" s="317">
        <v>1610500004</v>
      </c>
      <c r="B5700" s="330" t="s">
        <v>50066</v>
      </c>
      <c r="C5700" s="330" t="s">
        <v>14694</v>
      </c>
      <c r="D5700" s="330" t="s">
        <v>14695</v>
      </c>
      <c r="E5700" s="330" t="s">
        <v>4634</v>
      </c>
      <c r="F5700" s="331">
        <v>0.21</v>
      </c>
      <c r="G5700" s="332">
        <v>584</v>
      </c>
      <c r="H5700" s="333">
        <v>707</v>
      </c>
    </row>
    <row r="5701" spans="1:8">
      <c r="A5701" s="317">
        <v>1610500013</v>
      </c>
      <c r="B5701" s="330" t="s">
        <v>50067</v>
      </c>
      <c r="C5701" s="330" t="s">
        <v>14696</v>
      </c>
      <c r="D5701" s="330" t="s">
        <v>14697</v>
      </c>
      <c r="E5701" s="330" t="s">
        <v>4634</v>
      </c>
      <c r="F5701" s="331">
        <v>0.21</v>
      </c>
      <c r="G5701" s="332">
        <v>584</v>
      </c>
      <c r="H5701" s="333">
        <v>707</v>
      </c>
    </row>
    <row r="5702" spans="1:8">
      <c r="A5702" s="317">
        <v>1610500016</v>
      </c>
      <c r="B5702" s="330" t="s">
        <v>50068</v>
      </c>
      <c r="C5702" s="330" t="s">
        <v>14698</v>
      </c>
      <c r="D5702" s="330" t="s">
        <v>14699</v>
      </c>
      <c r="E5702" s="330" t="s">
        <v>4634</v>
      </c>
      <c r="F5702" s="331">
        <v>0.21</v>
      </c>
      <c r="G5702" s="332">
        <v>1195</v>
      </c>
      <c r="H5702" s="333">
        <v>1446</v>
      </c>
    </row>
    <row r="5703" spans="1:8">
      <c r="A5703" s="317">
        <v>1610500021</v>
      </c>
      <c r="B5703" s="330" t="s">
        <v>50069</v>
      </c>
      <c r="C5703" s="330" t="s">
        <v>14700</v>
      </c>
      <c r="D5703" s="330" t="s">
        <v>6458</v>
      </c>
      <c r="E5703" s="330" t="s">
        <v>37248</v>
      </c>
      <c r="F5703" s="331">
        <v>0.21</v>
      </c>
      <c r="G5703" s="332">
        <v>10457</v>
      </c>
      <c r="H5703" s="333">
        <v>12653</v>
      </c>
    </row>
    <row r="5704" spans="1:8">
      <c r="A5704" s="317">
        <v>1610500023</v>
      </c>
      <c r="B5704" s="330" t="s">
        <v>50070</v>
      </c>
      <c r="C5704" s="330" t="s">
        <v>14701</v>
      </c>
      <c r="D5704" s="330" t="s">
        <v>6914</v>
      </c>
      <c r="E5704" s="330" t="s">
        <v>37248</v>
      </c>
      <c r="F5704" s="331">
        <v>0.21</v>
      </c>
      <c r="G5704" s="332">
        <v>9018</v>
      </c>
      <c r="H5704" s="333">
        <v>10912</v>
      </c>
    </row>
    <row r="5705" spans="1:8">
      <c r="A5705" s="317">
        <v>1610500024</v>
      </c>
      <c r="B5705" s="330" t="s">
        <v>50071</v>
      </c>
      <c r="C5705" s="330" t="s">
        <v>14702</v>
      </c>
      <c r="D5705" s="330" t="s">
        <v>14075</v>
      </c>
      <c r="E5705" s="330" t="s">
        <v>37248</v>
      </c>
      <c r="F5705" s="331">
        <v>0.21</v>
      </c>
      <c r="G5705" s="332">
        <v>1793</v>
      </c>
      <c r="H5705" s="333">
        <v>2170</v>
      </c>
    </row>
    <row r="5706" spans="1:8">
      <c r="A5706" s="317">
        <v>1610500025</v>
      </c>
      <c r="B5706" s="330" t="s">
        <v>50072</v>
      </c>
      <c r="C5706" s="330" t="s">
        <v>14703</v>
      </c>
      <c r="D5706" s="330" t="s">
        <v>14704</v>
      </c>
      <c r="E5706" s="330" t="s">
        <v>37248</v>
      </c>
      <c r="F5706" s="331">
        <v>0.21</v>
      </c>
      <c r="G5706" s="332">
        <v>3337</v>
      </c>
      <c r="H5706" s="333">
        <v>4038</v>
      </c>
    </row>
    <row r="5707" spans="1:8">
      <c r="A5707" s="317">
        <v>1610500026</v>
      </c>
      <c r="B5707" s="330" t="s">
        <v>50073</v>
      </c>
      <c r="C5707" s="330" t="s">
        <v>14705</v>
      </c>
      <c r="D5707" s="330" t="s">
        <v>14706</v>
      </c>
      <c r="E5707" s="330" t="s">
        <v>4819</v>
      </c>
      <c r="F5707" s="331">
        <v>0.21</v>
      </c>
      <c r="G5707" s="332">
        <v>2237</v>
      </c>
      <c r="H5707" s="333">
        <v>2707</v>
      </c>
    </row>
    <row r="5708" spans="1:8">
      <c r="A5708" s="317">
        <v>1610501031</v>
      </c>
      <c r="B5708" s="330" t="s">
        <v>50074</v>
      </c>
      <c r="C5708" s="330" t="s">
        <v>14707</v>
      </c>
      <c r="D5708" s="330" t="s">
        <v>6109</v>
      </c>
      <c r="E5708" s="330" t="s">
        <v>4634</v>
      </c>
      <c r="F5708" s="331">
        <v>0.21</v>
      </c>
      <c r="G5708" s="332">
        <v>1155</v>
      </c>
      <c r="H5708" s="333">
        <v>1398</v>
      </c>
    </row>
    <row r="5709" spans="1:8">
      <c r="A5709" s="317">
        <v>1610501036</v>
      </c>
      <c r="B5709" s="330" t="s">
        <v>50075</v>
      </c>
      <c r="C5709" s="330" t="s">
        <v>14708</v>
      </c>
      <c r="D5709" s="330" t="s">
        <v>14709</v>
      </c>
      <c r="E5709" s="330" t="s">
        <v>4634</v>
      </c>
      <c r="F5709" s="331">
        <v>0.21</v>
      </c>
      <c r="G5709" s="332">
        <v>1882</v>
      </c>
      <c r="H5709" s="333">
        <v>2278</v>
      </c>
    </row>
    <row r="5710" spans="1:8">
      <c r="A5710" s="317">
        <v>1610502011</v>
      </c>
      <c r="B5710" s="330" t="s">
        <v>50076</v>
      </c>
      <c r="C5710" s="330" t="s">
        <v>14710</v>
      </c>
      <c r="D5710" s="330" t="s">
        <v>14711</v>
      </c>
      <c r="E5710" s="330" t="s">
        <v>4634</v>
      </c>
      <c r="F5710" s="331">
        <v>0.21</v>
      </c>
      <c r="G5710" s="332">
        <v>580</v>
      </c>
      <c r="H5710" s="333">
        <v>702</v>
      </c>
    </row>
    <row r="5711" spans="1:8">
      <c r="A5711" s="317">
        <v>1610502012</v>
      </c>
      <c r="B5711" s="330" t="s">
        <v>50077</v>
      </c>
      <c r="C5711" s="330" t="s">
        <v>14712</v>
      </c>
      <c r="D5711" s="330" t="s">
        <v>12614</v>
      </c>
      <c r="E5711" s="330" t="s">
        <v>4819</v>
      </c>
      <c r="F5711" s="331">
        <v>0.21</v>
      </c>
      <c r="G5711" s="332">
        <v>1565</v>
      </c>
      <c r="H5711" s="333">
        <v>1894</v>
      </c>
    </row>
    <row r="5712" spans="1:8">
      <c r="A5712" s="317">
        <v>1610506013</v>
      </c>
      <c r="B5712" s="330" t="s">
        <v>50078</v>
      </c>
      <c r="C5712" s="330" t="s">
        <v>14713</v>
      </c>
      <c r="D5712" s="330" t="s">
        <v>14714</v>
      </c>
      <c r="E5712" s="330" t="s">
        <v>4634</v>
      </c>
      <c r="F5712" s="331">
        <v>0.21</v>
      </c>
      <c r="G5712" s="332">
        <v>437</v>
      </c>
      <c r="H5712" s="333">
        <v>529</v>
      </c>
    </row>
    <row r="5713" spans="1:8">
      <c r="A5713" s="317">
        <v>1610506015</v>
      </c>
      <c r="B5713" s="330" t="s">
        <v>50079</v>
      </c>
      <c r="C5713" s="330" t="s">
        <v>14715</v>
      </c>
      <c r="D5713" s="330" t="s">
        <v>14716</v>
      </c>
      <c r="E5713" s="330" t="s">
        <v>4634</v>
      </c>
      <c r="F5713" s="331">
        <v>0.21</v>
      </c>
      <c r="G5713" s="332">
        <v>2806</v>
      </c>
      <c r="H5713" s="333">
        <v>3396</v>
      </c>
    </row>
    <row r="5714" spans="1:8">
      <c r="A5714" s="317">
        <v>1610506019</v>
      </c>
      <c r="B5714" s="330" t="s">
        <v>50080</v>
      </c>
      <c r="C5714" s="330" t="s">
        <v>14717</v>
      </c>
      <c r="D5714" s="330" t="s">
        <v>14718</v>
      </c>
      <c r="E5714" s="330" t="s">
        <v>4819</v>
      </c>
      <c r="F5714" s="331">
        <v>0.21</v>
      </c>
      <c r="G5714" s="332">
        <v>53029</v>
      </c>
      <c r="H5714" s="333">
        <v>64166</v>
      </c>
    </row>
    <row r="5715" spans="1:8">
      <c r="A5715" s="317">
        <v>1610508006</v>
      </c>
      <c r="B5715" s="330" t="s">
        <v>50081</v>
      </c>
      <c r="C5715" s="330" t="s">
        <v>14719</v>
      </c>
      <c r="D5715" s="330" t="s">
        <v>7536</v>
      </c>
      <c r="E5715" s="330" t="s">
        <v>4634</v>
      </c>
      <c r="F5715" s="331">
        <v>0.21</v>
      </c>
      <c r="G5715" s="332">
        <v>131</v>
      </c>
      <c r="H5715" s="333">
        <v>159</v>
      </c>
    </row>
    <row r="5716" spans="1:8">
      <c r="A5716" s="317">
        <v>1610508008</v>
      </c>
      <c r="B5716" s="330" t="s">
        <v>50082</v>
      </c>
      <c r="C5716" s="330" t="s">
        <v>14720</v>
      </c>
      <c r="D5716" s="330" t="s">
        <v>14721</v>
      </c>
      <c r="E5716" s="330" t="s">
        <v>37248</v>
      </c>
      <c r="F5716" s="331">
        <v>0.21</v>
      </c>
      <c r="G5716" s="332">
        <v>4218</v>
      </c>
      <c r="H5716" s="333">
        <v>5104</v>
      </c>
    </row>
    <row r="5717" spans="1:8">
      <c r="A5717" s="317">
        <v>1610508017</v>
      </c>
      <c r="B5717" s="330" t="s">
        <v>50083</v>
      </c>
      <c r="C5717" s="330" t="s">
        <v>14722</v>
      </c>
      <c r="D5717" s="330" t="s">
        <v>14723</v>
      </c>
      <c r="E5717" s="330" t="s">
        <v>4819</v>
      </c>
      <c r="F5717" s="331">
        <v>0.21</v>
      </c>
      <c r="G5717" s="332">
        <v>5208</v>
      </c>
      <c r="H5717" s="333">
        <v>6302</v>
      </c>
    </row>
    <row r="5718" spans="1:8">
      <c r="A5718" s="317">
        <v>1610508021</v>
      </c>
      <c r="B5718" s="330" t="s">
        <v>50084</v>
      </c>
      <c r="C5718" s="330" t="s">
        <v>14724</v>
      </c>
      <c r="D5718" s="330" t="s">
        <v>14725</v>
      </c>
      <c r="E5718" s="330" t="s">
        <v>4634</v>
      </c>
      <c r="F5718" s="331">
        <v>0.21</v>
      </c>
      <c r="G5718" s="332">
        <v>455</v>
      </c>
      <c r="H5718" s="333">
        <v>551</v>
      </c>
    </row>
    <row r="5719" spans="1:8">
      <c r="A5719" s="317">
        <v>1610508023</v>
      </c>
      <c r="B5719" s="330" t="s">
        <v>50085</v>
      </c>
      <c r="C5719" s="330" t="s">
        <v>14726</v>
      </c>
      <c r="D5719" s="330" t="s">
        <v>14727</v>
      </c>
      <c r="E5719" s="330" t="s">
        <v>4819</v>
      </c>
      <c r="F5719" s="331">
        <v>0.21</v>
      </c>
      <c r="G5719" s="332">
        <v>7461</v>
      </c>
      <c r="H5719" s="333">
        <v>9028</v>
      </c>
    </row>
    <row r="5720" spans="1:8">
      <c r="A5720" s="317">
        <v>1610508027</v>
      </c>
      <c r="B5720" s="330" t="s">
        <v>50086</v>
      </c>
      <c r="C5720" s="330" t="s">
        <v>14728</v>
      </c>
      <c r="D5720" s="330" t="s">
        <v>14729</v>
      </c>
      <c r="E5720" s="330" t="s">
        <v>37248</v>
      </c>
      <c r="F5720" s="331">
        <v>0.21</v>
      </c>
      <c r="G5720" s="332">
        <v>5177</v>
      </c>
      <c r="H5720" s="333">
        <v>6265</v>
      </c>
    </row>
    <row r="5721" spans="1:8">
      <c r="A5721" s="317">
        <v>1610508029</v>
      </c>
      <c r="B5721" s="330" t="s">
        <v>50087</v>
      </c>
      <c r="C5721" s="330" t="s">
        <v>14730</v>
      </c>
      <c r="D5721" s="330" t="s">
        <v>14731</v>
      </c>
      <c r="E5721" s="330" t="s">
        <v>4634</v>
      </c>
      <c r="F5721" s="331">
        <v>0.21</v>
      </c>
      <c r="G5721" s="332">
        <v>928</v>
      </c>
      <c r="H5721" s="333">
        <v>1123</v>
      </c>
    </row>
    <row r="5722" spans="1:8">
      <c r="A5722" s="317">
        <v>1610508030</v>
      </c>
      <c r="B5722" s="330" t="s">
        <v>50088</v>
      </c>
      <c r="C5722" s="330" t="s">
        <v>14732</v>
      </c>
      <c r="D5722" s="330" t="s">
        <v>14733</v>
      </c>
      <c r="E5722" s="330" t="s">
        <v>4634</v>
      </c>
      <c r="F5722" s="331">
        <v>0.21</v>
      </c>
      <c r="G5722" s="332">
        <v>432</v>
      </c>
      <c r="H5722" s="333">
        <v>523</v>
      </c>
    </row>
    <row r="5723" spans="1:8">
      <c r="A5723" s="317">
        <v>1610508034</v>
      </c>
      <c r="B5723" s="330" t="s">
        <v>50089</v>
      </c>
      <c r="C5723" s="330" t="s">
        <v>14734</v>
      </c>
      <c r="D5723" s="330" t="s">
        <v>14735</v>
      </c>
      <c r="E5723" s="330" t="s">
        <v>4634</v>
      </c>
      <c r="F5723" s="331">
        <v>0.21</v>
      </c>
      <c r="G5723" s="332">
        <v>87</v>
      </c>
      <c r="H5723" s="333">
        <v>106</v>
      </c>
    </row>
    <row r="5724" spans="1:8">
      <c r="A5724" s="317">
        <v>1610508035</v>
      </c>
      <c r="B5724" s="330" t="s">
        <v>50090</v>
      </c>
      <c r="C5724" s="330" t="s">
        <v>14736</v>
      </c>
      <c r="D5724" s="330" t="s">
        <v>14737</v>
      </c>
      <c r="E5724" s="330" t="s">
        <v>37248</v>
      </c>
      <c r="F5724" s="331">
        <v>0.21</v>
      </c>
      <c r="G5724" s="332">
        <v>4515</v>
      </c>
      <c r="H5724" s="333">
        <v>5464</v>
      </c>
    </row>
    <row r="5725" spans="1:8">
      <c r="A5725" s="317">
        <v>1610508039</v>
      </c>
      <c r="B5725" s="330" t="s">
        <v>50091</v>
      </c>
      <c r="C5725" s="330" t="s">
        <v>14738</v>
      </c>
      <c r="D5725" s="330" t="s">
        <v>14739</v>
      </c>
      <c r="E5725" s="330" t="s">
        <v>4634</v>
      </c>
      <c r="F5725" s="331">
        <v>0.21</v>
      </c>
      <c r="G5725" s="332">
        <v>791</v>
      </c>
      <c r="H5725" s="333">
        <v>958</v>
      </c>
    </row>
    <row r="5726" spans="1:8">
      <c r="A5726" s="317">
        <v>1610508050</v>
      </c>
      <c r="B5726" s="330" t="s">
        <v>50092</v>
      </c>
      <c r="C5726" s="330" t="s">
        <v>14740</v>
      </c>
      <c r="D5726" s="330" t="s">
        <v>14741</v>
      </c>
      <c r="E5726" s="330" t="s">
        <v>37248</v>
      </c>
      <c r="F5726" s="331">
        <v>0.21</v>
      </c>
      <c r="G5726" s="332">
        <v>5253</v>
      </c>
      <c r="H5726" s="333">
        <v>6357</v>
      </c>
    </row>
    <row r="5727" spans="1:8">
      <c r="A5727" s="317">
        <v>1610508051</v>
      </c>
      <c r="B5727" s="330" t="s">
        <v>50093</v>
      </c>
      <c r="C5727" s="330" t="s">
        <v>14742</v>
      </c>
      <c r="D5727" s="330" t="s">
        <v>14743</v>
      </c>
      <c r="E5727" s="330" t="s">
        <v>37248</v>
      </c>
      <c r="F5727" s="331">
        <v>0.21</v>
      </c>
      <c r="G5727" s="332">
        <v>5909</v>
      </c>
      <c r="H5727" s="333">
        <v>7150</v>
      </c>
    </row>
    <row r="5728" spans="1:8">
      <c r="A5728" s="317">
        <v>1610508052</v>
      </c>
      <c r="B5728" s="330" t="s">
        <v>50094</v>
      </c>
      <c r="C5728" s="330" t="s">
        <v>14744</v>
      </c>
      <c r="D5728" s="330" t="s">
        <v>4855</v>
      </c>
      <c r="E5728" s="330" t="s">
        <v>37248</v>
      </c>
      <c r="F5728" s="331">
        <v>0.21</v>
      </c>
      <c r="G5728" s="332">
        <v>2197</v>
      </c>
      <c r="H5728" s="333">
        <v>2659</v>
      </c>
    </row>
    <row r="5729" spans="1:8">
      <c r="A5729" s="317">
        <v>1610508054</v>
      </c>
      <c r="B5729" s="330" t="s">
        <v>50095</v>
      </c>
      <c r="C5729" s="330" t="s">
        <v>14745</v>
      </c>
      <c r="D5729" s="330" t="s">
        <v>14746</v>
      </c>
      <c r="E5729" s="330" t="s">
        <v>37248</v>
      </c>
      <c r="F5729" s="331">
        <v>0.21</v>
      </c>
      <c r="G5729" s="332">
        <v>3698</v>
      </c>
      <c r="H5729" s="333">
        <v>4475</v>
      </c>
    </row>
    <row r="5730" spans="1:8">
      <c r="A5730" s="317">
        <v>1610508057</v>
      </c>
      <c r="B5730" s="330" t="s">
        <v>50096</v>
      </c>
      <c r="C5730" s="330" t="s">
        <v>14747</v>
      </c>
      <c r="D5730" s="330" t="s">
        <v>14748</v>
      </c>
      <c r="E5730" s="330" t="s">
        <v>37248</v>
      </c>
      <c r="F5730" s="331">
        <v>0.21</v>
      </c>
      <c r="G5730" s="332">
        <v>8860</v>
      </c>
      <c r="H5730" s="333">
        <v>10721</v>
      </c>
    </row>
    <row r="5731" spans="1:8">
      <c r="A5731" s="317">
        <v>1610508058</v>
      </c>
      <c r="B5731" s="330" t="s">
        <v>50097</v>
      </c>
      <c r="C5731" s="330" t="s">
        <v>14749</v>
      </c>
      <c r="D5731" s="330" t="s">
        <v>14750</v>
      </c>
      <c r="E5731" s="330" t="s">
        <v>37248</v>
      </c>
      <c r="F5731" s="331">
        <v>0.21</v>
      </c>
      <c r="G5731" s="332">
        <v>13210</v>
      </c>
      <c r="H5731" s="333">
        <v>15985</v>
      </c>
    </row>
    <row r="5732" spans="1:8">
      <c r="A5732" s="317">
        <v>1610516007</v>
      </c>
      <c r="B5732" s="330" t="s">
        <v>50098</v>
      </c>
      <c r="C5732" s="330" t="s">
        <v>14751</v>
      </c>
      <c r="D5732" s="330" t="s">
        <v>14752</v>
      </c>
      <c r="E5732" s="330" t="s">
        <v>4634</v>
      </c>
      <c r="F5732" s="331">
        <v>0.21</v>
      </c>
      <c r="G5732" s="332">
        <v>17959</v>
      </c>
      <c r="H5732" s="333">
        <v>21731</v>
      </c>
    </row>
    <row r="5733" spans="1:8">
      <c r="A5733" s="317">
        <v>1610516010</v>
      </c>
      <c r="B5733" s="330" t="s">
        <v>50099</v>
      </c>
      <c r="C5733" s="330" t="s">
        <v>14753</v>
      </c>
      <c r="D5733" s="330" t="s">
        <v>14754</v>
      </c>
      <c r="E5733" s="330" t="s">
        <v>4634</v>
      </c>
      <c r="F5733" s="331">
        <v>0.21</v>
      </c>
      <c r="G5733" s="332">
        <v>437</v>
      </c>
      <c r="H5733" s="333">
        <v>529</v>
      </c>
    </row>
    <row r="5734" spans="1:8">
      <c r="A5734" s="317">
        <v>1610516013</v>
      </c>
      <c r="B5734" s="330" t="s">
        <v>50100</v>
      </c>
      <c r="C5734" s="330" t="s">
        <v>14755</v>
      </c>
      <c r="D5734" s="330" t="s">
        <v>14756</v>
      </c>
      <c r="E5734" s="330" t="s">
        <v>4819</v>
      </c>
      <c r="F5734" s="331">
        <v>0.21</v>
      </c>
      <c r="G5734" s="332">
        <v>3925</v>
      </c>
      <c r="H5734" s="333">
        <v>4750</v>
      </c>
    </row>
    <row r="5735" spans="1:8">
      <c r="A5735" s="317">
        <v>1610516015</v>
      </c>
      <c r="B5735" s="330" t="s">
        <v>50101</v>
      </c>
      <c r="C5735" s="330" t="s">
        <v>14757</v>
      </c>
      <c r="D5735" s="330" t="s">
        <v>14758</v>
      </c>
      <c r="E5735" s="330" t="s">
        <v>4634</v>
      </c>
      <c r="F5735" s="331">
        <v>0.21</v>
      </c>
      <c r="G5735" s="332">
        <v>648</v>
      </c>
      <c r="H5735" s="333">
        <v>785</v>
      </c>
    </row>
    <row r="5736" spans="1:8">
      <c r="A5736" s="317">
        <v>1610516016</v>
      </c>
      <c r="B5736" s="330" t="s">
        <v>50102</v>
      </c>
      <c r="C5736" s="330" t="s">
        <v>14759</v>
      </c>
      <c r="D5736" s="330" t="s">
        <v>14760</v>
      </c>
      <c r="E5736" s="330" t="s">
        <v>4634</v>
      </c>
      <c r="F5736" s="331">
        <v>0.21</v>
      </c>
      <c r="G5736" s="332">
        <v>972</v>
      </c>
      <c r="H5736" s="333">
        <v>1177</v>
      </c>
    </row>
    <row r="5737" spans="1:8">
      <c r="A5737" s="317">
        <v>1610516017</v>
      </c>
      <c r="B5737" s="330" t="s">
        <v>50103</v>
      </c>
      <c r="C5737" s="330" t="s">
        <v>14761</v>
      </c>
      <c r="D5737" s="330" t="s">
        <v>14762</v>
      </c>
      <c r="E5737" s="330" t="s">
        <v>4634</v>
      </c>
      <c r="F5737" s="331">
        <v>0.21</v>
      </c>
      <c r="G5737" s="332">
        <v>3189</v>
      </c>
      <c r="H5737" s="333">
        <v>3859</v>
      </c>
    </row>
    <row r="5738" spans="1:8">
      <c r="A5738" s="317">
        <v>1610520001</v>
      </c>
      <c r="B5738" s="330" t="s">
        <v>50104</v>
      </c>
      <c r="C5738" s="330" t="s">
        <v>14763</v>
      </c>
      <c r="D5738" s="330" t="s">
        <v>14764</v>
      </c>
      <c r="E5738" s="330" t="s">
        <v>37248</v>
      </c>
      <c r="F5738" s="331">
        <v>0.21</v>
      </c>
      <c r="G5738" s="332">
        <v>16936</v>
      </c>
      <c r="H5738" s="333">
        <v>20493</v>
      </c>
    </row>
    <row r="5739" spans="1:8">
      <c r="A5739" s="317">
        <v>1610520003</v>
      </c>
      <c r="B5739" s="330" t="s">
        <v>50105</v>
      </c>
      <c r="C5739" s="330" t="s">
        <v>14765</v>
      </c>
      <c r="D5739" s="330" t="s">
        <v>14766</v>
      </c>
      <c r="E5739" s="330" t="s">
        <v>37248</v>
      </c>
      <c r="F5739" s="331">
        <v>0.21</v>
      </c>
      <c r="G5739" s="332">
        <v>4950</v>
      </c>
      <c r="H5739" s="333">
        <v>5990</v>
      </c>
    </row>
    <row r="5740" spans="1:8">
      <c r="A5740" s="317">
        <v>1610520005</v>
      </c>
      <c r="B5740" s="330" t="s">
        <v>50106</v>
      </c>
      <c r="C5740" s="330" t="s">
        <v>14767</v>
      </c>
      <c r="D5740" s="330" t="s">
        <v>14768</v>
      </c>
      <c r="E5740" s="330" t="s">
        <v>4819</v>
      </c>
      <c r="F5740" s="331">
        <v>0.21</v>
      </c>
      <c r="G5740" s="332">
        <v>9016</v>
      </c>
      <c r="H5740" s="333">
        <v>10910</v>
      </c>
    </row>
    <row r="5741" spans="1:8">
      <c r="A5741" s="317">
        <v>1610520006</v>
      </c>
      <c r="B5741" s="330" t="s">
        <v>50107</v>
      </c>
      <c r="C5741" s="330" t="s">
        <v>14769</v>
      </c>
      <c r="D5741" s="330" t="s">
        <v>14770</v>
      </c>
      <c r="E5741" s="330" t="s">
        <v>37248</v>
      </c>
      <c r="F5741" s="331">
        <v>0.21</v>
      </c>
      <c r="G5741" s="332">
        <v>3040</v>
      </c>
      <c r="H5741" s="333">
        <v>3679</v>
      </c>
    </row>
    <row r="5742" spans="1:8">
      <c r="A5742" s="317">
        <v>1610520007</v>
      </c>
      <c r="B5742" s="330" t="s">
        <v>50108</v>
      </c>
      <c r="C5742" s="330" t="s">
        <v>14771</v>
      </c>
      <c r="D5742" s="330" t="s">
        <v>14772</v>
      </c>
      <c r="E5742" s="330" t="s">
        <v>4819</v>
      </c>
      <c r="F5742" s="331">
        <v>0.21</v>
      </c>
      <c r="G5742" s="332">
        <v>4851</v>
      </c>
      <c r="H5742" s="333">
        <v>5870</v>
      </c>
    </row>
    <row r="5743" spans="1:8">
      <c r="A5743" s="317">
        <v>1610521011</v>
      </c>
      <c r="B5743" s="330" t="s">
        <v>50109</v>
      </c>
      <c r="C5743" s="330" t="s">
        <v>14773</v>
      </c>
      <c r="D5743" s="330" t="s">
        <v>14774</v>
      </c>
      <c r="E5743" s="330" t="s">
        <v>37248</v>
      </c>
      <c r="F5743" s="331">
        <v>0.21</v>
      </c>
      <c r="G5743" s="332">
        <v>23235</v>
      </c>
      <c r="H5743" s="333">
        <v>28115</v>
      </c>
    </row>
    <row r="5744" spans="1:8">
      <c r="A5744" s="317">
        <v>1610522005</v>
      </c>
      <c r="B5744" s="330" t="s">
        <v>50110</v>
      </c>
      <c r="C5744" s="330" t="s">
        <v>14775</v>
      </c>
      <c r="D5744" s="330" t="s">
        <v>10123</v>
      </c>
      <c r="E5744" s="330" t="s">
        <v>4634</v>
      </c>
      <c r="F5744" s="331">
        <v>0.21</v>
      </c>
      <c r="G5744" s="332">
        <v>126</v>
      </c>
      <c r="H5744" s="333">
        <v>153</v>
      </c>
    </row>
    <row r="5745" spans="1:8">
      <c r="A5745" s="317">
        <v>1610522008</v>
      </c>
      <c r="B5745" s="330" t="s">
        <v>50111</v>
      </c>
      <c r="C5745" s="330" t="s">
        <v>14776</v>
      </c>
      <c r="D5745" s="330" t="s">
        <v>14777</v>
      </c>
      <c r="E5745" s="330" t="s">
        <v>4634</v>
      </c>
      <c r="F5745" s="331">
        <v>0.21</v>
      </c>
      <c r="G5745" s="332">
        <v>372</v>
      </c>
      <c r="H5745" s="333">
        <v>451</v>
      </c>
    </row>
    <row r="5746" spans="1:8">
      <c r="A5746" s="317">
        <v>1610522009</v>
      </c>
      <c r="B5746" s="330" t="s">
        <v>50112</v>
      </c>
      <c r="C5746" s="330" t="s">
        <v>14778</v>
      </c>
      <c r="D5746" s="330" t="s">
        <v>14779</v>
      </c>
      <c r="E5746" s="330" t="s">
        <v>4634</v>
      </c>
      <c r="F5746" s="331">
        <v>0.21</v>
      </c>
      <c r="G5746" s="332">
        <v>2609</v>
      </c>
      <c r="H5746" s="333">
        <v>3157</v>
      </c>
    </row>
    <row r="5747" spans="1:8">
      <c r="A5747" s="317">
        <v>1610522012</v>
      </c>
      <c r="B5747" s="330" t="s">
        <v>50113</v>
      </c>
      <c r="C5747" s="330" t="s">
        <v>14780</v>
      </c>
      <c r="D5747" s="330" t="s">
        <v>14781</v>
      </c>
      <c r="E5747" s="330" t="s">
        <v>4634</v>
      </c>
      <c r="F5747" s="331">
        <v>0.21</v>
      </c>
      <c r="G5747" s="332">
        <v>372</v>
      </c>
      <c r="H5747" s="333">
        <v>451</v>
      </c>
    </row>
    <row r="5748" spans="1:8">
      <c r="A5748" s="317">
        <v>1610522013</v>
      </c>
      <c r="B5748" s="330" t="s">
        <v>50114</v>
      </c>
      <c r="C5748" s="330" t="s">
        <v>14782</v>
      </c>
      <c r="D5748" s="330" t="s">
        <v>14783</v>
      </c>
      <c r="E5748" s="330" t="s">
        <v>4819</v>
      </c>
      <c r="F5748" s="331">
        <v>0.21</v>
      </c>
      <c r="G5748" s="332">
        <v>2861</v>
      </c>
      <c r="H5748" s="333">
        <v>3462</v>
      </c>
    </row>
    <row r="5749" spans="1:8">
      <c r="A5749" s="317">
        <v>1610522015</v>
      </c>
      <c r="B5749" s="330" t="s">
        <v>50115</v>
      </c>
      <c r="C5749" s="330" t="s">
        <v>14784</v>
      </c>
      <c r="D5749" s="330" t="s">
        <v>14785</v>
      </c>
      <c r="E5749" s="330" t="s">
        <v>4819</v>
      </c>
      <c r="F5749" s="331">
        <v>0.21</v>
      </c>
      <c r="G5749" s="332">
        <v>2552</v>
      </c>
      <c r="H5749" s="333">
        <v>3088</v>
      </c>
    </row>
    <row r="5750" spans="1:8">
      <c r="A5750" s="317">
        <v>1610590002</v>
      </c>
      <c r="B5750" s="330" t="s">
        <v>50116</v>
      </c>
      <c r="C5750" s="330" t="s">
        <v>14786</v>
      </c>
      <c r="D5750" s="330" t="s">
        <v>14787</v>
      </c>
      <c r="E5750" s="330" t="s">
        <v>37248</v>
      </c>
      <c r="F5750" s="331">
        <v>0.21</v>
      </c>
      <c r="G5750" s="332">
        <v>1701</v>
      </c>
      <c r="H5750" s="333">
        <v>2059</v>
      </c>
    </row>
    <row r="5751" spans="1:8">
      <c r="A5751" s="317">
        <v>1610590004</v>
      </c>
      <c r="B5751" s="330" t="s">
        <v>50117</v>
      </c>
      <c r="C5751" s="330" t="s">
        <v>14788</v>
      </c>
      <c r="D5751" s="330" t="s">
        <v>14789</v>
      </c>
      <c r="E5751" s="330" t="s">
        <v>37248</v>
      </c>
      <c r="F5751" s="331">
        <v>0.21</v>
      </c>
      <c r="G5751" s="332">
        <v>14674</v>
      </c>
      <c r="H5751" s="333">
        <v>17756</v>
      </c>
    </row>
    <row r="5752" spans="1:8">
      <c r="A5752" s="317">
        <v>1610590006</v>
      </c>
      <c r="B5752" s="330" t="s">
        <v>50118</v>
      </c>
      <c r="C5752" s="330" t="s">
        <v>14790</v>
      </c>
      <c r="D5752" s="330" t="s">
        <v>14791</v>
      </c>
      <c r="E5752" s="330" t="s">
        <v>4819</v>
      </c>
      <c r="F5752" s="331">
        <v>0.21</v>
      </c>
      <c r="G5752" s="332">
        <v>11827</v>
      </c>
      <c r="H5752" s="333">
        <v>14311</v>
      </c>
    </row>
    <row r="5753" spans="1:8">
      <c r="A5753" s="317">
        <v>1610590016</v>
      </c>
      <c r="B5753" s="330" t="s">
        <v>50119</v>
      </c>
      <c r="C5753" s="330" t="s">
        <v>14792</v>
      </c>
      <c r="D5753" s="330" t="s">
        <v>14793</v>
      </c>
      <c r="E5753" s="330" t="s">
        <v>4634</v>
      </c>
      <c r="F5753" s="331">
        <v>0.21</v>
      </c>
      <c r="G5753" s="332">
        <v>648</v>
      </c>
      <c r="H5753" s="333">
        <v>785</v>
      </c>
    </row>
    <row r="5754" spans="1:8">
      <c r="A5754" s="317">
        <v>1610590018</v>
      </c>
      <c r="B5754" s="330" t="s">
        <v>50120</v>
      </c>
      <c r="C5754" s="330" t="s">
        <v>14794</v>
      </c>
      <c r="D5754" s="330" t="s">
        <v>14795</v>
      </c>
      <c r="E5754" s="330" t="s">
        <v>4634</v>
      </c>
      <c r="F5754" s="331">
        <v>0.21</v>
      </c>
      <c r="G5754" s="332">
        <v>702</v>
      </c>
      <c r="H5754" s="333">
        <v>850</v>
      </c>
    </row>
    <row r="5755" spans="1:8">
      <c r="A5755" s="317">
        <v>1610590019</v>
      </c>
      <c r="B5755" s="330" t="s">
        <v>50121</v>
      </c>
      <c r="C5755" s="330" t="s">
        <v>14796</v>
      </c>
      <c r="D5755" s="330" t="s">
        <v>14797</v>
      </c>
      <c r="E5755" s="330" t="s">
        <v>4634</v>
      </c>
      <c r="F5755" s="331">
        <v>0.21</v>
      </c>
      <c r="G5755" s="332">
        <v>3935</v>
      </c>
      <c r="H5755" s="333">
        <v>4762</v>
      </c>
    </row>
    <row r="5756" spans="1:8">
      <c r="A5756" s="317">
        <v>1610590020</v>
      </c>
      <c r="B5756" s="330" t="s">
        <v>50122</v>
      </c>
      <c r="C5756" s="330" t="s">
        <v>14798</v>
      </c>
      <c r="D5756" s="330" t="s">
        <v>14799</v>
      </c>
      <c r="E5756" s="330" t="s">
        <v>37248</v>
      </c>
      <c r="F5756" s="331">
        <v>0.21</v>
      </c>
      <c r="G5756" s="332">
        <v>5549</v>
      </c>
      <c r="H5756" s="333">
        <v>6715</v>
      </c>
    </row>
    <row r="5757" spans="1:8">
      <c r="A5757" s="317">
        <v>1610591001</v>
      </c>
      <c r="B5757" s="330" t="s">
        <v>50123</v>
      </c>
      <c r="C5757" s="330" t="s">
        <v>14800</v>
      </c>
      <c r="D5757" s="330" t="s">
        <v>14801</v>
      </c>
      <c r="E5757" s="330" t="s">
        <v>4819</v>
      </c>
      <c r="F5757" s="331">
        <v>0.21</v>
      </c>
      <c r="G5757" s="332">
        <v>15322</v>
      </c>
      <c r="H5757" s="333">
        <v>18540</v>
      </c>
    </row>
    <row r="5758" spans="1:8">
      <c r="A5758" s="317">
        <v>1610591008</v>
      </c>
      <c r="B5758" s="330" t="s">
        <v>50124</v>
      </c>
      <c r="C5758" s="330" t="s">
        <v>14802</v>
      </c>
      <c r="D5758" s="330" t="s">
        <v>14803</v>
      </c>
      <c r="E5758" s="330" t="s">
        <v>4634</v>
      </c>
      <c r="F5758" s="331">
        <v>0.21</v>
      </c>
      <c r="G5758" s="332">
        <v>1474</v>
      </c>
      <c r="H5758" s="333">
        <v>1784</v>
      </c>
    </row>
    <row r="5759" spans="1:8">
      <c r="A5759" s="317">
        <v>1610591009</v>
      </c>
      <c r="B5759" s="330" t="s">
        <v>50125</v>
      </c>
      <c r="C5759" s="330" t="s">
        <v>14804</v>
      </c>
      <c r="D5759" s="330" t="s">
        <v>14805</v>
      </c>
      <c r="E5759" s="330" t="s">
        <v>4634</v>
      </c>
      <c r="F5759" s="331">
        <v>0.21</v>
      </c>
      <c r="G5759" s="332">
        <v>4787</v>
      </c>
      <c r="H5759" s="333">
        <v>5793</v>
      </c>
    </row>
    <row r="5760" spans="1:8">
      <c r="A5760" s="317">
        <v>1610591011</v>
      </c>
      <c r="B5760" s="330" t="s">
        <v>50126</v>
      </c>
      <c r="C5760" s="330" t="s">
        <v>14806</v>
      </c>
      <c r="D5760" s="330" t="s">
        <v>14807</v>
      </c>
      <c r="E5760" s="330" t="s">
        <v>4634</v>
      </c>
      <c r="F5760" s="331">
        <v>0.21</v>
      </c>
      <c r="G5760" s="332">
        <v>564</v>
      </c>
      <c r="H5760" s="333">
        <v>683</v>
      </c>
    </row>
    <row r="5761" spans="1:8">
      <c r="A5761" s="317">
        <v>1610591012</v>
      </c>
      <c r="B5761" s="330" t="s">
        <v>50127</v>
      </c>
      <c r="C5761" s="330" t="s">
        <v>14808</v>
      </c>
      <c r="D5761" s="330" t="s">
        <v>14733</v>
      </c>
      <c r="E5761" s="330" t="s">
        <v>4634</v>
      </c>
      <c r="F5761" s="331">
        <v>0.21</v>
      </c>
      <c r="G5761" s="332">
        <v>372</v>
      </c>
      <c r="H5761" s="333">
        <v>451</v>
      </c>
    </row>
    <row r="5762" spans="1:8">
      <c r="A5762" s="317">
        <v>1610591013</v>
      </c>
      <c r="B5762" s="330" t="s">
        <v>50128</v>
      </c>
      <c r="C5762" s="330" t="s">
        <v>14809</v>
      </c>
      <c r="D5762" s="330" t="s">
        <v>14810</v>
      </c>
      <c r="E5762" s="330" t="s">
        <v>4634</v>
      </c>
      <c r="F5762" s="331">
        <v>0.21</v>
      </c>
      <c r="G5762" s="332">
        <v>387</v>
      </c>
      <c r="H5762" s="333">
        <v>469</v>
      </c>
    </row>
    <row r="5763" spans="1:8">
      <c r="A5763" s="317">
        <v>1610591014</v>
      </c>
      <c r="B5763" s="330" t="s">
        <v>50129</v>
      </c>
      <c r="C5763" s="330" t="s">
        <v>14811</v>
      </c>
      <c r="D5763" s="330" t="s">
        <v>14812</v>
      </c>
      <c r="E5763" s="330" t="s">
        <v>4819</v>
      </c>
      <c r="F5763" s="331">
        <v>0.21</v>
      </c>
      <c r="G5763" s="332">
        <v>6390</v>
      </c>
      <c r="H5763" s="333">
        <v>7732</v>
      </c>
    </row>
    <row r="5764" spans="1:8">
      <c r="A5764" s="317">
        <v>1610591015</v>
      </c>
      <c r="B5764" s="330" t="s">
        <v>50130</v>
      </c>
      <c r="C5764" s="330" t="s">
        <v>14813</v>
      </c>
      <c r="D5764" s="330" t="s">
        <v>14814</v>
      </c>
      <c r="E5764" s="330" t="s">
        <v>4634</v>
      </c>
      <c r="F5764" s="331">
        <v>0.21</v>
      </c>
      <c r="G5764" s="332">
        <v>791</v>
      </c>
      <c r="H5764" s="333">
        <v>958</v>
      </c>
    </row>
    <row r="5765" spans="1:8">
      <c r="A5765" s="317">
        <v>1610591017</v>
      </c>
      <c r="B5765" s="330" t="s">
        <v>50131</v>
      </c>
      <c r="C5765" s="330" t="s">
        <v>14815</v>
      </c>
      <c r="D5765" s="330" t="s">
        <v>14816</v>
      </c>
      <c r="E5765" s="330" t="s">
        <v>4634</v>
      </c>
      <c r="F5765" s="331">
        <v>0.21</v>
      </c>
      <c r="G5765" s="332">
        <v>648</v>
      </c>
      <c r="H5765" s="333">
        <v>785</v>
      </c>
    </row>
    <row r="5766" spans="1:8">
      <c r="A5766" s="317">
        <v>1610591021</v>
      </c>
      <c r="B5766" s="330" t="s">
        <v>50132</v>
      </c>
      <c r="C5766" s="330" t="s">
        <v>14817</v>
      </c>
      <c r="D5766" s="330" t="s">
        <v>14818</v>
      </c>
      <c r="E5766" s="330" t="s">
        <v>4634</v>
      </c>
      <c r="F5766" s="331">
        <v>0.21</v>
      </c>
      <c r="G5766" s="332">
        <v>1824</v>
      </c>
      <c r="H5766" s="333">
        <v>2208</v>
      </c>
    </row>
    <row r="5767" spans="1:8">
      <c r="A5767" s="317">
        <v>1610591022</v>
      </c>
      <c r="B5767" s="330" t="s">
        <v>50133</v>
      </c>
      <c r="C5767" s="330" t="s">
        <v>14819</v>
      </c>
      <c r="D5767" s="330" t="s">
        <v>14820</v>
      </c>
      <c r="E5767" s="330" t="s">
        <v>4634</v>
      </c>
      <c r="F5767" s="331">
        <v>0.21</v>
      </c>
      <c r="G5767" s="332">
        <v>584</v>
      </c>
      <c r="H5767" s="333">
        <v>707</v>
      </c>
    </row>
    <row r="5768" spans="1:8">
      <c r="A5768" s="317">
        <v>1610591023</v>
      </c>
      <c r="B5768" s="330" t="s">
        <v>50134</v>
      </c>
      <c r="C5768" s="330" t="s">
        <v>14821</v>
      </c>
      <c r="D5768" s="330" t="s">
        <v>14822</v>
      </c>
      <c r="E5768" s="330" t="s">
        <v>37248</v>
      </c>
      <c r="F5768" s="331">
        <v>0.21</v>
      </c>
      <c r="G5768" s="332">
        <v>2380</v>
      </c>
      <c r="H5768" s="333">
        <v>2880</v>
      </c>
    </row>
    <row r="5769" spans="1:8">
      <c r="A5769" s="317">
        <v>1610591027</v>
      </c>
      <c r="B5769" s="330" t="s">
        <v>50135</v>
      </c>
      <c r="C5769" s="330" t="s">
        <v>14823</v>
      </c>
      <c r="D5769" s="330" t="s">
        <v>14824</v>
      </c>
      <c r="E5769" s="330" t="s">
        <v>37248</v>
      </c>
      <c r="F5769" s="331">
        <v>0.21</v>
      </c>
      <c r="G5769" s="332">
        <v>7198</v>
      </c>
      <c r="H5769" s="333">
        <v>8710</v>
      </c>
    </row>
    <row r="5770" spans="1:8">
      <c r="A5770" s="317">
        <v>1610591028</v>
      </c>
      <c r="B5770" s="330" t="s">
        <v>50136</v>
      </c>
      <c r="C5770" s="330" t="s">
        <v>14825</v>
      </c>
      <c r="D5770" s="330" t="s">
        <v>14826</v>
      </c>
      <c r="E5770" s="330" t="s">
        <v>4819</v>
      </c>
      <c r="F5770" s="331">
        <v>0.21</v>
      </c>
      <c r="G5770" s="332">
        <v>3399</v>
      </c>
      <c r="H5770" s="333">
        <v>4113</v>
      </c>
    </row>
    <row r="5771" spans="1:8">
      <c r="A5771" s="317">
        <v>1610591030</v>
      </c>
      <c r="B5771" s="330" t="s">
        <v>50137</v>
      </c>
      <c r="C5771" s="330" t="s">
        <v>14827</v>
      </c>
      <c r="D5771" s="330" t="s">
        <v>14828</v>
      </c>
      <c r="E5771" s="330" t="s">
        <v>37248</v>
      </c>
      <c r="F5771" s="331">
        <v>0.21</v>
      </c>
      <c r="G5771" s="332">
        <v>6603</v>
      </c>
      <c r="H5771" s="333">
        <v>7990</v>
      </c>
    </row>
    <row r="5772" spans="1:8">
      <c r="A5772" s="317">
        <v>1610591039</v>
      </c>
      <c r="B5772" s="330" t="s">
        <v>50138</v>
      </c>
      <c r="C5772" s="330" t="s">
        <v>14829</v>
      </c>
      <c r="D5772" s="330" t="s">
        <v>14830</v>
      </c>
      <c r="E5772" s="330" t="s">
        <v>4819</v>
      </c>
      <c r="F5772" s="331">
        <v>0.21</v>
      </c>
      <c r="G5772" s="332">
        <v>3731</v>
      </c>
      <c r="H5772" s="333">
        <v>4515</v>
      </c>
    </row>
    <row r="5773" spans="1:8">
      <c r="A5773" s="317">
        <v>1610591042</v>
      </c>
      <c r="B5773" s="330" t="s">
        <v>50139</v>
      </c>
      <c r="C5773" s="330" t="s">
        <v>14831</v>
      </c>
      <c r="D5773" s="330" t="s">
        <v>14832</v>
      </c>
      <c r="E5773" s="330" t="s">
        <v>4819</v>
      </c>
      <c r="F5773" s="331">
        <v>0.21</v>
      </c>
      <c r="G5773" s="332">
        <v>5362</v>
      </c>
      <c r="H5773" s="333">
        <v>6489</v>
      </c>
    </row>
    <row r="5774" spans="1:8">
      <c r="A5774" s="317">
        <v>1610591043</v>
      </c>
      <c r="B5774" s="330" t="s">
        <v>50140</v>
      </c>
      <c r="C5774" s="330" t="s">
        <v>14833</v>
      </c>
      <c r="D5774" s="330" t="s">
        <v>14834</v>
      </c>
      <c r="E5774" s="330" t="s">
        <v>4819</v>
      </c>
      <c r="F5774" s="331">
        <v>0.21</v>
      </c>
      <c r="G5774" s="332">
        <v>1487</v>
      </c>
      <c r="H5774" s="333">
        <v>1800</v>
      </c>
    </row>
    <row r="5775" spans="1:8">
      <c r="A5775" s="317">
        <v>1610591045</v>
      </c>
      <c r="B5775" s="330" t="s">
        <v>50141</v>
      </c>
      <c r="C5775" s="330" t="s">
        <v>14835</v>
      </c>
      <c r="D5775" s="330" t="s">
        <v>14836</v>
      </c>
      <c r="E5775" s="330" t="s">
        <v>4819</v>
      </c>
      <c r="F5775" s="331">
        <v>0.21</v>
      </c>
      <c r="G5775" s="332">
        <v>6910</v>
      </c>
      <c r="H5775" s="333">
        <v>8362</v>
      </c>
    </row>
    <row r="5776" spans="1:8">
      <c r="A5776" s="317">
        <v>1610591046</v>
      </c>
      <c r="B5776" s="330" t="s">
        <v>50142</v>
      </c>
      <c r="C5776" s="330" t="s">
        <v>14837</v>
      </c>
      <c r="D5776" s="330" t="s">
        <v>6629</v>
      </c>
      <c r="E5776" s="330" t="s">
        <v>4819</v>
      </c>
      <c r="F5776" s="331">
        <v>0.21</v>
      </c>
      <c r="G5776" s="332">
        <v>2478</v>
      </c>
      <c r="H5776" s="333">
        <v>2999</v>
      </c>
    </row>
    <row r="5777" spans="1:8">
      <c r="A5777" s="317">
        <v>1610591047</v>
      </c>
      <c r="B5777" s="330" t="s">
        <v>50143</v>
      </c>
      <c r="C5777" s="330" t="s">
        <v>14838</v>
      </c>
      <c r="D5777" s="330" t="s">
        <v>14839</v>
      </c>
      <c r="E5777" s="330" t="s">
        <v>37248</v>
      </c>
      <c r="F5777" s="331">
        <v>0.21</v>
      </c>
      <c r="G5777" s="332">
        <v>3934</v>
      </c>
      <c r="H5777" s="333">
        <v>4761</v>
      </c>
    </row>
    <row r="5778" spans="1:8">
      <c r="A5778" s="317">
        <v>1610591048</v>
      </c>
      <c r="B5778" s="330" t="s">
        <v>50144</v>
      </c>
      <c r="C5778" s="330" t="s">
        <v>14840</v>
      </c>
      <c r="D5778" s="330" t="s">
        <v>14841</v>
      </c>
      <c r="E5778" s="330" t="s">
        <v>37248</v>
      </c>
      <c r="F5778" s="331">
        <v>0.21</v>
      </c>
      <c r="G5778" s="332">
        <v>2900</v>
      </c>
      <c r="H5778" s="333">
        <v>3509</v>
      </c>
    </row>
    <row r="5779" spans="1:8">
      <c r="A5779" s="317">
        <v>1610591052</v>
      </c>
      <c r="B5779" s="330" t="s">
        <v>50145</v>
      </c>
      <c r="C5779" s="330" t="s">
        <v>14842</v>
      </c>
      <c r="D5779" s="330" t="s">
        <v>14843</v>
      </c>
      <c r="E5779" s="330" t="s">
        <v>37248</v>
      </c>
      <c r="F5779" s="331">
        <v>0.21</v>
      </c>
      <c r="G5779" s="332">
        <v>2079</v>
      </c>
      <c r="H5779" s="333">
        <v>2516</v>
      </c>
    </row>
    <row r="5780" spans="1:8">
      <c r="A5780" s="317">
        <v>1610591053</v>
      </c>
      <c r="B5780" s="330" t="s">
        <v>50146</v>
      </c>
      <c r="C5780" s="330" t="s">
        <v>14844</v>
      </c>
      <c r="D5780" s="330" t="s">
        <v>14845</v>
      </c>
      <c r="E5780" s="330" t="s">
        <v>37248</v>
      </c>
      <c r="F5780" s="331">
        <v>0.21</v>
      </c>
      <c r="G5780" s="332">
        <v>910</v>
      </c>
      <c r="H5780" s="333">
        <v>1102</v>
      </c>
    </row>
    <row r="5781" spans="1:8">
      <c r="A5781" s="317">
        <v>1610591054</v>
      </c>
      <c r="B5781" s="330" t="s">
        <v>50147</v>
      </c>
      <c r="C5781" s="330" t="s">
        <v>14846</v>
      </c>
      <c r="D5781" s="330" t="s">
        <v>14847</v>
      </c>
      <c r="E5781" s="330" t="s">
        <v>4819</v>
      </c>
      <c r="F5781" s="331">
        <v>0.21</v>
      </c>
      <c r="G5781" s="332">
        <v>3000</v>
      </c>
      <c r="H5781" s="333">
        <v>3630</v>
      </c>
    </row>
    <row r="5782" spans="1:8">
      <c r="A5782" s="317">
        <v>1610703011</v>
      </c>
      <c r="B5782" s="330" t="s">
        <v>50148</v>
      </c>
      <c r="C5782" s="330" t="s">
        <v>14848</v>
      </c>
      <c r="D5782" s="330" t="s">
        <v>5244</v>
      </c>
      <c r="E5782" s="330" t="s">
        <v>4819</v>
      </c>
      <c r="F5782" s="331">
        <v>0.21</v>
      </c>
      <c r="G5782" s="332">
        <v>17669</v>
      </c>
      <c r="H5782" s="333">
        <v>21380</v>
      </c>
    </row>
    <row r="5783" spans="1:8">
      <c r="A5783" s="317">
        <v>1610703019</v>
      </c>
      <c r="B5783" s="330" t="s">
        <v>50149</v>
      </c>
      <c r="C5783" s="330" t="s">
        <v>14849</v>
      </c>
      <c r="D5783" s="330" t="s">
        <v>14850</v>
      </c>
      <c r="E5783" s="330" t="s">
        <v>4634</v>
      </c>
      <c r="F5783" s="331">
        <v>0.21</v>
      </c>
      <c r="G5783" s="332">
        <v>5539</v>
      </c>
      <c r="H5783" s="333">
        <v>6703</v>
      </c>
    </row>
    <row r="5784" spans="1:8">
      <c r="A5784" s="317">
        <v>1610703054</v>
      </c>
      <c r="B5784" s="330" t="s">
        <v>50150</v>
      </c>
      <c r="C5784" s="330" t="s">
        <v>14851</v>
      </c>
      <c r="D5784" s="330" t="s">
        <v>14852</v>
      </c>
      <c r="E5784" s="330" t="s">
        <v>4634</v>
      </c>
      <c r="F5784" s="331">
        <v>0.21</v>
      </c>
      <c r="G5784" s="332">
        <v>905</v>
      </c>
      <c r="H5784" s="333">
        <v>1096</v>
      </c>
    </row>
    <row r="5785" spans="1:8">
      <c r="A5785" s="317">
        <v>1610703055</v>
      </c>
      <c r="B5785" s="330" t="s">
        <v>50151</v>
      </c>
      <c r="C5785" s="330" t="s">
        <v>14853</v>
      </c>
      <c r="D5785" s="330" t="s">
        <v>14854</v>
      </c>
      <c r="E5785" s="330" t="s">
        <v>37248</v>
      </c>
      <c r="F5785" s="331">
        <v>0.21</v>
      </c>
      <c r="G5785" s="332">
        <v>12940</v>
      </c>
      <c r="H5785" s="333">
        <v>15658</v>
      </c>
    </row>
    <row r="5786" spans="1:8">
      <c r="A5786" s="317">
        <v>1610703056</v>
      </c>
      <c r="B5786" s="330" t="s">
        <v>50152</v>
      </c>
      <c r="C5786" s="330" t="s">
        <v>14855</v>
      </c>
      <c r="D5786" s="330" t="s">
        <v>14856</v>
      </c>
      <c r="E5786" s="330" t="s">
        <v>4634</v>
      </c>
      <c r="F5786" s="331">
        <v>0.21</v>
      </c>
      <c r="G5786" s="332">
        <v>48</v>
      </c>
      <c r="H5786" s="333">
        <v>59</v>
      </c>
    </row>
    <row r="5787" spans="1:8">
      <c r="A5787" s="317">
        <v>1610703057</v>
      </c>
      <c r="B5787" s="330" t="s">
        <v>50153</v>
      </c>
      <c r="C5787" s="330" t="s">
        <v>14857</v>
      </c>
      <c r="D5787" s="330" t="s">
        <v>14858</v>
      </c>
      <c r="E5787" s="330" t="s">
        <v>4634</v>
      </c>
      <c r="F5787" s="331">
        <v>0.21</v>
      </c>
      <c r="G5787" s="332">
        <v>963</v>
      </c>
      <c r="H5787" s="333">
        <v>1166</v>
      </c>
    </row>
    <row r="5788" spans="1:8">
      <c r="A5788" s="317">
        <v>1610707000</v>
      </c>
      <c r="B5788" s="330" t="s">
        <v>50154</v>
      </c>
      <c r="C5788" s="330" t="s">
        <v>14859</v>
      </c>
      <c r="D5788" s="330" t="s">
        <v>14860</v>
      </c>
      <c r="E5788" s="330" t="s">
        <v>4634</v>
      </c>
      <c r="F5788" s="331">
        <v>0.21</v>
      </c>
      <c r="G5788" s="332">
        <v>372</v>
      </c>
      <c r="H5788" s="333">
        <v>451</v>
      </c>
    </row>
    <row r="5789" spans="1:8">
      <c r="A5789" s="317">
        <v>1610900013</v>
      </c>
      <c r="B5789" s="330" t="s">
        <v>50155</v>
      </c>
      <c r="C5789" s="330" t="s">
        <v>14861</v>
      </c>
      <c r="D5789" s="330" t="s">
        <v>14862</v>
      </c>
      <c r="E5789" s="330" t="s">
        <v>4634</v>
      </c>
      <c r="F5789" s="331">
        <v>0.21</v>
      </c>
      <c r="G5789" s="332">
        <v>3056</v>
      </c>
      <c r="H5789" s="333">
        <v>3698</v>
      </c>
    </row>
    <row r="5790" spans="1:8">
      <c r="A5790" s="317">
        <v>1610900015</v>
      </c>
      <c r="B5790" s="330" t="s">
        <v>50156</v>
      </c>
      <c r="C5790" s="330" t="s">
        <v>14863</v>
      </c>
      <c r="D5790" s="330" t="s">
        <v>14864</v>
      </c>
      <c r="E5790" s="330" t="s">
        <v>37248</v>
      </c>
      <c r="F5790" s="331">
        <v>0.21</v>
      </c>
      <c r="G5790" s="332">
        <v>30782</v>
      </c>
      <c r="H5790" s="333">
        <v>37247</v>
      </c>
    </row>
    <row r="5791" spans="1:8">
      <c r="A5791" s="317">
        <v>1610900023</v>
      </c>
      <c r="B5791" s="330" t="s">
        <v>50157</v>
      </c>
      <c r="C5791" s="330" t="s">
        <v>14865</v>
      </c>
      <c r="D5791" s="330" t="s">
        <v>14866</v>
      </c>
      <c r="E5791" s="330" t="s">
        <v>4634</v>
      </c>
      <c r="F5791" s="331">
        <v>0.21</v>
      </c>
      <c r="G5791" s="332">
        <v>3171</v>
      </c>
      <c r="H5791" s="333">
        <v>3837</v>
      </c>
    </row>
    <row r="5792" spans="1:8">
      <c r="A5792" s="317">
        <v>1610900025</v>
      </c>
      <c r="B5792" s="330" t="s">
        <v>50158</v>
      </c>
      <c r="C5792" s="330" t="s">
        <v>14867</v>
      </c>
      <c r="D5792" s="330" t="s">
        <v>14868</v>
      </c>
      <c r="E5792" s="330" t="s">
        <v>4634</v>
      </c>
      <c r="F5792" s="331">
        <v>0.21</v>
      </c>
      <c r="G5792" s="332">
        <v>2059</v>
      </c>
      <c r="H5792" s="333">
        <v>2492</v>
      </c>
    </row>
    <row r="5793" spans="1:8">
      <c r="A5793" s="317">
        <v>1610900026</v>
      </c>
      <c r="B5793" s="330" t="s">
        <v>50159</v>
      </c>
      <c r="C5793" s="330" t="s">
        <v>14869</v>
      </c>
      <c r="D5793" s="330" t="s">
        <v>14870</v>
      </c>
      <c r="E5793" s="330" t="s">
        <v>37248</v>
      </c>
      <c r="F5793" s="331">
        <v>0.21</v>
      </c>
      <c r="G5793" s="332">
        <v>14680</v>
      </c>
      <c r="H5793" s="333">
        <v>17763</v>
      </c>
    </row>
    <row r="5794" spans="1:8">
      <c r="A5794" s="317">
        <v>1610900027</v>
      </c>
      <c r="B5794" s="330" t="s">
        <v>50160</v>
      </c>
      <c r="C5794" s="330" t="s">
        <v>14871</v>
      </c>
      <c r="D5794" s="330" t="s">
        <v>14872</v>
      </c>
      <c r="E5794" s="330" t="s">
        <v>37248</v>
      </c>
      <c r="F5794" s="331">
        <v>0.21</v>
      </c>
      <c r="G5794" s="332">
        <v>28797</v>
      </c>
      <c r="H5794" s="333">
        <v>34845</v>
      </c>
    </row>
    <row r="5795" spans="1:8">
      <c r="A5795" s="317">
        <v>1610900030</v>
      </c>
      <c r="B5795" s="330" t="s">
        <v>50161</v>
      </c>
      <c r="C5795" s="330" t="s">
        <v>14873</v>
      </c>
      <c r="D5795" s="330" t="s">
        <v>14874</v>
      </c>
      <c r="E5795" s="330" t="s">
        <v>37248</v>
      </c>
      <c r="F5795" s="331">
        <v>0.21</v>
      </c>
      <c r="G5795" s="332">
        <v>23846</v>
      </c>
      <c r="H5795" s="333">
        <v>28854</v>
      </c>
    </row>
    <row r="5796" spans="1:8">
      <c r="A5796" s="317">
        <v>1610900033</v>
      </c>
      <c r="B5796" s="330" t="s">
        <v>50162</v>
      </c>
      <c r="C5796" s="330" t="s">
        <v>14875</v>
      </c>
      <c r="D5796" s="330" t="s">
        <v>14876</v>
      </c>
      <c r="E5796" s="330" t="s">
        <v>37248</v>
      </c>
      <c r="F5796" s="331">
        <v>0.21</v>
      </c>
      <c r="G5796" s="332">
        <v>9627</v>
      </c>
      <c r="H5796" s="333">
        <v>11649</v>
      </c>
    </row>
    <row r="5797" spans="1:8">
      <c r="A5797" s="317">
        <v>1610900034</v>
      </c>
      <c r="B5797" s="330" t="s">
        <v>50163</v>
      </c>
      <c r="C5797" s="330" t="s">
        <v>14877</v>
      </c>
      <c r="D5797" s="330" t="s">
        <v>14878</v>
      </c>
      <c r="E5797" s="330" t="s">
        <v>37248</v>
      </c>
      <c r="F5797" s="331">
        <v>0.21</v>
      </c>
      <c r="G5797" s="332">
        <v>9418</v>
      </c>
      <c r="H5797" s="333">
        <v>11396</v>
      </c>
    </row>
    <row r="5798" spans="1:8">
      <c r="A5798" s="317">
        <v>1610905001</v>
      </c>
      <c r="B5798" s="330" t="s">
        <v>50164</v>
      </c>
      <c r="C5798" s="330" t="s">
        <v>14879</v>
      </c>
      <c r="D5798" s="330" t="s">
        <v>14862</v>
      </c>
      <c r="E5798" s="330" t="s">
        <v>4634</v>
      </c>
      <c r="F5798" s="331">
        <v>0.21</v>
      </c>
      <c r="G5798" s="332">
        <v>3047</v>
      </c>
      <c r="H5798" s="333">
        <v>3687</v>
      </c>
    </row>
    <row r="5799" spans="1:8">
      <c r="A5799" s="317">
        <v>1610905005</v>
      </c>
      <c r="B5799" s="330" t="s">
        <v>50165</v>
      </c>
      <c r="C5799" s="330" t="s">
        <v>14880</v>
      </c>
      <c r="D5799" s="330" t="s">
        <v>14881</v>
      </c>
      <c r="E5799" s="330" t="s">
        <v>37248</v>
      </c>
      <c r="F5799" s="331">
        <v>0.21</v>
      </c>
      <c r="G5799" s="332">
        <v>5068</v>
      </c>
      <c r="H5799" s="333">
        <v>6133</v>
      </c>
    </row>
    <row r="5800" spans="1:8">
      <c r="A5800" s="317">
        <v>1610905006</v>
      </c>
      <c r="B5800" s="330" t="s">
        <v>50166</v>
      </c>
      <c r="C5800" s="330" t="s">
        <v>14882</v>
      </c>
      <c r="D5800" s="330" t="s">
        <v>14883</v>
      </c>
      <c r="E5800" s="330" t="s">
        <v>4819</v>
      </c>
      <c r="F5800" s="331">
        <v>0.21</v>
      </c>
      <c r="G5800" s="332">
        <v>17696</v>
      </c>
      <c r="H5800" s="333">
        <v>21413</v>
      </c>
    </row>
    <row r="5801" spans="1:8">
      <c r="A5801" s="317">
        <v>1610905007</v>
      </c>
      <c r="B5801" s="330" t="s">
        <v>50167</v>
      </c>
      <c r="C5801" s="330" t="s">
        <v>14884</v>
      </c>
      <c r="D5801" s="330" t="s">
        <v>14885</v>
      </c>
      <c r="E5801" s="330" t="s">
        <v>4634</v>
      </c>
      <c r="F5801" s="331">
        <v>0.21</v>
      </c>
      <c r="G5801" s="332">
        <v>3696</v>
      </c>
      <c r="H5801" s="333">
        <v>4473</v>
      </c>
    </row>
    <row r="5802" spans="1:8">
      <c r="A5802" s="317">
        <v>1610905011</v>
      </c>
      <c r="B5802" s="330" t="s">
        <v>50168</v>
      </c>
      <c r="C5802" s="330" t="s">
        <v>14886</v>
      </c>
      <c r="D5802" s="330" t="s">
        <v>6740</v>
      </c>
      <c r="E5802" s="330" t="s">
        <v>37248</v>
      </c>
      <c r="F5802" s="331">
        <v>0.21</v>
      </c>
      <c r="G5802" s="332">
        <v>4358</v>
      </c>
      <c r="H5802" s="333">
        <v>5274</v>
      </c>
    </row>
    <row r="5803" spans="1:8">
      <c r="A5803" s="317">
        <v>1610905014</v>
      </c>
      <c r="B5803" s="330" t="s">
        <v>50169</v>
      </c>
      <c r="C5803" s="330" t="s">
        <v>14887</v>
      </c>
      <c r="D5803" s="330" t="s">
        <v>14888</v>
      </c>
      <c r="E5803" s="330" t="s">
        <v>4634</v>
      </c>
      <c r="F5803" s="331">
        <v>0.21</v>
      </c>
      <c r="G5803" s="332">
        <v>8572</v>
      </c>
      <c r="H5803" s="333">
        <v>10373</v>
      </c>
    </row>
    <row r="5804" spans="1:8">
      <c r="A5804" s="317">
        <v>1610905015</v>
      </c>
      <c r="B5804" s="330" t="s">
        <v>50170</v>
      </c>
      <c r="C5804" s="330" t="s">
        <v>14889</v>
      </c>
      <c r="D5804" s="330" t="s">
        <v>14890</v>
      </c>
      <c r="E5804" s="330" t="s">
        <v>37248</v>
      </c>
      <c r="F5804" s="331">
        <v>0.21</v>
      </c>
      <c r="G5804" s="332">
        <v>23697</v>
      </c>
      <c r="H5804" s="333">
        <v>28674</v>
      </c>
    </row>
    <row r="5805" spans="1:8">
      <c r="A5805" s="317">
        <v>1610905024</v>
      </c>
      <c r="B5805" s="330" t="s">
        <v>50171</v>
      </c>
      <c r="C5805" s="330" t="s">
        <v>14891</v>
      </c>
      <c r="D5805" s="330" t="s">
        <v>14892</v>
      </c>
      <c r="E5805" s="330" t="s">
        <v>4634</v>
      </c>
      <c r="F5805" s="331">
        <v>0.21</v>
      </c>
      <c r="G5805" s="332">
        <v>3171</v>
      </c>
      <c r="H5805" s="333">
        <v>3837</v>
      </c>
    </row>
    <row r="5806" spans="1:8">
      <c r="A5806" s="317">
        <v>1610905025</v>
      </c>
      <c r="B5806" s="330" t="s">
        <v>50172</v>
      </c>
      <c r="C5806" s="330" t="s">
        <v>14893</v>
      </c>
      <c r="D5806" s="330" t="s">
        <v>14894</v>
      </c>
      <c r="E5806" s="330" t="s">
        <v>4819</v>
      </c>
      <c r="F5806" s="331">
        <v>0.21</v>
      </c>
      <c r="G5806" s="332">
        <v>7602</v>
      </c>
      <c r="H5806" s="333">
        <v>9199</v>
      </c>
    </row>
    <row r="5807" spans="1:8">
      <c r="A5807" s="317">
        <v>1610905026</v>
      </c>
      <c r="B5807" s="330" t="s">
        <v>50173</v>
      </c>
      <c r="C5807" s="330" t="s">
        <v>14895</v>
      </c>
      <c r="D5807" s="330" t="s">
        <v>14896</v>
      </c>
      <c r="E5807" s="330" t="s">
        <v>4634</v>
      </c>
      <c r="F5807" s="331">
        <v>0.21</v>
      </c>
      <c r="G5807" s="332">
        <v>256</v>
      </c>
      <c r="H5807" s="333">
        <v>310</v>
      </c>
    </row>
    <row r="5808" spans="1:8">
      <c r="A5808" s="317">
        <v>1610905028</v>
      </c>
      <c r="B5808" s="330" t="s">
        <v>50174</v>
      </c>
      <c r="C5808" s="330" t="s">
        <v>14897</v>
      </c>
      <c r="D5808" s="330" t="s">
        <v>14898</v>
      </c>
      <c r="E5808" s="330" t="s">
        <v>4634</v>
      </c>
      <c r="F5808" s="331">
        <v>0.21</v>
      </c>
      <c r="G5808" s="332">
        <v>20485</v>
      </c>
      <c r="H5808" s="333">
        <v>24787</v>
      </c>
    </row>
    <row r="5809" spans="1:8">
      <c r="A5809" s="317">
        <v>1610905031</v>
      </c>
      <c r="B5809" s="330" t="s">
        <v>50175</v>
      </c>
      <c r="C5809" s="330" t="s">
        <v>14899</v>
      </c>
      <c r="D5809" s="330" t="s">
        <v>5782</v>
      </c>
      <c r="E5809" s="330" t="s">
        <v>37248</v>
      </c>
      <c r="F5809" s="331">
        <v>0.21</v>
      </c>
      <c r="G5809" s="332">
        <v>1295</v>
      </c>
      <c r="H5809" s="333">
        <v>1567</v>
      </c>
    </row>
    <row r="5810" spans="1:8">
      <c r="A5810" s="317">
        <v>1610905032</v>
      </c>
      <c r="B5810" s="330" t="s">
        <v>50176</v>
      </c>
      <c r="C5810" s="330" t="s">
        <v>14900</v>
      </c>
      <c r="D5810" s="330" t="s">
        <v>14901</v>
      </c>
      <c r="E5810" s="330" t="s">
        <v>37248</v>
      </c>
      <c r="F5810" s="331">
        <v>0.21</v>
      </c>
      <c r="G5810" s="332">
        <v>4735</v>
      </c>
      <c r="H5810" s="333">
        <v>5730</v>
      </c>
    </row>
    <row r="5811" spans="1:8">
      <c r="A5811" s="317">
        <v>1610905033</v>
      </c>
      <c r="B5811" s="330" t="s">
        <v>50177</v>
      </c>
      <c r="C5811" s="330" t="s">
        <v>14902</v>
      </c>
      <c r="D5811" s="330" t="s">
        <v>14903</v>
      </c>
      <c r="E5811" s="330" t="s">
        <v>4819</v>
      </c>
      <c r="F5811" s="331">
        <v>0.21</v>
      </c>
      <c r="G5811" s="332">
        <v>11359</v>
      </c>
      <c r="H5811" s="333">
        <v>13745</v>
      </c>
    </row>
    <row r="5812" spans="1:8">
      <c r="A5812" s="317">
        <v>1610905034</v>
      </c>
      <c r="B5812" s="330" t="s">
        <v>50178</v>
      </c>
      <c r="C5812" s="330" t="s">
        <v>14904</v>
      </c>
      <c r="D5812" s="330" t="s">
        <v>14903</v>
      </c>
      <c r="E5812" s="330" t="s">
        <v>37248</v>
      </c>
      <c r="F5812" s="331">
        <v>0.21</v>
      </c>
      <c r="G5812" s="332">
        <v>7740</v>
      </c>
      <c r="H5812" s="333">
        <v>9366</v>
      </c>
    </row>
    <row r="5813" spans="1:8">
      <c r="A5813" s="317">
        <v>1610905035</v>
      </c>
      <c r="B5813" s="330" t="s">
        <v>50179</v>
      </c>
      <c r="C5813" s="330" t="s">
        <v>14905</v>
      </c>
      <c r="D5813" s="330" t="s">
        <v>14906</v>
      </c>
      <c r="E5813" s="330" t="s">
        <v>4634</v>
      </c>
      <c r="F5813" s="331">
        <v>0.21</v>
      </c>
      <c r="G5813" s="332">
        <v>4737</v>
      </c>
      <c r="H5813" s="333">
        <v>5732</v>
      </c>
    </row>
    <row r="5814" spans="1:8">
      <c r="A5814" s="317">
        <v>1610905036</v>
      </c>
      <c r="B5814" s="330" t="s">
        <v>50180</v>
      </c>
      <c r="C5814" s="330" t="s">
        <v>14907</v>
      </c>
      <c r="D5814" s="330" t="s">
        <v>6740</v>
      </c>
      <c r="E5814" s="330" t="s">
        <v>4819</v>
      </c>
      <c r="F5814" s="331">
        <v>0.21</v>
      </c>
      <c r="G5814" s="332">
        <v>9092</v>
      </c>
      <c r="H5814" s="333">
        <v>11002</v>
      </c>
    </row>
    <row r="5815" spans="1:8">
      <c r="A5815" s="317">
        <v>1610905039</v>
      </c>
      <c r="B5815" s="330" t="s">
        <v>50181</v>
      </c>
      <c r="C5815" s="330" t="s">
        <v>14908</v>
      </c>
      <c r="D5815" s="330" t="s">
        <v>14909</v>
      </c>
      <c r="E5815" s="330" t="s">
        <v>4819</v>
      </c>
      <c r="F5815" s="331">
        <v>0.21</v>
      </c>
      <c r="G5815" s="332">
        <v>5117</v>
      </c>
      <c r="H5815" s="333">
        <v>6192</v>
      </c>
    </row>
    <row r="5816" spans="1:8">
      <c r="A5816" s="317">
        <v>1610905041</v>
      </c>
      <c r="B5816" s="330" t="s">
        <v>50182</v>
      </c>
      <c r="C5816" s="330" t="s">
        <v>14910</v>
      </c>
      <c r="D5816" s="330" t="s">
        <v>14911</v>
      </c>
      <c r="E5816" s="330" t="s">
        <v>4819</v>
      </c>
      <c r="F5816" s="331">
        <v>0.21</v>
      </c>
      <c r="G5816" s="332">
        <v>11573</v>
      </c>
      <c r="H5816" s="333">
        <v>14004</v>
      </c>
    </row>
    <row r="5817" spans="1:8">
      <c r="A5817" s="317">
        <v>1610905044</v>
      </c>
      <c r="B5817" s="330" t="s">
        <v>50183</v>
      </c>
      <c r="C5817" s="330" t="s">
        <v>14912</v>
      </c>
      <c r="D5817" s="330" t="s">
        <v>14913</v>
      </c>
      <c r="E5817" s="330" t="s">
        <v>37248</v>
      </c>
      <c r="F5817" s="331">
        <v>0.21</v>
      </c>
      <c r="G5817" s="332">
        <v>8164</v>
      </c>
      <c r="H5817" s="333">
        <v>9879</v>
      </c>
    </row>
    <row r="5818" spans="1:8">
      <c r="A5818" s="317">
        <v>1610905048</v>
      </c>
      <c r="B5818" s="330" t="s">
        <v>50184</v>
      </c>
      <c r="C5818" s="330" t="s">
        <v>14914</v>
      </c>
      <c r="D5818" s="330" t="s">
        <v>14915</v>
      </c>
      <c r="E5818" s="330" t="s">
        <v>4623</v>
      </c>
      <c r="F5818" s="331">
        <v>0.21</v>
      </c>
      <c r="G5818" s="332">
        <v>5414</v>
      </c>
      <c r="H5818" s="333">
        <v>6551</v>
      </c>
    </row>
    <row r="5819" spans="1:8">
      <c r="A5819" s="317">
        <v>1610910007</v>
      </c>
      <c r="B5819" s="330" t="s">
        <v>50185</v>
      </c>
      <c r="C5819" s="330" t="s">
        <v>14916</v>
      </c>
      <c r="D5819" s="330" t="s">
        <v>14917</v>
      </c>
      <c r="E5819" s="330" t="s">
        <v>4634</v>
      </c>
      <c r="F5819" s="331">
        <v>0.21</v>
      </c>
      <c r="G5819" s="332">
        <v>4851</v>
      </c>
      <c r="H5819" s="333">
        <v>5870</v>
      </c>
    </row>
    <row r="5820" spans="1:8">
      <c r="A5820" s="317">
        <v>1610910012</v>
      </c>
      <c r="B5820" s="330" t="s">
        <v>50186</v>
      </c>
      <c r="C5820" s="330" t="s">
        <v>14918</v>
      </c>
      <c r="D5820" s="330" t="s">
        <v>14919</v>
      </c>
      <c r="E5820" s="330" t="s">
        <v>4634</v>
      </c>
      <c r="F5820" s="331">
        <v>0.21</v>
      </c>
      <c r="G5820" s="332">
        <v>19905</v>
      </c>
      <c r="H5820" s="333">
        <v>24086</v>
      </c>
    </row>
    <row r="5821" spans="1:8">
      <c r="A5821" s="317">
        <v>1610910035</v>
      </c>
      <c r="B5821" s="330" t="s">
        <v>50187</v>
      </c>
      <c r="C5821" s="330" t="s">
        <v>14920</v>
      </c>
      <c r="D5821" s="330" t="s">
        <v>14921</v>
      </c>
      <c r="E5821" s="330" t="s">
        <v>37248</v>
      </c>
      <c r="F5821" s="331">
        <v>0.21</v>
      </c>
      <c r="G5821" s="332">
        <v>38692</v>
      </c>
      <c r="H5821" s="333">
        <v>46818</v>
      </c>
    </row>
    <row r="5822" spans="1:8">
      <c r="A5822" s="317">
        <v>1610910049</v>
      </c>
      <c r="B5822" s="330" t="s">
        <v>50188</v>
      </c>
      <c r="C5822" s="330" t="s">
        <v>14922</v>
      </c>
      <c r="D5822" s="330" t="s">
        <v>14862</v>
      </c>
      <c r="E5822" s="330" t="s">
        <v>4634</v>
      </c>
      <c r="F5822" s="331">
        <v>0.21</v>
      </c>
      <c r="G5822" s="332">
        <v>4650</v>
      </c>
      <c r="H5822" s="333">
        <v>5627</v>
      </c>
    </row>
    <row r="5823" spans="1:8">
      <c r="A5823" s="317">
        <v>1610910051</v>
      </c>
      <c r="B5823" s="330" t="s">
        <v>50189</v>
      </c>
      <c r="C5823" s="330" t="s">
        <v>14923</v>
      </c>
      <c r="D5823" s="330" t="s">
        <v>11779</v>
      </c>
      <c r="E5823" s="330" t="s">
        <v>4634</v>
      </c>
      <c r="F5823" s="331">
        <v>0.21</v>
      </c>
      <c r="G5823" s="332">
        <v>550</v>
      </c>
      <c r="H5823" s="333">
        <v>666</v>
      </c>
    </row>
    <row r="5824" spans="1:8">
      <c r="A5824" s="317">
        <v>1610910052</v>
      </c>
      <c r="B5824" s="330" t="s">
        <v>50190</v>
      </c>
      <c r="C5824" s="330" t="s">
        <v>14924</v>
      </c>
      <c r="D5824" s="330" t="s">
        <v>6458</v>
      </c>
      <c r="E5824" s="330" t="s">
        <v>4634</v>
      </c>
      <c r="F5824" s="331">
        <v>0.21</v>
      </c>
      <c r="G5824" s="332">
        <v>5081</v>
      </c>
      <c r="H5824" s="333">
        <v>6149</v>
      </c>
    </row>
    <row r="5825" spans="1:8">
      <c r="A5825" s="317">
        <v>1610910056</v>
      </c>
      <c r="B5825" s="330" t="s">
        <v>50191</v>
      </c>
      <c r="C5825" s="330" t="s">
        <v>14925</v>
      </c>
      <c r="D5825" s="330" t="s">
        <v>6458</v>
      </c>
      <c r="E5825" s="330" t="s">
        <v>4634</v>
      </c>
      <c r="F5825" s="331">
        <v>0.21</v>
      </c>
      <c r="G5825" s="332">
        <v>1238</v>
      </c>
      <c r="H5825" s="333">
        <v>1498</v>
      </c>
    </row>
    <row r="5826" spans="1:8">
      <c r="A5826" s="317">
        <v>1610910057</v>
      </c>
      <c r="B5826" s="330" t="s">
        <v>50192</v>
      </c>
      <c r="C5826" s="330" t="s">
        <v>14926</v>
      </c>
      <c r="D5826" s="330" t="s">
        <v>14927</v>
      </c>
      <c r="E5826" s="330" t="s">
        <v>37248</v>
      </c>
      <c r="F5826" s="331">
        <v>0.21</v>
      </c>
      <c r="G5826" s="332">
        <v>3856</v>
      </c>
      <c r="H5826" s="333">
        <v>4666</v>
      </c>
    </row>
    <row r="5827" spans="1:8">
      <c r="A5827" s="317">
        <v>1610910058</v>
      </c>
      <c r="B5827" s="330" t="s">
        <v>50193</v>
      </c>
      <c r="C5827" s="330" t="s">
        <v>14928</v>
      </c>
      <c r="D5827" s="330" t="s">
        <v>11779</v>
      </c>
      <c r="E5827" s="330" t="s">
        <v>4634</v>
      </c>
      <c r="F5827" s="331">
        <v>0.21</v>
      </c>
      <c r="G5827" s="332">
        <v>1706</v>
      </c>
      <c r="H5827" s="333">
        <v>2065</v>
      </c>
    </row>
    <row r="5828" spans="1:8">
      <c r="A5828" s="317">
        <v>1610910063</v>
      </c>
      <c r="B5828" s="330" t="s">
        <v>50194</v>
      </c>
      <c r="C5828" s="330" t="s">
        <v>14929</v>
      </c>
      <c r="D5828" s="330" t="s">
        <v>6731</v>
      </c>
      <c r="E5828" s="330" t="s">
        <v>4819</v>
      </c>
      <c r="F5828" s="331">
        <v>0.21</v>
      </c>
      <c r="G5828" s="332">
        <v>6984</v>
      </c>
      <c r="H5828" s="333">
        <v>8451</v>
      </c>
    </row>
    <row r="5829" spans="1:8">
      <c r="A5829" s="317">
        <v>1610910064</v>
      </c>
      <c r="B5829" s="330" t="s">
        <v>50195</v>
      </c>
      <c r="C5829" s="330" t="s">
        <v>14930</v>
      </c>
      <c r="D5829" s="330" t="s">
        <v>14931</v>
      </c>
      <c r="E5829" s="330" t="s">
        <v>4634</v>
      </c>
      <c r="F5829" s="331">
        <v>0.21</v>
      </c>
      <c r="G5829" s="332">
        <v>4929</v>
      </c>
      <c r="H5829" s="333">
        <v>5965</v>
      </c>
    </row>
    <row r="5830" spans="1:8">
      <c r="A5830" s="317">
        <v>1610910067</v>
      </c>
      <c r="B5830" s="330" t="s">
        <v>50196</v>
      </c>
      <c r="C5830" s="330" t="s">
        <v>14932</v>
      </c>
      <c r="D5830" s="330" t="s">
        <v>14933</v>
      </c>
      <c r="E5830" s="330" t="s">
        <v>4634</v>
      </c>
      <c r="F5830" s="331">
        <v>0.21</v>
      </c>
      <c r="G5830" s="332">
        <v>1485</v>
      </c>
      <c r="H5830" s="333">
        <v>1797</v>
      </c>
    </row>
    <row r="5831" spans="1:8">
      <c r="A5831" s="317">
        <v>1610910068</v>
      </c>
      <c r="B5831" s="330" t="s">
        <v>50197</v>
      </c>
      <c r="C5831" s="330" t="s">
        <v>14934</v>
      </c>
      <c r="D5831" s="330" t="s">
        <v>14935</v>
      </c>
      <c r="E5831" s="330" t="s">
        <v>4634</v>
      </c>
      <c r="F5831" s="331">
        <v>0.21</v>
      </c>
      <c r="G5831" s="332">
        <v>2462</v>
      </c>
      <c r="H5831" s="333">
        <v>2980</v>
      </c>
    </row>
    <row r="5832" spans="1:8">
      <c r="A5832" s="317">
        <v>1610910069</v>
      </c>
      <c r="B5832" s="330" t="s">
        <v>50198</v>
      </c>
      <c r="C5832" s="330" t="s">
        <v>14936</v>
      </c>
      <c r="D5832" s="330" t="s">
        <v>14937</v>
      </c>
      <c r="E5832" s="330" t="s">
        <v>4634</v>
      </c>
      <c r="F5832" s="331">
        <v>0.21</v>
      </c>
      <c r="G5832" s="332">
        <v>898</v>
      </c>
      <c r="H5832" s="333">
        <v>1087</v>
      </c>
    </row>
    <row r="5833" spans="1:8">
      <c r="A5833" s="317">
        <v>1610910070</v>
      </c>
      <c r="B5833" s="330" t="s">
        <v>50199</v>
      </c>
      <c r="C5833" s="330" t="s">
        <v>14938</v>
      </c>
      <c r="D5833" s="330" t="s">
        <v>14090</v>
      </c>
      <c r="E5833" s="330" t="s">
        <v>4634</v>
      </c>
      <c r="F5833" s="331">
        <v>0.21</v>
      </c>
      <c r="G5833" s="332">
        <v>4294</v>
      </c>
      <c r="H5833" s="333">
        <v>5196</v>
      </c>
    </row>
    <row r="5834" spans="1:8">
      <c r="A5834" s="317">
        <v>1610910071</v>
      </c>
      <c r="B5834" s="330" t="s">
        <v>50200</v>
      </c>
      <c r="C5834" s="330" t="s">
        <v>14939</v>
      </c>
      <c r="D5834" s="330" t="s">
        <v>14940</v>
      </c>
      <c r="E5834" s="330" t="s">
        <v>4634</v>
      </c>
      <c r="F5834" s="331">
        <v>0.21</v>
      </c>
      <c r="G5834" s="332">
        <v>1126</v>
      </c>
      <c r="H5834" s="333">
        <v>1363</v>
      </c>
    </row>
    <row r="5835" spans="1:8">
      <c r="A5835" s="317">
        <v>1610910072</v>
      </c>
      <c r="B5835" s="330" t="s">
        <v>50201</v>
      </c>
      <c r="C5835" s="330" t="s">
        <v>14941</v>
      </c>
      <c r="D5835" s="330" t="s">
        <v>14942</v>
      </c>
      <c r="E5835" s="330" t="s">
        <v>4634</v>
      </c>
      <c r="F5835" s="331">
        <v>0.21</v>
      </c>
      <c r="G5835" s="332">
        <v>303</v>
      </c>
      <c r="H5835" s="333">
        <v>367</v>
      </c>
    </row>
    <row r="5836" spans="1:8">
      <c r="A5836" s="317">
        <v>1610910073</v>
      </c>
      <c r="B5836" s="330" t="s">
        <v>50202</v>
      </c>
      <c r="C5836" s="330" t="s">
        <v>14943</v>
      </c>
      <c r="D5836" s="330" t="s">
        <v>14944</v>
      </c>
      <c r="E5836" s="330" t="s">
        <v>37248</v>
      </c>
      <c r="F5836" s="331">
        <v>0.21</v>
      </c>
      <c r="G5836" s="332">
        <v>15129</v>
      </c>
      <c r="H5836" s="333">
        <v>18307</v>
      </c>
    </row>
    <row r="5837" spans="1:8">
      <c r="A5837" s="317">
        <v>1610910074</v>
      </c>
      <c r="B5837" s="330" t="s">
        <v>50203</v>
      </c>
      <c r="C5837" s="330" t="s">
        <v>14945</v>
      </c>
      <c r="D5837" s="330" t="s">
        <v>14946</v>
      </c>
      <c r="E5837" s="330" t="s">
        <v>37248</v>
      </c>
      <c r="F5837" s="331">
        <v>0.21</v>
      </c>
      <c r="G5837" s="332">
        <v>4070</v>
      </c>
      <c r="H5837" s="333">
        <v>4925</v>
      </c>
    </row>
    <row r="5838" spans="1:8">
      <c r="A5838" s="317">
        <v>1610910077</v>
      </c>
      <c r="B5838" s="330" t="s">
        <v>50204</v>
      </c>
      <c r="C5838" s="330" t="s">
        <v>14947</v>
      </c>
      <c r="D5838" s="330" t="s">
        <v>14948</v>
      </c>
      <c r="E5838" s="330" t="s">
        <v>4634</v>
      </c>
      <c r="F5838" s="331">
        <v>0.21</v>
      </c>
      <c r="G5838" s="332">
        <v>816</v>
      </c>
      <c r="H5838" s="333">
        <v>988</v>
      </c>
    </row>
    <row r="5839" spans="1:8">
      <c r="A5839" s="317">
        <v>1610910080</v>
      </c>
      <c r="B5839" s="330" t="s">
        <v>50205</v>
      </c>
      <c r="C5839" s="330" t="s">
        <v>14949</v>
      </c>
      <c r="D5839" s="330" t="s">
        <v>14067</v>
      </c>
      <c r="E5839" s="330" t="s">
        <v>4819</v>
      </c>
      <c r="F5839" s="331">
        <v>0.21</v>
      </c>
      <c r="G5839" s="332">
        <v>3825</v>
      </c>
      <c r="H5839" s="333">
        <v>4629</v>
      </c>
    </row>
    <row r="5840" spans="1:8">
      <c r="A5840" s="317">
        <v>1610910081</v>
      </c>
      <c r="B5840" s="330" t="s">
        <v>50206</v>
      </c>
      <c r="C5840" s="330" t="s">
        <v>14950</v>
      </c>
      <c r="D5840" s="330" t="s">
        <v>14951</v>
      </c>
      <c r="E5840" s="330" t="s">
        <v>37248</v>
      </c>
      <c r="F5840" s="331">
        <v>0.21</v>
      </c>
      <c r="G5840" s="332">
        <v>17933</v>
      </c>
      <c r="H5840" s="333">
        <v>21699</v>
      </c>
    </row>
    <row r="5841" spans="1:8">
      <c r="A5841" s="317">
        <v>1610910085</v>
      </c>
      <c r="B5841" s="330" t="s">
        <v>50207</v>
      </c>
      <c r="C5841" s="330" t="s">
        <v>14952</v>
      </c>
      <c r="D5841" s="330" t="s">
        <v>14953</v>
      </c>
      <c r="E5841" s="330" t="s">
        <v>4819</v>
      </c>
      <c r="F5841" s="331">
        <v>0.21</v>
      </c>
      <c r="G5841" s="332">
        <v>19875</v>
      </c>
      <c r="H5841" s="333">
        <v>24049</v>
      </c>
    </row>
    <row r="5842" spans="1:8">
      <c r="A5842" s="317">
        <v>1610910087</v>
      </c>
      <c r="B5842" s="330" t="s">
        <v>50208</v>
      </c>
      <c r="C5842" s="330" t="s">
        <v>14954</v>
      </c>
      <c r="D5842" s="330" t="s">
        <v>14955</v>
      </c>
      <c r="E5842" s="330" t="s">
        <v>4634</v>
      </c>
      <c r="F5842" s="331">
        <v>0.21</v>
      </c>
      <c r="G5842" s="332">
        <v>1411</v>
      </c>
      <c r="H5842" s="333">
        <v>1708</v>
      </c>
    </row>
    <row r="5843" spans="1:8">
      <c r="A5843" s="317">
        <v>1610910088</v>
      </c>
      <c r="B5843" s="330" t="s">
        <v>50209</v>
      </c>
      <c r="C5843" s="330" t="s">
        <v>14956</v>
      </c>
      <c r="D5843" s="330" t="s">
        <v>14957</v>
      </c>
      <c r="E5843" s="330" t="s">
        <v>4819</v>
      </c>
      <c r="F5843" s="331">
        <v>0.21</v>
      </c>
      <c r="G5843" s="332">
        <v>5784</v>
      </c>
      <c r="H5843" s="333">
        <v>6999</v>
      </c>
    </row>
    <row r="5844" spans="1:8">
      <c r="A5844" s="317">
        <v>1610910094</v>
      </c>
      <c r="B5844" s="330" t="s">
        <v>50210</v>
      </c>
      <c r="C5844" s="330" t="s">
        <v>14958</v>
      </c>
      <c r="D5844" s="330" t="s">
        <v>14959</v>
      </c>
      <c r="E5844" s="330" t="s">
        <v>4634</v>
      </c>
      <c r="F5844" s="331">
        <v>0.21</v>
      </c>
      <c r="G5844" s="332">
        <v>34828</v>
      </c>
      <c r="H5844" s="333">
        <v>42142</v>
      </c>
    </row>
    <row r="5845" spans="1:8">
      <c r="A5845" s="317">
        <v>1610910096</v>
      </c>
      <c r="B5845" s="330" t="s">
        <v>50211</v>
      </c>
      <c r="C5845" s="330" t="s">
        <v>14960</v>
      </c>
      <c r="D5845" s="330" t="s">
        <v>14961</v>
      </c>
      <c r="E5845" s="330" t="s">
        <v>37248</v>
      </c>
      <c r="F5845" s="331">
        <v>0.21</v>
      </c>
      <c r="G5845" s="332">
        <v>2649</v>
      </c>
      <c r="H5845" s="333">
        <v>3206</v>
      </c>
    </row>
    <row r="5846" spans="1:8">
      <c r="A5846" s="317">
        <v>1610910097</v>
      </c>
      <c r="B5846" s="330" t="s">
        <v>50212</v>
      </c>
      <c r="C5846" s="330" t="s">
        <v>14962</v>
      </c>
      <c r="D5846" s="330" t="s">
        <v>14963</v>
      </c>
      <c r="E5846" s="330" t="s">
        <v>37248</v>
      </c>
      <c r="F5846" s="331">
        <v>0.21</v>
      </c>
      <c r="G5846" s="332">
        <v>36424</v>
      </c>
      <c r="H5846" s="333">
        <v>44074</v>
      </c>
    </row>
    <row r="5847" spans="1:8">
      <c r="A5847" s="317">
        <v>1610910098</v>
      </c>
      <c r="B5847" s="330" t="s">
        <v>50213</v>
      </c>
      <c r="C5847" s="330" t="s">
        <v>14964</v>
      </c>
      <c r="D5847" s="330" t="s">
        <v>6731</v>
      </c>
      <c r="E5847" s="330" t="s">
        <v>4819</v>
      </c>
      <c r="F5847" s="331">
        <v>0.21</v>
      </c>
      <c r="G5847" s="332">
        <v>3471</v>
      </c>
      <c r="H5847" s="333">
        <v>4200</v>
      </c>
    </row>
    <row r="5848" spans="1:8">
      <c r="A5848" s="317">
        <v>1610913000</v>
      </c>
      <c r="B5848" s="330" t="s">
        <v>50214</v>
      </c>
      <c r="C5848" s="330" t="s">
        <v>14965</v>
      </c>
      <c r="D5848" s="330" t="s">
        <v>14966</v>
      </c>
      <c r="E5848" s="330" t="s">
        <v>4634</v>
      </c>
      <c r="F5848" s="331">
        <v>0.21</v>
      </c>
      <c r="G5848" s="332">
        <v>570</v>
      </c>
      <c r="H5848" s="333">
        <v>690</v>
      </c>
    </row>
    <row r="5849" spans="1:8">
      <c r="A5849" s="317">
        <v>1610913001</v>
      </c>
      <c r="B5849" s="330" t="s">
        <v>50215</v>
      </c>
      <c r="C5849" s="330" t="s">
        <v>14967</v>
      </c>
      <c r="D5849" s="330" t="s">
        <v>14968</v>
      </c>
      <c r="E5849" s="330" t="s">
        <v>4634</v>
      </c>
      <c r="F5849" s="331">
        <v>0.21</v>
      </c>
      <c r="G5849" s="332">
        <v>972</v>
      </c>
      <c r="H5849" s="333">
        <v>1177</v>
      </c>
    </row>
    <row r="5850" spans="1:8">
      <c r="A5850" s="317">
        <v>1610913002</v>
      </c>
      <c r="B5850" s="330" t="s">
        <v>50216</v>
      </c>
      <c r="C5850" s="330" t="s">
        <v>14969</v>
      </c>
      <c r="D5850" s="330" t="s">
        <v>14970</v>
      </c>
      <c r="E5850" s="330" t="s">
        <v>4634</v>
      </c>
      <c r="F5850" s="331">
        <v>0.21</v>
      </c>
      <c r="G5850" s="332">
        <v>1150</v>
      </c>
      <c r="H5850" s="333">
        <v>1392</v>
      </c>
    </row>
    <row r="5851" spans="1:8">
      <c r="A5851" s="317">
        <v>1610913004</v>
      </c>
      <c r="B5851" s="330" t="s">
        <v>50217</v>
      </c>
      <c r="C5851" s="330" t="s">
        <v>14971</v>
      </c>
      <c r="D5851" s="330" t="s">
        <v>14972</v>
      </c>
      <c r="E5851" s="330" t="s">
        <v>4634</v>
      </c>
      <c r="F5851" s="331">
        <v>0.21</v>
      </c>
      <c r="G5851" s="332">
        <v>4914</v>
      </c>
      <c r="H5851" s="333">
        <v>5946</v>
      </c>
    </row>
    <row r="5852" spans="1:8">
      <c r="A5852" s="317">
        <v>1610913005</v>
      </c>
      <c r="B5852" s="330" t="s">
        <v>50218</v>
      </c>
      <c r="C5852" s="330" t="s">
        <v>14973</v>
      </c>
      <c r="D5852" s="330" t="s">
        <v>14974</v>
      </c>
      <c r="E5852" s="330" t="s">
        <v>37248</v>
      </c>
      <c r="F5852" s="331">
        <v>0.21</v>
      </c>
      <c r="G5852" s="332">
        <v>9210</v>
      </c>
      <c r="H5852" s="333">
        <v>11145</v>
      </c>
    </row>
    <row r="5853" spans="1:8">
      <c r="A5853" s="317">
        <v>1610913008</v>
      </c>
      <c r="B5853" s="330" t="s">
        <v>50219</v>
      </c>
      <c r="C5853" s="330" t="s">
        <v>14975</v>
      </c>
      <c r="D5853" s="330" t="s">
        <v>14976</v>
      </c>
      <c r="E5853" s="330" t="s">
        <v>4634</v>
      </c>
      <c r="F5853" s="331">
        <v>0.21</v>
      </c>
      <c r="G5853" s="332">
        <v>928</v>
      </c>
      <c r="H5853" s="333">
        <v>1123</v>
      </c>
    </row>
    <row r="5854" spans="1:8">
      <c r="A5854" s="317">
        <v>1610913009</v>
      </c>
      <c r="B5854" s="330" t="s">
        <v>50220</v>
      </c>
      <c r="C5854" s="330" t="s">
        <v>14977</v>
      </c>
      <c r="D5854" s="330" t="s">
        <v>14978</v>
      </c>
      <c r="E5854" s="330" t="s">
        <v>4634</v>
      </c>
      <c r="F5854" s="331">
        <v>0.21</v>
      </c>
      <c r="G5854" s="332">
        <v>2462</v>
      </c>
      <c r="H5854" s="333">
        <v>2980</v>
      </c>
    </row>
    <row r="5855" spans="1:8">
      <c r="A5855" s="317">
        <v>1610913010</v>
      </c>
      <c r="B5855" s="330" t="s">
        <v>50221</v>
      </c>
      <c r="C5855" s="330" t="s">
        <v>14979</v>
      </c>
      <c r="D5855" s="330" t="s">
        <v>14980</v>
      </c>
      <c r="E5855" s="330" t="s">
        <v>37248</v>
      </c>
      <c r="F5855" s="331">
        <v>0.21</v>
      </c>
      <c r="G5855" s="332">
        <v>4789</v>
      </c>
      <c r="H5855" s="333">
        <v>5795</v>
      </c>
    </row>
    <row r="5856" spans="1:8">
      <c r="A5856" s="317">
        <v>1610913011</v>
      </c>
      <c r="B5856" s="330" t="s">
        <v>50222</v>
      </c>
      <c r="C5856" s="330" t="s">
        <v>14981</v>
      </c>
      <c r="D5856" s="330" t="s">
        <v>14982</v>
      </c>
      <c r="E5856" s="330" t="s">
        <v>37248</v>
      </c>
      <c r="F5856" s="331">
        <v>0.21</v>
      </c>
      <c r="G5856" s="332">
        <v>8662</v>
      </c>
      <c r="H5856" s="333">
        <v>10482</v>
      </c>
    </row>
    <row r="5857" spans="1:8">
      <c r="A5857" s="317">
        <v>1610913013</v>
      </c>
      <c r="B5857" s="330" t="s">
        <v>50223</v>
      </c>
      <c r="C5857" s="330" t="s">
        <v>14983</v>
      </c>
      <c r="D5857" s="330" t="s">
        <v>14984</v>
      </c>
      <c r="E5857" s="330" t="s">
        <v>37248</v>
      </c>
      <c r="F5857" s="331">
        <v>0.21</v>
      </c>
      <c r="G5857" s="332">
        <v>10174</v>
      </c>
      <c r="H5857" s="333">
        <v>12311</v>
      </c>
    </row>
    <row r="5858" spans="1:8">
      <c r="A5858" s="317">
        <v>1610913015</v>
      </c>
      <c r="B5858" s="330" t="s">
        <v>50224</v>
      </c>
      <c r="C5858" s="330" t="s">
        <v>14985</v>
      </c>
      <c r="D5858" s="330" t="s">
        <v>14986</v>
      </c>
      <c r="E5858" s="330" t="s">
        <v>4819</v>
      </c>
      <c r="F5858" s="331">
        <v>0.21</v>
      </c>
      <c r="G5858" s="332">
        <v>4361</v>
      </c>
      <c r="H5858" s="333">
        <v>5277</v>
      </c>
    </row>
    <row r="5859" spans="1:8">
      <c r="A5859" s="317">
        <v>1610913020</v>
      </c>
      <c r="B5859" s="330" t="s">
        <v>50225</v>
      </c>
      <c r="C5859" s="330" t="s">
        <v>14987</v>
      </c>
      <c r="D5859" s="330" t="s">
        <v>7971</v>
      </c>
      <c r="E5859" s="330" t="s">
        <v>37248</v>
      </c>
      <c r="F5859" s="331">
        <v>0.21</v>
      </c>
      <c r="G5859" s="332">
        <v>4169</v>
      </c>
      <c r="H5859" s="333">
        <v>5045</v>
      </c>
    </row>
    <row r="5860" spans="1:8">
      <c r="A5860" s="317">
        <v>1610913023</v>
      </c>
      <c r="B5860" s="330" t="s">
        <v>50226</v>
      </c>
      <c r="C5860" s="330" t="s">
        <v>14988</v>
      </c>
      <c r="D5860" s="330" t="s">
        <v>14989</v>
      </c>
      <c r="E5860" s="330" t="s">
        <v>37248</v>
      </c>
      <c r="F5860" s="331">
        <v>0.21</v>
      </c>
      <c r="G5860" s="332">
        <v>21354</v>
      </c>
      <c r="H5860" s="333">
        <v>25839</v>
      </c>
    </row>
    <row r="5861" spans="1:8">
      <c r="A5861" s="317">
        <v>1610913029</v>
      </c>
      <c r="B5861" s="330" t="s">
        <v>50227</v>
      </c>
      <c r="C5861" s="330" t="s">
        <v>14990</v>
      </c>
      <c r="D5861" s="330" t="s">
        <v>14991</v>
      </c>
      <c r="E5861" s="330" t="s">
        <v>37248</v>
      </c>
      <c r="F5861" s="331">
        <v>0.21</v>
      </c>
      <c r="G5861" s="332">
        <v>4550</v>
      </c>
      <c r="H5861" s="333">
        <v>5506</v>
      </c>
    </row>
    <row r="5862" spans="1:8">
      <c r="A5862" s="317">
        <v>1610920001</v>
      </c>
      <c r="B5862" s="330" t="s">
        <v>50228</v>
      </c>
      <c r="C5862" s="330" t="s">
        <v>14992</v>
      </c>
      <c r="D5862" s="330" t="s">
        <v>14993</v>
      </c>
      <c r="E5862" s="330" t="s">
        <v>4634</v>
      </c>
      <c r="F5862" s="331">
        <v>0.21</v>
      </c>
      <c r="G5862" s="332">
        <v>711</v>
      </c>
      <c r="H5862" s="333">
        <v>861</v>
      </c>
    </row>
    <row r="5863" spans="1:8">
      <c r="A5863" s="317">
        <v>1610920002</v>
      </c>
      <c r="B5863" s="330" t="s">
        <v>50229</v>
      </c>
      <c r="C5863" s="330" t="s">
        <v>14994</v>
      </c>
      <c r="D5863" s="330" t="s">
        <v>14995</v>
      </c>
      <c r="E5863" s="330" t="s">
        <v>4634</v>
      </c>
      <c r="F5863" s="331">
        <v>0.21</v>
      </c>
      <c r="G5863" s="332">
        <v>791</v>
      </c>
      <c r="H5863" s="333">
        <v>958</v>
      </c>
    </row>
    <row r="5864" spans="1:8">
      <c r="A5864" s="317">
        <v>1610920003</v>
      </c>
      <c r="B5864" s="330" t="s">
        <v>50230</v>
      </c>
      <c r="C5864" s="330" t="s">
        <v>14996</v>
      </c>
      <c r="D5864" s="330" t="s">
        <v>14997</v>
      </c>
      <c r="E5864" s="330" t="s">
        <v>37248</v>
      </c>
      <c r="F5864" s="331">
        <v>0.21</v>
      </c>
      <c r="G5864" s="332">
        <v>3930</v>
      </c>
      <c r="H5864" s="333">
        <v>4756</v>
      </c>
    </row>
    <row r="5865" spans="1:8">
      <c r="A5865" s="317">
        <v>1610920004</v>
      </c>
      <c r="B5865" s="330" t="s">
        <v>50231</v>
      </c>
      <c r="C5865" s="330" t="s">
        <v>14998</v>
      </c>
      <c r="D5865" s="330" t="s">
        <v>14999</v>
      </c>
      <c r="E5865" s="330" t="s">
        <v>4634</v>
      </c>
      <c r="F5865" s="331">
        <v>0.21</v>
      </c>
      <c r="G5865" s="332">
        <v>412</v>
      </c>
      <c r="H5865" s="333">
        <v>499</v>
      </c>
    </row>
    <row r="5866" spans="1:8">
      <c r="A5866" s="317">
        <v>1610920005</v>
      </c>
      <c r="B5866" s="330" t="s">
        <v>50232</v>
      </c>
      <c r="C5866" s="330" t="s">
        <v>15000</v>
      </c>
      <c r="D5866" s="330" t="s">
        <v>15001</v>
      </c>
      <c r="E5866" s="330" t="s">
        <v>4634</v>
      </c>
      <c r="F5866" s="331">
        <v>0.21</v>
      </c>
      <c r="G5866" s="332">
        <v>678</v>
      </c>
      <c r="H5866" s="333">
        <v>821</v>
      </c>
    </row>
    <row r="5867" spans="1:8">
      <c r="A5867" s="317">
        <v>1610920006</v>
      </c>
      <c r="B5867" s="330" t="s">
        <v>50233</v>
      </c>
      <c r="C5867" s="330" t="s">
        <v>15002</v>
      </c>
      <c r="D5867" s="330" t="s">
        <v>15003</v>
      </c>
      <c r="E5867" s="330" t="s">
        <v>4634</v>
      </c>
      <c r="F5867" s="331">
        <v>0.21</v>
      </c>
      <c r="G5867" s="332">
        <v>678</v>
      </c>
      <c r="H5867" s="333">
        <v>821</v>
      </c>
    </row>
    <row r="5868" spans="1:8">
      <c r="A5868" s="317">
        <v>1610920007</v>
      </c>
      <c r="B5868" s="330" t="s">
        <v>50234</v>
      </c>
      <c r="C5868" s="330" t="s">
        <v>15004</v>
      </c>
      <c r="D5868" s="330" t="s">
        <v>15005</v>
      </c>
      <c r="E5868" s="330" t="s">
        <v>4634</v>
      </c>
      <c r="F5868" s="331">
        <v>0.21</v>
      </c>
      <c r="G5868" s="332">
        <v>820</v>
      </c>
      <c r="H5868" s="333">
        <v>993</v>
      </c>
    </row>
    <row r="5869" spans="1:8">
      <c r="A5869" s="317">
        <v>1610920008</v>
      </c>
      <c r="B5869" s="330" t="s">
        <v>50235</v>
      </c>
      <c r="C5869" s="330" t="s">
        <v>15006</v>
      </c>
      <c r="D5869" s="330" t="s">
        <v>15007</v>
      </c>
      <c r="E5869" s="330" t="s">
        <v>4634</v>
      </c>
      <c r="F5869" s="331">
        <v>0.21</v>
      </c>
      <c r="G5869" s="332">
        <v>1222</v>
      </c>
      <c r="H5869" s="333">
        <v>1479</v>
      </c>
    </row>
    <row r="5870" spans="1:8">
      <c r="A5870" s="317">
        <v>1610920009</v>
      </c>
      <c r="B5870" s="330" t="s">
        <v>50236</v>
      </c>
      <c r="C5870" s="330" t="s">
        <v>15008</v>
      </c>
      <c r="D5870" s="330" t="s">
        <v>15009</v>
      </c>
      <c r="E5870" s="330" t="s">
        <v>4634</v>
      </c>
      <c r="F5870" s="331">
        <v>0.21</v>
      </c>
      <c r="G5870" s="332">
        <v>791</v>
      </c>
      <c r="H5870" s="333">
        <v>958</v>
      </c>
    </row>
    <row r="5871" spans="1:8">
      <c r="A5871" s="317">
        <v>1610920012</v>
      </c>
      <c r="B5871" s="330" t="s">
        <v>50237</v>
      </c>
      <c r="C5871" s="330" t="s">
        <v>15010</v>
      </c>
      <c r="D5871" s="330" t="s">
        <v>15011</v>
      </c>
      <c r="E5871" s="330" t="s">
        <v>4634</v>
      </c>
      <c r="F5871" s="331">
        <v>0.21</v>
      </c>
      <c r="G5871" s="332">
        <v>678</v>
      </c>
      <c r="H5871" s="333">
        <v>821</v>
      </c>
    </row>
    <row r="5872" spans="1:8">
      <c r="A5872" s="317">
        <v>1611006008</v>
      </c>
      <c r="B5872" s="330" t="s">
        <v>50238</v>
      </c>
      <c r="C5872" s="330" t="s">
        <v>15012</v>
      </c>
      <c r="D5872" s="330" t="s">
        <v>15013</v>
      </c>
      <c r="E5872" s="330" t="s">
        <v>4819</v>
      </c>
      <c r="F5872" s="331">
        <v>0.21</v>
      </c>
      <c r="G5872" s="332">
        <v>12349</v>
      </c>
      <c r="H5872" s="333">
        <v>14943</v>
      </c>
    </row>
    <row r="5873" spans="1:8">
      <c r="A5873" s="317">
        <v>1611010006</v>
      </c>
      <c r="B5873" s="330" t="s">
        <v>50239</v>
      </c>
      <c r="C5873" s="330" t="s">
        <v>15014</v>
      </c>
      <c r="D5873" s="330" t="s">
        <v>15015</v>
      </c>
      <c r="E5873" s="330" t="s">
        <v>4819</v>
      </c>
      <c r="F5873" s="331">
        <v>0.21</v>
      </c>
      <c r="G5873" s="332">
        <v>6315</v>
      </c>
      <c r="H5873" s="333">
        <v>7642</v>
      </c>
    </row>
    <row r="5874" spans="1:8">
      <c r="A5874" s="317">
        <v>1611014002</v>
      </c>
      <c r="B5874" s="330" t="s">
        <v>50240</v>
      </c>
      <c r="C5874" s="330" t="s">
        <v>15016</v>
      </c>
      <c r="D5874" s="330" t="s">
        <v>15017</v>
      </c>
      <c r="E5874" s="330" t="s">
        <v>4623</v>
      </c>
      <c r="F5874" s="331">
        <v>0.21</v>
      </c>
      <c r="G5874" s="332">
        <v>3678</v>
      </c>
      <c r="H5874" s="333">
        <v>4451</v>
      </c>
    </row>
    <row r="5875" spans="1:8">
      <c r="A5875" s="317">
        <v>1611015006</v>
      </c>
      <c r="B5875" s="330" t="s">
        <v>50241</v>
      </c>
      <c r="C5875" s="330" t="s">
        <v>15018</v>
      </c>
      <c r="D5875" s="330" t="s">
        <v>15019</v>
      </c>
      <c r="E5875" s="330" t="s">
        <v>4634</v>
      </c>
      <c r="F5875" s="331">
        <v>0.21</v>
      </c>
      <c r="G5875" s="332">
        <v>194</v>
      </c>
      <c r="H5875" s="333">
        <v>235</v>
      </c>
    </row>
    <row r="5876" spans="1:8">
      <c r="A5876" s="317">
        <v>1611015007</v>
      </c>
      <c r="B5876" s="330" t="s">
        <v>50242</v>
      </c>
      <c r="C5876" s="330" t="s">
        <v>15020</v>
      </c>
      <c r="D5876" s="330" t="s">
        <v>15019</v>
      </c>
      <c r="E5876" s="330" t="s">
        <v>4634</v>
      </c>
      <c r="F5876" s="331">
        <v>0.21</v>
      </c>
      <c r="G5876" s="332">
        <v>490</v>
      </c>
      <c r="H5876" s="333">
        <v>593</v>
      </c>
    </row>
    <row r="5877" spans="1:8">
      <c r="A5877" s="317">
        <v>1611015012</v>
      </c>
      <c r="B5877" s="330" t="s">
        <v>50243</v>
      </c>
      <c r="C5877" s="330" t="s">
        <v>15021</v>
      </c>
      <c r="D5877" s="330" t="s">
        <v>15022</v>
      </c>
      <c r="E5877" s="330" t="s">
        <v>4634</v>
      </c>
      <c r="F5877" s="331">
        <v>0.21</v>
      </c>
      <c r="G5877" s="332">
        <v>584</v>
      </c>
      <c r="H5877" s="333">
        <v>707</v>
      </c>
    </row>
    <row r="5878" spans="1:8">
      <c r="A5878" s="317">
        <v>1611015015</v>
      </c>
      <c r="B5878" s="330" t="s">
        <v>50244</v>
      </c>
      <c r="C5878" s="330" t="s">
        <v>15023</v>
      </c>
      <c r="D5878" s="330" t="s">
        <v>15019</v>
      </c>
      <c r="E5878" s="330" t="s">
        <v>4634</v>
      </c>
      <c r="F5878" s="331">
        <v>0.21</v>
      </c>
      <c r="G5878" s="332">
        <v>691</v>
      </c>
      <c r="H5878" s="333">
        <v>837</v>
      </c>
    </row>
    <row r="5879" spans="1:8">
      <c r="A5879" s="317">
        <v>1611015017</v>
      </c>
      <c r="B5879" s="330" t="s">
        <v>50245</v>
      </c>
      <c r="C5879" s="330" t="s">
        <v>15024</v>
      </c>
      <c r="D5879" s="330" t="s">
        <v>14138</v>
      </c>
      <c r="E5879" s="330" t="s">
        <v>4634</v>
      </c>
      <c r="F5879" s="331">
        <v>0.21</v>
      </c>
      <c r="G5879" s="332">
        <v>1113</v>
      </c>
      <c r="H5879" s="333">
        <v>1347</v>
      </c>
    </row>
    <row r="5880" spans="1:8">
      <c r="A5880" s="317">
        <v>1611015018</v>
      </c>
      <c r="B5880" s="330" t="s">
        <v>50246</v>
      </c>
      <c r="C5880" s="330" t="s">
        <v>15025</v>
      </c>
      <c r="D5880" s="330" t="s">
        <v>15026</v>
      </c>
      <c r="E5880" s="330" t="s">
        <v>4634</v>
      </c>
      <c r="F5880" s="331">
        <v>0.21</v>
      </c>
      <c r="G5880" s="332">
        <v>791</v>
      </c>
      <c r="H5880" s="333">
        <v>958</v>
      </c>
    </row>
    <row r="5881" spans="1:8">
      <c r="A5881" s="317">
        <v>1611015020</v>
      </c>
      <c r="B5881" s="330" t="s">
        <v>50247</v>
      </c>
      <c r="C5881" s="330" t="s">
        <v>15027</v>
      </c>
      <c r="D5881" s="330" t="s">
        <v>15028</v>
      </c>
      <c r="E5881" s="330" t="s">
        <v>4634</v>
      </c>
      <c r="F5881" s="331">
        <v>0.21</v>
      </c>
      <c r="G5881" s="332">
        <v>372</v>
      </c>
      <c r="H5881" s="333">
        <v>451</v>
      </c>
    </row>
    <row r="5882" spans="1:8">
      <c r="A5882" s="317">
        <v>1611015021</v>
      </c>
      <c r="B5882" s="330" t="s">
        <v>50248</v>
      </c>
      <c r="C5882" s="330" t="s">
        <v>15029</v>
      </c>
      <c r="D5882" s="330" t="s">
        <v>15030</v>
      </c>
      <c r="E5882" s="330" t="s">
        <v>37248</v>
      </c>
      <c r="F5882" s="331">
        <v>0.21</v>
      </c>
      <c r="G5882" s="332">
        <v>4599</v>
      </c>
      <c r="H5882" s="333">
        <v>5565</v>
      </c>
    </row>
    <row r="5883" spans="1:8">
      <c r="A5883" s="317">
        <v>1611015030</v>
      </c>
      <c r="B5883" s="330" t="s">
        <v>50249</v>
      </c>
      <c r="C5883" s="330" t="s">
        <v>15031</v>
      </c>
      <c r="D5883" s="330" t="s">
        <v>15032</v>
      </c>
      <c r="E5883" s="330" t="s">
        <v>4634</v>
      </c>
      <c r="F5883" s="331">
        <v>0.21</v>
      </c>
      <c r="G5883" s="332">
        <v>928</v>
      </c>
      <c r="H5883" s="333">
        <v>1123</v>
      </c>
    </row>
    <row r="5884" spans="1:8">
      <c r="A5884" s="317">
        <v>1611015031</v>
      </c>
      <c r="B5884" s="330" t="s">
        <v>50250</v>
      </c>
      <c r="C5884" s="330" t="s">
        <v>15033</v>
      </c>
      <c r="D5884" s="330" t="s">
        <v>15034</v>
      </c>
      <c r="E5884" s="330" t="s">
        <v>4634</v>
      </c>
      <c r="F5884" s="331">
        <v>0.21</v>
      </c>
      <c r="G5884" s="332">
        <v>928</v>
      </c>
      <c r="H5884" s="333">
        <v>1123</v>
      </c>
    </row>
    <row r="5885" spans="1:8">
      <c r="A5885" s="317">
        <v>1611015033</v>
      </c>
      <c r="B5885" s="330" t="s">
        <v>50251</v>
      </c>
      <c r="C5885" s="330" t="s">
        <v>15035</v>
      </c>
      <c r="D5885" s="330" t="s">
        <v>15036</v>
      </c>
      <c r="E5885" s="330" t="s">
        <v>4634</v>
      </c>
      <c r="F5885" s="331">
        <v>0.21</v>
      </c>
      <c r="G5885" s="332">
        <v>702</v>
      </c>
      <c r="H5885" s="333">
        <v>850</v>
      </c>
    </row>
    <row r="5886" spans="1:8">
      <c r="A5886" s="317">
        <v>1611015034</v>
      </c>
      <c r="B5886" s="330" t="s">
        <v>50252</v>
      </c>
      <c r="C5886" s="330" t="s">
        <v>15037</v>
      </c>
      <c r="D5886" s="330" t="s">
        <v>15038</v>
      </c>
      <c r="E5886" s="330" t="s">
        <v>4634</v>
      </c>
      <c r="F5886" s="331">
        <v>0.21</v>
      </c>
      <c r="G5886" s="332">
        <v>564</v>
      </c>
      <c r="H5886" s="333">
        <v>683</v>
      </c>
    </row>
    <row r="5887" spans="1:8">
      <c r="A5887" s="317">
        <v>1611015035</v>
      </c>
      <c r="B5887" s="330" t="s">
        <v>50253</v>
      </c>
      <c r="C5887" s="330" t="s">
        <v>15039</v>
      </c>
      <c r="D5887" s="330" t="s">
        <v>15038</v>
      </c>
      <c r="E5887" s="330" t="s">
        <v>4634</v>
      </c>
      <c r="F5887" s="331">
        <v>0.21</v>
      </c>
      <c r="G5887" s="332">
        <v>564</v>
      </c>
      <c r="H5887" s="333">
        <v>683</v>
      </c>
    </row>
    <row r="5888" spans="1:8">
      <c r="A5888" s="317">
        <v>1611015036</v>
      </c>
      <c r="B5888" s="330" t="s">
        <v>50254</v>
      </c>
      <c r="C5888" s="330" t="s">
        <v>15040</v>
      </c>
      <c r="D5888" s="330" t="s">
        <v>15041</v>
      </c>
      <c r="E5888" s="330" t="s">
        <v>4634</v>
      </c>
      <c r="F5888" s="331">
        <v>0.21</v>
      </c>
      <c r="G5888" s="332">
        <v>1199</v>
      </c>
      <c r="H5888" s="333">
        <v>1451</v>
      </c>
    </row>
    <row r="5889" spans="1:8">
      <c r="A5889" s="317">
        <v>1611015040</v>
      </c>
      <c r="B5889" s="330" t="s">
        <v>50255</v>
      </c>
      <c r="C5889" s="330" t="s">
        <v>15042</v>
      </c>
      <c r="D5889" s="330" t="s">
        <v>15043</v>
      </c>
      <c r="E5889" s="330" t="s">
        <v>4634</v>
      </c>
      <c r="F5889" s="331">
        <v>0.21</v>
      </c>
      <c r="G5889" s="332">
        <v>1126</v>
      </c>
      <c r="H5889" s="333">
        <v>1363</v>
      </c>
    </row>
    <row r="5890" spans="1:8">
      <c r="A5890" s="317">
        <v>1611015041</v>
      </c>
      <c r="B5890" s="330" t="s">
        <v>50256</v>
      </c>
      <c r="C5890" s="330" t="s">
        <v>15044</v>
      </c>
      <c r="D5890" s="330" t="s">
        <v>15045</v>
      </c>
      <c r="E5890" s="330" t="s">
        <v>4634</v>
      </c>
      <c r="F5890" s="331">
        <v>0.21</v>
      </c>
      <c r="G5890" s="332">
        <v>455</v>
      </c>
      <c r="H5890" s="333">
        <v>551</v>
      </c>
    </row>
    <row r="5891" spans="1:8">
      <c r="A5891" s="317">
        <v>1611015042</v>
      </c>
      <c r="B5891" s="330" t="s">
        <v>50257</v>
      </c>
      <c r="C5891" s="330" t="s">
        <v>15046</v>
      </c>
      <c r="D5891" s="330" t="s">
        <v>15047</v>
      </c>
      <c r="E5891" s="330" t="s">
        <v>4634</v>
      </c>
      <c r="F5891" s="331">
        <v>0.21</v>
      </c>
      <c r="G5891" s="332">
        <v>372</v>
      </c>
      <c r="H5891" s="333">
        <v>451</v>
      </c>
    </row>
    <row r="5892" spans="1:8">
      <c r="A5892" s="317">
        <v>1611015043</v>
      </c>
      <c r="B5892" s="330" t="s">
        <v>50258</v>
      </c>
      <c r="C5892" s="330" t="s">
        <v>15048</v>
      </c>
      <c r="D5892" s="330" t="s">
        <v>14432</v>
      </c>
      <c r="E5892" s="330" t="s">
        <v>4819</v>
      </c>
      <c r="F5892" s="331">
        <v>0.21</v>
      </c>
      <c r="G5892" s="332">
        <v>6212</v>
      </c>
      <c r="H5892" s="333">
        <v>7517</v>
      </c>
    </row>
    <row r="5893" spans="1:8">
      <c r="A5893" s="317">
        <v>1611015045</v>
      </c>
      <c r="B5893" s="330" t="s">
        <v>50259</v>
      </c>
      <c r="C5893" s="330" t="s">
        <v>15049</v>
      </c>
      <c r="D5893" s="330" t="s">
        <v>13793</v>
      </c>
      <c r="E5893" s="330" t="s">
        <v>4634</v>
      </c>
      <c r="F5893" s="331">
        <v>0.21</v>
      </c>
      <c r="G5893" s="332">
        <v>1170</v>
      </c>
      <c r="H5893" s="333">
        <v>1416</v>
      </c>
    </row>
    <row r="5894" spans="1:8">
      <c r="A5894" s="317">
        <v>1611015047</v>
      </c>
      <c r="B5894" s="330" t="s">
        <v>50260</v>
      </c>
      <c r="C5894" s="330" t="s">
        <v>15050</v>
      </c>
      <c r="D5894" s="330" t="s">
        <v>15051</v>
      </c>
      <c r="E5894" s="330" t="s">
        <v>4819</v>
      </c>
      <c r="F5894" s="331">
        <v>0.21</v>
      </c>
      <c r="G5894" s="332">
        <v>5605</v>
      </c>
      <c r="H5894" s="333">
        <v>6783</v>
      </c>
    </row>
    <row r="5895" spans="1:8">
      <c r="A5895" s="317">
        <v>1611015050</v>
      </c>
      <c r="B5895" s="330" t="s">
        <v>50261</v>
      </c>
      <c r="C5895" s="330" t="s">
        <v>15052</v>
      </c>
      <c r="D5895" s="330" t="s">
        <v>15053</v>
      </c>
      <c r="E5895" s="330" t="s">
        <v>37248</v>
      </c>
      <c r="F5895" s="331">
        <v>0.21</v>
      </c>
      <c r="G5895" s="332">
        <v>7461</v>
      </c>
      <c r="H5895" s="333">
        <v>9028</v>
      </c>
    </row>
    <row r="5896" spans="1:8">
      <c r="A5896" s="317">
        <v>1611015053</v>
      </c>
      <c r="B5896" s="330" t="s">
        <v>50262</v>
      </c>
      <c r="C5896" s="330" t="s">
        <v>15054</v>
      </c>
      <c r="D5896" s="330" t="s">
        <v>15055</v>
      </c>
      <c r="E5896" s="330" t="s">
        <v>4634</v>
      </c>
      <c r="F5896" s="331">
        <v>0.21</v>
      </c>
      <c r="G5896" s="332">
        <v>1258</v>
      </c>
      <c r="H5896" s="333">
        <v>1523</v>
      </c>
    </row>
    <row r="5897" spans="1:8">
      <c r="A5897" s="317">
        <v>1611015055</v>
      </c>
      <c r="B5897" s="330" t="s">
        <v>50263</v>
      </c>
      <c r="C5897" s="330" t="s">
        <v>15056</v>
      </c>
      <c r="D5897" s="330" t="s">
        <v>15057</v>
      </c>
      <c r="E5897" s="330" t="s">
        <v>37248</v>
      </c>
      <c r="F5897" s="331">
        <v>0.21</v>
      </c>
      <c r="G5897" s="332">
        <v>10131</v>
      </c>
      <c r="H5897" s="333">
        <v>12259</v>
      </c>
    </row>
    <row r="5898" spans="1:8">
      <c r="A5898" s="317">
        <v>1611015058</v>
      </c>
      <c r="B5898" s="330" t="s">
        <v>50264</v>
      </c>
      <c r="C5898" s="330" t="s">
        <v>15058</v>
      </c>
      <c r="D5898" s="330" t="s">
        <v>15059</v>
      </c>
      <c r="E5898" s="330" t="s">
        <v>37248</v>
      </c>
      <c r="F5898" s="331">
        <v>0.21</v>
      </c>
      <c r="G5898" s="332">
        <v>5605</v>
      </c>
      <c r="H5898" s="333">
        <v>6783</v>
      </c>
    </row>
    <row r="5899" spans="1:8">
      <c r="A5899" s="317">
        <v>1611015059</v>
      </c>
      <c r="B5899" s="330" t="s">
        <v>50265</v>
      </c>
      <c r="C5899" s="330" t="s">
        <v>15060</v>
      </c>
      <c r="D5899" s="330" t="s">
        <v>15061</v>
      </c>
      <c r="E5899" s="330" t="s">
        <v>4819</v>
      </c>
      <c r="F5899" s="331">
        <v>0.21</v>
      </c>
      <c r="G5899" s="332">
        <v>5208</v>
      </c>
      <c r="H5899" s="333">
        <v>6302</v>
      </c>
    </row>
    <row r="5900" spans="1:8">
      <c r="A5900" s="317">
        <v>1611015061</v>
      </c>
      <c r="B5900" s="330" t="s">
        <v>50266</v>
      </c>
      <c r="C5900" s="330" t="s">
        <v>15062</v>
      </c>
      <c r="D5900" s="330" t="s">
        <v>15063</v>
      </c>
      <c r="E5900" s="330" t="s">
        <v>37248</v>
      </c>
      <c r="F5900" s="331">
        <v>0.21</v>
      </c>
      <c r="G5900" s="332">
        <v>4064</v>
      </c>
      <c r="H5900" s="333">
        <v>4918</v>
      </c>
    </row>
    <row r="5901" spans="1:8">
      <c r="A5901" s="317">
        <v>1611015062</v>
      </c>
      <c r="B5901" s="330" t="s">
        <v>50267</v>
      </c>
      <c r="C5901" s="330" t="s">
        <v>15064</v>
      </c>
      <c r="D5901" s="330" t="s">
        <v>15065</v>
      </c>
      <c r="E5901" s="330" t="s">
        <v>4819</v>
      </c>
      <c r="F5901" s="331">
        <v>0.21</v>
      </c>
      <c r="G5901" s="332">
        <v>4428</v>
      </c>
      <c r="H5901" s="333">
        <v>5358</v>
      </c>
    </row>
    <row r="5902" spans="1:8">
      <c r="A5902" s="317">
        <v>1611015063</v>
      </c>
      <c r="B5902" s="330" t="s">
        <v>50268</v>
      </c>
      <c r="C5902" s="330" t="s">
        <v>15066</v>
      </c>
      <c r="D5902" s="330" t="s">
        <v>14273</v>
      </c>
      <c r="E5902" s="330" t="s">
        <v>4819</v>
      </c>
      <c r="F5902" s="331">
        <v>0.21</v>
      </c>
      <c r="G5902" s="332">
        <v>5822</v>
      </c>
      <c r="H5902" s="333">
        <v>7045</v>
      </c>
    </row>
    <row r="5903" spans="1:8">
      <c r="A5903" s="317">
        <v>1611015064</v>
      </c>
      <c r="B5903" s="330" t="s">
        <v>50269</v>
      </c>
      <c r="C5903" s="330" t="s">
        <v>15067</v>
      </c>
      <c r="D5903" s="330" t="s">
        <v>15068</v>
      </c>
      <c r="E5903" s="330" t="s">
        <v>37248</v>
      </c>
      <c r="F5903" s="331">
        <v>0.21</v>
      </c>
      <c r="G5903" s="332">
        <v>1115</v>
      </c>
      <c r="H5903" s="333">
        <v>1350</v>
      </c>
    </row>
    <row r="5904" spans="1:8">
      <c r="A5904" s="317">
        <v>1611015065</v>
      </c>
      <c r="B5904" s="330" t="s">
        <v>50270</v>
      </c>
      <c r="C5904" s="330" t="s">
        <v>15069</v>
      </c>
      <c r="D5904" s="330" t="s">
        <v>15070</v>
      </c>
      <c r="E5904" s="330" t="s">
        <v>4819</v>
      </c>
      <c r="F5904" s="331">
        <v>0.21</v>
      </c>
      <c r="G5904" s="332">
        <v>2360</v>
      </c>
      <c r="H5904" s="333">
        <v>2856</v>
      </c>
    </row>
    <row r="5905" spans="1:8">
      <c r="A5905" s="317">
        <v>1611031005</v>
      </c>
      <c r="B5905" s="330" t="s">
        <v>50271</v>
      </c>
      <c r="C5905" s="330" t="s">
        <v>15071</v>
      </c>
      <c r="D5905" s="330" t="s">
        <v>15072</v>
      </c>
      <c r="E5905" s="330" t="s">
        <v>4634</v>
      </c>
      <c r="F5905" s="331">
        <v>0.21</v>
      </c>
      <c r="G5905" s="332">
        <v>348</v>
      </c>
      <c r="H5905" s="333">
        <v>422</v>
      </c>
    </row>
    <row r="5906" spans="1:8">
      <c r="A5906" s="317">
        <v>1611035005</v>
      </c>
      <c r="B5906" s="330" t="s">
        <v>50272</v>
      </c>
      <c r="C5906" s="330" t="s">
        <v>15073</v>
      </c>
      <c r="D5906" s="330" t="s">
        <v>8323</v>
      </c>
      <c r="E5906" s="330" t="s">
        <v>37248</v>
      </c>
      <c r="F5906" s="331">
        <v>0.21</v>
      </c>
      <c r="G5906" s="332">
        <v>463</v>
      </c>
      <c r="H5906" s="333">
        <v>561</v>
      </c>
    </row>
    <row r="5907" spans="1:8">
      <c r="A5907" s="317">
        <v>1611035007</v>
      </c>
      <c r="B5907" s="330" t="s">
        <v>50273</v>
      </c>
      <c r="C5907" s="330" t="s">
        <v>15074</v>
      </c>
      <c r="D5907" s="330" t="s">
        <v>15075</v>
      </c>
      <c r="E5907" s="330" t="s">
        <v>4634</v>
      </c>
      <c r="F5907" s="331">
        <v>0.21</v>
      </c>
      <c r="G5907" s="332">
        <v>274</v>
      </c>
      <c r="H5907" s="333">
        <v>332</v>
      </c>
    </row>
    <row r="5908" spans="1:8">
      <c r="A5908" s="317">
        <v>1611038018</v>
      </c>
      <c r="B5908" s="330" t="s">
        <v>50274</v>
      </c>
      <c r="C5908" s="330" t="s">
        <v>15076</v>
      </c>
      <c r="D5908" s="330" t="s">
        <v>15077</v>
      </c>
      <c r="E5908" s="330" t="s">
        <v>4634</v>
      </c>
      <c r="F5908" s="331">
        <v>0.21</v>
      </c>
      <c r="G5908" s="332">
        <v>820</v>
      </c>
      <c r="H5908" s="333">
        <v>993</v>
      </c>
    </row>
    <row r="5909" spans="1:8">
      <c r="A5909" s="317">
        <v>1611091002</v>
      </c>
      <c r="B5909" s="330" t="s">
        <v>50275</v>
      </c>
      <c r="C5909" s="330" t="s">
        <v>15078</v>
      </c>
      <c r="D5909" s="330" t="s">
        <v>15079</v>
      </c>
      <c r="E5909" s="330" t="s">
        <v>4634</v>
      </c>
      <c r="F5909" s="331">
        <v>0.21</v>
      </c>
      <c r="G5909" s="332">
        <v>180</v>
      </c>
      <c r="H5909" s="333">
        <v>218</v>
      </c>
    </row>
    <row r="5910" spans="1:8">
      <c r="A5910" s="317">
        <v>1611091003</v>
      </c>
      <c r="B5910" s="330" t="s">
        <v>50276</v>
      </c>
      <c r="C5910" s="330" t="s">
        <v>15080</v>
      </c>
      <c r="D5910" s="330" t="s">
        <v>6458</v>
      </c>
      <c r="E5910" s="330" t="s">
        <v>4634</v>
      </c>
      <c r="F5910" s="331">
        <v>0.21</v>
      </c>
      <c r="G5910" s="332">
        <v>64</v>
      </c>
      <c r="H5910" s="333">
        <v>78</v>
      </c>
    </row>
    <row r="5911" spans="1:8">
      <c r="A5911" s="317">
        <v>1611091006</v>
      </c>
      <c r="B5911" s="330" t="s">
        <v>50277</v>
      </c>
      <c r="C5911" s="330" t="s">
        <v>15081</v>
      </c>
      <c r="D5911" s="330" t="s">
        <v>15082</v>
      </c>
      <c r="E5911" s="330" t="s">
        <v>4634</v>
      </c>
      <c r="F5911" s="331">
        <v>0.21</v>
      </c>
      <c r="G5911" s="332">
        <v>432</v>
      </c>
      <c r="H5911" s="333">
        <v>523</v>
      </c>
    </row>
    <row r="5912" spans="1:8">
      <c r="A5912" s="317">
        <v>1611098004</v>
      </c>
      <c r="B5912" s="330" t="s">
        <v>50278</v>
      </c>
      <c r="C5912" s="330" t="s">
        <v>15083</v>
      </c>
      <c r="D5912" s="330" t="s">
        <v>15084</v>
      </c>
      <c r="E5912" s="330" t="s">
        <v>4634</v>
      </c>
      <c r="F5912" s="331">
        <v>0.21</v>
      </c>
      <c r="G5912" s="332">
        <v>648</v>
      </c>
      <c r="H5912" s="333">
        <v>785</v>
      </c>
    </row>
    <row r="5913" spans="1:8">
      <c r="A5913" s="317">
        <v>1611098005</v>
      </c>
      <c r="B5913" s="330" t="s">
        <v>50279</v>
      </c>
      <c r="C5913" s="330" t="s">
        <v>15085</v>
      </c>
      <c r="D5913" s="330" t="s">
        <v>5015</v>
      </c>
      <c r="E5913" s="330" t="s">
        <v>37248</v>
      </c>
      <c r="F5913" s="331">
        <v>0.21</v>
      </c>
      <c r="G5913" s="332">
        <v>3865</v>
      </c>
      <c r="H5913" s="333">
        <v>4677</v>
      </c>
    </row>
    <row r="5914" spans="1:8">
      <c r="A5914" s="317">
        <v>1611099003</v>
      </c>
      <c r="B5914" s="330" t="s">
        <v>50280</v>
      </c>
      <c r="C5914" s="330" t="s">
        <v>15086</v>
      </c>
      <c r="D5914" s="330" t="s">
        <v>15087</v>
      </c>
      <c r="E5914" s="330" t="s">
        <v>4634</v>
      </c>
      <c r="F5914" s="331">
        <v>0.21</v>
      </c>
      <c r="G5914" s="332">
        <v>791</v>
      </c>
      <c r="H5914" s="333">
        <v>958</v>
      </c>
    </row>
    <row r="5915" spans="1:8">
      <c r="A5915" s="317">
        <v>1611099004</v>
      </c>
      <c r="B5915" s="330" t="s">
        <v>50281</v>
      </c>
      <c r="C5915" s="330" t="s">
        <v>15088</v>
      </c>
      <c r="D5915" s="330" t="s">
        <v>15089</v>
      </c>
      <c r="E5915" s="330" t="s">
        <v>4819</v>
      </c>
      <c r="F5915" s="331">
        <v>0.21</v>
      </c>
      <c r="G5915" s="332">
        <v>671</v>
      </c>
      <c r="H5915" s="333">
        <v>812</v>
      </c>
    </row>
    <row r="5916" spans="1:8">
      <c r="A5916" s="317">
        <v>1611104999</v>
      </c>
      <c r="B5916" s="330" t="s">
        <v>50282</v>
      </c>
      <c r="C5916" s="330" t="s">
        <v>15090</v>
      </c>
      <c r="D5916" s="330" t="s">
        <v>15091</v>
      </c>
      <c r="E5916" s="330" t="s">
        <v>4634</v>
      </c>
      <c r="F5916" s="331">
        <v>0.21</v>
      </c>
      <c r="G5916" s="332">
        <v>1258</v>
      </c>
      <c r="H5916" s="333">
        <v>1523</v>
      </c>
    </row>
    <row r="5917" spans="1:8">
      <c r="A5917" s="317">
        <v>1611110855</v>
      </c>
      <c r="B5917" s="330" t="s">
        <v>50283</v>
      </c>
      <c r="C5917" s="330" t="s">
        <v>15092</v>
      </c>
      <c r="D5917" s="330" t="s">
        <v>15093</v>
      </c>
      <c r="E5917" s="330" t="s">
        <v>4634</v>
      </c>
      <c r="F5917" s="331">
        <v>0.21</v>
      </c>
      <c r="G5917" s="332">
        <v>711</v>
      </c>
      <c r="H5917" s="333">
        <v>861</v>
      </c>
    </row>
    <row r="5918" spans="1:8">
      <c r="A5918" s="317" t="s">
        <v>40409</v>
      </c>
      <c r="B5918" s="330" t="s">
        <v>50284</v>
      </c>
      <c r="C5918" s="330" t="s">
        <v>15094</v>
      </c>
      <c r="D5918" s="330" t="s">
        <v>8428</v>
      </c>
      <c r="E5918" s="330" t="s">
        <v>4634</v>
      </c>
      <c r="F5918" s="331">
        <v>0.21</v>
      </c>
      <c r="G5918" s="332">
        <v>584</v>
      </c>
      <c r="H5918" s="333">
        <v>707</v>
      </c>
    </row>
    <row r="5919" spans="1:8">
      <c r="A5919" s="317" t="s">
        <v>40410</v>
      </c>
      <c r="B5919" s="330" t="s">
        <v>50285</v>
      </c>
      <c r="C5919" s="330" t="s">
        <v>15095</v>
      </c>
      <c r="D5919" s="330" t="s">
        <v>15096</v>
      </c>
      <c r="E5919" s="330" t="s">
        <v>37248</v>
      </c>
      <c r="F5919" s="331">
        <v>0.21</v>
      </c>
      <c r="G5919" s="332">
        <v>814</v>
      </c>
      <c r="H5919" s="333">
        <v>985</v>
      </c>
    </row>
    <row r="5920" spans="1:8">
      <c r="A5920" s="317" t="s">
        <v>40411</v>
      </c>
      <c r="B5920" s="330" t="s">
        <v>50286</v>
      </c>
      <c r="C5920" s="330" t="s">
        <v>15097</v>
      </c>
      <c r="D5920" s="330" t="s">
        <v>8405</v>
      </c>
      <c r="E5920" s="330" t="s">
        <v>37248</v>
      </c>
      <c r="F5920" s="331">
        <v>0.21</v>
      </c>
      <c r="G5920" s="332">
        <v>780</v>
      </c>
      <c r="H5920" s="333">
        <v>944</v>
      </c>
    </row>
    <row r="5921" spans="1:8">
      <c r="A5921" s="317">
        <v>1611302011</v>
      </c>
      <c r="B5921" s="330" t="s">
        <v>50287</v>
      </c>
      <c r="C5921" s="330" t="s">
        <v>15098</v>
      </c>
      <c r="D5921" s="330" t="s">
        <v>15099</v>
      </c>
      <c r="E5921" s="330" t="s">
        <v>37248</v>
      </c>
      <c r="F5921" s="331">
        <v>0.21</v>
      </c>
      <c r="G5921" s="332">
        <v>3346</v>
      </c>
      <c r="H5921" s="333">
        <v>4049</v>
      </c>
    </row>
    <row r="5922" spans="1:8">
      <c r="A5922" s="317">
        <v>1611302015</v>
      </c>
      <c r="B5922" s="330" t="s">
        <v>50288</v>
      </c>
      <c r="C5922" s="330" t="s">
        <v>15100</v>
      </c>
      <c r="D5922" s="330" t="s">
        <v>15101</v>
      </c>
      <c r="E5922" s="330" t="s">
        <v>4819</v>
      </c>
      <c r="F5922" s="331">
        <v>0.21</v>
      </c>
      <c r="G5922" s="332">
        <v>863</v>
      </c>
      <c r="H5922" s="333">
        <v>1045</v>
      </c>
    </row>
    <row r="5923" spans="1:8">
      <c r="A5923" s="317">
        <v>1611316006</v>
      </c>
      <c r="B5923" s="330" t="s">
        <v>50289</v>
      </c>
      <c r="C5923" s="330" t="s">
        <v>15102</v>
      </c>
      <c r="D5923" s="330" t="s">
        <v>15103</v>
      </c>
      <c r="E5923" s="330" t="s">
        <v>4634</v>
      </c>
      <c r="F5923" s="331">
        <v>0.21</v>
      </c>
      <c r="G5923" s="332">
        <v>62</v>
      </c>
      <c r="H5923" s="333">
        <v>76</v>
      </c>
    </row>
    <row r="5924" spans="1:8">
      <c r="A5924" s="317">
        <v>1611316010</v>
      </c>
      <c r="B5924" s="330" t="s">
        <v>50290</v>
      </c>
      <c r="C5924" s="330" t="s">
        <v>15104</v>
      </c>
      <c r="D5924" s="330" t="s">
        <v>15105</v>
      </c>
      <c r="E5924" s="330" t="s">
        <v>37248</v>
      </c>
      <c r="F5924" s="331">
        <v>0.21</v>
      </c>
      <c r="G5924" s="332">
        <v>2014</v>
      </c>
      <c r="H5924" s="333">
        <v>2437</v>
      </c>
    </row>
    <row r="5925" spans="1:8">
      <c r="A5925" s="317">
        <v>1611316018</v>
      </c>
      <c r="B5925" s="330" t="s">
        <v>50291</v>
      </c>
      <c r="C5925" s="330" t="s">
        <v>15106</v>
      </c>
      <c r="D5925" s="330" t="s">
        <v>15107</v>
      </c>
      <c r="E5925" s="330" t="s">
        <v>4634</v>
      </c>
      <c r="F5925" s="331">
        <v>0.21</v>
      </c>
      <c r="G5925" s="332">
        <v>702</v>
      </c>
      <c r="H5925" s="333">
        <v>850</v>
      </c>
    </row>
    <row r="5926" spans="1:8">
      <c r="A5926" s="317">
        <v>1611316019</v>
      </c>
      <c r="B5926" s="330" t="s">
        <v>50292</v>
      </c>
      <c r="C5926" s="330" t="s">
        <v>15108</v>
      </c>
      <c r="D5926" s="330" t="s">
        <v>15109</v>
      </c>
      <c r="E5926" s="330" t="s">
        <v>4819</v>
      </c>
      <c r="F5926" s="331">
        <v>0.21</v>
      </c>
      <c r="G5926" s="332">
        <v>5117</v>
      </c>
      <c r="H5926" s="333">
        <v>6192</v>
      </c>
    </row>
    <row r="5927" spans="1:8">
      <c r="A5927" s="317">
        <v>1611316021</v>
      </c>
      <c r="B5927" s="330" t="s">
        <v>50293</v>
      </c>
      <c r="C5927" s="330" t="s">
        <v>15110</v>
      </c>
      <c r="D5927" s="330" t="s">
        <v>15111</v>
      </c>
      <c r="E5927" s="330" t="s">
        <v>37248</v>
      </c>
      <c r="F5927" s="331">
        <v>0.21</v>
      </c>
      <c r="G5927" s="332">
        <v>985</v>
      </c>
      <c r="H5927" s="333">
        <v>1192</v>
      </c>
    </row>
    <row r="5928" spans="1:8">
      <c r="A5928" s="317">
        <v>1611316022</v>
      </c>
      <c r="B5928" s="330" t="s">
        <v>50294</v>
      </c>
      <c r="C5928" s="330" t="s">
        <v>15112</v>
      </c>
      <c r="D5928" s="330" t="s">
        <v>15113</v>
      </c>
      <c r="E5928" s="330" t="s">
        <v>37248</v>
      </c>
      <c r="F5928" s="331">
        <v>0.21</v>
      </c>
      <c r="G5928" s="332">
        <v>11967</v>
      </c>
      <c r="H5928" s="333">
        <v>14481</v>
      </c>
    </row>
    <row r="5929" spans="1:8">
      <c r="A5929" s="317">
        <v>1611316024</v>
      </c>
      <c r="B5929" s="330" t="s">
        <v>50295</v>
      </c>
      <c r="C5929" s="330" t="s">
        <v>15114</v>
      </c>
      <c r="D5929" s="330" t="s">
        <v>15115</v>
      </c>
      <c r="E5929" s="330" t="s">
        <v>4623</v>
      </c>
      <c r="F5929" s="331">
        <v>0.21</v>
      </c>
      <c r="G5929" s="332">
        <v>19479</v>
      </c>
      <c r="H5929" s="333">
        <v>23570</v>
      </c>
    </row>
    <row r="5930" spans="1:8">
      <c r="A5930" s="317">
        <v>1611316029</v>
      </c>
      <c r="B5930" s="330" t="s">
        <v>50296</v>
      </c>
      <c r="C5930" s="330" t="s">
        <v>15116</v>
      </c>
      <c r="D5930" s="330" t="s">
        <v>15117</v>
      </c>
      <c r="E5930" s="330" t="s">
        <v>4634</v>
      </c>
      <c r="F5930" s="331">
        <v>0.21</v>
      </c>
      <c r="G5930" s="332">
        <v>1474</v>
      </c>
      <c r="H5930" s="333">
        <v>1784</v>
      </c>
    </row>
    <row r="5931" spans="1:8">
      <c r="A5931" s="317">
        <v>1611316038</v>
      </c>
      <c r="B5931" s="330" t="s">
        <v>50297</v>
      </c>
      <c r="C5931" s="330" t="s">
        <v>15118</v>
      </c>
      <c r="D5931" s="330" t="s">
        <v>15119</v>
      </c>
      <c r="E5931" s="330" t="s">
        <v>4819</v>
      </c>
      <c r="F5931" s="331">
        <v>0.21</v>
      </c>
      <c r="G5931" s="332">
        <v>3310</v>
      </c>
      <c r="H5931" s="333">
        <v>4006</v>
      </c>
    </row>
    <row r="5932" spans="1:8">
      <c r="A5932" s="317">
        <v>1611322004</v>
      </c>
      <c r="B5932" s="330" t="s">
        <v>50298</v>
      </c>
      <c r="C5932" s="330" t="s">
        <v>15120</v>
      </c>
      <c r="D5932" s="330" t="s">
        <v>13613</v>
      </c>
      <c r="E5932" s="330" t="s">
        <v>4634</v>
      </c>
      <c r="F5932" s="331">
        <v>0.21</v>
      </c>
      <c r="G5932" s="332">
        <v>648</v>
      </c>
      <c r="H5932" s="333">
        <v>785</v>
      </c>
    </row>
    <row r="5933" spans="1:8">
      <c r="A5933" s="317">
        <v>1611323002</v>
      </c>
      <c r="B5933" s="330" t="s">
        <v>50299</v>
      </c>
      <c r="C5933" s="330" t="s">
        <v>15121</v>
      </c>
      <c r="D5933" s="330" t="s">
        <v>15122</v>
      </c>
      <c r="E5933" s="330" t="s">
        <v>4819</v>
      </c>
      <c r="F5933" s="331">
        <v>0.21</v>
      </c>
      <c r="G5933" s="332">
        <v>1052</v>
      </c>
      <c r="H5933" s="333">
        <v>1273</v>
      </c>
    </row>
    <row r="5934" spans="1:8">
      <c r="A5934" s="317">
        <v>1611323003</v>
      </c>
      <c r="B5934" s="330" t="s">
        <v>50300</v>
      </c>
      <c r="C5934" s="330" t="s">
        <v>15123</v>
      </c>
      <c r="D5934" s="330" t="s">
        <v>15124</v>
      </c>
      <c r="E5934" s="330" t="s">
        <v>4634</v>
      </c>
      <c r="F5934" s="331">
        <v>0.21</v>
      </c>
      <c r="G5934" s="332">
        <v>648</v>
      </c>
      <c r="H5934" s="333">
        <v>785</v>
      </c>
    </row>
    <row r="5935" spans="1:8">
      <c r="A5935" s="317">
        <v>1611329009</v>
      </c>
      <c r="B5935" s="330" t="s">
        <v>50301</v>
      </c>
      <c r="C5935" s="330" t="s">
        <v>15125</v>
      </c>
      <c r="D5935" s="330" t="s">
        <v>15126</v>
      </c>
      <c r="E5935" s="330" t="s">
        <v>4634</v>
      </c>
      <c r="F5935" s="331">
        <v>0.21</v>
      </c>
      <c r="G5935" s="332">
        <v>702</v>
      </c>
      <c r="H5935" s="333">
        <v>850</v>
      </c>
    </row>
    <row r="5936" spans="1:8">
      <c r="A5936" s="317">
        <v>1611329011</v>
      </c>
      <c r="B5936" s="330" t="s">
        <v>50302</v>
      </c>
      <c r="C5936" s="330" t="s">
        <v>15127</v>
      </c>
      <c r="D5936" s="330" t="s">
        <v>15128</v>
      </c>
      <c r="E5936" s="330" t="s">
        <v>4623</v>
      </c>
      <c r="F5936" s="331">
        <v>0.21</v>
      </c>
      <c r="G5936" s="332">
        <v>7149</v>
      </c>
      <c r="H5936" s="333">
        <v>8651</v>
      </c>
    </row>
    <row r="5937" spans="1:8">
      <c r="A5937" s="317">
        <v>1611329016</v>
      </c>
      <c r="B5937" s="330" t="s">
        <v>50303</v>
      </c>
      <c r="C5937" s="330" t="s">
        <v>15129</v>
      </c>
      <c r="D5937" s="330" t="s">
        <v>15130</v>
      </c>
      <c r="E5937" s="330" t="s">
        <v>4634</v>
      </c>
      <c r="F5937" s="331">
        <v>0.21</v>
      </c>
      <c r="G5937" s="332">
        <v>2270</v>
      </c>
      <c r="H5937" s="333">
        <v>2747</v>
      </c>
    </row>
    <row r="5938" spans="1:8">
      <c r="A5938" s="317">
        <v>1611329019</v>
      </c>
      <c r="B5938" s="330" t="s">
        <v>50304</v>
      </c>
      <c r="C5938" s="330" t="s">
        <v>15131</v>
      </c>
      <c r="D5938" s="330" t="s">
        <v>15132</v>
      </c>
      <c r="E5938" s="330" t="s">
        <v>4634</v>
      </c>
      <c r="F5938" s="331">
        <v>0.21</v>
      </c>
      <c r="G5938" s="332">
        <v>372</v>
      </c>
      <c r="H5938" s="333">
        <v>451</v>
      </c>
    </row>
    <row r="5939" spans="1:8">
      <c r="A5939" s="317">
        <v>1611329020</v>
      </c>
      <c r="B5939" s="330" t="s">
        <v>50305</v>
      </c>
      <c r="C5939" s="330" t="s">
        <v>15133</v>
      </c>
      <c r="D5939" s="330" t="s">
        <v>15134</v>
      </c>
      <c r="E5939" s="330" t="s">
        <v>4634</v>
      </c>
      <c r="F5939" s="331">
        <v>0.21</v>
      </c>
      <c r="G5939" s="332">
        <v>584</v>
      </c>
      <c r="H5939" s="333">
        <v>707</v>
      </c>
    </row>
    <row r="5940" spans="1:8">
      <c r="A5940" s="317">
        <v>1611329030</v>
      </c>
      <c r="B5940" s="330" t="s">
        <v>50306</v>
      </c>
      <c r="C5940" s="330" t="s">
        <v>15135</v>
      </c>
      <c r="D5940" s="330" t="s">
        <v>15136</v>
      </c>
      <c r="E5940" s="330" t="s">
        <v>4819</v>
      </c>
      <c r="F5940" s="331">
        <v>0.21</v>
      </c>
      <c r="G5940" s="332">
        <v>10683</v>
      </c>
      <c r="H5940" s="333">
        <v>12927</v>
      </c>
    </row>
    <row r="5941" spans="1:8">
      <c r="A5941" s="317">
        <v>1611390005</v>
      </c>
      <c r="B5941" s="330" t="s">
        <v>50307</v>
      </c>
      <c r="C5941" s="330" t="s">
        <v>15137</v>
      </c>
      <c r="D5941" s="330" t="s">
        <v>15138</v>
      </c>
      <c r="E5941" s="330" t="s">
        <v>37248</v>
      </c>
      <c r="F5941" s="331">
        <v>0.21</v>
      </c>
      <c r="G5941" s="332">
        <v>2391</v>
      </c>
      <c r="H5941" s="333">
        <v>2894</v>
      </c>
    </row>
    <row r="5942" spans="1:8">
      <c r="A5942" s="317">
        <v>1611911000</v>
      </c>
      <c r="B5942" s="330" t="s">
        <v>50308</v>
      </c>
      <c r="C5942" s="330" t="s">
        <v>15139</v>
      </c>
      <c r="D5942" s="330" t="s">
        <v>15140</v>
      </c>
      <c r="E5942" s="330" t="s">
        <v>4634</v>
      </c>
      <c r="F5942" s="331">
        <v>0.21</v>
      </c>
      <c r="G5942" s="332">
        <v>2270</v>
      </c>
      <c r="H5942" s="333">
        <v>2747</v>
      </c>
    </row>
    <row r="5943" spans="1:8">
      <c r="A5943" s="317">
        <v>1611921001</v>
      </c>
      <c r="B5943" s="330" t="s">
        <v>50309</v>
      </c>
      <c r="C5943" s="330" t="s">
        <v>15141</v>
      </c>
      <c r="D5943" s="330" t="s">
        <v>15142</v>
      </c>
      <c r="E5943" s="330" t="s">
        <v>4819</v>
      </c>
      <c r="F5943" s="331">
        <v>0.21</v>
      </c>
      <c r="G5943" s="332">
        <v>3934</v>
      </c>
      <c r="H5943" s="333">
        <v>4761</v>
      </c>
    </row>
    <row r="5944" spans="1:8">
      <c r="A5944" s="317">
        <v>1612001027</v>
      </c>
      <c r="B5944" s="330" t="s">
        <v>50310</v>
      </c>
      <c r="C5944" s="330" t="s">
        <v>15143</v>
      </c>
      <c r="D5944" s="330" t="s">
        <v>15144</v>
      </c>
      <c r="E5944" s="330" t="s">
        <v>4634</v>
      </c>
      <c r="F5944" s="331">
        <v>0.21</v>
      </c>
      <c r="G5944" s="332">
        <v>4374</v>
      </c>
      <c r="H5944" s="333">
        <v>5293</v>
      </c>
    </row>
    <row r="5945" spans="1:8">
      <c r="A5945" s="317">
        <v>1612001029</v>
      </c>
      <c r="B5945" s="330" t="s">
        <v>50311</v>
      </c>
      <c r="C5945" s="330" t="s">
        <v>15145</v>
      </c>
      <c r="D5945" s="330" t="s">
        <v>15146</v>
      </c>
      <c r="E5945" s="330" t="s">
        <v>4634</v>
      </c>
      <c r="F5945" s="331">
        <v>0.21</v>
      </c>
      <c r="G5945" s="332">
        <v>3171</v>
      </c>
      <c r="H5945" s="333">
        <v>3837</v>
      </c>
    </row>
    <row r="5946" spans="1:8">
      <c r="A5946" s="317">
        <v>1612001030</v>
      </c>
      <c r="B5946" s="330" t="s">
        <v>50312</v>
      </c>
      <c r="C5946" s="330" t="s">
        <v>15147</v>
      </c>
      <c r="D5946" s="330" t="s">
        <v>15148</v>
      </c>
      <c r="E5946" s="330" t="s">
        <v>4634</v>
      </c>
      <c r="F5946" s="331">
        <v>0.21</v>
      </c>
      <c r="G5946" s="332">
        <v>2806</v>
      </c>
      <c r="H5946" s="333">
        <v>3396</v>
      </c>
    </row>
    <row r="5947" spans="1:8">
      <c r="A5947" s="317">
        <v>1612001031</v>
      </c>
      <c r="B5947" s="330" t="s">
        <v>50313</v>
      </c>
      <c r="C5947" s="330" t="s">
        <v>15149</v>
      </c>
      <c r="D5947" s="330" t="s">
        <v>15150</v>
      </c>
      <c r="E5947" s="330" t="s">
        <v>4634</v>
      </c>
      <c r="F5947" s="331">
        <v>0.21</v>
      </c>
      <c r="G5947" s="332">
        <v>2330</v>
      </c>
      <c r="H5947" s="333">
        <v>2820</v>
      </c>
    </row>
    <row r="5948" spans="1:8">
      <c r="A5948" s="317">
        <v>1612001032</v>
      </c>
      <c r="B5948" s="330" t="s">
        <v>50314</v>
      </c>
      <c r="C5948" s="330" t="s">
        <v>15151</v>
      </c>
      <c r="D5948" s="330" t="s">
        <v>15152</v>
      </c>
      <c r="E5948" s="330" t="s">
        <v>4634</v>
      </c>
      <c r="F5948" s="331">
        <v>0.21</v>
      </c>
      <c r="G5948" s="332">
        <v>3421</v>
      </c>
      <c r="H5948" s="333">
        <v>4140</v>
      </c>
    </row>
    <row r="5949" spans="1:8">
      <c r="A5949" s="317">
        <v>1612001034</v>
      </c>
      <c r="B5949" s="330" t="s">
        <v>50315</v>
      </c>
      <c r="C5949" s="330" t="s">
        <v>15153</v>
      </c>
      <c r="D5949" s="330" t="s">
        <v>15154</v>
      </c>
      <c r="E5949" s="330" t="s">
        <v>37248</v>
      </c>
      <c r="F5949" s="331">
        <v>0.21</v>
      </c>
      <c r="G5949" s="332">
        <v>34848</v>
      </c>
      <c r="H5949" s="333">
        <v>42167</v>
      </c>
    </row>
    <row r="5950" spans="1:8">
      <c r="A5950" s="317">
        <v>1612001040</v>
      </c>
      <c r="B5950" s="330" t="s">
        <v>50316</v>
      </c>
      <c r="C5950" s="330" t="s">
        <v>15155</v>
      </c>
      <c r="D5950" s="330" t="s">
        <v>15156</v>
      </c>
      <c r="E5950" s="330" t="s">
        <v>37248</v>
      </c>
      <c r="F5950" s="331">
        <v>0.21</v>
      </c>
      <c r="G5950" s="332">
        <v>119934</v>
      </c>
      <c r="H5950" s="333">
        <v>145121</v>
      </c>
    </row>
    <row r="5951" spans="1:8">
      <c r="A5951" s="317">
        <v>1612001041</v>
      </c>
      <c r="B5951" s="330" t="s">
        <v>50317</v>
      </c>
      <c r="C5951" s="330" t="s">
        <v>15157</v>
      </c>
      <c r="D5951" s="330" t="s">
        <v>15158</v>
      </c>
      <c r="E5951" s="330" t="s">
        <v>4819</v>
      </c>
      <c r="F5951" s="331">
        <v>0.21</v>
      </c>
      <c r="G5951" s="332">
        <v>18066</v>
      </c>
      <c r="H5951" s="333">
        <v>21860</v>
      </c>
    </row>
    <row r="5952" spans="1:8">
      <c r="A5952" s="317">
        <v>1612001042</v>
      </c>
      <c r="B5952" s="330" t="s">
        <v>50318</v>
      </c>
      <c r="C5952" s="330" t="s">
        <v>15159</v>
      </c>
      <c r="D5952" s="330" t="s">
        <v>15160</v>
      </c>
      <c r="E5952" s="330" t="s">
        <v>37248</v>
      </c>
      <c r="F5952" s="331">
        <v>0.21</v>
      </c>
      <c r="G5952" s="332">
        <v>31533</v>
      </c>
      <c r="H5952" s="333">
        <v>38155</v>
      </c>
    </row>
    <row r="5953" spans="1:8">
      <c r="A5953" s="317">
        <v>1612025004</v>
      </c>
      <c r="B5953" s="330" t="s">
        <v>50319</v>
      </c>
      <c r="C5953" s="330" t="s">
        <v>15161</v>
      </c>
      <c r="D5953" s="330" t="s">
        <v>15162</v>
      </c>
      <c r="E5953" s="330" t="s">
        <v>37248</v>
      </c>
      <c r="F5953" s="331">
        <v>0.21</v>
      </c>
      <c r="G5953" s="332">
        <v>51675</v>
      </c>
      <c r="H5953" s="333">
        <v>62527</v>
      </c>
    </row>
    <row r="5954" spans="1:8">
      <c r="A5954" s="317">
        <v>1612025019</v>
      </c>
      <c r="B5954" s="330" t="s">
        <v>50320</v>
      </c>
      <c r="C5954" s="330" t="s">
        <v>15163</v>
      </c>
      <c r="D5954" s="330" t="s">
        <v>15164</v>
      </c>
      <c r="E5954" s="330" t="s">
        <v>4634</v>
      </c>
      <c r="F5954" s="331">
        <v>0.21</v>
      </c>
      <c r="G5954" s="332">
        <v>1267</v>
      </c>
      <c r="H5954" s="333">
        <v>1534</v>
      </c>
    </row>
    <row r="5955" spans="1:8">
      <c r="A5955" s="317">
        <v>1612025031</v>
      </c>
      <c r="B5955" s="330" t="s">
        <v>50321</v>
      </c>
      <c r="C5955" s="330" t="s">
        <v>15165</v>
      </c>
      <c r="D5955" s="330" t="s">
        <v>15166</v>
      </c>
      <c r="E5955" s="330" t="s">
        <v>4634</v>
      </c>
      <c r="F5955" s="331">
        <v>0.21</v>
      </c>
      <c r="G5955" s="332">
        <v>2551</v>
      </c>
      <c r="H5955" s="333">
        <v>3087</v>
      </c>
    </row>
    <row r="5956" spans="1:8">
      <c r="A5956" s="317">
        <v>1612025043</v>
      </c>
      <c r="B5956" s="330" t="s">
        <v>50322</v>
      </c>
      <c r="C5956" s="330" t="s">
        <v>15167</v>
      </c>
      <c r="D5956" s="330" t="s">
        <v>15168</v>
      </c>
      <c r="E5956" s="330" t="s">
        <v>4819</v>
      </c>
      <c r="F5956" s="331">
        <v>0.21</v>
      </c>
      <c r="G5956" s="332">
        <v>47164</v>
      </c>
      <c r="H5956" s="333">
        <v>57069</v>
      </c>
    </row>
    <row r="5957" spans="1:8">
      <c r="A5957" s="317">
        <v>1612025050</v>
      </c>
      <c r="B5957" s="330" t="s">
        <v>50323</v>
      </c>
      <c r="C5957" s="330" t="s">
        <v>15169</v>
      </c>
      <c r="D5957" s="330" t="s">
        <v>15170</v>
      </c>
      <c r="E5957" s="330" t="s">
        <v>4634</v>
      </c>
      <c r="F5957" s="331">
        <v>0.21</v>
      </c>
      <c r="G5957" s="332">
        <v>1008</v>
      </c>
      <c r="H5957" s="333">
        <v>1220</v>
      </c>
    </row>
    <row r="5958" spans="1:8">
      <c r="A5958" s="317">
        <v>1612025055</v>
      </c>
      <c r="B5958" s="330" t="s">
        <v>50324</v>
      </c>
      <c r="C5958" s="330" t="s">
        <v>15171</v>
      </c>
      <c r="D5958" s="330" t="s">
        <v>15172</v>
      </c>
      <c r="E5958" s="330" t="s">
        <v>4819</v>
      </c>
      <c r="F5958" s="331">
        <v>0.21</v>
      </c>
      <c r="G5958" s="332">
        <v>52980</v>
      </c>
      <c r="H5958" s="333">
        <v>64106</v>
      </c>
    </row>
    <row r="5959" spans="1:8">
      <c r="A5959" s="317">
        <v>1612025057</v>
      </c>
      <c r="B5959" s="330" t="s">
        <v>50325</v>
      </c>
      <c r="C5959" s="330" t="s">
        <v>15173</v>
      </c>
      <c r="D5959" s="330" t="s">
        <v>15174</v>
      </c>
      <c r="E5959" s="330" t="s">
        <v>4634</v>
      </c>
      <c r="F5959" s="331">
        <v>0.21</v>
      </c>
      <c r="G5959" s="332">
        <v>6426</v>
      </c>
      <c r="H5959" s="333">
        <v>7776</v>
      </c>
    </row>
    <row r="5960" spans="1:8">
      <c r="A5960" s="317">
        <v>1612025058</v>
      </c>
      <c r="B5960" s="330" t="s">
        <v>50326</v>
      </c>
      <c r="C5960" s="330" t="s">
        <v>15175</v>
      </c>
      <c r="D5960" s="330" t="s">
        <v>15176</v>
      </c>
      <c r="E5960" s="330" t="s">
        <v>4634</v>
      </c>
      <c r="F5960" s="331">
        <v>0.21</v>
      </c>
      <c r="G5960" s="332">
        <v>2217</v>
      </c>
      <c r="H5960" s="333">
        <v>2683</v>
      </c>
    </row>
    <row r="5961" spans="1:8">
      <c r="A5961" s="317">
        <v>1612025060</v>
      </c>
      <c r="B5961" s="330" t="s">
        <v>50327</v>
      </c>
      <c r="C5961" s="330" t="s">
        <v>15177</v>
      </c>
      <c r="D5961" s="330" t="s">
        <v>15178</v>
      </c>
      <c r="E5961" s="330" t="s">
        <v>4634</v>
      </c>
      <c r="F5961" s="331">
        <v>0.21</v>
      </c>
      <c r="G5961" s="332">
        <v>5164</v>
      </c>
      <c r="H5961" s="333">
        <v>6249</v>
      </c>
    </row>
    <row r="5962" spans="1:8">
      <c r="A5962" s="317">
        <v>1612025061</v>
      </c>
      <c r="B5962" s="330" t="s">
        <v>50328</v>
      </c>
      <c r="C5962" s="330" t="s">
        <v>15179</v>
      </c>
      <c r="D5962" s="330" t="s">
        <v>15180</v>
      </c>
      <c r="E5962" s="330" t="s">
        <v>4634</v>
      </c>
      <c r="F5962" s="331">
        <v>0.21</v>
      </c>
      <c r="G5962" s="332">
        <v>10863</v>
      </c>
      <c r="H5962" s="333">
        <v>13145</v>
      </c>
    </row>
    <row r="5963" spans="1:8">
      <c r="A5963" s="317">
        <v>1612025070</v>
      </c>
      <c r="B5963" s="330" t="s">
        <v>50329</v>
      </c>
      <c r="C5963" s="330" t="s">
        <v>15181</v>
      </c>
      <c r="D5963" s="330" t="s">
        <v>15182</v>
      </c>
      <c r="E5963" s="330" t="s">
        <v>4634</v>
      </c>
      <c r="F5963" s="331">
        <v>0.21</v>
      </c>
      <c r="G5963" s="332">
        <v>9016</v>
      </c>
      <c r="H5963" s="333">
        <v>10910</v>
      </c>
    </row>
    <row r="5964" spans="1:8">
      <c r="A5964" s="317">
        <v>1612025079</v>
      </c>
      <c r="B5964" s="330" t="s">
        <v>50330</v>
      </c>
      <c r="C5964" s="330" t="s">
        <v>15183</v>
      </c>
      <c r="D5964" s="330" t="s">
        <v>15184</v>
      </c>
      <c r="E5964" s="330" t="s">
        <v>37248</v>
      </c>
      <c r="F5964" s="331">
        <v>0.21</v>
      </c>
      <c r="G5964" s="332">
        <v>18749</v>
      </c>
      <c r="H5964" s="333">
        <v>22687</v>
      </c>
    </row>
    <row r="5965" spans="1:8">
      <c r="A5965" s="317">
        <v>1612025086</v>
      </c>
      <c r="B5965" s="330" t="s">
        <v>50331</v>
      </c>
      <c r="C5965" s="330" t="s">
        <v>15185</v>
      </c>
      <c r="D5965" s="330" t="s">
        <v>15186</v>
      </c>
      <c r="E5965" s="330" t="s">
        <v>4634</v>
      </c>
      <c r="F5965" s="331">
        <v>0.21</v>
      </c>
      <c r="G5965" s="332">
        <v>5761</v>
      </c>
      <c r="H5965" s="333">
        <v>6971</v>
      </c>
    </row>
    <row r="5966" spans="1:8">
      <c r="A5966" s="317">
        <v>1612026011</v>
      </c>
      <c r="B5966" s="330" t="s">
        <v>50332</v>
      </c>
      <c r="C5966" s="330" t="s">
        <v>15187</v>
      </c>
      <c r="D5966" s="330" t="s">
        <v>15188</v>
      </c>
      <c r="E5966" s="330" t="s">
        <v>4819</v>
      </c>
      <c r="F5966" s="331">
        <v>0.21</v>
      </c>
      <c r="G5966" s="332">
        <v>9092</v>
      </c>
      <c r="H5966" s="333">
        <v>11002</v>
      </c>
    </row>
    <row r="5967" spans="1:8">
      <c r="A5967" s="317">
        <v>1612026015</v>
      </c>
      <c r="B5967" s="330" t="s">
        <v>50333</v>
      </c>
      <c r="C5967" s="330" t="s">
        <v>15189</v>
      </c>
      <c r="D5967" s="330" t="s">
        <v>15190</v>
      </c>
      <c r="E5967" s="330" t="s">
        <v>4634</v>
      </c>
      <c r="F5967" s="331">
        <v>0.21</v>
      </c>
      <c r="G5967" s="332">
        <v>1126</v>
      </c>
      <c r="H5967" s="333">
        <v>1363</v>
      </c>
    </row>
    <row r="5968" spans="1:8">
      <c r="A5968" s="317">
        <v>1612026023</v>
      </c>
      <c r="B5968" s="330" t="s">
        <v>50334</v>
      </c>
      <c r="C5968" s="330" t="s">
        <v>15191</v>
      </c>
      <c r="D5968" s="330" t="s">
        <v>15192</v>
      </c>
      <c r="E5968" s="330" t="s">
        <v>37248</v>
      </c>
      <c r="F5968" s="331">
        <v>0.21</v>
      </c>
      <c r="G5968" s="332">
        <v>6674</v>
      </c>
      <c r="H5968" s="333">
        <v>8076</v>
      </c>
    </row>
    <row r="5969" spans="1:8">
      <c r="A5969" s="317">
        <v>1612026029</v>
      </c>
      <c r="B5969" s="330" t="s">
        <v>50335</v>
      </c>
      <c r="C5969" s="330" t="s">
        <v>15193</v>
      </c>
      <c r="D5969" s="330" t="s">
        <v>15194</v>
      </c>
      <c r="E5969" s="330" t="s">
        <v>4819</v>
      </c>
      <c r="F5969" s="331">
        <v>0.21</v>
      </c>
      <c r="G5969" s="332">
        <v>3934</v>
      </c>
      <c r="H5969" s="333">
        <v>4761</v>
      </c>
    </row>
    <row r="5970" spans="1:8">
      <c r="A5970" s="317">
        <v>1612026033</v>
      </c>
      <c r="B5970" s="330" t="s">
        <v>50336</v>
      </c>
      <c r="C5970" s="330" t="s">
        <v>15195</v>
      </c>
      <c r="D5970" s="330" t="s">
        <v>15196</v>
      </c>
      <c r="E5970" s="330" t="s">
        <v>4634</v>
      </c>
      <c r="F5970" s="331">
        <v>0.21</v>
      </c>
      <c r="G5970" s="332">
        <v>2186</v>
      </c>
      <c r="H5970" s="333">
        <v>2646</v>
      </c>
    </row>
    <row r="5971" spans="1:8">
      <c r="A5971" s="317">
        <v>1612026035</v>
      </c>
      <c r="B5971" s="330" t="s">
        <v>50337</v>
      </c>
      <c r="C5971" s="330" t="s">
        <v>15197</v>
      </c>
      <c r="D5971" s="330" t="s">
        <v>8539</v>
      </c>
      <c r="E5971" s="330" t="s">
        <v>37248</v>
      </c>
      <c r="F5971" s="331">
        <v>0.21</v>
      </c>
      <c r="G5971" s="332">
        <v>2221</v>
      </c>
      <c r="H5971" s="333">
        <v>2688</v>
      </c>
    </row>
    <row r="5972" spans="1:8">
      <c r="A5972" s="317">
        <v>1612026043</v>
      </c>
      <c r="B5972" s="330" t="s">
        <v>50338</v>
      </c>
      <c r="C5972" s="330" t="s">
        <v>15198</v>
      </c>
      <c r="D5972" s="330" t="s">
        <v>15199</v>
      </c>
      <c r="E5972" s="330" t="s">
        <v>4634</v>
      </c>
      <c r="F5972" s="331">
        <v>0.21</v>
      </c>
      <c r="G5972" s="332">
        <v>2059</v>
      </c>
      <c r="H5972" s="333">
        <v>2492</v>
      </c>
    </row>
    <row r="5973" spans="1:8">
      <c r="A5973" s="317">
        <v>1612026049</v>
      </c>
      <c r="B5973" s="330" t="s">
        <v>50339</v>
      </c>
      <c r="C5973" s="330" t="s">
        <v>15200</v>
      </c>
      <c r="D5973" s="330" t="s">
        <v>15201</v>
      </c>
      <c r="E5973" s="330" t="s">
        <v>37248</v>
      </c>
      <c r="F5973" s="331">
        <v>0.21</v>
      </c>
      <c r="G5973" s="332">
        <v>4503</v>
      </c>
      <c r="H5973" s="333">
        <v>5449</v>
      </c>
    </row>
    <row r="5974" spans="1:8">
      <c r="A5974" s="317">
        <v>1612026050</v>
      </c>
      <c r="B5974" s="330" t="s">
        <v>50340</v>
      </c>
      <c r="C5974" s="330" t="s">
        <v>15202</v>
      </c>
      <c r="D5974" s="330" t="s">
        <v>15203</v>
      </c>
      <c r="E5974" s="330" t="s">
        <v>4634</v>
      </c>
      <c r="F5974" s="331">
        <v>0.21</v>
      </c>
      <c r="G5974" s="332">
        <v>584</v>
      </c>
      <c r="H5974" s="333">
        <v>707</v>
      </c>
    </row>
    <row r="5975" spans="1:8">
      <c r="A5975" s="317">
        <v>1612026056</v>
      </c>
      <c r="B5975" s="330" t="s">
        <v>50341</v>
      </c>
      <c r="C5975" s="330" t="s">
        <v>15204</v>
      </c>
      <c r="D5975" s="330" t="s">
        <v>15205</v>
      </c>
      <c r="E5975" s="330" t="s">
        <v>4634</v>
      </c>
      <c r="F5975" s="331">
        <v>0.21</v>
      </c>
      <c r="G5975" s="332">
        <v>3154</v>
      </c>
      <c r="H5975" s="333">
        <v>3817</v>
      </c>
    </row>
    <row r="5976" spans="1:8">
      <c r="A5976" s="317">
        <v>1612026057</v>
      </c>
      <c r="B5976" s="330" t="s">
        <v>50342</v>
      </c>
      <c r="C5976" s="330" t="s">
        <v>15206</v>
      </c>
      <c r="D5976" s="330" t="s">
        <v>15207</v>
      </c>
      <c r="E5976" s="330" t="s">
        <v>37248</v>
      </c>
      <c r="F5976" s="331">
        <v>0.21</v>
      </c>
      <c r="G5976" s="332">
        <v>16936</v>
      </c>
      <c r="H5976" s="333">
        <v>20493</v>
      </c>
    </row>
    <row r="5977" spans="1:8">
      <c r="A5977" s="317">
        <v>1612026063</v>
      </c>
      <c r="B5977" s="330" t="s">
        <v>50343</v>
      </c>
      <c r="C5977" s="330" t="s">
        <v>15208</v>
      </c>
      <c r="D5977" s="330" t="s">
        <v>15209</v>
      </c>
      <c r="E5977" s="330" t="s">
        <v>37248</v>
      </c>
      <c r="F5977" s="331">
        <v>0.21</v>
      </c>
      <c r="G5977" s="332">
        <v>5264</v>
      </c>
      <c r="H5977" s="333">
        <v>6370</v>
      </c>
    </row>
    <row r="5978" spans="1:8">
      <c r="A5978" s="317">
        <v>1612026078</v>
      </c>
      <c r="B5978" s="330" t="s">
        <v>50344</v>
      </c>
      <c r="C5978" s="330" t="s">
        <v>15210</v>
      </c>
      <c r="D5978" s="330" t="s">
        <v>15211</v>
      </c>
      <c r="E5978" s="330" t="s">
        <v>4634</v>
      </c>
      <c r="F5978" s="331">
        <v>0.21</v>
      </c>
      <c r="G5978" s="332">
        <v>2261</v>
      </c>
      <c r="H5978" s="333">
        <v>2736</v>
      </c>
    </row>
    <row r="5979" spans="1:8">
      <c r="A5979" s="317">
        <v>1612026083</v>
      </c>
      <c r="B5979" s="330" t="s">
        <v>50345</v>
      </c>
      <c r="C5979" s="330" t="s">
        <v>15212</v>
      </c>
      <c r="D5979" s="330" t="s">
        <v>15213</v>
      </c>
      <c r="E5979" s="330" t="s">
        <v>4634</v>
      </c>
      <c r="F5979" s="331">
        <v>0.21</v>
      </c>
      <c r="G5979" s="332">
        <v>3839</v>
      </c>
      <c r="H5979" s="333">
        <v>4646</v>
      </c>
    </row>
    <row r="5980" spans="1:8">
      <c r="A5980" s="317">
        <v>1612026084</v>
      </c>
      <c r="B5980" s="330" t="s">
        <v>50346</v>
      </c>
      <c r="C5980" s="330" t="s">
        <v>15214</v>
      </c>
      <c r="D5980" s="330" t="s">
        <v>15215</v>
      </c>
      <c r="E5980" s="330" t="s">
        <v>4819</v>
      </c>
      <c r="F5980" s="331">
        <v>0.21</v>
      </c>
      <c r="G5980" s="332">
        <v>11080</v>
      </c>
      <c r="H5980" s="333">
        <v>13407</v>
      </c>
    </row>
    <row r="5981" spans="1:8">
      <c r="A5981" s="317">
        <v>1612026090</v>
      </c>
      <c r="B5981" s="330" t="s">
        <v>50347</v>
      </c>
      <c r="C5981" s="330" t="s">
        <v>15216</v>
      </c>
      <c r="D5981" s="330" t="s">
        <v>15217</v>
      </c>
      <c r="E5981" s="330" t="s">
        <v>4634</v>
      </c>
      <c r="F5981" s="331">
        <v>0.21</v>
      </c>
      <c r="G5981" s="332">
        <v>4729</v>
      </c>
      <c r="H5981" s="333">
        <v>5723</v>
      </c>
    </row>
    <row r="5982" spans="1:8">
      <c r="A5982" s="317">
        <v>1612026097</v>
      </c>
      <c r="B5982" s="330" t="s">
        <v>50348</v>
      </c>
      <c r="C5982" s="330" t="s">
        <v>15218</v>
      </c>
      <c r="D5982" s="330" t="s">
        <v>15219</v>
      </c>
      <c r="E5982" s="330" t="s">
        <v>4634</v>
      </c>
      <c r="F5982" s="331">
        <v>0.21</v>
      </c>
      <c r="G5982" s="332">
        <v>4191</v>
      </c>
      <c r="H5982" s="333">
        <v>5072</v>
      </c>
    </row>
    <row r="5983" spans="1:8">
      <c r="A5983" s="317">
        <v>1612026100</v>
      </c>
      <c r="B5983" s="330" t="s">
        <v>50349</v>
      </c>
      <c r="C5983" s="330" t="s">
        <v>15220</v>
      </c>
      <c r="D5983" s="330" t="s">
        <v>15221</v>
      </c>
      <c r="E5983" s="330" t="s">
        <v>4634</v>
      </c>
      <c r="F5983" s="331">
        <v>0.21</v>
      </c>
      <c r="G5983" s="332">
        <v>2462</v>
      </c>
      <c r="H5983" s="333">
        <v>2980</v>
      </c>
    </row>
    <row r="5984" spans="1:8">
      <c r="A5984" s="317">
        <v>1612026114</v>
      </c>
      <c r="B5984" s="330" t="s">
        <v>50350</v>
      </c>
      <c r="C5984" s="330" t="s">
        <v>15222</v>
      </c>
      <c r="D5984" s="330" t="s">
        <v>15223</v>
      </c>
      <c r="E5984" s="330" t="s">
        <v>37248</v>
      </c>
      <c r="F5984" s="331">
        <v>0.21</v>
      </c>
      <c r="G5984" s="332">
        <v>361</v>
      </c>
      <c r="H5984" s="333">
        <v>437</v>
      </c>
    </row>
    <row r="5985" spans="1:8">
      <c r="A5985" s="317">
        <v>1612026126</v>
      </c>
      <c r="B5985" s="330" t="s">
        <v>50351</v>
      </c>
      <c r="C5985" s="330" t="s">
        <v>15224</v>
      </c>
      <c r="D5985" s="330" t="s">
        <v>15225</v>
      </c>
      <c r="E5985" s="330" t="s">
        <v>4623</v>
      </c>
      <c r="F5985" s="331">
        <v>0.21</v>
      </c>
      <c r="G5985" s="332">
        <v>3036</v>
      </c>
      <c r="H5985" s="333">
        <v>3674</v>
      </c>
    </row>
    <row r="5986" spans="1:8">
      <c r="A5986" s="317">
        <v>1612026151</v>
      </c>
      <c r="B5986" s="330" t="s">
        <v>50352</v>
      </c>
      <c r="C5986" s="330" t="s">
        <v>15226</v>
      </c>
      <c r="D5986" s="330" t="s">
        <v>15227</v>
      </c>
      <c r="E5986" s="330" t="s">
        <v>37248</v>
      </c>
      <c r="F5986" s="331">
        <v>0.21</v>
      </c>
      <c r="G5986" s="332">
        <v>15548</v>
      </c>
      <c r="H5986" s="333">
        <v>18814</v>
      </c>
    </row>
    <row r="5987" spans="1:8">
      <c r="A5987" s="317">
        <v>1612026153</v>
      </c>
      <c r="B5987" s="330" t="s">
        <v>50353</v>
      </c>
      <c r="C5987" s="330" t="s">
        <v>15228</v>
      </c>
      <c r="D5987" s="330" t="s">
        <v>15229</v>
      </c>
      <c r="E5987" s="330" t="s">
        <v>37248</v>
      </c>
      <c r="F5987" s="331">
        <v>0.21</v>
      </c>
      <c r="G5987" s="332">
        <v>4869</v>
      </c>
      <c r="H5987" s="333">
        <v>5892</v>
      </c>
    </row>
    <row r="5988" spans="1:8">
      <c r="A5988" s="317">
        <v>1612099000</v>
      </c>
      <c r="B5988" s="330" t="s">
        <v>50354</v>
      </c>
      <c r="C5988" s="330" t="s">
        <v>15230</v>
      </c>
      <c r="D5988" s="330" t="s">
        <v>15231</v>
      </c>
      <c r="E5988" s="330" t="s">
        <v>4634</v>
      </c>
      <c r="F5988" s="331">
        <v>0.21</v>
      </c>
      <c r="G5988" s="332">
        <v>3437</v>
      </c>
      <c r="H5988" s="333">
        <v>4159</v>
      </c>
    </row>
    <row r="5989" spans="1:8">
      <c r="A5989" s="317">
        <v>1612099001</v>
      </c>
      <c r="B5989" s="330" t="s">
        <v>50355</v>
      </c>
      <c r="C5989" s="330" t="s">
        <v>15232</v>
      </c>
      <c r="D5989" s="330" t="s">
        <v>10528</v>
      </c>
      <c r="E5989" s="330" t="s">
        <v>4634</v>
      </c>
      <c r="F5989" s="331">
        <v>0.21</v>
      </c>
      <c r="G5989" s="332">
        <v>432</v>
      </c>
      <c r="H5989" s="333">
        <v>523</v>
      </c>
    </row>
    <row r="5990" spans="1:8">
      <c r="A5990" s="317">
        <v>1612099002</v>
      </c>
      <c r="B5990" s="330" t="s">
        <v>50356</v>
      </c>
      <c r="C5990" s="330" t="s">
        <v>15233</v>
      </c>
      <c r="D5990" s="330" t="s">
        <v>10528</v>
      </c>
      <c r="E5990" s="330" t="s">
        <v>4634</v>
      </c>
      <c r="F5990" s="331">
        <v>0.21</v>
      </c>
      <c r="G5990" s="332">
        <v>348</v>
      </c>
      <c r="H5990" s="333">
        <v>422</v>
      </c>
    </row>
    <row r="5991" spans="1:8">
      <c r="A5991" s="317">
        <v>1612099005</v>
      </c>
      <c r="B5991" s="330" t="s">
        <v>50357</v>
      </c>
      <c r="C5991" s="330" t="s">
        <v>15234</v>
      </c>
      <c r="D5991" s="330" t="s">
        <v>15235</v>
      </c>
      <c r="E5991" s="330" t="s">
        <v>37248</v>
      </c>
      <c r="F5991" s="331">
        <v>0.21</v>
      </c>
      <c r="G5991" s="332">
        <v>1233</v>
      </c>
      <c r="H5991" s="333">
        <v>1492</v>
      </c>
    </row>
    <row r="5992" spans="1:8">
      <c r="A5992" s="317">
        <v>1612210118</v>
      </c>
      <c r="B5992" s="330" t="s">
        <v>50358</v>
      </c>
      <c r="C5992" s="330" t="s">
        <v>15236</v>
      </c>
      <c r="D5992" s="330" t="s">
        <v>15237</v>
      </c>
      <c r="E5992" s="330" t="s">
        <v>4819</v>
      </c>
      <c r="F5992" s="331">
        <v>0.21</v>
      </c>
      <c r="G5992" s="332">
        <v>50114</v>
      </c>
      <c r="H5992" s="333">
        <v>60638</v>
      </c>
    </row>
    <row r="5993" spans="1:8">
      <c r="A5993" s="317">
        <v>1612300027</v>
      </c>
      <c r="B5993" s="330" t="s">
        <v>50359</v>
      </c>
      <c r="C5993" s="330" t="s">
        <v>15238</v>
      </c>
      <c r="D5993" s="330" t="s">
        <v>15239</v>
      </c>
      <c r="E5993" s="330" t="s">
        <v>37248</v>
      </c>
      <c r="F5993" s="331">
        <v>0.21</v>
      </c>
      <c r="G5993" s="332">
        <v>16940</v>
      </c>
      <c r="H5993" s="333">
        <v>20498</v>
      </c>
    </row>
    <row r="5994" spans="1:8">
      <c r="A5994" s="317">
        <v>1612300034</v>
      </c>
      <c r="B5994" s="330" t="s">
        <v>50360</v>
      </c>
      <c r="C5994" s="330" t="s">
        <v>15240</v>
      </c>
      <c r="D5994" s="330" t="s">
        <v>15241</v>
      </c>
      <c r="E5994" s="330" t="s">
        <v>4819</v>
      </c>
      <c r="F5994" s="331">
        <v>0.21</v>
      </c>
      <c r="G5994" s="332">
        <v>4331</v>
      </c>
      <c r="H5994" s="333">
        <v>5241</v>
      </c>
    </row>
    <row r="5995" spans="1:8">
      <c r="A5995" s="317">
        <v>1612301002</v>
      </c>
      <c r="B5995" s="330" t="s">
        <v>50361</v>
      </c>
      <c r="C5995" s="330" t="s">
        <v>15242</v>
      </c>
      <c r="D5995" s="330" t="s">
        <v>15243</v>
      </c>
      <c r="E5995" s="330" t="s">
        <v>4623</v>
      </c>
      <c r="F5995" s="331">
        <v>0.21</v>
      </c>
      <c r="G5995" s="332">
        <v>1679</v>
      </c>
      <c r="H5995" s="333">
        <v>2032</v>
      </c>
    </row>
    <row r="5996" spans="1:8">
      <c r="A5996" s="317">
        <v>1612310009</v>
      </c>
      <c r="B5996" s="330" t="s">
        <v>50362</v>
      </c>
      <c r="C5996" s="330" t="s">
        <v>15244</v>
      </c>
      <c r="D5996" s="330" t="s">
        <v>15245</v>
      </c>
      <c r="E5996" s="330" t="s">
        <v>4634</v>
      </c>
      <c r="F5996" s="331">
        <v>0.21</v>
      </c>
      <c r="G5996" s="332">
        <v>2683</v>
      </c>
      <c r="H5996" s="333">
        <v>3247</v>
      </c>
    </row>
    <row r="5997" spans="1:8">
      <c r="A5997" s="317">
        <v>1612380010</v>
      </c>
      <c r="B5997" s="330" t="s">
        <v>50363</v>
      </c>
      <c r="C5997" s="330" t="s">
        <v>15246</v>
      </c>
      <c r="D5997" s="330" t="s">
        <v>15247</v>
      </c>
      <c r="E5997" s="330" t="s">
        <v>4634</v>
      </c>
      <c r="F5997" s="331">
        <v>0.21</v>
      </c>
      <c r="G5997" s="332">
        <v>372</v>
      </c>
      <c r="H5997" s="333">
        <v>451</v>
      </c>
    </row>
    <row r="5998" spans="1:8">
      <c r="A5998" s="317">
        <v>1612386004</v>
      </c>
      <c r="B5998" s="330" t="s">
        <v>50364</v>
      </c>
      <c r="C5998" s="330" t="s">
        <v>15248</v>
      </c>
      <c r="D5998" s="330" t="s">
        <v>15249</v>
      </c>
      <c r="E5998" s="330" t="s">
        <v>4819</v>
      </c>
      <c r="F5998" s="331">
        <v>0.21</v>
      </c>
      <c r="G5998" s="332">
        <v>15630</v>
      </c>
      <c r="H5998" s="333">
        <v>18913</v>
      </c>
    </row>
    <row r="5999" spans="1:8">
      <c r="A5999" s="317">
        <v>1612386006</v>
      </c>
      <c r="B5999" s="330" t="s">
        <v>50365</v>
      </c>
      <c r="C5999" s="330" t="s">
        <v>15250</v>
      </c>
      <c r="D5999" s="330" t="s">
        <v>15251</v>
      </c>
      <c r="E5999" s="330" t="s">
        <v>37248</v>
      </c>
      <c r="F5999" s="331">
        <v>0.21</v>
      </c>
      <c r="G5999" s="332">
        <v>243</v>
      </c>
      <c r="H5999" s="333">
        <v>295</v>
      </c>
    </row>
    <row r="6000" spans="1:8">
      <c r="A6000" s="317">
        <v>1612386007</v>
      </c>
      <c r="B6000" s="330" t="s">
        <v>50366</v>
      </c>
      <c r="C6000" s="330" t="s">
        <v>15252</v>
      </c>
      <c r="D6000" s="330" t="s">
        <v>15253</v>
      </c>
      <c r="E6000" s="330" t="s">
        <v>37248</v>
      </c>
      <c r="F6000" s="331">
        <v>0.21</v>
      </c>
      <c r="G6000" s="332">
        <v>671</v>
      </c>
      <c r="H6000" s="333">
        <v>812</v>
      </c>
    </row>
    <row r="6001" spans="1:8">
      <c r="A6001" s="317">
        <v>1612388019</v>
      </c>
      <c r="B6001" s="330" t="s">
        <v>50367</v>
      </c>
      <c r="C6001" s="330" t="s">
        <v>15254</v>
      </c>
      <c r="D6001" s="330" t="s">
        <v>15255</v>
      </c>
      <c r="E6001" s="330" t="s">
        <v>4634</v>
      </c>
      <c r="F6001" s="331">
        <v>0.21</v>
      </c>
      <c r="G6001" s="332">
        <v>348</v>
      </c>
      <c r="H6001" s="333">
        <v>422</v>
      </c>
    </row>
    <row r="6002" spans="1:8">
      <c r="A6002" s="317">
        <v>1612388021</v>
      </c>
      <c r="B6002" s="330" t="s">
        <v>50368</v>
      </c>
      <c r="C6002" s="330" t="s">
        <v>15256</v>
      </c>
      <c r="D6002" s="330" t="s">
        <v>15257</v>
      </c>
      <c r="E6002" s="330" t="s">
        <v>4634</v>
      </c>
      <c r="F6002" s="331">
        <v>0.21</v>
      </c>
      <c r="G6002" s="332">
        <v>584</v>
      </c>
      <c r="H6002" s="333">
        <v>707</v>
      </c>
    </row>
    <row r="6003" spans="1:8">
      <c r="A6003" s="317">
        <v>1613001008</v>
      </c>
      <c r="B6003" s="330" t="s">
        <v>50369</v>
      </c>
      <c r="C6003" s="330" t="s">
        <v>15258</v>
      </c>
      <c r="D6003" s="330" t="s">
        <v>7838</v>
      </c>
      <c r="E6003" s="330" t="s">
        <v>4634</v>
      </c>
      <c r="F6003" s="331">
        <v>0.21</v>
      </c>
      <c r="G6003" s="332">
        <v>1692</v>
      </c>
      <c r="H6003" s="333">
        <v>2048</v>
      </c>
    </row>
    <row r="6004" spans="1:8">
      <c r="A6004" s="317">
        <v>1613001009</v>
      </c>
      <c r="B6004" s="330" t="s">
        <v>50370</v>
      </c>
      <c r="C6004" s="330" t="s">
        <v>15259</v>
      </c>
      <c r="D6004" s="330" t="s">
        <v>15260</v>
      </c>
      <c r="E6004" s="330" t="s">
        <v>4819</v>
      </c>
      <c r="F6004" s="331">
        <v>0.21</v>
      </c>
      <c r="G6004" s="332">
        <v>4160</v>
      </c>
      <c r="H6004" s="333">
        <v>5034</v>
      </c>
    </row>
    <row r="6005" spans="1:8">
      <c r="A6005" s="317">
        <v>1613023005</v>
      </c>
      <c r="B6005" s="330" t="s">
        <v>50371</v>
      </c>
      <c r="C6005" s="330" t="s">
        <v>15261</v>
      </c>
      <c r="D6005" s="330" t="s">
        <v>15262</v>
      </c>
      <c r="E6005" s="330" t="s">
        <v>4819</v>
      </c>
      <c r="F6005" s="331">
        <v>0.21</v>
      </c>
      <c r="G6005" s="332">
        <v>532</v>
      </c>
      <c r="H6005" s="333">
        <v>644</v>
      </c>
    </row>
    <row r="6006" spans="1:8">
      <c r="A6006" s="317">
        <v>1613023007</v>
      </c>
      <c r="B6006" s="330" t="s">
        <v>50372</v>
      </c>
      <c r="C6006" s="330" t="s">
        <v>15263</v>
      </c>
      <c r="D6006" s="330" t="s">
        <v>15264</v>
      </c>
      <c r="E6006" s="330" t="s">
        <v>37248</v>
      </c>
      <c r="F6006" s="331">
        <v>0.21</v>
      </c>
      <c r="G6006" s="332">
        <v>5833</v>
      </c>
      <c r="H6006" s="333">
        <v>7058</v>
      </c>
    </row>
    <row r="6007" spans="1:8">
      <c r="A6007" s="317">
        <v>1613060005</v>
      </c>
      <c r="B6007" s="330" t="s">
        <v>50373</v>
      </c>
      <c r="C6007" s="330" t="s">
        <v>15265</v>
      </c>
      <c r="D6007" s="330" t="s">
        <v>15266</v>
      </c>
      <c r="E6007" s="330" t="s">
        <v>37248</v>
      </c>
      <c r="F6007" s="331">
        <v>0.21</v>
      </c>
      <c r="G6007" s="332">
        <v>59311</v>
      </c>
      <c r="H6007" s="333">
        <v>71767</v>
      </c>
    </row>
    <row r="6008" spans="1:8">
      <c r="A6008" s="317">
        <v>1613060009</v>
      </c>
      <c r="B6008" s="330" t="s">
        <v>50374</v>
      </c>
      <c r="C6008" s="330" t="s">
        <v>15267</v>
      </c>
      <c r="D6008" s="330" t="s">
        <v>15268</v>
      </c>
      <c r="E6008" s="330" t="s">
        <v>4634</v>
      </c>
      <c r="F6008" s="331">
        <v>0.21</v>
      </c>
      <c r="G6008" s="332">
        <v>18435</v>
      </c>
      <c r="H6008" s="333">
        <v>22307</v>
      </c>
    </row>
    <row r="6009" spans="1:8">
      <c r="A6009" s="317">
        <v>1613060010</v>
      </c>
      <c r="B6009" s="330" t="s">
        <v>50375</v>
      </c>
      <c r="C6009" s="330" t="s">
        <v>15269</v>
      </c>
      <c r="D6009" s="330" t="s">
        <v>15270</v>
      </c>
      <c r="E6009" s="330" t="s">
        <v>4819</v>
      </c>
      <c r="F6009" s="331">
        <v>0.21</v>
      </c>
      <c r="G6009" s="332">
        <v>40668</v>
      </c>
      <c r="H6009" s="333">
        <v>49209</v>
      </c>
    </row>
    <row r="6010" spans="1:8">
      <c r="A6010" s="317">
        <v>1613060012</v>
      </c>
      <c r="B6010" s="330" t="s">
        <v>50376</v>
      </c>
      <c r="C6010" s="330" t="s">
        <v>15271</v>
      </c>
      <c r="D6010" s="330" t="s">
        <v>15272</v>
      </c>
      <c r="E6010" s="330" t="s">
        <v>4634</v>
      </c>
      <c r="F6010" s="331">
        <v>0.21</v>
      </c>
      <c r="G6010" s="332">
        <v>6627</v>
      </c>
      <c r="H6010" s="333">
        <v>8019</v>
      </c>
    </row>
    <row r="6011" spans="1:8">
      <c r="A6011" s="317">
        <v>1613060021</v>
      </c>
      <c r="B6011" s="330" t="s">
        <v>50377</v>
      </c>
      <c r="C6011" s="330" t="s">
        <v>15273</v>
      </c>
      <c r="D6011" s="330" t="s">
        <v>15274</v>
      </c>
      <c r="E6011" s="330" t="s">
        <v>4634</v>
      </c>
      <c r="F6011" s="331">
        <v>0.21</v>
      </c>
      <c r="G6011" s="332">
        <v>15682</v>
      </c>
      <c r="H6011" s="333">
        <v>18976</v>
      </c>
    </row>
    <row r="6012" spans="1:8">
      <c r="A6012" s="317">
        <v>1613060038</v>
      </c>
      <c r="B6012" s="330" t="s">
        <v>50378</v>
      </c>
      <c r="C6012" s="330" t="s">
        <v>15275</v>
      </c>
      <c r="D6012" s="330" t="s">
        <v>15276</v>
      </c>
      <c r="E6012" s="330" t="s">
        <v>4634</v>
      </c>
      <c r="F6012" s="331">
        <v>0.21</v>
      </c>
      <c r="G6012" s="332">
        <v>9688</v>
      </c>
      <c r="H6012" s="333">
        <v>11723</v>
      </c>
    </row>
    <row r="6013" spans="1:8">
      <c r="A6013" s="317">
        <v>1613060049</v>
      </c>
      <c r="B6013" s="330" t="s">
        <v>50379</v>
      </c>
      <c r="C6013" s="330" t="s">
        <v>15277</v>
      </c>
      <c r="D6013" s="330" t="s">
        <v>15278</v>
      </c>
      <c r="E6013" s="330" t="s">
        <v>37248</v>
      </c>
      <c r="F6013" s="331">
        <v>0.21</v>
      </c>
      <c r="G6013" s="332">
        <v>14901</v>
      </c>
      <c r="H6013" s="333">
        <v>18031</v>
      </c>
    </row>
    <row r="6014" spans="1:8">
      <c r="A6014" s="317">
        <v>1613060050</v>
      </c>
      <c r="B6014" s="330" t="s">
        <v>50380</v>
      </c>
      <c r="C6014" s="330" t="s">
        <v>15279</v>
      </c>
      <c r="D6014" s="330" t="s">
        <v>15280</v>
      </c>
      <c r="E6014" s="330" t="s">
        <v>4819</v>
      </c>
      <c r="F6014" s="331">
        <v>0.21</v>
      </c>
      <c r="G6014" s="332">
        <v>14413</v>
      </c>
      <c r="H6014" s="333">
        <v>17440</v>
      </c>
    </row>
    <row r="6015" spans="1:8">
      <c r="A6015" s="317">
        <v>1613060910</v>
      </c>
      <c r="B6015" s="330" t="s">
        <v>50381</v>
      </c>
      <c r="C6015" s="330" t="s">
        <v>15281</v>
      </c>
      <c r="D6015" s="330" t="s">
        <v>15282</v>
      </c>
      <c r="E6015" s="330" t="s">
        <v>4634</v>
      </c>
      <c r="F6015" s="331">
        <v>0.21</v>
      </c>
      <c r="G6015" s="332">
        <v>903</v>
      </c>
      <c r="H6015" s="333">
        <v>1093</v>
      </c>
    </row>
    <row r="6016" spans="1:8">
      <c r="A6016" s="317">
        <v>1613100005</v>
      </c>
      <c r="B6016" s="330" t="s">
        <v>50382</v>
      </c>
      <c r="C6016" s="330" t="s">
        <v>15283</v>
      </c>
      <c r="D6016" s="330" t="s">
        <v>15284</v>
      </c>
      <c r="E6016" s="330" t="s">
        <v>4634</v>
      </c>
      <c r="F6016" s="331">
        <v>0.21</v>
      </c>
      <c r="G6016" s="332">
        <v>1043</v>
      </c>
      <c r="H6016" s="333">
        <v>1263</v>
      </c>
    </row>
    <row r="6017" spans="1:8">
      <c r="A6017" s="317">
        <v>1613100011</v>
      </c>
      <c r="B6017" s="330" t="s">
        <v>50383</v>
      </c>
      <c r="C6017" s="330" t="s">
        <v>15285</v>
      </c>
      <c r="D6017" s="330" t="s">
        <v>8670</v>
      </c>
      <c r="E6017" s="330" t="s">
        <v>4634</v>
      </c>
      <c r="F6017" s="331">
        <v>0.21</v>
      </c>
      <c r="G6017" s="332">
        <v>711</v>
      </c>
      <c r="H6017" s="333">
        <v>861</v>
      </c>
    </row>
    <row r="6018" spans="1:8">
      <c r="A6018" s="317">
        <v>1613100013</v>
      </c>
      <c r="B6018" s="330" t="s">
        <v>50384</v>
      </c>
      <c r="C6018" s="330" t="s">
        <v>15286</v>
      </c>
      <c r="D6018" s="330" t="s">
        <v>15287</v>
      </c>
      <c r="E6018" s="330" t="s">
        <v>4634</v>
      </c>
      <c r="F6018" s="331">
        <v>0.21</v>
      </c>
      <c r="G6018" s="332">
        <v>564</v>
      </c>
      <c r="H6018" s="333">
        <v>683</v>
      </c>
    </row>
    <row r="6019" spans="1:8">
      <c r="A6019" s="317">
        <v>1613100015</v>
      </c>
      <c r="B6019" s="330" t="s">
        <v>50385</v>
      </c>
      <c r="C6019" s="330" t="s">
        <v>15288</v>
      </c>
      <c r="D6019" s="330" t="s">
        <v>15289</v>
      </c>
      <c r="E6019" s="330" t="s">
        <v>4634</v>
      </c>
      <c r="F6019" s="331">
        <v>0.21</v>
      </c>
      <c r="G6019" s="332">
        <v>455</v>
      </c>
      <c r="H6019" s="333">
        <v>551</v>
      </c>
    </row>
    <row r="6020" spans="1:8">
      <c r="A6020" s="317">
        <v>1613100020</v>
      </c>
      <c r="B6020" s="330" t="s">
        <v>50386</v>
      </c>
      <c r="C6020" s="330" t="s">
        <v>15290</v>
      </c>
      <c r="D6020" s="330" t="s">
        <v>15291</v>
      </c>
      <c r="E6020" s="330" t="s">
        <v>37248</v>
      </c>
      <c r="F6020" s="331">
        <v>0.21</v>
      </c>
      <c r="G6020" s="332">
        <v>4410</v>
      </c>
      <c r="H6020" s="333">
        <v>5337</v>
      </c>
    </row>
    <row r="6021" spans="1:8">
      <c r="A6021" s="317">
        <v>1613100021</v>
      </c>
      <c r="B6021" s="330" t="s">
        <v>50387</v>
      </c>
      <c r="C6021" s="330" t="s">
        <v>15292</v>
      </c>
      <c r="D6021" s="330" t="s">
        <v>15293</v>
      </c>
      <c r="E6021" s="330" t="s">
        <v>4634</v>
      </c>
      <c r="F6021" s="331">
        <v>0.21</v>
      </c>
      <c r="G6021" s="332">
        <v>564</v>
      </c>
      <c r="H6021" s="333">
        <v>683</v>
      </c>
    </row>
    <row r="6022" spans="1:8">
      <c r="A6022" s="317">
        <v>1613100030</v>
      </c>
      <c r="B6022" s="330" t="s">
        <v>50388</v>
      </c>
      <c r="C6022" s="330" t="s">
        <v>15294</v>
      </c>
      <c r="D6022" s="330" t="s">
        <v>15295</v>
      </c>
      <c r="E6022" s="330" t="s">
        <v>37248</v>
      </c>
      <c r="F6022" s="331">
        <v>0.21</v>
      </c>
      <c r="G6022" s="332">
        <v>3856</v>
      </c>
      <c r="H6022" s="333">
        <v>4666</v>
      </c>
    </row>
    <row r="6023" spans="1:8">
      <c r="A6023" s="317">
        <v>1613100032</v>
      </c>
      <c r="B6023" s="330" t="s">
        <v>50389</v>
      </c>
      <c r="C6023" s="330" t="s">
        <v>15296</v>
      </c>
      <c r="D6023" s="330" t="s">
        <v>4879</v>
      </c>
      <c r="E6023" s="330" t="s">
        <v>4819</v>
      </c>
      <c r="F6023" s="331">
        <v>0.21</v>
      </c>
      <c r="G6023" s="332">
        <v>1780</v>
      </c>
      <c r="H6023" s="333">
        <v>2154</v>
      </c>
    </row>
    <row r="6024" spans="1:8">
      <c r="A6024" s="317">
        <v>1613100033</v>
      </c>
      <c r="B6024" s="330" t="s">
        <v>50390</v>
      </c>
      <c r="C6024" s="330" t="s">
        <v>15297</v>
      </c>
      <c r="D6024" s="330" t="s">
        <v>15298</v>
      </c>
      <c r="E6024" s="330" t="s">
        <v>4819</v>
      </c>
      <c r="F6024" s="331">
        <v>0.21</v>
      </c>
      <c r="G6024" s="332">
        <v>671</v>
      </c>
      <c r="H6024" s="333">
        <v>812</v>
      </c>
    </row>
    <row r="6025" spans="1:8">
      <c r="A6025" s="317">
        <v>1613100034</v>
      </c>
      <c r="B6025" s="330" t="s">
        <v>50391</v>
      </c>
      <c r="C6025" s="330" t="s">
        <v>15299</v>
      </c>
      <c r="D6025" s="330" t="s">
        <v>15300</v>
      </c>
      <c r="E6025" s="330" t="s">
        <v>37248</v>
      </c>
      <c r="F6025" s="331">
        <v>0.21</v>
      </c>
      <c r="G6025" s="332">
        <v>4345</v>
      </c>
      <c r="H6025" s="333">
        <v>5258</v>
      </c>
    </row>
    <row r="6026" spans="1:8">
      <c r="A6026" s="317">
        <v>1613100040</v>
      </c>
      <c r="B6026" s="330" t="s">
        <v>50392</v>
      </c>
      <c r="C6026" s="330" t="s">
        <v>15301</v>
      </c>
      <c r="D6026" s="330" t="s">
        <v>15302</v>
      </c>
      <c r="E6026" s="330" t="s">
        <v>37248</v>
      </c>
      <c r="F6026" s="331">
        <v>0.21</v>
      </c>
      <c r="G6026" s="332">
        <v>910</v>
      </c>
      <c r="H6026" s="333">
        <v>1102</v>
      </c>
    </row>
    <row r="6027" spans="1:8">
      <c r="A6027" s="317">
        <v>1613101005</v>
      </c>
      <c r="B6027" s="330" t="s">
        <v>50393</v>
      </c>
      <c r="C6027" s="330" t="s">
        <v>15303</v>
      </c>
      <c r="D6027" s="330" t="s">
        <v>15304</v>
      </c>
      <c r="E6027" s="330" t="s">
        <v>4634</v>
      </c>
      <c r="F6027" s="331">
        <v>0.21</v>
      </c>
      <c r="G6027" s="332">
        <v>648</v>
      </c>
      <c r="H6027" s="333">
        <v>785</v>
      </c>
    </row>
    <row r="6028" spans="1:8">
      <c r="A6028" s="317">
        <v>1613101011</v>
      </c>
      <c r="B6028" s="330" t="s">
        <v>50394</v>
      </c>
      <c r="C6028" s="330" t="s">
        <v>15305</v>
      </c>
      <c r="D6028" s="330" t="s">
        <v>15306</v>
      </c>
      <c r="E6028" s="330" t="s">
        <v>4634</v>
      </c>
      <c r="F6028" s="331">
        <v>0.21</v>
      </c>
      <c r="G6028" s="332">
        <v>1547</v>
      </c>
      <c r="H6028" s="333">
        <v>1872</v>
      </c>
    </row>
    <row r="6029" spans="1:8">
      <c r="A6029" s="317">
        <v>1613101012</v>
      </c>
      <c r="B6029" s="330" t="s">
        <v>50395</v>
      </c>
      <c r="C6029" s="330" t="s">
        <v>15307</v>
      </c>
      <c r="D6029" s="330" t="s">
        <v>15308</v>
      </c>
      <c r="E6029" s="330" t="s">
        <v>37248</v>
      </c>
      <c r="F6029" s="331">
        <v>0.21</v>
      </c>
      <c r="G6029" s="332">
        <v>6509</v>
      </c>
      <c r="H6029" s="333">
        <v>7876</v>
      </c>
    </row>
    <row r="6030" spans="1:8">
      <c r="A6030" s="317">
        <v>1613101014</v>
      </c>
      <c r="B6030" s="330" t="s">
        <v>50396</v>
      </c>
      <c r="C6030" s="330" t="s">
        <v>15309</v>
      </c>
      <c r="D6030" s="330" t="s">
        <v>15310</v>
      </c>
      <c r="E6030" s="330" t="s">
        <v>37248</v>
      </c>
      <c r="F6030" s="331">
        <v>0.21</v>
      </c>
      <c r="G6030" s="332">
        <v>1880</v>
      </c>
      <c r="H6030" s="333">
        <v>2275</v>
      </c>
    </row>
    <row r="6031" spans="1:8">
      <c r="A6031" s="317">
        <v>1613103006</v>
      </c>
      <c r="B6031" s="330" t="s">
        <v>50397</v>
      </c>
      <c r="C6031" s="330" t="s">
        <v>15311</v>
      </c>
      <c r="D6031" s="330" t="s">
        <v>15312</v>
      </c>
      <c r="E6031" s="330" t="s">
        <v>4634</v>
      </c>
      <c r="F6031" s="331">
        <v>0.21</v>
      </c>
      <c r="G6031" s="332">
        <v>702</v>
      </c>
      <c r="H6031" s="333">
        <v>850</v>
      </c>
    </row>
    <row r="6032" spans="1:8">
      <c r="A6032" s="317">
        <v>1613103012</v>
      </c>
      <c r="B6032" s="330" t="s">
        <v>50398</v>
      </c>
      <c r="C6032" s="330" t="s">
        <v>15313</v>
      </c>
      <c r="D6032" s="330" t="s">
        <v>15314</v>
      </c>
      <c r="E6032" s="330" t="s">
        <v>4623</v>
      </c>
      <c r="F6032" s="331">
        <v>0.21</v>
      </c>
      <c r="G6032" s="332">
        <v>1998</v>
      </c>
      <c r="H6032" s="333">
        <v>2418</v>
      </c>
    </row>
    <row r="6033" spans="1:8">
      <c r="A6033" s="317">
        <v>1613105010</v>
      </c>
      <c r="B6033" s="330" t="s">
        <v>50399</v>
      </c>
      <c r="C6033" s="330" t="s">
        <v>15315</v>
      </c>
      <c r="D6033" s="330" t="s">
        <v>8670</v>
      </c>
      <c r="E6033" s="330" t="s">
        <v>4634</v>
      </c>
      <c r="F6033" s="331">
        <v>0.21</v>
      </c>
      <c r="G6033" s="332">
        <v>1440</v>
      </c>
      <c r="H6033" s="333">
        <v>1743</v>
      </c>
    </row>
    <row r="6034" spans="1:8">
      <c r="A6034" s="317">
        <v>1613105012</v>
      </c>
      <c r="B6034" s="330" t="s">
        <v>50400</v>
      </c>
      <c r="C6034" s="330" t="s">
        <v>15316</v>
      </c>
      <c r="D6034" s="330" t="s">
        <v>15317</v>
      </c>
      <c r="E6034" s="330" t="s">
        <v>37248</v>
      </c>
      <c r="F6034" s="331">
        <v>0.21</v>
      </c>
      <c r="G6034" s="332">
        <v>5066</v>
      </c>
      <c r="H6034" s="333">
        <v>6130</v>
      </c>
    </row>
    <row r="6035" spans="1:8">
      <c r="A6035" s="317">
        <v>1613105020</v>
      </c>
      <c r="B6035" s="330" t="s">
        <v>50401</v>
      </c>
      <c r="C6035" s="330" t="s">
        <v>15318</v>
      </c>
      <c r="D6035" s="330" t="s">
        <v>15319</v>
      </c>
      <c r="E6035" s="330" t="s">
        <v>4819</v>
      </c>
      <c r="F6035" s="331">
        <v>0.21</v>
      </c>
      <c r="G6035" s="332">
        <v>5353</v>
      </c>
      <c r="H6035" s="333">
        <v>6478</v>
      </c>
    </row>
    <row r="6036" spans="1:8">
      <c r="A6036" s="317">
        <v>1613120015</v>
      </c>
      <c r="B6036" s="330" t="s">
        <v>50402</v>
      </c>
      <c r="C6036" s="330" t="s">
        <v>15320</v>
      </c>
      <c r="D6036" s="330" t="s">
        <v>15321</v>
      </c>
      <c r="E6036" s="330" t="s">
        <v>4634</v>
      </c>
      <c r="F6036" s="331">
        <v>0.21</v>
      </c>
      <c r="G6036" s="332">
        <v>11124</v>
      </c>
      <c r="H6036" s="333">
        <v>13461</v>
      </c>
    </row>
    <row r="6037" spans="1:8">
      <c r="A6037" s="317">
        <v>1613120017</v>
      </c>
      <c r="B6037" s="330" t="s">
        <v>50403</v>
      </c>
      <c r="C6037" s="330" t="s">
        <v>15322</v>
      </c>
      <c r="D6037" s="330" t="s">
        <v>15323</v>
      </c>
      <c r="E6037" s="330" t="s">
        <v>37248</v>
      </c>
      <c r="F6037" s="331">
        <v>0.21</v>
      </c>
      <c r="G6037" s="332">
        <v>2810</v>
      </c>
      <c r="H6037" s="333">
        <v>3401</v>
      </c>
    </row>
    <row r="6038" spans="1:8">
      <c r="A6038" s="317">
        <v>1613120018</v>
      </c>
      <c r="B6038" s="330" t="s">
        <v>50404</v>
      </c>
      <c r="C6038" s="330" t="s">
        <v>15324</v>
      </c>
      <c r="D6038" s="330" t="s">
        <v>15325</v>
      </c>
      <c r="E6038" s="330" t="s">
        <v>37248</v>
      </c>
      <c r="F6038" s="331">
        <v>0.21</v>
      </c>
      <c r="G6038" s="332">
        <v>4240</v>
      </c>
      <c r="H6038" s="333">
        <v>5131</v>
      </c>
    </row>
    <row r="6039" spans="1:8">
      <c r="A6039" s="317">
        <v>1613120022</v>
      </c>
      <c r="B6039" s="330" t="s">
        <v>50405</v>
      </c>
      <c r="C6039" s="330" t="s">
        <v>15326</v>
      </c>
      <c r="D6039" s="330" t="s">
        <v>15327</v>
      </c>
      <c r="E6039" s="330" t="s">
        <v>4819</v>
      </c>
      <c r="F6039" s="331">
        <v>0.21</v>
      </c>
      <c r="G6039" s="332">
        <v>1015</v>
      </c>
      <c r="H6039" s="333">
        <v>1229</v>
      </c>
    </row>
    <row r="6040" spans="1:8">
      <c r="A6040" s="317">
        <v>1613120023</v>
      </c>
      <c r="B6040" s="330" t="s">
        <v>50406</v>
      </c>
      <c r="C6040" s="330" t="s">
        <v>15328</v>
      </c>
      <c r="D6040" s="330" t="s">
        <v>15329</v>
      </c>
      <c r="E6040" s="330" t="s">
        <v>37248</v>
      </c>
      <c r="F6040" s="331">
        <v>0.21</v>
      </c>
      <c r="G6040" s="332">
        <v>1019</v>
      </c>
      <c r="H6040" s="333">
        <v>1233</v>
      </c>
    </row>
    <row r="6041" spans="1:8">
      <c r="A6041" s="317">
        <v>1613120024</v>
      </c>
      <c r="B6041" s="330" t="s">
        <v>50407</v>
      </c>
      <c r="C6041" s="330" t="s">
        <v>15330</v>
      </c>
      <c r="D6041" s="330" t="s">
        <v>15331</v>
      </c>
      <c r="E6041" s="330" t="s">
        <v>37248</v>
      </c>
      <c r="F6041" s="331">
        <v>0.21</v>
      </c>
      <c r="G6041" s="332">
        <v>31449</v>
      </c>
      <c r="H6041" s="333">
        <v>38054</v>
      </c>
    </row>
    <row r="6042" spans="1:8">
      <c r="A6042" s="317">
        <v>1613120025</v>
      </c>
      <c r="B6042" s="330" t="s">
        <v>50408</v>
      </c>
      <c r="C6042" s="330" t="s">
        <v>15332</v>
      </c>
      <c r="D6042" s="330" t="s">
        <v>15333</v>
      </c>
      <c r="E6042" s="330" t="s">
        <v>37248</v>
      </c>
      <c r="F6042" s="331">
        <v>0.21</v>
      </c>
      <c r="G6042" s="332">
        <v>2094</v>
      </c>
      <c r="H6042" s="333">
        <v>2534</v>
      </c>
    </row>
    <row r="6043" spans="1:8">
      <c r="A6043" s="317">
        <v>1613123003</v>
      </c>
      <c r="B6043" s="330" t="s">
        <v>50409</v>
      </c>
      <c r="C6043" s="330" t="s">
        <v>15334</v>
      </c>
      <c r="D6043" s="330" t="s">
        <v>15335</v>
      </c>
      <c r="E6043" s="330" t="s">
        <v>37248</v>
      </c>
      <c r="F6043" s="331">
        <v>0.21</v>
      </c>
      <c r="G6043" s="332">
        <v>137910</v>
      </c>
      <c r="H6043" s="333">
        <v>166872</v>
      </c>
    </row>
    <row r="6044" spans="1:8">
      <c r="A6044" s="317">
        <v>1613123004</v>
      </c>
      <c r="B6044" s="330" t="s">
        <v>50410</v>
      </c>
      <c r="C6044" s="330" t="s">
        <v>15336</v>
      </c>
      <c r="D6044" s="330" t="s">
        <v>15237</v>
      </c>
      <c r="E6044" s="330" t="s">
        <v>4634</v>
      </c>
      <c r="F6044" s="331">
        <v>0.21</v>
      </c>
      <c r="G6044" s="332">
        <v>2806</v>
      </c>
      <c r="H6044" s="333">
        <v>3396</v>
      </c>
    </row>
    <row r="6045" spans="1:8">
      <c r="A6045" s="317">
        <v>1613123013</v>
      </c>
      <c r="B6045" s="330" t="s">
        <v>50411</v>
      </c>
      <c r="C6045" s="330" t="s">
        <v>15337</v>
      </c>
      <c r="D6045" s="330" t="s">
        <v>15338</v>
      </c>
      <c r="E6045" s="330" t="s">
        <v>4819</v>
      </c>
      <c r="F6045" s="331">
        <v>0.21</v>
      </c>
      <c r="G6045" s="332">
        <v>19811</v>
      </c>
      <c r="H6045" s="333">
        <v>23972</v>
      </c>
    </row>
    <row r="6046" spans="1:8">
      <c r="A6046" s="317">
        <v>1613123014</v>
      </c>
      <c r="B6046" s="330" t="s">
        <v>50412</v>
      </c>
      <c r="C6046" s="330" t="s">
        <v>15339</v>
      </c>
      <c r="D6046" s="330" t="s">
        <v>15340</v>
      </c>
      <c r="E6046" s="330" t="s">
        <v>4634</v>
      </c>
      <c r="F6046" s="331">
        <v>0.21</v>
      </c>
      <c r="G6046" s="332">
        <v>125054</v>
      </c>
      <c r="H6046" s="333">
        <v>151316</v>
      </c>
    </row>
    <row r="6047" spans="1:8">
      <c r="A6047" s="317">
        <v>1613124019</v>
      </c>
      <c r="B6047" s="330" t="s">
        <v>50413</v>
      </c>
      <c r="C6047" s="330" t="s">
        <v>15341</v>
      </c>
      <c r="D6047" s="330" t="s">
        <v>15342</v>
      </c>
      <c r="E6047" s="330" t="s">
        <v>4634</v>
      </c>
      <c r="F6047" s="331">
        <v>0.21</v>
      </c>
      <c r="G6047" s="332">
        <v>4807</v>
      </c>
      <c r="H6047" s="333">
        <v>5817</v>
      </c>
    </row>
    <row r="6048" spans="1:8">
      <c r="A6048" s="317">
        <v>1613124026</v>
      </c>
      <c r="B6048" s="330" t="s">
        <v>50414</v>
      </c>
      <c r="C6048" s="330" t="s">
        <v>15343</v>
      </c>
      <c r="D6048" s="330" t="s">
        <v>15344</v>
      </c>
      <c r="E6048" s="330" t="s">
        <v>37248</v>
      </c>
      <c r="F6048" s="331">
        <v>0.21</v>
      </c>
      <c r="G6048" s="332">
        <v>5393</v>
      </c>
      <c r="H6048" s="333">
        <v>6526</v>
      </c>
    </row>
    <row r="6049" spans="1:8">
      <c r="A6049" s="317">
        <v>1613124027</v>
      </c>
      <c r="B6049" s="330" t="s">
        <v>50415</v>
      </c>
      <c r="C6049" s="330" t="s">
        <v>15345</v>
      </c>
      <c r="D6049" s="330" t="s">
        <v>15346</v>
      </c>
      <c r="E6049" s="330" t="s">
        <v>4634</v>
      </c>
      <c r="F6049" s="331">
        <v>0.21</v>
      </c>
      <c r="G6049" s="332">
        <v>9000</v>
      </c>
      <c r="H6049" s="333">
        <v>10890</v>
      </c>
    </row>
    <row r="6050" spans="1:8">
      <c r="A6050" s="317">
        <v>1613124029</v>
      </c>
      <c r="B6050" s="330" t="s">
        <v>50416</v>
      </c>
      <c r="C6050" s="330" t="s">
        <v>15347</v>
      </c>
      <c r="D6050" s="330" t="s">
        <v>15348</v>
      </c>
      <c r="E6050" s="330" t="s">
        <v>4634</v>
      </c>
      <c r="F6050" s="331">
        <v>0.21</v>
      </c>
      <c r="G6050" s="332">
        <v>7156</v>
      </c>
      <c r="H6050" s="333">
        <v>8659</v>
      </c>
    </row>
    <row r="6051" spans="1:8">
      <c r="A6051" s="317">
        <v>1613124036</v>
      </c>
      <c r="B6051" s="330" t="s">
        <v>50417</v>
      </c>
      <c r="C6051" s="330" t="s">
        <v>15349</v>
      </c>
      <c r="D6051" s="330" t="s">
        <v>15350</v>
      </c>
      <c r="E6051" s="330" t="s">
        <v>4634</v>
      </c>
      <c r="F6051" s="331">
        <v>0.21</v>
      </c>
      <c r="G6051" s="332">
        <v>5869</v>
      </c>
      <c r="H6051" s="333">
        <v>7102</v>
      </c>
    </row>
    <row r="6052" spans="1:8">
      <c r="A6052" s="317">
        <v>1613124037</v>
      </c>
      <c r="B6052" s="330" t="s">
        <v>50418</v>
      </c>
      <c r="C6052" s="330" t="s">
        <v>15351</v>
      </c>
      <c r="D6052" s="330" t="s">
        <v>15352</v>
      </c>
      <c r="E6052" s="330" t="s">
        <v>4634</v>
      </c>
      <c r="F6052" s="331">
        <v>0.21</v>
      </c>
      <c r="G6052" s="332">
        <v>5869</v>
      </c>
      <c r="H6052" s="333">
        <v>7102</v>
      </c>
    </row>
    <row r="6053" spans="1:8">
      <c r="A6053" s="317">
        <v>1613124038</v>
      </c>
      <c r="B6053" s="330" t="s">
        <v>50419</v>
      </c>
      <c r="C6053" s="330" t="s">
        <v>15353</v>
      </c>
      <c r="D6053" s="330" t="s">
        <v>15354</v>
      </c>
      <c r="E6053" s="330" t="s">
        <v>4634</v>
      </c>
      <c r="F6053" s="331">
        <v>0.21</v>
      </c>
      <c r="G6053" s="332">
        <v>5819</v>
      </c>
      <c r="H6053" s="333">
        <v>7041</v>
      </c>
    </row>
    <row r="6054" spans="1:8">
      <c r="A6054" s="317">
        <v>1613124043</v>
      </c>
      <c r="B6054" s="330" t="s">
        <v>50420</v>
      </c>
      <c r="C6054" s="330" t="s">
        <v>15355</v>
      </c>
      <c r="D6054" s="330" t="s">
        <v>15356</v>
      </c>
      <c r="E6054" s="330" t="s">
        <v>37248</v>
      </c>
      <c r="F6054" s="331">
        <v>0.21</v>
      </c>
      <c r="G6054" s="332">
        <v>10730</v>
      </c>
      <c r="H6054" s="333">
        <v>12984</v>
      </c>
    </row>
    <row r="6055" spans="1:8">
      <c r="A6055" s="317">
        <v>1613124046</v>
      </c>
      <c r="B6055" s="330" t="s">
        <v>50421</v>
      </c>
      <c r="C6055" s="330" t="s">
        <v>15357</v>
      </c>
      <c r="D6055" s="330" t="s">
        <v>15358</v>
      </c>
      <c r="E6055" s="330" t="s">
        <v>4634</v>
      </c>
      <c r="F6055" s="331">
        <v>0.21</v>
      </c>
      <c r="G6055" s="332">
        <v>33766</v>
      </c>
      <c r="H6055" s="333">
        <v>40857</v>
      </c>
    </row>
    <row r="6056" spans="1:8">
      <c r="A6056" s="317">
        <v>1613124053</v>
      </c>
      <c r="B6056" s="330" t="s">
        <v>50422</v>
      </c>
      <c r="C6056" s="330" t="s">
        <v>15359</v>
      </c>
      <c r="D6056" s="330" t="s">
        <v>15360</v>
      </c>
      <c r="E6056" s="330" t="s">
        <v>4634</v>
      </c>
      <c r="F6056" s="331">
        <v>0.21</v>
      </c>
      <c r="G6056" s="332">
        <v>13214</v>
      </c>
      <c r="H6056" s="333">
        <v>15989</v>
      </c>
    </row>
    <row r="6057" spans="1:8">
      <c r="A6057" s="317">
        <v>1613124077</v>
      </c>
      <c r="B6057" s="330" t="s">
        <v>50423</v>
      </c>
      <c r="C6057" s="330" t="s">
        <v>15361</v>
      </c>
      <c r="D6057" s="330" t="s">
        <v>15362</v>
      </c>
      <c r="E6057" s="330" t="s">
        <v>4623</v>
      </c>
      <c r="F6057" s="331">
        <v>0.21</v>
      </c>
      <c r="G6057" s="332">
        <v>7613</v>
      </c>
      <c r="H6057" s="333">
        <v>9212</v>
      </c>
    </row>
    <row r="6058" spans="1:8">
      <c r="A6058" s="317">
        <v>1613124078</v>
      </c>
      <c r="B6058" s="330" t="s">
        <v>50424</v>
      </c>
      <c r="C6058" s="330" t="s">
        <v>15363</v>
      </c>
      <c r="D6058" s="330" t="s">
        <v>15364</v>
      </c>
      <c r="E6058" s="330" t="s">
        <v>4634</v>
      </c>
      <c r="F6058" s="331">
        <v>0.21</v>
      </c>
      <c r="G6058" s="332">
        <v>2324</v>
      </c>
      <c r="H6058" s="333">
        <v>2813</v>
      </c>
    </row>
    <row r="6059" spans="1:8">
      <c r="A6059" s="317">
        <v>1613124080</v>
      </c>
      <c r="B6059" s="330" t="s">
        <v>50425</v>
      </c>
      <c r="C6059" s="330" t="s">
        <v>15365</v>
      </c>
      <c r="D6059" s="330" t="s">
        <v>15366</v>
      </c>
      <c r="E6059" s="330" t="s">
        <v>4819</v>
      </c>
      <c r="F6059" s="331">
        <v>0.21</v>
      </c>
      <c r="G6059" s="332">
        <v>38164</v>
      </c>
      <c r="H6059" s="333">
        <v>46179</v>
      </c>
    </row>
    <row r="6060" spans="1:8">
      <c r="A6060" s="317">
        <v>1613124081</v>
      </c>
      <c r="B6060" s="330" t="s">
        <v>50426</v>
      </c>
      <c r="C6060" s="330" t="s">
        <v>15367</v>
      </c>
      <c r="D6060" s="330" t="s">
        <v>7820</v>
      </c>
      <c r="E6060" s="330" t="s">
        <v>37248</v>
      </c>
      <c r="F6060" s="331">
        <v>0.21</v>
      </c>
      <c r="G6060" s="332">
        <v>10836</v>
      </c>
      <c r="H6060" s="333">
        <v>13112</v>
      </c>
    </row>
    <row r="6061" spans="1:8">
      <c r="A6061" s="317">
        <v>1613124082</v>
      </c>
      <c r="B6061" s="330" t="s">
        <v>50427</v>
      </c>
      <c r="C6061" s="330" t="s">
        <v>15368</v>
      </c>
      <c r="D6061" s="330" t="s">
        <v>15369</v>
      </c>
      <c r="E6061" s="330" t="s">
        <v>37248</v>
      </c>
      <c r="F6061" s="331">
        <v>0.21</v>
      </c>
      <c r="G6061" s="332">
        <v>17150</v>
      </c>
      <c r="H6061" s="333">
        <v>20752</v>
      </c>
    </row>
    <row r="6062" spans="1:8">
      <c r="A6062" s="317">
        <v>1613124084</v>
      </c>
      <c r="B6062" s="330" t="s">
        <v>50428</v>
      </c>
      <c r="C6062" s="330" t="s">
        <v>15370</v>
      </c>
      <c r="D6062" s="330" t="s">
        <v>7820</v>
      </c>
      <c r="E6062" s="330" t="s">
        <v>37248</v>
      </c>
      <c r="F6062" s="331">
        <v>0.21</v>
      </c>
      <c r="G6062" s="332">
        <v>5964</v>
      </c>
      <c r="H6062" s="333">
        <v>7217</v>
      </c>
    </row>
    <row r="6063" spans="1:8">
      <c r="A6063" s="317">
        <v>1613124099</v>
      </c>
      <c r="B6063" s="330" t="s">
        <v>50429</v>
      </c>
      <c r="C6063" s="330" t="s">
        <v>15371</v>
      </c>
      <c r="D6063" s="330" t="s">
        <v>15372</v>
      </c>
      <c r="E6063" s="330" t="s">
        <v>4634</v>
      </c>
      <c r="F6063" s="331">
        <v>0.21</v>
      </c>
      <c r="G6063" s="332">
        <v>5824</v>
      </c>
      <c r="H6063" s="333">
        <v>7048</v>
      </c>
    </row>
    <row r="6064" spans="1:8">
      <c r="A6064" s="317">
        <v>1613160008</v>
      </c>
      <c r="B6064" s="330" t="s">
        <v>50430</v>
      </c>
      <c r="C6064" s="330" t="s">
        <v>15373</v>
      </c>
      <c r="D6064" s="330" t="s">
        <v>15374</v>
      </c>
      <c r="E6064" s="330" t="s">
        <v>4634</v>
      </c>
      <c r="F6064" s="331">
        <v>0.21</v>
      </c>
      <c r="G6064" s="332">
        <v>3056</v>
      </c>
      <c r="H6064" s="333">
        <v>3698</v>
      </c>
    </row>
    <row r="6065" spans="1:8">
      <c r="A6065" s="317">
        <v>1613160022</v>
      </c>
      <c r="B6065" s="330" t="s">
        <v>50431</v>
      </c>
      <c r="C6065" s="330" t="s">
        <v>15375</v>
      </c>
      <c r="D6065" s="330" t="s">
        <v>15376</v>
      </c>
      <c r="E6065" s="330" t="s">
        <v>4634</v>
      </c>
      <c r="F6065" s="331">
        <v>0.21</v>
      </c>
      <c r="G6065" s="332">
        <v>372</v>
      </c>
      <c r="H6065" s="333">
        <v>451</v>
      </c>
    </row>
    <row r="6066" spans="1:8">
      <c r="A6066" s="317">
        <v>1613180002</v>
      </c>
      <c r="B6066" s="330" t="s">
        <v>50432</v>
      </c>
      <c r="C6066" s="330" t="s">
        <v>15377</v>
      </c>
      <c r="D6066" s="330" t="s">
        <v>8670</v>
      </c>
      <c r="E6066" s="330" t="s">
        <v>4634</v>
      </c>
      <c r="F6066" s="331">
        <v>0.21</v>
      </c>
      <c r="G6066" s="332">
        <v>3845</v>
      </c>
      <c r="H6066" s="333">
        <v>4653</v>
      </c>
    </row>
    <row r="6067" spans="1:8">
      <c r="A6067" s="317">
        <v>1613200007</v>
      </c>
      <c r="B6067" s="330" t="s">
        <v>50433</v>
      </c>
      <c r="C6067" s="330" t="s">
        <v>15378</v>
      </c>
      <c r="D6067" s="330" t="s">
        <v>15379</v>
      </c>
      <c r="E6067" s="330" t="s">
        <v>4819</v>
      </c>
      <c r="F6067" s="331">
        <v>0.21</v>
      </c>
      <c r="G6067" s="332">
        <v>2221</v>
      </c>
      <c r="H6067" s="333">
        <v>2688</v>
      </c>
    </row>
    <row r="6068" spans="1:8">
      <c r="A6068" s="317">
        <v>1613200019</v>
      </c>
      <c r="B6068" s="330" t="s">
        <v>50434</v>
      </c>
      <c r="C6068" s="330" t="s">
        <v>15380</v>
      </c>
      <c r="D6068" s="330" t="s">
        <v>15381</v>
      </c>
      <c r="E6068" s="330" t="s">
        <v>4634</v>
      </c>
      <c r="F6068" s="331">
        <v>0.21</v>
      </c>
      <c r="G6068" s="332">
        <v>711</v>
      </c>
      <c r="H6068" s="333">
        <v>861</v>
      </c>
    </row>
    <row r="6069" spans="1:8">
      <c r="A6069" s="317">
        <v>1613200022</v>
      </c>
      <c r="B6069" s="330" t="s">
        <v>50435</v>
      </c>
      <c r="C6069" s="330" t="s">
        <v>15382</v>
      </c>
      <c r="D6069" s="330" t="s">
        <v>15383</v>
      </c>
      <c r="E6069" s="330" t="s">
        <v>4819</v>
      </c>
      <c r="F6069" s="331">
        <v>0.21</v>
      </c>
      <c r="G6069" s="332">
        <v>671</v>
      </c>
      <c r="H6069" s="333">
        <v>812</v>
      </c>
    </row>
    <row r="6070" spans="1:8">
      <c r="A6070" s="317">
        <v>1613219001</v>
      </c>
      <c r="B6070" s="330" t="s">
        <v>50436</v>
      </c>
      <c r="C6070" s="330" t="s">
        <v>15384</v>
      </c>
      <c r="D6070" s="330" t="s">
        <v>15385</v>
      </c>
      <c r="E6070" s="330" t="s">
        <v>4634</v>
      </c>
      <c r="F6070" s="331">
        <v>0.21</v>
      </c>
      <c r="G6070" s="332">
        <v>1882</v>
      </c>
      <c r="H6070" s="333">
        <v>2278</v>
      </c>
    </row>
    <row r="6071" spans="1:8">
      <c r="A6071" s="317">
        <v>1613230003</v>
      </c>
      <c r="B6071" s="330" t="s">
        <v>50437</v>
      </c>
      <c r="C6071" s="330" t="s">
        <v>15386</v>
      </c>
      <c r="D6071" s="330" t="s">
        <v>15387</v>
      </c>
      <c r="E6071" s="330" t="s">
        <v>37248</v>
      </c>
      <c r="F6071" s="331">
        <v>0.21</v>
      </c>
      <c r="G6071" s="332">
        <v>1862</v>
      </c>
      <c r="H6071" s="333">
        <v>2254</v>
      </c>
    </row>
    <row r="6072" spans="1:8">
      <c r="A6072" s="317">
        <v>1613231006</v>
      </c>
      <c r="B6072" s="330" t="s">
        <v>50438</v>
      </c>
      <c r="C6072" s="330" t="s">
        <v>15388</v>
      </c>
      <c r="D6072" s="330" t="s">
        <v>15389</v>
      </c>
      <c r="E6072" s="330" t="s">
        <v>4634</v>
      </c>
      <c r="F6072" s="331">
        <v>0.21</v>
      </c>
      <c r="G6072" s="332">
        <v>372</v>
      </c>
      <c r="H6072" s="333">
        <v>451</v>
      </c>
    </row>
    <row r="6073" spans="1:8">
      <c r="A6073" s="317">
        <v>1613231007</v>
      </c>
      <c r="B6073" s="330" t="s">
        <v>50439</v>
      </c>
      <c r="C6073" s="330" t="s">
        <v>15390</v>
      </c>
      <c r="D6073" s="330" t="s">
        <v>15391</v>
      </c>
      <c r="E6073" s="330" t="s">
        <v>4634</v>
      </c>
      <c r="F6073" s="331">
        <v>0.21</v>
      </c>
      <c r="G6073" s="332">
        <v>348</v>
      </c>
      <c r="H6073" s="333">
        <v>422</v>
      </c>
    </row>
    <row r="6074" spans="1:8">
      <c r="A6074" s="317">
        <v>1613231010</v>
      </c>
      <c r="B6074" s="330" t="s">
        <v>50440</v>
      </c>
      <c r="C6074" s="330" t="s">
        <v>15392</v>
      </c>
      <c r="D6074" s="330" t="s">
        <v>15393</v>
      </c>
      <c r="E6074" s="330" t="s">
        <v>37248</v>
      </c>
      <c r="F6074" s="331">
        <v>0.21</v>
      </c>
      <c r="G6074" s="332">
        <v>361</v>
      </c>
      <c r="H6074" s="333">
        <v>437</v>
      </c>
    </row>
    <row r="6075" spans="1:8">
      <c r="A6075" s="317">
        <v>1613231014</v>
      </c>
      <c r="B6075" s="330" t="s">
        <v>50441</v>
      </c>
      <c r="C6075" s="330" t="s">
        <v>15394</v>
      </c>
      <c r="D6075" s="330" t="s">
        <v>15395</v>
      </c>
      <c r="E6075" s="330" t="s">
        <v>4819</v>
      </c>
      <c r="F6075" s="331">
        <v>0.21</v>
      </c>
      <c r="G6075" s="332">
        <v>5605</v>
      </c>
      <c r="H6075" s="333">
        <v>6783</v>
      </c>
    </row>
    <row r="6076" spans="1:8">
      <c r="A6076" s="317">
        <v>1613231016</v>
      </c>
      <c r="B6076" s="330" t="s">
        <v>50442</v>
      </c>
      <c r="C6076" s="330" t="s">
        <v>15396</v>
      </c>
      <c r="D6076" s="330" t="s">
        <v>15397</v>
      </c>
      <c r="E6076" s="330" t="s">
        <v>4634</v>
      </c>
      <c r="F6076" s="331">
        <v>0.21</v>
      </c>
      <c r="G6076" s="332">
        <v>426</v>
      </c>
      <c r="H6076" s="333">
        <v>516</v>
      </c>
    </row>
    <row r="6077" spans="1:8">
      <c r="A6077" s="317">
        <v>1613231017</v>
      </c>
      <c r="B6077" s="330" t="s">
        <v>50443</v>
      </c>
      <c r="C6077" s="330" t="s">
        <v>15398</v>
      </c>
      <c r="D6077" s="330" t="s">
        <v>15399</v>
      </c>
      <c r="E6077" s="330" t="s">
        <v>4634</v>
      </c>
      <c r="F6077" s="331">
        <v>0.21</v>
      </c>
      <c r="G6077" s="332">
        <v>348</v>
      </c>
      <c r="H6077" s="333">
        <v>422</v>
      </c>
    </row>
    <row r="6078" spans="1:8">
      <c r="A6078" s="317">
        <v>1613231029</v>
      </c>
      <c r="B6078" s="330" t="s">
        <v>50444</v>
      </c>
      <c r="C6078" s="330" t="s">
        <v>15400</v>
      </c>
      <c r="D6078" s="330" t="s">
        <v>15401</v>
      </c>
      <c r="E6078" s="330" t="s">
        <v>4634</v>
      </c>
      <c r="F6078" s="331">
        <v>0.21</v>
      </c>
      <c r="G6078" s="332">
        <v>274</v>
      </c>
      <c r="H6078" s="333">
        <v>332</v>
      </c>
    </row>
    <row r="6079" spans="1:8">
      <c r="A6079" s="317">
        <v>1613231030</v>
      </c>
      <c r="B6079" s="330" t="s">
        <v>50445</v>
      </c>
      <c r="C6079" s="330" t="s">
        <v>15402</v>
      </c>
      <c r="D6079" s="330" t="s">
        <v>15403</v>
      </c>
      <c r="E6079" s="330" t="s">
        <v>4819</v>
      </c>
      <c r="F6079" s="331">
        <v>0.21</v>
      </c>
      <c r="G6079" s="332">
        <v>1536</v>
      </c>
      <c r="H6079" s="333">
        <v>1859</v>
      </c>
    </row>
    <row r="6080" spans="1:8">
      <c r="A6080" s="317">
        <v>1613231031</v>
      </c>
      <c r="B6080" s="330" t="s">
        <v>50446</v>
      </c>
      <c r="C6080" s="330" t="s">
        <v>15404</v>
      </c>
      <c r="D6080" s="330" t="s">
        <v>15405</v>
      </c>
      <c r="E6080" s="330" t="s">
        <v>37248</v>
      </c>
      <c r="F6080" s="331">
        <v>0.21</v>
      </c>
      <c r="G6080" s="332">
        <v>658</v>
      </c>
      <c r="H6080" s="333">
        <v>797</v>
      </c>
    </row>
    <row r="6081" spans="1:8">
      <c r="A6081" s="317">
        <v>1613300006</v>
      </c>
      <c r="B6081" s="330" t="s">
        <v>50447</v>
      </c>
      <c r="C6081" s="330" t="s">
        <v>15406</v>
      </c>
      <c r="D6081" s="330" t="s">
        <v>15407</v>
      </c>
      <c r="E6081" s="330" t="s">
        <v>4634</v>
      </c>
      <c r="F6081" s="331">
        <v>0.21</v>
      </c>
      <c r="G6081" s="332">
        <v>1345</v>
      </c>
      <c r="H6081" s="333">
        <v>1628</v>
      </c>
    </row>
    <row r="6082" spans="1:8">
      <c r="A6082" s="317">
        <v>1613300007</v>
      </c>
      <c r="B6082" s="330" t="s">
        <v>50448</v>
      </c>
      <c r="C6082" s="330" t="s">
        <v>15408</v>
      </c>
      <c r="D6082" s="330" t="s">
        <v>15409</v>
      </c>
      <c r="E6082" s="330" t="s">
        <v>37248</v>
      </c>
      <c r="F6082" s="331">
        <v>0.21</v>
      </c>
      <c r="G6082" s="332">
        <v>2788</v>
      </c>
      <c r="H6082" s="333">
        <v>3374</v>
      </c>
    </row>
    <row r="6083" spans="1:8">
      <c r="A6083" s="317">
        <v>1613300008</v>
      </c>
      <c r="B6083" s="330" t="s">
        <v>50449</v>
      </c>
      <c r="C6083" s="330" t="s">
        <v>15410</v>
      </c>
      <c r="D6083" s="330" t="s">
        <v>15411</v>
      </c>
      <c r="E6083" s="330" t="s">
        <v>4634</v>
      </c>
      <c r="F6083" s="331">
        <v>0.21</v>
      </c>
      <c r="G6083" s="332">
        <v>387</v>
      </c>
      <c r="H6083" s="333">
        <v>469</v>
      </c>
    </row>
    <row r="6084" spans="1:8">
      <c r="A6084" s="317">
        <v>1613300009</v>
      </c>
      <c r="B6084" s="330" t="s">
        <v>50450</v>
      </c>
      <c r="C6084" s="330" t="s">
        <v>15412</v>
      </c>
      <c r="D6084" s="330" t="s">
        <v>15413</v>
      </c>
      <c r="E6084" s="330" t="s">
        <v>4819</v>
      </c>
      <c r="F6084" s="331">
        <v>0.21</v>
      </c>
      <c r="G6084" s="332">
        <v>1034</v>
      </c>
      <c r="H6084" s="333">
        <v>1252</v>
      </c>
    </row>
    <row r="6085" spans="1:8">
      <c r="A6085" s="317">
        <v>1613313000</v>
      </c>
      <c r="B6085" s="330" t="s">
        <v>50451</v>
      </c>
      <c r="C6085" s="330" t="s">
        <v>15414</v>
      </c>
      <c r="D6085" s="330" t="s">
        <v>15415</v>
      </c>
      <c r="E6085" s="330" t="s">
        <v>4623</v>
      </c>
      <c r="F6085" s="331">
        <v>0.21</v>
      </c>
      <c r="G6085" s="332">
        <v>4671</v>
      </c>
      <c r="H6085" s="333">
        <v>5652</v>
      </c>
    </row>
    <row r="6086" spans="1:8">
      <c r="A6086" s="317">
        <v>1613344002</v>
      </c>
      <c r="B6086" s="330" t="s">
        <v>50452</v>
      </c>
      <c r="C6086" s="330" t="s">
        <v>15416</v>
      </c>
      <c r="D6086" s="330" t="s">
        <v>15417</v>
      </c>
      <c r="E6086" s="330" t="s">
        <v>4634</v>
      </c>
      <c r="F6086" s="331">
        <v>0.21</v>
      </c>
      <c r="G6086" s="332">
        <v>2330</v>
      </c>
      <c r="H6086" s="333">
        <v>2820</v>
      </c>
    </row>
    <row r="6087" spans="1:8">
      <c r="A6087" s="317">
        <v>1613344005</v>
      </c>
      <c r="B6087" s="330" t="s">
        <v>50453</v>
      </c>
      <c r="C6087" s="330" t="s">
        <v>15418</v>
      </c>
      <c r="D6087" s="330" t="s">
        <v>15419</v>
      </c>
      <c r="E6087" s="330" t="s">
        <v>4634</v>
      </c>
      <c r="F6087" s="331">
        <v>0.21</v>
      </c>
      <c r="G6087" s="332">
        <v>3558</v>
      </c>
      <c r="H6087" s="333">
        <v>4306</v>
      </c>
    </row>
    <row r="6088" spans="1:8">
      <c r="A6088" s="317">
        <v>1613349017</v>
      </c>
      <c r="B6088" s="330" t="s">
        <v>50454</v>
      </c>
      <c r="C6088" s="330" t="s">
        <v>15420</v>
      </c>
      <c r="D6088" s="330" t="s">
        <v>15421</v>
      </c>
      <c r="E6088" s="330" t="s">
        <v>4634</v>
      </c>
      <c r="F6088" s="331">
        <v>0.21</v>
      </c>
      <c r="G6088" s="332">
        <v>8791</v>
      </c>
      <c r="H6088" s="333">
        <v>10638</v>
      </c>
    </row>
    <row r="6089" spans="1:8">
      <c r="A6089" s="317">
        <v>1613349020</v>
      </c>
      <c r="B6089" s="330" t="s">
        <v>50455</v>
      </c>
      <c r="C6089" s="330" t="s">
        <v>15422</v>
      </c>
      <c r="D6089" s="330" t="s">
        <v>15423</v>
      </c>
      <c r="E6089" s="330" t="s">
        <v>4634</v>
      </c>
      <c r="F6089" s="331">
        <v>0.21</v>
      </c>
      <c r="G6089" s="332">
        <v>455</v>
      </c>
      <c r="H6089" s="333">
        <v>551</v>
      </c>
    </row>
    <row r="6090" spans="1:8">
      <c r="A6090" s="317">
        <v>1613349021</v>
      </c>
      <c r="B6090" s="330" t="s">
        <v>50456</v>
      </c>
      <c r="C6090" s="330" t="s">
        <v>15424</v>
      </c>
      <c r="D6090" s="330" t="s">
        <v>4654</v>
      </c>
      <c r="E6090" s="330" t="s">
        <v>4819</v>
      </c>
      <c r="F6090" s="331">
        <v>0.21</v>
      </c>
      <c r="G6090" s="332">
        <v>3468</v>
      </c>
      <c r="H6090" s="333">
        <v>4197</v>
      </c>
    </row>
    <row r="6091" spans="1:8">
      <c r="A6091" s="317">
        <v>1613412001</v>
      </c>
      <c r="B6091" s="330" t="s">
        <v>50457</v>
      </c>
      <c r="C6091" s="330" t="s">
        <v>15425</v>
      </c>
      <c r="D6091" s="330" t="s">
        <v>15426</v>
      </c>
      <c r="E6091" s="330" t="s">
        <v>37248</v>
      </c>
      <c r="F6091" s="331">
        <v>0.21</v>
      </c>
      <c r="G6091" s="332">
        <v>501</v>
      </c>
      <c r="H6091" s="333">
        <v>607</v>
      </c>
    </row>
    <row r="6092" spans="1:8">
      <c r="A6092" s="317">
        <v>1613414006</v>
      </c>
      <c r="B6092" s="330" t="s">
        <v>50458</v>
      </c>
      <c r="C6092" s="330" t="s">
        <v>15427</v>
      </c>
      <c r="D6092" s="330" t="s">
        <v>15428</v>
      </c>
      <c r="E6092" s="330" t="s">
        <v>4634</v>
      </c>
      <c r="F6092" s="331">
        <v>0.21</v>
      </c>
      <c r="G6092" s="332">
        <v>62</v>
      </c>
      <c r="H6092" s="333">
        <v>76</v>
      </c>
    </row>
    <row r="6093" spans="1:8">
      <c r="A6093" s="317">
        <v>1613414009</v>
      </c>
      <c r="B6093" s="330" t="s">
        <v>50459</v>
      </c>
      <c r="C6093" s="330" t="s">
        <v>15429</v>
      </c>
      <c r="D6093" s="330" t="s">
        <v>15430</v>
      </c>
      <c r="E6093" s="330" t="s">
        <v>4634</v>
      </c>
      <c r="F6093" s="331">
        <v>0.21</v>
      </c>
      <c r="G6093" s="332">
        <v>387</v>
      </c>
      <c r="H6093" s="333">
        <v>469</v>
      </c>
    </row>
    <row r="6094" spans="1:8">
      <c r="A6094" s="317">
        <v>1613414014</v>
      </c>
      <c r="B6094" s="330" t="s">
        <v>50460</v>
      </c>
      <c r="C6094" s="330" t="s">
        <v>15431</v>
      </c>
      <c r="D6094" s="330" t="s">
        <v>15432</v>
      </c>
      <c r="E6094" s="330" t="s">
        <v>4634</v>
      </c>
      <c r="F6094" s="331">
        <v>0.21</v>
      </c>
      <c r="G6094" s="332">
        <v>202</v>
      </c>
      <c r="H6094" s="333">
        <v>245</v>
      </c>
    </row>
    <row r="6095" spans="1:8">
      <c r="A6095" s="317">
        <v>1613414021</v>
      </c>
      <c r="B6095" s="330" t="s">
        <v>50461</v>
      </c>
      <c r="C6095" s="330" t="s">
        <v>15433</v>
      </c>
      <c r="D6095" s="330" t="s">
        <v>15434</v>
      </c>
      <c r="E6095" s="330" t="s">
        <v>4819</v>
      </c>
      <c r="F6095" s="331">
        <v>0.21</v>
      </c>
      <c r="G6095" s="332">
        <v>1530</v>
      </c>
      <c r="H6095" s="333">
        <v>1852</v>
      </c>
    </row>
    <row r="6096" spans="1:8">
      <c r="A6096" s="317">
        <v>1613414023</v>
      </c>
      <c r="B6096" s="330" t="s">
        <v>50462</v>
      </c>
      <c r="C6096" s="330" t="s">
        <v>15435</v>
      </c>
      <c r="D6096" s="330" t="s">
        <v>13566</v>
      </c>
      <c r="E6096" s="330" t="s">
        <v>4819</v>
      </c>
      <c r="F6096" s="331">
        <v>0.21</v>
      </c>
      <c r="G6096" s="332">
        <v>2823</v>
      </c>
      <c r="H6096" s="333">
        <v>3416</v>
      </c>
    </row>
    <row r="6097" spans="1:8">
      <c r="A6097" s="317">
        <v>1613414026</v>
      </c>
      <c r="B6097" s="330" t="s">
        <v>50463</v>
      </c>
      <c r="C6097" s="330" t="s">
        <v>15436</v>
      </c>
      <c r="D6097" s="330" t="s">
        <v>15437</v>
      </c>
      <c r="E6097" s="330" t="s">
        <v>37248</v>
      </c>
      <c r="F6097" s="331">
        <v>0.21</v>
      </c>
      <c r="G6097" s="332">
        <v>994</v>
      </c>
      <c r="H6097" s="333">
        <v>1203</v>
      </c>
    </row>
    <row r="6098" spans="1:8">
      <c r="A6098" s="317">
        <v>1613421000</v>
      </c>
      <c r="B6098" s="330" t="s">
        <v>50464</v>
      </c>
      <c r="C6098" s="330" t="s">
        <v>15438</v>
      </c>
      <c r="D6098" s="330" t="s">
        <v>7235</v>
      </c>
      <c r="E6098" s="330" t="s">
        <v>4634</v>
      </c>
      <c r="F6098" s="331">
        <v>0.21</v>
      </c>
      <c r="G6098" s="332">
        <v>93</v>
      </c>
      <c r="H6098" s="333">
        <v>113</v>
      </c>
    </row>
    <row r="6099" spans="1:8">
      <c r="A6099" s="317">
        <v>1613433001</v>
      </c>
      <c r="B6099" s="330" t="s">
        <v>50465</v>
      </c>
      <c r="C6099" s="330" t="s">
        <v>15439</v>
      </c>
      <c r="D6099" s="330" t="s">
        <v>15440</v>
      </c>
      <c r="E6099" s="330" t="s">
        <v>4634</v>
      </c>
      <c r="F6099" s="331">
        <v>0.21</v>
      </c>
      <c r="G6099" s="332">
        <v>180</v>
      </c>
      <c r="H6099" s="333">
        <v>218</v>
      </c>
    </row>
    <row r="6100" spans="1:8">
      <c r="A6100" s="317">
        <v>1613435007</v>
      </c>
      <c r="B6100" s="330" t="s">
        <v>50466</v>
      </c>
      <c r="C6100" s="330" t="s">
        <v>15441</v>
      </c>
      <c r="D6100" s="330" t="s">
        <v>15442</v>
      </c>
      <c r="E6100" s="330" t="s">
        <v>4634</v>
      </c>
      <c r="F6100" s="331">
        <v>0.21</v>
      </c>
      <c r="G6100" s="332">
        <v>180</v>
      </c>
      <c r="H6100" s="333">
        <v>218</v>
      </c>
    </row>
    <row r="6101" spans="1:8">
      <c r="A6101" s="317">
        <v>1613435008</v>
      </c>
      <c r="B6101" s="330" t="s">
        <v>50467</v>
      </c>
      <c r="C6101" s="330" t="s">
        <v>15443</v>
      </c>
      <c r="D6101" s="330" t="s">
        <v>15444</v>
      </c>
      <c r="E6101" s="330" t="s">
        <v>4634</v>
      </c>
      <c r="F6101" s="331">
        <v>0.21</v>
      </c>
      <c r="G6101" s="332">
        <v>580</v>
      </c>
      <c r="H6101" s="333">
        <v>702</v>
      </c>
    </row>
    <row r="6102" spans="1:8">
      <c r="A6102" s="317">
        <v>1613435009</v>
      </c>
      <c r="B6102" s="330" t="s">
        <v>50468</v>
      </c>
      <c r="C6102" s="330" t="s">
        <v>15445</v>
      </c>
      <c r="D6102" s="330" t="s">
        <v>15446</v>
      </c>
      <c r="E6102" s="330" t="s">
        <v>4819</v>
      </c>
      <c r="F6102" s="331">
        <v>0.21</v>
      </c>
      <c r="G6102" s="332">
        <v>2328</v>
      </c>
      <c r="H6102" s="333">
        <v>2817</v>
      </c>
    </row>
    <row r="6103" spans="1:8">
      <c r="A6103" s="317">
        <v>1613435010</v>
      </c>
      <c r="B6103" s="330" t="s">
        <v>50469</v>
      </c>
      <c r="C6103" s="330" t="s">
        <v>15447</v>
      </c>
      <c r="D6103" s="330" t="s">
        <v>15448</v>
      </c>
      <c r="E6103" s="330" t="s">
        <v>4634</v>
      </c>
      <c r="F6103" s="331">
        <v>0.21</v>
      </c>
      <c r="G6103" s="332">
        <v>309</v>
      </c>
      <c r="H6103" s="333">
        <v>374</v>
      </c>
    </row>
    <row r="6104" spans="1:8">
      <c r="A6104" s="317">
        <v>1613435011</v>
      </c>
      <c r="B6104" s="330" t="s">
        <v>50470</v>
      </c>
      <c r="C6104" s="330" t="s">
        <v>15449</v>
      </c>
      <c r="D6104" s="330" t="s">
        <v>15450</v>
      </c>
      <c r="E6104" s="330" t="s">
        <v>4634</v>
      </c>
      <c r="F6104" s="331">
        <v>0.21</v>
      </c>
      <c r="G6104" s="332">
        <v>309</v>
      </c>
      <c r="H6104" s="333">
        <v>374</v>
      </c>
    </row>
    <row r="6105" spans="1:8">
      <c r="A6105" s="317">
        <v>1613435012</v>
      </c>
      <c r="B6105" s="330" t="s">
        <v>50471</v>
      </c>
      <c r="C6105" s="330" t="s">
        <v>15451</v>
      </c>
      <c r="D6105" s="330" t="s">
        <v>15452</v>
      </c>
      <c r="E6105" s="330" t="s">
        <v>4634</v>
      </c>
      <c r="F6105" s="331">
        <v>0.21</v>
      </c>
      <c r="G6105" s="332">
        <v>412</v>
      </c>
      <c r="H6105" s="333">
        <v>499</v>
      </c>
    </row>
    <row r="6106" spans="1:8">
      <c r="A6106" s="317">
        <v>1613435013</v>
      </c>
      <c r="B6106" s="330" t="s">
        <v>50472</v>
      </c>
      <c r="C6106" s="330" t="s">
        <v>15453</v>
      </c>
      <c r="D6106" s="330" t="s">
        <v>15454</v>
      </c>
      <c r="E6106" s="330" t="s">
        <v>4634</v>
      </c>
      <c r="F6106" s="331">
        <v>0.21</v>
      </c>
      <c r="G6106" s="332">
        <v>412</v>
      </c>
      <c r="H6106" s="333">
        <v>499</v>
      </c>
    </row>
    <row r="6107" spans="1:8">
      <c r="A6107" s="317">
        <v>1613435014</v>
      </c>
      <c r="B6107" s="330" t="s">
        <v>50473</v>
      </c>
      <c r="C6107" s="330" t="s">
        <v>15455</v>
      </c>
      <c r="D6107" s="330" t="s">
        <v>15456</v>
      </c>
      <c r="E6107" s="330" t="s">
        <v>37248</v>
      </c>
      <c r="F6107" s="331">
        <v>0.21</v>
      </c>
      <c r="G6107" s="332">
        <v>2478</v>
      </c>
      <c r="H6107" s="333">
        <v>2999</v>
      </c>
    </row>
    <row r="6108" spans="1:8">
      <c r="A6108" s="317">
        <v>1613435015</v>
      </c>
      <c r="B6108" s="330" t="s">
        <v>50474</v>
      </c>
      <c r="C6108" s="330" t="s">
        <v>15457</v>
      </c>
      <c r="D6108" s="330" t="s">
        <v>15458</v>
      </c>
      <c r="E6108" s="330" t="s">
        <v>4634</v>
      </c>
      <c r="F6108" s="331">
        <v>0.21</v>
      </c>
      <c r="G6108" s="332">
        <v>490</v>
      </c>
      <c r="H6108" s="333">
        <v>593</v>
      </c>
    </row>
    <row r="6109" spans="1:8">
      <c r="A6109" s="317">
        <v>1613435016</v>
      </c>
      <c r="B6109" s="330" t="s">
        <v>50475</v>
      </c>
      <c r="C6109" s="330" t="s">
        <v>15459</v>
      </c>
      <c r="D6109" s="330" t="s">
        <v>15460</v>
      </c>
      <c r="E6109" s="330" t="s">
        <v>4634</v>
      </c>
      <c r="F6109" s="331">
        <v>0.21</v>
      </c>
      <c r="G6109" s="332">
        <v>455</v>
      </c>
      <c r="H6109" s="333">
        <v>551</v>
      </c>
    </row>
    <row r="6110" spans="1:8">
      <c r="A6110" s="317">
        <v>1613435019</v>
      </c>
      <c r="B6110" s="330" t="s">
        <v>50476</v>
      </c>
      <c r="C6110" s="330" t="s">
        <v>15461</v>
      </c>
      <c r="D6110" s="330" t="s">
        <v>15462</v>
      </c>
      <c r="E6110" s="330" t="s">
        <v>37248</v>
      </c>
      <c r="F6110" s="331">
        <v>0.21</v>
      </c>
      <c r="G6110" s="332">
        <v>452</v>
      </c>
      <c r="H6110" s="333">
        <v>547</v>
      </c>
    </row>
    <row r="6111" spans="1:8">
      <c r="A6111" s="317">
        <v>1613435020</v>
      </c>
      <c r="B6111" s="330" t="s">
        <v>50477</v>
      </c>
      <c r="C6111" s="330" t="s">
        <v>15463</v>
      </c>
      <c r="D6111" s="330" t="s">
        <v>15464</v>
      </c>
      <c r="E6111" s="330" t="s">
        <v>4634</v>
      </c>
      <c r="F6111" s="331">
        <v>0.21</v>
      </c>
      <c r="G6111" s="332">
        <v>153</v>
      </c>
      <c r="H6111" s="333">
        <v>186</v>
      </c>
    </row>
    <row r="6112" spans="1:8">
      <c r="A6112" s="317">
        <v>1613435022</v>
      </c>
      <c r="B6112" s="330" t="s">
        <v>50478</v>
      </c>
      <c r="C6112" s="330" t="s">
        <v>15465</v>
      </c>
      <c r="D6112" s="330" t="s">
        <v>15466</v>
      </c>
      <c r="E6112" s="330" t="s">
        <v>37248</v>
      </c>
      <c r="F6112" s="331">
        <v>0.21</v>
      </c>
      <c r="G6112" s="332">
        <v>1505</v>
      </c>
      <c r="H6112" s="333">
        <v>1822</v>
      </c>
    </row>
    <row r="6113" spans="1:8">
      <c r="A6113" s="317">
        <v>1613435023</v>
      </c>
      <c r="B6113" s="330" t="s">
        <v>50479</v>
      </c>
      <c r="C6113" s="330" t="s">
        <v>15467</v>
      </c>
      <c r="D6113" s="330" t="s">
        <v>15466</v>
      </c>
      <c r="E6113" s="330" t="s">
        <v>4634</v>
      </c>
      <c r="F6113" s="331">
        <v>0.21</v>
      </c>
      <c r="G6113" s="332">
        <v>274</v>
      </c>
      <c r="H6113" s="333">
        <v>332</v>
      </c>
    </row>
    <row r="6114" spans="1:8">
      <c r="A6114" s="317">
        <v>1613435028</v>
      </c>
      <c r="B6114" s="330" t="s">
        <v>50480</v>
      </c>
      <c r="C6114" s="330" t="s">
        <v>15468</v>
      </c>
      <c r="D6114" s="330" t="s">
        <v>15469</v>
      </c>
      <c r="E6114" s="330" t="s">
        <v>4819</v>
      </c>
      <c r="F6114" s="331">
        <v>0.21</v>
      </c>
      <c r="G6114" s="332">
        <v>2094</v>
      </c>
      <c r="H6114" s="333">
        <v>2534</v>
      </c>
    </row>
    <row r="6115" spans="1:8">
      <c r="A6115" s="317">
        <v>1613435029</v>
      </c>
      <c r="B6115" s="330" t="s">
        <v>50481</v>
      </c>
      <c r="C6115" s="330" t="s">
        <v>15470</v>
      </c>
      <c r="D6115" s="330" t="s">
        <v>6796</v>
      </c>
      <c r="E6115" s="330" t="s">
        <v>37248</v>
      </c>
      <c r="F6115" s="331">
        <v>0.21</v>
      </c>
      <c r="G6115" s="332">
        <v>305</v>
      </c>
      <c r="H6115" s="333">
        <v>370</v>
      </c>
    </row>
    <row r="6116" spans="1:8">
      <c r="A6116" s="317">
        <v>1613435034</v>
      </c>
      <c r="B6116" s="330" t="s">
        <v>50482</v>
      </c>
      <c r="C6116" s="330" t="s">
        <v>15471</v>
      </c>
      <c r="D6116" s="330" t="s">
        <v>15472</v>
      </c>
      <c r="E6116" s="330" t="s">
        <v>37248</v>
      </c>
      <c r="F6116" s="331">
        <v>0.21</v>
      </c>
      <c r="G6116" s="332">
        <v>296</v>
      </c>
      <c r="H6116" s="333">
        <v>359</v>
      </c>
    </row>
    <row r="6117" spans="1:8">
      <c r="A6117" s="317">
        <v>1613435036</v>
      </c>
      <c r="B6117" s="330" t="s">
        <v>50483</v>
      </c>
      <c r="C6117" s="330" t="s">
        <v>15473</v>
      </c>
      <c r="D6117" s="330" t="s">
        <v>15474</v>
      </c>
      <c r="E6117" s="330" t="s">
        <v>37248</v>
      </c>
      <c r="F6117" s="331">
        <v>0.21</v>
      </c>
      <c r="G6117" s="332">
        <v>383</v>
      </c>
      <c r="H6117" s="333">
        <v>464</v>
      </c>
    </row>
    <row r="6118" spans="1:8">
      <c r="A6118" s="317">
        <v>1613435037</v>
      </c>
      <c r="B6118" s="330" t="s">
        <v>50484</v>
      </c>
      <c r="C6118" s="330" t="s">
        <v>15475</v>
      </c>
      <c r="D6118" s="330" t="s">
        <v>15476</v>
      </c>
      <c r="E6118" s="330" t="s">
        <v>4634</v>
      </c>
      <c r="F6118" s="331">
        <v>0.21</v>
      </c>
      <c r="G6118" s="332">
        <v>180</v>
      </c>
      <c r="H6118" s="333">
        <v>218</v>
      </c>
    </row>
    <row r="6119" spans="1:8">
      <c r="A6119" s="317">
        <v>1613435038</v>
      </c>
      <c r="B6119" s="330" t="s">
        <v>50485</v>
      </c>
      <c r="C6119" s="330" t="s">
        <v>15477</v>
      </c>
      <c r="D6119" s="330" t="s">
        <v>15472</v>
      </c>
      <c r="E6119" s="330" t="s">
        <v>4819</v>
      </c>
      <c r="F6119" s="331">
        <v>0.21</v>
      </c>
      <c r="G6119" s="332">
        <v>410</v>
      </c>
      <c r="H6119" s="333">
        <v>497</v>
      </c>
    </row>
    <row r="6120" spans="1:8">
      <c r="A6120" s="317">
        <v>1613435039</v>
      </c>
      <c r="B6120" s="330" t="s">
        <v>50486</v>
      </c>
      <c r="C6120" s="330" t="s">
        <v>15478</v>
      </c>
      <c r="D6120" s="330" t="s">
        <v>15479</v>
      </c>
      <c r="E6120" s="330" t="s">
        <v>4634</v>
      </c>
      <c r="F6120" s="331">
        <v>0.21</v>
      </c>
      <c r="G6120" s="332">
        <v>236</v>
      </c>
      <c r="H6120" s="333">
        <v>286</v>
      </c>
    </row>
    <row r="6121" spans="1:8">
      <c r="A6121" s="317">
        <v>1613435040</v>
      </c>
      <c r="B6121" s="330" t="s">
        <v>50487</v>
      </c>
      <c r="C6121" s="330" t="s">
        <v>15480</v>
      </c>
      <c r="D6121" s="330" t="s">
        <v>15481</v>
      </c>
      <c r="E6121" s="330" t="s">
        <v>37248</v>
      </c>
      <c r="F6121" s="331">
        <v>0.21</v>
      </c>
      <c r="G6121" s="332">
        <v>994</v>
      </c>
      <c r="H6121" s="333">
        <v>1203</v>
      </c>
    </row>
    <row r="6122" spans="1:8">
      <c r="A6122" s="317">
        <v>1613435041</v>
      </c>
      <c r="B6122" s="330" t="s">
        <v>50488</v>
      </c>
      <c r="C6122" s="330" t="s">
        <v>15482</v>
      </c>
      <c r="D6122" s="330" t="s">
        <v>15481</v>
      </c>
      <c r="E6122" s="330" t="s">
        <v>37248</v>
      </c>
      <c r="F6122" s="331">
        <v>0.21</v>
      </c>
      <c r="G6122" s="332">
        <v>348</v>
      </c>
      <c r="H6122" s="333">
        <v>422</v>
      </c>
    </row>
    <row r="6123" spans="1:8">
      <c r="A6123" s="317">
        <v>1613435042</v>
      </c>
      <c r="B6123" s="330" t="s">
        <v>50489</v>
      </c>
      <c r="C6123" s="330" t="s">
        <v>15483</v>
      </c>
      <c r="D6123" s="330" t="s">
        <v>15484</v>
      </c>
      <c r="E6123" s="330" t="s">
        <v>37248</v>
      </c>
      <c r="F6123" s="331">
        <v>0.21</v>
      </c>
      <c r="G6123" s="332">
        <v>305</v>
      </c>
      <c r="H6123" s="333">
        <v>370</v>
      </c>
    </row>
    <row r="6124" spans="1:8">
      <c r="A6124" s="317">
        <v>1613435043</v>
      </c>
      <c r="B6124" s="330" t="s">
        <v>50490</v>
      </c>
      <c r="C6124" s="330" t="s">
        <v>15485</v>
      </c>
      <c r="D6124" s="330" t="s">
        <v>7653</v>
      </c>
      <c r="E6124" s="330" t="s">
        <v>37248</v>
      </c>
      <c r="F6124" s="331">
        <v>0.21</v>
      </c>
      <c r="G6124" s="332">
        <v>174</v>
      </c>
      <c r="H6124" s="333">
        <v>211</v>
      </c>
    </row>
    <row r="6125" spans="1:8">
      <c r="A6125" s="317">
        <v>1613454001</v>
      </c>
      <c r="B6125" s="330" t="s">
        <v>50491</v>
      </c>
      <c r="C6125" s="330" t="s">
        <v>15486</v>
      </c>
      <c r="D6125" s="330" t="s">
        <v>7235</v>
      </c>
      <c r="E6125" s="330" t="s">
        <v>4634</v>
      </c>
      <c r="F6125" s="331">
        <v>0.21</v>
      </c>
      <c r="G6125" s="332">
        <v>93</v>
      </c>
      <c r="H6125" s="333">
        <v>113</v>
      </c>
    </row>
    <row r="6126" spans="1:8">
      <c r="A6126" s="317">
        <v>1613454002</v>
      </c>
      <c r="B6126" s="330" t="s">
        <v>50492</v>
      </c>
      <c r="C6126" s="330" t="s">
        <v>15487</v>
      </c>
      <c r="D6126" s="330" t="s">
        <v>15488</v>
      </c>
      <c r="E6126" s="330" t="s">
        <v>4634</v>
      </c>
      <c r="F6126" s="331">
        <v>0.21</v>
      </c>
      <c r="G6126" s="332">
        <v>972</v>
      </c>
      <c r="H6126" s="333">
        <v>1177</v>
      </c>
    </row>
    <row r="6127" spans="1:8">
      <c r="A6127" s="317">
        <v>1613461001</v>
      </c>
      <c r="B6127" s="330" t="s">
        <v>50493</v>
      </c>
      <c r="C6127" s="330" t="s">
        <v>15489</v>
      </c>
      <c r="D6127" s="330" t="s">
        <v>15490</v>
      </c>
      <c r="E6127" s="330" t="s">
        <v>4634</v>
      </c>
      <c r="F6127" s="331">
        <v>0.21</v>
      </c>
      <c r="G6127" s="332">
        <v>1557</v>
      </c>
      <c r="H6127" s="333">
        <v>1884</v>
      </c>
    </row>
    <row r="6128" spans="1:8">
      <c r="A6128" s="317">
        <v>1613465001</v>
      </c>
      <c r="B6128" s="330" t="s">
        <v>50494</v>
      </c>
      <c r="C6128" s="330" t="s">
        <v>15491</v>
      </c>
      <c r="D6128" s="330" t="s">
        <v>15492</v>
      </c>
      <c r="E6128" s="330" t="s">
        <v>37248</v>
      </c>
      <c r="F6128" s="331">
        <v>0.21</v>
      </c>
      <c r="G6128" s="332">
        <v>7825</v>
      </c>
      <c r="H6128" s="333">
        <v>9469</v>
      </c>
    </row>
    <row r="6129" spans="1:8">
      <c r="A6129" s="317">
        <v>1613465003</v>
      </c>
      <c r="B6129" s="330" t="s">
        <v>50495</v>
      </c>
      <c r="C6129" s="330" t="s">
        <v>15493</v>
      </c>
      <c r="D6129" s="330" t="s">
        <v>15494</v>
      </c>
      <c r="E6129" s="330" t="s">
        <v>4634</v>
      </c>
      <c r="F6129" s="331">
        <v>0.21</v>
      </c>
      <c r="G6129" s="332">
        <v>2768</v>
      </c>
      <c r="H6129" s="333">
        <v>3350</v>
      </c>
    </row>
    <row r="6130" spans="1:8">
      <c r="A6130" s="317">
        <v>1613490001</v>
      </c>
      <c r="B6130" s="330" t="s">
        <v>50496</v>
      </c>
      <c r="C6130" s="330" t="s">
        <v>15495</v>
      </c>
      <c r="D6130" s="330" t="s">
        <v>15496</v>
      </c>
      <c r="E6130" s="330" t="s">
        <v>4634</v>
      </c>
      <c r="F6130" s="331">
        <v>0.21</v>
      </c>
      <c r="G6130" s="332">
        <v>1882</v>
      </c>
      <c r="H6130" s="333">
        <v>2278</v>
      </c>
    </row>
    <row r="6131" spans="1:8">
      <c r="A6131" s="317">
        <v>1613490002</v>
      </c>
      <c r="B6131" s="330" t="s">
        <v>50497</v>
      </c>
      <c r="C6131" s="330" t="s">
        <v>15497</v>
      </c>
      <c r="D6131" s="330" t="s">
        <v>15498</v>
      </c>
      <c r="E6131" s="330" t="s">
        <v>4819</v>
      </c>
      <c r="F6131" s="331">
        <v>0.21</v>
      </c>
      <c r="G6131" s="332">
        <v>2478</v>
      </c>
      <c r="H6131" s="333">
        <v>2999</v>
      </c>
    </row>
    <row r="6132" spans="1:8">
      <c r="A6132" s="317">
        <v>1613490005</v>
      </c>
      <c r="B6132" s="330" t="s">
        <v>50498</v>
      </c>
      <c r="C6132" s="330" t="s">
        <v>15499</v>
      </c>
      <c r="D6132" s="330" t="s">
        <v>15500</v>
      </c>
      <c r="E6132" s="330" t="s">
        <v>4819</v>
      </c>
      <c r="F6132" s="331">
        <v>0.21</v>
      </c>
      <c r="G6132" s="332">
        <v>811</v>
      </c>
      <c r="H6132" s="333">
        <v>982</v>
      </c>
    </row>
    <row r="6133" spans="1:8">
      <c r="A6133" s="317">
        <v>1613490007</v>
      </c>
      <c r="B6133" s="330" t="s">
        <v>50499</v>
      </c>
      <c r="C6133" s="330" t="s">
        <v>15501</v>
      </c>
      <c r="D6133" s="330" t="s">
        <v>15502</v>
      </c>
      <c r="E6133" s="330" t="s">
        <v>37248</v>
      </c>
      <c r="F6133" s="331">
        <v>0.21</v>
      </c>
      <c r="G6133" s="332">
        <v>2670</v>
      </c>
      <c r="H6133" s="333">
        <v>3231</v>
      </c>
    </row>
    <row r="6134" spans="1:8">
      <c r="A6134" s="317">
        <v>1613490008</v>
      </c>
      <c r="B6134" s="330" t="s">
        <v>50500</v>
      </c>
      <c r="C6134" s="330" t="s">
        <v>15503</v>
      </c>
      <c r="D6134" s="330" t="s">
        <v>4658</v>
      </c>
      <c r="E6134" s="330" t="s">
        <v>4634</v>
      </c>
      <c r="F6134" s="331">
        <v>0.21</v>
      </c>
      <c r="G6134" s="332">
        <v>274</v>
      </c>
      <c r="H6134" s="333">
        <v>332</v>
      </c>
    </row>
    <row r="6135" spans="1:8">
      <c r="A6135" s="317">
        <v>1613490009</v>
      </c>
      <c r="B6135" s="330" t="s">
        <v>50501</v>
      </c>
      <c r="C6135" s="330" t="s">
        <v>15504</v>
      </c>
      <c r="D6135" s="330" t="s">
        <v>4658</v>
      </c>
      <c r="E6135" s="330" t="s">
        <v>4634</v>
      </c>
      <c r="F6135" s="331">
        <v>0.21</v>
      </c>
      <c r="G6135" s="332">
        <v>432</v>
      </c>
      <c r="H6135" s="333">
        <v>523</v>
      </c>
    </row>
    <row r="6136" spans="1:8">
      <c r="A6136" s="317">
        <v>1613490010</v>
      </c>
      <c r="B6136" s="330" t="s">
        <v>50502</v>
      </c>
      <c r="C6136" s="330" t="s">
        <v>15505</v>
      </c>
      <c r="D6136" s="330" t="s">
        <v>15506</v>
      </c>
      <c r="E6136" s="330" t="s">
        <v>4819</v>
      </c>
      <c r="F6136" s="331">
        <v>0.21</v>
      </c>
      <c r="G6136" s="332">
        <v>2823</v>
      </c>
      <c r="H6136" s="333">
        <v>3416</v>
      </c>
    </row>
    <row r="6137" spans="1:8">
      <c r="A6137" s="317">
        <v>1613490011</v>
      </c>
      <c r="B6137" s="330" t="s">
        <v>50503</v>
      </c>
      <c r="C6137" s="330" t="s">
        <v>15507</v>
      </c>
      <c r="D6137" s="330" t="s">
        <v>15508</v>
      </c>
      <c r="E6137" s="330" t="s">
        <v>37248</v>
      </c>
      <c r="F6137" s="331">
        <v>0.21</v>
      </c>
      <c r="G6137" s="332">
        <v>1530</v>
      </c>
      <c r="H6137" s="333">
        <v>1852</v>
      </c>
    </row>
    <row r="6138" spans="1:8">
      <c r="A6138" s="317">
        <v>1613490013</v>
      </c>
      <c r="B6138" s="330" t="s">
        <v>50504</v>
      </c>
      <c r="C6138" s="330" t="s">
        <v>15509</v>
      </c>
      <c r="D6138" s="330" t="s">
        <v>15510</v>
      </c>
      <c r="E6138" s="330" t="s">
        <v>4634</v>
      </c>
      <c r="F6138" s="331">
        <v>0.21</v>
      </c>
      <c r="G6138" s="332">
        <v>309</v>
      </c>
      <c r="H6138" s="333">
        <v>374</v>
      </c>
    </row>
    <row r="6139" spans="1:8">
      <c r="A6139" s="317">
        <v>1613490014</v>
      </c>
      <c r="B6139" s="330" t="s">
        <v>50505</v>
      </c>
      <c r="C6139" s="330" t="s">
        <v>15511</v>
      </c>
      <c r="D6139" s="330" t="s">
        <v>15512</v>
      </c>
      <c r="E6139" s="330" t="s">
        <v>4634</v>
      </c>
      <c r="F6139" s="331">
        <v>0.21</v>
      </c>
      <c r="G6139" s="332">
        <v>309</v>
      </c>
      <c r="H6139" s="333">
        <v>374</v>
      </c>
    </row>
    <row r="6140" spans="1:8">
      <c r="A6140" s="317">
        <v>1613490015</v>
      </c>
      <c r="B6140" s="330" t="s">
        <v>50506</v>
      </c>
      <c r="C6140" s="330" t="s">
        <v>15513</v>
      </c>
      <c r="D6140" s="330" t="s">
        <v>15514</v>
      </c>
      <c r="E6140" s="330" t="s">
        <v>4634</v>
      </c>
      <c r="F6140" s="331">
        <v>0.21</v>
      </c>
      <c r="G6140" s="332">
        <v>432</v>
      </c>
      <c r="H6140" s="333">
        <v>523</v>
      </c>
    </row>
    <row r="6141" spans="1:8">
      <c r="A6141" s="317">
        <v>1613490017</v>
      </c>
      <c r="B6141" s="330" t="s">
        <v>50507</v>
      </c>
      <c r="C6141" s="330" t="s">
        <v>15515</v>
      </c>
      <c r="D6141" s="330" t="s">
        <v>8853</v>
      </c>
      <c r="E6141" s="330" t="s">
        <v>4819</v>
      </c>
      <c r="F6141" s="331">
        <v>0.21</v>
      </c>
      <c r="G6141" s="332">
        <v>671</v>
      </c>
      <c r="H6141" s="333">
        <v>812</v>
      </c>
    </row>
    <row r="6142" spans="1:8">
      <c r="A6142" s="317">
        <v>1613490019</v>
      </c>
      <c r="B6142" s="330" t="s">
        <v>50508</v>
      </c>
      <c r="C6142" s="330" t="s">
        <v>15516</v>
      </c>
      <c r="D6142" s="330" t="s">
        <v>15517</v>
      </c>
      <c r="E6142" s="330" t="s">
        <v>4634</v>
      </c>
      <c r="F6142" s="331">
        <v>0.21</v>
      </c>
      <c r="G6142" s="332">
        <v>416</v>
      </c>
      <c r="H6142" s="333">
        <v>504</v>
      </c>
    </row>
    <row r="6143" spans="1:8">
      <c r="A6143" s="317">
        <v>1613490021</v>
      </c>
      <c r="B6143" s="330" t="s">
        <v>50509</v>
      </c>
      <c r="C6143" s="330" t="s">
        <v>15518</v>
      </c>
      <c r="D6143" s="330" t="s">
        <v>15519</v>
      </c>
      <c r="E6143" s="330" t="s">
        <v>4819</v>
      </c>
      <c r="F6143" s="331">
        <v>0.21</v>
      </c>
      <c r="G6143" s="332">
        <v>1740</v>
      </c>
      <c r="H6143" s="333">
        <v>2106</v>
      </c>
    </row>
    <row r="6144" spans="1:8">
      <c r="A6144" s="317">
        <v>1613490022</v>
      </c>
      <c r="B6144" s="330" t="s">
        <v>50510</v>
      </c>
      <c r="C6144" s="330" t="s">
        <v>15520</v>
      </c>
      <c r="D6144" s="330" t="s">
        <v>15521</v>
      </c>
      <c r="E6144" s="330" t="s">
        <v>4623</v>
      </c>
      <c r="F6144" s="331">
        <v>0.21</v>
      </c>
      <c r="G6144" s="332">
        <v>814</v>
      </c>
      <c r="H6144" s="333">
        <v>985</v>
      </c>
    </row>
    <row r="6145" spans="1:8">
      <c r="A6145" s="317">
        <v>1613490023</v>
      </c>
      <c r="B6145" s="330" t="s">
        <v>50511</v>
      </c>
      <c r="C6145" s="330" t="s">
        <v>15522</v>
      </c>
      <c r="D6145" s="330" t="s">
        <v>15523</v>
      </c>
      <c r="E6145" s="330" t="s">
        <v>4634</v>
      </c>
      <c r="F6145" s="331">
        <v>0.21</v>
      </c>
      <c r="G6145" s="332">
        <v>254</v>
      </c>
      <c r="H6145" s="333">
        <v>308</v>
      </c>
    </row>
    <row r="6146" spans="1:8">
      <c r="A6146" s="317">
        <v>1613490024</v>
      </c>
      <c r="B6146" s="330" t="s">
        <v>50512</v>
      </c>
      <c r="C6146" s="330" t="s">
        <v>15524</v>
      </c>
      <c r="D6146" s="330" t="s">
        <v>15525</v>
      </c>
      <c r="E6146" s="330" t="s">
        <v>4623</v>
      </c>
      <c r="F6146" s="331">
        <v>0.21</v>
      </c>
      <c r="G6146" s="332">
        <v>814</v>
      </c>
      <c r="H6146" s="333">
        <v>985</v>
      </c>
    </row>
    <row r="6147" spans="1:8">
      <c r="A6147" s="317">
        <v>1613490025</v>
      </c>
      <c r="B6147" s="330" t="s">
        <v>50513</v>
      </c>
      <c r="C6147" s="330" t="s">
        <v>15526</v>
      </c>
      <c r="D6147" s="330" t="s">
        <v>15527</v>
      </c>
      <c r="E6147" s="330" t="s">
        <v>4623</v>
      </c>
      <c r="F6147" s="331">
        <v>0.21</v>
      </c>
      <c r="G6147" s="332">
        <v>814</v>
      </c>
      <c r="H6147" s="333">
        <v>985</v>
      </c>
    </row>
    <row r="6148" spans="1:8">
      <c r="A6148" s="317">
        <v>1613490026</v>
      </c>
      <c r="B6148" s="330" t="s">
        <v>50514</v>
      </c>
      <c r="C6148" s="330" t="s">
        <v>15528</v>
      </c>
      <c r="D6148" s="330" t="s">
        <v>15529</v>
      </c>
      <c r="E6148" s="330" t="s">
        <v>4819</v>
      </c>
      <c r="F6148" s="331">
        <v>0.21</v>
      </c>
      <c r="G6148" s="332">
        <v>2059</v>
      </c>
      <c r="H6148" s="333">
        <v>2492</v>
      </c>
    </row>
    <row r="6149" spans="1:8">
      <c r="A6149" s="317">
        <v>1613490027</v>
      </c>
      <c r="B6149" s="330" t="s">
        <v>50515</v>
      </c>
      <c r="C6149" s="330" t="s">
        <v>15530</v>
      </c>
      <c r="D6149" s="330" t="s">
        <v>15531</v>
      </c>
      <c r="E6149" s="330" t="s">
        <v>37248</v>
      </c>
      <c r="F6149" s="331">
        <v>0.21</v>
      </c>
      <c r="G6149" s="332">
        <v>910</v>
      </c>
      <c r="H6149" s="333">
        <v>1102</v>
      </c>
    </row>
    <row r="6150" spans="1:8">
      <c r="A6150" s="317">
        <v>1613490028</v>
      </c>
      <c r="B6150" s="330" t="s">
        <v>50516</v>
      </c>
      <c r="C6150" s="330" t="s">
        <v>15532</v>
      </c>
      <c r="D6150" s="330" t="s">
        <v>8783</v>
      </c>
      <c r="E6150" s="330" t="s">
        <v>37248</v>
      </c>
      <c r="F6150" s="331">
        <v>0.21</v>
      </c>
      <c r="G6150" s="332">
        <v>240</v>
      </c>
      <c r="H6150" s="333">
        <v>291</v>
      </c>
    </row>
    <row r="6151" spans="1:8">
      <c r="A6151" s="317">
        <v>1613521002</v>
      </c>
      <c r="B6151" s="330" t="s">
        <v>50517</v>
      </c>
      <c r="C6151" s="330" t="s">
        <v>15533</v>
      </c>
      <c r="D6151" s="330" t="s">
        <v>15534</v>
      </c>
      <c r="E6151" s="330" t="s">
        <v>4634</v>
      </c>
      <c r="F6151" s="331">
        <v>0.21</v>
      </c>
      <c r="G6151" s="332">
        <v>3283</v>
      </c>
      <c r="H6151" s="333">
        <v>3973</v>
      </c>
    </row>
    <row r="6152" spans="1:8">
      <c r="A6152" s="317">
        <v>1613523011</v>
      </c>
      <c r="B6152" s="330" t="s">
        <v>50518</v>
      </c>
      <c r="C6152" s="330" t="s">
        <v>15535</v>
      </c>
      <c r="D6152" s="330" t="s">
        <v>15536</v>
      </c>
      <c r="E6152" s="330" t="s">
        <v>4634</v>
      </c>
      <c r="F6152" s="331">
        <v>0.21</v>
      </c>
      <c r="G6152" s="332">
        <v>8662</v>
      </c>
      <c r="H6152" s="333">
        <v>10482</v>
      </c>
    </row>
    <row r="6153" spans="1:8">
      <c r="A6153" s="317">
        <v>1614010013</v>
      </c>
      <c r="B6153" s="330" t="s">
        <v>50519</v>
      </c>
      <c r="C6153" s="330" t="s">
        <v>15537</v>
      </c>
      <c r="D6153" s="330" t="s">
        <v>15538</v>
      </c>
      <c r="E6153" s="330" t="s">
        <v>4634</v>
      </c>
      <c r="F6153" s="331">
        <v>0.21</v>
      </c>
      <c r="G6153" s="332">
        <v>21140</v>
      </c>
      <c r="H6153" s="333">
        <v>25580</v>
      </c>
    </row>
    <row r="6154" spans="1:8">
      <c r="A6154" s="317">
        <v>1614010035</v>
      </c>
      <c r="B6154" s="330" t="s">
        <v>50520</v>
      </c>
      <c r="C6154" s="330" t="s">
        <v>15539</v>
      </c>
      <c r="D6154" s="330" t="s">
        <v>15540</v>
      </c>
      <c r="E6154" s="330" t="s">
        <v>4634</v>
      </c>
      <c r="F6154" s="331">
        <v>0.21</v>
      </c>
      <c r="G6154" s="332">
        <v>3533</v>
      </c>
      <c r="H6154" s="333">
        <v>4275</v>
      </c>
    </row>
    <row r="6155" spans="1:8">
      <c r="A6155" s="317">
        <v>1614010039</v>
      </c>
      <c r="B6155" s="330" t="s">
        <v>50521</v>
      </c>
      <c r="C6155" s="330" t="s">
        <v>15541</v>
      </c>
      <c r="D6155" s="330" t="s">
        <v>15542</v>
      </c>
      <c r="E6155" s="330" t="s">
        <v>4634</v>
      </c>
      <c r="F6155" s="331">
        <v>0.21</v>
      </c>
      <c r="G6155" s="332">
        <v>88449</v>
      </c>
      <c r="H6155" s="333">
        <v>107024</v>
      </c>
    </row>
    <row r="6156" spans="1:8">
      <c r="A6156" s="317">
        <v>1614010051</v>
      </c>
      <c r="B6156" s="330" t="s">
        <v>50522</v>
      </c>
      <c r="C6156" s="330" t="s">
        <v>15543</v>
      </c>
      <c r="D6156" s="330" t="s">
        <v>15544</v>
      </c>
      <c r="E6156" s="330" t="s">
        <v>4634</v>
      </c>
      <c r="F6156" s="331">
        <v>0.21</v>
      </c>
      <c r="G6156" s="332">
        <v>17014</v>
      </c>
      <c r="H6156" s="333">
        <v>20587</v>
      </c>
    </row>
    <row r="6157" spans="1:8">
      <c r="A6157" s="317">
        <v>1614010052</v>
      </c>
      <c r="B6157" s="330" t="s">
        <v>50523</v>
      </c>
      <c r="C6157" s="330" t="s">
        <v>15545</v>
      </c>
      <c r="D6157" s="330" t="s">
        <v>15546</v>
      </c>
      <c r="E6157" s="330" t="s">
        <v>4634</v>
      </c>
      <c r="F6157" s="331">
        <v>0.21</v>
      </c>
      <c r="G6157" s="332">
        <v>24708</v>
      </c>
      <c r="H6157" s="333">
        <v>29897</v>
      </c>
    </row>
    <row r="6158" spans="1:8">
      <c r="A6158" s="317">
        <v>1614010085</v>
      </c>
      <c r="B6158" s="330" t="s">
        <v>50524</v>
      </c>
      <c r="C6158" s="330" t="s">
        <v>15547</v>
      </c>
      <c r="D6158" s="330" t="s">
        <v>15548</v>
      </c>
      <c r="E6158" s="330" t="s">
        <v>4634</v>
      </c>
      <c r="F6158" s="331">
        <v>0.21</v>
      </c>
      <c r="G6158" s="332">
        <v>18339</v>
      </c>
      <c r="H6158" s="333">
        <v>22191</v>
      </c>
    </row>
    <row r="6159" spans="1:8">
      <c r="A6159" s="317">
        <v>1614010106</v>
      </c>
      <c r="B6159" s="330" t="s">
        <v>50525</v>
      </c>
      <c r="C6159" s="330" t="s">
        <v>15549</v>
      </c>
      <c r="D6159" s="330" t="s">
        <v>15550</v>
      </c>
      <c r="E6159" s="330" t="s">
        <v>4634</v>
      </c>
      <c r="F6159" s="331">
        <v>0.21</v>
      </c>
      <c r="G6159" s="332">
        <v>28950</v>
      </c>
      <c r="H6159" s="333">
        <v>35030</v>
      </c>
    </row>
    <row r="6160" spans="1:8">
      <c r="A6160" s="317">
        <v>1614010128</v>
      </c>
      <c r="B6160" s="330" t="s">
        <v>50526</v>
      </c>
      <c r="C6160" s="330" t="s">
        <v>15551</v>
      </c>
      <c r="D6160" s="330" t="s">
        <v>15552</v>
      </c>
      <c r="E6160" s="330" t="s">
        <v>37248</v>
      </c>
      <c r="F6160" s="331">
        <v>0.21</v>
      </c>
      <c r="G6160" s="332">
        <v>122056</v>
      </c>
      <c r="H6160" s="333">
        <v>147688</v>
      </c>
    </row>
    <row r="6161" spans="1:8">
      <c r="A6161" s="317">
        <v>1614010144</v>
      </c>
      <c r="B6161" s="330" t="s">
        <v>50527</v>
      </c>
      <c r="C6161" s="330" t="s">
        <v>15553</v>
      </c>
      <c r="D6161" s="330" t="s">
        <v>15554</v>
      </c>
      <c r="E6161" s="330" t="s">
        <v>4634</v>
      </c>
      <c r="F6161" s="331">
        <v>0.21</v>
      </c>
      <c r="G6161" s="332">
        <v>20351</v>
      </c>
      <c r="H6161" s="333">
        <v>24625</v>
      </c>
    </row>
    <row r="6162" spans="1:8">
      <c r="A6162" s="317">
        <v>1614010169</v>
      </c>
      <c r="B6162" s="330" t="s">
        <v>50528</v>
      </c>
      <c r="C6162" s="330" t="s">
        <v>15555</v>
      </c>
      <c r="D6162" s="330" t="s">
        <v>15556</v>
      </c>
      <c r="E6162" s="330" t="s">
        <v>4634</v>
      </c>
      <c r="F6162" s="331">
        <v>0.21</v>
      </c>
      <c r="G6162" s="332">
        <v>19762</v>
      </c>
      <c r="H6162" s="333">
        <v>23913</v>
      </c>
    </row>
    <row r="6163" spans="1:8">
      <c r="A6163" s="317">
        <v>1614010180</v>
      </c>
      <c r="B6163" s="330" t="s">
        <v>50529</v>
      </c>
      <c r="C6163" s="330" t="s">
        <v>15557</v>
      </c>
      <c r="D6163" s="330" t="s">
        <v>15558</v>
      </c>
      <c r="E6163" s="330" t="s">
        <v>4634</v>
      </c>
      <c r="F6163" s="331">
        <v>0.21</v>
      </c>
      <c r="G6163" s="332">
        <v>31763</v>
      </c>
      <c r="H6163" s="333">
        <v>38434</v>
      </c>
    </row>
    <row r="6164" spans="1:8">
      <c r="A6164" s="317">
        <v>1614010186</v>
      </c>
      <c r="B6164" s="330" t="s">
        <v>50530</v>
      </c>
      <c r="C6164" s="330" t="s">
        <v>15559</v>
      </c>
      <c r="D6164" s="330" t="s">
        <v>15560</v>
      </c>
      <c r="E6164" s="330" t="s">
        <v>4634</v>
      </c>
      <c r="F6164" s="331">
        <v>0.21</v>
      </c>
      <c r="G6164" s="332">
        <v>26579</v>
      </c>
      <c r="H6164" s="333">
        <v>32161</v>
      </c>
    </row>
    <row r="6165" spans="1:8">
      <c r="A6165" s="317">
        <v>1614010207</v>
      </c>
      <c r="B6165" s="330" t="s">
        <v>50531</v>
      </c>
      <c r="C6165" s="330" t="s">
        <v>15561</v>
      </c>
      <c r="D6165" s="330" t="s">
        <v>15562</v>
      </c>
      <c r="E6165" s="330" t="s">
        <v>4634</v>
      </c>
      <c r="F6165" s="331">
        <v>0.21</v>
      </c>
      <c r="G6165" s="332">
        <v>46348</v>
      </c>
      <c r="H6165" s="333">
        <v>56082</v>
      </c>
    </row>
    <row r="6166" spans="1:8">
      <c r="A6166" s="317">
        <v>1614010213</v>
      </c>
      <c r="B6166" s="330" t="s">
        <v>50532</v>
      </c>
      <c r="C6166" s="330" t="s">
        <v>15563</v>
      </c>
      <c r="D6166" s="330" t="s">
        <v>15564</v>
      </c>
      <c r="E6166" s="330" t="s">
        <v>37248</v>
      </c>
      <c r="F6166" s="331">
        <v>0.21</v>
      </c>
      <c r="G6166" s="332">
        <v>187413</v>
      </c>
      <c r="H6166" s="333">
        <v>226770</v>
      </c>
    </row>
    <row r="6167" spans="1:8">
      <c r="A6167" s="317">
        <v>1614010227</v>
      </c>
      <c r="B6167" s="330" t="s">
        <v>50533</v>
      </c>
      <c r="C6167" s="330" t="s">
        <v>15565</v>
      </c>
      <c r="D6167" s="330" t="s">
        <v>15566</v>
      </c>
      <c r="E6167" s="330" t="s">
        <v>37248</v>
      </c>
      <c r="F6167" s="331">
        <v>0.21</v>
      </c>
      <c r="G6167" s="332">
        <v>74806</v>
      </c>
      <c r="H6167" s="333">
        <v>90516</v>
      </c>
    </row>
    <row r="6168" spans="1:8">
      <c r="A6168" s="317">
        <v>1614010267</v>
      </c>
      <c r="B6168" s="330" t="s">
        <v>50534</v>
      </c>
      <c r="C6168" s="330" t="s">
        <v>15567</v>
      </c>
      <c r="D6168" s="330" t="s">
        <v>15568</v>
      </c>
      <c r="E6168" s="330" t="s">
        <v>37248</v>
      </c>
      <c r="F6168" s="331">
        <v>0.21</v>
      </c>
      <c r="G6168" s="332">
        <v>196113</v>
      </c>
      <c r="H6168" s="333">
        <v>237297</v>
      </c>
    </row>
    <row r="6169" spans="1:8">
      <c r="A6169" s="317">
        <v>1614010705</v>
      </c>
      <c r="B6169" s="330" t="s">
        <v>50535</v>
      </c>
      <c r="C6169" s="330" t="s">
        <v>15569</v>
      </c>
      <c r="D6169" s="330" t="s">
        <v>15570</v>
      </c>
      <c r="E6169" s="330" t="s">
        <v>4634</v>
      </c>
      <c r="F6169" s="331">
        <v>0.21</v>
      </c>
      <c r="G6169" s="332">
        <v>24795</v>
      </c>
      <c r="H6169" s="333">
        <v>30002</v>
      </c>
    </row>
    <row r="6170" spans="1:8">
      <c r="A6170" s="317">
        <v>1614010732</v>
      </c>
      <c r="B6170" s="330" t="s">
        <v>50536</v>
      </c>
      <c r="C6170" s="330" t="s">
        <v>15571</v>
      </c>
      <c r="D6170" s="330" t="s">
        <v>15572</v>
      </c>
      <c r="E6170" s="330" t="s">
        <v>37248</v>
      </c>
      <c r="F6170" s="331">
        <v>0.21</v>
      </c>
      <c r="G6170" s="332">
        <v>140308</v>
      </c>
      <c r="H6170" s="333">
        <v>169773</v>
      </c>
    </row>
    <row r="6171" spans="1:8">
      <c r="A6171" s="317" t="s">
        <v>40412</v>
      </c>
      <c r="B6171" s="330" t="s">
        <v>50537</v>
      </c>
      <c r="C6171" s="330" t="s">
        <v>15573</v>
      </c>
      <c r="D6171" s="330" t="s">
        <v>15574</v>
      </c>
      <c r="E6171" s="330" t="s">
        <v>4634</v>
      </c>
      <c r="F6171" s="331">
        <v>0.21</v>
      </c>
      <c r="G6171" s="332">
        <v>12487</v>
      </c>
      <c r="H6171" s="333">
        <v>15110</v>
      </c>
    </row>
    <row r="6172" spans="1:8">
      <c r="A6172" s="317">
        <v>1614011019</v>
      </c>
      <c r="B6172" s="330" t="s">
        <v>50538</v>
      </c>
      <c r="C6172" s="330" t="s">
        <v>15575</v>
      </c>
      <c r="D6172" s="330" t="s">
        <v>15576</v>
      </c>
      <c r="E6172" s="330" t="s">
        <v>4634</v>
      </c>
      <c r="F6172" s="331">
        <v>0.21</v>
      </c>
      <c r="G6172" s="332">
        <v>389463</v>
      </c>
      <c r="H6172" s="333">
        <v>471251</v>
      </c>
    </row>
    <row r="6173" spans="1:8">
      <c r="A6173" s="317">
        <v>1614011054</v>
      </c>
      <c r="B6173" s="330" t="s">
        <v>50539</v>
      </c>
      <c r="C6173" s="330" t="s">
        <v>15577</v>
      </c>
      <c r="D6173" s="330" t="s">
        <v>15578</v>
      </c>
      <c r="E6173" s="330" t="s">
        <v>4634</v>
      </c>
      <c r="F6173" s="331">
        <v>0.21</v>
      </c>
      <c r="G6173" s="332">
        <v>54981</v>
      </c>
      <c r="H6173" s="333">
        <v>66528</v>
      </c>
    </row>
    <row r="6174" spans="1:8">
      <c r="A6174" s="317">
        <v>1614011061</v>
      </c>
      <c r="B6174" s="330" t="s">
        <v>50540</v>
      </c>
      <c r="C6174" s="330" t="s">
        <v>15579</v>
      </c>
      <c r="D6174" s="330" t="s">
        <v>15580</v>
      </c>
      <c r="E6174" s="330" t="s">
        <v>4634</v>
      </c>
      <c r="F6174" s="331">
        <v>0.21</v>
      </c>
      <c r="G6174" s="332">
        <v>54981</v>
      </c>
      <c r="H6174" s="333">
        <v>66528</v>
      </c>
    </row>
    <row r="6175" spans="1:8">
      <c r="A6175" s="317">
        <v>1614011117</v>
      </c>
      <c r="B6175" s="330" t="s">
        <v>50541</v>
      </c>
      <c r="C6175" s="330" t="s">
        <v>15581</v>
      </c>
      <c r="D6175" s="330" t="s">
        <v>15582</v>
      </c>
      <c r="E6175" s="330" t="s">
        <v>37248</v>
      </c>
      <c r="F6175" s="331">
        <v>0.21</v>
      </c>
      <c r="G6175" s="332">
        <v>220801</v>
      </c>
      <c r="H6175" s="333">
        <v>267170</v>
      </c>
    </row>
    <row r="6176" spans="1:8">
      <c r="A6176" s="317">
        <v>1614220054</v>
      </c>
      <c r="B6176" s="330" t="s">
        <v>50542</v>
      </c>
      <c r="C6176" s="330" t="s">
        <v>15583</v>
      </c>
      <c r="D6176" s="330" t="s">
        <v>15584</v>
      </c>
      <c r="E6176" s="330" t="s">
        <v>4634</v>
      </c>
      <c r="F6176" s="331">
        <v>0.21</v>
      </c>
      <c r="G6176" s="332">
        <v>20967</v>
      </c>
      <c r="H6176" s="333">
        <v>25371</v>
      </c>
    </row>
    <row r="6177" spans="1:8">
      <c r="A6177" s="317">
        <v>1614220059</v>
      </c>
      <c r="B6177" s="330" t="s">
        <v>50543</v>
      </c>
      <c r="C6177" s="330" t="s">
        <v>15585</v>
      </c>
      <c r="D6177" s="330" t="s">
        <v>15586</v>
      </c>
      <c r="E6177" s="330" t="s">
        <v>4634</v>
      </c>
      <c r="F6177" s="331">
        <v>0.21</v>
      </c>
      <c r="G6177" s="332">
        <v>27328</v>
      </c>
      <c r="H6177" s="333">
        <v>33067</v>
      </c>
    </row>
    <row r="6178" spans="1:8">
      <c r="A6178" s="317">
        <v>1614220097</v>
      </c>
      <c r="B6178" s="330" t="s">
        <v>50544</v>
      </c>
      <c r="C6178" s="330" t="s">
        <v>15587</v>
      </c>
      <c r="D6178" s="330" t="s">
        <v>15588</v>
      </c>
      <c r="E6178" s="330" t="s">
        <v>4634</v>
      </c>
      <c r="F6178" s="331">
        <v>0.21</v>
      </c>
      <c r="G6178" s="332">
        <v>1733</v>
      </c>
      <c r="H6178" s="333">
        <v>2097</v>
      </c>
    </row>
    <row r="6179" spans="1:8">
      <c r="A6179" s="317">
        <v>1614220101</v>
      </c>
      <c r="B6179" s="330" t="s">
        <v>50545</v>
      </c>
      <c r="C6179" s="330" t="s">
        <v>15589</v>
      </c>
      <c r="D6179" s="330" t="s">
        <v>15590</v>
      </c>
      <c r="E6179" s="330" t="s">
        <v>4634</v>
      </c>
      <c r="F6179" s="331">
        <v>0.21</v>
      </c>
      <c r="G6179" s="332">
        <v>18339</v>
      </c>
      <c r="H6179" s="333">
        <v>22191</v>
      </c>
    </row>
    <row r="6180" spans="1:8">
      <c r="A6180" s="317">
        <v>1614220102</v>
      </c>
      <c r="B6180" s="330" t="s">
        <v>50546</v>
      </c>
      <c r="C6180" s="330" t="s">
        <v>15591</v>
      </c>
      <c r="D6180" s="330" t="s">
        <v>15592</v>
      </c>
      <c r="E6180" s="330" t="s">
        <v>4634</v>
      </c>
      <c r="F6180" s="331">
        <v>0.21</v>
      </c>
      <c r="G6180" s="332">
        <v>2935</v>
      </c>
      <c r="H6180" s="333">
        <v>3552</v>
      </c>
    </row>
    <row r="6181" spans="1:8">
      <c r="A6181" s="317">
        <v>1614220117</v>
      </c>
      <c r="B6181" s="330" t="s">
        <v>50547</v>
      </c>
      <c r="C6181" s="330" t="s">
        <v>15593</v>
      </c>
      <c r="D6181" s="330" t="s">
        <v>15594</v>
      </c>
      <c r="E6181" s="330" t="s">
        <v>37248</v>
      </c>
      <c r="F6181" s="331">
        <v>0.21</v>
      </c>
      <c r="G6181" s="332">
        <v>29693</v>
      </c>
      <c r="H6181" s="333">
        <v>35929</v>
      </c>
    </row>
    <row r="6182" spans="1:8">
      <c r="A6182" s="317">
        <v>1614220118</v>
      </c>
      <c r="B6182" s="330" t="s">
        <v>50548</v>
      </c>
      <c r="C6182" s="330" t="s">
        <v>15595</v>
      </c>
      <c r="D6182" s="330" t="s">
        <v>15596</v>
      </c>
      <c r="E6182" s="330" t="s">
        <v>4634</v>
      </c>
      <c r="F6182" s="331">
        <v>0.21</v>
      </c>
      <c r="G6182" s="332">
        <v>8597</v>
      </c>
      <c r="H6182" s="333">
        <v>10403</v>
      </c>
    </row>
    <row r="6183" spans="1:8">
      <c r="A6183" s="317">
        <v>1614220121</v>
      </c>
      <c r="B6183" s="330" t="s">
        <v>50549</v>
      </c>
      <c r="C6183" s="330" t="s">
        <v>15597</v>
      </c>
      <c r="D6183" s="330" t="s">
        <v>15598</v>
      </c>
      <c r="E6183" s="330" t="s">
        <v>4634</v>
      </c>
      <c r="F6183" s="331">
        <v>0.21</v>
      </c>
      <c r="G6183" s="332">
        <v>22909</v>
      </c>
      <c r="H6183" s="333">
        <v>27720</v>
      </c>
    </row>
    <row r="6184" spans="1:8">
      <c r="A6184" s="317">
        <v>1614220124</v>
      </c>
      <c r="B6184" s="330" t="s">
        <v>50550</v>
      </c>
      <c r="C6184" s="330" t="s">
        <v>15599</v>
      </c>
      <c r="D6184" s="330" t="s">
        <v>15600</v>
      </c>
      <c r="E6184" s="330" t="s">
        <v>37248</v>
      </c>
      <c r="F6184" s="331">
        <v>0.21</v>
      </c>
      <c r="G6184" s="332">
        <v>55925</v>
      </c>
      <c r="H6184" s="333">
        <v>67670</v>
      </c>
    </row>
    <row r="6185" spans="1:8">
      <c r="A6185" s="317">
        <v>1614220156</v>
      </c>
      <c r="B6185" s="330" t="s">
        <v>50551</v>
      </c>
      <c r="C6185" s="330" t="s">
        <v>15601</v>
      </c>
      <c r="D6185" s="330" t="s">
        <v>15602</v>
      </c>
      <c r="E6185" s="330" t="s">
        <v>37248</v>
      </c>
      <c r="F6185" s="331">
        <v>0.21</v>
      </c>
      <c r="G6185" s="332">
        <v>179429</v>
      </c>
      <c r="H6185" s="333">
        <v>217110</v>
      </c>
    </row>
    <row r="6186" spans="1:8">
      <c r="A6186" s="317">
        <v>1614220172</v>
      </c>
      <c r="B6186" s="330" t="s">
        <v>50552</v>
      </c>
      <c r="C6186" s="330" t="s">
        <v>15603</v>
      </c>
      <c r="D6186" s="330" t="s">
        <v>15604</v>
      </c>
      <c r="E6186" s="330" t="s">
        <v>37248</v>
      </c>
      <c r="F6186" s="331">
        <v>0.21</v>
      </c>
      <c r="G6186" s="332">
        <v>30054</v>
      </c>
      <c r="H6186" s="333">
        <v>36366</v>
      </c>
    </row>
    <row r="6187" spans="1:8">
      <c r="A6187" s="317">
        <v>1614220182</v>
      </c>
      <c r="B6187" s="330" t="s">
        <v>50553</v>
      </c>
      <c r="C6187" s="330" t="s">
        <v>15605</v>
      </c>
      <c r="D6187" s="330" t="s">
        <v>15606</v>
      </c>
      <c r="E6187" s="330" t="s">
        <v>4819</v>
      </c>
      <c r="F6187" s="331">
        <v>0.21</v>
      </c>
      <c r="G6187" s="332">
        <v>28397</v>
      </c>
      <c r="H6187" s="333">
        <v>34361</v>
      </c>
    </row>
    <row r="6188" spans="1:8">
      <c r="A6188" s="317">
        <v>1614220187</v>
      </c>
      <c r="B6188" s="330" t="s">
        <v>50554</v>
      </c>
      <c r="C6188" s="330" t="s">
        <v>15607</v>
      </c>
      <c r="D6188" s="330" t="s">
        <v>15608</v>
      </c>
      <c r="E6188" s="330" t="s">
        <v>4634</v>
      </c>
      <c r="F6188" s="331">
        <v>0.21</v>
      </c>
      <c r="G6188" s="332">
        <v>48389</v>
      </c>
      <c r="H6188" s="333">
        <v>58551</v>
      </c>
    </row>
    <row r="6189" spans="1:8">
      <c r="A6189" s="317">
        <v>1614220190</v>
      </c>
      <c r="B6189" s="330" t="s">
        <v>50555</v>
      </c>
      <c r="C6189" s="330" t="s">
        <v>15609</v>
      </c>
      <c r="D6189" s="330" t="s">
        <v>15610</v>
      </c>
      <c r="E6189" s="330" t="s">
        <v>4634</v>
      </c>
      <c r="F6189" s="331">
        <v>0.21</v>
      </c>
      <c r="G6189" s="332">
        <v>54241</v>
      </c>
      <c r="H6189" s="333">
        <v>65632</v>
      </c>
    </row>
    <row r="6190" spans="1:8">
      <c r="A6190" s="317">
        <v>1614220196</v>
      </c>
      <c r="B6190" s="330" t="s">
        <v>50556</v>
      </c>
      <c r="C6190" s="330" t="s">
        <v>15611</v>
      </c>
      <c r="D6190" s="330" t="s">
        <v>15612</v>
      </c>
      <c r="E6190" s="330" t="s">
        <v>4634</v>
      </c>
      <c r="F6190" s="331">
        <v>0.21</v>
      </c>
      <c r="G6190" s="332">
        <v>22700</v>
      </c>
      <c r="H6190" s="333">
        <v>27467</v>
      </c>
    </row>
    <row r="6191" spans="1:8">
      <c r="A6191" s="317">
        <v>1614220207</v>
      </c>
      <c r="B6191" s="330" t="s">
        <v>50557</v>
      </c>
      <c r="C6191" s="330" t="s">
        <v>15613</v>
      </c>
      <c r="D6191" s="330" t="s">
        <v>15614</v>
      </c>
      <c r="E6191" s="330" t="s">
        <v>4634</v>
      </c>
      <c r="F6191" s="331">
        <v>0.21</v>
      </c>
      <c r="G6191" s="332">
        <v>52817</v>
      </c>
      <c r="H6191" s="333">
        <v>63909</v>
      </c>
    </row>
    <row r="6192" spans="1:8">
      <c r="A6192" s="317">
        <v>1614220212</v>
      </c>
      <c r="B6192" s="330" t="s">
        <v>50558</v>
      </c>
      <c r="C6192" s="330" t="s">
        <v>15615</v>
      </c>
      <c r="D6192" s="330" t="s">
        <v>15616</v>
      </c>
      <c r="E6192" s="330" t="s">
        <v>37248</v>
      </c>
      <c r="F6192" s="331">
        <v>0.21</v>
      </c>
      <c r="G6192" s="332">
        <v>7028</v>
      </c>
      <c r="H6192" s="333">
        <v>8504</v>
      </c>
    </row>
    <row r="6193" spans="1:8">
      <c r="A6193" s="317">
        <v>1614220221</v>
      </c>
      <c r="B6193" s="330" t="s">
        <v>50559</v>
      </c>
      <c r="C6193" s="330" t="s">
        <v>15617</v>
      </c>
      <c r="D6193" s="330" t="s">
        <v>15618</v>
      </c>
      <c r="E6193" s="330" t="s">
        <v>37248</v>
      </c>
      <c r="F6193" s="331">
        <v>0.21</v>
      </c>
      <c r="G6193" s="332">
        <v>17324</v>
      </c>
      <c r="H6193" s="333">
        <v>20963</v>
      </c>
    </row>
    <row r="6194" spans="1:8">
      <c r="A6194" s="317">
        <v>1614229127</v>
      </c>
      <c r="B6194" s="330" t="s">
        <v>50560</v>
      </c>
      <c r="C6194" s="330" t="s">
        <v>15619</v>
      </c>
      <c r="D6194" s="330" t="s">
        <v>15620</v>
      </c>
      <c r="E6194" s="330" t="s">
        <v>4634</v>
      </c>
      <c r="F6194" s="331">
        <v>0.21</v>
      </c>
      <c r="G6194" s="332">
        <v>130181</v>
      </c>
      <c r="H6194" s="333">
        <v>157520</v>
      </c>
    </row>
    <row r="6195" spans="1:8">
      <c r="A6195" s="317">
        <v>1614336000</v>
      </c>
      <c r="B6195" s="330" t="s">
        <v>50561</v>
      </c>
      <c r="C6195" s="330" t="s">
        <v>15621</v>
      </c>
      <c r="D6195" s="330" t="s">
        <v>15622</v>
      </c>
      <c r="E6195" s="330" t="s">
        <v>4634</v>
      </c>
      <c r="F6195" s="331">
        <v>0.21</v>
      </c>
      <c r="G6195" s="332">
        <v>3395</v>
      </c>
      <c r="H6195" s="333">
        <v>4108</v>
      </c>
    </row>
    <row r="6196" spans="1:8">
      <c r="A6196" s="317">
        <v>1614336001</v>
      </c>
      <c r="B6196" s="330" t="s">
        <v>50562</v>
      </c>
      <c r="C6196" s="330" t="s">
        <v>15623</v>
      </c>
      <c r="D6196" s="330" t="s">
        <v>15624</v>
      </c>
      <c r="E6196" s="330" t="s">
        <v>4634</v>
      </c>
      <c r="F6196" s="331">
        <v>0.21</v>
      </c>
      <c r="G6196" s="332">
        <v>280</v>
      </c>
      <c r="H6196" s="333">
        <v>339</v>
      </c>
    </row>
    <row r="6197" spans="1:8">
      <c r="A6197" s="317">
        <v>1614336002</v>
      </c>
      <c r="B6197" s="330" t="s">
        <v>50563</v>
      </c>
      <c r="C6197" s="330" t="s">
        <v>15625</v>
      </c>
      <c r="D6197" s="330" t="s">
        <v>15626</v>
      </c>
      <c r="E6197" s="330" t="s">
        <v>4623</v>
      </c>
      <c r="F6197" s="331">
        <v>0.21</v>
      </c>
      <c r="G6197" s="332">
        <v>25439</v>
      </c>
      <c r="H6197" s="333">
        <v>30782</v>
      </c>
    </row>
    <row r="6198" spans="1:8">
      <c r="A6198" s="317">
        <v>1614336005</v>
      </c>
      <c r="B6198" s="330" t="s">
        <v>50564</v>
      </c>
      <c r="C6198" s="330" t="s">
        <v>15627</v>
      </c>
      <c r="D6198" s="330" t="s">
        <v>15628</v>
      </c>
      <c r="E6198" s="330" t="s">
        <v>4634</v>
      </c>
      <c r="F6198" s="331">
        <v>0.21</v>
      </c>
      <c r="G6198" s="332">
        <v>3154</v>
      </c>
      <c r="H6198" s="333">
        <v>3817</v>
      </c>
    </row>
    <row r="6199" spans="1:8">
      <c r="A6199" s="317">
        <v>1614336009</v>
      </c>
      <c r="B6199" s="330" t="s">
        <v>50565</v>
      </c>
      <c r="C6199" s="330" t="s">
        <v>15629</v>
      </c>
      <c r="D6199" s="330" t="s">
        <v>15630</v>
      </c>
      <c r="E6199" s="330" t="s">
        <v>4634</v>
      </c>
      <c r="F6199" s="331">
        <v>0.21</v>
      </c>
      <c r="G6199" s="332">
        <v>10808</v>
      </c>
      <c r="H6199" s="333">
        <v>13078</v>
      </c>
    </row>
    <row r="6200" spans="1:8">
      <c r="A6200" s="317">
        <v>1614336016</v>
      </c>
      <c r="B6200" s="330" t="s">
        <v>50566</v>
      </c>
      <c r="C6200" s="330" t="s">
        <v>15631</v>
      </c>
      <c r="D6200" s="330" t="s">
        <v>15632</v>
      </c>
      <c r="E6200" s="330" t="s">
        <v>4634</v>
      </c>
      <c r="F6200" s="331">
        <v>0.21</v>
      </c>
      <c r="G6200" s="332">
        <v>10808</v>
      </c>
      <c r="H6200" s="333">
        <v>13078</v>
      </c>
    </row>
    <row r="6201" spans="1:8">
      <c r="A6201" s="317">
        <v>1614336017</v>
      </c>
      <c r="B6201" s="330" t="s">
        <v>50567</v>
      </c>
      <c r="C6201" s="330" t="s">
        <v>15633</v>
      </c>
      <c r="D6201" s="330" t="s">
        <v>15634</v>
      </c>
      <c r="E6201" s="330" t="s">
        <v>37248</v>
      </c>
      <c r="F6201" s="331">
        <v>0.21</v>
      </c>
      <c r="G6201" s="332">
        <v>11867</v>
      </c>
      <c r="H6201" s="333">
        <v>14360</v>
      </c>
    </row>
    <row r="6202" spans="1:8">
      <c r="A6202" s="317">
        <v>1614336019</v>
      </c>
      <c r="B6202" s="330" t="s">
        <v>50568</v>
      </c>
      <c r="C6202" s="330" t="s">
        <v>15635</v>
      </c>
      <c r="D6202" s="330" t="s">
        <v>15636</v>
      </c>
      <c r="E6202" s="330" t="s">
        <v>4634</v>
      </c>
      <c r="F6202" s="331">
        <v>0.21</v>
      </c>
      <c r="G6202" s="332">
        <v>8218</v>
      </c>
      <c r="H6202" s="333">
        <v>9944</v>
      </c>
    </row>
    <row r="6203" spans="1:8">
      <c r="A6203" s="317">
        <v>1614336022</v>
      </c>
      <c r="B6203" s="330" t="s">
        <v>50569</v>
      </c>
      <c r="C6203" s="330" t="s">
        <v>15637</v>
      </c>
      <c r="D6203" s="330" t="s">
        <v>15638</v>
      </c>
      <c r="E6203" s="330" t="s">
        <v>4819</v>
      </c>
      <c r="F6203" s="331">
        <v>0.21</v>
      </c>
      <c r="G6203" s="332">
        <v>4972</v>
      </c>
      <c r="H6203" s="333">
        <v>6017</v>
      </c>
    </row>
    <row r="6204" spans="1:8">
      <c r="A6204" s="317">
        <v>1614336026</v>
      </c>
      <c r="B6204" s="330" t="s">
        <v>50570</v>
      </c>
      <c r="C6204" s="330" t="s">
        <v>15639</v>
      </c>
      <c r="D6204" s="330" t="s">
        <v>15640</v>
      </c>
      <c r="E6204" s="330" t="s">
        <v>4819</v>
      </c>
      <c r="F6204" s="331">
        <v>0.21</v>
      </c>
      <c r="G6204" s="332">
        <v>46712</v>
      </c>
      <c r="H6204" s="333">
        <v>56522</v>
      </c>
    </row>
    <row r="6205" spans="1:8">
      <c r="A6205" s="317">
        <v>1614336036</v>
      </c>
      <c r="B6205" s="330" t="s">
        <v>50571</v>
      </c>
      <c r="C6205" s="330" t="s">
        <v>15641</v>
      </c>
      <c r="D6205" s="330" t="s">
        <v>15642</v>
      </c>
      <c r="E6205" s="330" t="s">
        <v>4634</v>
      </c>
      <c r="F6205" s="331">
        <v>0.21</v>
      </c>
      <c r="G6205" s="332">
        <v>16842</v>
      </c>
      <c r="H6205" s="333">
        <v>20379</v>
      </c>
    </row>
    <row r="6206" spans="1:8">
      <c r="A6206" s="317">
        <v>1614336045</v>
      </c>
      <c r="B6206" s="330" t="s">
        <v>50572</v>
      </c>
      <c r="C6206" s="330" t="s">
        <v>15643</v>
      </c>
      <c r="D6206" s="330" t="s">
        <v>15644</v>
      </c>
      <c r="E6206" s="330" t="s">
        <v>37248</v>
      </c>
      <c r="F6206" s="331">
        <v>0.21</v>
      </c>
      <c r="G6206" s="332">
        <v>57754</v>
      </c>
      <c r="H6206" s="333">
        <v>69883</v>
      </c>
    </row>
    <row r="6207" spans="1:8">
      <c r="A6207" s="317">
        <v>1614336046</v>
      </c>
      <c r="B6207" s="330" t="s">
        <v>50573</v>
      </c>
      <c r="C6207" s="330" t="s">
        <v>15645</v>
      </c>
      <c r="D6207" s="330" t="s">
        <v>15646</v>
      </c>
      <c r="E6207" s="330" t="s">
        <v>4819</v>
      </c>
      <c r="F6207" s="331">
        <v>0.21</v>
      </c>
      <c r="G6207" s="332">
        <v>50658</v>
      </c>
      <c r="H6207" s="333">
        <v>61297</v>
      </c>
    </row>
    <row r="6208" spans="1:8">
      <c r="A6208" s="317">
        <v>1614336051</v>
      </c>
      <c r="B6208" s="330" t="s">
        <v>50574</v>
      </c>
      <c r="C6208" s="330" t="s">
        <v>15647</v>
      </c>
      <c r="D6208" s="330" t="s">
        <v>15648</v>
      </c>
      <c r="E6208" s="330" t="s">
        <v>4634</v>
      </c>
      <c r="F6208" s="331">
        <v>0.21</v>
      </c>
      <c r="G6208" s="332">
        <v>5697</v>
      </c>
      <c r="H6208" s="333">
        <v>6894</v>
      </c>
    </row>
    <row r="6209" spans="1:8">
      <c r="A6209" s="317">
        <v>1614336064</v>
      </c>
      <c r="B6209" s="330" t="s">
        <v>50575</v>
      </c>
      <c r="C6209" s="330" t="s">
        <v>15649</v>
      </c>
      <c r="D6209" s="330" t="s">
        <v>15650</v>
      </c>
      <c r="E6209" s="330" t="s">
        <v>37248</v>
      </c>
      <c r="F6209" s="331">
        <v>0.21</v>
      </c>
      <c r="G6209" s="332">
        <v>22053</v>
      </c>
      <c r="H6209" s="333">
        <v>26685</v>
      </c>
    </row>
    <row r="6210" spans="1:8">
      <c r="A6210" s="317">
        <v>1614336072</v>
      </c>
      <c r="B6210" s="330" t="s">
        <v>50576</v>
      </c>
      <c r="C6210" s="330" t="s">
        <v>15651</v>
      </c>
      <c r="D6210" s="330" t="s">
        <v>15652</v>
      </c>
      <c r="E6210" s="330" t="s">
        <v>37248</v>
      </c>
      <c r="F6210" s="331">
        <v>0.21</v>
      </c>
      <c r="G6210" s="332">
        <v>35525</v>
      </c>
      <c r="H6210" s="333">
        <v>42986</v>
      </c>
    </row>
    <row r="6211" spans="1:8">
      <c r="A6211" s="317">
        <v>1614336075</v>
      </c>
      <c r="B6211" s="330" t="s">
        <v>50577</v>
      </c>
      <c r="C6211" s="330" t="s">
        <v>15653</v>
      </c>
      <c r="D6211" s="330" t="s">
        <v>15654</v>
      </c>
      <c r="E6211" s="330" t="s">
        <v>4634</v>
      </c>
      <c r="F6211" s="331">
        <v>0.21</v>
      </c>
      <c r="G6211" s="332">
        <v>564</v>
      </c>
      <c r="H6211" s="333">
        <v>683</v>
      </c>
    </row>
    <row r="6212" spans="1:8">
      <c r="A6212" s="317">
        <v>1614336078</v>
      </c>
      <c r="B6212" s="330" t="s">
        <v>50578</v>
      </c>
      <c r="C6212" s="330" t="s">
        <v>15655</v>
      </c>
      <c r="D6212" s="330" t="s">
        <v>15656</v>
      </c>
      <c r="E6212" s="330" t="s">
        <v>37248</v>
      </c>
      <c r="F6212" s="331">
        <v>0.21</v>
      </c>
      <c r="G6212" s="332">
        <v>65972</v>
      </c>
      <c r="H6212" s="333">
        <v>79827</v>
      </c>
    </row>
    <row r="6213" spans="1:8">
      <c r="A6213" s="317">
        <v>1614336085</v>
      </c>
      <c r="B6213" s="330" t="s">
        <v>50579</v>
      </c>
      <c r="C6213" s="330" t="s">
        <v>15657</v>
      </c>
      <c r="D6213" s="330" t="s">
        <v>15658</v>
      </c>
      <c r="E6213" s="330" t="s">
        <v>4819</v>
      </c>
      <c r="F6213" s="331">
        <v>0.21</v>
      </c>
      <c r="G6213" s="332">
        <v>64132</v>
      </c>
      <c r="H6213" s="333">
        <v>77600</v>
      </c>
    </row>
    <row r="6214" spans="1:8">
      <c r="A6214" s="317">
        <v>1614336086</v>
      </c>
      <c r="B6214" s="330" t="s">
        <v>50580</v>
      </c>
      <c r="C6214" s="330" t="s">
        <v>15659</v>
      </c>
      <c r="D6214" s="330" t="s">
        <v>15660</v>
      </c>
      <c r="E6214" s="330" t="s">
        <v>4819</v>
      </c>
      <c r="F6214" s="331">
        <v>0.21</v>
      </c>
      <c r="G6214" s="332">
        <v>29448</v>
      </c>
      <c r="H6214" s="333">
        <v>35633</v>
      </c>
    </row>
    <row r="6215" spans="1:8">
      <c r="A6215" s="317">
        <v>1614336089</v>
      </c>
      <c r="B6215" s="330" t="s">
        <v>50581</v>
      </c>
      <c r="C6215" s="330" t="s">
        <v>15661</v>
      </c>
      <c r="D6215" s="330" t="s">
        <v>15662</v>
      </c>
      <c r="E6215" s="330" t="s">
        <v>4634</v>
      </c>
      <c r="F6215" s="331">
        <v>0.21</v>
      </c>
      <c r="G6215" s="332">
        <v>32107</v>
      </c>
      <c r="H6215" s="333">
        <v>38850</v>
      </c>
    </row>
    <row r="6216" spans="1:8">
      <c r="A6216" s="317">
        <v>1614336090</v>
      </c>
      <c r="B6216" s="330" t="s">
        <v>50582</v>
      </c>
      <c r="C6216" s="330" t="s">
        <v>15663</v>
      </c>
      <c r="D6216" s="330" t="s">
        <v>15664</v>
      </c>
      <c r="E6216" s="330" t="s">
        <v>37248</v>
      </c>
      <c r="F6216" s="331">
        <v>0.21</v>
      </c>
      <c r="G6216" s="332">
        <v>51021</v>
      </c>
      <c r="H6216" s="333">
        <v>61736</v>
      </c>
    </row>
    <row r="6217" spans="1:8">
      <c r="A6217" s="317">
        <v>1614336093</v>
      </c>
      <c r="B6217" s="330" t="s">
        <v>50583</v>
      </c>
      <c r="C6217" s="330" t="s">
        <v>15665</v>
      </c>
      <c r="D6217" s="330" t="s">
        <v>15666</v>
      </c>
      <c r="E6217" s="330" t="s">
        <v>37248</v>
      </c>
      <c r="F6217" s="331">
        <v>0.21</v>
      </c>
      <c r="G6217" s="332">
        <v>18624</v>
      </c>
      <c r="H6217" s="333">
        <v>22536</v>
      </c>
    </row>
    <row r="6218" spans="1:8">
      <c r="A6218" s="317">
        <v>1614337000</v>
      </c>
      <c r="B6218" s="330" t="s">
        <v>50584</v>
      </c>
      <c r="C6218" s="330" t="s">
        <v>15667</v>
      </c>
      <c r="D6218" s="330" t="s">
        <v>15668</v>
      </c>
      <c r="E6218" s="330" t="s">
        <v>4634</v>
      </c>
      <c r="F6218" s="331">
        <v>0.21</v>
      </c>
      <c r="G6218" s="332">
        <v>628</v>
      </c>
      <c r="H6218" s="333">
        <v>760</v>
      </c>
    </row>
    <row r="6219" spans="1:8">
      <c r="A6219" s="317">
        <v>1614412055</v>
      </c>
      <c r="B6219" s="330" t="s">
        <v>50585</v>
      </c>
      <c r="C6219" s="330" t="s">
        <v>15669</v>
      </c>
      <c r="D6219" s="330" t="s">
        <v>15670</v>
      </c>
      <c r="E6219" s="330" t="s">
        <v>4634</v>
      </c>
      <c r="F6219" s="331">
        <v>0.21</v>
      </c>
      <c r="G6219" s="332">
        <v>570</v>
      </c>
      <c r="H6219" s="333">
        <v>690</v>
      </c>
    </row>
    <row r="6220" spans="1:8">
      <c r="A6220" s="317">
        <v>1614412056</v>
      </c>
      <c r="B6220" s="330" t="s">
        <v>50586</v>
      </c>
      <c r="C6220" s="330" t="s">
        <v>15671</v>
      </c>
      <c r="D6220" s="330" t="s">
        <v>15670</v>
      </c>
      <c r="E6220" s="330" t="s">
        <v>4634</v>
      </c>
      <c r="F6220" s="331">
        <v>0.21</v>
      </c>
      <c r="G6220" s="332">
        <v>570</v>
      </c>
      <c r="H6220" s="333">
        <v>690</v>
      </c>
    </row>
    <row r="6221" spans="1:8">
      <c r="A6221" s="317">
        <v>1614413009</v>
      </c>
      <c r="B6221" s="330" t="s">
        <v>50587</v>
      </c>
      <c r="C6221" s="330" t="s">
        <v>15672</v>
      </c>
      <c r="D6221" s="330" t="s">
        <v>15673</v>
      </c>
      <c r="E6221" s="330" t="s">
        <v>4819</v>
      </c>
      <c r="F6221" s="331">
        <v>0.21</v>
      </c>
      <c r="G6221" s="332">
        <v>5186</v>
      </c>
      <c r="H6221" s="333">
        <v>6276</v>
      </c>
    </row>
    <row r="6222" spans="1:8">
      <c r="A6222" s="317">
        <v>1614413010</v>
      </c>
      <c r="B6222" s="330" t="s">
        <v>50588</v>
      </c>
      <c r="C6222" s="330" t="s">
        <v>15674</v>
      </c>
      <c r="D6222" s="330" t="s">
        <v>15675</v>
      </c>
      <c r="E6222" s="330" t="s">
        <v>37248</v>
      </c>
      <c r="F6222" s="331">
        <v>0.21</v>
      </c>
      <c r="G6222" s="332">
        <v>3957</v>
      </c>
      <c r="H6222" s="333">
        <v>4788</v>
      </c>
    </row>
    <row r="6223" spans="1:8">
      <c r="A6223" s="317">
        <v>1614431023</v>
      </c>
      <c r="B6223" s="330" t="s">
        <v>50589</v>
      </c>
      <c r="C6223" s="330" t="s">
        <v>15676</v>
      </c>
      <c r="D6223" s="330" t="s">
        <v>15677</v>
      </c>
      <c r="E6223" s="330" t="s">
        <v>4634</v>
      </c>
      <c r="F6223" s="331">
        <v>0.21</v>
      </c>
      <c r="G6223" s="332">
        <v>564</v>
      </c>
      <c r="H6223" s="333">
        <v>683</v>
      </c>
    </row>
    <row r="6224" spans="1:8">
      <c r="A6224" s="317">
        <v>1614431028</v>
      </c>
      <c r="B6224" s="330" t="s">
        <v>50590</v>
      </c>
      <c r="C6224" s="330" t="s">
        <v>15678</v>
      </c>
      <c r="D6224" s="330" t="s">
        <v>15679</v>
      </c>
      <c r="E6224" s="330" t="s">
        <v>4634</v>
      </c>
      <c r="F6224" s="331">
        <v>0.21</v>
      </c>
      <c r="G6224" s="332">
        <v>678</v>
      </c>
      <c r="H6224" s="333">
        <v>821</v>
      </c>
    </row>
    <row r="6225" spans="1:8">
      <c r="A6225" s="317">
        <v>1614437017</v>
      </c>
      <c r="B6225" s="330" t="s">
        <v>50591</v>
      </c>
      <c r="C6225" s="330" t="s">
        <v>15680</v>
      </c>
      <c r="D6225" s="330" t="s">
        <v>15679</v>
      </c>
      <c r="E6225" s="330" t="s">
        <v>4634</v>
      </c>
      <c r="F6225" s="331">
        <v>0.21</v>
      </c>
      <c r="G6225" s="332">
        <v>678</v>
      </c>
      <c r="H6225" s="333">
        <v>821</v>
      </c>
    </row>
    <row r="6226" spans="1:8">
      <c r="A6226" s="317">
        <v>1614437018</v>
      </c>
      <c r="B6226" s="330" t="s">
        <v>50592</v>
      </c>
      <c r="C6226" s="330" t="s">
        <v>15681</v>
      </c>
      <c r="D6226" s="330" t="s">
        <v>15682</v>
      </c>
      <c r="E6226" s="330" t="s">
        <v>4634</v>
      </c>
      <c r="F6226" s="331">
        <v>0.21</v>
      </c>
      <c r="G6226" s="332">
        <v>1030</v>
      </c>
      <c r="H6226" s="333">
        <v>1247</v>
      </c>
    </row>
    <row r="6227" spans="1:8">
      <c r="A6227" s="317">
        <v>1614448014</v>
      </c>
      <c r="B6227" s="330" t="s">
        <v>50593</v>
      </c>
      <c r="C6227" s="330" t="s">
        <v>15683</v>
      </c>
      <c r="D6227" s="330" t="s">
        <v>15684</v>
      </c>
      <c r="E6227" s="330" t="s">
        <v>4634</v>
      </c>
      <c r="F6227" s="331">
        <v>0.21</v>
      </c>
      <c r="G6227" s="332">
        <v>372</v>
      </c>
      <c r="H6227" s="333">
        <v>451</v>
      </c>
    </row>
    <row r="6228" spans="1:8">
      <c r="A6228" s="317">
        <v>1614448017</v>
      </c>
      <c r="B6228" s="330" t="s">
        <v>50594</v>
      </c>
      <c r="C6228" s="330" t="s">
        <v>15685</v>
      </c>
      <c r="D6228" s="330" t="s">
        <v>15686</v>
      </c>
      <c r="E6228" s="330" t="s">
        <v>4634</v>
      </c>
      <c r="F6228" s="331">
        <v>0.21</v>
      </c>
      <c r="G6228" s="332">
        <v>564</v>
      </c>
      <c r="H6228" s="333">
        <v>683</v>
      </c>
    </row>
    <row r="6229" spans="1:8">
      <c r="A6229" s="317">
        <v>1614448035</v>
      </c>
      <c r="B6229" s="330" t="s">
        <v>50595</v>
      </c>
      <c r="C6229" s="330" t="s">
        <v>15687</v>
      </c>
      <c r="D6229" s="330" t="s">
        <v>15688</v>
      </c>
      <c r="E6229" s="330" t="s">
        <v>4819</v>
      </c>
      <c r="F6229" s="331">
        <v>0.21</v>
      </c>
      <c r="G6229" s="332">
        <v>671</v>
      </c>
      <c r="H6229" s="333">
        <v>812</v>
      </c>
    </row>
    <row r="6230" spans="1:8">
      <c r="A6230" s="317">
        <v>1614448037</v>
      </c>
      <c r="B6230" s="330" t="s">
        <v>50596</v>
      </c>
      <c r="C6230" s="330" t="s">
        <v>15689</v>
      </c>
      <c r="D6230" s="330" t="s">
        <v>15690</v>
      </c>
      <c r="E6230" s="330" t="s">
        <v>37248</v>
      </c>
      <c r="F6230" s="331">
        <v>0.21</v>
      </c>
      <c r="G6230" s="332">
        <v>2023</v>
      </c>
      <c r="H6230" s="333">
        <v>2448</v>
      </c>
    </row>
    <row r="6231" spans="1:8">
      <c r="A6231" s="317">
        <v>1614448038</v>
      </c>
      <c r="B6231" s="330" t="s">
        <v>50597</v>
      </c>
      <c r="C6231" s="330" t="s">
        <v>15691</v>
      </c>
      <c r="D6231" s="330" t="s">
        <v>15692</v>
      </c>
      <c r="E6231" s="330" t="s">
        <v>4634</v>
      </c>
      <c r="F6231" s="331">
        <v>0.21</v>
      </c>
      <c r="G6231" s="332">
        <v>2059</v>
      </c>
      <c r="H6231" s="333">
        <v>2492</v>
      </c>
    </row>
    <row r="6232" spans="1:8">
      <c r="A6232" s="317">
        <v>1614449012</v>
      </c>
      <c r="B6232" s="330" t="s">
        <v>50598</v>
      </c>
      <c r="C6232" s="330" t="s">
        <v>15693</v>
      </c>
      <c r="D6232" s="330" t="s">
        <v>15679</v>
      </c>
      <c r="E6232" s="330" t="s">
        <v>4634</v>
      </c>
      <c r="F6232" s="331">
        <v>0.21</v>
      </c>
      <c r="G6232" s="332">
        <v>702</v>
      </c>
      <c r="H6232" s="333">
        <v>850</v>
      </c>
    </row>
    <row r="6233" spans="1:8">
      <c r="A6233" s="317">
        <v>1614449014</v>
      </c>
      <c r="B6233" s="330" t="s">
        <v>50599</v>
      </c>
      <c r="C6233" s="330" t="s">
        <v>15694</v>
      </c>
      <c r="D6233" s="330" t="s">
        <v>15670</v>
      </c>
      <c r="E6233" s="330" t="s">
        <v>4819</v>
      </c>
      <c r="F6233" s="331">
        <v>0.21</v>
      </c>
      <c r="G6233" s="332">
        <v>609</v>
      </c>
      <c r="H6233" s="333">
        <v>737</v>
      </c>
    </row>
    <row r="6234" spans="1:8">
      <c r="A6234" s="317">
        <v>1614449015</v>
      </c>
      <c r="B6234" s="330" t="s">
        <v>50600</v>
      </c>
      <c r="C6234" s="330" t="s">
        <v>15695</v>
      </c>
      <c r="D6234" s="330" t="s">
        <v>15696</v>
      </c>
      <c r="E6234" s="330" t="s">
        <v>37248</v>
      </c>
      <c r="F6234" s="331">
        <v>0.21</v>
      </c>
      <c r="G6234" s="332">
        <v>1896</v>
      </c>
      <c r="H6234" s="333">
        <v>2295</v>
      </c>
    </row>
    <row r="6235" spans="1:8">
      <c r="A6235" s="317">
        <v>1614460000</v>
      </c>
      <c r="B6235" s="330" t="s">
        <v>50601</v>
      </c>
      <c r="C6235" s="330" t="s">
        <v>15697</v>
      </c>
      <c r="D6235" s="330" t="s">
        <v>15698</v>
      </c>
      <c r="E6235" s="330" t="s">
        <v>4634</v>
      </c>
      <c r="F6235" s="331">
        <v>0.21</v>
      </c>
      <c r="G6235" s="332">
        <v>251</v>
      </c>
      <c r="H6235" s="333">
        <v>304</v>
      </c>
    </row>
    <row r="6236" spans="1:8">
      <c r="A6236" s="317">
        <v>1614460086</v>
      </c>
      <c r="B6236" s="330" t="s">
        <v>50602</v>
      </c>
      <c r="C6236" s="330" t="s">
        <v>15699</v>
      </c>
      <c r="D6236" s="330" t="s">
        <v>15700</v>
      </c>
      <c r="E6236" s="330" t="s">
        <v>4634</v>
      </c>
      <c r="F6236" s="331">
        <v>0.21</v>
      </c>
      <c r="G6236" s="332">
        <v>8336</v>
      </c>
      <c r="H6236" s="333">
        <v>10087</v>
      </c>
    </row>
    <row r="6237" spans="1:8">
      <c r="A6237" s="317">
        <v>1614460087</v>
      </c>
      <c r="B6237" s="330" t="s">
        <v>50603</v>
      </c>
      <c r="C6237" s="330" t="s">
        <v>15701</v>
      </c>
      <c r="D6237" s="330" t="s">
        <v>9278</v>
      </c>
      <c r="E6237" s="330" t="s">
        <v>4634</v>
      </c>
      <c r="F6237" s="331">
        <v>0.21</v>
      </c>
      <c r="G6237" s="332">
        <v>5652</v>
      </c>
      <c r="H6237" s="333">
        <v>6839</v>
      </c>
    </row>
    <row r="6238" spans="1:8">
      <c r="A6238" s="317">
        <v>1614460094</v>
      </c>
      <c r="B6238" s="330" t="s">
        <v>50604</v>
      </c>
      <c r="C6238" s="330" t="s">
        <v>15702</v>
      </c>
      <c r="D6238" s="330" t="s">
        <v>15703</v>
      </c>
      <c r="E6238" s="330" t="s">
        <v>4634</v>
      </c>
      <c r="F6238" s="331">
        <v>0.21</v>
      </c>
      <c r="G6238" s="332">
        <v>5081</v>
      </c>
      <c r="H6238" s="333">
        <v>6149</v>
      </c>
    </row>
    <row r="6239" spans="1:8">
      <c r="A6239" s="317">
        <v>1614465003</v>
      </c>
      <c r="B6239" s="330" t="s">
        <v>50605</v>
      </c>
      <c r="C6239" s="330" t="s">
        <v>15704</v>
      </c>
      <c r="D6239" s="330" t="s">
        <v>4625</v>
      </c>
      <c r="E6239" s="330" t="s">
        <v>4634</v>
      </c>
      <c r="F6239" s="331">
        <v>0.21</v>
      </c>
      <c r="G6239" s="332">
        <v>372</v>
      </c>
      <c r="H6239" s="333">
        <v>451</v>
      </c>
    </row>
    <row r="6240" spans="1:8">
      <c r="A6240" s="317">
        <v>1614465012</v>
      </c>
      <c r="B6240" s="330" t="s">
        <v>50606</v>
      </c>
      <c r="C6240" s="330" t="s">
        <v>15705</v>
      </c>
      <c r="D6240" s="330" t="s">
        <v>15706</v>
      </c>
      <c r="E6240" s="330" t="s">
        <v>4634</v>
      </c>
      <c r="F6240" s="331">
        <v>0.21</v>
      </c>
      <c r="G6240" s="332">
        <v>1325</v>
      </c>
      <c r="H6240" s="333">
        <v>1604</v>
      </c>
    </row>
    <row r="6241" spans="1:8">
      <c r="A6241" s="317">
        <v>1614482048</v>
      </c>
      <c r="B6241" s="330" t="s">
        <v>50607</v>
      </c>
      <c r="C6241" s="330" t="s">
        <v>15707</v>
      </c>
      <c r="D6241" s="330" t="s">
        <v>15708</v>
      </c>
      <c r="E6241" s="330" t="s">
        <v>4634</v>
      </c>
      <c r="F6241" s="331">
        <v>0.21</v>
      </c>
      <c r="G6241" s="332">
        <v>8336</v>
      </c>
      <c r="H6241" s="333">
        <v>10087</v>
      </c>
    </row>
    <row r="6242" spans="1:8">
      <c r="A6242" s="317">
        <v>1614482049</v>
      </c>
      <c r="B6242" s="330" t="s">
        <v>50608</v>
      </c>
      <c r="C6242" s="330" t="s">
        <v>15709</v>
      </c>
      <c r="D6242" s="330" t="s">
        <v>15710</v>
      </c>
      <c r="E6242" s="330" t="s">
        <v>4634</v>
      </c>
      <c r="F6242" s="331">
        <v>0.21</v>
      </c>
      <c r="G6242" s="332">
        <v>4635</v>
      </c>
      <c r="H6242" s="333">
        <v>5609</v>
      </c>
    </row>
    <row r="6243" spans="1:8">
      <c r="A6243" s="317">
        <v>1614482050</v>
      </c>
      <c r="B6243" s="330" t="s">
        <v>50609</v>
      </c>
      <c r="C6243" s="330" t="s">
        <v>15711</v>
      </c>
      <c r="D6243" s="330" t="s">
        <v>15712</v>
      </c>
      <c r="E6243" s="330" t="s">
        <v>4634</v>
      </c>
      <c r="F6243" s="331">
        <v>0.21</v>
      </c>
      <c r="G6243" s="332">
        <v>12789</v>
      </c>
      <c r="H6243" s="333">
        <v>15475</v>
      </c>
    </row>
    <row r="6244" spans="1:8">
      <c r="A6244" s="317">
        <v>1614482062</v>
      </c>
      <c r="B6244" s="330" t="s">
        <v>50610</v>
      </c>
      <c r="C6244" s="330" t="s">
        <v>15713</v>
      </c>
      <c r="D6244" s="330" t="s">
        <v>15714</v>
      </c>
      <c r="E6244" s="330" t="s">
        <v>4634</v>
      </c>
      <c r="F6244" s="331">
        <v>0.21</v>
      </c>
      <c r="G6244" s="332">
        <v>25896</v>
      </c>
      <c r="H6244" s="333">
        <v>31335</v>
      </c>
    </row>
    <row r="6245" spans="1:8">
      <c r="A6245" s="317">
        <v>1614484010</v>
      </c>
      <c r="B6245" s="330" t="s">
        <v>50611</v>
      </c>
      <c r="C6245" s="330" t="s">
        <v>15715</v>
      </c>
      <c r="D6245" s="330" t="s">
        <v>15716</v>
      </c>
      <c r="E6245" s="330" t="s">
        <v>4634</v>
      </c>
      <c r="F6245" s="331">
        <v>0.21</v>
      </c>
      <c r="G6245" s="332">
        <v>4276</v>
      </c>
      <c r="H6245" s="333">
        <v>5174</v>
      </c>
    </row>
    <row r="6246" spans="1:8">
      <c r="A6246" s="317">
        <v>1614484011</v>
      </c>
      <c r="B6246" s="330" t="s">
        <v>50612</v>
      </c>
      <c r="C6246" s="330" t="s">
        <v>15717</v>
      </c>
      <c r="D6246" s="330" t="s">
        <v>15718</v>
      </c>
      <c r="E6246" s="330" t="s">
        <v>4634</v>
      </c>
      <c r="F6246" s="331">
        <v>0.21</v>
      </c>
      <c r="G6246" s="332">
        <v>21290</v>
      </c>
      <c r="H6246" s="333">
        <v>25761</v>
      </c>
    </row>
    <row r="6247" spans="1:8">
      <c r="A6247" s="317">
        <v>1614484012</v>
      </c>
      <c r="B6247" s="330" t="s">
        <v>50613</v>
      </c>
      <c r="C6247" s="330" t="s">
        <v>15719</v>
      </c>
      <c r="D6247" s="330" t="s">
        <v>15720</v>
      </c>
      <c r="E6247" s="330" t="s">
        <v>4634</v>
      </c>
      <c r="F6247" s="331">
        <v>0.21</v>
      </c>
      <c r="G6247" s="332">
        <v>5559</v>
      </c>
      <c r="H6247" s="333">
        <v>6727</v>
      </c>
    </row>
    <row r="6248" spans="1:8">
      <c r="A6248" s="317">
        <v>1614485025</v>
      </c>
      <c r="B6248" s="330" t="s">
        <v>50614</v>
      </c>
      <c r="C6248" s="330" t="s">
        <v>15721</v>
      </c>
      <c r="D6248" s="330" t="s">
        <v>15722</v>
      </c>
      <c r="E6248" s="330" t="s">
        <v>4634</v>
      </c>
      <c r="F6248" s="331">
        <v>0.21</v>
      </c>
      <c r="G6248" s="332">
        <v>11936</v>
      </c>
      <c r="H6248" s="333">
        <v>14443</v>
      </c>
    </row>
    <row r="6249" spans="1:8">
      <c r="A6249" s="317">
        <v>1614485026</v>
      </c>
      <c r="B6249" s="330" t="s">
        <v>50615</v>
      </c>
      <c r="C6249" s="330" t="s">
        <v>15723</v>
      </c>
      <c r="D6249" s="330" t="s">
        <v>15724</v>
      </c>
      <c r="E6249" s="330" t="s">
        <v>4634</v>
      </c>
      <c r="F6249" s="331">
        <v>0.21</v>
      </c>
      <c r="G6249" s="332">
        <v>23420</v>
      </c>
      <c r="H6249" s="333">
        <v>28339</v>
      </c>
    </row>
    <row r="6250" spans="1:8">
      <c r="A6250" s="317">
        <v>1614485034</v>
      </c>
      <c r="B6250" s="330" t="s">
        <v>50616</v>
      </c>
      <c r="C6250" s="330" t="s">
        <v>15725</v>
      </c>
      <c r="D6250" s="330" t="s">
        <v>15726</v>
      </c>
      <c r="E6250" s="330" t="s">
        <v>4634</v>
      </c>
      <c r="F6250" s="331">
        <v>0.21</v>
      </c>
      <c r="G6250" s="332">
        <v>153</v>
      </c>
      <c r="H6250" s="333">
        <v>186</v>
      </c>
    </row>
    <row r="6251" spans="1:8">
      <c r="A6251" s="317">
        <v>1614485035</v>
      </c>
      <c r="B6251" s="330" t="s">
        <v>50617</v>
      </c>
      <c r="C6251" s="330" t="s">
        <v>15727</v>
      </c>
      <c r="D6251" s="330" t="s">
        <v>15728</v>
      </c>
      <c r="E6251" s="330" t="s">
        <v>4634</v>
      </c>
      <c r="F6251" s="331">
        <v>0.21</v>
      </c>
      <c r="G6251" s="332">
        <v>55512</v>
      </c>
      <c r="H6251" s="333">
        <v>67170</v>
      </c>
    </row>
    <row r="6252" spans="1:8">
      <c r="A6252" s="317">
        <v>1614490015</v>
      </c>
      <c r="B6252" s="330" t="s">
        <v>50618</v>
      </c>
      <c r="C6252" s="330" t="s">
        <v>15729</v>
      </c>
      <c r="D6252" s="330" t="s">
        <v>15730</v>
      </c>
      <c r="E6252" s="330" t="s">
        <v>37248</v>
      </c>
      <c r="F6252" s="331">
        <v>0.21</v>
      </c>
      <c r="G6252" s="332">
        <v>1266</v>
      </c>
      <c r="H6252" s="333">
        <v>1532</v>
      </c>
    </row>
    <row r="6253" spans="1:8">
      <c r="A6253" s="317">
        <v>1614490016</v>
      </c>
      <c r="B6253" s="330" t="s">
        <v>50619</v>
      </c>
      <c r="C6253" s="330" t="s">
        <v>15731</v>
      </c>
      <c r="D6253" s="330" t="s">
        <v>15732</v>
      </c>
      <c r="E6253" s="330" t="s">
        <v>37248</v>
      </c>
      <c r="F6253" s="331">
        <v>0.21</v>
      </c>
      <c r="G6253" s="332">
        <v>894</v>
      </c>
      <c r="H6253" s="333">
        <v>1082</v>
      </c>
    </row>
    <row r="6254" spans="1:8">
      <c r="A6254" s="317">
        <v>1614503007</v>
      </c>
      <c r="B6254" s="330" t="s">
        <v>50620</v>
      </c>
      <c r="C6254" s="330" t="s">
        <v>15733</v>
      </c>
      <c r="D6254" s="330" t="s">
        <v>15734</v>
      </c>
      <c r="E6254" s="330" t="s">
        <v>37248</v>
      </c>
      <c r="F6254" s="331">
        <v>0.21</v>
      </c>
      <c r="G6254" s="332">
        <v>48827</v>
      </c>
      <c r="H6254" s="333">
        <v>59081</v>
      </c>
    </row>
    <row r="6255" spans="1:8">
      <c r="A6255" s="317">
        <v>1614503011</v>
      </c>
      <c r="B6255" s="330" t="s">
        <v>50621</v>
      </c>
      <c r="C6255" s="330" t="s">
        <v>15735</v>
      </c>
      <c r="D6255" s="330" t="s">
        <v>15736</v>
      </c>
      <c r="E6255" s="330" t="s">
        <v>4819</v>
      </c>
      <c r="F6255" s="331">
        <v>0.21</v>
      </c>
      <c r="G6255" s="332">
        <v>29107</v>
      </c>
      <c r="H6255" s="333">
        <v>35220</v>
      </c>
    </row>
    <row r="6256" spans="1:8">
      <c r="A6256" s="317">
        <v>1614542000</v>
      </c>
      <c r="B6256" s="330" t="s">
        <v>50622</v>
      </c>
      <c r="C6256" s="330" t="s">
        <v>15737</v>
      </c>
      <c r="D6256" s="330" t="s">
        <v>15738</v>
      </c>
      <c r="E6256" s="330" t="s">
        <v>4623</v>
      </c>
      <c r="F6256" s="331">
        <v>0.21</v>
      </c>
      <c r="G6256" s="332">
        <v>1701</v>
      </c>
      <c r="H6256" s="333">
        <v>2059</v>
      </c>
    </row>
    <row r="6257" spans="1:8">
      <c r="A6257" s="317">
        <v>1614601009</v>
      </c>
      <c r="B6257" s="330" t="s">
        <v>50623</v>
      </c>
      <c r="C6257" s="330" t="s">
        <v>15739</v>
      </c>
      <c r="D6257" s="330" t="s">
        <v>15740</v>
      </c>
      <c r="E6257" s="330" t="s">
        <v>4819</v>
      </c>
      <c r="F6257" s="331">
        <v>0.21</v>
      </c>
      <c r="G6257" s="332">
        <v>2565</v>
      </c>
      <c r="H6257" s="333">
        <v>3104</v>
      </c>
    </row>
    <row r="6258" spans="1:8">
      <c r="A6258" s="317">
        <v>1614601011</v>
      </c>
      <c r="B6258" s="330" t="s">
        <v>50624</v>
      </c>
      <c r="C6258" s="330" t="s">
        <v>15741</v>
      </c>
      <c r="D6258" s="330" t="s">
        <v>15742</v>
      </c>
      <c r="E6258" s="330" t="s">
        <v>4634</v>
      </c>
      <c r="F6258" s="331">
        <v>0.21</v>
      </c>
      <c r="G6258" s="332">
        <v>2478</v>
      </c>
      <c r="H6258" s="333">
        <v>2999</v>
      </c>
    </row>
    <row r="6259" spans="1:8">
      <c r="A6259" s="317">
        <v>1614601016</v>
      </c>
      <c r="B6259" s="330" t="s">
        <v>50625</v>
      </c>
      <c r="C6259" s="330" t="s">
        <v>15743</v>
      </c>
      <c r="D6259" s="330" t="s">
        <v>15744</v>
      </c>
      <c r="E6259" s="330" t="s">
        <v>4634</v>
      </c>
      <c r="F6259" s="331">
        <v>0.21</v>
      </c>
      <c r="G6259" s="332">
        <v>1945</v>
      </c>
      <c r="H6259" s="333">
        <v>2354</v>
      </c>
    </row>
    <row r="6260" spans="1:8">
      <c r="A6260" s="317">
        <v>1614601017</v>
      </c>
      <c r="B6260" s="330" t="s">
        <v>50626</v>
      </c>
      <c r="C6260" s="330" t="s">
        <v>15745</v>
      </c>
      <c r="D6260" s="330" t="s">
        <v>15746</v>
      </c>
      <c r="E6260" s="330" t="s">
        <v>4634</v>
      </c>
      <c r="F6260" s="331">
        <v>0.21</v>
      </c>
      <c r="G6260" s="332">
        <v>254</v>
      </c>
      <c r="H6260" s="333">
        <v>308</v>
      </c>
    </row>
    <row r="6261" spans="1:8">
      <c r="A6261" s="317">
        <v>1614601018</v>
      </c>
      <c r="B6261" s="330" t="s">
        <v>50627</v>
      </c>
      <c r="C6261" s="330" t="s">
        <v>15747</v>
      </c>
      <c r="D6261" s="330" t="s">
        <v>15748</v>
      </c>
      <c r="E6261" s="330" t="s">
        <v>4634</v>
      </c>
      <c r="F6261" s="331">
        <v>0.21</v>
      </c>
      <c r="G6261" s="332">
        <v>372</v>
      </c>
      <c r="H6261" s="333">
        <v>451</v>
      </c>
    </row>
    <row r="6262" spans="1:8">
      <c r="A6262" s="317">
        <v>1614601020</v>
      </c>
      <c r="B6262" s="330" t="s">
        <v>50628</v>
      </c>
      <c r="C6262" s="330" t="s">
        <v>15749</v>
      </c>
      <c r="D6262" s="330" t="s">
        <v>15750</v>
      </c>
      <c r="E6262" s="330" t="s">
        <v>4819</v>
      </c>
      <c r="F6262" s="331">
        <v>0.21</v>
      </c>
      <c r="G6262" s="332">
        <v>2922</v>
      </c>
      <c r="H6262" s="333">
        <v>3536</v>
      </c>
    </row>
    <row r="6263" spans="1:8">
      <c r="A6263" s="317">
        <v>1614601021</v>
      </c>
      <c r="B6263" s="330" t="s">
        <v>50629</v>
      </c>
      <c r="C6263" s="330" t="s">
        <v>15751</v>
      </c>
      <c r="D6263" s="330" t="s">
        <v>15752</v>
      </c>
      <c r="E6263" s="330" t="s">
        <v>37248</v>
      </c>
      <c r="F6263" s="331">
        <v>0.21</v>
      </c>
      <c r="G6263" s="332">
        <v>5456</v>
      </c>
      <c r="H6263" s="333">
        <v>6602</v>
      </c>
    </row>
    <row r="6264" spans="1:8">
      <c r="A6264" s="317">
        <v>1614601022</v>
      </c>
      <c r="B6264" s="330" t="s">
        <v>50630</v>
      </c>
      <c r="C6264" s="330" t="s">
        <v>15753</v>
      </c>
      <c r="D6264" s="330" t="s">
        <v>15754</v>
      </c>
      <c r="E6264" s="330" t="s">
        <v>4819</v>
      </c>
      <c r="F6264" s="331">
        <v>0.21</v>
      </c>
      <c r="G6264" s="332">
        <v>1052</v>
      </c>
      <c r="H6264" s="333">
        <v>1273</v>
      </c>
    </row>
    <row r="6265" spans="1:8">
      <c r="A6265" s="317">
        <v>1614601028</v>
      </c>
      <c r="B6265" s="330" t="s">
        <v>50631</v>
      </c>
      <c r="C6265" s="330" t="s">
        <v>15755</v>
      </c>
      <c r="D6265" s="330" t="s">
        <v>14444</v>
      </c>
      <c r="E6265" s="330" t="s">
        <v>4819</v>
      </c>
      <c r="F6265" s="331">
        <v>0.21</v>
      </c>
      <c r="G6265" s="332">
        <v>2114</v>
      </c>
      <c r="H6265" s="333">
        <v>2558</v>
      </c>
    </row>
    <row r="6266" spans="1:8">
      <c r="A6266" s="317">
        <v>1614601029</v>
      </c>
      <c r="B6266" s="330" t="s">
        <v>50632</v>
      </c>
      <c r="C6266" s="330" t="s">
        <v>15756</v>
      </c>
      <c r="D6266" s="330" t="s">
        <v>15757</v>
      </c>
      <c r="E6266" s="330" t="s">
        <v>4634</v>
      </c>
      <c r="F6266" s="331">
        <v>0.21</v>
      </c>
      <c r="G6266" s="332">
        <v>372</v>
      </c>
      <c r="H6266" s="333">
        <v>451</v>
      </c>
    </row>
    <row r="6267" spans="1:8">
      <c r="A6267" s="317">
        <v>1614601030</v>
      </c>
      <c r="B6267" s="330" t="s">
        <v>50633</v>
      </c>
      <c r="C6267" s="330" t="s">
        <v>15758</v>
      </c>
      <c r="D6267" s="330" t="s">
        <v>4828</v>
      </c>
      <c r="E6267" s="330" t="s">
        <v>4819</v>
      </c>
      <c r="F6267" s="331">
        <v>0.21</v>
      </c>
      <c r="G6267" s="332">
        <v>4001</v>
      </c>
      <c r="H6267" s="333">
        <v>4842</v>
      </c>
    </row>
    <row r="6268" spans="1:8">
      <c r="A6268" s="317">
        <v>1614601032</v>
      </c>
      <c r="B6268" s="330" t="s">
        <v>50634</v>
      </c>
      <c r="C6268" s="330" t="s">
        <v>15759</v>
      </c>
      <c r="D6268" s="330" t="s">
        <v>15760</v>
      </c>
      <c r="E6268" s="330" t="s">
        <v>37248</v>
      </c>
      <c r="F6268" s="331">
        <v>0.21</v>
      </c>
      <c r="G6268" s="332">
        <v>2272</v>
      </c>
      <c r="H6268" s="333">
        <v>2750</v>
      </c>
    </row>
    <row r="6269" spans="1:8">
      <c r="A6269" s="317">
        <v>1614601033</v>
      </c>
      <c r="B6269" s="330" t="s">
        <v>50635</v>
      </c>
      <c r="C6269" s="330" t="s">
        <v>15761</v>
      </c>
      <c r="D6269" s="330" t="s">
        <v>14459</v>
      </c>
      <c r="E6269" s="330" t="s">
        <v>4634</v>
      </c>
      <c r="F6269" s="331">
        <v>0.21</v>
      </c>
      <c r="G6269" s="332">
        <v>387</v>
      </c>
      <c r="H6269" s="333">
        <v>469</v>
      </c>
    </row>
    <row r="6270" spans="1:8">
      <c r="A6270" s="317">
        <v>1614601034</v>
      </c>
      <c r="B6270" s="330" t="s">
        <v>50636</v>
      </c>
      <c r="C6270" s="330" t="s">
        <v>15762</v>
      </c>
      <c r="D6270" s="330" t="s">
        <v>15763</v>
      </c>
      <c r="E6270" s="330" t="s">
        <v>37248</v>
      </c>
      <c r="F6270" s="331">
        <v>0.21</v>
      </c>
      <c r="G6270" s="332">
        <v>3731</v>
      </c>
      <c r="H6270" s="333">
        <v>4515</v>
      </c>
    </row>
    <row r="6271" spans="1:8">
      <c r="A6271" s="317">
        <v>1614601036</v>
      </c>
      <c r="B6271" s="330" t="s">
        <v>50637</v>
      </c>
      <c r="C6271" s="330" t="s">
        <v>15764</v>
      </c>
      <c r="D6271" s="330" t="s">
        <v>15765</v>
      </c>
      <c r="E6271" s="330" t="s">
        <v>4634</v>
      </c>
      <c r="F6271" s="331">
        <v>0.21</v>
      </c>
      <c r="G6271" s="332">
        <v>387</v>
      </c>
      <c r="H6271" s="333">
        <v>469</v>
      </c>
    </row>
    <row r="6272" spans="1:8">
      <c r="A6272" s="317">
        <v>1614601037</v>
      </c>
      <c r="B6272" s="330" t="s">
        <v>50638</v>
      </c>
      <c r="C6272" s="330" t="s">
        <v>15766</v>
      </c>
      <c r="D6272" s="330" t="s">
        <v>15767</v>
      </c>
      <c r="E6272" s="330" t="s">
        <v>4634</v>
      </c>
      <c r="F6272" s="331">
        <v>0.21</v>
      </c>
      <c r="G6272" s="332">
        <v>1224</v>
      </c>
      <c r="H6272" s="333">
        <v>1482</v>
      </c>
    </row>
    <row r="6273" spans="1:8">
      <c r="A6273" s="317">
        <v>1614601039</v>
      </c>
      <c r="B6273" s="330" t="s">
        <v>50639</v>
      </c>
      <c r="C6273" s="330" t="s">
        <v>15768</v>
      </c>
      <c r="D6273" s="330" t="s">
        <v>15769</v>
      </c>
      <c r="E6273" s="330" t="s">
        <v>4819</v>
      </c>
      <c r="F6273" s="331">
        <v>0.21</v>
      </c>
      <c r="G6273" s="332">
        <v>2649</v>
      </c>
      <c r="H6273" s="333">
        <v>3206</v>
      </c>
    </row>
    <row r="6274" spans="1:8">
      <c r="A6274" s="317">
        <v>1614601046</v>
      </c>
      <c r="B6274" s="330" t="s">
        <v>50640</v>
      </c>
      <c r="C6274" s="330" t="s">
        <v>15770</v>
      </c>
      <c r="D6274" s="330" t="s">
        <v>15771</v>
      </c>
      <c r="E6274" s="330" t="s">
        <v>4634</v>
      </c>
      <c r="F6274" s="331">
        <v>0.21</v>
      </c>
      <c r="G6274" s="332">
        <v>274</v>
      </c>
      <c r="H6274" s="333">
        <v>332</v>
      </c>
    </row>
    <row r="6275" spans="1:8">
      <c r="A6275" s="317">
        <v>1614601047</v>
      </c>
      <c r="B6275" s="330" t="s">
        <v>50641</v>
      </c>
      <c r="C6275" s="330" t="s">
        <v>15772</v>
      </c>
      <c r="D6275" s="330" t="s">
        <v>15771</v>
      </c>
      <c r="E6275" s="330" t="s">
        <v>4634</v>
      </c>
      <c r="F6275" s="331">
        <v>0.21</v>
      </c>
      <c r="G6275" s="332">
        <v>274</v>
      </c>
      <c r="H6275" s="333">
        <v>332</v>
      </c>
    </row>
    <row r="6276" spans="1:8">
      <c r="A6276" s="317">
        <v>1614601052</v>
      </c>
      <c r="B6276" s="330" t="s">
        <v>50642</v>
      </c>
      <c r="C6276" s="330" t="s">
        <v>15773</v>
      </c>
      <c r="D6276" s="330" t="s">
        <v>15774</v>
      </c>
      <c r="E6276" s="330" t="s">
        <v>4634</v>
      </c>
      <c r="F6276" s="331">
        <v>0.21</v>
      </c>
      <c r="G6276" s="332">
        <v>274</v>
      </c>
      <c r="H6276" s="333">
        <v>332</v>
      </c>
    </row>
    <row r="6277" spans="1:8">
      <c r="A6277" s="317">
        <v>1614601054</v>
      </c>
      <c r="B6277" s="330" t="s">
        <v>50643</v>
      </c>
      <c r="C6277" s="330" t="s">
        <v>15775</v>
      </c>
      <c r="D6277" s="330" t="s">
        <v>15776</v>
      </c>
      <c r="E6277" s="330" t="s">
        <v>4634</v>
      </c>
      <c r="F6277" s="331">
        <v>0.21</v>
      </c>
      <c r="G6277" s="332">
        <v>432</v>
      </c>
      <c r="H6277" s="333">
        <v>523</v>
      </c>
    </row>
    <row r="6278" spans="1:8">
      <c r="A6278" s="317">
        <v>1614601055</v>
      </c>
      <c r="B6278" s="330" t="s">
        <v>50644</v>
      </c>
      <c r="C6278" s="330" t="s">
        <v>15777</v>
      </c>
      <c r="D6278" s="330" t="s">
        <v>4909</v>
      </c>
      <c r="E6278" s="330" t="s">
        <v>4819</v>
      </c>
      <c r="F6278" s="331">
        <v>0.21</v>
      </c>
      <c r="G6278" s="332">
        <v>1780</v>
      </c>
      <c r="H6278" s="333">
        <v>2154</v>
      </c>
    </row>
    <row r="6279" spans="1:8">
      <c r="A6279" s="317">
        <v>1614601056</v>
      </c>
      <c r="B6279" s="330" t="s">
        <v>50645</v>
      </c>
      <c r="C6279" s="330" t="s">
        <v>15778</v>
      </c>
      <c r="D6279" s="330" t="s">
        <v>15779</v>
      </c>
      <c r="E6279" s="330" t="s">
        <v>4634</v>
      </c>
      <c r="F6279" s="331">
        <v>0.21</v>
      </c>
      <c r="G6279" s="332">
        <v>274</v>
      </c>
      <c r="H6279" s="333">
        <v>332</v>
      </c>
    </row>
    <row r="6280" spans="1:8">
      <c r="A6280" s="317">
        <v>1614601057</v>
      </c>
      <c r="B6280" s="330" t="s">
        <v>50646</v>
      </c>
      <c r="C6280" s="330" t="s">
        <v>15780</v>
      </c>
      <c r="D6280" s="330" t="s">
        <v>15781</v>
      </c>
      <c r="E6280" s="330" t="s">
        <v>4634</v>
      </c>
      <c r="F6280" s="331">
        <v>0.21</v>
      </c>
      <c r="G6280" s="332">
        <v>274</v>
      </c>
      <c r="H6280" s="333">
        <v>332</v>
      </c>
    </row>
    <row r="6281" spans="1:8">
      <c r="A6281" s="317">
        <v>1614601060</v>
      </c>
      <c r="B6281" s="330" t="s">
        <v>50647</v>
      </c>
      <c r="C6281" s="330" t="s">
        <v>15782</v>
      </c>
      <c r="D6281" s="330" t="s">
        <v>15783</v>
      </c>
      <c r="E6281" s="330" t="s">
        <v>4819</v>
      </c>
      <c r="F6281" s="331">
        <v>0.21</v>
      </c>
      <c r="G6281" s="332">
        <v>1713</v>
      </c>
      <c r="H6281" s="333">
        <v>2073</v>
      </c>
    </row>
    <row r="6282" spans="1:8">
      <c r="A6282" s="317">
        <v>1614601061</v>
      </c>
      <c r="B6282" s="330" t="s">
        <v>50648</v>
      </c>
      <c r="C6282" s="330" t="s">
        <v>15784</v>
      </c>
      <c r="D6282" s="330" t="s">
        <v>15785</v>
      </c>
      <c r="E6282" s="330" t="s">
        <v>37248</v>
      </c>
      <c r="F6282" s="331">
        <v>0.21</v>
      </c>
      <c r="G6282" s="332">
        <v>3350</v>
      </c>
      <c r="H6282" s="333">
        <v>4054</v>
      </c>
    </row>
    <row r="6283" spans="1:8">
      <c r="A6283" s="317">
        <v>1614601062</v>
      </c>
      <c r="B6283" s="330" t="s">
        <v>50649</v>
      </c>
      <c r="C6283" s="330" t="s">
        <v>15786</v>
      </c>
      <c r="D6283" s="330" t="s">
        <v>15787</v>
      </c>
      <c r="E6283" s="330" t="s">
        <v>4819</v>
      </c>
      <c r="F6283" s="331">
        <v>0.21</v>
      </c>
      <c r="G6283" s="332">
        <v>2616</v>
      </c>
      <c r="H6283" s="333">
        <v>3166</v>
      </c>
    </row>
    <row r="6284" spans="1:8">
      <c r="A6284" s="317">
        <v>1614601065</v>
      </c>
      <c r="B6284" s="330" t="s">
        <v>50650</v>
      </c>
      <c r="C6284" s="330" t="s">
        <v>15788</v>
      </c>
      <c r="D6284" s="330" t="s">
        <v>15789</v>
      </c>
      <c r="E6284" s="330" t="s">
        <v>4634</v>
      </c>
      <c r="F6284" s="331">
        <v>0.21</v>
      </c>
      <c r="G6284" s="332">
        <v>309</v>
      </c>
      <c r="H6284" s="333">
        <v>374</v>
      </c>
    </row>
    <row r="6285" spans="1:8">
      <c r="A6285" s="317">
        <v>1614601067</v>
      </c>
      <c r="B6285" s="330" t="s">
        <v>50651</v>
      </c>
      <c r="C6285" s="330" t="s">
        <v>15790</v>
      </c>
      <c r="D6285" s="330" t="s">
        <v>15791</v>
      </c>
      <c r="E6285" s="330" t="s">
        <v>4819</v>
      </c>
      <c r="F6285" s="331">
        <v>0.21</v>
      </c>
      <c r="G6285" s="332">
        <v>1780</v>
      </c>
      <c r="H6285" s="333">
        <v>2154</v>
      </c>
    </row>
    <row r="6286" spans="1:8">
      <c r="A6286" s="317">
        <v>1614601070</v>
      </c>
      <c r="B6286" s="330" t="s">
        <v>50652</v>
      </c>
      <c r="C6286" s="330" t="s">
        <v>15792</v>
      </c>
      <c r="D6286" s="330" t="s">
        <v>15793</v>
      </c>
      <c r="E6286" s="330" t="s">
        <v>4819</v>
      </c>
      <c r="F6286" s="331">
        <v>0.21</v>
      </c>
      <c r="G6286" s="332">
        <v>997</v>
      </c>
      <c r="H6286" s="333">
        <v>1207</v>
      </c>
    </row>
    <row r="6287" spans="1:8">
      <c r="A6287" s="317">
        <v>1614601071</v>
      </c>
      <c r="B6287" s="330" t="s">
        <v>50653</v>
      </c>
      <c r="C6287" s="330" t="s">
        <v>15794</v>
      </c>
      <c r="D6287" s="330" t="s">
        <v>15795</v>
      </c>
      <c r="E6287" s="330" t="s">
        <v>4819</v>
      </c>
      <c r="F6287" s="331">
        <v>0.21</v>
      </c>
      <c r="G6287" s="332">
        <v>1034</v>
      </c>
      <c r="H6287" s="333">
        <v>1252</v>
      </c>
    </row>
    <row r="6288" spans="1:8">
      <c r="A6288" s="317">
        <v>1614601072</v>
      </c>
      <c r="B6288" s="330" t="s">
        <v>50654</v>
      </c>
      <c r="C6288" s="330" t="s">
        <v>15796</v>
      </c>
      <c r="D6288" s="330" t="s">
        <v>5127</v>
      </c>
      <c r="E6288" s="330" t="s">
        <v>37248</v>
      </c>
      <c r="F6288" s="331">
        <v>0.21</v>
      </c>
      <c r="G6288" s="332">
        <v>671</v>
      </c>
      <c r="H6288" s="333">
        <v>812</v>
      </c>
    </row>
    <row r="6289" spans="1:8">
      <c r="A6289" s="317">
        <v>1614601073</v>
      </c>
      <c r="B6289" s="330" t="s">
        <v>50655</v>
      </c>
      <c r="C6289" s="330" t="s">
        <v>15797</v>
      </c>
      <c r="D6289" s="330" t="s">
        <v>5127</v>
      </c>
      <c r="E6289" s="330" t="s">
        <v>37248</v>
      </c>
      <c r="F6289" s="331">
        <v>0.21</v>
      </c>
      <c r="G6289" s="332">
        <v>383</v>
      </c>
      <c r="H6289" s="333">
        <v>464</v>
      </c>
    </row>
    <row r="6290" spans="1:8">
      <c r="A6290" s="317">
        <v>1614601074</v>
      </c>
      <c r="B6290" s="330" t="s">
        <v>50656</v>
      </c>
      <c r="C6290" s="330" t="s">
        <v>15798</v>
      </c>
      <c r="D6290" s="330" t="s">
        <v>5127</v>
      </c>
      <c r="E6290" s="330" t="s">
        <v>37248</v>
      </c>
      <c r="F6290" s="331">
        <v>0.21</v>
      </c>
      <c r="G6290" s="332">
        <v>383</v>
      </c>
      <c r="H6290" s="333">
        <v>464</v>
      </c>
    </row>
    <row r="6291" spans="1:8">
      <c r="A6291" s="317">
        <v>1614601077</v>
      </c>
      <c r="B6291" s="330" t="s">
        <v>50657</v>
      </c>
      <c r="C6291" s="330" t="s">
        <v>15799</v>
      </c>
      <c r="D6291" s="330" t="s">
        <v>6299</v>
      </c>
      <c r="E6291" s="330" t="s">
        <v>37248</v>
      </c>
      <c r="F6291" s="331">
        <v>0.21</v>
      </c>
      <c r="G6291" s="332">
        <v>680</v>
      </c>
      <c r="H6291" s="333">
        <v>823</v>
      </c>
    </row>
    <row r="6292" spans="1:8">
      <c r="A6292" s="317">
        <v>1614601080</v>
      </c>
      <c r="B6292" s="330" t="s">
        <v>50658</v>
      </c>
      <c r="C6292" s="330" t="s">
        <v>15800</v>
      </c>
      <c r="D6292" s="330" t="s">
        <v>6301</v>
      </c>
      <c r="E6292" s="330" t="s">
        <v>4819</v>
      </c>
      <c r="F6292" s="331">
        <v>0.21</v>
      </c>
      <c r="G6292" s="332">
        <v>671</v>
      </c>
      <c r="H6292" s="333">
        <v>812</v>
      </c>
    </row>
    <row r="6293" spans="1:8">
      <c r="A6293" s="317">
        <v>1614610005</v>
      </c>
      <c r="B6293" s="330" t="s">
        <v>50659</v>
      </c>
      <c r="C6293" s="330" t="s">
        <v>15801</v>
      </c>
      <c r="D6293" s="330" t="s">
        <v>15802</v>
      </c>
      <c r="E6293" s="330" t="s">
        <v>4634</v>
      </c>
      <c r="F6293" s="331">
        <v>0.21</v>
      </c>
      <c r="G6293" s="332">
        <v>372</v>
      </c>
      <c r="H6293" s="333">
        <v>451</v>
      </c>
    </row>
    <row r="6294" spans="1:8">
      <c r="A6294" s="317">
        <v>1614610008</v>
      </c>
      <c r="B6294" s="330" t="s">
        <v>50660</v>
      </c>
      <c r="C6294" s="330" t="s">
        <v>15803</v>
      </c>
      <c r="D6294" s="330" t="s">
        <v>15804</v>
      </c>
      <c r="E6294" s="330" t="s">
        <v>4634</v>
      </c>
      <c r="F6294" s="331">
        <v>0.21</v>
      </c>
      <c r="G6294" s="332">
        <v>791</v>
      </c>
      <c r="H6294" s="333">
        <v>958</v>
      </c>
    </row>
    <row r="6295" spans="1:8">
      <c r="A6295" s="317">
        <v>1614610010</v>
      </c>
      <c r="B6295" s="330" t="s">
        <v>50661</v>
      </c>
      <c r="C6295" s="330" t="s">
        <v>15805</v>
      </c>
      <c r="D6295" s="330" t="s">
        <v>15806</v>
      </c>
      <c r="E6295" s="330" t="s">
        <v>4634</v>
      </c>
      <c r="F6295" s="331">
        <v>0.21</v>
      </c>
      <c r="G6295" s="332">
        <v>372</v>
      </c>
      <c r="H6295" s="333">
        <v>451</v>
      </c>
    </row>
    <row r="6296" spans="1:8">
      <c r="A6296" s="317">
        <v>1614610015</v>
      </c>
      <c r="B6296" s="330" t="s">
        <v>50662</v>
      </c>
      <c r="C6296" s="330" t="s">
        <v>15807</v>
      </c>
      <c r="D6296" s="330" t="s">
        <v>15808</v>
      </c>
      <c r="E6296" s="330" t="s">
        <v>4634</v>
      </c>
      <c r="F6296" s="331">
        <v>0.21</v>
      </c>
      <c r="G6296" s="332">
        <v>791</v>
      </c>
      <c r="H6296" s="333">
        <v>958</v>
      </c>
    </row>
    <row r="6297" spans="1:8">
      <c r="A6297" s="317">
        <v>1614611006</v>
      </c>
      <c r="B6297" s="330" t="s">
        <v>50663</v>
      </c>
      <c r="C6297" s="330" t="s">
        <v>15809</v>
      </c>
      <c r="D6297" s="330" t="s">
        <v>6179</v>
      </c>
      <c r="E6297" s="330" t="s">
        <v>37248</v>
      </c>
      <c r="F6297" s="331">
        <v>0.21</v>
      </c>
      <c r="G6297" s="332">
        <v>4568</v>
      </c>
      <c r="H6297" s="333">
        <v>5528</v>
      </c>
    </row>
    <row r="6298" spans="1:8">
      <c r="A6298" s="317">
        <v>1614611007</v>
      </c>
      <c r="B6298" s="330" t="s">
        <v>50664</v>
      </c>
      <c r="C6298" s="330" t="s">
        <v>15810</v>
      </c>
      <c r="D6298" s="330" t="s">
        <v>15811</v>
      </c>
      <c r="E6298" s="330" t="s">
        <v>4634</v>
      </c>
      <c r="F6298" s="331">
        <v>0.21</v>
      </c>
      <c r="G6298" s="332">
        <v>236</v>
      </c>
      <c r="H6298" s="333">
        <v>286</v>
      </c>
    </row>
    <row r="6299" spans="1:8">
      <c r="A6299" s="317">
        <v>1614611009</v>
      </c>
      <c r="B6299" s="330" t="s">
        <v>50665</v>
      </c>
      <c r="C6299" s="330" t="s">
        <v>15812</v>
      </c>
      <c r="D6299" s="330" t="s">
        <v>15813</v>
      </c>
      <c r="E6299" s="330" t="s">
        <v>4819</v>
      </c>
      <c r="F6299" s="331">
        <v>0.21</v>
      </c>
      <c r="G6299" s="332">
        <v>758</v>
      </c>
      <c r="H6299" s="333">
        <v>918</v>
      </c>
    </row>
    <row r="6300" spans="1:8">
      <c r="A6300" s="317">
        <v>1614611012</v>
      </c>
      <c r="B6300" s="330" t="s">
        <v>50666</v>
      </c>
      <c r="C6300" s="330" t="s">
        <v>15814</v>
      </c>
      <c r="D6300" s="330" t="s">
        <v>15815</v>
      </c>
      <c r="E6300" s="330" t="s">
        <v>4634</v>
      </c>
      <c r="F6300" s="331">
        <v>0.21</v>
      </c>
      <c r="G6300" s="332">
        <v>2063</v>
      </c>
      <c r="H6300" s="333">
        <v>2497</v>
      </c>
    </row>
    <row r="6301" spans="1:8">
      <c r="A6301" s="317">
        <v>1614611016</v>
      </c>
      <c r="B6301" s="330" t="s">
        <v>50667</v>
      </c>
      <c r="C6301" s="330" t="s">
        <v>15816</v>
      </c>
      <c r="D6301" s="330" t="s">
        <v>15817</v>
      </c>
      <c r="E6301" s="330" t="s">
        <v>4634</v>
      </c>
      <c r="F6301" s="331">
        <v>0.21</v>
      </c>
      <c r="G6301" s="332">
        <v>387</v>
      </c>
      <c r="H6301" s="333">
        <v>469</v>
      </c>
    </row>
    <row r="6302" spans="1:8">
      <c r="A6302" s="317">
        <v>1614611019</v>
      </c>
      <c r="B6302" s="330" t="s">
        <v>50668</v>
      </c>
      <c r="C6302" s="330" t="s">
        <v>15818</v>
      </c>
      <c r="D6302" s="330" t="s">
        <v>15819</v>
      </c>
      <c r="E6302" s="330" t="s">
        <v>4819</v>
      </c>
      <c r="F6302" s="331">
        <v>0.21</v>
      </c>
      <c r="G6302" s="332">
        <v>4240</v>
      </c>
      <c r="H6302" s="333">
        <v>5131</v>
      </c>
    </row>
    <row r="6303" spans="1:8">
      <c r="A6303" s="317">
        <v>1614611020</v>
      </c>
      <c r="B6303" s="330" t="s">
        <v>50669</v>
      </c>
      <c r="C6303" s="330" t="s">
        <v>15820</v>
      </c>
      <c r="D6303" s="330" t="s">
        <v>6179</v>
      </c>
      <c r="E6303" s="330" t="s">
        <v>4819</v>
      </c>
      <c r="F6303" s="331">
        <v>0.21</v>
      </c>
      <c r="G6303" s="332">
        <v>3707</v>
      </c>
      <c r="H6303" s="333">
        <v>4486</v>
      </c>
    </row>
    <row r="6304" spans="1:8">
      <c r="A6304" s="317">
        <v>1614611021</v>
      </c>
      <c r="B6304" s="330" t="s">
        <v>50670</v>
      </c>
      <c r="C6304" s="330" t="s">
        <v>15821</v>
      </c>
      <c r="D6304" s="330" t="s">
        <v>6179</v>
      </c>
      <c r="E6304" s="330" t="s">
        <v>37248</v>
      </c>
      <c r="F6304" s="331">
        <v>0.21</v>
      </c>
      <c r="G6304" s="332">
        <v>2616</v>
      </c>
      <c r="H6304" s="333">
        <v>3166</v>
      </c>
    </row>
    <row r="6305" spans="1:8">
      <c r="A6305" s="317">
        <v>1614611022</v>
      </c>
      <c r="B6305" s="330" t="s">
        <v>50671</v>
      </c>
      <c r="C6305" s="330" t="s">
        <v>15822</v>
      </c>
      <c r="D6305" s="330" t="s">
        <v>14087</v>
      </c>
      <c r="E6305" s="330" t="s">
        <v>4819</v>
      </c>
      <c r="F6305" s="331">
        <v>0.21</v>
      </c>
      <c r="G6305" s="332">
        <v>3577</v>
      </c>
      <c r="H6305" s="333">
        <v>4329</v>
      </c>
    </row>
    <row r="6306" spans="1:8">
      <c r="A6306" s="317">
        <v>1614611023</v>
      </c>
      <c r="B6306" s="330" t="s">
        <v>50672</v>
      </c>
      <c r="C6306" s="330" t="s">
        <v>15823</v>
      </c>
      <c r="D6306" s="330" t="s">
        <v>15824</v>
      </c>
      <c r="E6306" s="330" t="s">
        <v>37248</v>
      </c>
      <c r="F6306" s="331">
        <v>0.21</v>
      </c>
      <c r="G6306" s="332">
        <v>2823</v>
      </c>
      <c r="H6306" s="333">
        <v>3416</v>
      </c>
    </row>
    <row r="6307" spans="1:8">
      <c r="A6307" s="317">
        <v>1614611024</v>
      </c>
      <c r="B6307" s="330" t="s">
        <v>50673</v>
      </c>
      <c r="C6307" s="330" t="s">
        <v>15825</v>
      </c>
      <c r="D6307" s="330" t="s">
        <v>7818</v>
      </c>
      <c r="E6307" s="330" t="s">
        <v>37248</v>
      </c>
      <c r="F6307" s="331">
        <v>0.21</v>
      </c>
      <c r="G6307" s="332">
        <v>383</v>
      </c>
      <c r="H6307" s="333">
        <v>464</v>
      </c>
    </row>
    <row r="6308" spans="1:8">
      <c r="A6308" s="317">
        <v>1614611025</v>
      </c>
      <c r="B6308" s="330" t="s">
        <v>50674</v>
      </c>
      <c r="C6308" s="330" t="s">
        <v>15826</v>
      </c>
      <c r="D6308" s="330" t="s">
        <v>7743</v>
      </c>
      <c r="E6308" s="330" t="s">
        <v>37248</v>
      </c>
      <c r="F6308" s="331">
        <v>0.21</v>
      </c>
      <c r="G6308" s="332">
        <v>702</v>
      </c>
      <c r="H6308" s="333">
        <v>850</v>
      </c>
    </row>
    <row r="6309" spans="1:8">
      <c r="A6309" s="317">
        <v>1614611026</v>
      </c>
      <c r="B6309" s="330" t="s">
        <v>50675</v>
      </c>
      <c r="C6309" s="330" t="s">
        <v>15827</v>
      </c>
      <c r="D6309" s="330" t="s">
        <v>15817</v>
      </c>
      <c r="E6309" s="330" t="s">
        <v>4634</v>
      </c>
      <c r="F6309" s="331">
        <v>0.21</v>
      </c>
      <c r="G6309" s="332">
        <v>1267</v>
      </c>
      <c r="H6309" s="333">
        <v>1534</v>
      </c>
    </row>
    <row r="6310" spans="1:8">
      <c r="A6310" s="317">
        <v>1614611028</v>
      </c>
      <c r="B6310" s="330" t="s">
        <v>50676</v>
      </c>
      <c r="C6310" s="330" t="s">
        <v>15828</v>
      </c>
      <c r="D6310" s="330" t="s">
        <v>15829</v>
      </c>
      <c r="E6310" s="330" t="s">
        <v>37248</v>
      </c>
      <c r="F6310" s="331">
        <v>0.21</v>
      </c>
      <c r="G6310" s="332">
        <v>1233</v>
      </c>
      <c r="H6310" s="333">
        <v>1492</v>
      </c>
    </row>
    <row r="6311" spans="1:8">
      <c r="A6311" s="317">
        <v>1614614001</v>
      </c>
      <c r="B6311" s="330" t="s">
        <v>50677</v>
      </c>
      <c r="C6311" s="330" t="s">
        <v>15830</v>
      </c>
      <c r="D6311" s="330" t="s">
        <v>15831</v>
      </c>
      <c r="E6311" s="330" t="s">
        <v>4634</v>
      </c>
      <c r="F6311" s="331">
        <v>0.21</v>
      </c>
      <c r="G6311" s="332">
        <v>372</v>
      </c>
      <c r="H6311" s="333">
        <v>451</v>
      </c>
    </row>
    <row r="6312" spans="1:8">
      <c r="A6312" s="317">
        <v>1614614007</v>
      </c>
      <c r="B6312" s="330" t="s">
        <v>50678</v>
      </c>
      <c r="C6312" s="330" t="s">
        <v>15832</v>
      </c>
      <c r="D6312" s="330" t="s">
        <v>4913</v>
      </c>
      <c r="E6312" s="330" t="s">
        <v>37248</v>
      </c>
      <c r="F6312" s="331">
        <v>0.21</v>
      </c>
      <c r="G6312" s="332">
        <v>9213</v>
      </c>
      <c r="H6312" s="333">
        <v>11148</v>
      </c>
    </row>
    <row r="6313" spans="1:8">
      <c r="A6313" s="317">
        <v>1614615002</v>
      </c>
      <c r="B6313" s="330" t="s">
        <v>50679</v>
      </c>
      <c r="C6313" s="330" t="s">
        <v>15833</v>
      </c>
      <c r="D6313" s="330" t="s">
        <v>15834</v>
      </c>
      <c r="E6313" s="330" t="s">
        <v>4634</v>
      </c>
      <c r="F6313" s="331">
        <v>0.21</v>
      </c>
      <c r="G6313" s="332">
        <v>702</v>
      </c>
      <c r="H6313" s="333">
        <v>850</v>
      </c>
    </row>
    <row r="6314" spans="1:8">
      <c r="A6314" s="317">
        <v>1614615003</v>
      </c>
      <c r="B6314" s="330" t="s">
        <v>50680</v>
      </c>
      <c r="C6314" s="330" t="s">
        <v>15835</v>
      </c>
      <c r="D6314" s="330" t="s">
        <v>15760</v>
      </c>
      <c r="E6314" s="330" t="s">
        <v>4634</v>
      </c>
      <c r="F6314" s="331">
        <v>0.21</v>
      </c>
      <c r="G6314" s="332">
        <v>820</v>
      </c>
      <c r="H6314" s="333">
        <v>993</v>
      </c>
    </row>
    <row r="6315" spans="1:8">
      <c r="A6315" s="317">
        <v>1614615004</v>
      </c>
      <c r="B6315" s="330" t="s">
        <v>50681</v>
      </c>
      <c r="C6315" s="330" t="s">
        <v>15836</v>
      </c>
      <c r="D6315" s="330" t="s">
        <v>15760</v>
      </c>
      <c r="E6315" s="330" t="s">
        <v>4634</v>
      </c>
      <c r="F6315" s="331">
        <v>0.21</v>
      </c>
      <c r="G6315" s="332">
        <v>372</v>
      </c>
      <c r="H6315" s="333">
        <v>451</v>
      </c>
    </row>
    <row r="6316" spans="1:8">
      <c r="A6316" s="317">
        <v>1614615008</v>
      </c>
      <c r="B6316" s="330" t="s">
        <v>50682</v>
      </c>
      <c r="C6316" s="330" t="s">
        <v>15837</v>
      </c>
      <c r="D6316" s="330" t="s">
        <v>15838</v>
      </c>
      <c r="E6316" s="330" t="s">
        <v>4634</v>
      </c>
      <c r="F6316" s="331">
        <v>0.21</v>
      </c>
      <c r="G6316" s="332">
        <v>972</v>
      </c>
      <c r="H6316" s="333">
        <v>1177</v>
      </c>
    </row>
    <row r="6317" spans="1:8">
      <c r="A6317" s="317">
        <v>1614616003</v>
      </c>
      <c r="B6317" s="330" t="s">
        <v>50683</v>
      </c>
      <c r="C6317" s="330" t="s">
        <v>15839</v>
      </c>
      <c r="D6317" s="330" t="s">
        <v>15840</v>
      </c>
      <c r="E6317" s="330" t="s">
        <v>4634</v>
      </c>
      <c r="F6317" s="331">
        <v>0.21</v>
      </c>
      <c r="G6317" s="332">
        <v>455</v>
      </c>
      <c r="H6317" s="333">
        <v>551</v>
      </c>
    </row>
    <row r="6318" spans="1:8">
      <c r="A6318" s="317">
        <v>1614616008</v>
      </c>
      <c r="B6318" s="330" t="s">
        <v>50684</v>
      </c>
      <c r="C6318" s="330" t="s">
        <v>15841</v>
      </c>
      <c r="D6318" s="330" t="s">
        <v>15842</v>
      </c>
      <c r="E6318" s="330" t="s">
        <v>4634</v>
      </c>
      <c r="F6318" s="331">
        <v>0.21</v>
      </c>
      <c r="G6318" s="332">
        <v>584</v>
      </c>
      <c r="H6318" s="333">
        <v>707</v>
      </c>
    </row>
    <row r="6319" spans="1:8">
      <c r="A6319" s="317">
        <v>1614616009</v>
      </c>
      <c r="B6319" s="330" t="s">
        <v>50685</v>
      </c>
      <c r="C6319" s="330" t="s">
        <v>15843</v>
      </c>
      <c r="D6319" s="330" t="s">
        <v>15844</v>
      </c>
      <c r="E6319" s="330" t="s">
        <v>4634</v>
      </c>
      <c r="F6319" s="331">
        <v>0.21</v>
      </c>
      <c r="G6319" s="332">
        <v>678</v>
      </c>
      <c r="H6319" s="333">
        <v>821</v>
      </c>
    </row>
    <row r="6320" spans="1:8">
      <c r="A6320" s="317">
        <v>1614617003</v>
      </c>
      <c r="B6320" s="330" t="s">
        <v>50686</v>
      </c>
      <c r="C6320" s="330" t="s">
        <v>15845</v>
      </c>
      <c r="D6320" s="330" t="s">
        <v>15846</v>
      </c>
      <c r="E6320" s="330" t="s">
        <v>4634</v>
      </c>
      <c r="F6320" s="331">
        <v>0.21</v>
      </c>
      <c r="G6320" s="332">
        <v>711</v>
      </c>
      <c r="H6320" s="333">
        <v>861</v>
      </c>
    </row>
    <row r="6321" spans="1:8">
      <c r="A6321" s="317">
        <v>1614617004</v>
      </c>
      <c r="B6321" s="330" t="s">
        <v>50687</v>
      </c>
      <c r="C6321" s="330" t="s">
        <v>15847</v>
      </c>
      <c r="D6321" s="330" t="s">
        <v>15819</v>
      </c>
      <c r="E6321" s="330" t="s">
        <v>4634</v>
      </c>
      <c r="F6321" s="331">
        <v>0.21</v>
      </c>
      <c r="G6321" s="332">
        <v>570</v>
      </c>
      <c r="H6321" s="333">
        <v>690</v>
      </c>
    </row>
    <row r="6322" spans="1:8">
      <c r="A6322" s="317">
        <v>1614619004</v>
      </c>
      <c r="B6322" s="330" t="s">
        <v>50688</v>
      </c>
      <c r="C6322" s="330" t="s">
        <v>15848</v>
      </c>
      <c r="D6322" s="330" t="s">
        <v>15849</v>
      </c>
      <c r="E6322" s="330" t="s">
        <v>4634</v>
      </c>
      <c r="F6322" s="331">
        <v>0.21</v>
      </c>
      <c r="G6322" s="332">
        <v>274</v>
      </c>
      <c r="H6322" s="333">
        <v>332</v>
      </c>
    </row>
    <row r="6323" spans="1:8">
      <c r="A6323" s="317">
        <v>1614619005</v>
      </c>
      <c r="B6323" s="330" t="s">
        <v>50689</v>
      </c>
      <c r="C6323" s="330" t="s">
        <v>15850</v>
      </c>
      <c r="D6323" s="330" t="s">
        <v>15851</v>
      </c>
      <c r="E6323" s="330" t="s">
        <v>37248</v>
      </c>
      <c r="F6323" s="331">
        <v>0.21</v>
      </c>
      <c r="G6323" s="332">
        <v>11513</v>
      </c>
      <c r="H6323" s="333">
        <v>13931</v>
      </c>
    </row>
    <row r="6324" spans="1:8">
      <c r="A6324" s="317">
        <v>1614619009</v>
      </c>
      <c r="B6324" s="330" t="s">
        <v>50690</v>
      </c>
      <c r="C6324" s="330" t="s">
        <v>15852</v>
      </c>
      <c r="D6324" s="330" t="s">
        <v>15853</v>
      </c>
      <c r="E6324" s="330" t="s">
        <v>4634</v>
      </c>
      <c r="F6324" s="331">
        <v>0.21</v>
      </c>
      <c r="G6324" s="332">
        <v>791</v>
      </c>
      <c r="H6324" s="333">
        <v>958</v>
      </c>
    </row>
    <row r="6325" spans="1:8">
      <c r="A6325" s="317">
        <v>1614621000</v>
      </c>
      <c r="B6325" s="330" t="s">
        <v>50691</v>
      </c>
      <c r="C6325" s="330" t="s">
        <v>15854</v>
      </c>
      <c r="D6325" s="330" t="s">
        <v>15855</v>
      </c>
      <c r="E6325" s="330" t="s">
        <v>4819</v>
      </c>
      <c r="F6325" s="331">
        <v>0.21</v>
      </c>
      <c r="G6325" s="332">
        <v>3865</v>
      </c>
      <c r="H6325" s="333">
        <v>4677</v>
      </c>
    </row>
    <row r="6326" spans="1:8">
      <c r="A6326" s="317">
        <v>1614621001</v>
      </c>
      <c r="B6326" s="330" t="s">
        <v>50692</v>
      </c>
      <c r="C6326" s="330" t="s">
        <v>15856</v>
      </c>
      <c r="D6326" s="330" t="s">
        <v>15857</v>
      </c>
      <c r="E6326" s="330" t="s">
        <v>4634</v>
      </c>
      <c r="F6326" s="331">
        <v>0.21</v>
      </c>
      <c r="G6326" s="332">
        <v>928</v>
      </c>
      <c r="H6326" s="333">
        <v>1123</v>
      </c>
    </row>
    <row r="6327" spans="1:8">
      <c r="A6327" s="317">
        <v>1614621002</v>
      </c>
      <c r="B6327" s="330" t="s">
        <v>50693</v>
      </c>
      <c r="C6327" s="330" t="s">
        <v>15858</v>
      </c>
      <c r="D6327" s="330" t="s">
        <v>15859</v>
      </c>
      <c r="E6327" s="330" t="s">
        <v>37248</v>
      </c>
      <c r="F6327" s="331">
        <v>0.21</v>
      </c>
      <c r="G6327" s="332">
        <v>5471</v>
      </c>
      <c r="H6327" s="333">
        <v>6620</v>
      </c>
    </row>
    <row r="6328" spans="1:8">
      <c r="A6328" s="317">
        <v>1614621003</v>
      </c>
      <c r="B6328" s="330" t="s">
        <v>50694</v>
      </c>
      <c r="C6328" s="330" t="s">
        <v>15860</v>
      </c>
      <c r="D6328" s="330" t="s">
        <v>15859</v>
      </c>
      <c r="E6328" s="330" t="s">
        <v>4819</v>
      </c>
      <c r="F6328" s="331">
        <v>0.21</v>
      </c>
      <c r="G6328" s="332">
        <v>4990</v>
      </c>
      <c r="H6328" s="333">
        <v>6038</v>
      </c>
    </row>
    <row r="6329" spans="1:8">
      <c r="A6329" s="317">
        <v>1614621004</v>
      </c>
      <c r="B6329" s="330" t="s">
        <v>50695</v>
      </c>
      <c r="C6329" s="330" t="s">
        <v>15861</v>
      </c>
      <c r="D6329" s="330" t="s">
        <v>15862</v>
      </c>
      <c r="E6329" s="330" t="s">
        <v>4634</v>
      </c>
      <c r="F6329" s="331">
        <v>0.21</v>
      </c>
      <c r="G6329" s="332">
        <v>584</v>
      </c>
      <c r="H6329" s="333">
        <v>707</v>
      </c>
    </row>
    <row r="6330" spans="1:8">
      <c r="A6330" s="317">
        <v>1614621005</v>
      </c>
      <c r="B6330" s="330" t="s">
        <v>50696</v>
      </c>
      <c r="C6330" s="330" t="s">
        <v>15863</v>
      </c>
      <c r="D6330" s="330" t="s">
        <v>15864</v>
      </c>
      <c r="E6330" s="330" t="s">
        <v>4634</v>
      </c>
      <c r="F6330" s="331">
        <v>0.21</v>
      </c>
      <c r="G6330" s="332">
        <v>584</v>
      </c>
      <c r="H6330" s="333">
        <v>707</v>
      </c>
    </row>
    <row r="6331" spans="1:8">
      <c r="A6331" s="317">
        <v>1614621007</v>
      </c>
      <c r="B6331" s="330" t="s">
        <v>50697</v>
      </c>
      <c r="C6331" s="330" t="s">
        <v>15865</v>
      </c>
      <c r="D6331" s="330" t="s">
        <v>15866</v>
      </c>
      <c r="E6331" s="330" t="s">
        <v>4819</v>
      </c>
      <c r="F6331" s="331">
        <v>0.21</v>
      </c>
      <c r="G6331" s="332">
        <v>4021</v>
      </c>
      <c r="H6331" s="333">
        <v>4866</v>
      </c>
    </row>
    <row r="6332" spans="1:8">
      <c r="A6332" s="317">
        <v>1614621008</v>
      </c>
      <c r="B6332" s="330" t="s">
        <v>50698</v>
      </c>
      <c r="C6332" s="330" t="s">
        <v>15867</v>
      </c>
      <c r="D6332" s="330" t="s">
        <v>15819</v>
      </c>
      <c r="E6332" s="330" t="s">
        <v>4634</v>
      </c>
      <c r="F6332" s="331">
        <v>0.21</v>
      </c>
      <c r="G6332" s="332">
        <v>1008</v>
      </c>
      <c r="H6332" s="333">
        <v>1220</v>
      </c>
    </row>
    <row r="6333" spans="1:8">
      <c r="A6333" s="317">
        <v>1614621009</v>
      </c>
      <c r="B6333" s="330" t="s">
        <v>50699</v>
      </c>
      <c r="C6333" s="330" t="s">
        <v>15868</v>
      </c>
      <c r="D6333" s="330" t="s">
        <v>15869</v>
      </c>
      <c r="E6333" s="330" t="s">
        <v>4634</v>
      </c>
      <c r="F6333" s="331">
        <v>0.21</v>
      </c>
      <c r="G6333" s="332">
        <v>1258</v>
      </c>
      <c r="H6333" s="333">
        <v>1523</v>
      </c>
    </row>
    <row r="6334" spans="1:8">
      <c r="A6334" s="317">
        <v>1614621010</v>
      </c>
      <c r="B6334" s="330" t="s">
        <v>50700</v>
      </c>
      <c r="C6334" s="330" t="s">
        <v>15870</v>
      </c>
      <c r="D6334" s="330" t="s">
        <v>15871</v>
      </c>
      <c r="E6334" s="330" t="s">
        <v>37248</v>
      </c>
      <c r="F6334" s="331">
        <v>0.21</v>
      </c>
      <c r="G6334" s="332">
        <v>2823</v>
      </c>
      <c r="H6334" s="333">
        <v>3416</v>
      </c>
    </row>
    <row r="6335" spans="1:8">
      <c r="A6335" s="317">
        <v>1614621012</v>
      </c>
      <c r="B6335" s="330" t="s">
        <v>50701</v>
      </c>
      <c r="C6335" s="330" t="s">
        <v>15872</v>
      </c>
      <c r="D6335" s="330" t="s">
        <v>15873</v>
      </c>
      <c r="E6335" s="330" t="s">
        <v>4819</v>
      </c>
      <c r="F6335" s="331">
        <v>0.21</v>
      </c>
      <c r="G6335" s="332">
        <v>479</v>
      </c>
      <c r="H6335" s="333">
        <v>580</v>
      </c>
    </row>
    <row r="6336" spans="1:8">
      <c r="A6336" s="317">
        <v>1614621013</v>
      </c>
      <c r="B6336" s="330" t="s">
        <v>50702</v>
      </c>
      <c r="C6336" s="330" t="s">
        <v>15874</v>
      </c>
      <c r="D6336" s="330" t="s">
        <v>15871</v>
      </c>
      <c r="E6336" s="330" t="s">
        <v>37248</v>
      </c>
      <c r="F6336" s="331">
        <v>0.21</v>
      </c>
      <c r="G6336" s="332">
        <v>243</v>
      </c>
      <c r="H6336" s="333">
        <v>295</v>
      </c>
    </row>
    <row r="6337" spans="1:8">
      <c r="A6337" s="317">
        <v>1614621014</v>
      </c>
      <c r="B6337" s="330" t="s">
        <v>50703</v>
      </c>
      <c r="C6337" s="330" t="s">
        <v>15875</v>
      </c>
      <c r="D6337" s="330" t="s">
        <v>15876</v>
      </c>
      <c r="E6337" s="330" t="s">
        <v>4819</v>
      </c>
      <c r="F6337" s="331">
        <v>0.21</v>
      </c>
      <c r="G6337" s="332">
        <v>2237</v>
      </c>
      <c r="H6337" s="333">
        <v>2707</v>
      </c>
    </row>
    <row r="6338" spans="1:8">
      <c r="A6338" s="317">
        <v>1614621015</v>
      </c>
      <c r="B6338" s="330" t="s">
        <v>50704</v>
      </c>
      <c r="C6338" s="330" t="s">
        <v>15877</v>
      </c>
      <c r="D6338" s="330" t="s">
        <v>15869</v>
      </c>
      <c r="E6338" s="330" t="s">
        <v>4819</v>
      </c>
      <c r="F6338" s="331">
        <v>0.21</v>
      </c>
      <c r="G6338" s="332">
        <v>4532</v>
      </c>
      <c r="H6338" s="333">
        <v>5484</v>
      </c>
    </row>
    <row r="6339" spans="1:8">
      <c r="A6339" s="317">
        <v>1614621016</v>
      </c>
      <c r="B6339" s="330" t="s">
        <v>50705</v>
      </c>
      <c r="C6339" s="330" t="s">
        <v>15878</v>
      </c>
      <c r="D6339" s="330" t="s">
        <v>15873</v>
      </c>
      <c r="E6339" s="330" t="s">
        <v>4819</v>
      </c>
      <c r="F6339" s="331">
        <v>0.21</v>
      </c>
      <c r="G6339" s="332">
        <v>1505</v>
      </c>
      <c r="H6339" s="333">
        <v>1822</v>
      </c>
    </row>
    <row r="6340" spans="1:8">
      <c r="A6340" s="317">
        <v>1614621017</v>
      </c>
      <c r="B6340" s="330" t="s">
        <v>50706</v>
      </c>
      <c r="C6340" s="330" t="s">
        <v>15879</v>
      </c>
      <c r="D6340" s="330" t="s">
        <v>15873</v>
      </c>
      <c r="E6340" s="330" t="s">
        <v>4819</v>
      </c>
      <c r="F6340" s="331">
        <v>0.21</v>
      </c>
      <c r="G6340" s="332">
        <v>1505</v>
      </c>
      <c r="H6340" s="333">
        <v>1822</v>
      </c>
    </row>
    <row r="6341" spans="1:8">
      <c r="A6341" s="317">
        <v>1614621018</v>
      </c>
      <c r="B6341" s="330" t="s">
        <v>50707</v>
      </c>
      <c r="C6341" s="330" t="s">
        <v>15880</v>
      </c>
      <c r="D6341" s="330" t="s">
        <v>15873</v>
      </c>
      <c r="E6341" s="330" t="s">
        <v>4819</v>
      </c>
      <c r="F6341" s="331">
        <v>0.21</v>
      </c>
      <c r="G6341" s="332">
        <v>789</v>
      </c>
      <c r="H6341" s="333">
        <v>955</v>
      </c>
    </row>
    <row r="6342" spans="1:8">
      <c r="A6342" s="317">
        <v>1614621020</v>
      </c>
      <c r="B6342" s="330" t="s">
        <v>50708</v>
      </c>
      <c r="C6342" s="330" t="s">
        <v>15881</v>
      </c>
      <c r="D6342" s="330" t="s">
        <v>15871</v>
      </c>
      <c r="E6342" s="330" t="s">
        <v>37248</v>
      </c>
      <c r="F6342" s="331">
        <v>0.21</v>
      </c>
      <c r="G6342" s="332">
        <v>2478</v>
      </c>
      <c r="H6342" s="333">
        <v>2999</v>
      </c>
    </row>
    <row r="6343" spans="1:8">
      <c r="A6343" s="317">
        <v>1614630002</v>
      </c>
      <c r="B6343" s="330" t="s">
        <v>50709</v>
      </c>
      <c r="C6343" s="330" t="s">
        <v>15882</v>
      </c>
      <c r="D6343" s="330" t="s">
        <v>15883</v>
      </c>
      <c r="E6343" s="330" t="s">
        <v>4634</v>
      </c>
      <c r="F6343" s="331">
        <v>0.21</v>
      </c>
      <c r="G6343" s="332">
        <v>928</v>
      </c>
      <c r="H6343" s="333">
        <v>1123</v>
      </c>
    </row>
    <row r="6344" spans="1:8">
      <c r="A6344" s="317">
        <v>1614630003</v>
      </c>
      <c r="B6344" s="330" t="s">
        <v>50710</v>
      </c>
      <c r="C6344" s="330" t="s">
        <v>15884</v>
      </c>
      <c r="D6344" s="330" t="s">
        <v>6179</v>
      </c>
      <c r="E6344" s="330" t="s">
        <v>4634</v>
      </c>
      <c r="F6344" s="331">
        <v>0.21</v>
      </c>
      <c r="G6344" s="332">
        <v>412</v>
      </c>
      <c r="H6344" s="333">
        <v>499</v>
      </c>
    </row>
    <row r="6345" spans="1:8">
      <c r="A6345" s="317">
        <v>1614633001</v>
      </c>
      <c r="B6345" s="330" t="s">
        <v>50711</v>
      </c>
      <c r="C6345" s="330" t="s">
        <v>15885</v>
      </c>
      <c r="D6345" s="330" t="s">
        <v>15886</v>
      </c>
      <c r="E6345" s="330" t="s">
        <v>4634</v>
      </c>
      <c r="F6345" s="331">
        <v>0.21</v>
      </c>
      <c r="G6345" s="332">
        <v>678</v>
      </c>
      <c r="H6345" s="333">
        <v>821</v>
      </c>
    </row>
    <row r="6346" spans="1:8">
      <c r="A6346" s="317">
        <v>1614634005</v>
      </c>
      <c r="B6346" s="330" t="s">
        <v>50712</v>
      </c>
      <c r="C6346" s="330" t="s">
        <v>15887</v>
      </c>
      <c r="D6346" s="330" t="s">
        <v>15888</v>
      </c>
      <c r="E6346" s="330" t="s">
        <v>4819</v>
      </c>
      <c r="F6346" s="331">
        <v>0.21</v>
      </c>
      <c r="G6346" s="332">
        <v>3774</v>
      </c>
      <c r="H6346" s="333">
        <v>4567</v>
      </c>
    </row>
    <row r="6347" spans="1:8">
      <c r="A6347" s="317">
        <v>1614634006</v>
      </c>
      <c r="B6347" s="330" t="s">
        <v>50713</v>
      </c>
      <c r="C6347" s="330" t="s">
        <v>15889</v>
      </c>
      <c r="D6347" s="330" t="s">
        <v>15890</v>
      </c>
      <c r="E6347" s="330" t="s">
        <v>4634</v>
      </c>
      <c r="F6347" s="331">
        <v>0.21</v>
      </c>
      <c r="G6347" s="332">
        <v>1474</v>
      </c>
      <c r="H6347" s="333">
        <v>1784</v>
      </c>
    </row>
    <row r="6348" spans="1:8">
      <c r="A6348" s="317">
        <v>1614634007</v>
      </c>
      <c r="B6348" s="330" t="s">
        <v>50714</v>
      </c>
      <c r="C6348" s="330" t="s">
        <v>15891</v>
      </c>
      <c r="D6348" s="330" t="s">
        <v>15892</v>
      </c>
      <c r="E6348" s="330" t="s">
        <v>4634</v>
      </c>
      <c r="F6348" s="331">
        <v>0.21</v>
      </c>
      <c r="G6348" s="332">
        <v>426</v>
      </c>
      <c r="H6348" s="333">
        <v>516</v>
      </c>
    </row>
    <row r="6349" spans="1:8">
      <c r="A6349" s="317">
        <v>1614634008</v>
      </c>
      <c r="B6349" s="330" t="s">
        <v>50715</v>
      </c>
      <c r="C6349" s="330" t="s">
        <v>15893</v>
      </c>
      <c r="D6349" s="330" t="s">
        <v>15894</v>
      </c>
      <c r="E6349" s="330" t="s">
        <v>4634</v>
      </c>
      <c r="F6349" s="331">
        <v>0.21</v>
      </c>
      <c r="G6349" s="332">
        <v>455</v>
      </c>
      <c r="H6349" s="333">
        <v>551</v>
      </c>
    </row>
    <row r="6350" spans="1:8">
      <c r="A6350" s="317">
        <v>1614640000</v>
      </c>
      <c r="B6350" s="330" t="s">
        <v>50716</v>
      </c>
      <c r="C6350" s="330" t="s">
        <v>15895</v>
      </c>
      <c r="D6350" s="330" t="s">
        <v>15896</v>
      </c>
      <c r="E6350" s="330" t="s">
        <v>4623</v>
      </c>
      <c r="F6350" s="331">
        <v>0.21</v>
      </c>
      <c r="G6350" s="332">
        <v>15409</v>
      </c>
      <c r="H6350" s="333">
        <v>18645</v>
      </c>
    </row>
    <row r="6351" spans="1:8">
      <c r="A6351" s="317">
        <v>1614643001</v>
      </c>
      <c r="B6351" s="330" t="s">
        <v>50717</v>
      </c>
      <c r="C6351" s="330" t="s">
        <v>15897</v>
      </c>
      <c r="D6351" s="330" t="s">
        <v>15898</v>
      </c>
      <c r="E6351" s="330" t="s">
        <v>4634</v>
      </c>
      <c r="F6351" s="331">
        <v>0.21</v>
      </c>
      <c r="G6351" s="332">
        <v>426</v>
      </c>
      <c r="H6351" s="333">
        <v>516</v>
      </c>
    </row>
    <row r="6352" spans="1:8">
      <c r="A6352" s="317">
        <v>1614643003</v>
      </c>
      <c r="B6352" s="330" t="s">
        <v>50718</v>
      </c>
      <c r="C6352" s="330" t="s">
        <v>15899</v>
      </c>
      <c r="D6352" s="330" t="s">
        <v>6179</v>
      </c>
      <c r="E6352" s="330" t="s">
        <v>4819</v>
      </c>
      <c r="F6352" s="331">
        <v>0.21</v>
      </c>
      <c r="G6352" s="332">
        <v>1530</v>
      </c>
      <c r="H6352" s="333">
        <v>1852</v>
      </c>
    </row>
    <row r="6353" spans="1:8">
      <c r="A6353" s="317">
        <v>1614643016</v>
      </c>
      <c r="B6353" s="330" t="s">
        <v>50719</v>
      </c>
      <c r="C6353" s="330" t="s">
        <v>15900</v>
      </c>
      <c r="D6353" s="330" t="s">
        <v>15901</v>
      </c>
      <c r="E6353" s="330" t="s">
        <v>4634</v>
      </c>
      <c r="F6353" s="331">
        <v>0.21</v>
      </c>
      <c r="G6353" s="332">
        <v>348</v>
      </c>
      <c r="H6353" s="333">
        <v>422</v>
      </c>
    </row>
    <row r="6354" spans="1:8">
      <c r="A6354" s="317">
        <v>1614643023</v>
      </c>
      <c r="B6354" s="330" t="s">
        <v>50720</v>
      </c>
      <c r="C6354" s="330" t="s">
        <v>15902</v>
      </c>
      <c r="D6354" s="330" t="s">
        <v>6179</v>
      </c>
      <c r="E6354" s="330" t="s">
        <v>4819</v>
      </c>
      <c r="F6354" s="331">
        <v>0.21</v>
      </c>
      <c r="G6354" s="332">
        <v>374</v>
      </c>
      <c r="H6354" s="333">
        <v>453</v>
      </c>
    </row>
    <row r="6355" spans="1:8">
      <c r="A6355" s="317">
        <v>1614643025</v>
      </c>
      <c r="B6355" s="330" t="s">
        <v>50721</v>
      </c>
      <c r="C6355" s="330" t="s">
        <v>15903</v>
      </c>
      <c r="D6355" s="330" t="s">
        <v>6179</v>
      </c>
      <c r="E6355" s="330" t="s">
        <v>4819</v>
      </c>
      <c r="F6355" s="331">
        <v>0.21</v>
      </c>
      <c r="G6355" s="332">
        <v>374</v>
      </c>
      <c r="H6355" s="333">
        <v>453</v>
      </c>
    </row>
    <row r="6356" spans="1:8">
      <c r="A6356" s="317">
        <v>1614643027</v>
      </c>
      <c r="B6356" s="330" t="s">
        <v>50722</v>
      </c>
      <c r="C6356" s="330" t="s">
        <v>15904</v>
      </c>
      <c r="D6356" s="330" t="s">
        <v>15905</v>
      </c>
      <c r="E6356" s="330" t="s">
        <v>4819</v>
      </c>
      <c r="F6356" s="331">
        <v>0.21</v>
      </c>
      <c r="G6356" s="332">
        <v>1438</v>
      </c>
      <c r="H6356" s="333">
        <v>1740</v>
      </c>
    </row>
    <row r="6357" spans="1:8">
      <c r="A6357" s="317">
        <v>1614651014</v>
      </c>
      <c r="B6357" s="330" t="s">
        <v>50723</v>
      </c>
      <c r="C6357" s="330" t="s">
        <v>15906</v>
      </c>
      <c r="D6357" s="330" t="s">
        <v>15907</v>
      </c>
      <c r="E6357" s="330" t="s">
        <v>4819</v>
      </c>
      <c r="F6357" s="331">
        <v>0.21</v>
      </c>
      <c r="G6357" s="332">
        <v>2426</v>
      </c>
      <c r="H6357" s="333">
        <v>2936</v>
      </c>
    </row>
    <row r="6358" spans="1:8">
      <c r="A6358" s="317">
        <v>1614652000</v>
      </c>
      <c r="B6358" s="330" t="s">
        <v>50724</v>
      </c>
      <c r="C6358" s="330" t="s">
        <v>15908</v>
      </c>
      <c r="D6358" s="330" t="s">
        <v>15909</v>
      </c>
      <c r="E6358" s="330" t="s">
        <v>4634</v>
      </c>
      <c r="F6358" s="331">
        <v>0.21</v>
      </c>
      <c r="G6358" s="332">
        <v>564</v>
      </c>
      <c r="H6358" s="333">
        <v>683</v>
      </c>
    </row>
    <row r="6359" spans="1:8">
      <c r="A6359" s="317">
        <v>1614652001</v>
      </c>
      <c r="B6359" s="330" t="s">
        <v>50725</v>
      </c>
      <c r="C6359" s="330" t="s">
        <v>15910</v>
      </c>
      <c r="D6359" s="330" t="s">
        <v>15911</v>
      </c>
      <c r="E6359" s="330" t="s">
        <v>37248</v>
      </c>
      <c r="F6359" s="331">
        <v>0.21</v>
      </c>
      <c r="G6359" s="332">
        <v>4579</v>
      </c>
      <c r="H6359" s="333">
        <v>5541</v>
      </c>
    </row>
    <row r="6360" spans="1:8">
      <c r="A6360" s="317">
        <v>1614652002</v>
      </c>
      <c r="B6360" s="330" t="s">
        <v>50726</v>
      </c>
      <c r="C6360" s="330" t="s">
        <v>15912</v>
      </c>
      <c r="D6360" s="330" t="s">
        <v>15890</v>
      </c>
      <c r="E6360" s="330" t="s">
        <v>4819</v>
      </c>
      <c r="F6360" s="331">
        <v>0.21</v>
      </c>
      <c r="G6360" s="332">
        <v>1769</v>
      </c>
      <c r="H6360" s="333">
        <v>2141</v>
      </c>
    </row>
    <row r="6361" spans="1:8">
      <c r="A6361" s="317">
        <v>1614652003</v>
      </c>
      <c r="B6361" s="330" t="s">
        <v>50727</v>
      </c>
      <c r="C6361" s="330" t="s">
        <v>15913</v>
      </c>
      <c r="D6361" s="330" t="s">
        <v>15760</v>
      </c>
      <c r="E6361" s="330" t="s">
        <v>4634</v>
      </c>
      <c r="F6361" s="331">
        <v>0.21</v>
      </c>
      <c r="G6361" s="332">
        <v>372</v>
      </c>
      <c r="H6361" s="333">
        <v>451</v>
      </c>
    </row>
    <row r="6362" spans="1:8">
      <c r="A6362" s="317">
        <v>1614652004</v>
      </c>
      <c r="B6362" s="330" t="s">
        <v>50728</v>
      </c>
      <c r="C6362" s="330" t="s">
        <v>15914</v>
      </c>
      <c r="D6362" s="330" t="s">
        <v>15915</v>
      </c>
      <c r="E6362" s="330" t="s">
        <v>37248</v>
      </c>
      <c r="F6362" s="331">
        <v>0.21</v>
      </c>
      <c r="G6362" s="332">
        <v>8655</v>
      </c>
      <c r="H6362" s="333">
        <v>10473</v>
      </c>
    </row>
    <row r="6363" spans="1:8">
      <c r="A6363" s="317">
        <v>1614652006</v>
      </c>
      <c r="B6363" s="330" t="s">
        <v>50729</v>
      </c>
      <c r="C6363" s="330" t="s">
        <v>15916</v>
      </c>
      <c r="D6363" s="330" t="s">
        <v>15917</v>
      </c>
      <c r="E6363" s="330" t="s">
        <v>4634</v>
      </c>
      <c r="F6363" s="331">
        <v>0.21</v>
      </c>
      <c r="G6363" s="332">
        <v>702</v>
      </c>
      <c r="H6363" s="333">
        <v>850</v>
      </c>
    </row>
    <row r="6364" spans="1:8">
      <c r="A6364" s="317">
        <v>1614652007</v>
      </c>
      <c r="B6364" s="330" t="s">
        <v>50730</v>
      </c>
      <c r="C6364" s="330" t="s">
        <v>15918</v>
      </c>
      <c r="D6364" s="330" t="s">
        <v>9404</v>
      </c>
      <c r="E6364" s="330" t="s">
        <v>4819</v>
      </c>
      <c r="F6364" s="331">
        <v>0.21</v>
      </c>
      <c r="G6364" s="332">
        <v>5353</v>
      </c>
      <c r="H6364" s="333">
        <v>6478</v>
      </c>
    </row>
    <row r="6365" spans="1:8">
      <c r="A6365" s="317">
        <v>1614680002</v>
      </c>
      <c r="B6365" s="330" t="s">
        <v>50731</v>
      </c>
      <c r="C6365" s="330" t="s">
        <v>15919</v>
      </c>
      <c r="D6365" s="330" t="s">
        <v>15920</v>
      </c>
      <c r="E6365" s="330" t="s">
        <v>4634</v>
      </c>
      <c r="F6365" s="331">
        <v>0.21</v>
      </c>
      <c r="G6365" s="332">
        <v>678</v>
      </c>
      <c r="H6365" s="333">
        <v>821</v>
      </c>
    </row>
    <row r="6366" spans="1:8">
      <c r="A6366" s="317">
        <v>1614690001</v>
      </c>
      <c r="B6366" s="330" t="s">
        <v>50732</v>
      </c>
      <c r="C6366" s="330" t="s">
        <v>15921</v>
      </c>
      <c r="D6366" s="330" t="s">
        <v>15922</v>
      </c>
      <c r="E6366" s="330" t="s">
        <v>4634</v>
      </c>
      <c r="F6366" s="331">
        <v>0.21</v>
      </c>
      <c r="G6366" s="332">
        <v>372</v>
      </c>
      <c r="H6366" s="333">
        <v>451</v>
      </c>
    </row>
    <row r="6367" spans="1:8">
      <c r="A6367" s="317">
        <v>1614690002</v>
      </c>
      <c r="B6367" s="330" t="s">
        <v>50733</v>
      </c>
      <c r="C6367" s="330" t="s">
        <v>15923</v>
      </c>
      <c r="D6367" s="330" t="s">
        <v>15924</v>
      </c>
      <c r="E6367" s="330" t="s">
        <v>4819</v>
      </c>
      <c r="F6367" s="331">
        <v>0.21</v>
      </c>
      <c r="G6367" s="332">
        <v>2596</v>
      </c>
      <c r="H6367" s="333">
        <v>3142</v>
      </c>
    </row>
    <row r="6368" spans="1:8">
      <c r="A6368" s="317">
        <v>1614690005</v>
      </c>
      <c r="B6368" s="330" t="s">
        <v>50734</v>
      </c>
      <c r="C6368" s="330" t="s">
        <v>15925</v>
      </c>
      <c r="D6368" s="330" t="s">
        <v>15926</v>
      </c>
      <c r="E6368" s="330" t="s">
        <v>37248</v>
      </c>
      <c r="F6368" s="331">
        <v>0.21</v>
      </c>
      <c r="G6368" s="332">
        <v>2328</v>
      </c>
      <c r="H6368" s="333">
        <v>2817</v>
      </c>
    </row>
    <row r="6369" spans="1:8">
      <c r="A6369" s="317">
        <v>1614690008</v>
      </c>
      <c r="B6369" s="330" t="s">
        <v>50735</v>
      </c>
      <c r="C6369" s="330" t="s">
        <v>15927</v>
      </c>
      <c r="D6369" s="330" t="s">
        <v>15928</v>
      </c>
      <c r="E6369" s="330" t="s">
        <v>4819</v>
      </c>
      <c r="F6369" s="331">
        <v>0.21</v>
      </c>
      <c r="G6369" s="332">
        <v>6212</v>
      </c>
      <c r="H6369" s="333">
        <v>7517</v>
      </c>
    </row>
    <row r="6370" spans="1:8">
      <c r="A6370" s="317">
        <v>1614690009</v>
      </c>
      <c r="B6370" s="330" t="s">
        <v>50736</v>
      </c>
      <c r="C6370" s="330" t="s">
        <v>15929</v>
      </c>
      <c r="D6370" s="330" t="s">
        <v>15924</v>
      </c>
      <c r="E6370" s="330" t="s">
        <v>4634</v>
      </c>
      <c r="F6370" s="331">
        <v>0.21</v>
      </c>
      <c r="G6370" s="332">
        <v>648</v>
      </c>
      <c r="H6370" s="333">
        <v>785</v>
      </c>
    </row>
    <row r="6371" spans="1:8">
      <c r="A6371" s="317">
        <v>1614690010</v>
      </c>
      <c r="B6371" s="330" t="s">
        <v>50737</v>
      </c>
      <c r="C6371" s="330" t="s">
        <v>15930</v>
      </c>
      <c r="D6371" s="330" t="s">
        <v>15931</v>
      </c>
      <c r="E6371" s="330" t="s">
        <v>37248</v>
      </c>
      <c r="F6371" s="331">
        <v>0.21</v>
      </c>
      <c r="G6371" s="332">
        <v>600</v>
      </c>
      <c r="H6371" s="333">
        <v>726</v>
      </c>
    </row>
    <row r="6372" spans="1:8">
      <c r="A6372" s="317">
        <v>1615100007</v>
      </c>
      <c r="B6372" s="330" t="s">
        <v>50738</v>
      </c>
      <c r="C6372" s="330" t="s">
        <v>15932</v>
      </c>
      <c r="D6372" s="330" t="s">
        <v>15933</v>
      </c>
      <c r="E6372" s="330" t="s">
        <v>4634</v>
      </c>
      <c r="F6372" s="331">
        <v>0.21</v>
      </c>
      <c r="G6372" s="332">
        <v>4432</v>
      </c>
      <c r="H6372" s="333">
        <v>5363</v>
      </c>
    </row>
    <row r="6373" spans="1:8">
      <c r="A6373" s="317">
        <v>1615100008</v>
      </c>
      <c r="B6373" s="330" t="s">
        <v>50739</v>
      </c>
      <c r="C6373" s="330" t="s">
        <v>15934</v>
      </c>
      <c r="D6373" s="330" t="s">
        <v>15935</v>
      </c>
      <c r="E6373" s="330" t="s">
        <v>4634</v>
      </c>
      <c r="F6373" s="331">
        <v>0.21</v>
      </c>
      <c r="G6373" s="332">
        <v>4914</v>
      </c>
      <c r="H6373" s="333">
        <v>5946</v>
      </c>
    </row>
    <row r="6374" spans="1:8">
      <c r="A6374" s="317">
        <v>1615100009</v>
      </c>
      <c r="B6374" s="330" t="s">
        <v>50740</v>
      </c>
      <c r="C6374" s="330" t="s">
        <v>15936</v>
      </c>
      <c r="D6374" s="330" t="s">
        <v>15937</v>
      </c>
      <c r="E6374" s="330" t="s">
        <v>4634</v>
      </c>
      <c r="F6374" s="331">
        <v>0.21</v>
      </c>
      <c r="G6374" s="332">
        <v>6984</v>
      </c>
      <c r="H6374" s="333">
        <v>8451</v>
      </c>
    </row>
    <row r="6375" spans="1:8">
      <c r="A6375" s="317">
        <v>1615102137</v>
      </c>
      <c r="B6375" s="330" t="s">
        <v>50741</v>
      </c>
      <c r="C6375" s="330" t="s">
        <v>15938</v>
      </c>
      <c r="D6375" s="330" t="s">
        <v>15939</v>
      </c>
      <c r="E6375" s="330" t="s">
        <v>4634</v>
      </c>
      <c r="F6375" s="331">
        <v>0.21</v>
      </c>
      <c r="G6375" s="332">
        <v>35656</v>
      </c>
      <c r="H6375" s="333">
        <v>43144</v>
      </c>
    </row>
    <row r="6376" spans="1:8">
      <c r="A6376" s="317">
        <v>1615102142</v>
      </c>
      <c r="B6376" s="330" t="s">
        <v>50742</v>
      </c>
      <c r="C6376" s="330" t="s">
        <v>15940</v>
      </c>
      <c r="D6376" s="330" t="s">
        <v>15941</v>
      </c>
      <c r="E6376" s="330" t="s">
        <v>4634</v>
      </c>
      <c r="F6376" s="331">
        <v>0.21</v>
      </c>
      <c r="G6376" s="332">
        <v>4737</v>
      </c>
      <c r="H6376" s="333">
        <v>5732</v>
      </c>
    </row>
    <row r="6377" spans="1:8">
      <c r="A6377" s="317">
        <v>1615102155</v>
      </c>
      <c r="B6377" s="330" t="s">
        <v>50743</v>
      </c>
      <c r="C6377" s="330" t="s">
        <v>15942</v>
      </c>
      <c r="D6377" s="330" t="s">
        <v>15943</v>
      </c>
      <c r="E6377" s="330" t="s">
        <v>4634</v>
      </c>
      <c r="F6377" s="331">
        <v>0.21</v>
      </c>
      <c r="G6377" s="332">
        <v>31964</v>
      </c>
      <c r="H6377" s="333">
        <v>38677</v>
      </c>
    </row>
    <row r="6378" spans="1:8">
      <c r="A6378" s="317">
        <v>1615102161</v>
      </c>
      <c r="B6378" s="330" t="s">
        <v>50744</v>
      </c>
      <c r="C6378" s="330" t="s">
        <v>15944</v>
      </c>
      <c r="D6378" s="330" t="s">
        <v>15945</v>
      </c>
      <c r="E6378" s="330" t="s">
        <v>4819</v>
      </c>
      <c r="F6378" s="331">
        <v>0.21</v>
      </c>
      <c r="G6378" s="332">
        <v>39082</v>
      </c>
      <c r="H6378" s="333">
        <v>47290</v>
      </c>
    </row>
    <row r="6379" spans="1:8">
      <c r="A6379" s="317">
        <v>1615102162</v>
      </c>
      <c r="B6379" s="330" t="s">
        <v>50745</v>
      </c>
      <c r="C6379" s="330" t="s">
        <v>15946</v>
      </c>
      <c r="D6379" s="330" t="s">
        <v>15947</v>
      </c>
      <c r="E6379" s="330" t="s">
        <v>37248</v>
      </c>
      <c r="F6379" s="331">
        <v>0.21</v>
      </c>
      <c r="G6379" s="332">
        <v>4900</v>
      </c>
      <c r="H6379" s="333">
        <v>5929</v>
      </c>
    </row>
    <row r="6380" spans="1:8">
      <c r="A6380" s="317">
        <v>1615102164</v>
      </c>
      <c r="B6380" s="330" t="s">
        <v>50746</v>
      </c>
      <c r="C6380" s="330" t="s">
        <v>15948</v>
      </c>
      <c r="D6380" s="330" t="s">
        <v>15949</v>
      </c>
      <c r="E6380" s="330" t="s">
        <v>37248</v>
      </c>
      <c r="F6380" s="331">
        <v>0.21</v>
      </c>
      <c r="G6380" s="332">
        <v>5378</v>
      </c>
      <c r="H6380" s="333">
        <v>6508</v>
      </c>
    </row>
    <row r="6381" spans="1:8">
      <c r="A6381" s="317">
        <v>1615104001</v>
      </c>
      <c r="B6381" s="330" t="s">
        <v>50747</v>
      </c>
      <c r="C6381" s="330" t="s">
        <v>15950</v>
      </c>
      <c r="D6381" s="330" t="s">
        <v>15951</v>
      </c>
      <c r="E6381" s="330" t="s">
        <v>4634</v>
      </c>
      <c r="F6381" s="331">
        <v>0.21</v>
      </c>
      <c r="G6381" s="332">
        <v>5344</v>
      </c>
      <c r="H6381" s="333">
        <v>6467</v>
      </c>
    </row>
    <row r="6382" spans="1:8">
      <c r="A6382" s="317">
        <v>1615104002</v>
      </c>
      <c r="B6382" s="330" t="s">
        <v>50748</v>
      </c>
      <c r="C6382" s="330" t="s">
        <v>15952</v>
      </c>
      <c r="D6382" s="330" t="s">
        <v>15953</v>
      </c>
      <c r="E6382" s="330" t="s">
        <v>4634</v>
      </c>
      <c r="F6382" s="331">
        <v>0.21</v>
      </c>
      <c r="G6382" s="332">
        <v>5775</v>
      </c>
      <c r="H6382" s="333">
        <v>6988</v>
      </c>
    </row>
    <row r="6383" spans="1:8">
      <c r="A6383" s="317">
        <v>1615104011</v>
      </c>
      <c r="B6383" s="330" t="s">
        <v>50749</v>
      </c>
      <c r="C6383" s="330" t="s">
        <v>15954</v>
      </c>
      <c r="D6383" s="330" t="s">
        <v>15955</v>
      </c>
      <c r="E6383" s="330" t="s">
        <v>4634</v>
      </c>
      <c r="F6383" s="331">
        <v>0.21</v>
      </c>
      <c r="G6383" s="332">
        <v>7551</v>
      </c>
      <c r="H6383" s="333">
        <v>9137</v>
      </c>
    </row>
    <row r="6384" spans="1:8">
      <c r="A6384" s="317">
        <v>1615104016</v>
      </c>
      <c r="B6384" s="330" t="s">
        <v>50750</v>
      </c>
      <c r="C6384" s="330" t="s">
        <v>15956</v>
      </c>
      <c r="D6384" s="330" t="s">
        <v>9524</v>
      </c>
      <c r="E6384" s="330" t="s">
        <v>4819</v>
      </c>
      <c r="F6384" s="331">
        <v>0.21</v>
      </c>
      <c r="G6384" s="332">
        <v>10816</v>
      </c>
      <c r="H6384" s="333">
        <v>13088</v>
      </c>
    </row>
    <row r="6385" spans="1:8">
      <c r="A6385" s="317">
        <v>1615104017</v>
      </c>
      <c r="B6385" s="330" t="s">
        <v>50751</v>
      </c>
      <c r="C6385" s="330" t="s">
        <v>15957</v>
      </c>
      <c r="D6385" s="330" t="s">
        <v>15958</v>
      </c>
      <c r="E6385" s="330" t="s">
        <v>4634</v>
      </c>
      <c r="F6385" s="331">
        <v>0.21</v>
      </c>
      <c r="G6385" s="332">
        <v>9059</v>
      </c>
      <c r="H6385" s="333">
        <v>10962</v>
      </c>
    </row>
    <row r="6386" spans="1:8">
      <c r="A6386" s="317">
        <v>1615104018</v>
      </c>
      <c r="B6386" s="330" t="s">
        <v>50752</v>
      </c>
      <c r="C6386" s="330" t="s">
        <v>15959</v>
      </c>
      <c r="D6386" s="330" t="s">
        <v>15960</v>
      </c>
      <c r="E6386" s="330" t="s">
        <v>4634</v>
      </c>
      <c r="F6386" s="331">
        <v>0.21</v>
      </c>
      <c r="G6386" s="332">
        <v>1431</v>
      </c>
      <c r="H6386" s="333">
        <v>1732</v>
      </c>
    </row>
    <row r="6387" spans="1:8">
      <c r="A6387" s="317">
        <v>1615104030</v>
      </c>
      <c r="B6387" s="330" t="s">
        <v>50753</v>
      </c>
      <c r="C6387" s="330" t="s">
        <v>15961</v>
      </c>
      <c r="D6387" s="330" t="s">
        <v>15962</v>
      </c>
      <c r="E6387" s="330" t="s">
        <v>4634</v>
      </c>
      <c r="F6387" s="331">
        <v>0.21</v>
      </c>
      <c r="G6387" s="332">
        <v>10825</v>
      </c>
      <c r="H6387" s="333">
        <v>13099</v>
      </c>
    </row>
    <row r="6388" spans="1:8">
      <c r="A6388" s="317">
        <v>1615104049</v>
      </c>
      <c r="B6388" s="330" t="s">
        <v>50754</v>
      </c>
      <c r="C6388" s="330" t="s">
        <v>15963</v>
      </c>
      <c r="D6388" s="330" t="s">
        <v>7369</v>
      </c>
      <c r="E6388" s="330" t="s">
        <v>4819</v>
      </c>
      <c r="F6388" s="331">
        <v>0.21</v>
      </c>
      <c r="G6388" s="332">
        <v>28007</v>
      </c>
      <c r="H6388" s="333">
        <v>33889</v>
      </c>
    </row>
    <row r="6389" spans="1:8">
      <c r="A6389" s="317">
        <v>1615104063</v>
      </c>
      <c r="B6389" s="330" t="s">
        <v>50755</v>
      </c>
      <c r="C6389" s="330" t="s">
        <v>15964</v>
      </c>
      <c r="D6389" s="330" t="s">
        <v>15965</v>
      </c>
      <c r="E6389" s="330" t="s">
        <v>4634</v>
      </c>
      <c r="F6389" s="331">
        <v>0.21</v>
      </c>
      <c r="G6389" s="332">
        <v>4737</v>
      </c>
      <c r="H6389" s="333">
        <v>5732</v>
      </c>
    </row>
    <row r="6390" spans="1:8">
      <c r="A6390" s="317">
        <v>1615104066</v>
      </c>
      <c r="B6390" s="330" t="s">
        <v>50756</v>
      </c>
      <c r="C6390" s="330" t="s">
        <v>15966</v>
      </c>
      <c r="D6390" s="330" t="s">
        <v>15967</v>
      </c>
      <c r="E6390" s="330" t="s">
        <v>37248</v>
      </c>
      <c r="F6390" s="331">
        <v>0.21</v>
      </c>
      <c r="G6390" s="332">
        <v>9768</v>
      </c>
      <c r="H6390" s="333">
        <v>11820</v>
      </c>
    </row>
    <row r="6391" spans="1:8">
      <c r="A6391" s="317">
        <v>1615106021</v>
      </c>
      <c r="B6391" s="330" t="s">
        <v>50757</v>
      </c>
      <c r="C6391" s="330" t="s">
        <v>15968</v>
      </c>
      <c r="D6391" s="330" t="s">
        <v>15969</v>
      </c>
      <c r="E6391" s="330" t="s">
        <v>4634</v>
      </c>
      <c r="F6391" s="331">
        <v>0.21</v>
      </c>
      <c r="G6391" s="332">
        <v>72241</v>
      </c>
      <c r="H6391" s="333">
        <v>87412</v>
      </c>
    </row>
    <row r="6392" spans="1:8">
      <c r="A6392" s="317">
        <v>1615106031</v>
      </c>
      <c r="B6392" s="330" t="s">
        <v>50758</v>
      </c>
      <c r="C6392" s="330" t="s">
        <v>15970</v>
      </c>
      <c r="D6392" s="330" t="s">
        <v>15971</v>
      </c>
      <c r="E6392" s="330" t="s">
        <v>4634</v>
      </c>
      <c r="F6392" s="331">
        <v>0.21</v>
      </c>
      <c r="G6392" s="332">
        <v>26021</v>
      </c>
      <c r="H6392" s="333">
        <v>31486</v>
      </c>
    </row>
    <row r="6393" spans="1:8">
      <c r="A6393" s="317">
        <v>1615106053</v>
      </c>
      <c r="B6393" s="330" t="s">
        <v>50759</v>
      </c>
      <c r="C6393" s="330" t="s">
        <v>15972</v>
      </c>
      <c r="D6393" s="330" t="s">
        <v>15973</v>
      </c>
      <c r="E6393" s="330" t="s">
        <v>4819</v>
      </c>
      <c r="F6393" s="331">
        <v>0.21</v>
      </c>
      <c r="G6393" s="332">
        <v>48706</v>
      </c>
      <c r="H6393" s="333">
        <v>58935</v>
      </c>
    </row>
    <row r="6394" spans="1:8">
      <c r="A6394" s="317">
        <v>1615108006</v>
      </c>
      <c r="B6394" s="330" t="s">
        <v>50760</v>
      </c>
      <c r="C6394" s="330" t="s">
        <v>15974</v>
      </c>
      <c r="D6394" s="330" t="s">
        <v>15975</v>
      </c>
      <c r="E6394" s="330" t="s">
        <v>4634</v>
      </c>
      <c r="F6394" s="331">
        <v>0.21</v>
      </c>
      <c r="G6394" s="332">
        <v>7551</v>
      </c>
      <c r="H6394" s="333">
        <v>9137</v>
      </c>
    </row>
    <row r="6395" spans="1:8">
      <c r="A6395" s="317">
        <v>1615108045</v>
      </c>
      <c r="B6395" s="330" t="s">
        <v>50761</v>
      </c>
      <c r="C6395" s="330" t="s">
        <v>15976</v>
      </c>
      <c r="D6395" s="330" t="s">
        <v>15977</v>
      </c>
      <c r="E6395" s="330" t="s">
        <v>4634</v>
      </c>
      <c r="F6395" s="331">
        <v>0.21</v>
      </c>
      <c r="G6395" s="332">
        <v>22950</v>
      </c>
      <c r="H6395" s="333">
        <v>27770</v>
      </c>
    </row>
    <row r="6396" spans="1:8">
      <c r="A6396" s="317">
        <v>1615108046</v>
      </c>
      <c r="B6396" s="330" t="s">
        <v>50762</v>
      </c>
      <c r="C6396" s="330" t="s">
        <v>15978</v>
      </c>
      <c r="D6396" s="330" t="s">
        <v>15979</v>
      </c>
      <c r="E6396" s="330" t="s">
        <v>4634</v>
      </c>
      <c r="F6396" s="331">
        <v>0.21</v>
      </c>
      <c r="G6396" s="332">
        <v>4737</v>
      </c>
      <c r="H6396" s="333">
        <v>5732</v>
      </c>
    </row>
    <row r="6397" spans="1:8">
      <c r="A6397" s="317">
        <v>1615108059</v>
      </c>
      <c r="B6397" s="330" t="s">
        <v>50763</v>
      </c>
      <c r="C6397" s="330" t="s">
        <v>15980</v>
      </c>
      <c r="D6397" s="330" t="s">
        <v>15981</v>
      </c>
      <c r="E6397" s="330" t="s">
        <v>4634</v>
      </c>
      <c r="F6397" s="331">
        <v>0.21</v>
      </c>
      <c r="G6397" s="332">
        <v>24143</v>
      </c>
      <c r="H6397" s="333">
        <v>29214</v>
      </c>
    </row>
    <row r="6398" spans="1:8">
      <c r="A6398" s="317">
        <v>1615108078</v>
      </c>
      <c r="B6398" s="330" t="s">
        <v>50764</v>
      </c>
      <c r="C6398" s="330" t="s">
        <v>15982</v>
      </c>
      <c r="D6398" s="330" t="s">
        <v>15983</v>
      </c>
      <c r="E6398" s="330" t="s">
        <v>4634</v>
      </c>
      <c r="F6398" s="331">
        <v>0.21</v>
      </c>
      <c r="G6398" s="332">
        <v>602</v>
      </c>
      <c r="H6398" s="333">
        <v>729</v>
      </c>
    </row>
    <row r="6399" spans="1:8">
      <c r="A6399" s="317">
        <v>1615108081</v>
      </c>
      <c r="B6399" s="330" t="s">
        <v>50765</v>
      </c>
      <c r="C6399" s="330" t="s">
        <v>15984</v>
      </c>
      <c r="D6399" s="330" t="s">
        <v>15985</v>
      </c>
      <c r="E6399" s="330" t="s">
        <v>4634</v>
      </c>
      <c r="F6399" s="331">
        <v>0.21</v>
      </c>
      <c r="G6399" s="332">
        <v>122</v>
      </c>
      <c r="H6399" s="333">
        <v>148</v>
      </c>
    </row>
    <row r="6400" spans="1:8">
      <c r="A6400" s="317">
        <v>1615108091</v>
      </c>
      <c r="B6400" s="330" t="s">
        <v>50766</v>
      </c>
      <c r="C6400" s="330" t="s">
        <v>15986</v>
      </c>
      <c r="D6400" s="330" t="s">
        <v>15987</v>
      </c>
      <c r="E6400" s="330" t="s">
        <v>4819</v>
      </c>
      <c r="F6400" s="331">
        <v>0.21</v>
      </c>
      <c r="G6400" s="332">
        <v>49699</v>
      </c>
      <c r="H6400" s="333">
        <v>60136</v>
      </c>
    </row>
    <row r="6401" spans="1:8">
      <c r="A6401" s="317">
        <v>1615108103</v>
      </c>
      <c r="B6401" s="330" t="s">
        <v>50767</v>
      </c>
      <c r="C6401" s="330" t="s">
        <v>15988</v>
      </c>
      <c r="D6401" s="330" t="s">
        <v>15989</v>
      </c>
      <c r="E6401" s="330" t="s">
        <v>4634</v>
      </c>
      <c r="F6401" s="331">
        <v>0.21</v>
      </c>
      <c r="G6401" s="332">
        <v>2491</v>
      </c>
      <c r="H6401" s="333">
        <v>3015</v>
      </c>
    </row>
    <row r="6402" spans="1:8">
      <c r="A6402" s="317">
        <v>1615108104</v>
      </c>
      <c r="B6402" s="330" t="s">
        <v>50768</v>
      </c>
      <c r="C6402" s="330" t="s">
        <v>15990</v>
      </c>
      <c r="D6402" s="330" t="s">
        <v>15991</v>
      </c>
      <c r="E6402" s="330" t="s">
        <v>37248</v>
      </c>
      <c r="F6402" s="331">
        <v>0.21</v>
      </c>
      <c r="G6402" s="332">
        <v>39194</v>
      </c>
      <c r="H6402" s="333">
        <v>47425</v>
      </c>
    </row>
    <row r="6403" spans="1:8">
      <c r="A6403" s="317">
        <v>1615108112</v>
      </c>
      <c r="B6403" s="330" t="s">
        <v>50769</v>
      </c>
      <c r="C6403" s="330" t="s">
        <v>15992</v>
      </c>
      <c r="D6403" s="330" t="s">
        <v>15993</v>
      </c>
      <c r="E6403" s="330" t="s">
        <v>4819</v>
      </c>
      <c r="F6403" s="331">
        <v>0.21</v>
      </c>
      <c r="G6403" s="332">
        <v>24640</v>
      </c>
      <c r="H6403" s="333">
        <v>29815</v>
      </c>
    </row>
    <row r="6404" spans="1:8">
      <c r="A6404" s="317">
        <v>1615108131</v>
      </c>
      <c r="B6404" s="330" t="s">
        <v>50770</v>
      </c>
      <c r="C6404" s="330" t="s">
        <v>15994</v>
      </c>
      <c r="D6404" s="330" t="s">
        <v>15995</v>
      </c>
      <c r="E6404" s="330" t="s">
        <v>4819</v>
      </c>
      <c r="F6404" s="331">
        <v>0.21</v>
      </c>
      <c r="G6404" s="332">
        <v>41947</v>
      </c>
      <c r="H6404" s="333">
        <v>50756</v>
      </c>
    </row>
    <row r="6405" spans="1:8">
      <c r="A6405" s="317">
        <v>1615108150</v>
      </c>
      <c r="B6405" s="330" t="s">
        <v>50771</v>
      </c>
      <c r="C6405" s="330" t="s">
        <v>15996</v>
      </c>
      <c r="D6405" s="330" t="s">
        <v>15997</v>
      </c>
      <c r="E6405" s="330" t="s">
        <v>37248</v>
      </c>
      <c r="F6405" s="331">
        <v>0.21</v>
      </c>
      <c r="G6405" s="332">
        <v>22706</v>
      </c>
      <c r="H6405" s="333">
        <v>27475</v>
      </c>
    </row>
    <row r="6406" spans="1:8">
      <c r="A6406" s="317">
        <v>1615108154</v>
      </c>
      <c r="B6406" s="330" t="s">
        <v>50772</v>
      </c>
      <c r="C6406" s="330" t="s">
        <v>15998</v>
      </c>
      <c r="D6406" s="330" t="s">
        <v>15999</v>
      </c>
      <c r="E6406" s="330" t="s">
        <v>4819</v>
      </c>
      <c r="F6406" s="331">
        <v>0.21</v>
      </c>
      <c r="G6406" s="332">
        <v>2038</v>
      </c>
      <c r="H6406" s="333">
        <v>2466</v>
      </c>
    </row>
    <row r="6407" spans="1:8">
      <c r="A6407" s="317">
        <v>1615108157</v>
      </c>
      <c r="B6407" s="330" t="s">
        <v>50773</v>
      </c>
      <c r="C6407" s="330" t="s">
        <v>16000</v>
      </c>
      <c r="D6407" s="330" t="s">
        <v>16001</v>
      </c>
      <c r="E6407" s="330" t="s">
        <v>4819</v>
      </c>
      <c r="F6407" s="331">
        <v>0.21</v>
      </c>
      <c r="G6407" s="332">
        <v>27248</v>
      </c>
      <c r="H6407" s="333">
        <v>32971</v>
      </c>
    </row>
    <row r="6408" spans="1:8">
      <c r="A6408" s="317">
        <v>1615108165</v>
      </c>
      <c r="B6408" s="330" t="s">
        <v>50774</v>
      </c>
      <c r="C6408" s="330" t="s">
        <v>16002</v>
      </c>
      <c r="D6408" s="330" t="s">
        <v>16003</v>
      </c>
      <c r="E6408" s="330" t="s">
        <v>37248</v>
      </c>
      <c r="F6408" s="331">
        <v>0.21</v>
      </c>
      <c r="G6408" s="332">
        <v>31210</v>
      </c>
      <c r="H6408" s="333">
        <v>37765</v>
      </c>
    </row>
    <row r="6409" spans="1:8">
      <c r="A6409" s="317">
        <v>1615108172</v>
      </c>
      <c r="B6409" s="330" t="s">
        <v>50775</v>
      </c>
      <c r="C6409" s="330" t="s">
        <v>16004</v>
      </c>
      <c r="D6409" s="330" t="s">
        <v>16005</v>
      </c>
      <c r="E6409" s="330" t="s">
        <v>37248</v>
      </c>
      <c r="F6409" s="331">
        <v>0.21</v>
      </c>
      <c r="G6409" s="332">
        <v>19396</v>
      </c>
      <c r="H6409" s="333">
        <v>23470</v>
      </c>
    </row>
    <row r="6410" spans="1:8">
      <c r="A6410" s="317">
        <v>1615132010</v>
      </c>
      <c r="B6410" s="330" t="s">
        <v>50776</v>
      </c>
      <c r="C6410" s="330" t="s">
        <v>16006</v>
      </c>
      <c r="D6410" s="330" t="s">
        <v>16007</v>
      </c>
      <c r="E6410" s="330" t="s">
        <v>37248</v>
      </c>
      <c r="F6410" s="331">
        <v>0.21</v>
      </c>
      <c r="G6410" s="332">
        <v>54551</v>
      </c>
      <c r="H6410" s="333">
        <v>66007</v>
      </c>
    </row>
    <row r="6411" spans="1:8">
      <c r="A6411" s="317">
        <v>1615132011</v>
      </c>
      <c r="B6411" s="330" t="s">
        <v>50777</v>
      </c>
      <c r="C6411" s="330" t="s">
        <v>16008</v>
      </c>
      <c r="D6411" s="330" t="s">
        <v>16009</v>
      </c>
      <c r="E6411" s="330" t="s">
        <v>37248</v>
      </c>
      <c r="F6411" s="331">
        <v>0.21</v>
      </c>
      <c r="G6411" s="332">
        <v>42487</v>
      </c>
      <c r="H6411" s="333">
        <v>51410</v>
      </c>
    </row>
    <row r="6412" spans="1:8">
      <c r="A6412" s="317">
        <v>1615132019</v>
      </c>
      <c r="B6412" s="330" t="s">
        <v>50778</v>
      </c>
      <c r="C6412" s="330" t="s">
        <v>16010</v>
      </c>
      <c r="D6412" s="330" t="s">
        <v>16011</v>
      </c>
      <c r="E6412" s="330" t="s">
        <v>4634</v>
      </c>
      <c r="F6412" s="331">
        <v>0.21</v>
      </c>
      <c r="G6412" s="332">
        <v>8572</v>
      </c>
      <c r="H6412" s="333">
        <v>10373</v>
      </c>
    </row>
    <row r="6413" spans="1:8">
      <c r="A6413" s="317">
        <v>1615132031</v>
      </c>
      <c r="B6413" s="330" t="s">
        <v>50779</v>
      </c>
      <c r="C6413" s="330" t="s">
        <v>16012</v>
      </c>
      <c r="D6413" s="330" t="s">
        <v>16013</v>
      </c>
      <c r="E6413" s="330" t="s">
        <v>4634</v>
      </c>
      <c r="F6413" s="331">
        <v>0.21</v>
      </c>
      <c r="G6413" s="332">
        <v>5523</v>
      </c>
      <c r="H6413" s="333">
        <v>6683</v>
      </c>
    </row>
    <row r="6414" spans="1:8">
      <c r="A6414" s="317">
        <v>1615132032</v>
      </c>
      <c r="B6414" s="330" t="s">
        <v>50780</v>
      </c>
      <c r="C6414" s="330" t="s">
        <v>16014</v>
      </c>
      <c r="D6414" s="330" t="s">
        <v>16015</v>
      </c>
      <c r="E6414" s="330" t="s">
        <v>4634</v>
      </c>
      <c r="F6414" s="331">
        <v>0.21</v>
      </c>
      <c r="G6414" s="332">
        <v>2837</v>
      </c>
      <c r="H6414" s="333">
        <v>3433</v>
      </c>
    </row>
    <row r="6415" spans="1:8">
      <c r="A6415" s="317">
        <v>1615132034</v>
      </c>
      <c r="B6415" s="330" t="s">
        <v>50781</v>
      </c>
      <c r="C6415" s="330" t="s">
        <v>16016</v>
      </c>
      <c r="D6415" s="330" t="s">
        <v>16017</v>
      </c>
      <c r="E6415" s="330" t="s">
        <v>4634</v>
      </c>
      <c r="F6415" s="331">
        <v>0.21</v>
      </c>
      <c r="G6415" s="332">
        <v>5288</v>
      </c>
      <c r="H6415" s="333">
        <v>6399</v>
      </c>
    </row>
    <row r="6416" spans="1:8">
      <c r="A6416" s="317">
        <v>1615132041</v>
      </c>
      <c r="B6416" s="330" t="s">
        <v>50782</v>
      </c>
      <c r="C6416" s="330" t="s">
        <v>16018</v>
      </c>
      <c r="D6416" s="330" t="s">
        <v>16019</v>
      </c>
      <c r="E6416" s="330" t="s">
        <v>4634</v>
      </c>
      <c r="F6416" s="331">
        <v>0.21</v>
      </c>
      <c r="G6416" s="332">
        <v>2775</v>
      </c>
      <c r="H6416" s="333">
        <v>3358</v>
      </c>
    </row>
    <row r="6417" spans="1:8">
      <c r="A6417" s="317">
        <v>1615132043</v>
      </c>
      <c r="B6417" s="330" t="s">
        <v>50783</v>
      </c>
      <c r="C6417" s="330" t="s">
        <v>16020</v>
      </c>
      <c r="D6417" s="330" t="s">
        <v>16021</v>
      </c>
      <c r="E6417" s="330" t="s">
        <v>4634</v>
      </c>
      <c r="F6417" s="331">
        <v>0.21</v>
      </c>
      <c r="G6417" s="332">
        <v>13116</v>
      </c>
      <c r="H6417" s="333">
        <v>15871</v>
      </c>
    </row>
    <row r="6418" spans="1:8">
      <c r="A6418" s="317">
        <v>1615132045</v>
      </c>
      <c r="B6418" s="330" t="s">
        <v>50784</v>
      </c>
      <c r="C6418" s="330" t="s">
        <v>16022</v>
      </c>
      <c r="D6418" s="330" t="s">
        <v>16023</v>
      </c>
      <c r="E6418" s="330" t="s">
        <v>4634</v>
      </c>
      <c r="F6418" s="331">
        <v>0.21</v>
      </c>
      <c r="G6418" s="332">
        <v>14694</v>
      </c>
      <c r="H6418" s="333">
        <v>17780</v>
      </c>
    </row>
    <row r="6419" spans="1:8">
      <c r="A6419" s="317">
        <v>1615132051</v>
      </c>
      <c r="B6419" s="330" t="s">
        <v>50785</v>
      </c>
      <c r="C6419" s="330" t="s">
        <v>16024</v>
      </c>
      <c r="D6419" s="330" t="s">
        <v>16025</v>
      </c>
      <c r="E6419" s="330" t="s">
        <v>4623</v>
      </c>
      <c r="F6419" s="331">
        <v>0.21</v>
      </c>
      <c r="G6419" s="332">
        <v>46424</v>
      </c>
      <c r="H6419" s="333">
        <v>56174</v>
      </c>
    </row>
    <row r="6420" spans="1:8">
      <c r="A6420" s="317">
        <v>1615132054</v>
      </c>
      <c r="B6420" s="330" t="s">
        <v>50786</v>
      </c>
      <c r="C6420" s="330" t="s">
        <v>16026</v>
      </c>
      <c r="D6420" s="330" t="s">
        <v>16027</v>
      </c>
      <c r="E6420" s="330" t="s">
        <v>4634</v>
      </c>
      <c r="F6420" s="331">
        <v>0.21</v>
      </c>
      <c r="G6420" s="332">
        <v>903</v>
      </c>
      <c r="H6420" s="333">
        <v>1093</v>
      </c>
    </row>
    <row r="6421" spans="1:8">
      <c r="A6421" s="317">
        <v>1615132055</v>
      </c>
      <c r="B6421" s="330" t="s">
        <v>50787</v>
      </c>
      <c r="C6421" s="330" t="s">
        <v>16028</v>
      </c>
      <c r="D6421" s="330" t="s">
        <v>16029</v>
      </c>
      <c r="E6421" s="330" t="s">
        <v>4634</v>
      </c>
      <c r="F6421" s="331">
        <v>0.21</v>
      </c>
      <c r="G6421" s="332">
        <v>8307</v>
      </c>
      <c r="H6421" s="333">
        <v>10052</v>
      </c>
    </row>
    <row r="6422" spans="1:8">
      <c r="A6422" s="317">
        <v>1615132065</v>
      </c>
      <c r="B6422" s="330" t="s">
        <v>50788</v>
      </c>
      <c r="C6422" s="330" t="s">
        <v>16030</v>
      </c>
      <c r="D6422" s="330" t="s">
        <v>16031</v>
      </c>
      <c r="E6422" s="330" t="s">
        <v>4634</v>
      </c>
      <c r="F6422" s="331">
        <v>0.21</v>
      </c>
      <c r="G6422" s="332">
        <v>1150</v>
      </c>
      <c r="H6422" s="333">
        <v>1392</v>
      </c>
    </row>
    <row r="6423" spans="1:8">
      <c r="A6423" s="317">
        <v>1615132074</v>
      </c>
      <c r="B6423" s="330" t="s">
        <v>50789</v>
      </c>
      <c r="C6423" s="330" t="s">
        <v>16032</v>
      </c>
      <c r="D6423" s="330" t="s">
        <v>16033</v>
      </c>
      <c r="E6423" s="330" t="s">
        <v>4634</v>
      </c>
      <c r="F6423" s="331">
        <v>0.21</v>
      </c>
      <c r="G6423" s="332">
        <v>14394</v>
      </c>
      <c r="H6423" s="333">
        <v>17417</v>
      </c>
    </row>
    <row r="6424" spans="1:8">
      <c r="A6424" s="317">
        <v>1615132075</v>
      </c>
      <c r="B6424" s="330" t="s">
        <v>50790</v>
      </c>
      <c r="C6424" s="330" t="s">
        <v>16034</v>
      </c>
      <c r="D6424" s="330" t="s">
        <v>16035</v>
      </c>
      <c r="E6424" s="330" t="s">
        <v>4634</v>
      </c>
      <c r="F6424" s="331">
        <v>0.21</v>
      </c>
      <c r="G6424" s="332">
        <v>1641</v>
      </c>
      <c r="H6424" s="333">
        <v>1986</v>
      </c>
    </row>
    <row r="6425" spans="1:8">
      <c r="A6425" s="317">
        <v>1615132077</v>
      </c>
      <c r="B6425" s="330" t="s">
        <v>50791</v>
      </c>
      <c r="C6425" s="330" t="s">
        <v>16036</v>
      </c>
      <c r="D6425" s="330" t="s">
        <v>16037</v>
      </c>
      <c r="E6425" s="330" t="s">
        <v>4634</v>
      </c>
      <c r="F6425" s="331">
        <v>0.21</v>
      </c>
      <c r="G6425" s="332">
        <v>49</v>
      </c>
      <c r="H6425" s="333">
        <v>60</v>
      </c>
    </row>
    <row r="6426" spans="1:8">
      <c r="A6426" s="317">
        <v>1615132082</v>
      </c>
      <c r="B6426" s="330" t="s">
        <v>50792</v>
      </c>
      <c r="C6426" s="330" t="s">
        <v>16038</v>
      </c>
      <c r="D6426" s="330" t="s">
        <v>16039</v>
      </c>
      <c r="E6426" s="330" t="s">
        <v>37248</v>
      </c>
      <c r="F6426" s="331">
        <v>0.21</v>
      </c>
      <c r="G6426" s="332">
        <v>57439</v>
      </c>
      <c r="H6426" s="333">
        <v>69502</v>
      </c>
    </row>
    <row r="6427" spans="1:8">
      <c r="A6427" s="317">
        <v>1615132083</v>
      </c>
      <c r="B6427" s="330" t="s">
        <v>50793</v>
      </c>
      <c r="C6427" s="330" t="s">
        <v>16040</v>
      </c>
      <c r="D6427" s="330" t="s">
        <v>16041</v>
      </c>
      <c r="E6427" s="330" t="s">
        <v>37248</v>
      </c>
      <c r="F6427" s="331">
        <v>0.21</v>
      </c>
      <c r="G6427" s="332">
        <v>45288</v>
      </c>
      <c r="H6427" s="333">
        <v>54799</v>
      </c>
    </row>
    <row r="6428" spans="1:8">
      <c r="A6428" s="317">
        <v>1615132087</v>
      </c>
      <c r="B6428" s="330" t="s">
        <v>50794</v>
      </c>
      <c r="C6428" s="330" t="s">
        <v>16042</v>
      </c>
      <c r="D6428" s="330" t="s">
        <v>16043</v>
      </c>
      <c r="E6428" s="330" t="s">
        <v>4819</v>
      </c>
      <c r="F6428" s="331">
        <v>0.21</v>
      </c>
      <c r="G6428" s="332">
        <v>72076</v>
      </c>
      <c r="H6428" s="333">
        <v>87212</v>
      </c>
    </row>
    <row r="6429" spans="1:8">
      <c r="A6429" s="317">
        <v>1615132088</v>
      </c>
      <c r="B6429" s="330" t="s">
        <v>50795</v>
      </c>
      <c r="C6429" s="330" t="s">
        <v>16044</v>
      </c>
      <c r="D6429" s="330" t="s">
        <v>16045</v>
      </c>
      <c r="E6429" s="330" t="s">
        <v>37248</v>
      </c>
      <c r="F6429" s="331">
        <v>0.21</v>
      </c>
      <c r="G6429" s="332">
        <v>29060</v>
      </c>
      <c r="H6429" s="333">
        <v>35163</v>
      </c>
    </row>
    <row r="6430" spans="1:8">
      <c r="A6430" s="317">
        <v>1615132089</v>
      </c>
      <c r="B6430" s="330" t="s">
        <v>50796</v>
      </c>
      <c r="C6430" s="330" t="s">
        <v>16046</v>
      </c>
      <c r="D6430" s="330" t="s">
        <v>16047</v>
      </c>
      <c r="E6430" s="330" t="s">
        <v>4819</v>
      </c>
      <c r="F6430" s="331">
        <v>0.21</v>
      </c>
      <c r="G6430" s="332">
        <v>9418</v>
      </c>
      <c r="H6430" s="333">
        <v>11396</v>
      </c>
    </row>
    <row r="6431" spans="1:8">
      <c r="A6431" s="317">
        <v>1615132102</v>
      </c>
      <c r="B6431" s="330" t="s">
        <v>50797</v>
      </c>
      <c r="C6431" s="330" t="s">
        <v>16048</v>
      </c>
      <c r="D6431" s="330" t="s">
        <v>16049</v>
      </c>
      <c r="E6431" s="330" t="s">
        <v>37248</v>
      </c>
      <c r="F6431" s="331">
        <v>0.21</v>
      </c>
      <c r="G6431" s="332">
        <v>73372</v>
      </c>
      <c r="H6431" s="333">
        <v>88781</v>
      </c>
    </row>
    <row r="6432" spans="1:8">
      <c r="A6432" s="317">
        <v>1615132109</v>
      </c>
      <c r="B6432" s="330" t="s">
        <v>50798</v>
      </c>
      <c r="C6432" s="330" t="s">
        <v>16050</v>
      </c>
      <c r="D6432" s="330" t="s">
        <v>16051</v>
      </c>
      <c r="E6432" s="330" t="s">
        <v>4819</v>
      </c>
      <c r="F6432" s="331">
        <v>0.21</v>
      </c>
      <c r="G6432" s="332">
        <v>34409</v>
      </c>
      <c r="H6432" s="333">
        <v>41635</v>
      </c>
    </row>
    <row r="6433" spans="1:8">
      <c r="A6433" s="317">
        <v>1615132116</v>
      </c>
      <c r="B6433" s="330" t="s">
        <v>50799</v>
      </c>
      <c r="C6433" s="330" t="s">
        <v>16052</v>
      </c>
      <c r="D6433" s="330" t="s">
        <v>16053</v>
      </c>
      <c r="E6433" s="330" t="s">
        <v>4634</v>
      </c>
      <c r="F6433" s="331">
        <v>0.21</v>
      </c>
      <c r="G6433" s="332">
        <v>1514</v>
      </c>
      <c r="H6433" s="333">
        <v>1832</v>
      </c>
    </row>
    <row r="6434" spans="1:8">
      <c r="A6434" s="317">
        <v>1615132118</v>
      </c>
      <c r="B6434" s="330" t="s">
        <v>50800</v>
      </c>
      <c r="C6434" s="330" t="s">
        <v>16054</v>
      </c>
      <c r="D6434" s="330" t="s">
        <v>16055</v>
      </c>
      <c r="E6434" s="330" t="s">
        <v>4634</v>
      </c>
      <c r="F6434" s="331">
        <v>0.21</v>
      </c>
      <c r="G6434" s="332">
        <v>12550</v>
      </c>
      <c r="H6434" s="333">
        <v>15186</v>
      </c>
    </row>
    <row r="6435" spans="1:8">
      <c r="A6435" s="317">
        <v>1615132124</v>
      </c>
      <c r="B6435" s="330" t="s">
        <v>50801</v>
      </c>
      <c r="C6435" s="330" t="s">
        <v>16056</v>
      </c>
      <c r="D6435" s="330" t="s">
        <v>16057</v>
      </c>
      <c r="E6435" s="330" t="s">
        <v>37248</v>
      </c>
      <c r="F6435" s="331">
        <v>0.21</v>
      </c>
      <c r="G6435" s="332">
        <v>41938</v>
      </c>
      <c r="H6435" s="333">
        <v>50745</v>
      </c>
    </row>
    <row r="6436" spans="1:8">
      <c r="A6436" s="317">
        <v>1615132125</v>
      </c>
      <c r="B6436" s="330" t="s">
        <v>50802</v>
      </c>
      <c r="C6436" s="330" t="s">
        <v>16058</v>
      </c>
      <c r="D6436" s="330" t="s">
        <v>16059</v>
      </c>
      <c r="E6436" s="330" t="s">
        <v>37248</v>
      </c>
      <c r="F6436" s="331">
        <v>0.21</v>
      </c>
      <c r="G6436" s="332">
        <v>47928</v>
      </c>
      <c r="H6436" s="333">
        <v>57993</v>
      </c>
    </row>
    <row r="6437" spans="1:8">
      <c r="A6437" s="317">
        <v>1615132129</v>
      </c>
      <c r="B6437" s="330" t="s">
        <v>50803</v>
      </c>
      <c r="C6437" s="330" t="s">
        <v>16060</v>
      </c>
      <c r="D6437" s="330" t="s">
        <v>16061</v>
      </c>
      <c r="E6437" s="330" t="s">
        <v>4634</v>
      </c>
      <c r="F6437" s="331">
        <v>0.21</v>
      </c>
      <c r="G6437" s="332">
        <v>4302</v>
      </c>
      <c r="H6437" s="333">
        <v>5206</v>
      </c>
    </row>
    <row r="6438" spans="1:8">
      <c r="A6438" s="317">
        <v>1615132131</v>
      </c>
      <c r="B6438" s="330" t="s">
        <v>50804</v>
      </c>
      <c r="C6438" s="330" t="s">
        <v>16062</v>
      </c>
      <c r="D6438" s="330" t="s">
        <v>16063</v>
      </c>
      <c r="E6438" s="330" t="s">
        <v>4634</v>
      </c>
      <c r="F6438" s="331">
        <v>0.21</v>
      </c>
      <c r="G6438" s="332">
        <v>17156</v>
      </c>
      <c r="H6438" s="333">
        <v>20759</v>
      </c>
    </row>
    <row r="6439" spans="1:8">
      <c r="A6439" s="317">
        <v>1615132132</v>
      </c>
      <c r="B6439" s="330" t="s">
        <v>50805</v>
      </c>
      <c r="C6439" s="330" t="s">
        <v>16064</v>
      </c>
      <c r="D6439" s="330" t="s">
        <v>16065</v>
      </c>
      <c r="E6439" s="330" t="s">
        <v>4819</v>
      </c>
      <c r="F6439" s="331">
        <v>0.21</v>
      </c>
      <c r="G6439" s="332">
        <v>59590</v>
      </c>
      <c r="H6439" s="333">
        <v>72104</v>
      </c>
    </row>
    <row r="6440" spans="1:8">
      <c r="A6440" s="317" t="s">
        <v>40413</v>
      </c>
      <c r="B6440" s="330" t="s">
        <v>50806</v>
      </c>
      <c r="C6440" s="330" t="s">
        <v>16066</v>
      </c>
      <c r="D6440" s="330" t="s">
        <v>16067</v>
      </c>
      <c r="E6440" s="330" t="s">
        <v>4819</v>
      </c>
      <c r="F6440" s="331">
        <v>0.21</v>
      </c>
      <c r="G6440" s="332">
        <v>10131</v>
      </c>
      <c r="H6440" s="333">
        <v>12259</v>
      </c>
    </row>
    <row r="6441" spans="1:8">
      <c r="A6441" s="317">
        <v>1615133021</v>
      </c>
      <c r="B6441" s="330" t="s">
        <v>50807</v>
      </c>
      <c r="C6441" s="330" t="s">
        <v>16068</v>
      </c>
      <c r="D6441" s="330" t="s">
        <v>16069</v>
      </c>
      <c r="E6441" s="330" t="s">
        <v>4634</v>
      </c>
      <c r="F6441" s="331">
        <v>0.21</v>
      </c>
      <c r="G6441" s="332">
        <v>4432</v>
      </c>
      <c r="H6441" s="333">
        <v>5363</v>
      </c>
    </row>
    <row r="6442" spans="1:8">
      <c r="A6442" s="317">
        <v>1615133027</v>
      </c>
      <c r="B6442" s="330" t="s">
        <v>50808</v>
      </c>
      <c r="C6442" s="330" t="s">
        <v>16070</v>
      </c>
      <c r="D6442" s="330" t="s">
        <v>16071</v>
      </c>
      <c r="E6442" s="330" t="s">
        <v>4634</v>
      </c>
      <c r="F6442" s="331">
        <v>0.21</v>
      </c>
      <c r="G6442" s="332">
        <v>9128</v>
      </c>
      <c r="H6442" s="333">
        <v>11045</v>
      </c>
    </row>
    <row r="6443" spans="1:8">
      <c r="A6443" s="317">
        <v>1615133030</v>
      </c>
      <c r="B6443" s="330" t="s">
        <v>50809</v>
      </c>
      <c r="C6443" s="330" t="s">
        <v>16072</v>
      </c>
      <c r="D6443" s="330" t="s">
        <v>16073</v>
      </c>
      <c r="E6443" s="330" t="s">
        <v>4819</v>
      </c>
      <c r="F6443" s="331">
        <v>0.21</v>
      </c>
      <c r="G6443" s="332">
        <v>10872</v>
      </c>
      <c r="H6443" s="333">
        <v>13156</v>
      </c>
    </row>
    <row r="6444" spans="1:8">
      <c r="A6444" s="317">
        <v>1615133031</v>
      </c>
      <c r="B6444" s="330" t="s">
        <v>50810</v>
      </c>
      <c r="C6444" s="330" t="s">
        <v>16074</v>
      </c>
      <c r="D6444" s="330" t="s">
        <v>16075</v>
      </c>
      <c r="E6444" s="330" t="s">
        <v>4634</v>
      </c>
      <c r="F6444" s="331">
        <v>0.21</v>
      </c>
      <c r="G6444" s="332">
        <v>3154</v>
      </c>
      <c r="H6444" s="333">
        <v>3817</v>
      </c>
    </row>
    <row r="6445" spans="1:8">
      <c r="A6445" s="317">
        <v>1615133033</v>
      </c>
      <c r="B6445" s="330" t="s">
        <v>50811</v>
      </c>
      <c r="C6445" s="330" t="s">
        <v>16076</v>
      </c>
      <c r="D6445" s="330" t="s">
        <v>16077</v>
      </c>
      <c r="E6445" s="330" t="s">
        <v>4819</v>
      </c>
      <c r="F6445" s="331">
        <v>0.21</v>
      </c>
      <c r="G6445" s="332">
        <v>11635</v>
      </c>
      <c r="H6445" s="333">
        <v>14079</v>
      </c>
    </row>
    <row r="6446" spans="1:8">
      <c r="A6446" s="317">
        <v>1615133038</v>
      </c>
      <c r="B6446" s="330" t="s">
        <v>50812</v>
      </c>
      <c r="C6446" s="330" t="s">
        <v>16078</v>
      </c>
      <c r="D6446" s="330" t="s">
        <v>16079</v>
      </c>
      <c r="E6446" s="330" t="s">
        <v>37248</v>
      </c>
      <c r="F6446" s="331">
        <v>0.21</v>
      </c>
      <c r="G6446" s="332">
        <v>15146</v>
      </c>
      <c r="H6446" s="333">
        <v>18327</v>
      </c>
    </row>
    <row r="6447" spans="1:8">
      <c r="A6447" s="317">
        <v>1615133039</v>
      </c>
      <c r="B6447" s="330" t="s">
        <v>50813</v>
      </c>
      <c r="C6447" s="330" t="s">
        <v>16080</v>
      </c>
      <c r="D6447" s="330" t="s">
        <v>16081</v>
      </c>
      <c r="E6447" s="330" t="s">
        <v>4819</v>
      </c>
      <c r="F6447" s="331">
        <v>0.21</v>
      </c>
      <c r="G6447" s="332">
        <v>22606</v>
      </c>
      <c r="H6447" s="333">
        <v>27354</v>
      </c>
    </row>
    <row r="6448" spans="1:8">
      <c r="A6448" s="317">
        <v>1615190023</v>
      </c>
      <c r="B6448" s="330" t="s">
        <v>50814</v>
      </c>
      <c r="C6448" s="330" t="s">
        <v>16082</v>
      </c>
      <c r="D6448" s="330" t="s">
        <v>16083</v>
      </c>
      <c r="E6448" s="330" t="s">
        <v>4634</v>
      </c>
      <c r="F6448" s="331">
        <v>0.21</v>
      </c>
      <c r="G6448" s="332">
        <v>3490</v>
      </c>
      <c r="H6448" s="333">
        <v>4223</v>
      </c>
    </row>
    <row r="6449" spans="1:8">
      <c r="A6449" s="317">
        <v>1615190026</v>
      </c>
      <c r="B6449" s="330" t="s">
        <v>50815</v>
      </c>
      <c r="C6449" s="330" t="s">
        <v>16084</v>
      </c>
      <c r="D6449" s="330" t="s">
        <v>16085</v>
      </c>
      <c r="E6449" s="330" t="s">
        <v>4634</v>
      </c>
      <c r="F6449" s="331">
        <v>0.21</v>
      </c>
      <c r="G6449" s="332">
        <v>5123</v>
      </c>
      <c r="H6449" s="333">
        <v>6199</v>
      </c>
    </row>
    <row r="6450" spans="1:8">
      <c r="A6450" s="317">
        <v>1615190027</v>
      </c>
      <c r="B6450" s="330" t="s">
        <v>50816</v>
      </c>
      <c r="C6450" s="330" t="s">
        <v>16086</v>
      </c>
      <c r="D6450" s="330" t="s">
        <v>16087</v>
      </c>
      <c r="E6450" s="330" t="s">
        <v>4634</v>
      </c>
      <c r="F6450" s="331">
        <v>0.21</v>
      </c>
      <c r="G6450" s="332">
        <v>4851</v>
      </c>
      <c r="H6450" s="333">
        <v>5870</v>
      </c>
    </row>
    <row r="6451" spans="1:8">
      <c r="A6451" s="317">
        <v>1615190028</v>
      </c>
      <c r="B6451" s="330" t="s">
        <v>50817</v>
      </c>
      <c r="C6451" s="330" t="s">
        <v>16088</v>
      </c>
      <c r="D6451" s="330" t="s">
        <v>16089</v>
      </c>
      <c r="E6451" s="330" t="s">
        <v>4634</v>
      </c>
      <c r="F6451" s="331">
        <v>0.21</v>
      </c>
      <c r="G6451" s="332">
        <v>1126</v>
      </c>
      <c r="H6451" s="333">
        <v>1363</v>
      </c>
    </row>
    <row r="6452" spans="1:8">
      <c r="A6452" s="317">
        <v>1615190052</v>
      </c>
      <c r="B6452" s="330" t="s">
        <v>50818</v>
      </c>
      <c r="C6452" s="330" t="s">
        <v>16090</v>
      </c>
      <c r="D6452" s="330" t="s">
        <v>16091</v>
      </c>
      <c r="E6452" s="330" t="s">
        <v>4634</v>
      </c>
      <c r="F6452" s="331">
        <v>0.21</v>
      </c>
      <c r="G6452" s="332">
        <v>6426</v>
      </c>
      <c r="H6452" s="333">
        <v>7776</v>
      </c>
    </row>
    <row r="6453" spans="1:8">
      <c r="A6453" s="317">
        <v>1615190056</v>
      </c>
      <c r="B6453" s="330" t="s">
        <v>50819</v>
      </c>
      <c r="C6453" s="330" t="s">
        <v>16092</v>
      </c>
      <c r="D6453" s="330" t="s">
        <v>16093</v>
      </c>
      <c r="E6453" s="330" t="s">
        <v>4634</v>
      </c>
      <c r="F6453" s="331">
        <v>0.21</v>
      </c>
      <c r="G6453" s="332">
        <v>5097</v>
      </c>
      <c r="H6453" s="333">
        <v>6168</v>
      </c>
    </row>
    <row r="6454" spans="1:8">
      <c r="A6454" s="317">
        <v>1615190057</v>
      </c>
      <c r="B6454" s="330" t="s">
        <v>50820</v>
      </c>
      <c r="C6454" s="330" t="s">
        <v>16094</v>
      </c>
      <c r="D6454" s="330" t="s">
        <v>16093</v>
      </c>
      <c r="E6454" s="330" t="s">
        <v>4634</v>
      </c>
      <c r="F6454" s="331">
        <v>0.21</v>
      </c>
      <c r="G6454" s="332">
        <v>4737</v>
      </c>
      <c r="H6454" s="333">
        <v>5732</v>
      </c>
    </row>
    <row r="6455" spans="1:8">
      <c r="A6455" s="317">
        <v>1615190073</v>
      </c>
      <c r="B6455" s="330" t="s">
        <v>50821</v>
      </c>
      <c r="C6455" s="330" t="s">
        <v>16095</v>
      </c>
      <c r="D6455" s="330" t="s">
        <v>16096</v>
      </c>
      <c r="E6455" s="330" t="s">
        <v>4634</v>
      </c>
      <c r="F6455" s="331">
        <v>0.21</v>
      </c>
      <c r="G6455" s="332">
        <v>2212</v>
      </c>
      <c r="H6455" s="333">
        <v>2677</v>
      </c>
    </row>
    <row r="6456" spans="1:8">
      <c r="A6456" s="317">
        <v>1615190074</v>
      </c>
      <c r="B6456" s="330" t="s">
        <v>50822</v>
      </c>
      <c r="C6456" s="330" t="s">
        <v>16097</v>
      </c>
      <c r="D6456" s="330" t="s">
        <v>16098</v>
      </c>
      <c r="E6456" s="330" t="s">
        <v>4634</v>
      </c>
      <c r="F6456" s="331">
        <v>0.21</v>
      </c>
      <c r="G6456" s="332">
        <v>3490</v>
      </c>
      <c r="H6456" s="333">
        <v>4223</v>
      </c>
    </row>
    <row r="6457" spans="1:8">
      <c r="A6457" s="317">
        <v>1615190079</v>
      </c>
      <c r="B6457" s="330" t="s">
        <v>50823</v>
      </c>
      <c r="C6457" s="330" t="s">
        <v>16099</v>
      </c>
      <c r="D6457" s="330" t="s">
        <v>16100</v>
      </c>
      <c r="E6457" s="330" t="s">
        <v>4634</v>
      </c>
      <c r="F6457" s="331">
        <v>0.21</v>
      </c>
      <c r="G6457" s="332">
        <v>4233</v>
      </c>
      <c r="H6457" s="333">
        <v>5122</v>
      </c>
    </row>
    <row r="6458" spans="1:8">
      <c r="A6458" s="317">
        <v>1615190080</v>
      </c>
      <c r="B6458" s="330" t="s">
        <v>50824</v>
      </c>
      <c r="C6458" s="330" t="s">
        <v>16101</v>
      </c>
      <c r="D6458" s="330" t="s">
        <v>16102</v>
      </c>
      <c r="E6458" s="330" t="s">
        <v>4634</v>
      </c>
      <c r="F6458" s="331">
        <v>0.21</v>
      </c>
      <c r="G6458" s="332">
        <v>486</v>
      </c>
      <c r="H6458" s="333">
        <v>589</v>
      </c>
    </row>
    <row r="6459" spans="1:8">
      <c r="A6459" s="317">
        <v>1615190086</v>
      </c>
      <c r="B6459" s="330" t="s">
        <v>50825</v>
      </c>
      <c r="C6459" s="330" t="s">
        <v>16103</v>
      </c>
      <c r="D6459" s="330" t="s">
        <v>16104</v>
      </c>
      <c r="E6459" s="330" t="s">
        <v>4634</v>
      </c>
      <c r="F6459" s="331">
        <v>0.21</v>
      </c>
      <c r="G6459" s="332">
        <v>5123</v>
      </c>
      <c r="H6459" s="333">
        <v>6199</v>
      </c>
    </row>
    <row r="6460" spans="1:8">
      <c r="A6460" s="317">
        <v>1615190087</v>
      </c>
      <c r="B6460" s="330" t="s">
        <v>50826</v>
      </c>
      <c r="C6460" s="330" t="s">
        <v>16105</v>
      </c>
      <c r="D6460" s="330" t="s">
        <v>16106</v>
      </c>
      <c r="E6460" s="330" t="s">
        <v>4634</v>
      </c>
      <c r="F6460" s="331">
        <v>0.21</v>
      </c>
      <c r="G6460" s="332">
        <v>1170</v>
      </c>
      <c r="H6460" s="333">
        <v>1416</v>
      </c>
    </row>
    <row r="6461" spans="1:8">
      <c r="A6461" s="317">
        <v>1615190093</v>
      </c>
      <c r="B6461" s="330" t="s">
        <v>50827</v>
      </c>
      <c r="C6461" s="330" t="s">
        <v>16107</v>
      </c>
      <c r="D6461" s="330" t="s">
        <v>16108</v>
      </c>
      <c r="E6461" s="330" t="s">
        <v>4819</v>
      </c>
      <c r="F6461" s="331">
        <v>0.21</v>
      </c>
      <c r="G6461" s="332">
        <v>38199</v>
      </c>
      <c r="H6461" s="333">
        <v>46221</v>
      </c>
    </row>
    <row r="6462" spans="1:8">
      <c r="A6462" s="317">
        <v>1615190094</v>
      </c>
      <c r="B6462" s="330" t="s">
        <v>50828</v>
      </c>
      <c r="C6462" s="330" t="s">
        <v>16109</v>
      </c>
      <c r="D6462" s="330" t="s">
        <v>16110</v>
      </c>
      <c r="E6462" s="330" t="s">
        <v>4819</v>
      </c>
      <c r="F6462" s="331">
        <v>0.21</v>
      </c>
      <c r="G6462" s="332">
        <v>33336</v>
      </c>
      <c r="H6462" s="333">
        <v>40337</v>
      </c>
    </row>
    <row r="6463" spans="1:8">
      <c r="A6463" s="317">
        <v>1615190096</v>
      </c>
      <c r="B6463" s="330" t="s">
        <v>50829</v>
      </c>
      <c r="C6463" s="330" t="s">
        <v>16111</v>
      </c>
      <c r="D6463" s="330" t="s">
        <v>16110</v>
      </c>
      <c r="E6463" s="330" t="s">
        <v>4819</v>
      </c>
      <c r="F6463" s="331">
        <v>0.21</v>
      </c>
      <c r="G6463" s="332">
        <v>26574</v>
      </c>
      <c r="H6463" s="333">
        <v>32155</v>
      </c>
    </row>
    <row r="6464" spans="1:8">
      <c r="A6464" s="317">
        <v>1615190101</v>
      </c>
      <c r="B6464" s="330" t="s">
        <v>50830</v>
      </c>
      <c r="C6464" s="330" t="s">
        <v>16112</v>
      </c>
      <c r="D6464" s="330" t="s">
        <v>16113</v>
      </c>
      <c r="E6464" s="330" t="s">
        <v>4634</v>
      </c>
      <c r="F6464" s="331">
        <v>0.21</v>
      </c>
      <c r="G6464" s="332">
        <v>3696</v>
      </c>
      <c r="H6464" s="333">
        <v>4473</v>
      </c>
    </row>
    <row r="6465" spans="1:8">
      <c r="A6465" s="317">
        <v>1615190105</v>
      </c>
      <c r="B6465" s="330" t="s">
        <v>50831</v>
      </c>
      <c r="C6465" s="330" t="s">
        <v>16114</v>
      </c>
      <c r="D6465" s="330" t="s">
        <v>16115</v>
      </c>
      <c r="E6465" s="330" t="s">
        <v>4634</v>
      </c>
      <c r="F6465" s="331">
        <v>0.21</v>
      </c>
      <c r="G6465" s="332">
        <v>3673</v>
      </c>
      <c r="H6465" s="333">
        <v>4445</v>
      </c>
    </row>
    <row r="6466" spans="1:8">
      <c r="A6466" s="317">
        <v>1615190108</v>
      </c>
      <c r="B6466" s="330" t="s">
        <v>50832</v>
      </c>
      <c r="C6466" s="330" t="s">
        <v>16116</v>
      </c>
      <c r="D6466" s="330" t="s">
        <v>16117</v>
      </c>
      <c r="E6466" s="330" t="s">
        <v>4634</v>
      </c>
      <c r="F6466" s="331">
        <v>0.21</v>
      </c>
      <c r="G6466" s="332">
        <v>2462</v>
      </c>
      <c r="H6466" s="333">
        <v>2980</v>
      </c>
    </row>
    <row r="6467" spans="1:8">
      <c r="A6467" s="317">
        <v>1615190142</v>
      </c>
      <c r="B6467" s="330" t="s">
        <v>50833</v>
      </c>
      <c r="C6467" s="330" t="s">
        <v>16118</v>
      </c>
      <c r="D6467" s="330" t="s">
        <v>16119</v>
      </c>
      <c r="E6467" s="330" t="s">
        <v>4634</v>
      </c>
      <c r="F6467" s="331">
        <v>0.21</v>
      </c>
      <c r="G6467" s="332">
        <v>7879</v>
      </c>
      <c r="H6467" s="333">
        <v>9534</v>
      </c>
    </row>
    <row r="6468" spans="1:8">
      <c r="A6468" s="317">
        <v>1615190158</v>
      </c>
      <c r="B6468" s="330" t="s">
        <v>50834</v>
      </c>
      <c r="C6468" s="330" t="s">
        <v>16120</v>
      </c>
      <c r="D6468" s="330" t="s">
        <v>16121</v>
      </c>
      <c r="E6468" s="330" t="s">
        <v>4819</v>
      </c>
      <c r="F6468" s="331">
        <v>0.21</v>
      </c>
      <c r="G6468" s="332">
        <v>8280</v>
      </c>
      <c r="H6468" s="333">
        <v>10019</v>
      </c>
    </row>
    <row r="6469" spans="1:8">
      <c r="A6469" s="317">
        <v>1615190159</v>
      </c>
      <c r="B6469" s="330" t="s">
        <v>50835</v>
      </c>
      <c r="C6469" s="330" t="s">
        <v>16122</v>
      </c>
      <c r="D6469" s="330" t="s">
        <v>16123</v>
      </c>
      <c r="E6469" s="330" t="s">
        <v>4634</v>
      </c>
      <c r="F6469" s="331">
        <v>0.21</v>
      </c>
      <c r="G6469" s="332">
        <v>3421</v>
      </c>
      <c r="H6469" s="333">
        <v>4140</v>
      </c>
    </row>
    <row r="6470" spans="1:8">
      <c r="A6470" s="317">
        <v>1615190168</v>
      </c>
      <c r="B6470" s="330" t="s">
        <v>50836</v>
      </c>
      <c r="C6470" s="330" t="s">
        <v>16124</v>
      </c>
      <c r="D6470" s="330" t="s">
        <v>16125</v>
      </c>
      <c r="E6470" s="330" t="s">
        <v>4819</v>
      </c>
      <c r="F6470" s="331">
        <v>0.21</v>
      </c>
      <c r="G6470" s="332">
        <v>96715</v>
      </c>
      <c r="H6470" s="333">
        <v>117026</v>
      </c>
    </row>
    <row r="6471" spans="1:8">
      <c r="A6471" s="317">
        <v>1615190173</v>
      </c>
      <c r="B6471" s="330" t="s">
        <v>50837</v>
      </c>
      <c r="C6471" s="330" t="s">
        <v>16126</v>
      </c>
      <c r="D6471" s="330" t="s">
        <v>16127</v>
      </c>
      <c r="E6471" s="330" t="s">
        <v>4623</v>
      </c>
      <c r="F6471" s="331">
        <v>0.21</v>
      </c>
      <c r="G6471" s="332">
        <v>16565</v>
      </c>
      <c r="H6471" s="333">
        <v>20044</v>
      </c>
    </row>
    <row r="6472" spans="1:8">
      <c r="A6472" s="317">
        <v>1615190177</v>
      </c>
      <c r="B6472" s="330" t="s">
        <v>50838</v>
      </c>
      <c r="C6472" s="330" t="s">
        <v>16128</v>
      </c>
      <c r="D6472" s="330" t="s">
        <v>16129</v>
      </c>
      <c r="E6472" s="330" t="s">
        <v>37248</v>
      </c>
      <c r="F6472" s="331">
        <v>0.21</v>
      </c>
      <c r="G6472" s="332">
        <v>31210</v>
      </c>
      <c r="H6472" s="333">
        <v>37765</v>
      </c>
    </row>
    <row r="6473" spans="1:8">
      <c r="A6473" s="317">
        <v>1615190178</v>
      </c>
      <c r="B6473" s="330" t="s">
        <v>50839</v>
      </c>
      <c r="C6473" s="330" t="s">
        <v>16130</v>
      </c>
      <c r="D6473" s="330" t="s">
        <v>16131</v>
      </c>
      <c r="E6473" s="330" t="s">
        <v>37248</v>
      </c>
      <c r="F6473" s="331">
        <v>0.21</v>
      </c>
      <c r="G6473" s="332">
        <v>25809</v>
      </c>
      <c r="H6473" s="333">
        <v>31229</v>
      </c>
    </row>
    <row r="6474" spans="1:8">
      <c r="A6474" s="317">
        <v>1615190181</v>
      </c>
      <c r="B6474" s="330" t="s">
        <v>50840</v>
      </c>
      <c r="C6474" s="330" t="s">
        <v>16132</v>
      </c>
      <c r="D6474" s="330" t="s">
        <v>16133</v>
      </c>
      <c r="E6474" s="330" t="s">
        <v>37248</v>
      </c>
      <c r="F6474" s="331">
        <v>0.21</v>
      </c>
      <c r="G6474" s="332">
        <v>727</v>
      </c>
      <c r="H6474" s="333">
        <v>880</v>
      </c>
    </row>
    <row r="6475" spans="1:8">
      <c r="A6475" s="317">
        <v>1615190182</v>
      </c>
      <c r="B6475" s="330" t="s">
        <v>50841</v>
      </c>
      <c r="C6475" s="330" t="s">
        <v>16134</v>
      </c>
      <c r="D6475" s="330" t="s">
        <v>16133</v>
      </c>
      <c r="E6475" s="330" t="s">
        <v>37248</v>
      </c>
      <c r="F6475" s="331">
        <v>0.21</v>
      </c>
      <c r="G6475" s="332">
        <v>515</v>
      </c>
      <c r="H6475" s="333">
        <v>624</v>
      </c>
    </row>
    <row r="6476" spans="1:8">
      <c r="A6476" s="317">
        <v>1615190186</v>
      </c>
      <c r="B6476" s="330" t="s">
        <v>50842</v>
      </c>
      <c r="C6476" s="330" t="s">
        <v>16135</v>
      </c>
      <c r="D6476" s="330" t="s">
        <v>16136</v>
      </c>
      <c r="E6476" s="330" t="s">
        <v>37248</v>
      </c>
      <c r="F6476" s="331">
        <v>0.21</v>
      </c>
      <c r="G6476" s="332">
        <v>11782</v>
      </c>
      <c r="H6476" s="333">
        <v>14257</v>
      </c>
    </row>
    <row r="6477" spans="1:8">
      <c r="A6477" s="317">
        <v>1615190187</v>
      </c>
      <c r="B6477" s="330" t="s">
        <v>50843</v>
      </c>
      <c r="C6477" s="330" t="s">
        <v>16137</v>
      </c>
      <c r="D6477" s="330" t="s">
        <v>16138</v>
      </c>
      <c r="E6477" s="330" t="s">
        <v>37248</v>
      </c>
      <c r="F6477" s="331">
        <v>0.21</v>
      </c>
      <c r="G6477" s="332">
        <v>1077</v>
      </c>
      <c r="H6477" s="333">
        <v>1304</v>
      </c>
    </row>
    <row r="6478" spans="1:8">
      <c r="A6478" s="317">
        <v>1615430002</v>
      </c>
      <c r="B6478" s="330" t="s">
        <v>50844</v>
      </c>
      <c r="C6478" s="330" t="s">
        <v>16139</v>
      </c>
      <c r="D6478" s="330" t="s">
        <v>16140</v>
      </c>
      <c r="E6478" s="330" t="s">
        <v>4634</v>
      </c>
      <c r="F6478" s="331">
        <v>0.21</v>
      </c>
      <c r="G6478" s="332">
        <v>11216</v>
      </c>
      <c r="H6478" s="333">
        <v>13572</v>
      </c>
    </row>
    <row r="6479" spans="1:8">
      <c r="A6479" s="317">
        <v>1615430015</v>
      </c>
      <c r="B6479" s="330" t="s">
        <v>50845</v>
      </c>
      <c r="C6479" s="330" t="s">
        <v>16141</v>
      </c>
      <c r="D6479" s="330" t="s">
        <v>16142</v>
      </c>
      <c r="E6479" s="330" t="s">
        <v>37248</v>
      </c>
      <c r="F6479" s="331">
        <v>0.21</v>
      </c>
      <c r="G6479" s="332">
        <v>32297</v>
      </c>
      <c r="H6479" s="333">
        <v>39080</v>
      </c>
    </row>
    <row r="6480" spans="1:8">
      <c r="A6480" s="317">
        <v>1615430019</v>
      </c>
      <c r="B6480" s="330" t="s">
        <v>50846</v>
      </c>
      <c r="C6480" s="330" t="s">
        <v>16143</v>
      </c>
      <c r="D6480" s="330" t="s">
        <v>16144</v>
      </c>
      <c r="E6480" s="330" t="s">
        <v>37248</v>
      </c>
      <c r="F6480" s="331">
        <v>0.21</v>
      </c>
      <c r="G6480" s="332">
        <v>96619</v>
      </c>
      <c r="H6480" s="333">
        <v>116909</v>
      </c>
    </row>
    <row r="6481" spans="1:8">
      <c r="A6481" s="317">
        <v>1615437503</v>
      </c>
      <c r="B6481" s="330" t="s">
        <v>50847</v>
      </c>
      <c r="C6481" s="330" t="s">
        <v>16145</v>
      </c>
      <c r="D6481" s="330" t="s">
        <v>16146</v>
      </c>
      <c r="E6481" s="330" t="s">
        <v>4634</v>
      </c>
      <c r="F6481" s="331">
        <v>0.21</v>
      </c>
      <c r="G6481" s="332">
        <v>963</v>
      </c>
      <c r="H6481" s="333">
        <v>1166</v>
      </c>
    </row>
    <row r="6482" spans="1:8">
      <c r="A6482" s="317">
        <v>1615437509</v>
      </c>
      <c r="B6482" s="330" t="s">
        <v>50848</v>
      </c>
      <c r="C6482" s="330" t="s">
        <v>16147</v>
      </c>
      <c r="D6482" s="330" t="s">
        <v>16148</v>
      </c>
      <c r="E6482" s="330" t="s">
        <v>4634</v>
      </c>
      <c r="F6482" s="331">
        <v>0.21</v>
      </c>
      <c r="G6482" s="332">
        <v>2712</v>
      </c>
      <c r="H6482" s="333">
        <v>3282</v>
      </c>
    </row>
    <row r="6483" spans="1:8">
      <c r="A6483" s="317">
        <v>1615437512</v>
      </c>
      <c r="B6483" s="330" t="s">
        <v>50849</v>
      </c>
      <c r="C6483" s="330" t="s">
        <v>16149</v>
      </c>
      <c r="D6483" s="330" t="s">
        <v>16150</v>
      </c>
      <c r="E6483" s="330" t="s">
        <v>37248</v>
      </c>
      <c r="F6483" s="331">
        <v>0.21</v>
      </c>
      <c r="G6483" s="332">
        <v>16656</v>
      </c>
      <c r="H6483" s="333">
        <v>20154</v>
      </c>
    </row>
    <row r="6484" spans="1:8">
      <c r="A6484" s="317">
        <v>1615438409</v>
      </c>
      <c r="B6484" s="330" t="s">
        <v>50850</v>
      </c>
      <c r="C6484" s="330" t="s">
        <v>16151</v>
      </c>
      <c r="D6484" s="330" t="s">
        <v>16152</v>
      </c>
      <c r="E6484" s="330" t="s">
        <v>4819</v>
      </c>
      <c r="F6484" s="331">
        <v>0.21</v>
      </c>
      <c r="G6484" s="332">
        <v>1884</v>
      </c>
      <c r="H6484" s="333">
        <v>2280</v>
      </c>
    </row>
    <row r="6485" spans="1:8">
      <c r="A6485" s="317">
        <v>1615438426</v>
      </c>
      <c r="B6485" s="330" t="s">
        <v>50851</v>
      </c>
      <c r="C6485" s="330" t="s">
        <v>16153</v>
      </c>
      <c r="D6485" s="330" t="s">
        <v>16154</v>
      </c>
      <c r="E6485" s="330" t="s">
        <v>4634</v>
      </c>
      <c r="F6485" s="331">
        <v>0.21</v>
      </c>
      <c r="G6485" s="332">
        <v>2146</v>
      </c>
      <c r="H6485" s="333">
        <v>2597</v>
      </c>
    </row>
    <row r="6486" spans="1:8">
      <c r="A6486" s="317">
        <v>1615438431</v>
      </c>
      <c r="B6486" s="330" t="s">
        <v>50852</v>
      </c>
      <c r="C6486" s="330" t="s">
        <v>16155</v>
      </c>
      <c r="D6486" s="330" t="s">
        <v>16156</v>
      </c>
      <c r="E6486" s="330" t="s">
        <v>37248</v>
      </c>
      <c r="F6486" s="331">
        <v>0.21</v>
      </c>
      <c r="G6486" s="332">
        <v>548</v>
      </c>
      <c r="H6486" s="333">
        <v>664</v>
      </c>
    </row>
    <row r="6487" spans="1:8">
      <c r="A6487" s="317">
        <v>1615438461</v>
      </c>
      <c r="B6487" s="330" t="s">
        <v>50853</v>
      </c>
      <c r="C6487" s="330" t="s">
        <v>16157</v>
      </c>
      <c r="D6487" s="330" t="s">
        <v>16158</v>
      </c>
      <c r="E6487" s="330" t="s">
        <v>37248</v>
      </c>
      <c r="F6487" s="331">
        <v>0.21</v>
      </c>
      <c r="G6487" s="332">
        <v>19086</v>
      </c>
      <c r="H6487" s="333">
        <v>23095</v>
      </c>
    </row>
    <row r="6488" spans="1:8">
      <c r="A6488" s="317">
        <v>1615500094</v>
      </c>
      <c r="B6488" s="330" t="s">
        <v>50854</v>
      </c>
      <c r="C6488" s="330" t="s">
        <v>16159</v>
      </c>
      <c r="D6488" s="330" t="s">
        <v>16160</v>
      </c>
      <c r="E6488" s="330" t="s">
        <v>4634</v>
      </c>
      <c r="F6488" s="331">
        <v>0.21</v>
      </c>
      <c r="G6488" s="332">
        <v>12103</v>
      </c>
      <c r="H6488" s="333">
        <v>14645</v>
      </c>
    </row>
    <row r="6489" spans="1:8">
      <c r="A6489" s="317">
        <v>1615500122</v>
      </c>
      <c r="B6489" s="330" t="s">
        <v>50855</v>
      </c>
      <c r="C6489" s="330" t="s">
        <v>16161</v>
      </c>
      <c r="D6489" s="330" t="s">
        <v>16162</v>
      </c>
      <c r="E6489" s="330" t="s">
        <v>4634</v>
      </c>
      <c r="F6489" s="331">
        <v>0.21</v>
      </c>
      <c r="G6489" s="332">
        <v>314</v>
      </c>
      <c r="H6489" s="333">
        <v>380</v>
      </c>
    </row>
    <row r="6490" spans="1:8">
      <c r="A6490" s="317">
        <v>1615500123</v>
      </c>
      <c r="B6490" s="330" t="s">
        <v>50856</v>
      </c>
      <c r="C6490" s="330" t="s">
        <v>16163</v>
      </c>
      <c r="D6490" s="330" t="s">
        <v>6109</v>
      </c>
      <c r="E6490" s="330" t="s">
        <v>4634</v>
      </c>
      <c r="F6490" s="331">
        <v>0.21</v>
      </c>
      <c r="G6490" s="332">
        <v>1485</v>
      </c>
      <c r="H6490" s="333">
        <v>1797</v>
      </c>
    </row>
    <row r="6491" spans="1:8">
      <c r="A6491" s="317">
        <v>1615500168</v>
      </c>
      <c r="B6491" s="330" t="s">
        <v>50857</v>
      </c>
      <c r="C6491" s="330" t="s">
        <v>16164</v>
      </c>
      <c r="D6491" s="330" t="s">
        <v>16165</v>
      </c>
      <c r="E6491" s="330" t="s">
        <v>4634</v>
      </c>
      <c r="F6491" s="331">
        <v>0.21</v>
      </c>
      <c r="G6491" s="332">
        <v>648</v>
      </c>
      <c r="H6491" s="333">
        <v>785</v>
      </c>
    </row>
    <row r="6492" spans="1:8">
      <c r="A6492" s="317">
        <v>1615500194</v>
      </c>
      <c r="B6492" s="330" t="s">
        <v>50858</v>
      </c>
      <c r="C6492" s="330" t="s">
        <v>16166</v>
      </c>
      <c r="D6492" s="330" t="s">
        <v>15019</v>
      </c>
      <c r="E6492" s="330" t="s">
        <v>4634</v>
      </c>
      <c r="F6492" s="331">
        <v>0.21</v>
      </c>
      <c r="G6492" s="332">
        <v>506</v>
      </c>
      <c r="H6492" s="333">
        <v>613</v>
      </c>
    </row>
    <row r="6493" spans="1:8">
      <c r="A6493" s="317">
        <v>1615500205</v>
      </c>
      <c r="B6493" s="330" t="s">
        <v>50859</v>
      </c>
      <c r="C6493" s="330" t="s">
        <v>16167</v>
      </c>
      <c r="D6493" s="330" t="s">
        <v>16168</v>
      </c>
      <c r="E6493" s="330" t="s">
        <v>4634</v>
      </c>
      <c r="F6493" s="331">
        <v>0.21</v>
      </c>
      <c r="G6493" s="332">
        <v>191</v>
      </c>
      <c r="H6493" s="333">
        <v>232</v>
      </c>
    </row>
    <row r="6494" spans="1:8">
      <c r="A6494" s="317">
        <v>1615500210</v>
      </c>
      <c r="B6494" s="330" t="s">
        <v>50860</v>
      </c>
      <c r="C6494" s="330" t="s">
        <v>16169</v>
      </c>
      <c r="D6494" s="330" t="s">
        <v>16170</v>
      </c>
      <c r="E6494" s="330" t="s">
        <v>4634</v>
      </c>
      <c r="F6494" s="331">
        <v>0.21</v>
      </c>
      <c r="G6494" s="332">
        <v>17245</v>
      </c>
      <c r="H6494" s="333">
        <v>20867</v>
      </c>
    </row>
    <row r="6495" spans="1:8">
      <c r="A6495" s="317">
        <v>1615500211</v>
      </c>
      <c r="B6495" s="330" t="s">
        <v>50861</v>
      </c>
      <c r="C6495" s="330" t="s">
        <v>16171</v>
      </c>
      <c r="D6495" s="330" t="s">
        <v>16172</v>
      </c>
      <c r="E6495" s="330" t="s">
        <v>4634</v>
      </c>
      <c r="F6495" s="331">
        <v>0.21</v>
      </c>
      <c r="G6495" s="332">
        <v>1258</v>
      </c>
      <c r="H6495" s="333">
        <v>1523</v>
      </c>
    </row>
    <row r="6496" spans="1:8">
      <c r="A6496" s="317">
        <v>1615500212</v>
      </c>
      <c r="B6496" s="330" t="s">
        <v>50862</v>
      </c>
      <c r="C6496" s="330" t="s">
        <v>16173</v>
      </c>
      <c r="D6496" s="330" t="s">
        <v>16174</v>
      </c>
      <c r="E6496" s="330" t="s">
        <v>37248</v>
      </c>
      <c r="F6496" s="331">
        <v>0.21</v>
      </c>
      <c r="G6496" s="332">
        <v>10701</v>
      </c>
      <c r="H6496" s="333">
        <v>12949</v>
      </c>
    </row>
    <row r="6497" spans="1:8">
      <c r="A6497" s="317">
        <v>1615500213</v>
      </c>
      <c r="B6497" s="330" t="s">
        <v>50863</v>
      </c>
      <c r="C6497" s="330" t="s">
        <v>16175</v>
      </c>
      <c r="D6497" s="330" t="s">
        <v>16176</v>
      </c>
      <c r="E6497" s="330" t="s">
        <v>4634</v>
      </c>
      <c r="F6497" s="331">
        <v>0.21</v>
      </c>
      <c r="G6497" s="332">
        <v>4135</v>
      </c>
      <c r="H6497" s="333">
        <v>5004</v>
      </c>
    </row>
    <row r="6498" spans="1:8">
      <c r="A6498" s="317">
        <v>1615500269</v>
      </c>
      <c r="B6498" s="330" t="s">
        <v>50864</v>
      </c>
      <c r="C6498" s="330" t="s">
        <v>16177</v>
      </c>
      <c r="D6498" s="330" t="s">
        <v>16178</v>
      </c>
      <c r="E6498" s="330" t="s">
        <v>4634</v>
      </c>
      <c r="F6498" s="331">
        <v>0.21</v>
      </c>
      <c r="G6498" s="332">
        <v>10767</v>
      </c>
      <c r="H6498" s="333">
        <v>13029</v>
      </c>
    </row>
    <row r="6499" spans="1:8">
      <c r="A6499" s="317">
        <v>1615500270</v>
      </c>
      <c r="B6499" s="330" t="s">
        <v>50865</v>
      </c>
      <c r="C6499" s="330" t="s">
        <v>16179</v>
      </c>
      <c r="D6499" s="330" t="s">
        <v>16180</v>
      </c>
      <c r="E6499" s="330" t="s">
        <v>4634</v>
      </c>
      <c r="F6499" s="331">
        <v>0.21</v>
      </c>
      <c r="G6499" s="332">
        <v>2063</v>
      </c>
      <c r="H6499" s="333">
        <v>2497</v>
      </c>
    </row>
    <row r="6500" spans="1:8">
      <c r="A6500" s="317">
        <v>1615500276</v>
      </c>
      <c r="B6500" s="330" t="s">
        <v>50866</v>
      </c>
      <c r="C6500" s="330" t="s">
        <v>16181</v>
      </c>
      <c r="D6500" s="330" t="s">
        <v>16182</v>
      </c>
      <c r="E6500" s="330" t="s">
        <v>4634</v>
      </c>
      <c r="F6500" s="331">
        <v>0.21</v>
      </c>
      <c r="G6500" s="332">
        <v>7787</v>
      </c>
      <c r="H6500" s="333">
        <v>9423</v>
      </c>
    </row>
    <row r="6501" spans="1:8">
      <c r="A6501" s="317">
        <v>1615500282</v>
      </c>
      <c r="B6501" s="330" t="s">
        <v>50867</v>
      </c>
      <c r="C6501" s="330" t="s">
        <v>16183</v>
      </c>
      <c r="D6501" s="330" t="s">
        <v>16184</v>
      </c>
      <c r="E6501" s="330" t="s">
        <v>4634</v>
      </c>
      <c r="F6501" s="331">
        <v>0.21</v>
      </c>
      <c r="G6501" s="332">
        <v>584</v>
      </c>
      <c r="H6501" s="333">
        <v>707</v>
      </c>
    </row>
    <row r="6502" spans="1:8">
      <c r="A6502" s="317">
        <v>1615500286</v>
      </c>
      <c r="B6502" s="330" t="s">
        <v>50868</v>
      </c>
      <c r="C6502" s="330" t="s">
        <v>16185</v>
      </c>
      <c r="D6502" s="330" t="s">
        <v>16186</v>
      </c>
      <c r="E6502" s="330" t="s">
        <v>4634</v>
      </c>
      <c r="F6502" s="331">
        <v>0.21</v>
      </c>
      <c r="G6502" s="332">
        <v>2270</v>
      </c>
      <c r="H6502" s="333">
        <v>2747</v>
      </c>
    </row>
    <row r="6503" spans="1:8">
      <c r="A6503" s="317">
        <v>1615500289</v>
      </c>
      <c r="B6503" s="330" t="s">
        <v>50869</v>
      </c>
      <c r="C6503" s="330" t="s">
        <v>16187</v>
      </c>
      <c r="D6503" s="330" t="s">
        <v>16188</v>
      </c>
      <c r="E6503" s="330" t="s">
        <v>4634</v>
      </c>
      <c r="F6503" s="331">
        <v>0.21</v>
      </c>
      <c r="G6503" s="332">
        <v>1170</v>
      </c>
      <c r="H6503" s="333">
        <v>1416</v>
      </c>
    </row>
    <row r="6504" spans="1:8">
      <c r="A6504" s="317">
        <v>1615500291</v>
      </c>
      <c r="B6504" s="330" t="s">
        <v>50870</v>
      </c>
      <c r="C6504" s="330" t="s">
        <v>16189</v>
      </c>
      <c r="D6504" s="330" t="s">
        <v>16190</v>
      </c>
      <c r="E6504" s="330" t="s">
        <v>4634</v>
      </c>
      <c r="F6504" s="331">
        <v>0.21</v>
      </c>
      <c r="G6504" s="332">
        <v>2511</v>
      </c>
      <c r="H6504" s="333">
        <v>3039</v>
      </c>
    </row>
    <row r="6505" spans="1:8">
      <c r="A6505" s="317">
        <v>1615500294</v>
      </c>
      <c r="B6505" s="330" t="s">
        <v>50871</v>
      </c>
      <c r="C6505" s="330" t="s">
        <v>16191</v>
      </c>
      <c r="D6505" s="330" t="s">
        <v>16192</v>
      </c>
      <c r="E6505" s="330" t="s">
        <v>4634</v>
      </c>
      <c r="F6505" s="331">
        <v>0.21</v>
      </c>
      <c r="G6505" s="332">
        <v>1844</v>
      </c>
      <c r="H6505" s="333">
        <v>2232</v>
      </c>
    </row>
    <row r="6506" spans="1:8">
      <c r="A6506" s="317">
        <v>1615500296</v>
      </c>
      <c r="B6506" s="330" t="s">
        <v>50872</v>
      </c>
      <c r="C6506" s="330" t="s">
        <v>16193</v>
      </c>
      <c r="D6506" s="330" t="s">
        <v>16194</v>
      </c>
      <c r="E6506" s="330" t="s">
        <v>4634</v>
      </c>
      <c r="F6506" s="331">
        <v>0.21</v>
      </c>
      <c r="G6506" s="332">
        <v>62</v>
      </c>
      <c r="H6506" s="333">
        <v>76</v>
      </c>
    </row>
    <row r="6507" spans="1:8">
      <c r="A6507" s="317">
        <v>1615500298</v>
      </c>
      <c r="B6507" s="330" t="s">
        <v>50873</v>
      </c>
      <c r="C6507" s="330" t="s">
        <v>16195</v>
      </c>
      <c r="D6507" s="330" t="s">
        <v>16196</v>
      </c>
      <c r="E6507" s="330" t="s">
        <v>4634</v>
      </c>
      <c r="F6507" s="331">
        <v>0.21</v>
      </c>
      <c r="G6507" s="332">
        <v>1581</v>
      </c>
      <c r="H6507" s="333">
        <v>1914</v>
      </c>
    </row>
    <row r="6508" spans="1:8">
      <c r="A6508" s="317">
        <v>1615500305</v>
      </c>
      <c r="B6508" s="330" t="s">
        <v>50874</v>
      </c>
      <c r="C6508" s="330" t="s">
        <v>16197</v>
      </c>
      <c r="D6508" s="330" t="s">
        <v>16198</v>
      </c>
      <c r="E6508" s="330" t="s">
        <v>37248</v>
      </c>
      <c r="F6508" s="331">
        <v>0.21</v>
      </c>
      <c r="G6508" s="332">
        <v>14829</v>
      </c>
      <c r="H6508" s="333">
        <v>17944</v>
      </c>
    </row>
    <row r="6509" spans="1:8">
      <c r="A6509" s="317">
        <v>1615500310</v>
      </c>
      <c r="B6509" s="330" t="s">
        <v>50875</v>
      </c>
      <c r="C6509" s="330" t="s">
        <v>16199</v>
      </c>
      <c r="D6509" s="330" t="s">
        <v>16200</v>
      </c>
      <c r="E6509" s="330" t="s">
        <v>4634</v>
      </c>
      <c r="F6509" s="331">
        <v>0.21</v>
      </c>
      <c r="G6509" s="332">
        <v>1945</v>
      </c>
      <c r="H6509" s="333">
        <v>2354</v>
      </c>
    </row>
    <row r="6510" spans="1:8">
      <c r="A6510" s="317">
        <v>1615500313</v>
      </c>
      <c r="B6510" s="330" t="s">
        <v>50876</v>
      </c>
      <c r="C6510" s="330" t="s">
        <v>16201</v>
      </c>
      <c r="D6510" s="330" t="s">
        <v>16202</v>
      </c>
      <c r="E6510" s="330" t="s">
        <v>4634</v>
      </c>
      <c r="F6510" s="331">
        <v>0.21</v>
      </c>
      <c r="G6510" s="332">
        <v>97083</v>
      </c>
      <c r="H6510" s="333">
        <v>117471</v>
      </c>
    </row>
    <row r="6511" spans="1:8">
      <c r="A6511" s="317">
        <v>1615500315</v>
      </c>
      <c r="B6511" s="330" t="s">
        <v>50877</v>
      </c>
      <c r="C6511" s="330" t="s">
        <v>16203</v>
      </c>
      <c r="D6511" s="330" t="s">
        <v>16204</v>
      </c>
      <c r="E6511" s="330" t="s">
        <v>4819</v>
      </c>
      <c r="F6511" s="331">
        <v>0.21</v>
      </c>
      <c r="G6511" s="332">
        <v>6147</v>
      </c>
      <c r="H6511" s="333">
        <v>7438</v>
      </c>
    </row>
    <row r="6512" spans="1:8">
      <c r="A6512" s="317">
        <v>1615500319</v>
      </c>
      <c r="B6512" s="330" t="s">
        <v>50878</v>
      </c>
      <c r="C6512" s="330" t="s">
        <v>16205</v>
      </c>
      <c r="D6512" s="330" t="s">
        <v>16206</v>
      </c>
      <c r="E6512" s="330" t="s">
        <v>4634</v>
      </c>
      <c r="F6512" s="331">
        <v>0.21</v>
      </c>
      <c r="G6512" s="332">
        <v>2487</v>
      </c>
      <c r="H6512" s="333">
        <v>3010</v>
      </c>
    </row>
    <row r="6513" spans="1:8">
      <c r="A6513" s="317">
        <v>1615500321</v>
      </c>
      <c r="B6513" s="330" t="s">
        <v>50879</v>
      </c>
      <c r="C6513" s="330" t="s">
        <v>16207</v>
      </c>
      <c r="D6513" s="330" t="s">
        <v>16208</v>
      </c>
      <c r="E6513" s="330" t="s">
        <v>4623</v>
      </c>
      <c r="F6513" s="331">
        <v>0.21</v>
      </c>
      <c r="G6513" s="332">
        <v>5554</v>
      </c>
      <c r="H6513" s="333">
        <v>6721</v>
      </c>
    </row>
    <row r="6514" spans="1:8">
      <c r="A6514" s="317">
        <v>1615500322</v>
      </c>
      <c r="B6514" s="330" t="s">
        <v>50880</v>
      </c>
      <c r="C6514" s="330" t="s">
        <v>16209</v>
      </c>
      <c r="D6514" s="330" t="s">
        <v>16210</v>
      </c>
      <c r="E6514" s="330" t="s">
        <v>4634</v>
      </c>
      <c r="F6514" s="331">
        <v>0.21</v>
      </c>
      <c r="G6514" s="332">
        <v>4233</v>
      </c>
      <c r="H6514" s="333">
        <v>5122</v>
      </c>
    </row>
    <row r="6515" spans="1:8">
      <c r="A6515" s="317">
        <v>1615500323</v>
      </c>
      <c r="B6515" s="330" t="s">
        <v>50881</v>
      </c>
      <c r="C6515" s="330" t="s">
        <v>16211</v>
      </c>
      <c r="D6515" s="330" t="s">
        <v>16212</v>
      </c>
      <c r="E6515" s="330" t="s">
        <v>37248</v>
      </c>
      <c r="F6515" s="331">
        <v>0.21</v>
      </c>
      <c r="G6515" s="332">
        <v>209380</v>
      </c>
      <c r="H6515" s="333">
        <v>253350</v>
      </c>
    </row>
    <row r="6516" spans="1:8">
      <c r="A6516" s="317">
        <v>1615500324</v>
      </c>
      <c r="B6516" s="330" t="s">
        <v>50882</v>
      </c>
      <c r="C6516" s="330" t="s">
        <v>16213</v>
      </c>
      <c r="D6516" s="330" t="s">
        <v>16214</v>
      </c>
      <c r="E6516" s="330" t="s">
        <v>4819</v>
      </c>
      <c r="F6516" s="331">
        <v>0.21</v>
      </c>
      <c r="G6516" s="332">
        <v>92367</v>
      </c>
      <c r="H6516" s="333">
        <v>111765</v>
      </c>
    </row>
    <row r="6517" spans="1:8">
      <c r="A6517" s="317">
        <v>1615500325</v>
      </c>
      <c r="B6517" s="330" t="s">
        <v>50883</v>
      </c>
      <c r="C6517" s="330" t="s">
        <v>16215</v>
      </c>
      <c r="D6517" s="330" t="s">
        <v>16216</v>
      </c>
      <c r="E6517" s="330" t="s">
        <v>4634</v>
      </c>
      <c r="F6517" s="331">
        <v>0.21</v>
      </c>
      <c r="G6517" s="332">
        <v>16773</v>
      </c>
      <c r="H6517" s="333">
        <v>20296</v>
      </c>
    </row>
    <row r="6518" spans="1:8">
      <c r="A6518" s="317">
        <v>1615500330</v>
      </c>
      <c r="B6518" s="330" t="s">
        <v>50884</v>
      </c>
      <c r="C6518" s="330" t="s">
        <v>16217</v>
      </c>
      <c r="D6518" s="330" t="s">
        <v>16218</v>
      </c>
      <c r="E6518" s="330" t="s">
        <v>37248</v>
      </c>
      <c r="F6518" s="331">
        <v>0.21</v>
      </c>
      <c r="G6518" s="332">
        <v>6509</v>
      </c>
      <c r="H6518" s="333">
        <v>7876</v>
      </c>
    </row>
    <row r="6519" spans="1:8">
      <c r="A6519" s="317">
        <v>1615500334</v>
      </c>
      <c r="B6519" s="330" t="s">
        <v>50885</v>
      </c>
      <c r="C6519" s="330" t="s">
        <v>16219</v>
      </c>
      <c r="D6519" s="330" t="s">
        <v>16220</v>
      </c>
      <c r="E6519" s="330" t="s">
        <v>4634</v>
      </c>
      <c r="F6519" s="331">
        <v>0.21</v>
      </c>
      <c r="G6519" s="332">
        <v>2502</v>
      </c>
      <c r="H6519" s="333">
        <v>3028</v>
      </c>
    </row>
    <row r="6520" spans="1:8">
      <c r="A6520" s="317">
        <v>1615500343</v>
      </c>
      <c r="B6520" s="330" t="s">
        <v>50886</v>
      </c>
      <c r="C6520" s="330" t="s">
        <v>16221</v>
      </c>
      <c r="D6520" s="330" t="s">
        <v>16222</v>
      </c>
      <c r="E6520" s="330" t="s">
        <v>37248</v>
      </c>
      <c r="F6520" s="331">
        <v>0.21</v>
      </c>
      <c r="G6520" s="332">
        <v>10497</v>
      </c>
      <c r="H6520" s="333">
        <v>12702</v>
      </c>
    </row>
    <row r="6521" spans="1:8">
      <c r="A6521" s="317">
        <v>1615500360</v>
      </c>
      <c r="B6521" s="330" t="s">
        <v>50887</v>
      </c>
      <c r="C6521" s="330" t="s">
        <v>16223</v>
      </c>
      <c r="D6521" s="330" t="s">
        <v>16224</v>
      </c>
      <c r="E6521" s="330" t="s">
        <v>4634</v>
      </c>
      <c r="F6521" s="331">
        <v>0.21</v>
      </c>
      <c r="G6521" s="332">
        <v>25970</v>
      </c>
      <c r="H6521" s="333">
        <v>31424</v>
      </c>
    </row>
    <row r="6522" spans="1:8">
      <c r="A6522" s="317">
        <v>1615500372</v>
      </c>
      <c r="B6522" s="330" t="s">
        <v>50888</v>
      </c>
      <c r="C6522" s="330" t="s">
        <v>16225</v>
      </c>
      <c r="D6522" s="330" t="s">
        <v>16226</v>
      </c>
      <c r="E6522" s="330" t="s">
        <v>4634</v>
      </c>
      <c r="F6522" s="331">
        <v>0.21</v>
      </c>
      <c r="G6522" s="332">
        <v>2299</v>
      </c>
      <c r="H6522" s="333">
        <v>2782</v>
      </c>
    </row>
    <row r="6523" spans="1:8">
      <c r="A6523" s="317">
        <v>1615500376</v>
      </c>
      <c r="B6523" s="330" t="s">
        <v>50889</v>
      </c>
      <c r="C6523" s="330" t="s">
        <v>16227</v>
      </c>
      <c r="D6523" s="330" t="s">
        <v>16228</v>
      </c>
      <c r="E6523" s="330" t="s">
        <v>4819</v>
      </c>
      <c r="F6523" s="331">
        <v>0.21</v>
      </c>
      <c r="G6523" s="332">
        <v>3468</v>
      </c>
      <c r="H6523" s="333">
        <v>4197</v>
      </c>
    </row>
    <row r="6524" spans="1:8">
      <c r="A6524" s="317">
        <v>1615500377</v>
      </c>
      <c r="B6524" s="330" t="s">
        <v>50890</v>
      </c>
      <c r="C6524" s="330" t="s">
        <v>16229</v>
      </c>
      <c r="D6524" s="330" t="s">
        <v>16228</v>
      </c>
      <c r="E6524" s="330" t="s">
        <v>4819</v>
      </c>
      <c r="F6524" s="331">
        <v>0.21</v>
      </c>
      <c r="G6524" s="332">
        <v>11635</v>
      </c>
      <c r="H6524" s="333">
        <v>14079</v>
      </c>
    </row>
    <row r="6525" spans="1:8">
      <c r="A6525" s="317">
        <v>1615500380</v>
      </c>
      <c r="B6525" s="330" t="s">
        <v>50891</v>
      </c>
      <c r="C6525" s="330" t="s">
        <v>16230</v>
      </c>
      <c r="D6525" s="330" t="s">
        <v>16231</v>
      </c>
      <c r="E6525" s="330" t="s">
        <v>4819</v>
      </c>
      <c r="F6525" s="331">
        <v>0.21</v>
      </c>
      <c r="G6525" s="332">
        <v>66238</v>
      </c>
      <c r="H6525" s="333">
        <v>80148</v>
      </c>
    </row>
    <row r="6526" spans="1:8">
      <c r="A6526" s="317">
        <v>1615500383</v>
      </c>
      <c r="B6526" s="330" t="s">
        <v>50892</v>
      </c>
      <c r="C6526" s="330" t="s">
        <v>16232</v>
      </c>
      <c r="D6526" s="330" t="s">
        <v>16233</v>
      </c>
      <c r="E6526" s="330" t="s">
        <v>4819</v>
      </c>
      <c r="F6526" s="331">
        <v>0.21</v>
      </c>
      <c r="G6526" s="332">
        <v>45480</v>
      </c>
      <c r="H6526" s="333">
        <v>55031</v>
      </c>
    </row>
    <row r="6527" spans="1:8">
      <c r="A6527" s="317">
        <v>1615500384</v>
      </c>
      <c r="B6527" s="330" t="s">
        <v>50893</v>
      </c>
      <c r="C6527" s="330" t="s">
        <v>16234</v>
      </c>
      <c r="D6527" s="330" t="s">
        <v>16235</v>
      </c>
      <c r="E6527" s="330" t="s">
        <v>4819</v>
      </c>
      <c r="F6527" s="331">
        <v>0.21</v>
      </c>
      <c r="G6527" s="332">
        <v>10491</v>
      </c>
      <c r="H6527" s="333">
        <v>12695</v>
      </c>
    </row>
    <row r="6528" spans="1:8">
      <c r="A6528" s="317">
        <v>1615500387</v>
      </c>
      <c r="B6528" s="330" t="s">
        <v>50894</v>
      </c>
      <c r="C6528" s="330" t="s">
        <v>16236</v>
      </c>
      <c r="D6528" s="330" t="s">
        <v>16237</v>
      </c>
      <c r="E6528" s="330" t="s">
        <v>4634</v>
      </c>
      <c r="F6528" s="331">
        <v>0.21</v>
      </c>
      <c r="G6528" s="332">
        <v>9290</v>
      </c>
      <c r="H6528" s="333">
        <v>11241</v>
      </c>
    </row>
    <row r="6529" spans="1:8">
      <c r="A6529" s="317">
        <v>1615500390</v>
      </c>
      <c r="B6529" s="330" t="s">
        <v>50895</v>
      </c>
      <c r="C6529" s="330" t="s">
        <v>16238</v>
      </c>
      <c r="D6529" s="330" t="s">
        <v>16239</v>
      </c>
      <c r="E6529" s="330" t="s">
        <v>4623</v>
      </c>
      <c r="F6529" s="331">
        <v>0.21</v>
      </c>
      <c r="G6529" s="332">
        <v>11117</v>
      </c>
      <c r="H6529" s="333">
        <v>13452</v>
      </c>
    </row>
    <row r="6530" spans="1:8">
      <c r="A6530" s="317">
        <v>1615500393</v>
      </c>
      <c r="B6530" s="330" t="s">
        <v>50896</v>
      </c>
      <c r="C6530" s="330" t="s">
        <v>16240</v>
      </c>
      <c r="D6530" s="330" t="s">
        <v>16241</v>
      </c>
      <c r="E6530" s="330" t="s">
        <v>4634</v>
      </c>
      <c r="F6530" s="331">
        <v>0.21</v>
      </c>
      <c r="G6530" s="332">
        <v>2059</v>
      </c>
      <c r="H6530" s="333">
        <v>2492</v>
      </c>
    </row>
    <row r="6531" spans="1:8">
      <c r="A6531" s="317">
        <v>1615500404</v>
      </c>
      <c r="B6531" s="330" t="s">
        <v>50897</v>
      </c>
      <c r="C6531" s="330" t="s">
        <v>16242</v>
      </c>
      <c r="D6531" s="330" t="s">
        <v>16243</v>
      </c>
      <c r="E6531" s="330" t="s">
        <v>4634</v>
      </c>
      <c r="F6531" s="331">
        <v>0.21</v>
      </c>
      <c r="G6531" s="332">
        <v>455</v>
      </c>
      <c r="H6531" s="333">
        <v>551</v>
      </c>
    </row>
    <row r="6532" spans="1:8">
      <c r="A6532" s="317">
        <v>1615500410</v>
      </c>
      <c r="B6532" s="330" t="s">
        <v>50898</v>
      </c>
      <c r="C6532" s="330" t="s">
        <v>16244</v>
      </c>
      <c r="D6532" s="330" t="s">
        <v>16245</v>
      </c>
      <c r="E6532" s="330" t="s">
        <v>37248</v>
      </c>
      <c r="F6532" s="331">
        <v>0.21</v>
      </c>
      <c r="G6532" s="332">
        <v>18104</v>
      </c>
      <c r="H6532" s="333">
        <v>21906</v>
      </c>
    </row>
    <row r="6533" spans="1:8">
      <c r="A6533" s="317">
        <v>1615500411</v>
      </c>
      <c r="B6533" s="330" t="s">
        <v>50899</v>
      </c>
      <c r="C6533" s="330" t="s">
        <v>16246</v>
      </c>
      <c r="D6533" s="330" t="s">
        <v>16247</v>
      </c>
      <c r="E6533" s="330" t="s">
        <v>4819</v>
      </c>
      <c r="F6533" s="331">
        <v>0.21</v>
      </c>
      <c r="G6533" s="332">
        <v>41101</v>
      </c>
      <c r="H6533" s="333">
        <v>49733</v>
      </c>
    </row>
    <row r="6534" spans="1:8">
      <c r="A6534" s="317">
        <v>1615500414</v>
      </c>
      <c r="B6534" s="330" t="s">
        <v>50900</v>
      </c>
      <c r="C6534" s="330" t="s">
        <v>16248</v>
      </c>
      <c r="D6534" s="330" t="s">
        <v>16249</v>
      </c>
      <c r="E6534" s="330" t="s">
        <v>37248</v>
      </c>
      <c r="F6534" s="331">
        <v>0.21</v>
      </c>
      <c r="G6534" s="332">
        <v>102222</v>
      </c>
      <c r="H6534" s="333">
        <v>123689</v>
      </c>
    </row>
    <row r="6535" spans="1:8">
      <c r="A6535" s="317">
        <v>1615500416</v>
      </c>
      <c r="B6535" s="330" t="s">
        <v>50901</v>
      </c>
      <c r="C6535" s="330" t="s">
        <v>16250</v>
      </c>
      <c r="D6535" s="330" t="s">
        <v>16251</v>
      </c>
      <c r="E6535" s="330" t="s">
        <v>4634</v>
      </c>
      <c r="F6535" s="331">
        <v>0.21</v>
      </c>
      <c r="G6535" s="332">
        <v>135043</v>
      </c>
      <c r="H6535" s="333">
        <v>163403</v>
      </c>
    </row>
    <row r="6536" spans="1:8">
      <c r="A6536" s="317">
        <v>1615500417</v>
      </c>
      <c r="B6536" s="330" t="s">
        <v>50902</v>
      </c>
      <c r="C6536" s="330" t="s">
        <v>16252</v>
      </c>
      <c r="D6536" s="330" t="s">
        <v>16253</v>
      </c>
      <c r="E6536" s="330" t="s">
        <v>4634</v>
      </c>
      <c r="F6536" s="331">
        <v>0.21</v>
      </c>
      <c r="G6536" s="332">
        <v>73097</v>
      </c>
      <c r="H6536" s="333">
        <v>88448</v>
      </c>
    </row>
    <row r="6537" spans="1:8">
      <c r="A6537" s="317">
        <v>1615500418</v>
      </c>
      <c r="B6537" s="330" t="s">
        <v>50903</v>
      </c>
      <c r="C6537" s="330" t="s">
        <v>16254</v>
      </c>
      <c r="D6537" s="330" t="s">
        <v>16255</v>
      </c>
      <c r="E6537" s="330" t="s">
        <v>4623</v>
      </c>
      <c r="F6537" s="331">
        <v>0.21</v>
      </c>
      <c r="G6537" s="332">
        <v>5704</v>
      </c>
      <c r="H6537" s="333">
        <v>6902</v>
      </c>
    </row>
    <row r="6538" spans="1:8">
      <c r="A6538" s="317">
        <v>1615500424</v>
      </c>
      <c r="B6538" s="330" t="s">
        <v>50904</v>
      </c>
      <c r="C6538" s="330" t="s">
        <v>16256</v>
      </c>
      <c r="D6538" s="330" t="s">
        <v>16257</v>
      </c>
      <c r="E6538" s="330" t="s">
        <v>4623</v>
      </c>
      <c r="F6538" s="331">
        <v>0.21</v>
      </c>
      <c r="G6538" s="332">
        <v>3914</v>
      </c>
      <c r="H6538" s="333">
        <v>4736</v>
      </c>
    </row>
    <row r="6539" spans="1:8">
      <c r="A6539" s="317">
        <v>1615500425</v>
      </c>
      <c r="B6539" s="330" t="s">
        <v>50905</v>
      </c>
      <c r="C6539" s="330" t="s">
        <v>16258</v>
      </c>
      <c r="D6539" s="330" t="s">
        <v>16257</v>
      </c>
      <c r="E6539" s="330" t="s">
        <v>4623</v>
      </c>
      <c r="F6539" s="331">
        <v>0.21</v>
      </c>
      <c r="G6539" s="332">
        <v>3914</v>
      </c>
      <c r="H6539" s="333">
        <v>4736</v>
      </c>
    </row>
    <row r="6540" spans="1:8">
      <c r="A6540" s="317">
        <v>1615500426</v>
      </c>
      <c r="B6540" s="330" t="s">
        <v>50906</v>
      </c>
      <c r="C6540" s="330" t="s">
        <v>16259</v>
      </c>
      <c r="D6540" s="330" t="s">
        <v>16260</v>
      </c>
      <c r="E6540" s="330" t="s">
        <v>4623</v>
      </c>
      <c r="F6540" s="331">
        <v>0.21</v>
      </c>
      <c r="G6540" s="332">
        <v>3058</v>
      </c>
      <c r="H6540" s="333">
        <v>3701</v>
      </c>
    </row>
    <row r="6541" spans="1:8">
      <c r="A6541" s="317">
        <v>1615500427</v>
      </c>
      <c r="B6541" s="330" t="s">
        <v>50907</v>
      </c>
      <c r="C6541" s="330" t="s">
        <v>16261</v>
      </c>
      <c r="D6541" s="330" t="s">
        <v>16262</v>
      </c>
      <c r="E6541" s="330" t="s">
        <v>37248</v>
      </c>
      <c r="F6541" s="331">
        <v>0.21</v>
      </c>
      <c r="G6541" s="332">
        <v>4546</v>
      </c>
      <c r="H6541" s="333">
        <v>5501</v>
      </c>
    </row>
    <row r="6542" spans="1:8">
      <c r="A6542" s="317">
        <v>1615500428</v>
      </c>
      <c r="B6542" s="330" t="s">
        <v>50908</v>
      </c>
      <c r="C6542" s="330" t="s">
        <v>16263</v>
      </c>
      <c r="D6542" s="330" t="s">
        <v>16264</v>
      </c>
      <c r="E6542" s="330" t="s">
        <v>4819</v>
      </c>
      <c r="F6542" s="331">
        <v>0.21</v>
      </c>
      <c r="G6542" s="332">
        <v>8947</v>
      </c>
      <c r="H6542" s="333">
        <v>10826</v>
      </c>
    </row>
    <row r="6543" spans="1:8">
      <c r="A6543" s="317">
        <v>1615500429</v>
      </c>
      <c r="B6543" s="330" t="s">
        <v>50909</v>
      </c>
      <c r="C6543" s="330" t="s">
        <v>16265</v>
      </c>
      <c r="D6543" s="330" t="s">
        <v>16266</v>
      </c>
      <c r="E6543" s="330" t="s">
        <v>4634</v>
      </c>
      <c r="F6543" s="331">
        <v>0.21</v>
      </c>
      <c r="G6543" s="332">
        <v>1126</v>
      </c>
      <c r="H6543" s="333">
        <v>1363</v>
      </c>
    </row>
    <row r="6544" spans="1:8">
      <c r="A6544" s="317">
        <v>1615500431</v>
      </c>
      <c r="B6544" s="330" t="s">
        <v>50910</v>
      </c>
      <c r="C6544" s="330" t="s">
        <v>16267</v>
      </c>
      <c r="D6544" s="330" t="s">
        <v>16268</v>
      </c>
      <c r="E6544" s="330" t="s">
        <v>4819</v>
      </c>
      <c r="F6544" s="331">
        <v>0.21</v>
      </c>
      <c r="G6544" s="332">
        <v>3731</v>
      </c>
      <c r="H6544" s="333">
        <v>4515</v>
      </c>
    </row>
    <row r="6545" spans="1:8">
      <c r="A6545" s="317">
        <v>1615500435</v>
      </c>
      <c r="B6545" s="330" t="s">
        <v>50911</v>
      </c>
      <c r="C6545" s="330" t="s">
        <v>16269</v>
      </c>
      <c r="D6545" s="330" t="s">
        <v>16270</v>
      </c>
      <c r="E6545" s="330" t="s">
        <v>37248</v>
      </c>
      <c r="F6545" s="331">
        <v>0.21</v>
      </c>
      <c r="G6545" s="332">
        <v>11053</v>
      </c>
      <c r="H6545" s="333">
        <v>13375</v>
      </c>
    </row>
    <row r="6546" spans="1:8">
      <c r="A6546" s="317">
        <v>1615500438</v>
      </c>
      <c r="B6546" s="330" t="s">
        <v>50912</v>
      </c>
      <c r="C6546" s="330" t="s">
        <v>16271</v>
      </c>
      <c r="D6546" s="330" t="s">
        <v>16272</v>
      </c>
      <c r="E6546" s="330" t="s">
        <v>37248</v>
      </c>
      <c r="F6546" s="331">
        <v>0.21</v>
      </c>
      <c r="G6546" s="332">
        <v>3756</v>
      </c>
      <c r="H6546" s="333">
        <v>4545</v>
      </c>
    </row>
    <row r="6547" spans="1:8">
      <c r="A6547" s="317">
        <v>1615500444</v>
      </c>
      <c r="B6547" s="330" t="s">
        <v>50913</v>
      </c>
      <c r="C6547" s="330" t="s">
        <v>16273</v>
      </c>
      <c r="D6547" s="330" t="s">
        <v>16251</v>
      </c>
      <c r="E6547" s="330" t="s">
        <v>4634</v>
      </c>
      <c r="F6547" s="331">
        <v>0.21</v>
      </c>
      <c r="G6547" s="332">
        <v>15300</v>
      </c>
      <c r="H6547" s="333">
        <v>18513</v>
      </c>
    </row>
    <row r="6548" spans="1:8">
      <c r="A6548" s="317">
        <v>1615500447</v>
      </c>
      <c r="B6548" s="330" t="s">
        <v>50914</v>
      </c>
      <c r="C6548" s="330" t="s">
        <v>16274</v>
      </c>
      <c r="D6548" s="330" t="s">
        <v>16275</v>
      </c>
      <c r="E6548" s="330" t="s">
        <v>37248</v>
      </c>
      <c r="F6548" s="331">
        <v>0.21</v>
      </c>
      <c r="G6548" s="332">
        <v>4287</v>
      </c>
      <c r="H6548" s="333">
        <v>5188</v>
      </c>
    </row>
    <row r="6549" spans="1:8">
      <c r="A6549" s="317">
        <v>1615510003</v>
      </c>
      <c r="B6549" s="330" t="s">
        <v>50915</v>
      </c>
      <c r="C6549" s="330" t="s">
        <v>16276</v>
      </c>
      <c r="D6549" s="330" t="s">
        <v>16277</v>
      </c>
      <c r="E6549" s="330" t="s">
        <v>4634</v>
      </c>
      <c r="F6549" s="331">
        <v>0.21</v>
      </c>
      <c r="G6549" s="332">
        <v>348</v>
      </c>
      <c r="H6549" s="333">
        <v>422</v>
      </c>
    </row>
    <row r="6550" spans="1:8">
      <c r="A6550" s="317">
        <v>1615510004</v>
      </c>
      <c r="B6550" s="330" t="s">
        <v>50916</v>
      </c>
      <c r="C6550" s="330" t="s">
        <v>16278</v>
      </c>
      <c r="D6550" s="330" t="s">
        <v>16279</v>
      </c>
      <c r="E6550" s="330" t="s">
        <v>4634</v>
      </c>
      <c r="F6550" s="331">
        <v>0.21</v>
      </c>
      <c r="G6550" s="332">
        <v>791</v>
      </c>
      <c r="H6550" s="333">
        <v>958</v>
      </c>
    </row>
    <row r="6551" spans="1:8">
      <c r="A6551" s="317">
        <v>1615700017</v>
      </c>
      <c r="B6551" s="330" t="s">
        <v>50917</v>
      </c>
      <c r="C6551" s="330" t="s">
        <v>16280</v>
      </c>
      <c r="D6551" s="330" t="s">
        <v>16281</v>
      </c>
      <c r="E6551" s="330" t="s">
        <v>4819</v>
      </c>
      <c r="F6551" s="331">
        <v>0.21</v>
      </c>
      <c r="G6551" s="332">
        <v>49500</v>
      </c>
      <c r="H6551" s="333">
        <v>59895</v>
      </c>
    </row>
    <row r="6552" spans="1:8">
      <c r="A6552" s="317">
        <v>1615700021</v>
      </c>
      <c r="B6552" s="330" t="s">
        <v>50918</v>
      </c>
      <c r="C6552" s="330" t="s">
        <v>16282</v>
      </c>
      <c r="D6552" s="330" t="s">
        <v>16283</v>
      </c>
      <c r="E6552" s="330" t="s">
        <v>4634</v>
      </c>
      <c r="F6552" s="331">
        <v>0.21</v>
      </c>
      <c r="G6552" s="332">
        <v>5206</v>
      </c>
      <c r="H6552" s="333">
        <v>6300</v>
      </c>
    </row>
    <row r="6553" spans="1:8">
      <c r="A6553" s="317">
        <v>1615700026</v>
      </c>
      <c r="B6553" s="330" t="s">
        <v>50919</v>
      </c>
      <c r="C6553" s="330" t="s">
        <v>16284</v>
      </c>
      <c r="D6553" s="330" t="s">
        <v>16285</v>
      </c>
      <c r="E6553" s="330" t="s">
        <v>4634</v>
      </c>
      <c r="F6553" s="331">
        <v>0.21</v>
      </c>
      <c r="G6553" s="332">
        <v>4207</v>
      </c>
      <c r="H6553" s="333">
        <v>5091</v>
      </c>
    </row>
    <row r="6554" spans="1:8">
      <c r="A6554" s="317">
        <v>1615700027</v>
      </c>
      <c r="B6554" s="330" t="s">
        <v>50920</v>
      </c>
      <c r="C6554" s="330" t="s">
        <v>16286</v>
      </c>
      <c r="D6554" s="330" t="s">
        <v>16287</v>
      </c>
      <c r="E6554" s="330" t="s">
        <v>4634</v>
      </c>
      <c r="F6554" s="331">
        <v>0.21</v>
      </c>
      <c r="G6554" s="332">
        <v>3490</v>
      </c>
      <c r="H6554" s="333">
        <v>4223</v>
      </c>
    </row>
    <row r="6555" spans="1:8">
      <c r="A6555" s="317">
        <v>1615700031</v>
      </c>
      <c r="B6555" s="330" t="s">
        <v>50921</v>
      </c>
      <c r="C6555" s="330" t="s">
        <v>16288</v>
      </c>
      <c r="D6555" s="330" t="s">
        <v>16289</v>
      </c>
      <c r="E6555" s="330" t="s">
        <v>4634</v>
      </c>
      <c r="F6555" s="331">
        <v>0.21</v>
      </c>
      <c r="G6555" s="332">
        <v>4842</v>
      </c>
      <c r="H6555" s="333">
        <v>5859</v>
      </c>
    </row>
    <row r="6556" spans="1:8">
      <c r="A6556" s="317">
        <v>1615700033</v>
      </c>
      <c r="B6556" s="330" t="s">
        <v>50922</v>
      </c>
      <c r="C6556" s="330" t="s">
        <v>16290</v>
      </c>
      <c r="D6556" s="330" t="s">
        <v>16291</v>
      </c>
      <c r="E6556" s="330" t="s">
        <v>4634</v>
      </c>
      <c r="F6556" s="331">
        <v>0.21</v>
      </c>
      <c r="G6556" s="332">
        <v>20119</v>
      </c>
      <c r="H6556" s="333">
        <v>24344</v>
      </c>
    </row>
    <row r="6557" spans="1:8">
      <c r="A6557" s="317">
        <v>1615700034</v>
      </c>
      <c r="B6557" s="330" t="s">
        <v>50923</v>
      </c>
      <c r="C6557" s="330" t="s">
        <v>16292</v>
      </c>
      <c r="D6557" s="330" t="s">
        <v>16293</v>
      </c>
      <c r="E6557" s="330" t="s">
        <v>4634</v>
      </c>
      <c r="F6557" s="331">
        <v>0.21</v>
      </c>
      <c r="G6557" s="332">
        <v>124787</v>
      </c>
      <c r="H6557" s="333">
        <v>150993</v>
      </c>
    </row>
    <row r="6558" spans="1:8">
      <c r="A6558" s="317">
        <v>1615700035</v>
      </c>
      <c r="B6558" s="330" t="s">
        <v>50924</v>
      </c>
      <c r="C6558" s="330" t="s">
        <v>16294</v>
      </c>
      <c r="D6558" s="330" t="s">
        <v>16295</v>
      </c>
      <c r="E6558" s="330" t="s">
        <v>4634</v>
      </c>
      <c r="F6558" s="331">
        <v>0.21</v>
      </c>
      <c r="G6558" s="332">
        <v>7796</v>
      </c>
      <c r="H6558" s="333">
        <v>9434</v>
      </c>
    </row>
    <row r="6559" spans="1:8">
      <c r="A6559" s="317">
        <v>1615700037</v>
      </c>
      <c r="B6559" s="330" t="s">
        <v>50925</v>
      </c>
      <c r="C6559" s="330" t="s">
        <v>16296</v>
      </c>
      <c r="D6559" s="330" t="s">
        <v>16297</v>
      </c>
      <c r="E6559" s="330" t="s">
        <v>37248</v>
      </c>
      <c r="F6559" s="331">
        <v>0.21</v>
      </c>
      <c r="G6559" s="332">
        <v>25203</v>
      </c>
      <c r="H6559" s="333">
        <v>30496</v>
      </c>
    </row>
    <row r="6560" spans="1:8">
      <c r="A6560" s="317">
        <v>1615700041</v>
      </c>
      <c r="B6560" s="330" t="s">
        <v>50926</v>
      </c>
      <c r="C6560" s="330" t="s">
        <v>16298</v>
      </c>
      <c r="D6560" s="330" t="s">
        <v>16299</v>
      </c>
      <c r="E6560" s="330" t="s">
        <v>4819</v>
      </c>
      <c r="F6560" s="331">
        <v>0.21</v>
      </c>
      <c r="G6560" s="332">
        <v>131626</v>
      </c>
      <c r="H6560" s="333">
        <v>159268</v>
      </c>
    </row>
    <row r="6561" spans="1:8">
      <c r="A6561" s="317">
        <v>1615700042</v>
      </c>
      <c r="B6561" s="330" t="s">
        <v>50927</v>
      </c>
      <c r="C6561" s="330" t="s">
        <v>16300</v>
      </c>
      <c r="D6561" s="330" t="s">
        <v>16299</v>
      </c>
      <c r="E6561" s="330" t="s">
        <v>4634</v>
      </c>
      <c r="F6561" s="331">
        <v>0.21</v>
      </c>
      <c r="G6561" s="332">
        <v>26178</v>
      </c>
      <c r="H6561" s="333">
        <v>31676</v>
      </c>
    </row>
    <row r="6562" spans="1:8">
      <c r="A6562" s="317">
        <v>1615700044</v>
      </c>
      <c r="B6562" s="330" t="s">
        <v>50928</v>
      </c>
      <c r="C6562" s="330" t="s">
        <v>16301</v>
      </c>
      <c r="D6562" s="330" t="s">
        <v>16302</v>
      </c>
      <c r="E6562" s="330" t="s">
        <v>4634</v>
      </c>
      <c r="F6562" s="331">
        <v>0.21</v>
      </c>
      <c r="G6562" s="332">
        <v>455</v>
      </c>
      <c r="H6562" s="333">
        <v>551</v>
      </c>
    </row>
    <row r="6563" spans="1:8">
      <c r="A6563" s="317">
        <v>1615700057</v>
      </c>
      <c r="B6563" s="330" t="s">
        <v>50929</v>
      </c>
      <c r="C6563" s="330" t="s">
        <v>16303</v>
      </c>
      <c r="D6563" s="330" t="s">
        <v>16304</v>
      </c>
      <c r="E6563" s="330" t="s">
        <v>4634</v>
      </c>
      <c r="F6563" s="331">
        <v>0.21</v>
      </c>
      <c r="G6563" s="332">
        <v>119986</v>
      </c>
      <c r="H6563" s="333">
        <v>145184</v>
      </c>
    </row>
    <row r="6564" spans="1:8">
      <c r="A6564" s="317">
        <v>1615700058</v>
      </c>
      <c r="B6564" s="330" t="s">
        <v>50930</v>
      </c>
      <c r="C6564" s="330" t="s">
        <v>16305</v>
      </c>
      <c r="D6564" s="330" t="s">
        <v>16304</v>
      </c>
      <c r="E6564" s="330" t="s">
        <v>4634</v>
      </c>
      <c r="F6564" s="331">
        <v>0.21</v>
      </c>
      <c r="G6564" s="332">
        <v>21439</v>
      </c>
      <c r="H6564" s="333">
        <v>25942</v>
      </c>
    </row>
    <row r="6565" spans="1:8">
      <c r="A6565" s="317">
        <v>1615700059</v>
      </c>
      <c r="B6565" s="330" t="s">
        <v>50931</v>
      </c>
      <c r="C6565" s="330" t="s">
        <v>16306</v>
      </c>
      <c r="D6565" s="330" t="s">
        <v>16304</v>
      </c>
      <c r="E6565" s="330" t="s">
        <v>4819</v>
      </c>
      <c r="F6565" s="331">
        <v>0.21</v>
      </c>
      <c r="G6565" s="332">
        <v>6656</v>
      </c>
      <c r="H6565" s="333">
        <v>8054</v>
      </c>
    </row>
    <row r="6566" spans="1:8">
      <c r="A6566" s="317">
        <v>1615700061</v>
      </c>
      <c r="B6566" s="330" t="s">
        <v>50932</v>
      </c>
      <c r="C6566" s="330" t="s">
        <v>16307</v>
      </c>
      <c r="D6566" s="330" t="s">
        <v>16308</v>
      </c>
      <c r="E6566" s="330" t="s">
        <v>4634</v>
      </c>
      <c r="F6566" s="331">
        <v>0.21</v>
      </c>
      <c r="G6566" s="332">
        <v>21430</v>
      </c>
      <c r="H6566" s="333">
        <v>25931</v>
      </c>
    </row>
    <row r="6567" spans="1:8">
      <c r="A6567" s="317">
        <v>1615700073</v>
      </c>
      <c r="B6567" s="330" t="s">
        <v>50933</v>
      </c>
      <c r="C6567" s="330" t="s">
        <v>16309</v>
      </c>
      <c r="D6567" s="330" t="s">
        <v>16310</v>
      </c>
      <c r="E6567" s="330" t="s">
        <v>4634</v>
      </c>
      <c r="F6567" s="331">
        <v>0.21</v>
      </c>
      <c r="G6567" s="332">
        <v>38164</v>
      </c>
      <c r="H6567" s="333">
        <v>46179</v>
      </c>
    </row>
    <row r="6568" spans="1:8">
      <c r="A6568" s="317">
        <v>1615719016</v>
      </c>
      <c r="B6568" s="330" t="s">
        <v>50934</v>
      </c>
      <c r="C6568" s="330" t="s">
        <v>16311</v>
      </c>
      <c r="D6568" s="330" t="s">
        <v>16312</v>
      </c>
      <c r="E6568" s="330" t="s">
        <v>4634</v>
      </c>
      <c r="F6568" s="331">
        <v>0.21</v>
      </c>
      <c r="G6568" s="332">
        <v>3490</v>
      </c>
      <c r="H6568" s="333">
        <v>4223</v>
      </c>
    </row>
    <row r="6569" spans="1:8">
      <c r="A6569" s="317">
        <v>1615801027</v>
      </c>
      <c r="B6569" s="330" t="s">
        <v>50935</v>
      </c>
      <c r="C6569" s="330" t="s">
        <v>16313</v>
      </c>
      <c r="D6569" s="330" t="s">
        <v>16314</v>
      </c>
      <c r="E6569" s="330" t="s">
        <v>4819</v>
      </c>
      <c r="F6569" s="331">
        <v>0.21</v>
      </c>
      <c r="G6569" s="332">
        <v>2094</v>
      </c>
      <c r="H6569" s="333">
        <v>2534</v>
      </c>
    </row>
    <row r="6570" spans="1:8">
      <c r="A6570" s="317">
        <v>1615805054</v>
      </c>
      <c r="B6570" s="330" t="s">
        <v>50936</v>
      </c>
      <c r="C6570" s="330" t="s">
        <v>16315</v>
      </c>
      <c r="D6570" s="330" t="s">
        <v>16316</v>
      </c>
      <c r="E6570" s="330" t="s">
        <v>4634</v>
      </c>
      <c r="F6570" s="331">
        <v>0.21</v>
      </c>
      <c r="G6570" s="332">
        <v>8961</v>
      </c>
      <c r="H6570" s="333">
        <v>10843</v>
      </c>
    </row>
    <row r="6571" spans="1:8">
      <c r="A6571" s="317">
        <v>1615805060</v>
      </c>
      <c r="B6571" s="330" t="s">
        <v>50937</v>
      </c>
      <c r="C6571" s="330" t="s">
        <v>16317</v>
      </c>
      <c r="D6571" s="330" t="s">
        <v>16318</v>
      </c>
      <c r="E6571" s="330" t="s">
        <v>4634</v>
      </c>
      <c r="F6571" s="331">
        <v>0.21</v>
      </c>
      <c r="G6571" s="332">
        <v>20449</v>
      </c>
      <c r="H6571" s="333">
        <v>24744</v>
      </c>
    </row>
    <row r="6572" spans="1:8">
      <c r="A6572" s="317">
        <v>1615805062</v>
      </c>
      <c r="B6572" s="330" t="s">
        <v>50938</v>
      </c>
      <c r="C6572" s="330" t="s">
        <v>16319</v>
      </c>
      <c r="D6572" s="330" t="s">
        <v>16320</v>
      </c>
      <c r="E6572" s="330" t="s">
        <v>4634</v>
      </c>
      <c r="F6572" s="331">
        <v>0.21</v>
      </c>
      <c r="G6572" s="332">
        <v>6542</v>
      </c>
      <c r="H6572" s="333">
        <v>7916</v>
      </c>
    </row>
    <row r="6573" spans="1:8">
      <c r="A6573" s="317">
        <v>1615805064</v>
      </c>
      <c r="B6573" s="330" t="s">
        <v>50939</v>
      </c>
      <c r="C6573" s="330" t="s">
        <v>16321</v>
      </c>
      <c r="D6573" s="330" t="s">
        <v>16322</v>
      </c>
      <c r="E6573" s="330" t="s">
        <v>4634</v>
      </c>
      <c r="F6573" s="331">
        <v>0.21</v>
      </c>
      <c r="G6573" s="332">
        <v>47637</v>
      </c>
      <c r="H6573" s="333">
        <v>57641</v>
      </c>
    </row>
    <row r="6574" spans="1:8">
      <c r="A6574" s="317">
        <v>1615805067</v>
      </c>
      <c r="B6574" s="330" t="s">
        <v>50940</v>
      </c>
      <c r="C6574" s="330" t="s">
        <v>16323</v>
      </c>
      <c r="D6574" s="330" t="s">
        <v>16324</v>
      </c>
      <c r="E6574" s="330" t="s">
        <v>4634</v>
      </c>
      <c r="F6574" s="331">
        <v>0.21</v>
      </c>
      <c r="G6574" s="332">
        <v>11992</v>
      </c>
      <c r="H6574" s="333">
        <v>14511</v>
      </c>
    </row>
    <row r="6575" spans="1:8">
      <c r="A6575" s="317">
        <v>1615805068</v>
      </c>
      <c r="B6575" s="330" t="s">
        <v>50941</v>
      </c>
      <c r="C6575" s="330" t="s">
        <v>16325</v>
      </c>
      <c r="D6575" s="330" t="s">
        <v>16326</v>
      </c>
      <c r="E6575" s="330" t="s">
        <v>4819</v>
      </c>
      <c r="F6575" s="331">
        <v>0.21</v>
      </c>
      <c r="G6575" s="332">
        <v>102448</v>
      </c>
      <c r="H6575" s="333">
        <v>123963</v>
      </c>
    </row>
    <row r="6576" spans="1:8">
      <c r="A6576" s="317">
        <v>1615805069</v>
      </c>
      <c r="B6576" s="330" t="s">
        <v>50942</v>
      </c>
      <c r="C6576" s="330" t="s">
        <v>16327</v>
      </c>
      <c r="D6576" s="330" t="s">
        <v>16328</v>
      </c>
      <c r="E6576" s="330" t="s">
        <v>4819</v>
      </c>
      <c r="F6576" s="331">
        <v>0.21</v>
      </c>
      <c r="G6576" s="332">
        <v>48706</v>
      </c>
      <c r="H6576" s="333">
        <v>58935</v>
      </c>
    </row>
    <row r="6577" spans="1:8">
      <c r="A6577" s="317">
        <v>1615805073</v>
      </c>
      <c r="B6577" s="330" t="s">
        <v>50943</v>
      </c>
      <c r="C6577" s="330" t="s">
        <v>16329</v>
      </c>
      <c r="D6577" s="330" t="s">
        <v>16330</v>
      </c>
      <c r="E6577" s="330" t="s">
        <v>4634</v>
      </c>
      <c r="F6577" s="331">
        <v>0.21</v>
      </c>
      <c r="G6577" s="332">
        <v>63491</v>
      </c>
      <c r="H6577" s="333">
        <v>76825</v>
      </c>
    </row>
    <row r="6578" spans="1:8">
      <c r="A6578" s="317">
        <v>1615805074</v>
      </c>
      <c r="B6578" s="330" t="s">
        <v>50944</v>
      </c>
      <c r="C6578" s="330" t="s">
        <v>16331</v>
      </c>
      <c r="D6578" s="330" t="s">
        <v>7853</v>
      </c>
      <c r="E6578" s="330" t="s">
        <v>37248</v>
      </c>
      <c r="F6578" s="331">
        <v>0.21</v>
      </c>
      <c r="G6578" s="332">
        <v>2295</v>
      </c>
      <c r="H6578" s="333">
        <v>2777</v>
      </c>
    </row>
    <row r="6579" spans="1:8">
      <c r="A6579" s="317">
        <v>1615805079</v>
      </c>
      <c r="B6579" s="330" t="s">
        <v>50945</v>
      </c>
      <c r="C6579" s="330" t="s">
        <v>16332</v>
      </c>
      <c r="D6579" s="330" t="s">
        <v>10354</v>
      </c>
      <c r="E6579" s="330" t="s">
        <v>4819</v>
      </c>
      <c r="F6579" s="331">
        <v>0.21</v>
      </c>
      <c r="G6579" s="332">
        <v>4851</v>
      </c>
      <c r="H6579" s="333">
        <v>5870</v>
      </c>
    </row>
    <row r="6580" spans="1:8">
      <c r="A6580" s="317">
        <v>1615805080</v>
      </c>
      <c r="B6580" s="330" t="s">
        <v>50946</v>
      </c>
      <c r="C6580" s="330" t="s">
        <v>16333</v>
      </c>
      <c r="D6580" s="330" t="s">
        <v>16334</v>
      </c>
      <c r="E6580" s="330" t="s">
        <v>4819</v>
      </c>
      <c r="F6580" s="331">
        <v>0.21</v>
      </c>
      <c r="G6580" s="332">
        <v>5378</v>
      </c>
      <c r="H6580" s="333">
        <v>6508</v>
      </c>
    </row>
    <row r="6581" spans="1:8">
      <c r="A6581" s="317">
        <v>1615806017</v>
      </c>
      <c r="B6581" s="330" t="s">
        <v>50947</v>
      </c>
      <c r="C6581" s="330" t="s">
        <v>16335</v>
      </c>
      <c r="D6581" s="330" t="s">
        <v>16336</v>
      </c>
      <c r="E6581" s="330" t="s">
        <v>4634</v>
      </c>
      <c r="F6581" s="331">
        <v>0.21</v>
      </c>
      <c r="G6581" s="332">
        <v>11144</v>
      </c>
      <c r="H6581" s="333">
        <v>13485</v>
      </c>
    </row>
    <row r="6582" spans="1:8">
      <c r="A6582" s="317">
        <v>1615806024</v>
      </c>
      <c r="B6582" s="330" t="s">
        <v>50948</v>
      </c>
      <c r="C6582" s="330" t="s">
        <v>16337</v>
      </c>
      <c r="D6582" s="330" t="s">
        <v>5073</v>
      </c>
      <c r="E6582" s="330" t="s">
        <v>4634</v>
      </c>
      <c r="F6582" s="331">
        <v>0.21</v>
      </c>
      <c r="G6582" s="332">
        <v>6467</v>
      </c>
      <c r="H6582" s="333">
        <v>7826</v>
      </c>
    </row>
    <row r="6583" spans="1:8">
      <c r="A6583" s="317">
        <v>1615806026</v>
      </c>
      <c r="B6583" s="330" t="s">
        <v>50949</v>
      </c>
      <c r="C6583" s="330" t="s">
        <v>16338</v>
      </c>
      <c r="D6583" s="330" t="s">
        <v>16339</v>
      </c>
      <c r="E6583" s="330" t="s">
        <v>4634</v>
      </c>
      <c r="F6583" s="331">
        <v>0.21</v>
      </c>
      <c r="G6583" s="332">
        <v>37186</v>
      </c>
      <c r="H6583" s="333">
        <v>44996</v>
      </c>
    </row>
    <row r="6584" spans="1:8">
      <c r="A6584" s="317">
        <v>1615806029</v>
      </c>
      <c r="B6584" s="330" t="s">
        <v>50950</v>
      </c>
      <c r="C6584" s="330" t="s">
        <v>16340</v>
      </c>
      <c r="D6584" s="330" t="s">
        <v>16341</v>
      </c>
      <c r="E6584" s="330" t="s">
        <v>4634</v>
      </c>
      <c r="F6584" s="331">
        <v>0.21</v>
      </c>
      <c r="G6584" s="332">
        <v>318103</v>
      </c>
      <c r="H6584" s="333">
        <v>384905</v>
      </c>
    </row>
    <row r="6585" spans="1:8">
      <c r="A6585" s="317">
        <v>1615806047</v>
      </c>
      <c r="B6585" s="330" t="s">
        <v>50951</v>
      </c>
      <c r="C6585" s="330" t="s">
        <v>16342</v>
      </c>
      <c r="D6585" s="330" t="s">
        <v>16343</v>
      </c>
      <c r="E6585" s="330" t="s">
        <v>4634</v>
      </c>
      <c r="F6585" s="331">
        <v>0.21</v>
      </c>
      <c r="G6585" s="332">
        <v>10825</v>
      </c>
      <c r="H6585" s="333">
        <v>13099</v>
      </c>
    </row>
    <row r="6586" spans="1:8">
      <c r="A6586" s="317">
        <v>1615806077</v>
      </c>
      <c r="B6586" s="330" t="s">
        <v>50952</v>
      </c>
      <c r="C6586" s="330" t="s">
        <v>16344</v>
      </c>
      <c r="D6586" s="330" t="s">
        <v>16345</v>
      </c>
      <c r="E6586" s="330" t="s">
        <v>4819</v>
      </c>
      <c r="F6586" s="331">
        <v>0.21</v>
      </c>
      <c r="G6586" s="332">
        <v>64554</v>
      </c>
      <c r="H6586" s="333">
        <v>78111</v>
      </c>
    </row>
    <row r="6587" spans="1:8">
      <c r="A6587" s="317">
        <v>1615806086</v>
      </c>
      <c r="B6587" s="330" t="s">
        <v>50953</v>
      </c>
      <c r="C6587" s="330" t="s">
        <v>16346</v>
      </c>
      <c r="D6587" s="330" t="s">
        <v>16347</v>
      </c>
      <c r="E6587" s="330" t="s">
        <v>4634</v>
      </c>
      <c r="F6587" s="331">
        <v>0.21</v>
      </c>
      <c r="G6587" s="332">
        <v>26653</v>
      </c>
      <c r="H6587" s="333">
        <v>32251</v>
      </c>
    </row>
    <row r="6588" spans="1:8">
      <c r="A6588" s="317">
        <v>1615806089</v>
      </c>
      <c r="B6588" s="330" t="s">
        <v>50954</v>
      </c>
      <c r="C6588" s="330" t="s">
        <v>16348</v>
      </c>
      <c r="D6588" s="330" t="s">
        <v>16349</v>
      </c>
      <c r="E6588" s="330" t="s">
        <v>4634</v>
      </c>
      <c r="F6588" s="331">
        <v>0.21</v>
      </c>
      <c r="G6588" s="332">
        <v>23838</v>
      </c>
      <c r="H6588" s="333">
        <v>28844</v>
      </c>
    </row>
    <row r="6589" spans="1:8">
      <c r="A6589" s="317">
        <v>1615806090</v>
      </c>
      <c r="B6589" s="330" t="s">
        <v>50955</v>
      </c>
      <c r="C6589" s="330" t="s">
        <v>16350</v>
      </c>
      <c r="D6589" s="330" t="s">
        <v>16351</v>
      </c>
      <c r="E6589" s="330" t="s">
        <v>4634</v>
      </c>
      <c r="F6589" s="331">
        <v>0.21</v>
      </c>
      <c r="G6589" s="332">
        <v>26847</v>
      </c>
      <c r="H6589" s="333">
        <v>32485</v>
      </c>
    </row>
    <row r="6590" spans="1:8">
      <c r="A6590" s="317">
        <v>1615806093</v>
      </c>
      <c r="B6590" s="330" t="s">
        <v>50956</v>
      </c>
      <c r="C6590" s="330" t="s">
        <v>16352</v>
      </c>
      <c r="D6590" s="330" t="s">
        <v>16353</v>
      </c>
      <c r="E6590" s="330" t="s">
        <v>4819</v>
      </c>
      <c r="F6590" s="331">
        <v>0.21</v>
      </c>
      <c r="G6590" s="332">
        <v>72076</v>
      </c>
      <c r="H6590" s="333">
        <v>87212</v>
      </c>
    </row>
    <row r="6591" spans="1:8">
      <c r="A6591" s="317">
        <v>1615806108</v>
      </c>
      <c r="B6591" s="330" t="s">
        <v>50957</v>
      </c>
      <c r="C6591" s="330" t="s">
        <v>16354</v>
      </c>
      <c r="D6591" s="330" t="s">
        <v>16355</v>
      </c>
      <c r="E6591" s="330" t="s">
        <v>37248</v>
      </c>
      <c r="F6591" s="331">
        <v>0.21</v>
      </c>
      <c r="G6591" s="332">
        <v>116470</v>
      </c>
      <c r="H6591" s="333">
        <v>140929</v>
      </c>
    </row>
    <row r="6592" spans="1:8">
      <c r="A6592" s="317">
        <v>1615806113</v>
      </c>
      <c r="B6592" s="330" t="s">
        <v>50958</v>
      </c>
      <c r="C6592" s="330" t="s">
        <v>16356</v>
      </c>
      <c r="D6592" s="330" t="s">
        <v>16357</v>
      </c>
      <c r="E6592" s="330" t="s">
        <v>4634</v>
      </c>
      <c r="F6592" s="331">
        <v>0.21</v>
      </c>
      <c r="G6592" s="332">
        <v>135771</v>
      </c>
      <c r="H6592" s="333">
        <v>164283</v>
      </c>
    </row>
    <row r="6593" spans="1:8">
      <c r="A6593" s="317">
        <v>1615806121</v>
      </c>
      <c r="B6593" s="330" t="s">
        <v>50959</v>
      </c>
      <c r="C6593" s="330" t="s">
        <v>16358</v>
      </c>
      <c r="D6593" s="330" t="s">
        <v>16359</v>
      </c>
      <c r="E6593" s="330" t="s">
        <v>4634</v>
      </c>
      <c r="F6593" s="331">
        <v>0.21</v>
      </c>
      <c r="G6593" s="332">
        <v>21286</v>
      </c>
      <c r="H6593" s="333">
        <v>25757</v>
      </c>
    </row>
    <row r="6594" spans="1:8">
      <c r="A6594" s="317">
        <v>1615806134</v>
      </c>
      <c r="B6594" s="330" t="s">
        <v>50960</v>
      </c>
      <c r="C6594" s="330" t="s">
        <v>16360</v>
      </c>
      <c r="D6594" s="330" t="s">
        <v>16361</v>
      </c>
      <c r="E6594" s="330" t="s">
        <v>4634</v>
      </c>
      <c r="F6594" s="331">
        <v>0.21</v>
      </c>
      <c r="G6594" s="332">
        <v>50290</v>
      </c>
      <c r="H6594" s="333">
        <v>60851</v>
      </c>
    </row>
    <row r="6595" spans="1:8">
      <c r="A6595" s="317">
        <v>1615806156</v>
      </c>
      <c r="B6595" s="330" t="s">
        <v>50961</v>
      </c>
      <c r="C6595" s="330" t="s">
        <v>16362</v>
      </c>
      <c r="D6595" s="330" t="s">
        <v>16363</v>
      </c>
      <c r="E6595" s="330" t="s">
        <v>4634</v>
      </c>
      <c r="F6595" s="331">
        <v>0.21</v>
      </c>
      <c r="G6595" s="332">
        <v>139510</v>
      </c>
      <c r="H6595" s="333">
        <v>168808</v>
      </c>
    </row>
    <row r="6596" spans="1:8">
      <c r="A6596" s="317">
        <v>1615806162</v>
      </c>
      <c r="B6596" s="330" t="s">
        <v>50962</v>
      </c>
      <c r="C6596" s="330" t="s">
        <v>16364</v>
      </c>
      <c r="D6596" s="330" t="s">
        <v>16353</v>
      </c>
      <c r="E6596" s="330" t="s">
        <v>4634</v>
      </c>
      <c r="F6596" s="331">
        <v>0.21</v>
      </c>
      <c r="G6596" s="332">
        <v>26822</v>
      </c>
      <c r="H6596" s="333">
        <v>32455</v>
      </c>
    </row>
    <row r="6597" spans="1:8">
      <c r="A6597" s="317">
        <v>1615806185</v>
      </c>
      <c r="B6597" s="330" t="s">
        <v>50963</v>
      </c>
      <c r="C6597" s="330" t="s">
        <v>16365</v>
      </c>
      <c r="D6597" s="330" t="s">
        <v>16366</v>
      </c>
      <c r="E6597" s="330" t="s">
        <v>4634</v>
      </c>
      <c r="F6597" s="331">
        <v>0.21</v>
      </c>
      <c r="G6597" s="332">
        <v>6065</v>
      </c>
      <c r="H6597" s="333">
        <v>7339</v>
      </c>
    </row>
    <row r="6598" spans="1:8">
      <c r="A6598" s="317">
        <v>1615806187</v>
      </c>
      <c r="B6598" s="330" t="s">
        <v>50964</v>
      </c>
      <c r="C6598" s="330" t="s">
        <v>16367</v>
      </c>
      <c r="D6598" s="330" t="s">
        <v>16368</v>
      </c>
      <c r="E6598" s="330" t="s">
        <v>37248</v>
      </c>
      <c r="F6598" s="331">
        <v>0.21</v>
      </c>
      <c r="G6598" s="332">
        <v>3218</v>
      </c>
      <c r="H6598" s="333">
        <v>3894</v>
      </c>
    </row>
    <row r="6599" spans="1:8">
      <c r="A6599" s="317">
        <v>1615806188</v>
      </c>
      <c r="B6599" s="330" t="s">
        <v>50965</v>
      </c>
      <c r="C6599" s="330" t="s">
        <v>16369</v>
      </c>
      <c r="D6599" s="330" t="s">
        <v>16370</v>
      </c>
      <c r="E6599" s="330" t="s">
        <v>4819</v>
      </c>
      <c r="F6599" s="331">
        <v>0.21</v>
      </c>
      <c r="G6599" s="332">
        <v>13629</v>
      </c>
      <c r="H6599" s="333">
        <v>16492</v>
      </c>
    </row>
    <row r="6600" spans="1:8">
      <c r="A6600" s="317">
        <v>1615806214</v>
      </c>
      <c r="B6600" s="330" t="s">
        <v>50966</v>
      </c>
      <c r="C6600" s="330" t="s">
        <v>16371</v>
      </c>
      <c r="D6600" s="330" t="s">
        <v>16372</v>
      </c>
      <c r="E6600" s="330" t="s">
        <v>37248</v>
      </c>
      <c r="F6600" s="331">
        <v>0.21</v>
      </c>
      <c r="G6600" s="332">
        <v>141863</v>
      </c>
      <c r="H6600" s="333">
        <v>171655</v>
      </c>
    </row>
    <row r="6601" spans="1:8">
      <c r="A6601" s="317">
        <v>1615806220</v>
      </c>
      <c r="B6601" s="330" t="s">
        <v>50967</v>
      </c>
      <c r="C6601" s="330" t="s">
        <v>16373</v>
      </c>
      <c r="D6601" s="330" t="s">
        <v>16374</v>
      </c>
      <c r="E6601" s="330" t="s">
        <v>37248</v>
      </c>
      <c r="F6601" s="331">
        <v>0.21</v>
      </c>
      <c r="G6601" s="332">
        <v>247619</v>
      </c>
      <c r="H6601" s="333">
        <v>299619</v>
      </c>
    </row>
    <row r="6602" spans="1:8">
      <c r="A6602" s="317">
        <v>1615806229</v>
      </c>
      <c r="B6602" s="330" t="s">
        <v>50968</v>
      </c>
      <c r="C6602" s="330" t="s">
        <v>16375</v>
      </c>
      <c r="D6602" s="330" t="s">
        <v>7239</v>
      </c>
      <c r="E6602" s="330" t="s">
        <v>4819</v>
      </c>
      <c r="F6602" s="331">
        <v>0.21</v>
      </c>
      <c r="G6602" s="332">
        <v>185305</v>
      </c>
      <c r="H6602" s="333">
        <v>224220</v>
      </c>
    </row>
    <row r="6603" spans="1:8">
      <c r="A6603" s="317">
        <v>1615806230</v>
      </c>
      <c r="B6603" s="330" t="s">
        <v>50969</v>
      </c>
      <c r="C6603" s="330" t="s">
        <v>16376</v>
      </c>
      <c r="D6603" s="330" t="s">
        <v>16377</v>
      </c>
      <c r="E6603" s="330" t="s">
        <v>37248</v>
      </c>
      <c r="F6603" s="331">
        <v>0.21</v>
      </c>
      <c r="G6603" s="332">
        <v>217107</v>
      </c>
      <c r="H6603" s="333">
        <v>262700</v>
      </c>
    </row>
    <row r="6604" spans="1:8">
      <c r="A6604" s="317">
        <v>1615806233</v>
      </c>
      <c r="B6604" s="330" t="s">
        <v>50970</v>
      </c>
      <c r="C6604" s="330" t="s">
        <v>16378</v>
      </c>
      <c r="D6604" s="330" t="s">
        <v>7534</v>
      </c>
      <c r="E6604" s="330" t="s">
        <v>4634</v>
      </c>
      <c r="F6604" s="331">
        <v>0.21</v>
      </c>
      <c r="G6604" s="332">
        <v>373549</v>
      </c>
      <c r="H6604" s="333">
        <v>451995</v>
      </c>
    </row>
    <row r="6605" spans="1:8">
      <c r="A6605" s="317">
        <v>1615806236</v>
      </c>
      <c r="B6605" s="330" t="s">
        <v>50971</v>
      </c>
      <c r="C6605" s="330" t="s">
        <v>16379</v>
      </c>
      <c r="D6605" s="330" t="s">
        <v>16380</v>
      </c>
      <c r="E6605" s="330" t="s">
        <v>4634</v>
      </c>
      <c r="F6605" s="331">
        <v>0.21</v>
      </c>
      <c r="G6605" s="332">
        <v>7383</v>
      </c>
      <c r="H6605" s="333">
        <v>8934</v>
      </c>
    </row>
    <row r="6606" spans="1:8">
      <c r="A6606" s="317">
        <v>1615806243</v>
      </c>
      <c r="B6606" s="330" t="s">
        <v>50972</v>
      </c>
      <c r="C6606" s="330" t="s">
        <v>16381</v>
      </c>
      <c r="D6606" s="330" t="s">
        <v>16382</v>
      </c>
      <c r="E6606" s="330" t="s">
        <v>4819</v>
      </c>
      <c r="F6606" s="331">
        <v>0.21</v>
      </c>
      <c r="G6606" s="332">
        <v>171463</v>
      </c>
      <c r="H6606" s="333">
        <v>207471</v>
      </c>
    </row>
    <row r="6607" spans="1:8">
      <c r="A6607" s="317">
        <v>1615806249</v>
      </c>
      <c r="B6607" s="330" t="s">
        <v>50973</v>
      </c>
      <c r="C6607" s="330" t="s">
        <v>16383</v>
      </c>
      <c r="D6607" s="330" t="s">
        <v>16384</v>
      </c>
      <c r="E6607" s="330" t="s">
        <v>37248</v>
      </c>
      <c r="F6607" s="331">
        <v>0.21</v>
      </c>
      <c r="G6607" s="332">
        <v>151272</v>
      </c>
      <c r="H6607" s="333">
        <v>183040</v>
      </c>
    </row>
    <row r="6608" spans="1:8">
      <c r="A6608" s="317">
        <v>1615808039</v>
      </c>
      <c r="B6608" s="330" t="s">
        <v>50974</v>
      </c>
      <c r="C6608" s="330" t="s">
        <v>16385</v>
      </c>
      <c r="D6608" s="330" t="s">
        <v>16386</v>
      </c>
      <c r="E6608" s="330" t="s">
        <v>4634</v>
      </c>
      <c r="F6608" s="331">
        <v>0.21</v>
      </c>
      <c r="G6608" s="332">
        <v>3966</v>
      </c>
      <c r="H6608" s="333">
        <v>4799</v>
      </c>
    </row>
    <row r="6609" spans="1:8">
      <c r="A6609" s="317">
        <v>1615808046</v>
      </c>
      <c r="B6609" s="330" t="s">
        <v>50975</v>
      </c>
      <c r="C6609" s="330" t="s">
        <v>16387</v>
      </c>
      <c r="D6609" s="330" t="s">
        <v>16388</v>
      </c>
      <c r="E6609" s="330" t="s">
        <v>4634</v>
      </c>
      <c r="F6609" s="331">
        <v>0.21</v>
      </c>
      <c r="G6609" s="332">
        <v>7684</v>
      </c>
      <c r="H6609" s="333">
        <v>9298</v>
      </c>
    </row>
    <row r="6610" spans="1:8">
      <c r="A6610" s="317">
        <v>1615808059</v>
      </c>
      <c r="B6610" s="330" t="s">
        <v>50976</v>
      </c>
      <c r="C6610" s="330" t="s">
        <v>16389</v>
      </c>
      <c r="D6610" s="330" t="s">
        <v>16390</v>
      </c>
      <c r="E6610" s="330" t="s">
        <v>4634</v>
      </c>
      <c r="F6610" s="331">
        <v>0.21</v>
      </c>
      <c r="G6610" s="332">
        <v>7069</v>
      </c>
      <c r="H6610" s="333">
        <v>8554</v>
      </c>
    </row>
    <row r="6611" spans="1:8">
      <c r="A6611" s="317">
        <v>1615808068</v>
      </c>
      <c r="B6611" s="330" t="s">
        <v>50977</v>
      </c>
      <c r="C6611" s="330" t="s">
        <v>16391</v>
      </c>
      <c r="D6611" s="330" t="s">
        <v>16392</v>
      </c>
      <c r="E6611" s="330" t="s">
        <v>4634</v>
      </c>
      <c r="F6611" s="331">
        <v>0.21</v>
      </c>
      <c r="G6611" s="332">
        <v>6768</v>
      </c>
      <c r="H6611" s="333">
        <v>8190</v>
      </c>
    </row>
    <row r="6612" spans="1:8">
      <c r="A6612" s="317">
        <v>1615808072</v>
      </c>
      <c r="B6612" s="330" t="s">
        <v>50978</v>
      </c>
      <c r="C6612" s="330" t="s">
        <v>16393</v>
      </c>
      <c r="D6612" s="330" t="s">
        <v>16394</v>
      </c>
      <c r="E6612" s="330" t="s">
        <v>4634</v>
      </c>
      <c r="F6612" s="331">
        <v>0.21</v>
      </c>
      <c r="G6612" s="332">
        <v>6464</v>
      </c>
      <c r="H6612" s="333">
        <v>7822</v>
      </c>
    </row>
    <row r="6613" spans="1:8">
      <c r="A6613" s="317">
        <v>1615808078</v>
      </c>
      <c r="B6613" s="330" t="s">
        <v>50979</v>
      </c>
      <c r="C6613" s="330" t="s">
        <v>16395</v>
      </c>
      <c r="D6613" s="330" t="s">
        <v>16396</v>
      </c>
      <c r="E6613" s="330" t="s">
        <v>4634</v>
      </c>
      <c r="F6613" s="331">
        <v>0.21</v>
      </c>
      <c r="G6613" s="332">
        <v>7084</v>
      </c>
      <c r="H6613" s="333">
        <v>8572</v>
      </c>
    </row>
    <row r="6614" spans="1:8">
      <c r="A6614" s="317">
        <v>1615808082</v>
      </c>
      <c r="B6614" s="330" t="s">
        <v>50980</v>
      </c>
      <c r="C6614" s="330" t="s">
        <v>16397</v>
      </c>
      <c r="D6614" s="330" t="s">
        <v>16398</v>
      </c>
      <c r="E6614" s="330" t="s">
        <v>4634</v>
      </c>
      <c r="F6614" s="331">
        <v>0.21</v>
      </c>
      <c r="G6614" s="332">
        <v>3696</v>
      </c>
      <c r="H6614" s="333">
        <v>4473</v>
      </c>
    </row>
    <row r="6615" spans="1:8">
      <c r="A6615" s="317">
        <v>1615808102</v>
      </c>
      <c r="B6615" s="330" t="s">
        <v>50981</v>
      </c>
      <c r="C6615" s="330" t="s">
        <v>16399</v>
      </c>
      <c r="D6615" s="330" t="s">
        <v>16400</v>
      </c>
      <c r="E6615" s="330" t="s">
        <v>4819</v>
      </c>
      <c r="F6615" s="331">
        <v>0.21</v>
      </c>
      <c r="G6615" s="332">
        <v>2823</v>
      </c>
      <c r="H6615" s="333">
        <v>3416</v>
      </c>
    </row>
    <row r="6616" spans="1:8">
      <c r="A6616" s="317">
        <v>1615808106</v>
      </c>
      <c r="B6616" s="330" t="s">
        <v>50982</v>
      </c>
      <c r="C6616" s="330" t="s">
        <v>16401</v>
      </c>
      <c r="D6616" s="330" t="s">
        <v>16402</v>
      </c>
      <c r="E6616" s="330" t="s">
        <v>4819</v>
      </c>
      <c r="F6616" s="331">
        <v>0.21</v>
      </c>
      <c r="G6616" s="332">
        <v>1338</v>
      </c>
      <c r="H6616" s="333">
        <v>1619</v>
      </c>
    </row>
    <row r="6617" spans="1:8">
      <c r="A6617" s="317">
        <v>1615819002</v>
      </c>
      <c r="B6617" s="330" t="s">
        <v>50983</v>
      </c>
      <c r="C6617" s="330" t="s">
        <v>16403</v>
      </c>
      <c r="D6617" s="330" t="s">
        <v>16404</v>
      </c>
      <c r="E6617" s="330" t="s">
        <v>4634</v>
      </c>
      <c r="F6617" s="331">
        <v>0.21</v>
      </c>
      <c r="G6617" s="332">
        <v>8008</v>
      </c>
      <c r="H6617" s="333">
        <v>9690</v>
      </c>
    </row>
    <row r="6618" spans="1:8">
      <c r="A6618" s="317">
        <v>1615819005</v>
      </c>
      <c r="B6618" s="330" t="s">
        <v>50984</v>
      </c>
      <c r="C6618" s="330" t="s">
        <v>16405</v>
      </c>
      <c r="D6618" s="330" t="s">
        <v>16406</v>
      </c>
      <c r="E6618" s="330" t="s">
        <v>37248</v>
      </c>
      <c r="F6618" s="331">
        <v>0.21</v>
      </c>
      <c r="G6618" s="332">
        <v>47029</v>
      </c>
      <c r="H6618" s="333">
        <v>56906</v>
      </c>
    </row>
    <row r="6619" spans="1:8">
      <c r="A6619" s="317">
        <v>1615819011</v>
      </c>
      <c r="B6619" s="330" t="s">
        <v>50985</v>
      </c>
      <c r="C6619" s="330" t="s">
        <v>16407</v>
      </c>
      <c r="D6619" s="330" t="s">
        <v>16408</v>
      </c>
      <c r="E6619" s="330" t="s">
        <v>4634</v>
      </c>
      <c r="F6619" s="331">
        <v>0.21</v>
      </c>
      <c r="G6619" s="332">
        <v>19093</v>
      </c>
      <c r="H6619" s="333">
        <v>23103</v>
      </c>
    </row>
    <row r="6620" spans="1:8">
      <c r="A6620" s="317">
        <v>1615819012</v>
      </c>
      <c r="B6620" s="330" t="s">
        <v>50986</v>
      </c>
      <c r="C6620" s="330" t="s">
        <v>16409</v>
      </c>
      <c r="D6620" s="330" t="s">
        <v>16410</v>
      </c>
      <c r="E6620" s="330" t="s">
        <v>4634</v>
      </c>
      <c r="F6620" s="331">
        <v>0.21</v>
      </c>
      <c r="G6620" s="332">
        <v>6212</v>
      </c>
      <c r="H6620" s="333">
        <v>7517</v>
      </c>
    </row>
    <row r="6621" spans="1:8">
      <c r="A6621" s="317">
        <v>1615819013</v>
      </c>
      <c r="B6621" s="330" t="s">
        <v>50987</v>
      </c>
      <c r="C6621" s="330" t="s">
        <v>16411</v>
      </c>
      <c r="D6621" s="330" t="s">
        <v>16412</v>
      </c>
      <c r="E6621" s="330" t="s">
        <v>4634</v>
      </c>
      <c r="F6621" s="331">
        <v>0.21</v>
      </c>
      <c r="G6621" s="332">
        <v>791</v>
      </c>
      <c r="H6621" s="333">
        <v>958</v>
      </c>
    </row>
    <row r="6622" spans="1:8">
      <c r="A6622" s="317">
        <v>1615819016</v>
      </c>
      <c r="B6622" s="330" t="s">
        <v>50988</v>
      </c>
      <c r="C6622" s="330" t="s">
        <v>16413</v>
      </c>
      <c r="D6622" s="330" t="s">
        <v>16414</v>
      </c>
      <c r="E6622" s="330" t="s">
        <v>4634</v>
      </c>
      <c r="F6622" s="331">
        <v>0.21</v>
      </c>
      <c r="G6622" s="332">
        <v>455</v>
      </c>
      <c r="H6622" s="333">
        <v>551</v>
      </c>
    </row>
    <row r="6623" spans="1:8">
      <c r="A6623" s="317">
        <v>1615819017</v>
      </c>
      <c r="B6623" s="330" t="s">
        <v>50989</v>
      </c>
      <c r="C6623" s="330" t="s">
        <v>16415</v>
      </c>
      <c r="D6623" s="330" t="s">
        <v>16416</v>
      </c>
      <c r="E6623" s="330" t="s">
        <v>4634</v>
      </c>
      <c r="F6623" s="331">
        <v>0.21</v>
      </c>
      <c r="G6623" s="332">
        <v>12148</v>
      </c>
      <c r="H6623" s="333">
        <v>14700</v>
      </c>
    </row>
    <row r="6624" spans="1:8">
      <c r="A6624" s="317">
        <v>1615819018</v>
      </c>
      <c r="B6624" s="330" t="s">
        <v>50990</v>
      </c>
      <c r="C6624" s="330" t="s">
        <v>16417</v>
      </c>
      <c r="D6624" s="330" t="s">
        <v>16418</v>
      </c>
      <c r="E6624" s="330" t="s">
        <v>4634</v>
      </c>
      <c r="F6624" s="331">
        <v>0.21</v>
      </c>
      <c r="G6624" s="332">
        <v>70064</v>
      </c>
      <c r="H6624" s="333">
        <v>84778</v>
      </c>
    </row>
    <row r="6625" spans="1:8">
      <c r="A6625" s="317">
        <v>1615819022</v>
      </c>
      <c r="B6625" s="330" t="s">
        <v>50991</v>
      </c>
      <c r="C6625" s="330" t="s">
        <v>16419</v>
      </c>
      <c r="D6625" s="330" t="s">
        <v>16420</v>
      </c>
      <c r="E6625" s="330" t="s">
        <v>4634</v>
      </c>
      <c r="F6625" s="331">
        <v>0.21</v>
      </c>
      <c r="G6625" s="332">
        <v>95342</v>
      </c>
      <c r="H6625" s="333">
        <v>115364</v>
      </c>
    </row>
    <row r="6626" spans="1:8">
      <c r="A6626" s="317">
        <v>1615820090</v>
      </c>
      <c r="B6626" s="330" t="s">
        <v>50992</v>
      </c>
      <c r="C6626" s="330" t="s">
        <v>16421</v>
      </c>
      <c r="D6626" s="330" t="s">
        <v>16422</v>
      </c>
      <c r="E6626" s="330" t="s">
        <v>4634</v>
      </c>
      <c r="F6626" s="331">
        <v>0.21</v>
      </c>
      <c r="G6626" s="332">
        <v>541</v>
      </c>
      <c r="H6626" s="333">
        <v>655</v>
      </c>
    </row>
    <row r="6627" spans="1:8">
      <c r="A6627" s="317">
        <v>1615820091</v>
      </c>
      <c r="B6627" s="330" t="s">
        <v>50993</v>
      </c>
      <c r="C6627" s="330" t="s">
        <v>16423</v>
      </c>
      <c r="D6627" s="330" t="s">
        <v>16424</v>
      </c>
      <c r="E6627" s="330" t="s">
        <v>4634</v>
      </c>
      <c r="F6627" s="331">
        <v>0.21</v>
      </c>
      <c r="G6627" s="332">
        <v>11216</v>
      </c>
      <c r="H6627" s="333">
        <v>13572</v>
      </c>
    </row>
    <row r="6628" spans="1:8">
      <c r="A6628" s="317">
        <v>1615820103</v>
      </c>
      <c r="B6628" s="330" t="s">
        <v>50994</v>
      </c>
      <c r="C6628" s="330" t="s">
        <v>16425</v>
      </c>
      <c r="D6628" s="330" t="s">
        <v>16426</v>
      </c>
      <c r="E6628" s="330" t="s">
        <v>37248</v>
      </c>
      <c r="F6628" s="331">
        <v>0.21</v>
      </c>
      <c r="G6628" s="332">
        <v>2451</v>
      </c>
      <c r="H6628" s="333">
        <v>2966</v>
      </c>
    </row>
    <row r="6629" spans="1:8">
      <c r="A6629" s="317">
        <v>1615820104</v>
      </c>
      <c r="B6629" s="330" t="s">
        <v>50995</v>
      </c>
      <c r="C6629" s="330" t="s">
        <v>16427</v>
      </c>
      <c r="D6629" s="330" t="s">
        <v>16426</v>
      </c>
      <c r="E6629" s="330" t="s">
        <v>37248</v>
      </c>
      <c r="F6629" s="331">
        <v>0.21</v>
      </c>
      <c r="G6629" s="332">
        <v>2451</v>
      </c>
      <c r="H6629" s="333">
        <v>2966</v>
      </c>
    </row>
    <row r="6630" spans="1:8">
      <c r="A6630" s="317">
        <v>1616110013</v>
      </c>
      <c r="B6630" s="330" t="s">
        <v>50996</v>
      </c>
      <c r="C6630" s="330" t="s">
        <v>16428</v>
      </c>
      <c r="D6630" s="330" t="s">
        <v>16429</v>
      </c>
      <c r="E6630" s="330" t="s">
        <v>4634</v>
      </c>
      <c r="F6630" s="331">
        <v>0.21</v>
      </c>
      <c r="G6630" s="332">
        <v>11887</v>
      </c>
      <c r="H6630" s="333">
        <v>14384</v>
      </c>
    </row>
    <row r="6631" spans="1:8">
      <c r="A6631" s="317">
        <v>1616110025</v>
      </c>
      <c r="B6631" s="330" t="s">
        <v>50997</v>
      </c>
      <c r="C6631" s="330" t="s">
        <v>16430</v>
      </c>
      <c r="D6631" s="330" t="s">
        <v>16431</v>
      </c>
      <c r="E6631" s="330" t="s">
        <v>4634</v>
      </c>
      <c r="F6631" s="331">
        <v>0.21</v>
      </c>
      <c r="G6631" s="332">
        <v>19644</v>
      </c>
      <c r="H6631" s="333">
        <v>23770</v>
      </c>
    </row>
    <row r="6632" spans="1:8">
      <c r="A6632" s="317">
        <v>1616110027</v>
      </c>
      <c r="B6632" s="330" t="s">
        <v>50998</v>
      </c>
      <c r="C6632" s="330" t="s">
        <v>16432</v>
      </c>
      <c r="D6632" s="330" t="s">
        <v>16433</v>
      </c>
      <c r="E6632" s="330" t="s">
        <v>4634</v>
      </c>
      <c r="F6632" s="331">
        <v>0.21</v>
      </c>
      <c r="G6632" s="332">
        <v>187971</v>
      </c>
      <c r="H6632" s="333">
        <v>227445</v>
      </c>
    </row>
    <row r="6633" spans="1:8">
      <c r="A6633" s="317">
        <v>1616110029</v>
      </c>
      <c r="B6633" s="330" t="s">
        <v>50999</v>
      </c>
      <c r="C6633" s="330" t="s">
        <v>16434</v>
      </c>
      <c r="D6633" s="330" t="s">
        <v>16435</v>
      </c>
      <c r="E6633" s="330" t="s">
        <v>4634</v>
      </c>
      <c r="F6633" s="331">
        <v>0.21</v>
      </c>
      <c r="G6633" s="332">
        <v>14310</v>
      </c>
      <c r="H6633" s="333">
        <v>17316</v>
      </c>
    </row>
    <row r="6634" spans="1:8">
      <c r="A6634" s="317">
        <v>1616110032</v>
      </c>
      <c r="B6634" s="330" t="s">
        <v>51000</v>
      </c>
      <c r="C6634" s="330" t="s">
        <v>16436</v>
      </c>
      <c r="D6634" s="330" t="s">
        <v>16437</v>
      </c>
      <c r="E6634" s="330" t="s">
        <v>4634</v>
      </c>
      <c r="F6634" s="331">
        <v>0.21</v>
      </c>
      <c r="G6634" s="332">
        <v>15918</v>
      </c>
      <c r="H6634" s="333">
        <v>19261</v>
      </c>
    </row>
    <row r="6635" spans="1:8">
      <c r="A6635" s="317">
        <v>1616110037</v>
      </c>
      <c r="B6635" s="330" t="s">
        <v>51001</v>
      </c>
      <c r="C6635" s="330" t="s">
        <v>16438</v>
      </c>
      <c r="D6635" s="330" t="s">
        <v>16439</v>
      </c>
      <c r="E6635" s="330" t="s">
        <v>4634</v>
      </c>
      <c r="F6635" s="331">
        <v>0.21</v>
      </c>
      <c r="G6635" s="332">
        <v>170504</v>
      </c>
      <c r="H6635" s="333">
        <v>206310</v>
      </c>
    </row>
    <row r="6636" spans="1:8">
      <c r="A6636" s="317">
        <v>1616110041</v>
      </c>
      <c r="B6636" s="330" t="s">
        <v>51002</v>
      </c>
      <c r="C6636" s="330" t="s">
        <v>16440</v>
      </c>
      <c r="D6636" s="330" t="s">
        <v>16441</v>
      </c>
      <c r="E6636" s="330" t="s">
        <v>4634</v>
      </c>
      <c r="F6636" s="331">
        <v>0.21</v>
      </c>
      <c r="G6636" s="332">
        <v>50471</v>
      </c>
      <c r="H6636" s="333">
        <v>61070</v>
      </c>
    </row>
    <row r="6637" spans="1:8">
      <c r="A6637" s="317">
        <v>1616110044</v>
      </c>
      <c r="B6637" s="330" t="s">
        <v>51003</v>
      </c>
      <c r="C6637" s="330" t="s">
        <v>16442</v>
      </c>
      <c r="D6637" s="330" t="s">
        <v>16443</v>
      </c>
      <c r="E6637" s="330" t="s">
        <v>4634</v>
      </c>
      <c r="F6637" s="331">
        <v>0.21</v>
      </c>
      <c r="G6637" s="332">
        <v>165174</v>
      </c>
      <c r="H6637" s="333">
        <v>199861</v>
      </c>
    </row>
    <row r="6638" spans="1:8">
      <c r="A6638" s="317">
        <v>1616232000</v>
      </c>
      <c r="B6638" s="330" t="s">
        <v>51004</v>
      </c>
      <c r="C6638" s="330" t="s">
        <v>16444</v>
      </c>
      <c r="D6638" s="330" t="s">
        <v>16445</v>
      </c>
      <c r="E6638" s="330" t="s">
        <v>4634</v>
      </c>
      <c r="F6638" s="331">
        <v>0.21</v>
      </c>
      <c r="G6638" s="332">
        <v>2250</v>
      </c>
      <c r="H6638" s="333">
        <v>2723</v>
      </c>
    </row>
    <row r="6639" spans="1:8">
      <c r="A6639" s="317">
        <v>1616232006</v>
      </c>
      <c r="B6639" s="330" t="s">
        <v>51005</v>
      </c>
      <c r="C6639" s="330" t="s">
        <v>16446</v>
      </c>
      <c r="D6639" s="330" t="s">
        <v>8457</v>
      </c>
      <c r="E6639" s="330" t="s">
        <v>4634</v>
      </c>
      <c r="F6639" s="331">
        <v>0.21</v>
      </c>
      <c r="G6639" s="332">
        <v>236</v>
      </c>
      <c r="H6639" s="333">
        <v>286</v>
      </c>
    </row>
    <row r="6640" spans="1:8">
      <c r="A6640" s="317">
        <v>1616303001</v>
      </c>
      <c r="B6640" s="330" t="s">
        <v>51006</v>
      </c>
      <c r="C6640" s="330" t="s">
        <v>16447</v>
      </c>
      <c r="D6640" s="330" t="s">
        <v>16448</v>
      </c>
      <c r="E6640" s="330" t="s">
        <v>4634</v>
      </c>
      <c r="F6640" s="331">
        <v>0.21</v>
      </c>
      <c r="G6640" s="332">
        <v>8318</v>
      </c>
      <c r="H6640" s="333">
        <v>10065</v>
      </c>
    </row>
    <row r="6641" spans="1:8">
      <c r="A6641" s="317">
        <v>1616312000</v>
      </c>
      <c r="B6641" s="330" t="s">
        <v>51007</v>
      </c>
      <c r="C6641" s="330" t="s">
        <v>16449</v>
      </c>
      <c r="D6641" s="330" t="s">
        <v>16450</v>
      </c>
      <c r="E6641" s="330" t="s">
        <v>4634</v>
      </c>
      <c r="F6641" s="331">
        <v>0.21</v>
      </c>
      <c r="G6641" s="332">
        <v>2389</v>
      </c>
      <c r="H6641" s="333">
        <v>2891</v>
      </c>
    </row>
    <row r="6642" spans="1:8">
      <c r="A6642" s="317">
        <v>1616312002</v>
      </c>
      <c r="B6642" s="330" t="s">
        <v>51008</v>
      </c>
      <c r="C6642" s="330" t="s">
        <v>16451</v>
      </c>
      <c r="D6642" s="330" t="s">
        <v>16452</v>
      </c>
      <c r="E6642" s="330" t="s">
        <v>4634</v>
      </c>
      <c r="F6642" s="331">
        <v>0.21</v>
      </c>
      <c r="G6642" s="332">
        <v>3966</v>
      </c>
      <c r="H6642" s="333">
        <v>4799</v>
      </c>
    </row>
    <row r="6643" spans="1:8">
      <c r="A6643" s="317">
        <v>1616312003</v>
      </c>
      <c r="B6643" s="330" t="s">
        <v>51009</v>
      </c>
      <c r="C6643" s="330" t="s">
        <v>16453</v>
      </c>
      <c r="D6643" s="330" t="s">
        <v>16452</v>
      </c>
      <c r="E6643" s="330" t="s">
        <v>4634</v>
      </c>
      <c r="F6643" s="331">
        <v>0.21</v>
      </c>
      <c r="G6643" s="332">
        <v>1547</v>
      </c>
      <c r="H6643" s="333">
        <v>1872</v>
      </c>
    </row>
    <row r="6644" spans="1:8">
      <c r="A6644" s="317">
        <v>1616312005</v>
      </c>
      <c r="B6644" s="330" t="s">
        <v>51010</v>
      </c>
      <c r="C6644" s="330" t="s">
        <v>16454</v>
      </c>
      <c r="D6644" s="330" t="s">
        <v>16455</v>
      </c>
      <c r="E6644" s="330" t="s">
        <v>4634</v>
      </c>
      <c r="F6644" s="331">
        <v>0.21</v>
      </c>
      <c r="G6644" s="332">
        <v>2881</v>
      </c>
      <c r="H6644" s="333">
        <v>3487</v>
      </c>
    </row>
    <row r="6645" spans="1:8">
      <c r="A6645" s="317">
        <v>1616312010</v>
      </c>
      <c r="B6645" s="330" t="s">
        <v>51011</v>
      </c>
      <c r="C6645" s="330" t="s">
        <v>16456</v>
      </c>
      <c r="D6645" s="330" t="s">
        <v>16457</v>
      </c>
      <c r="E6645" s="330" t="s">
        <v>37248</v>
      </c>
      <c r="F6645" s="331">
        <v>0.21</v>
      </c>
      <c r="G6645" s="332">
        <v>4789</v>
      </c>
      <c r="H6645" s="333">
        <v>5795</v>
      </c>
    </row>
    <row r="6646" spans="1:8">
      <c r="A6646" s="317">
        <v>1616316602</v>
      </c>
      <c r="B6646" s="330" t="s">
        <v>51012</v>
      </c>
      <c r="C6646" s="330" t="s">
        <v>16458</v>
      </c>
      <c r="D6646" s="330" t="s">
        <v>16459</v>
      </c>
      <c r="E6646" s="330" t="s">
        <v>4634</v>
      </c>
      <c r="F6646" s="331">
        <v>0.21</v>
      </c>
      <c r="G6646" s="332">
        <v>3154</v>
      </c>
      <c r="H6646" s="333">
        <v>3817</v>
      </c>
    </row>
    <row r="6647" spans="1:8">
      <c r="A6647" s="317">
        <v>1616317015</v>
      </c>
      <c r="B6647" s="330" t="s">
        <v>51013</v>
      </c>
      <c r="C6647" s="330" t="s">
        <v>16460</v>
      </c>
      <c r="D6647" s="330" t="s">
        <v>16461</v>
      </c>
      <c r="E6647" s="330" t="s">
        <v>4634</v>
      </c>
      <c r="F6647" s="331">
        <v>0.21</v>
      </c>
      <c r="G6647" s="332">
        <v>22298</v>
      </c>
      <c r="H6647" s="333">
        <v>26981</v>
      </c>
    </row>
    <row r="6648" spans="1:8">
      <c r="A6648" s="317">
        <v>1616317023</v>
      </c>
      <c r="B6648" s="330" t="s">
        <v>51014</v>
      </c>
      <c r="C6648" s="330" t="s">
        <v>16462</v>
      </c>
      <c r="D6648" s="330" t="s">
        <v>16463</v>
      </c>
      <c r="E6648" s="330" t="s">
        <v>4634</v>
      </c>
      <c r="F6648" s="331">
        <v>0.21</v>
      </c>
      <c r="G6648" s="332">
        <v>5741</v>
      </c>
      <c r="H6648" s="333">
        <v>6947</v>
      </c>
    </row>
    <row r="6649" spans="1:8">
      <c r="A6649" s="317">
        <v>1616317024</v>
      </c>
      <c r="B6649" s="330" t="s">
        <v>51015</v>
      </c>
      <c r="C6649" s="330" t="s">
        <v>16464</v>
      </c>
      <c r="D6649" s="330" t="s">
        <v>16463</v>
      </c>
      <c r="E6649" s="330" t="s">
        <v>4634</v>
      </c>
      <c r="F6649" s="331">
        <v>0.21</v>
      </c>
      <c r="G6649" s="332">
        <v>3446</v>
      </c>
      <c r="H6649" s="333">
        <v>4170</v>
      </c>
    </row>
    <row r="6650" spans="1:8">
      <c r="A6650" s="317">
        <v>1616317027</v>
      </c>
      <c r="B6650" s="330" t="s">
        <v>51016</v>
      </c>
      <c r="C6650" s="330" t="s">
        <v>16465</v>
      </c>
      <c r="D6650" s="330" t="s">
        <v>15268</v>
      </c>
      <c r="E6650" s="330" t="s">
        <v>4634</v>
      </c>
      <c r="F6650" s="331">
        <v>0.21</v>
      </c>
      <c r="G6650" s="332">
        <v>3809</v>
      </c>
      <c r="H6650" s="333">
        <v>4609</v>
      </c>
    </row>
    <row r="6651" spans="1:8">
      <c r="A6651" s="317">
        <v>1616317034</v>
      </c>
      <c r="B6651" s="330" t="s">
        <v>51017</v>
      </c>
      <c r="C6651" s="330" t="s">
        <v>16466</v>
      </c>
      <c r="D6651" s="330" t="s">
        <v>16467</v>
      </c>
      <c r="E6651" s="330" t="s">
        <v>4634</v>
      </c>
      <c r="F6651" s="331">
        <v>0.21</v>
      </c>
      <c r="G6651" s="332">
        <v>1474</v>
      </c>
      <c r="H6651" s="333">
        <v>1784</v>
      </c>
    </row>
    <row r="6652" spans="1:8">
      <c r="A6652" s="317">
        <v>1616317037</v>
      </c>
      <c r="B6652" s="330" t="s">
        <v>51018</v>
      </c>
      <c r="C6652" s="330" t="s">
        <v>16468</v>
      </c>
      <c r="D6652" s="330" t="s">
        <v>16469</v>
      </c>
      <c r="E6652" s="330" t="s">
        <v>4634</v>
      </c>
      <c r="F6652" s="331">
        <v>0.21</v>
      </c>
      <c r="G6652" s="332">
        <v>19188</v>
      </c>
      <c r="H6652" s="333">
        <v>23218</v>
      </c>
    </row>
    <row r="6653" spans="1:8">
      <c r="A6653" s="317">
        <v>1616317041</v>
      </c>
      <c r="B6653" s="330" t="s">
        <v>51019</v>
      </c>
      <c r="C6653" s="330" t="s">
        <v>16470</v>
      </c>
      <c r="D6653" s="330" t="s">
        <v>16471</v>
      </c>
      <c r="E6653" s="330" t="s">
        <v>4634</v>
      </c>
      <c r="F6653" s="331">
        <v>0.21</v>
      </c>
      <c r="G6653" s="332">
        <v>15233</v>
      </c>
      <c r="H6653" s="333">
        <v>18432</v>
      </c>
    </row>
    <row r="6654" spans="1:8">
      <c r="A6654" s="317">
        <v>1616317045</v>
      </c>
      <c r="B6654" s="330" t="s">
        <v>51020</v>
      </c>
      <c r="C6654" s="330" t="s">
        <v>16472</v>
      </c>
      <c r="D6654" s="330" t="s">
        <v>16473</v>
      </c>
      <c r="E6654" s="330" t="s">
        <v>4634</v>
      </c>
      <c r="F6654" s="331">
        <v>0.21</v>
      </c>
      <c r="G6654" s="332">
        <v>16231</v>
      </c>
      <c r="H6654" s="333">
        <v>19640</v>
      </c>
    </row>
    <row r="6655" spans="1:8">
      <c r="A6655" s="317">
        <v>1616317051</v>
      </c>
      <c r="B6655" s="330" t="s">
        <v>51021</v>
      </c>
      <c r="C6655" s="330" t="s">
        <v>16474</v>
      </c>
      <c r="D6655" s="330" t="s">
        <v>16475</v>
      </c>
      <c r="E6655" s="330" t="s">
        <v>4634</v>
      </c>
      <c r="F6655" s="331">
        <v>0.21</v>
      </c>
      <c r="G6655" s="332">
        <v>16081</v>
      </c>
      <c r="H6655" s="333">
        <v>19459</v>
      </c>
    </row>
    <row r="6656" spans="1:8">
      <c r="A6656" s="317">
        <v>1616317056</v>
      </c>
      <c r="B6656" s="330" t="s">
        <v>51022</v>
      </c>
      <c r="C6656" s="330" t="s">
        <v>16476</v>
      </c>
      <c r="D6656" s="330" t="s">
        <v>16477</v>
      </c>
      <c r="E6656" s="330" t="s">
        <v>4634</v>
      </c>
      <c r="F6656" s="331">
        <v>0.21</v>
      </c>
      <c r="G6656" s="332">
        <v>2270</v>
      </c>
      <c r="H6656" s="333">
        <v>2747</v>
      </c>
    </row>
    <row r="6657" spans="1:8">
      <c r="A6657" s="317">
        <v>1616317057</v>
      </c>
      <c r="B6657" s="330" t="s">
        <v>51023</v>
      </c>
      <c r="C6657" s="330" t="s">
        <v>16478</v>
      </c>
      <c r="D6657" s="330" t="s">
        <v>16479</v>
      </c>
      <c r="E6657" s="330" t="s">
        <v>4634</v>
      </c>
      <c r="F6657" s="331">
        <v>0.21</v>
      </c>
      <c r="G6657" s="332">
        <v>780</v>
      </c>
      <c r="H6657" s="333">
        <v>944</v>
      </c>
    </row>
    <row r="6658" spans="1:8">
      <c r="A6658" s="317">
        <v>1616317061</v>
      </c>
      <c r="B6658" s="330" t="s">
        <v>51024</v>
      </c>
      <c r="C6658" s="330" t="s">
        <v>16480</v>
      </c>
      <c r="D6658" s="330" t="s">
        <v>16481</v>
      </c>
      <c r="E6658" s="330" t="s">
        <v>4634</v>
      </c>
      <c r="F6658" s="331">
        <v>0.21</v>
      </c>
      <c r="G6658" s="332">
        <v>5481</v>
      </c>
      <c r="H6658" s="333">
        <v>6633</v>
      </c>
    </row>
    <row r="6659" spans="1:8">
      <c r="A6659" s="317">
        <v>1616317062</v>
      </c>
      <c r="B6659" s="330" t="s">
        <v>51025</v>
      </c>
      <c r="C6659" s="330" t="s">
        <v>16482</v>
      </c>
      <c r="D6659" s="330" t="s">
        <v>16483</v>
      </c>
      <c r="E6659" s="330" t="s">
        <v>4634</v>
      </c>
      <c r="F6659" s="331">
        <v>0.21</v>
      </c>
      <c r="G6659" s="332">
        <v>63371</v>
      </c>
      <c r="H6659" s="333">
        <v>76679</v>
      </c>
    </row>
    <row r="6660" spans="1:8">
      <c r="A6660" s="317">
        <v>1616317064</v>
      </c>
      <c r="B6660" s="330" t="s">
        <v>51026</v>
      </c>
      <c r="C6660" s="330" t="s">
        <v>16484</v>
      </c>
      <c r="D6660" s="330" t="s">
        <v>16485</v>
      </c>
      <c r="E6660" s="330" t="s">
        <v>4634</v>
      </c>
      <c r="F6660" s="331">
        <v>0.21</v>
      </c>
      <c r="G6660" s="332">
        <v>58579</v>
      </c>
      <c r="H6660" s="333">
        <v>70881</v>
      </c>
    </row>
    <row r="6661" spans="1:8">
      <c r="A6661" s="317">
        <v>1616317067</v>
      </c>
      <c r="B6661" s="330" t="s">
        <v>51027</v>
      </c>
      <c r="C6661" s="330" t="s">
        <v>16486</v>
      </c>
      <c r="D6661" s="330" t="s">
        <v>16487</v>
      </c>
      <c r="E6661" s="330" t="s">
        <v>4819</v>
      </c>
      <c r="F6661" s="331">
        <v>0.21</v>
      </c>
      <c r="G6661" s="332">
        <v>119158</v>
      </c>
      <c r="H6661" s="333">
        <v>144182</v>
      </c>
    </row>
    <row r="6662" spans="1:8">
      <c r="A6662" s="317">
        <v>1616317069</v>
      </c>
      <c r="B6662" s="330" t="s">
        <v>51028</v>
      </c>
      <c r="C6662" s="330" t="s">
        <v>16488</v>
      </c>
      <c r="D6662" s="330" t="s">
        <v>16489</v>
      </c>
      <c r="E6662" s="330" t="s">
        <v>4634</v>
      </c>
      <c r="F6662" s="331">
        <v>0.21</v>
      </c>
      <c r="G6662" s="332">
        <v>1664</v>
      </c>
      <c r="H6662" s="333">
        <v>2014</v>
      </c>
    </row>
    <row r="6663" spans="1:8">
      <c r="A6663" s="317">
        <v>1616317070</v>
      </c>
      <c r="B6663" s="330" t="s">
        <v>51029</v>
      </c>
      <c r="C6663" s="330" t="s">
        <v>16490</v>
      </c>
      <c r="D6663" s="330" t="s">
        <v>16491</v>
      </c>
      <c r="E6663" s="330" t="s">
        <v>4819</v>
      </c>
      <c r="F6663" s="331">
        <v>0.21</v>
      </c>
      <c r="G6663" s="332">
        <v>10013</v>
      </c>
      <c r="H6663" s="333">
        <v>12116</v>
      </c>
    </row>
    <row r="6664" spans="1:8">
      <c r="A6664" s="317">
        <v>1616317072</v>
      </c>
      <c r="B6664" s="330" t="s">
        <v>51030</v>
      </c>
      <c r="C6664" s="330" t="s">
        <v>16492</v>
      </c>
      <c r="D6664" s="330" t="s">
        <v>16491</v>
      </c>
      <c r="E6664" s="330" t="s">
        <v>4634</v>
      </c>
      <c r="F6664" s="331">
        <v>0.21</v>
      </c>
      <c r="G6664" s="332">
        <v>1557</v>
      </c>
      <c r="H6664" s="333">
        <v>1884</v>
      </c>
    </row>
    <row r="6665" spans="1:8">
      <c r="A6665" s="317">
        <v>1616317076</v>
      </c>
      <c r="B6665" s="330" t="s">
        <v>51031</v>
      </c>
      <c r="C6665" s="330" t="s">
        <v>16493</v>
      </c>
      <c r="D6665" s="330" t="s">
        <v>16494</v>
      </c>
      <c r="E6665" s="330" t="s">
        <v>4819</v>
      </c>
      <c r="F6665" s="331">
        <v>0.21</v>
      </c>
      <c r="G6665" s="332">
        <v>14457</v>
      </c>
      <c r="H6665" s="333">
        <v>17493</v>
      </c>
    </row>
    <row r="6666" spans="1:8">
      <c r="A6666" s="317">
        <v>1616317077</v>
      </c>
      <c r="B6666" s="330" t="s">
        <v>51032</v>
      </c>
      <c r="C6666" s="330" t="s">
        <v>16495</v>
      </c>
      <c r="D6666" s="330" t="s">
        <v>16496</v>
      </c>
      <c r="E6666" s="330" t="s">
        <v>37248</v>
      </c>
      <c r="F6666" s="331">
        <v>0.21</v>
      </c>
      <c r="G6666" s="332">
        <v>45480</v>
      </c>
      <c r="H6666" s="333">
        <v>55031</v>
      </c>
    </row>
    <row r="6667" spans="1:8">
      <c r="A6667" s="317">
        <v>1616317080</v>
      </c>
      <c r="B6667" s="330" t="s">
        <v>51033</v>
      </c>
      <c r="C6667" s="330" t="s">
        <v>16497</v>
      </c>
      <c r="D6667" s="330" t="s">
        <v>16498</v>
      </c>
      <c r="E6667" s="330" t="s">
        <v>4623</v>
      </c>
      <c r="F6667" s="331">
        <v>0.21</v>
      </c>
      <c r="G6667" s="332">
        <v>158917</v>
      </c>
      <c r="H6667" s="333">
        <v>192290</v>
      </c>
    </row>
    <row r="6668" spans="1:8">
      <c r="A6668" s="317">
        <v>1616317083</v>
      </c>
      <c r="B6668" s="330" t="s">
        <v>51034</v>
      </c>
      <c r="C6668" s="330" t="s">
        <v>16499</v>
      </c>
      <c r="D6668" s="330" t="s">
        <v>16500</v>
      </c>
      <c r="E6668" s="330" t="s">
        <v>4634</v>
      </c>
      <c r="F6668" s="331">
        <v>0.21</v>
      </c>
      <c r="G6668" s="332">
        <v>61892</v>
      </c>
      <c r="H6668" s="333">
        <v>74890</v>
      </c>
    </row>
    <row r="6669" spans="1:8">
      <c r="A6669" s="317">
        <v>1616317084</v>
      </c>
      <c r="B6669" s="330" t="s">
        <v>51035</v>
      </c>
      <c r="C6669" s="330" t="s">
        <v>16501</v>
      </c>
      <c r="D6669" s="330" t="s">
        <v>7114</v>
      </c>
      <c r="E6669" s="330" t="s">
        <v>37248</v>
      </c>
      <c r="F6669" s="331">
        <v>0.21</v>
      </c>
      <c r="G6669" s="332">
        <v>17045</v>
      </c>
      <c r="H6669" s="333">
        <v>20625</v>
      </c>
    </row>
    <row r="6670" spans="1:8">
      <c r="A6670" s="317">
        <v>1616317085</v>
      </c>
      <c r="B6670" s="330" t="s">
        <v>51036</v>
      </c>
      <c r="C6670" s="330" t="s">
        <v>16502</v>
      </c>
      <c r="D6670" s="330" t="s">
        <v>37251</v>
      </c>
      <c r="E6670" s="330" t="s">
        <v>4634</v>
      </c>
      <c r="F6670" s="331">
        <v>0.21</v>
      </c>
      <c r="G6670" s="332">
        <v>93205</v>
      </c>
      <c r="H6670" s="333">
        <v>112779</v>
      </c>
    </row>
    <row r="6671" spans="1:8">
      <c r="A6671" s="317">
        <v>1616317086</v>
      </c>
      <c r="B6671" s="330" t="s">
        <v>51037</v>
      </c>
      <c r="C6671" s="330" t="s">
        <v>16503</v>
      </c>
      <c r="D6671" s="330" t="s">
        <v>16504</v>
      </c>
      <c r="E6671" s="330" t="s">
        <v>4819</v>
      </c>
      <c r="F6671" s="331">
        <v>0.21</v>
      </c>
      <c r="G6671" s="332">
        <v>155295</v>
      </c>
      <c r="H6671" s="333">
        <v>187907</v>
      </c>
    </row>
    <row r="6672" spans="1:8">
      <c r="A6672" s="317">
        <v>1616317090</v>
      </c>
      <c r="B6672" s="330" t="s">
        <v>51038</v>
      </c>
      <c r="C6672" s="330" t="s">
        <v>16505</v>
      </c>
      <c r="D6672" s="330" t="s">
        <v>7693</v>
      </c>
      <c r="E6672" s="330" t="s">
        <v>37248</v>
      </c>
      <c r="F6672" s="331">
        <v>0.21</v>
      </c>
      <c r="G6672" s="332">
        <v>99481</v>
      </c>
      <c r="H6672" s="333">
        <v>120373</v>
      </c>
    </row>
    <row r="6673" spans="1:8">
      <c r="A6673" s="317">
        <v>1616317093</v>
      </c>
      <c r="B6673" s="330" t="s">
        <v>51039</v>
      </c>
      <c r="C6673" s="330" t="s">
        <v>16506</v>
      </c>
      <c r="D6673" s="330" t="s">
        <v>16507</v>
      </c>
      <c r="E6673" s="330" t="s">
        <v>37248</v>
      </c>
      <c r="F6673" s="331">
        <v>0.21</v>
      </c>
      <c r="G6673" s="332">
        <v>54883</v>
      </c>
      <c r="H6673" s="333">
        <v>66409</v>
      </c>
    </row>
    <row r="6674" spans="1:8">
      <c r="A6674" s="317">
        <v>1616317600</v>
      </c>
      <c r="B6674" s="330" t="s">
        <v>51040</v>
      </c>
      <c r="C6674" s="330" t="s">
        <v>16508</v>
      </c>
      <c r="D6674" s="330" t="s">
        <v>16509</v>
      </c>
      <c r="E6674" s="330" t="s">
        <v>4634</v>
      </c>
      <c r="F6674" s="331">
        <v>0.21</v>
      </c>
      <c r="G6674" s="332">
        <v>678</v>
      </c>
      <c r="H6674" s="333">
        <v>821</v>
      </c>
    </row>
    <row r="6675" spans="1:8">
      <c r="A6675" s="317">
        <v>1616317602</v>
      </c>
      <c r="B6675" s="330" t="s">
        <v>51041</v>
      </c>
      <c r="C6675" s="330" t="s">
        <v>16510</v>
      </c>
      <c r="D6675" s="330" t="s">
        <v>16511</v>
      </c>
      <c r="E6675" s="330" t="s">
        <v>37248</v>
      </c>
      <c r="F6675" s="331">
        <v>0.21</v>
      </c>
      <c r="G6675" s="332">
        <v>17620</v>
      </c>
      <c r="H6675" s="333">
        <v>21321</v>
      </c>
    </row>
    <row r="6676" spans="1:8">
      <c r="A6676" s="317">
        <v>1616317608</v>
      </c>
      <c r="B6676" s="330" t="s">
        <v>51042</v>
      </c>
      <c r="C6676" s="330" t="s">
        <v>16512</v>
      </c>
      <c r="D6676" s="330" t="s">
        <v>16513</v>
      </c>
      <c r="E6676" s="330" t="s">
        <v>4819</v>
      </c>
      <c r="F6676" s="331">
        <v>0.21</v>
      </c>
      <c r="G6676" s="332">
        <v>7778</v>
      </c>
      <c r="H6676" s="333">
        <v>9412</v>
      </c>
    </row>
    <row r="6677" spans="1:8">
      <c r="A6677" s="317">
        <v>1616317613</v>
      </c>
      <c r="B6677" s="330" t="s">
        <v>51043</v>
      </c>
      <c r="C6677" s="330" t="s">
        <v>16514</v>
      </c>
      <c r="D6677" s="330" t="s">
        <v>16515</v>
      </c>
      <c r="E6677" s="330" t="s">
        <v>4634</v>
      </c>
      <c r="F6677" s="331">
        <v>0.21</v>
      </c>
      <c r="G6677" s="332">
        <v>1371</v>
      </c>
      <c r="H6677" s="333">
        <v>1659</v>
      </c>
    </row>
    <row r="6678" spans="1:8">
      <c r="A6678" s="317">
        <v>1616317620</v>
      </c>
      <c r="B6678" s="330" t="s">
        <v>51044</v>
      </c>
      <c r="C6678" s="330" t="s">
        <v>16516</v>
      </c>
      <c r="D6678" s="330" t="s">
        <v>16517</v>
      </c>
      <c r="E6678" s="330" t="s">
        <v>37248</v>
      </c>
      <c r="F6678" s="331">
        <v>0.21</v>
      </c>
      <c r="G6678" s="332">
        <v>3040</v>
      </c>
      <c r="H6678" s="333">
        <v>3679</v>
      </c>
    </row>
    <row r="6679" spans="1:8">
      <c r="A6679" s="317">
        <v>1616317622</v>
      </c>
      <c r="B6679" s="330" t="s">
        <v>51045</v>
      </c>
      <c r="C6679" s="330" t="s">
        <v>16518</v>
      </c>
      <c r="D6679" s="330" t="s">
        <v>16519</v>
      </c>
      <c r="E6679" s="330" t="s">
        <v>4819</v>
      </c>
      <c r="F6679" s="331">
        <v>0.21</v>
      </c>
      <c r="G6679" s="332">
        <v>11782</v>
      </c>
      <c r="H6679" s="333">
        <v>14257</v>
      </c>
    </row>
    <row r="6680" spans="1:8">
      <c r="A6680" s="317">
        <v>1616318009</v>
      </c>
      <c r="B6680" s="330" t="s">
        <v>51046</v>
      </c>
      <c r="C6680" s="330" t="s">
        <v>16520</v>
      </c>
      <c r="D6680" s="330" t="s">
        <v>16521</v>
      </c>
      <c r="E6680" s="330" t="s">
        <v>4819</v>
      </c>
      <c r="F6680" s="331">
        <v>0.21</v>
      </c>
      <c r="G6680" s="332">
        <v>178470</v>
      </c>
      <c r="H6680" s="333">
        <v>215949</v>
      </c>
    </row>
    <row r="6681" spans="1:8">
      <c r="A6681" s="317">
        <v>1616320002</v>
      </c>
      <c r="B6681" s="330" t="s">
        <v>51047</v>
      </c>
      <c r="C6681" s="330" t="s">
        <v>16522</v>
      </c>
      <c r="D6681" s="330" t="s">
        <v>16523</v>
      </c>
      <c r="E6681" s="330" t="s">
        <v>4634</v>
      </c>
      <c r="F6681" s="331">
        <v>0.21</v>
      </c>
      <c r="G6681" s="332">
        <v>19797</v>
      </c>
      <c r="H6681" s="333">
        <v>23955</v>
      </c>
    </row>
    <row r="6682" spans="1:8">
      <c r="A6682" s="317">
        <v>1616320004</v>
      </c>
      <c r="B6682" s="330" t="s">
        <v>51048</v>
      </c>
      <c r="C6682" s="330" t="s">
        <v>16524</v>
      </c>
      <c r="D6682" s="330" t="s">
        <v>16525</v>
      </c>
      <c r="E6682" s="330" t="s">
        <v>4634</v>
      </c>
      <c r="F6682" s="331">
        <v>0.21</v>
      </c>
      <c r="G6682" s="332">
        <v>1713</v>
      </c>
      <c r="H6682" s="333">
        <v>2073</v>
      </c>
    </row>
    <row r="6683" spans="1:8">
      <c r="A6683" s="317">
        <v>1616320007</v>
      </c>
      <c r="B6683" s="330" t="s">
        <v>51049</v>
      </c>
      <c r="C6683" s="330" t="s">
        <v>16526</v>
      </c>
      <c r="D6683" s="330" t="s">
        <v>16527</v>
      </c>
      <c r="E6683" s="330" t="s">
        <v>4819</v>
      </c>
      <c r="F6683" s="331">
        <v>0.21</v>
      </c>
      <c r="G6683" s="332">
        <v>12940</v>
      </c>
      <c r="H6683" s="333">
        <v>15658</v>
      </c>
    </row>
    <row r="6684" spans="1:8">
      <c r="A6684" s="317">
        <v>1616325002</v>
      </c>
      <c r="B6684" s="330" t="s">
        <v>51050</v>
      </c>
      <c r="C6684" s="330" t="s">
        <v>16528</v>
      </c>
      <c r="D6684" s="330" t="s">
        <v>16529</v>
      </c>
      <c r="E6684" s="330" t="s">
        <v>37248</v>
      </c>
      <c r="F6684" s="331">
        <v>0.21</v>
      </c>
      <c r="G6684" s="332">
        <v>10709</v>
      </c>
      <c r="H6684" s="333">
        <v>12958</v>
      </c>
    </row>
    <row r="6685" spans="1:8">
      <c r="A6685" s="317">
        <v>1616328025</v>
      </c>
      <c r="B6685" s="330" t="s">
        <v>51051</v>
      </c>
      <c r="C6685" s="330" t="s">
        <v>16530</v>
      </c>
      <c r="D6685" s="330" t="s">
        <v>16531</v>
      </c>
      <c r="E6685" s="330" t="s">
        <v>4634</v>
      </c>
      <c r="F6685" s="331">
        <v>0.21</v>
      </c>
      <c r="G6685" s="332">
        <v>2803</v>
      </c>
      <c r="H6685" s="333">
        <v>3392</v>
      </c>
    </row>
    <row r="6686" spans="1:8">
      <c r="A6686" s="317">
        <v>1616328036</v>
      </c>
      <c r="B6686" s="330" t="s">
        <v>51052</v>
      </c>
      <c r="C6686" s="330" t="s">
        <v>16532</v>
      </c>
      <c r="D6686" s="330" t="s">
        <v>16533</v>
      </c>
      <c r="E6686" s="330" t="s">
        <v>37248</v>
      </c>
      <c r="F6686" s="331">
        <v>0.21</v>
      </c>
      <c r="G6686" s="332">
        <v>190228</v>
      </c>
      <c r="H6686" s="333">
        <v>230176</v>
      </c>
    </row>
    <row r="6687" spans="1:8">
      <c r="A6687" s="317">
        <v>1616328041</v>
      </c>
      <c r="B6687" s="330" t="s">
        <v>51053</v>
      </c>
      <c r="C6687" s="330" t="s">
        <v>16534</v>
      </c>
      <c r="D6687" s="330" t="s">
        <v>16535</v>
      </c>
      <c r="E6687" s="330" t="s">
        <v>4634</v>
      </c>
      <c r="F6687" s="331">
        <v>0.21</v>
      </c>
      <c r="G6687" s="332">
        <v>765</v>
      </c>
      <c r="H6687" s="333">
        <v>926</v>
      </c>
    </row>
    <row r="6688" spans="1:8">
      <c r="A6688" s="317">
        <v>1616328044</v>
      </c>
      <c r="B6688" s="330" t="s">
        <v>51054</v>
      </c>
      <c r="C6688" s="330" t="s">
        <v>16536</v>
      </c>
      <c r="D6688" s="330" t="s">
        <v>16537</v>
      </c>
      <c r="E6688" s="330" t="s">
        <v>4634</v>
      </c>
      <c r="F6688" s="331">
        <v>0.21</v>
      </c>
      <c r="G6688" s="332">
        <v>42484</v>
      </c>
      <c r="H6688" s="333">
        <v>51406</v>
      </c>
    </row>
    <row r="6689" spans="1:8">
      <c r="A6689" s="317">
        <v>1616328049</v>
      </c>
      <c r="B6689" s="330" t="s">
        <v>51055</v>
      </c>
      <c r="C6689" s="330" t="s">
        <v>16538</v>
      </c>
      <c r="D6689" s="330" t="s">
        <v>16539</v>
      </c>
      <c r="E6689" s="330" t="s">
        <v>37248</v>
      </c>
      <c r="F6689" s="331">
        <v>0.21</v>
      </c>
      <c r="G6689" s="332">
        <v>14609</v>
      </c>
      <c r="H6689" s="333">
        <v>17677</v>
      </c>
    </row>
    <row r="6690" spans="1:8">
      <c r="A6690" s="317">
        <v>1616328053</v>
      </c>
      <c r="B6690" s="330" t="s">
        <v>51056</v>
      </c>
      <c r="C6690" s="330" t="s">
        <v>16540</v>
      </c>
      <c r="D6690" s="330" t="s">
        <v>16541</v>
      </c>
      <c r="E6690" s="330" t="s">
        <v>37248</v>
      </c>
      <c r="F6690" s="331">
        <v>0.21</v>
      </c>
      <c r="G6690" s="332">
        <v>6246</v>
      </c>
      <c r="H6690" s="333">
        <v>7558</v>
      </c>
    </row>
    <row r="6691" spans="1:8">
      <c r="A6691" s="317">
        <v>1616333001</v>
      </c>
      <c r="B6691" s="330" t="s">
        <v>51057</v>
      </c>
      <c r="C6691" s="330" t="s">
        <v>16542</v>
      </c>
      <c r="D6691" s="330" t="s">
        <v>16543</v>
      </c>
      <c r="E6691" s="330" t="s">
        <v>4634</v>
      </c>
      <c r="F6691" s="331">
        <v>0.21</v>
      </c>
      <c r="G6691" s="332">
        <v>7727</v>
      </c>
      <c r="H6691" s="333">
        <v>9350</v>
      </c>
    </row>
    <row r="6692" spans="1:8">
      <c r="A6692" s="317">
        <v>1616333003</v>
      </c>
      <c r="B6692" s="330" t="s">
        <v>51058</v>
      </c>
      <c r="C6692" s="330" t="s">
        <v>16544</v>
      </c>
      <c r="D6692" s="330" t="s">
        <v>16545</v>
      </c>
      <c r="E6692" s="330" t="s">
        <v>4634</v>
      </c>
      <c r="F6692" s="331">
        <v>0.21</v>
      </c>
      <c r="G6692" s="332">
        <v>4173</v>
      </c>
      <c r="H6692" s="333">
        <v>5050</v>
      </c>
    </row>
    <row r="6693" spans="1:8">
      <c r="A6693" s="317">
        <v>1616333005</v>
      </c>
      <c r="B6693" s="330" t="s">
        <v>51059</v>
      </c>
      <c r="C6693" s="330" t="s">
        <v>16546</v>
      </c>
      <c r="D6693" s="330" t="s">
        <v>16547</v>
      </c>
      <c r="E6693" s="330" t="s">
        <v>4634</v>
      </c>
      <c r="F6693" s="331">
        <v>0.21</v>
      </c>
      <c r="G6693" s="332">
        <v>5349</v>
      </c>
      <c r="H6693" s="333">
        <v>6473</v>
      </c>
    </row>
    <row r="6694" spans="1:8">
      <c r="A6694" s="317">
        <v>1616333010</v>
      </c>
      <c r="B6694" s="330" t="s">
        <v>51060</v>
      </c>
      <c r="C6694" s="330" t="s">
        <v>16548</v>
      </c>
      <c r="D6694" s="330" t="s">
        <v>16448</v>
      </c>
      <c r="E6694" s="330" t="s">
        <v>4634</v>
      </c>
      <c r="F6694" s="331">
        <v>0.21</v>
      </c>
      <c r="G6694" s="332">
        <v>23110</v>
      </c>
      <c r="H6694" s="333">
        <v>27964</v>
      </c>
    </row>
    <row r="6695" spans="1:8">
      <c r="A6695" s="317">
        <v>1616333011</v>
      </c>
      <c r="B6695" s="330" t="s">
        <v>51061</v>
      </c>
      <c r="C6695" s="330" t="s">
        <v>16549</v>
      </c>
      <c r="D6695" s="330" t="s">
        <v>16550</v>
      </c>
      <c r="E6695" s="330" t="s">
        <v>4634</v>
      </c>
      <c r="F6695" s="331">
        <v>0.21</v>
      </c>
      <c r="G6695" s="332">
        <v>23940</v>
      </c>
      <c r="H6695" s="333">
        <v>28968</v>
      </c>
    </row>
    <row r="6696" spans="1:8">
      <c r="A6696" s="317">
        <v>1616333023</v>
      </c>
      <c r="B6696" s="330" t="s">
        <v>51062</v>
      </c>
      <c r="C6696" s="330" t="s">
        <v>16551</v>
      </c>
      <c r="D6696" s="330" t="s">
        <v>16552</v>
      </c>
      <c r="E6696" s="330" t="s">
        <v>4634</v>
      </c>
      <c r="F6696" s="331">
        <v>0.21</v>
      </c>
      <c r="G6696" s="332">
        <v>28408</v>
      </c>
      <c r="H6696" s="333">
        <v>34374</v>
      </c>
    </row>
    <row r="6697" spans="1:8">
      <c r="A6697" s="317">
        <v>1616333025</v>
      </c>
      <c r="B6697" s="330" t="s">
        <v>51063</v>
      </c>
      <c r="C6697" s="330" t="s">
        <v>16553</v>
      </c>
      <c r="D6697" s="330" t="s">
        <v>16554</v>
      </c>
      <c r="E6697" s="330" t="s">
        <v>4634</v>
      </c>
      <c r="F6697" s="331">
        <v>0.21</v>
      </c>
      <c r="G6697" s="332">
        <v>16114</v>
      </c>
      <c r="H6697" s="333">
        <v>19498</v>
      </c>
    </row>
    <row r="6698" spans="1:8">
      <c r="A6698" s="317">
        <v>1616333029</v>
      </c>
      <c r="B6698" s="330" t="s">
        <v>51064</v>
      </c>
      <c r="C6698" s="330" t="s">
        <v>16555</v>
      </c>
      <c r="D6698" s="330" t="s">
        <v>16556</v>
      </c>
      <c r="E6698" s="330" t="s">
        <v>4819</v>
      </c>
      <c r="F6698" s="331">
        <v>0.21</v>
      </c>
      <c r="G6698" s="332">
        <v>15610</v>
      </c>
      <c r="H6698" s="333">
        <v>18889</v>
      </c>
    </row>
    <row r="6699" spans="1:8">
      <c r="A6699" s="317">
        <v>1616333031</v>
      </c>
      <c r="B6699" s="330" t="s">
        <v>51065</v>
      </c>
      <c r="C6699" s="330" t="s">
        <v>16557</v>
      </c>
      <c r="D6699" s="330" t="s">
        <v>16558</v>
      </c>
      <c r="E6699" s="330" t="s">
        <v>4634</v>
      </c>
      <c r="F6699" s="331">
        <v>0.21</v>
      </c>
      <c r="G6699" s="332">
        <v>22785</v>
      </c>
      <c r="H6699" s="333">
        <v>27570</v>
      </c>
    </row>
    <row r="6700" spans="1:8">
      <c r="A6700" s="317">
        <v>1616333032</v>
      </c>
      <c r="B6700" s="330" t="s">
        <v>51066</v>
      </c>
      <c r="C6700" s="330" t="s">
        <v>16559</v>
      </c>
      <c r="D6700" s="330" t="s">
        <v>16560</v>
      </c>
      <c r="E6700" s="330" t="s">
        <v>4634</v>
      </c>
      <c r="F6700" s="331">
        <v>0.21</v>
      </c>
      <c r="G6700" s="332">
        <v>15557</v>
      </c>
      <c r="H6700" s="333">
        <v>18824</v>
      </c>
    </row>
    <row r="6701" spans="1:8">
      <c r="A6701" s="317">
        <v>1616333035</v>
      </c>
      <c r="B6701" s="330" t="s">
        <v>51067</v>
      </c>
      <c r="C6701" s="330" t="s">
        <v>16561</v>
      </c>
      <c r="D6701" s="330" t="s">
        <v>16562</v>
      </c>
      <c r="E6701" s="330" t="s">
        <v>4634</v>
      </c>
      <c r="F6701" s="331">
        <v>0.21</v>
      </c>
      <c r="G6701" s="332">
        <v>3283</v>
      </c>
      <c r="H6701" s="333">
        <v>3973</v>
      </c>
    </row>
    <row r="6702" spans="1:8">
      <c r="A6702" s="317">
        <v>1616333038</v>
      </c>
      <c r="B6702" s="330" t="s">
        <v>51068</v>
      </c>
      <c r="C6702" s="330" t="s">
        <v>16563</v>
      </c>
      <c r="D6702" s="330" t="s">
        <v>16564</v>
      </c>
      <c r="E6702" s="330" t="s">
        <v>4623</v>
      </c>
      <c r="F6702" s="331">
        <v>0.21</v>
      </c>
      <c r="G6702" s="332">
        <v>36809</v>
      </c>
      <c r="H6702" s="333">
        <v>44539</v>
      </c>
    </row>
    <row r="6703" spans="1:8">
      <c r="A6703" s="317">
        <v>1616333039</v>
      </c>
      <c r="B6703" s="330" t="s">
        <v>51069</v>
      </c>
      <c r="C6703" s="330" t="s">
        <v>16565</v>
      </c>
      <c r="D6703" s="330" t="s">
        <v>16566</v>
      </c>
      <c r="E6703" s="330" t="s">
        <v>4634</v>
      </c>
      <c r="F6703" s="331">
        <v>0.21</v>
      </c>
      <c r="G6703" s="332">
        <v>4004</v>
      </c>
      <c r="H6703" s="333">
        <v>4845</v>
      </c>
    </row>
    <row r="6704" spans="1:8">
      <c r="A6704" s="317">
        <v>1616333041</v>
      </c>
      <c r="B6704" s="330" t="s">
        <v>51070</v>
      </c>
      <c r="C6704" s="330" t="s">
        <v>16567</v>
      </c>
      <c r="D6704" s="330" t="s">
        <v>16568</v>
      </c>
      <c r="E6704" s="330" t="s">
        <v>4634</v>
      </c>
      <c r="F6704" s="331">
        <v>0.21</v>
      </c>
      <c r="G6704" s="332">
        <v>56772</v>
      </c>
      <c r="H6704" s="333">
        <v>68695</v>
      </c>
    </row>
    <row r="6705" spans="1:8">
      <c r="A6705" s="317">
        <v>1616333044</v>
      </c>
      <c r="B6705" s="330" t="s">
        <v>51071</v>
      </c>
      <c r="C6705" s="330" t="s">
        <v>16569</v>
      </c>
      <c r="D6705" s="330" t="s">
        <v>16570</v>
      </c>
      <c r="E6705" s="330" t="s">
        <v>4819</v>
      </c>
      <c r="F6705" s="331">
        <v>0.21</v>
      </c>
      <c r="G6705" s="332">
        <v>36183</v>
      </c>
      <c r="H6705" s="333">
        <v>43782</v>
      </c>
    </row>
    <row r="6706" spans="1:8">
      <c r="A6706" s="317">
        <v>1616333046</v>
      </c>
      <c r="B6706" s="330" t="s">
        <v>51072</v>
      </c>
      <c r="C6706" s="330" t="s">
        <v>16571</v>
      </c>
      <c r="D6706" s="330" t="s">
        <v>4730</v>
      </c>
      <c r="E6706" s="330" t="s">
        <v>4623</v>
      </c>
      <c r="F6706" s="331">
        <v>0.21</v>
      </c>
      <c r="G6706" s="332">
        <v>29011</v>
      </c>
      <c r="H6706" s="333">
        <v>35104</v>
      </c>
    </row>
    <row r="6707" spans="1:8">
      <c r="A6707" s="317">
        <v>1616333048</v>
      </c>
      <c r="B6707" s="330" t="s">
        <v>51073</v>
      </c>
      <c r="C6707" s="330" t="s">
        <v>16572</v>
      </c>
      <c r="D6707" s="330" t="s">
        <v>16573</v>
      </c>
      <c r="E6707" s="330" t="s">
        <v>4819</v>
      </c>
      <c r="F6707" s="331">
        <v>0.21</v>
      </c>
      <c r="G6707" s="332">
        <v>33336</v>
      </c>
      <c r="H6707" s="333">
        <v>40337</v>
      </c>
    </row>
    <row r="6708" spans="1:8">
      <c r="A6708" s="317">
        <v>1616333049</v>
      </c>
      <c r="B6708" s="330" t="s">
        <v>51074</v>
      </c>
      <c r="C6708" s="330" t="s">
        <v>16574</v>
      </c>
      <c r="D6708" s="330" t="s">
        <v>16575</v>
      </c>
      <c r="E6708" s="330" t="s">
        <v>4819</v>
      </c>
      <c r="F6708" s="331">
        <v>0.21</v>
      </c>
      <c r="G6708" s="332">
        <v>17542</v>
      </c>
      <c r="H6708" s="333">
        <v>21226</v>
      </c>
    </row>
    <row r="6709" spans="1:8">
      <c r="A6709" s="317">
        <v>1616333052</v>
      </c>
      <c r="B6709" s="330" t="s">
        <v>51075</v>
      </c>
      <c r="C6709" s="330" t="s">
        <v>16576</v>
      </c>
      <c r="D6709" s="330" t="s">
        <v>16577</v>
      </c>
      <c r="E6709" s="330" t="s">
        <v>4634</v>
      </c>
      <c r="F6709" s="331">
        <v>0.21</v>
      </c>
      <c r="G6709" s="332">
        <v>21002</v>
      </c>
      <c r="H6709" s="333">
        <v>25413</v>
      </c>
    </row>
    <row r="6710" spans="1:8">
      <c r="A6710" s="317">
        <v>1616333053</v>
      </c>
      <c r="B6710" s="330" t="s">
        <v>51076</v>
      </c>
      <c r="C6710" s="330" t="s">
        <v>16578</v>
      </c>
      <c r="D6710" s="330" t="s">
        <v>16579</v>
      </c>
      <c r="E6710" s="330" t="s">
        <v>4819</v>
      </c>
      <c r="F6710" s="331">
        <v>0.21</v>
      </c>
      <c r="G6710" s="332">
        <v>38692</v>
      </c>
      <c r="H6710" s="333">
        <v>46818</v>
      </c>
    </row>
    <row r="6711" spans="1:8">
      <c r="A6711" s="317" t="s">
        <v>40414</v>
      </c>
      <c r="B6711" s="330" t="s">
        <v>51077</v>
      </c>
      <c r="C6711" s="330" t="s">
        <v>16580</v>
      </c>
      <c r="D6711" s="330" t="s">
        <v>16581</v>
      </c>
      <c r="E6711" s="330" t="s">
        <v>37248</v>
      </c>
      <c r="F6711" s="331">
        <v>0.21</v>
      </c>
      <c r="G6711" s="332">
        <v>32772</v>
      </c>
      <c r="H6711" s="333">
        <v>39655</v>
      </c>
    </row>
    <row r="6712" spans="1:8">
      <c r="A6712" s="317">
        <v>1616334010</v>
      </c>
      <c r="B6712" s="330" t="s">
        <v>51078</v>
      </c>
      <c r="C6712" s="330" t="s">
        <v>16582</v>
      </c>
      <c r="D6712" s="330" t="s">
        <v>16583</v>
      </c>
      <c r="E6712" s="330" t="s">
        <v>4634</v>
      </c>
      <c r="F6712" s="331">
        <v>0.21</v>
      </c>
      <c r="G6712" s="332">
        <v>21286</v>
      </c>
      <c r="H6712" s="333">
        <v>25757</v>
      </c>
    </row>
    <row r="6713" spans="1:8">
      <c r="A6713" s="317">
        <v>1616334011</v>
      </c>
      <c r="B6713" s="330" t="s">
        <v>51079</v>
      </c>
      <c r="C6713" s="330" t="s">
        <v>16584</v>
      </c>
      <c r="D6713" s="330" t="s">
        <v>16585</v>
      </c>
      <c r="E6713" s="330" t="s">
        <v>4819</v>
      </c>
      <c r="F6713" s="331">
        <v>0.21</v>
      </c>
      <c r="G6713" s="332">
        <v>35634</v>
      </c>
      <c r="H6713" s="333">
        <v>43118</v>
      </c>
    </row>
    <row r="6714" spans="1:8">
      <c r="A6714" s="317">
        <v>1616334012</v>
      </c>
      <c r="B6714" s="330" t="s">
        <v>51080</v>
      </c>
      <c r="C6714" s="330" t="s">
        <v>16586</v>
      </c>
      <c r="D6714" s="330" t="s">
        <v>16587</v>
      </c>
      <c r="E6714" s="330" t="s">
        <v>4634</v>
      </c>
      <c r="F6714" s="331">
        <v>0.21</v>
      </c>
      <c r="G6714" s="332">
        <v>1030</v>
      </c>
      <c r="H6714" s="333">
        <v>1247</v>
      </c>
    </row>
    <row r="6715" spans="1:8">
      <c r="A6715" s="317">
        <v>1616337003</v>
      </c>
      <c r="B6715" s="330" t="s">
        <v>51081</v>
      </c>
      <c r="C6715" s="330" t="s">
        <v>16588</v>
      </c>
      <c r="D6715" s="330" t="s">
        <v>16589</v>
      </c>
      <c r="E6715" s="330" t="s">
        <v>4634</v>
      </c>
      <c r="F6715" s="331">
        <v>0.21</v>
      </c>
      <c r="G6715" s="332">
        <v>23838</v>
      </c>
      <c r="H6715" s="333">
        <v>28844</v>
      </c>
    </row>
    <row r="6716" spans="1:8">
      <c r="A6716" s="317">
        <v>1616337004</v>
      </c>
      <c r="B6716" s="330" t="s">
        <v>51082</v>
      </c>
      <c r="C6716" s="330" t="s">
        <v>16590</v>
      </c>
      <c r="D6716" s="330" t="s">
        <v>16591</v>
      </c>
      <c r="E6716" s="330" t="s">
        <v>4634</v>
      </c>
      <c r="F6716" s="331">
        <v>0.21</v>
      </c>
      <c r="G6716" s="332">
        <v>19093</v>
      </c>
      <c r="H6716" s="333">
        <v>23103</v>
      </c>
    </row>
    <row r="6717" spans="1:8">
      <c r="A6717" s="317">
        <v>1616409012</v>
      </c>
      <c r="B6717" s="330" t="s">
        <v>51083</v>
      </c>
      <c r="C6717" s="330" t="s">
        <v>16592</v>
      </c>
      <c r="D6717" s="330" t="s">
        <v>16593</v>
      </c>
      <c r="E6717" s="330" t="s">
        <v>4634</v>
      </c>
      <c r="F6717" s="331">
        <v>0.21</v>
      </c>
      <c r="G6717" s="332">
        <v>1008</v>
      </c>
      <c r="H6717" s="333">
        <v>1220</v>
      </c>
    </row>
    <row r="6718" spans="1:8">
      <c r="A6718" s="317">
        <v>1616409019</v>
      </c>
      <c r="B6718" s="330" t="s">
        <v>51084</v>
      </c>
      <c r="C6718" s="330" t="s">
        <v>16594</v>
      </c>
      <c r="D6718" s="330" t="s">
        <v>14245</v>
      </c>
      <c r="E6718" s="330" t="s">
        <v>4634</v>
      </c>
      <c r="F6718" s="331">
        <v>0.21</v>
      </c>
      <c r="G6718" s="332">
        <v>2806</v>
      </c>
      <c r="H6718" s="333">
        <v>3396</v>
      </c>
    </row>
    <row r="6719" spans="1:8">
      <c r="A6719" s="317">
        <v>1616409020</v>
      </c>
      <c r="B6719" s="330" t="s">
        <v>51085</v>
      </c>
      <c r="C6719" s="330" t="s">
        <v>16595</v>
      </c>
      <c r="D6719" s="330" t="s">
        <v>14245</v>
      </c>
      <c r="E6719" s="330" t="s">
        <v>4634</v>
      </c>
      <c r="F6719" s="331">
        <v>0.21</v>
      </c>
      <c r="G6719" s="332">
        <v>2707</v>
      </c>
      <c r="H6719" s="333">
        <v>3276</v>
      </c>
    </row>
    <row r="6720" spans="1:8">
      <c r="A6720" s="317">
        <v>1616409023</v>
      </c>
      <c r="B6720" s="330" t="s">
        <v>51086</v>
      </c>
      <c r="C6720" s="330" t="s">
        <v>16596</v>
      </c>
      <c r="D6720" s="330" t="s">
        <v>16597</v>
      </c>
      <c r="E6720" s="330" t="s">
        <v>4819</v>
      </c>
      <c r="F6720" s="331">
        <v>0.21</v>
      </c>
      <c r="G6720" s="332">
        <v>3731</v>
      </c>
      <c r="H6720" s="333">
        <v>4515</v>
      </c>
    </row>
    <row r="6721" spans="1:8">
      <c r="A6721" s="317">
        <v>1616409024</v>
      </c>
      <c r="B6721" s="330" t="s">
        <v>51087</v>
      </c>
      <c r="C6721" s="330" t="s">
        <v>16598</v>
      </c>
      <c r="D6721" s="330" t="s">
        <v>16599</v>
      </c>
      <c r="E6721" s="330" t="s">
        <v>37248</v>
      </c>
      <c r="F6721" s="331">
        <v>0.21</v>
      </c>
      <c r="G6721" s="332">
        <v>17266</v>
      </c>
      <c r="H6721" s="333">
        <v>20892</v>
      </c>
    </row>
    <row r="6722" spans="1:8">
      <c r="A6722" s="317">
        <v>1616455006</v>
      </c>
      <c r="B6722" s="330" t="s">
        <v>51088</v>
      </c>
      <c r="C6722" s="330" t="s">
        <v>16600</v>
      </c>
      <c r="D6722" s="330" t="s">
        <v>16601</v>
      </c>
      <c r="E6722" s="330" t="s">
        <v>4819</v>
      </c>
      <c r="F6722" s="331">
        <v>0.21</v>
      </c>
      <c r="G6722" s="332">
        <v>47762</v>
      </c>
      <c r="H6722" s="333">
        <v>57793</v>
      </c>
    </row>
    <row r="6723" spans="1:8">
      <c r="A6723" s="317">
        <v>1616455007</v>
      </c>
      <c r="B6723" s="330" t="s">
        <v>51089</v>
      </c>
      <c r="C6723" s="330" t="s">
        <v>16602</v>
      </c>
      <c r="D6723" s="330" t="s">
        <v>16603</v>
      </c>
      <c r="E6723" s="330" t="s">
        <v>4634</v>
      </c>
      <c r="F6723" s="331">
        <v>0.21</v>
      </c>
      <c r="G6723" s="332">
        <v>7796</v>
      </c>
      <c r="H6723" s="333">
        <v>9434</v>
      </c>
    </row>
    <row r="6724" spans="1:8">
      <c r="A6724" s="317">
        <v>1616490005</v>
      </c>
      <c r="B6724" s="330" t="s">
        <v>51090</v>
      </c>
      <c r="C6724" s="330" t="s">
        <v>16604</v>
      </c>
      <c r="D6724" s="330" t="s">
        <v>16605</v>
      </c>
      <c r="E6724" s="330" t="s">
        <v>4634</v>
      </c>
      <c r="F6724" s="331">
        <v>0.21</v>
      </c>
      <c r="G6724" s="332">
        <v>6542</v>
      </c>
      <c r="H6724" s="333">
        <v>7916</v>
      </c>
    </row>
    <row r="6725" spans="1:8">
      <c r="A6725" s="317">
        <v>1616490007</v>
      </c>
      <c r="B6725" s="330" t="s">
        <v>51091</v>
      </c>
      <c r="C6725" s="330" t="s">
        <v>16606</v>
      </c>
      <c r="D6725" s="330" t="s">
        <v>14716</v>
      </c>
      <c r="E6725" s="330" t="s">
        <v>4634</v>
      </c>
      <c r="F6725" s="331">
        <v>0.21</v>
      </c>
      <c r="G6725" s="332">
        <v>114048</v>
      </c>
      <c r="H6725" s="333">
        <v>137999</v>
      </c>
    </row>
    <row r="6726" spans="1:8">
      <c r="A6726" s="317">
        <v>1616490008</v>
      </c>
      <c r="B6726" s="330" t="s">
        <v>51092</v>
      </c>
      <c r="C6726" s="330" t="s">
        <v>16607</v>
      </c>
      <c r="D6726" s="330" t="s">
        <v>14695</v>
      </c>
      <c r="E6726" s="330" t="s">
        <v>4634</v>
      </c>
      <c r="F6726" s="331">
        <v>0.21</v>
      </c>
      <c r="G6726" s="332">
        <v>17078</v>
      </c>
      <c r="H6726" s="333">
        <v>20665</v>
      </c>
    </row>
    <row r="6727" spans="1:8">
      <c r="A6727" s="317">
        <v>1616490009</v>
      </c>
      <c r="B6727" s="330" t="s">
        <v>51093</v>
      </c>
      <c r="C6727" s="330" t="s">
        <v>16608</v>
      </c>
      <c r="D6727" s="330" t="s">
        <v>16609</v>
      </c>
      <c r="E6727" s="330" t="s">
        <v>4634</v>
      </c>
      <c r="F6727" s="331">
        <v>0.21</v>
      </c>
      <c r="G6727" s="332">
        <v>6542</v>
      </c>
      <c r="H6727" s="333">
        <v>7916</v>
      </c>
    </row>
    <row r="6728" spans="1:8">
      <c r="A6728" s="317">
        <v>1616490011</v>
      </c>
      <c r="B6728" s="330" t="s">
        <v>51094</v>
      </c>
      <c r="C6728" s="330" t="s">
        <v>16610</v>
      </c>
      <c r="D6728" s="330" t="s">
        <v>16611</v>
      </c>
      <c r="E6728" s="330" t="s">
        <v>4634</v>
      </c>
      <c r="F6728" s="331">
        <v>0.21</v>
      </c>
      <c r="G6728" s="332">
        <v>7879</v>
      </c>
      <c r="H6728" s="333">
        <v>9534</v>
      </c>
    </row>
    <row r="6729" spans="1:8">
      <c r="A6729" s="317">
        <v>1616490060</v>
      </c>
      <c r="B6729" s="330" t="s">
        <v>51095</v>
      </c>
      <c r="C6729" s="330" t="s">
        <v>16612</v>
      </c>
      <c r="D6729" s="330" t="s">
        <v>16613</v>
      </c>
      <c r="E6729" s="330" t="s">
        <v>37248</v>
      </c>
      <c r="F6729" s="331">
        <v>0.21</v>
      </c>
      <c r="G6729" s="332">
        <v>100779</v>
      </c>
      <c r="H6729" s="333">
        <v>121943</v>
      </c>
    </row>
    <row r="6730" spans="1:8">
      <c r="A6730" s="317">
        <v>1616490068</v>
      </c>
      <c r="B6730" s="330" t="s">
        <v>51096</v>
      </c>
      <c r="C6730" s="330" t="s">
        <v>16614</v>
      </c>
      <c r="D6730" s="330" t="s">
        <v>16615</v>
      </c>
      <c r="E6730" s="330" t="s">
        <v>4634</v>
      </c>
      <c r="F6730" s="331">
        <v>0.21</v>
      </c>
      <c r="G6730" s="332">
        <v>22579</v>
      </c>
      <c r="H6730" s="333">
        <v>27321</v>
      </c>
    </row>
    <row r="6731" spans="1:8">
      <c r="A6731" s="317">
        <v>1616490071</v>
      </c>
      <c r="B6731" s="330" t="s">
        <v>51097</v>
      </c>
      <c r="C6731" s="330" t="s">
        <v>16616</v>
      </c>
      <c r="D6731" s="330" t="s">
        <v>16617</v>
      </c>
      <c r="E6731" s="330" t="s">
        <v>4819</v>
      </c>
      <c r="F6731" s="331">
        <v>0.21</v>
      </c>
      <c r="G6731" s="332">
        <v>3555</v>
      </c>
      <c r="H6731" s="333">
        <v>4302</v>
      </c>
    </row>
    <row r="6732" spans="1:8">
      <c r="A6732" s="317">
        <v>1616610047</v>
      </c>
      <c r="B6732" s="330" t="s">
        <v>51098</v>
      </c>
      <c r="C6732" s="330" t="s">
        <v>16618</v>
      </c>
      <c r="D6732" s="330" t="s">
        <v>16619</v>
      </c>
      <c r="E6732" s="330" t="s">
        <v>4634</v>
      </c>
      <c r="F6732" s="331">
        <v>0.21</v>
      </c>
      <c r="G6732" s="332">
        <v>1844</v>
      </c>
      <c r="H6732" s="333">
        <v>2232</v>
      </c>
    </row>
    <row r="6733" spans="1:8">
      <c r="A6733" s="317">
        <v>1616610052</v>
      </c>
      <c r="B6733" s="330" t="s">
        <v>51099</v>
      </c>
      <c r="C6733" s="330" t="s">
        <v>16620</v>
      </c>
      <c r="D6733" s="330" t="s">
        <v>10123</v>
      </c>
      <c r="E6733" s="330" t="s">
        <v>4634</v>
      </c>
      <c r="F6733" s="331">
        <v>0.21</v>
      </c>
      <c r="G6733" s="332">
        <v>231</v>
      </c>
      <c r="H6733" s="333">
        <v>280</v>
      </c>
    </row>
    <row r="6734" spans="1:8">
      <c r="A6734" s="317">
        <v>1616610053</v>
      </c>
      <c r="B6734" s="330" t="s">
        <v>51100</v>
      </c>
      <c r="C6734" s="330" t="s">
        <v>16621</v>
      </c>
      <c r="D6734" s="330" t="s">
        <v>16622</v>
      </c>
      <c r="E6734" s="330" t="s">
        <v>4634</v>
      </c>
      <c r="F6734" s="331">
        <v>0.21</v>
      </c>
      <c r="G6734" s="332">
        <v>1844</v>
      </c>
      <c r="H6734" s="333">
        <v>2232</v>
      </c>
    </row>
    <row r="6735" spans="1:8">
      <c r="A6735" s="317">
        <v>1616610056</v>
      </c>
      <c r="B6735" s="330" t="s">
        <v>51101</v>
      </c>
      <c r="C6735" s="330" t="s">
        <v>16623</v>
      </c>
      <c r="D6735" s="330" t="s">
        <v>16624</v>
      </c>
      <c r="E6735" s="330" t="s">
        <v>4634</v>
      </c>
      <c r="F6735" s="331">
        <v>0.21</v>
      </c>
      <c r="G6735" s="332">
        <v>3189</v>
      </c>
      <c r="H6735" s="333">
        <v>3859</v>
      </c>
    </row>
    <row r="6736" spans="1:8">
      <c r="A6736" s="317">
        <v>1616610067</v>
      </c>
      <c r="B6736" s="330" t="s">
        <v>51102</v>
      </c>
      <c r="C6736" s="330" t="s">
        <v>16625</v>
      </c>
      <c r="D6736" s="330" t="s">
        <v>16626</v>
      </c>
      <c r="E6736" s="330" t="s">
        <v>4634</v>
      </c>
      <c r="F6736" s="331">
        <v>0.21</v>
      </c>
      <c r="G6736" s="332">
        <v>928</v>
      </c>
      <c r="H6736" s="333">
        <v>1123</v>
      </c>
    </row>
    <row r="6737" spans="1:8">
      <c r="A6737" s="317">
        <v>1616610069</v>
      </c>
      <c r="B6737" s="330" t="s">
        <v>51103</v>
      </c>
      <c r="C6737" s="330" t="s">
        <v>16627</v>
      </c>
      <c r="D6737" s="330" t="s">
        <v>16628</v>
      </c>
      <c r="E6737" s="330" t="s">
        <v>4634</v>
      </c>
      <c r="F6737" s="331">
        <v>0.21</v>
      </c>
      <c r="G6737" s="332">
        <v>4004</v>
      </c>
      <c r="H6737" s="333">
        <v>4845</v>
      </c>
    </row>
    <row r="6738" spans="1:8">
      <c r="A6738" s="317">
        <v>1616610071</v>
      </c>
      <c r="B6738" s="330" t="s">
        <v>51104</v>
      </c>
      <c r="C6738" s="330" t="s">
        <v>16629</v>
      </c>
      <c r="D6738" s="330" t="s">
        <v>16630</v>
      </c>
      <c r="E6738" s="330" t="s">
        <v>4634</v>
      </c>
      <c r="F6738" s="331">
        <v>0.21</v>
      </c>
      <c r="G6738" s="332">
        <v>12200</v>
      </c>
      <c r="H6738" s="333">
        <v>14762</v>
      </c>
    </row>
    <row r="6739" spans="1:8">
      <c r="A6739" s="317">
        <v>1616610072</v>
      </c>
      <c r="B6739" s="330" t="s">
        <v>51105</v>
      </c>
      <c r="C6739" s="330" t="s">
        <v>16631</v>
      </c>
      <c r="D6739" s="330" t="s">
        <v>16632</v>
      </c>
      <c r="E6739" s="330" t="s">
        <v>4634</v>
      </c>
      <c r="F6739" s="331">
        <v>0.21</v>
      </c>
      <c r="G6739" s="332">
        <v>564</v>
      </c>
      <c r="H6739" s="333">
        <v>683</v>
      </c>
    </row>
    <row r="6740" spans="1:8">
      <c r="A6740" s="317">
        <v>1616610078</v>
      </c>
      <c r="B6740" s="330" t="s">
        <v>51106</v>
      </c>
      <c r="C6740" s="330" t="s">
        <v>16633</v>
      </c>
      <c r="D6740" s="330" t="s">
        <v>16634</v>
      </c>
      <c r="E6740" s="330" t="s">
        <v>4634</v>
      </c>
      <c r="F6740" s="331">
        <v>0.21</v>
      </c>
      <c r="G6740" s="332">
        <v>4650</v>
      </c>
      <c r="H6740" s="333">
        <v>5627</v>
      </c>
    </row>
    <row r="6741" spans="1:8">
      <c r="A6741" s="317">
        <v>1616610080</v>
      </c>
      <c r="B6741" s="330" t="s">
        <v>51107</v>
      </c>
      <c r="C6741" s="330" t="s">
        <v>16635</v>
      </c>
      <c r="D6741" s="330" t="s">
        <v>16636</v>
      </c>
      <c r="E6741" s="330" t="s">
        <v>4634</v>
      </c>
      <c r="F6741" s="331">
        <v>0.21</v>
      </c>
      <c r="G6741" s="332">
        <v>1798</v>
      </c>
      <c r="H6741" s="333">
        <v>2176</v>
      </c>
    </row>
    <row r="6742" spans="1:8">
      <c r="A6742" s="317">
        <v>1616610081</v>
      </c>
      <c r="B6742" s="330" t="s">
        <v>51108</v>
      </c>
      <c r="C6742" s="330" t="s">
        <v>16637</v>
      </c>
      <c r="D6742" s="330" t="s">
        <v>16638</v>
      </c>
      <c r="E6742" s="330" t="s">
        <v>4634</v>
      </c>
      <c r="F6742" s="331">
        <v>0.21</v>
      </c>
      <c r="G6742" s="332">
        <v>1411</v>
      </c>
      <c r="H6742" s="333">
        <v>1708</v>
      </c>
    </row>
    <row r="6743" spans="1:8">
      <c r="A6743" s="317">
        <v>1616610085</v>
      </c>
      <c r="B6743" s="330" t="s">
        <v>51109</v>
      </c>
      <c r="C6743" s="330" t="s">
        <v>16639</v>
      </c>
      <c r="D6743" s="330" t="s">
        <v>16640</v>
      </c>
      <c r="E6743" s="330" t="s">
        <v>37248</v>
      </c>
      <c r="F6743" s="331">
        <v>0.21</v>
      </c>
      <c r="G6743" s="332">
        <v>1155</v>
      </c>
      <c r="H6743" s="333">
        <v>1398</v>
      </c>
    </row>
    <row r="6744" spans="1:8">
      <c r="A6744" s="317">
        <v>1616610088</v>
      </c>
      <c r="B6744" s="330" t="s">
        <v>51110</v>
      </c>
      <c r="C6744" s="330" t="s">
        <v>16641</v>
      </c>
      <c r="D6744" s="330" t="s">
        <v>16642</v>
      </c>
      <c r="E6744" s="330" t="s">
        <v>4634</v>
      </c>
      <c r="F6744" s="331">
        <v>0.21</v>
      </c>
      <c r="G6744" s="332">
        <v>820</v>
      </c>
      <c r="H6744" s="333">
        <v>993</v>
      </c>
    </row>
    <row r="6745" spans="1:8">
      <c r="A6745" s="317">
        <v>1616610089</v>
      </c>
      <c r="B6745" s="330" t="s">
        <v>51111</v>
      </c>
      <c r="C6745" s="330" t="s">
        <v>16643</v>
      </c>
      <c r="D6745" s="330" t="s">
        <v>16644</v>
      </c>
      <c r="E6745" s="330" t="s">
        <v>37248</v>
      </c>
      <c r="F6745" s="331">
        <v>0.21</v>
      </c>
      <c r="G6745" s="332">
        <v>28571</v>
      </c>
      <c r="H6745" s="333">
        <v>34571</v>
      </c>
    </row>
    <row r="6746" spans="1:8">
      <c r="A6746" s="317">
        <v>1616610090</v>
      </c>
      <c r="B6746" s="330" t="s">
        <v>51112</v>
      </c>
      <c r="C6746" s="330" t="s">
        <v>16645</v>
      </c>
      <c r="D6746" s="330" t="s">
        <v>5573</v>
      </c>
      <c r="E6746" s="330" t="s">
        <v>4819</v>
      </c>
      <c r="F6746" s="331">
        <v>0.21</v>
      </c>
      <c r="G6746" s="332">
        <v>14662</v>
      </c>
      <c r="H6746" s="333">
        <v>17742</v>
      </c>
    </row>
    <row r="6747" spans="1:8">
      <c r="A6747" s="317">
        <v>1616610092</v>
      </c>
      <c r="B6747" s="330" t="s">
        <v>51113</v>
      </c>
      <c r="C6747" s="330" t="s">
        <v>16646</v>
      </c>
      <c r="D6747" s="330" t="s">
        <v>16647</v>
      </c>
      <c r="E6747" s="330" t="s">
        <v>4634</v>
      </c>
      <c r="F6747" s="331">
        <v>0.21</v>
      </c>
      <c r="G6747" s="332">
        <v>1474</v>
      </c>
      <c r="H6747" s="333">
        <v>1784</v>
      </c>
    </row>
    <row r="6748" spans="1:8">
      <c r="A6748" s="317">
        <v>1616610093</v>
      </c>
      <c r="B6748" s="330" t="s">
        <v>51114</v>
      </c>
      <c r="C6748" s="330" t="s">
        <v>16648</v>
      </c>
      <c r="D6748" s="330" t="s">
        <v>16649</v>
      </c>
      <c r="E6748" s="330" t="s">
        <v>4634</v>
      </c>
      <c r="F6748" s="331">
        <v>0.21</v>
      </c>
      <c r="G6748" s="332">
        <v>455</v>
      </c>
      <c r="H6748" s="333">
        <v>551</v>
      </c>
    </row>
    <row r="6749" spans="1:8">
      <c r="A6749" s="317">
        <v>1616610094</v>
      </c>
      <c r="B6749" s="330" t="s">
        <v>51115</v>
      </c>
      <c r="C6749" s="330" t="s">
        <v>16650</v>
      </c>
      <c r="D6749" s="330" t="s">
        <v>5573</v>
      </c>
      <c r="E6749" s="330" t="s">
        <v>4819</v>
      </c>
      <c r="F6749" s="331">
        <v>0.21</v>
      </c>
      <c r="G6749" s="332">
        <v>3616</v>
      </c>
      <c r="H6749" s="333">
        <v>4376</v>
      </c>
    </row>
    <row r="6750" spans="1:8">
      <c r="A6750" s="317">
        <v>1616610095</v>
      </c>
      <c r="B6750" s="330" t="s">
        <v>51116</v>
      </c>
      <c r="C6750" s="330" t="s">
        <v>16651</v>
      </c>
      <c r="D6750" s="330" t="s">
        <v>16652</v>
      </c>
      <c r="E6750" s="330" t="s">
        <v>4634</v>
      </c>
      <c r="F6750" s="331">
        <v>0.21</v>
      </c>
      <c r="G6750" s="332">
        <v>584</v>
      </c>
      <c r="H6750" s="333">
        <v>707</v>
      </c>
    </row>
    <row r="6751" spans="1:8">
      <c r="A6751" s="317">
        <v>1616610100</v>
      </c>
      <c r="B6751" s="330" t="s">
        <v>51117</v>
      </c>
      <c r="C6751" s="330" t="s">
        <v>16653</v>
      </c>
      <c r="D6751" s="330" t="s">
        <v>5573</v>
      </c>
      <c r="E6751" s="330" t="s">
        <v>4819</v>
      </c>
      <c r="F6751" s="331">
        <v>0.21</v>
      </c>
      <c r="G6751" s="332">
        <v>3731</v>
      </c>
      <c r="H6751" s="333">
        <v>4515</v>
      </c>
    </row>
    <row r="6752" spans="1:8">
      <c r="A6752" s="317">
        <v>1616610104</v>
      </c>
      <c r="B6752" s="330" t="s">
        <v>51118</v>
      </c>
      <c r="C6752" s="330" t="s">
        <v>16654</v>
      </c>
      <c r="D6752" s="330" t="s">
        <v>5573</v>
      </c>
      <c r="E6752" s="330" t="s">
        <v>4819</v>
      </c>
      <c r="F6752" s="331">
        <v>0.21</v>
      </c>
      <c r="G6752" s="332">
        <v>7638</v>
      </c>
      <c r="H6752" s="333">
        <v>9242</v>
      </c>
    </row>
    <row r="6753" spans="1:8">
      <c r="A6753" s="317">
        <v>1616610106</v>
      </c>
      <c r="B6753" s="330" t="s">
        <v>51119</v>
      </c>
      <c r="C6753" s="330" t="s">
        <v>16655</v>
      </c>
      <c r="D6753" s="330" t="s">
        <v>16656</v>
      </c>
      <c r="E6753" s="330" t="s">
        <v>37248</v>
      </c>
      <c r="F6753" s="331">
        <v>0.21</v>
      </c>
      <c r="G6753" s="332">
        <v>12354</v>
      </c>
      <c r="H6753" s="333">
        <v>14949</v>
      </c>
    </row>
    <row r="6754" spans="1:8">
      <c r="A6754" s="317">
        <v>1616610109</v>
      </c>
      <c r="B6754" s="330" t="s">
        <v>51120</v>
      </c>
      <c r="C6754" s="330" t="s">
        <v>16657</v>
      </c>
      <c r="D6754" s="330" t="s">
        <v>16658</v>
      </c>
      <c r="E6754" s="330" t="s">
        <v>37248</v>
      </c>
      <c r="F6754" s="331">
        <v>0.21</v>
      </c>
      <c r="G6754" s="332">
        <v>12974</v>
      </c>
      <c r="H6754" s="333">
        <v>15699</v>
      </c>
    </row>
    <row r="6755" spans="1:8">
      <c r="A6755" s="317">
        <v>1616610113</v>
      </c>
      <c r="B6755" s="330" t="s">
        <v>51121</v>
      </c>
      <c r="C6755" s="330" t="s">
        <v>16659</v>
      </c>
      <c r="D6755" s="330" t="s">
        <v>16660</v>
      </c>
      <c r="E6755" s="330" t="s">
        <v>4634</v>
      </c>
      <c r="F6755" s="331">
        <v>0.21</v>
      </c>
      <c r="G6755" s="332">
        <v>673</v>
      </c>
      <c r="H6755" s="333">
        <v>815</v>
      </c>
    </row>
    <row r="6756" spans="1:8">
      <c r="A6756" s="317">
        <v>1616610114</v>
      </c>
      <c r="B6756" s="330" t="s">
        <v>51122</v>
      </c>
      <c r="C6756" s="330" t="s">
        <v>16661</v>
      </c>
      <c r="D6756" s="330" t="s">
        <v>16662</v>
      </c>
      <c r="E6756" s="330" t="s">
        <v>37248</v>
      </c>
      <c r="F6756" s="331">
        <v>0.21</v>
      </c>
      <c r="G6756" s="332">
        <v>5737</v>
      </c>
      <c r="H6756" s="333">
        <v>6942</v>
      </c>
    </row>
    <row r="6757" spans="1:8">
      <c r="A6757" s="317" t="s">
        <v>40415</v>
      </c>
      <c r="B6757" s="330" t="s">
        <v>51123</v>
      </c>
      <c r="C6757" s="330" t="s">
        <v>16663</v>
      </c>
      <c r="D6757" s="330" t="s">
        <v>16664</v>
      </c>
      <c r="E6757" s="330" t="s">
        <v>4819</v>
      </c>
      <c r="F6757" s="331">
        <v>0.21</v>
      </c>
      <c r="G6757" s="332">
        <v>5034</v>
      </c>
      <c r="H6757" s="333">
        <v>6092</v>
      </c>
    </row>
    <row r="6758" spans="1:8">
      <c r="A6758" s="317" t="s">
        <v>40416</v>
      </c>
      <c r="B6758" s="330" t="s">
        <v>51124</v>
      </c>
      <c r="C6758" s="330" t="s">
        <v>16665</v>
      </c>
      <c r="D6758" s="330" t="s">
        <v>16666</v>
      </c>
      <c r="E6758" s="330" t="s">
        <v>37248</v>
      </c>
      <c r="F6758" s="331">
        <v>0.21</v>
      </c>
      <c r="G6758" s="332">
        <v>14794</v>
      </c>
      <c r="H6758" s="333">
        <v>17901</v>
      </c>
    </row>
    <row r="6759" spans="1:8">
      <c r="A6759" s="317" t="s">
        <v>40417</v>
      </c>
      <c r="B6759" s="330" t="s">
        <v>51125</v>
      </c>
      <c r="C6759" s="330" t="s">
        <v>16667</v>
      </c>
      <c r="D6759" s="330" t="s">
        <v>5175</v>
      </c>
      <c r="E6759" s="330" t="s">
        <v>37248</v>
      </c>
      <c r="F6759" s="331">
        <v>0.21</v>
      </c>
      <c r="G6759" s="332">
        <v>4035</v>
      </c>
      <c r="H6759" s="333">
        <v>4883</v>
      </c>
    </row>
    <row r="6760" spans="1:8">
      <c r="A6760" s="317">
        <v>1617000014</v>
      </c>
      <c r="B6760" s="330" t="s">
        <v>51126</v>
      </c>
      <c r="C6760" s="330" t="s">
        <v>16668</v>
      </c>
      <c r="D6760" s="330" t="s">
        <v>16669</v>
      </c>
      <c r="E6760" s="330" t="s">
        <v>4634</v>
      </c>
      <c r="F6760" s="331">
        <v>0.21</v>
      </c>
      <c r="G6760" s="332">
        <v>5646</v>
      </c>
      <c r="H6760" s="333">
        <v>6832</v>
      </c>
    </row>
    <row r="6761" spans="1:8">
      <c r="A6761" s="317">
        <v>1617000036</v>
      </c>
      <c r="B6761" s="330" t="s">
        <v>51127</v>
      </c>
      <c r="C6761" s="330" t="s">
        <v>16670</v>
      </c>
      <c r="D6761" s="330" t="s">
        <v>16671</v>
      </c>
      <c r="E6761" s="330" t="s">
        <v>4634</v>
      </c>
      <c r="F6761" s="331">
        <v>0.21</v>
      </c>
      <c r="G6761" s="332">
        <v>13116</v>
      </c>
      <c r="H6761" s="333">
        <v>15871</v>
      </c>
    </row>
    <row r="6762" spans="1:8">
      <c r="A6762" s="317">
        <v>1617000037</v>
      </c>
      <c r="B6762" s="330" t="s">
        <v>51128</v>
      </c>
      <c r="C6762" s="330" t="s">
        <v>16672</v>
      </c>
      <c r="D6762" s="330" t="s">
        <v>16673</v>
      </c>
      <c r="E6762" s="330" t="s">
        <v>4634</v>
      </c>
      <c r="F6762" s="331">
        <v>0.21</v>
      </c>
      <c r="G6762" s="332">
        <v>28408</v>
      </c>
      <c r="H6762" s="333">
        <v>34374</v>
      </c>
    </row>
    <row r="6763" spans="1:8">
      <c r="A6763" s="317">
        <v>1617000038</v>
      </c>
      <c r="B6763" s="330" t="s">
        <v>51129</v>
      </c>
      <c r="C6763" s="330" t="s">
        <v>16674</v>
      </c>
      <c r="D6763" s="330" t="s">
        <v>16675</v>
      </c>
      <c r="E6763" s="330" t="s">
        <v>4634</v>
      </c>
      <c r="F6763" s="331">
        <v>0.21</v>
      </c>
      <c r="G6763" s="332">
        <v>644</v>
      </c>
      <c r="H6763" s="333">
        <v>780</v>
      </c>
    </row>
    <row r="6764" spans="1:8">
      <c r="A6764" s="317">
        <v>1617000050</v>
      </c>
      <c r="B6764" s="330" t="s">
        <v>51130</v>
      </c>
      <c r="C6764" s="330" t="s">
        <v>16676</v>
      </c>
      <c r="D6764" s="330" t="s">
        <v>16677</v>
      </c>
      <c r="E6764" s="330" t="s">
        <v>4634</v>
      </c>
      <c r="F6764" s="331">
        <v>0.21</v>
      </c>
      <c r="G6764" s="332">
        <v>18905</v>
      </c>
      <c r="H6764" s="333">
        <v>22876</v>
      </c>
    </row>
    <row r="6765" spans="1:8">
      <c r="A6765" s="317">
        <v>1617000057</v>
      </c>
      <c r="B6765" s="330" t="s">
        <v>51131</v>
      </c>
      <c r="C6765" s="330" t="s">
        <v>16678</v>
      </c>
      <c r="D6765" s="330" t="s">
        <v>16679</v>
      </c>
      <c r="E6765" s="330" t="s">
        <v>4634</v>
      </c>
      <c r="F6765" s="331">
        <v>0.21</v>
      </c>
      <c r="G6765" s="332">
        <v>9128</v>
      </c>
      <c r="H6765" s="333">
        <v>11045</v>
      </c>
    </row>
    <row r="6766" spans="1:8">
      <c r="A6766" s="317">
        <v>1617000059</v>
      </c>
      <c r="B6766" s="330" t="s">
        <v>51132</v>
      </c>
      <c r="C6766" s="330" t="s">
        <v>16680</v>
      </c>
      <c r="D6766" s="330" t="s">
        <v>16681</v>
      </c>
      <c r="E6766" s="330" t="s">
        <v>4634</v>
      </c>
      <c r="F6766" s="331">
        <v>0.21</v>
      </c>
      <c r="G6766" s="332">
        <v>3966</v>
      </c>
      <c r="H6766" s="333">
        <v>4799</v>
      </c>
    </row>
    <row r="6767" spans="1:8">
      <c r="A6767" s="317">
        <v>1617000060</v>
      </c>
      <c r="B6767" s="330" t="s">
        <v>51133</v>
      </c>
      <c r="C6767" s="330" t="s">
        <v>16682</v>
      </c>
      <c r="D6767" s="330" t="s">
        <v>16683</v>
      </c>
      <c r="E6767" s="330" t="s">
        <v>4634</v>
      </c>
      <c r="F6767" s="331">
        <v>0.21</v>
      </c>
      <c r="G6767" s="332">
        <v>42116</v>
      </c>
      <c r="H6767" s="333">
        <v>50961</v>
      </c>
    </row>
    <row r="6768" spans="1:8">
      <c r="A6768" s="317">
        <v>1617000079</v>
      </c>
      <c r="B6768" s="330" t="s">
        <v>51134</v>
      </c>
      <c r="C6768" s="330" t="s">
        <v>16684</v>
      </c>
      <c r="D6768" s="330" t="s">
        <v>16685</v>
      </c>
      <c r="E6768" s="330" t="s">
        <v>4634</v>
      </c>
      <c r="F6768" s="331">
        <v>0.21</v>
      </c>
      <c r="G6768" s="332">
        <v>2881</v>
      </c>
      <c r="H6768" s="333">
        <v>3487</v>
      </c>
    </row>
    <row r="6769" spans="1:8">
      <c r="A6769" s="317">
        <v>1617000085</v>
      </c>
      <c r="B6769" s="330" t="s">
        <v>51135</v>
      </c>
      <c r="C6769" s="330" t="s">
        <v>16686</v>
      </c>
      <c r="D6769" s="330" t="s">
        <v>16687</v>
      </c>
      <c r="E6769" s="330" t="s">
        <v>4634</v>
      </c>
      <c r="F6769" s="331">
        <v>0.21</v>
      </c>
      <c r="G6769" s="332">
        <v>40571</v>
      </c>
      <c r="H6769" s="333">
        <v>49091</v>
      </c>
    </row>
    <row r="6770" spans="1:8">
      <c r="A6770" s="317">
        <v>1617000130</v>
      </c>
      <c r="B6770" s="330" t="s">
        <v>51136</v>
      </c>
      <c r="C6770" s="330" t="s">
        <v>16688</v>
      </c>
      <c r="D6770" s="330" t="s">
        <v>16689</v>
      </c>
      <c r="E6770" s="330" t="s">
        <v>4634</v>
      </c>
      <c r="F6770" s="331">
        <v>0.21</v>
      </c>
      <c r="G6770" s="332">
        <v>928</v>
      </c>
      <c r="H6770" s="333">
        <v>1123</v>
      </c>
    </row>
    <row r="6771" spans="1:8">
      <c r="A6771" s="317">
        <v>1617000134</v>
      </c>
      <c r="B6771" s="330" t="s">
        <v>51137</v>
      </c>
      <c r="C6771" s="330" t="s">
        <v>16690</v>
      </c>
      <c r="D6771" s="330" t="s">
        <v>16691</v>
      </c>
      <c r="E6771" s="330" t="s">
        <v>4634</v>
      </c>
      <c r="F6771" s="331">
        <v>0.21</v>
      </c>
      <c r="G6771" s="332">
        <v>5500</v>
      </c>
      <c r="H6771" s="333">
        <v>6655</v>
      </c>
    </row>
    <row r="6772" spans="1:8">
      <c r="A6772" s="317">
        <v>1617000136</v>
      </c>
      <c r="B6772" s="330" t="s">
        <v>51138</v>
      </c>
      <c r="C6772" s="330" t="s">
        <v>16692</v>
      </c>
      <c r="D6772" s="330" t="s">
        <v>10501</v>
      </c>
      <c r="E6772" s="330" t="s">
        <v>4634</v>
      </c>
      <c r="F6772" s="331">
        <v>0.21</v>
      </c>
      <c r="G6772" s="332">
        <v>3154</v>
      </c>
      <c r="H6772" s="333">
        <v>3817</v>
      </c>
    </row>
    <row r="6773" spans="1:8">
      <c r="A6773" s="317">
        <v>1617000154</v>
      </c>
      <c r="B6773" s="330" t="s">
        <v>51139</v>
      </c>
      <c r="C6773" s="330" t="s">
        <v>16693</v>
      </c>
      <c r="D6773" s="330" t="s">
        <v>16694</v>
      </c>
      <c r="E6773" s="330" t="s">
        <v>37248</v>
      </c>
      <c r="F6773" s="331">
        <v>0.21</v>
      </c>
      <c r="G6773" s="332">
        <v>10303</v>
      </c>
      <c r="H6773" s="333">
        <v>12467</v>
      </c>
    </row>
    <row r="6774" spans="1:8">
      <c r="A6774" s="317">
        <v>1617000169</v>
      </c>
      <c r="B6774" s="330" t="s">
        <v>51140</v>
      </c>
      <c r="C6774" s="330" t="s">
        <v>16695</v>
      </c>
      <c r="D6774" s="330" t="s">
        <v>16696</v>
      </c>
      <c r="E6774" s="330" t="s">
        <v>4634</v>
      </c>
      <c r="F6774" s="331">
        <v>0.21</v>
      </c>
      <c r="G6774" s="332">
        <v>1371</v>
      </c>
      <c r="H6774" s="333">
        <v>1659</v>
      </c>
    </row>
    <row r="6775" spans="1:8">
      <c r="A6775" s="317">
        <v>1617000171</v>
      </c>
      <c r="B6775" s="330" t="s">
        <v>51141</v>
      </c>
      <c r="C6775" s="330" t="s">
        <v>16697</v>
      </c>
      <c r="D6775" s="330" t="s">
        <v>16698</v>
      </c>
      <c r="E6775" s="330" t="s">
        <v>4634</v>
      </c>
      <c r="F6775" s="331">
        <v>0.21</v>
      </c>
      <c r="G6775" s="332">
        <v>12693</v>
      </c>
      <c r="H6775" s="333">
        <v>15359</v>
      </c>
    </row>
    <row r="6776" spans="1:8">
      <c r="A6776" s="317">
        <v>1617000172</v>
      </c>
      <c r="B6776" s="330" t="s">
        <v>51142</v>
      </c>
      <c r="C6776" s="330" t="s">
        <v>16699</v>
      </c>
      <c r="D6776" s="330" t="s">
        <v>16700</v>
      </c>
      <c r="E6776" s="330" t="s">
        <v>4634</v>
      </c>
      <c r="F6776" s="331">
        <v>0.21</v>
      </c>
      <c r="G6776" s="332">
        <v>6491</v>
      </c>
      <c r="H6776" s="333">
        <v>7855</v>
      </c>
    </row>
    <row r="6777" spans="1:8">
      <c r="A6777" s="317">
        <v>1617000177</v>
      </c>
      <c r="B6777" s="330" t="s">
        <v>51143</v>
      </c>
      <c r="C6777" s="330" t="s">
        <v>16701</v>
      </c>
      <c r="D6777" s="330" t="s">
        <v>16702</v>
      </c>
      <c r="E6777" s="330" t="s">
        <v>4634</v>
      </c>
      <c r="F6777" s="331">
        <v>0.21</v>
      </c>
      <c r="G6777" s="332">
        <v>564</v>
      </c>
      <c r="H6777" s="333">
        <v>683</v>
      </c>
    </row>
    <row r="6778" spans="1:8">
      <c r="A6778" s="317">
        <v>1617000180</v>
      </c>
      <c r="B6778" s="330" t="s">
        <v>51144</v>
      </c>
      <c r="C6778" s="330" t="s">
        <v>16703</v>
      </c>
      <c r="D6778" s="330" t="s">
        <v>16704</v>
      </c>
      <c r="E6778" s="330" t="s">
        <v>4634</v>
      </c>
      <c r="F6778" s="331">
        <v>0.21</v>
      </c>
      <c r="G6778" s="332">
        <v>11767</v>
      </c>
      <c r="H6778" s="333">
        <v>14239</v>
      </c>
    </row>
    <row r="6779" spans="1:8">
      <c r="A6779" s="317">
        <v>1617000186</v>
      </c>
      <c r="B6779" s="330" t="s">
        <v>51145</v>
      </c>
      <c r="C6779" s="330" t="s">
        <v>16705</v>
      </c>
      <c r="D6779" s="330" t="s">
        <v>16706</v>
      </c>
      <c r="E6779" s="330" t="s">
        <v>4634</v>
      </c>
      <c r="F6779" s="331">
        <v>0.21</v>
      </c>
      <c r="G6779" s="332">
        <v>7879</v>
      </c>
      <c r="H6779" s="333">
        <v>9534</v>
      </c>
    </row>
    <row r="6780" spans="1:8">
      <c r="A6780" s="317">
        <v>1617000188</v>
      </c>
      <c r="B6780" s="330" t="s">
        <v>51146</v>
      </c>
      <c r="C6780" s="330" t="s">
        <v>16707</v>
      </c>
      <c r="D6780" s="330" t="s">
        <v>16708</v>
      </c>
      <c r="E6780" s="330" t="s">
        <v>37248</v>
      </c>
      <c r="F6780" s="331">
        <v>0.21</v>
      </c>
      <c r="G6780" s="332">
        <v>15129</v>
      </c>
      <c r="H6780" s="333">
        <v>18307</v>
      </c>
    </row>
    <row r="6781" spans="1:8">
      <c r="A6781" s="317" t="s">
        <v>16709</v>
      </c>
      <c r="B6781" s="330" t="s">
        <v>16709</v>
      </c>
      <c r="C6781" s="330" t="s">
        <v>16710</v>
      </c>
      <c r="D6781" s="330" t="s">
        <v>16711</v>
      </c>
      <c r="E6781" s="330" t="s">
        <v>4634</v>
      </c>
      <c r="F6781" s="331">
        <v>0.21</v>
      </c>
      <c r="G6781" s="332">
        <v>2161</v>
      </c>
      <c r="H6781" s="333">
        <v>2615</v>
      </c>
    </row>
    <row r="6782" spans="1:8">
      <c r="A6782" s="317">
        <v>1617000196</v>
      </c>
      <c r="B6782" s="330" t="s">
        <v>51147</v>
      </c>
      <c r="C6782" s="330" t="s">
        <v>16712</v>
      </c>
      <c r="D6782" s="330" t="s">
        <v>16713</v>
      </c>
      <c r="E6782" s="330" t="s">
        <v>4819</v>
      </c>
      <c r="F6782" s="331">
        <v>0.21</v>
      </c>
      <c r="G6782" s="332">
        <v>76296</v>
      </c>
      <c r="H6782" s="333">
        <v>92319</v>
      </c>
    </row>
    <row r="6783" spans="1:8">
      <c r="A6783" s="317">
        <v>1617000198</v>
      </c>
      <c r="B6783" s="330" t="s">
        <v>51148</v>
      </c>
      <c r="C6783" s="330" t="s">
        <v>16714</v>
      </c>
      <c r="D6783" s="330" t="s">
        <v>16715</v>
      </c>
      <c r="E6783" s="330" t="s">
        <v>37248</v>
      </c>
      <c r="F6783" s="331">
        <v>0.21</v>
      </c>
      <c r="G6783" s="332">
        <v>52427</v>
      </c>
      <c r="H6783" s="333">
        <v>63437</v>
      </c>
    </row>
    <row r="6784" spans="1:8">
      <c r="A6784" s="317" t="s">
        <v>16716</v>
      </c>
      <c r="B6784" s="330" t="s">
        <v>16716</v>
      </c>
      <c r="C6784" s="330" t="s">
        <v>16717</v>
      </c>
      <c r="D6784" s="330" t="s">
        <v>16718</v>
      </c>
      <c r="E6784" s="330" t="s">
        <v>4634</v>
      </c>
      <c r="F6784" s="331">
        <v>0.21</v>
      </c>
      <c r="G6784" s="332">
        <v>3997</v>
      </c>
      <c r="H6784" s="333">
        <v>4837</v>
      </c>
    </row>
    <row r="6785" spans="1:8">
      <c r="A6785" s="317">
        <v>1617000215</v>
      </c>
      <c r="B6785" s="330" t="s">
        <v>51149</v>
      </c>
      <c r="C6785" s="330" t="s">
        <v>16719</v>
      </c>
      <c r="D6785" s="330" t="s">
        <v>16720</v>
      </c>
      <c r="E6785" s="330" t="s">
        <v>4634</v>
      </c>
      <c r="F6785" s="331">
        <v>0.21</v>
      </c>
      <c r="G6785" s="332">
        <v>6065</v>
      </c>
      <c r="H6785" s="333">
        <v>7339</v>
      </c>
    </row>
    <row r="6786" spans="1:8">
      <c r="A6786" s="317">
        <v>1617000224</v>
      </c>
      <c r="B6786" s="330" t="s">
        <v>51150</v>
      </c>
      <c r="C6786" s="330" t="s">
        <v>16721</v>
      </c>
      <c r="D6786" s="330" t="s">
        <v>16722</v>
      </c>
      <c r="E6786" s="330" t="s">
        <v>4819</v>
      </c>
      <c r="F6786" s="331">
        <v>0.21</v>
      </c>
      <c r="G6786" s="332">
        <v>93056</v>
      </c>
      <c r="H6786" s="333">
        <v>112598</v>
      </c>
    </row>
    <row r="6787" spans="1:8">
      <c r="A6787" s="317">
        <v>1617000225</v>
      </c>
      <c r="B6787" s="330" t="s">
        <v>51151</v>
      </c>
      <c r="C6787" s="330" t="s">
        <v>16723</v>
      </c>
      <c r="D6787" s="330" t="s">
        <v>16724</v>
      </c>
      <c r="E6787" s="330" t="s">
        <v>37248</v>
      </c>
      <c r="F6787" s="331">
        <v>0.21</v>
      </c>
      <c r="G6787" s="332">
        <v>109167</v>
      </c>
      <c r="H6787" s="333">
        <v>132093</v>
      </c>
    </row>
    <row r="6788" spans="1:8">
      <c r="A6788" s="317" t="s">
        <v>16725</v>
      </c>
      <c r="B6788" s="330" t="s">
        <v>16725</v>
      </c>
      <c r="C6788" s="330" t="s">
        <v>16726</v>
      </c>
      <c r="D6788" s="330" t="s">
        <v>16727</v>
      </c>
      <c r="E6788" s="330" t="s">
        <v>4634</v>
      </c>
      <c r="F6788" s="331">
        <v>0.21</v>
      </c>
      <c r="G6788" s="332">
        <v>9904</v>
      </c>
      <c r="H6788" s="333">
        <v>11984</v>
      </c>
    </row>
    <row r="6789" spans="1:8">
      <c r="A6789" s="317">
        <v>1617000240</v>
      </c>
      <c r="B6789" s="330" t="s">
        <v>51152</v>
      </c>
      <c r="C6789" s="330" t="s">
        <v>16728</v>
      </c>
      <c r="D6789" s="330" t="s">
        <v>16729</v>
      </c>
      <c r="E6789" s="330" t="s">
        <v>37248</v>
      </c>
      <c r="F6789" s="331">
        <v>0.21</v>
      </c>
      <c r="G6789" s="332">
        <v>3774</v>
      </c>
      <c r="H6789" s="333">
        <v>4567</v>
      </c>
    </row>
    <row r="6790" spans="1:8">
      <c r="A6790" s="317">
        <v>1617000241</v>
      </c>
      <c r="B6790" s="330" t="s">
        <v>51153</v>
      </c>
      <c r="C6790" s="330" t="s">
        <v>16730</v>
      </c>
      <c r="D6790" s="330" t="s">
        <v>16731</v>
      </c>
      <c r="E6790" s="330" t="s">
        <v>37248</v>
      </c>
      <c r="F6790" s="331">
        <v>0.21</v>
      </c>
      <c r="G6790" s="332">
        <v>6984</v>
      </c>
      <c r="H6790" s="333">
        <v>8451</v>
      </c>
    </row>
    <row r="6791" spans="1:8">
      <c r="A6791" s="317">
        <v>1617000248</v>
      </c>
      <c r="B6791" s="330" t="s">
        <v>51154</v>
      </c>
      <c r="C6791" s="330" t="s">
        <v>16732</v>
      </c>
      <c r="D6791" s="330" t="s">
        <v>16733</v>
      </c>
      <c r="E6791" s="330" t="s">
        <v>4634</v>
      </c>
      <c r="F6791" s="331">
        <v>0.21</v>
      </c>
      <c r="G6791" s="332">
        <v>10767</v>
      </c>
      <c r="H6791" s="333">
        <v>13029</v>
      </c>
    </row>
    <row r="6792" spans="1:8">
      <c r="A6792" s="317">
        <v>1617000270</v>
      </c>
      <c r="B6792" s="330" t="s">
        <v>51155</v>
      </c>
      <c r="C6792" s="330" t="s">
        <v>16734</v>
      </c>
      <c r="D6792" s="330" t="s">
        <v>16735</v>
      </c>
      <c r="E6792" s="330" t="s">
        <v>4634</v>
      </c>
      <c r="F6792" s="331">
        <v>0.21</v>
      </c>
      <c r="G6792" s="332">
        <v>12064</v>
      </c>
      <c r="H6792" s="333">
        <v>14598</v>
      </c>
    </row>
    <row r="6793" spans="1:8">
      <c r="A6793" s="317">
        <v>1617000271</v>
      </c>
      <c r="B6793" s="330" t="s">
        <v>51156</v>
      </c>
      <c r="C6793" s="330" t="s">
        <v>16736</v>
      </c>
      <c r="D6793" s="330" t="s">
        <v>16737</v>
      </c>
      <c r="E6793" s="330" t="s">
        <v>4819</v>
      </c>
      <c r="F6793" s="331">
        <v>0.21</v>
      </c>
      <c r="G6793" s="332">
        <v>3604</v>
      </c>
      <c r="H6793" s="333">
        <v>4361</v>
      </c>
    </row>
    <row r="6794" spans="1:8">
      <c r="A6794" s="317">
        <v>1617000273</v>
      </c>
      <c r="B6794" s="330" t="s">
        <v>51157</v>
      </c>
      <c r="C6794" s="330" t="s">
        <v>16738</v>
      </c>
      <c r="D6794" s="330" t="s">
        <v>16739</v>
      </c>
      <c r="E6794" s="330" t="s">
        <v>4634</v>
      </c>
      <c r="F6794" s="331">
        <v>0.21</v>
      </c>
      <c r="G6794" s="332">
        <v>14694</v>
      </c>
      <c r="H6794" s="333">
        <v>17780</v>
      </c>
    </row>
    <row r="6795" spans="1:8">
      <c r="A6795" s="317">
        <v>1617000291</v>
      </c>
      <c r="B6795" s="330" t="s">
        <v>51158</v>
      </c>
      <c r="C6795" s="330" t="s">
        <v>16740</v>
      </c>
      <c r="D6795" s="330" t="s">
        <v>16741</v>
      </c>
      <c r="E6795" s="330" t="s">
        <v>4634</v>
      </c>
      <c r="F6795" s="331">
        <v>0.21</v>
      </c>
      <c r="G6795" s="332">
        <v>791</v>
      </c>
      <c r="H6795" s="333">
        <v>958</v>
      </c>
    </row>
    <row r="6796" spans="1:8">
      <c r="A6796" s="317">
        <v>1617000293</v>
      </c>
      <c r="B6796" s="330" t="s">
        <v>51159</v>
      </c>
      <c r="C6796" s="330" t="s">
        <v>16742</v>
      </c>
      <c r="D6796" s="330" t="s">
        <v>16743</v>
      </c>
      <c r="E6796" s="330" t="s">
        <v>4634</v>
      </c>
      <c r="F6796" s="331">
        <v>0.21</v>
      </c>
      <c r="G6796" s="332">
        <v>2707</v>
      </c>
      <c r="H6796" s="333">
        <v>3276</v>
      </c>
    </row>
    <row r="6797" spans="1:8">
      <c r="A6797" s="317">
        <v>1617000294</v>
      </c>
      <c r="B6797" s="330" t="s">
        <v>51160</v>
      </c>
      <c r="C6797" s="330" t="s">
        <v>16744</v>
      </c>
      <c r="D6797" s="330" t="s">
        <v>16745</v>
      </c>
      <c r="E6797" s="330" t="s">
        <v>4623</v>
      </c>
      <c r="F6797" s="331">
        <v>0.21</v>
      </c>
      <c r="G6797" s="332">
        <v>28025</v>
      </c>
      <c r="H6797" s="333">
        <v>33911</v>
      </c>
    </row>
    <row r="6798" spans="1:8">
      <c r="A6798" s="317">
        <v>1617000297</v>
      </c>
      <c r="B6798" s="330" t="s">
        <v>51161</v>
      </c>
      <c r="C6798" s="330" t="s">
        <v>16746</v>
      </c>
      <c r="D6798" s="330" t="s">
        <v>16747</v>
      </c>
      <c r="E6798" s="330" t="s">
        <v>4634</v>
      </c>
      <c r="F6798" s="331">
        <v>0.21</v>
      </c>
      <c r="G6798" s="332">
        <v>1954</v>
      </c>
      <c r="H6798" s="333">
        <v>2365</v>
      </c>
    </row>
    <row r="6799" spans="1:8">
      <c r="A6799" s="317">
        <v>1617000298</v>
      </c>
      <c r="B6799" s="330" t="s">
        <v>51162</v>
      </c>
      <c r="C6799" s="330" t="s">
        <v>16748</v>
      </c>
      <c r="D6799" s="330" t="s">
        <v>16749</v>
      </c>
      <c r="E6799" s="330" t="s">
        <v>4634</v>
      </c>
      <c r="F6799" s="331">
        <v>0.21</v>
      </c>
      <c r="G6799" s="332">
        <v>1844</v>
      </c>
      <c r="H6799" s="333">
        <v>2232</v>
      </c>
    </row>
    <row r="6800" spans="1:8">
      <c r="A6800" s="317">
        <v>1617000303</v>
      </c>
      <c r="B6800" s="330" t="s">
        <v>51163</v>
      </c>
      <c r="C6800" s="330" t="s">
        <v>16750</v>
      </c>
      <c r="D6800" s="330" t="s">
        <v>16751</v>
      </c>
      <c r="E6800" s="330" t="s">
        <v>4623</v>
      </c>
      <c r="F6800" s="331">
        <v>0.21</v>
      </c>
      <c r="G6800" s="332">
        <v>16735</v>
      </c>
      <c r="H6800" s="333">
        <v>20250</v>
      </c>
    </row>
    <row r="6801" spans="1:8">
      <c r="A6801" s="317">
        <v>1617000313</v>
      </c>
      <c r="B6801" s="330" t="s">
        <v>51164</v>
      </c>
      <c r="C6801" s="330" t="s">
        <v>16752</v>
      </c>
      <c r="D6801" s="330" t="s">
        <v>16753</v>
      </c>
      <c r="E6801" s="330" t="s">
        <v>4634</v>
      </c>
      <c r="F6801" s="331">
        <v>0.21</v>
      </c>
      <c r="G6801" s="332">
        <v>8</v>
      </c>
      <c r="H6801" s="333">
        <v>10</v>
      </c>
    </row>
    <row r="6802" spans="1:8">
      <c r="A6802" s="317">
        <v>1617000314</v>
      </c>
      <c r="B6802" s="330" t="s">
        <v>51165</v>
      </c>
      <c r="C6802" s="330" t="s">
        <v>16754</v>
      </c>
      <c r="D6802" s="330" t="s">
        <v>16755</v>
      </c>
      <c r="E6802" s="330" t="s">
        <v>4634</v>
      </c>
      <c r="F6802" s="331">
        <v>0.21</v>
      </c>
      <c r="G6802" s="332">
        <v>15126</v>
      </c>
      <c r="H6802" s="333">
        <v>18303</v>
      </c>
    </row>
    <row r="6803" spans="1:8">
      <c r="A6803" s="317">
        <v>1617000315</v>
      </c>
      <c r="B6803" s="330" t="s">
        <v>51166</v>
      </c>
      <c r="C6803" s="330" t="s">
        <v>16756</v>
      </c>
      <c r="D6803" s="330" t="s">
        <v>16757</v>
      </c>
      <c r="E6803" s="330" t="s">
        <v>37248</v>
      </c>
      <c r="F6803" s="331">
        <v>0.21</v>
      </c>
      <c r="G6803" s="332">
        <v>79662</v>
      </c>
      <c r="H6803" s="333">
        <v>96392</v>
      </c>
    </row>
    <row r="6804" spans="1:8">
      <c r="A6804" s="317">
        <v>1617000316</v>
      </c>
      <c r="B6804" s="330" t="s">
        <v>51167</v>
      </c>
      <c r="C6804" s="330" t="s">
        <v>16758</v>
      </c>
      <c r="D6804" s="330" t="s">
        <v>16759</v>
      </c>
      <c r="E6804" s="330" t="s">
        <v>4634</v>
      </c>
      <c r="F6804" s="331">
        <v>0.21</v>
      </c>
      <c r="G6804" s="332">
        <v>1411</v>
      </c>
      <c r="H6804" s="333">
        <v>1708</v>
      </c>
    </row>
    <row r="6805" spans="1:8">
      <c r="A6805" s="317">
        <v>1617000319</v>
      </c>
      <c r="B6805" s="330" t="s">
        <v>51168</v>
      </c>
      <c r="C6805" s="330" t="s">
        <v>16760</v>
      </c>
      <c r="D6805" s="330" t="s">
        <v>16761</v>
      </c>
      <c r="E6805" s="330" t="s">
        <v>4634</v>
      </c>
      <c r="F6805" s="331">
        <v>0.21</v>
      </c>
      <c r="G6805" s="332">
        <v>18339</v>
      </c>
      <c r="H6805" s="333">
        <v>22191</v>
      </c>
    </row>
    <row r="6806" spans="1:8">
      <c r="A6806" s="317">
        <v>1617000320</v>
      </c>
      <c r="B6806" s="330" t="s">
        <v>51169</v>
      </c>
      <c r="C6806" s="330" t="s">
        <v>16762</v>
      </c>
      <c r="D6806" s="330" t="s">
        <v>16763</v>
      </c>
      <c r="E6806" s="330" t="s">
        <v>4634</v>
      </c>
      <c r="F6806" s="331">
        <v>0.21</v>
      </c>
      <c r="G6806" s="332">
        <v>7879</v>
      </c>
      <c r="H6806" s="333">
        <v>9534</v>
      </c>
    </row>
    <row r="6807" spans="1:8">
      <c r="A6807" s="317">
        <v>1617000321</v>
      </c>
      <c r="B6807" s="330" t="s">
        <v>51170</v>
      </c>
      <c r="C6807" s="330" t="s">
        <v>16764</v>
      </c>
      <c r="D6807" s="330" t="s">
        <v>16765</v>
      </c>
      <c r="E6807" s="330" t="s">
        <v>4634</v>
      </c>
      <c r="F6807" s="331">
        <v>0.21</v>
      </c>
      <c r="G6807" s="332">
        <v>367</v>
      </c>
      <c r="H6807" s="333">
        <v>445</v>
      </c>
    </row>
    <row r="6808" spans="1:8">
      <c r="A6808" s="317">
        <v>1617000322</v>
      </c>
      <c r="B6808" s="330" t="s">
        <v>51171</v>
      </c>
      <c r="C6808" s="330" t="s">
        <v>16766</v>
      </c>
      <c r="D6808" s="330" t="s">
        <v>16767</v>
      </c>
      <c r="E6808" s="330" t="s">
        <v>4623</v>
      </c>
      <c r="F6808" s="331">
        <v>0.21</v>
      </c>
      <c r="G6808" s="332">
        <v>3914</v>
      </c>
      <c r="H6808" s="333">
        <v>4736</v>
      </c>
    </row>
    <row r="6809" spans="1:8">
      <c r="A6809" s="317">
        <v>1617000324</v>
      </c>
      <c r="B6809" s="330" t="s">
        <v>51172</v>
      </c>
      <c r="C6809" s="330" t="s">
        <v>16768</v>
      </c>
      <c r="D6809" s="330" t="s">
        <v>16769</v>
      </c>
      <c r="E6809" s="330" t="s">
        <v>4634</v>
      </c>
      <c r="F6809" s="331">
        <v>0.21</v>
      </c>
      <c r="G6809" s="332">
        <v>9137</v>
      </c>
      <c r="H6809" s="333">
        <v>11056</v>
      </c>
    </row>
    <row r="6810" spans="1:8">
      <c r="A6810" s="317">
        <v>1617000325</v>
      </c>
      <c r="B6810" s="330" t="s">
        <v>51173</v>
      </c>
      <c r="C6810" s="330" t="s">
        <v>16770</v>
      </c>
      <c r="D6810" s="330" t="s">
        <v>16771</v>
      </c>
      <c r="E6810" s="330" t="s">
        <v>37248</v>
      </c>
      <c r="F6810" s="331">
        <v>0.21</v>
      </c>
      <c r="G6810" s="332">
        <v>65410</v>
      </c>
      <c r="H6810" s="333">
        <v>79147</v>
      </c>
    </row>
    <row r="6811" spans="1:8">
      <c r="A6811" s="317">
        <v>1617000326</v>
      </c>
      <c r="B6811" s="330" t="s">
        <v>51174</v>
      </c>
      <c r="C6811" s="330" t="s">
        <v>16772</v>
      </c>
      <c r="D6811" s="330" t="s">
        <v>16773</v>
      </c>
      <c r="E6811" s="330" t="s">
        <v>4634</v>
      </c>
      <c r="F6811" s="331">
        <v>0.21</v>
      </c>
      <c r="G6811" s="332">
        <v>16951</v>
      </c>
      <c r="H6811" s="333">
        <v>20511</v>
      </c>
    </row>
    <row r="6812" spans="1:8">
      <c r="A6812" s="317">
        <v>1617000332</v>
      </c>
      <c r="B6812" s="330" t="s">
        <v>51175</v>
      </c>
      <c r="C6812" s="330" t="s">
        <v>16774</v>
      </c>
      <c r="D6812" s="330" t="s">
        <v>16775</v>
      </c>
      <c r="E6812" s="330" t="s">
        <v>4634</v>
      </c>
      <c r="F6812" s="331">
        <v>0.21</v>
      </c>
      <c r="G6812" s="332">
        <v>24968</v>
      </c>
      <c r="H6812" s="333">
        <v>30212</v>
      </c>
    </row>
    <row r="6813" spans="1:8">
      <c r="A6813" s="317">
        <v>1617000337</v>
      </c>
      <c r="B6813" s="330" t="s">
        <v>51176</v>
      </c>
      <c r="C6813" s="330" t="s">
        <v>16776</v>
      </c>
      <c r="D6813" s="330" t="s">
        <v>16777</v>
      </c>
      <c r="E6813" s="330" t="s">
        <v>4634</v>
      </c>
      <c r="F6813" s="331">
        <v>0.21</v>
      </c>
      <c r="G6813" s="332">
        <v>1371</v>
      </c>
      <c r="H6813" s="333">
        <v>1659</v>
      </c>
    </row>
    <row r="6814" spans="1:8">
      <c r="A6814" s="317">
        <v>1617000338</v>
      </c>
      <c r="B6814" s="330" t="s">
        <v>51177</v>
      </c>
      <c r="C6814" s="330" t="s">
        <v>16778</v>
      </c>
      <c r="D6814" s="330" t="s">
        <v>16779</v>
      </c>
      <c r="E6814" s="330" t="s">
        <v>4819</v>
      </c>
      <c r="F6814" s="331">
        <v>0.21</v>
      </c>
      <c r="G6814" s="332">
        <v>23741</v>
      </c>
      <c r="H6814" s="333">
        <v>28727</v>
      </c>
    </row>
    <row r="6815" spans="1:8">
      <c r="A6815" s="317">
        <v>1617000343</v>
      </c>
      <c r="B6815" s="330" t="s">
        <v>51178</v>
      </c>
      <c r="C6815" s="330" t="s">
        <v>16780</v>
      </c>
      <c r="D6815" s="330" t="s">
        <v>16781</v>
      </c>
      <c r="E6815" s="330" t="s">
        <v>37248</v>
      </c>
      <c r="F6815" s="331">
        <v>0.21</v>
      </c>
      <c r="G6815" s="332">
        <v>7685</v>
      </c>
      <c r="H6815" s="333">
        <v>9299</v>
      </c>
    </row>
    <row r="6816" spans="1:8">
      <c r="A6816" s="317">
        <v>1617000345</v>
      </c>
      <c r="B6816" s="330" t="s">
        <v>51179</v>
      </c>
      <c r="C6816" s="330" t="s">
        <v>16782</v>
      </c>
      <c r="D6816" s="330" t="s">
        <v>16783</v>
      </c>
      <c r="E6816" s="330" t="s">
        <v>4634</v>
      </c>
      <c r="F6816" s="331">
        <v>0.21</v>
      </c>
      <c r="G6816" s="332">
        <v>81902</v>
      </c>
      <c r="H6816" s="333">
        <v>99102</v>
      </c>
    </row>
    <row r="6817" spans="1:8">
      <c r="A6817" s="317">
        <v>1617000348</v>
      </c>
      <c r="B6817" s="330" t="s">
        <v>51180</v>
      </c>
      <c r="C6817" s="330" t="s">
        <v>16784</v>
      </c>
      <c r="D6817" s="330" t="s">
        <v>16785</v>
      </c>
      <c r="E6817" s="330" t="s">
        <v>37248</v>
      </c>
      <c r="F6817" s="331">
        <v>0.21</v>
      </c>
      <c r="G6817" s="332">
        <v>19305</v>
      </c>
      <c r="H6817" s="333">
        <v>23360</v>
      </c>
    </row>
    <row r="6818" spans="1:8">
      <c r="A6818" s="317">
        <v>1617000349</v>
      </c>
      <c r="B6818" s="330" t="s">
        <v>51181</v>
      </c>
      <c r="C6818" s="330" t="s">
        <v>16786</v>
      </c>
      <c r="D6818" s="330" t="s">
        <v>16787</v>
      </c>
      <c r="E6818" s="330" t="s">
        <v>4634</v>
      </c>
      <c r="F6818" s="331">
        <v>0.21</v>
      </c>
      <c r="G6818" s="332">
        <v>13366</v>
      </c>
      <c r="H6818" s="333">
        <v>16173</v>
      </c>
    </row>
    <row r="6819" spans="1:8">
      <c r="A6819" s="317">
        <v>1617000357</v>
      </c>
      <c r="B6819" s="330" t="s">
        <v>51182</v>
      </c>
      <c r="C6819" s="330" t="s">
        <v>16788</v>
      </c>
      <c r="D6819" s="330" t="s">
        <v>16789</v>
      </c>
      <c r="E6819" s="330" t="s">
        <v>4634</v>
      </c>
      <c r="F6819" s="331">
        <v>0.21</v>
      </c>
      <c r="G6819" s="332">
        <v>35641</v>
      </c>
      <c r="H6819" s="333">
        <v>43126</v>
      </c>
    </row>
    <row r="6820" spans="1:8">
      <c r="A6820" s="317">
        <v>1617000361</v>
      </c>
      <c r="B6820" s="330" t="s">
        <v>51183</v>
      </c>
      <c r="C6820" s="330" t="s">
        <v>16790</v>
      </c>
      <c r="D6820" s="330" t="s">
        <v>16791</v>
      </c>
      <c r="E6820" s="330" t="s">
        <v>4634</v>
      </c>
      <c r="F6820" s="331">
        <v>0.21</v>
      </c>
      <c r="G6820" s="332">
        <v>811</v>
      </c>
      <c r="H6820" s="333">
        <v>982</v>
      </c>
    </row>
    <row r="6821" spans="1:8">
      <c r="A6821" s="317">
        <v>1617000362</v>
      </c>
      <c r="B6821" s="330" t="s">
        <v>51184</v>
      </c>
      <c r="C6821" s="330" t="s">
        <v>16792</v>
      </c>
      <c r="D6821" s="330" t="s">
        <v>16793</v>
      </c>
      <c r="E6821" s="330" t="s">
        <v>4634</v>
      </c>
      <c r="F6821" s="331">
        <v>0.21</v>
      </c>
      <c r="G6821" s="332">
        <v>8476</v>
      </c>
      <c r="H6821" s="333">
        <v>10256</v>
      </c>
    </row>
    <row r="6822" spans="1:8">
      <c r="A6822" s="317">
        <v>1617000375</v>
      </c>
      <c r="B6822" s="330" t="s">
        <v>51185</v>
      </c>
      <c r="C6822" s="330" t="s">
        <v>16794</v>
      </c>
      <c r="D6822" s="330" t="s">
        <v>16795</v>
      </c>
      <c r="E6822" s="330" t="s">
        <v>4634</v>
      </c>
      <c r="F6822" s="331">
        <v>0.21</v>
      </c>
      <c r="G6822" s="332">
        <v>13116</v>
      </c>
      <c r="H6822" s="333">
        <v>15871</v>
      </c>
    </row>
    <row r="6823" spans="1:8">
      <c r="A6823" s="317">
        <v>1617000376</v>
      </c>
      <c r="B6823" s="330" t="s">
        <v>51186</v>
      </c>
      <c r="C6823" s="330" t="s">
        <v>16796</v>
      </c>
      <c r="D6823" s="330" t="s">
        <v>16797</v>
      </c>
      <c r="E6823" s="330" t="s">
        <v>4819</v>
      </c>
      <c r="F6823" s="331">
        <v>0.21</v>
      </c>
      <c r="G6823" s="332">
        <v>40999</v>
      </c>
      <c r="H6823" s="333">
        <v>49609</v>
      </c>
    </row>
    <row r="6824" spans="1:8">
      <c r="A6824" s="317">
        <v>1617000379</v>
      </c>
      <c r="B6824" s="330" t="s">
        <v>51187</v>
      </c>
      <c r="C6824" s="330" t="s">
        <v>16798</v>
      </c>
      <c r="D6824" s="330" t="s">
        <v>16799</v>
      </c>
      <c r="E6824" s="330" t="s">
        <v>4634</v>
      </c>
      <c r="F6824" s="331">
        <v>0.21</v>
      </c>
      <c r="G6824" s="332">
        <v>2270</v>
      </c>
      <c r="H6824" s="333">
        <v>2747</v>
      </c>
    </row>
    <row r="6825" spans="1:8">
      <c r="A6825" s="317">
        <v>1617000380</v>
      </c>
      <c r="B6825" s="330" t="s">
        <v>51188</v>
      </c>
      <c r="C6825" s="330" t="s">
        <v>16800</v>
      </c>
      <c r="D6825" s="330" t="s">
        <v>16799</v>
      </c>
      <c r="E6825" s="330" t="s">
        <v>4634</v>
      </c>
      <c r="F6825" s="331">
        <v>0.21</v>
      </c>
      <c r="G6825" s="332">
        <v>2197</v>
      </c>
      <c r="H6825" s="333">
        <v>2659</v>
      </c>
    </row>
    <row r="6826" spans="1:8">
      <c r="A6826" s="317">
        <v>1617000382</v>
      </c>
      <c r="B6826" s="330" t="s">
        <v>51189</v>
      </c>
      <c r="C6826" s="330" t="s">
        <v>16801</v>
      </c>
      <c r="D6826" s="330" t="s">
        <v>16802</v>
      </c>
      <c r="E6826" s="330" t="s">
        <v>4634</v>
      </c>
      <c r="F6826" s="331">
        <v>0.21</v>
      </c>
      <c r="G6826" s="332">
        <v>12789</v>
      </c>
      <c r="H6826" s="333">
        <v>15475</v>
      </c>
    </row>
    <row r="6827" spans="1:8">
      <c r="A6827" s="317">
        <v>1617000383</v>
      </c>
      <c r="B6827" s="330" t="s">
        <v>51190</v>
      </c>
      <c r="C6827" s="330" t="s">
        <v>16803</v>
      </c>
      <c r="D6827" s="330" t="s">
        <v>16804</v>
      </c>
      <c r="E6827" s="330" t="s">
        <v>37248</v>
      </c>
      <c r="F6827" s="331">
        <v>0.21</v>
      </c>
      <c r="G6827" s="332">
        <v>34623</v>
      </c>
      <c r="H6827" s="333">
        <v>41894</v>
      </c>
    </row>
    <row r="6828" spans="1:8">
      <c r="A6828" s="317">
        <v>1617000385</v>
      </c>
      <c r="B6828" s="330" t="s">
        <v>51191</v>
      </c>
      <c r="C6828" s="330" t="s">
        <v>16805</v>
      </c>
      <c r="D6828" s="330" t="s">
        <v>16806</v>
      </c>
      <c r="E6828" s="330" t="s">
        <v>4634</v>
      </c>
      <c r="F6828" s="331">
        <v>0.21</v>
      </c>
      <c r="G6828" s="332">
        <v>42872</v>
      </c>
      <c r="H6828" s="333">
        <v>51876</v>
      </c>
    </row>
    <row r="6829" spans="1:8">
      <c r="A6829" s="317">
        <v>1617000392</v>
      </c>
      <c r="B6829" s="330" t="s">
        <v>51192</v>
      </c>
      <c r="C6829" s="330" t="s">
        <v>16807</v>
      </c>
      <c r="D6829" s="330" t="s">
        <v>16808</v>
      </c>
      <c r="E6829" s="330" t="s">
        <v>4819</v>
      </c>
      <c r="F6829" s="331">
        <v>0.21</v>
      </c>
      <c r="G6829" s="332">
        <v>19820</v>
      </c>
      <c r="H6829" s="333">
        <v>23983</v>
      </c>
    </row>
    <row r="6830" spans="1:8">
      <c r="A6830" s="317">
        <v>1617000403</v>
      </c>
      <c r="B6830" s="330" t="s">
        <v>51193</v>
      </c>
      <c r="C6830" s="330" t="s">
        <v>16809</v>
      </c>
      <c r="D6830" s="330" t="s">
        <v>16810</v>
      </c>
      <c r="E6830" s="330" t="s">
        <v>37248</v>
      </c>
      <c r="F6830" s="331">
        <v>0.21</v>
      </c>
      <c r="G6830" s="332">
        <v>31000</v>
      </c>
      <c r="H6830" s="333">
        <v>37510</v>
      </c>
    </row>
    <row r="6831" spans="1:8">
      <c r="A6831" s="317">
        <v>1617000406</v>
      </c>
      <c r="B6831" s="330" t="s">
        <v>51194</v>
      </c>
      <c r="C6831" s="330" t="s">
        <v>16811</v>
      </c>
      <c r="D6831" s="330" t="s">
        <v>16812</v>
      </c>
      <c r="E6831" s="330" t="s">
        <v>37248</v>
      </c>
      <c r="F6831" s="331">
        <v>0.21</v>
      </c>
      <c r="G6831" s="332">
        <v>6466</v>
      </c>
      <c r="H6831" s="333">
        <v>7824</v>
      </c>
    </row>
    <row r="6832" spans="1:8">
      <c r="A6832" s="317">
        <v>1617000407</v>
      </c>
      <c r="B6832" s="330" t="s">
        <v>51195</v>
      </c>
      <c r="C6832" s="330" t="s">
        <v>16813</v>
      </c>
      <c r="D6832" s="330" t="s">
        <v>16814</v>
      </c>
      <c r="E6832" s="330" t="s">
        <v>4634</v>
      </c>
      <c r="F6832" s="331">
        <v>0.21</v>
      </c>
      <c r="G6832" s="332">
        <v>8307</v>
      </c>
      <c r="H6832" s="333">
        <v>10052</v>
      </c>
    </row>
    <row r="6833" spans="1:8">
      <c r="A6833" s="317">
        <v>1617000408</v>
      </c>
      <c r="B6833" s="330" t="s">
        <v>51196</v>
      </c>
      <c r="C6833" s="330" t="s">
        <v>16815</v>
      </c>
      <c r="D6833" s="330" t="s">
        <v>16816</v>
      </c>
      <c r="E6833" s="330" t="s">
        <v>4634</v>
      </c>
      <c r="F6833" s="331">
        <v>0.21</v>
      </c>
      <c r="G6833" s="332">
        <v>24295</v>
      </c>
      <c r="H6833" s="333">
        <v>29397</v>
      </c>
    </row>
    <row r="6834" spans="1:8">
      <c r="A6834" s="317">
        <v>1617000409</v>
      </c>
      <c r="B6834" s="330" t="s">
        <v>51197</v>
      </c>
      <c r="C6834" s="330" t="s">
        <v>16817</v>
      </c>
      <c r="D6834" s="330" t="s">
        <v>16818</v>
      </c>
      <c r="E6834" s="330" t="s">
        <v>4634</v>
      </c>
      <c r="F6834" s="331">
        <v>0.21</v>
      </c>
      <c r="G6834" s="332">
        <v>27607</v>
      </c>
      <c r="H6834" s="333">
        <v>33405</v>
      </c>
    </row>
    <row r="6835" spans="1:8">
      <c r="A6835" s="317">
        <v>1617000412</v>
      </c>
      <c r="B6835" s="330" t="s">
        <v>51198</v>
      </c>
      <c r="C6835" s="330" t="s">
        <v>16819</v>
      </c>
      <c r="D6835" s="330" t="s">
        <v>16820</v>
      </c>
      <c r="E6835" s="330" t="s">
        <v>4634</v>
      </c>
      <c r="F6835" s="331">
        <v>0.21</v>
      </c>
      <c r="G6835" s="332">
        <v>2232</v>
      </c>
      <c r="H6835" s="333">
        <v>2701</v>
      </c>
    </row>
    <row r="6836" spans="1:8">
      <c r="A6836" s="317">
        <v>1617000417</v>
      </c>
      <c r="B6836" s="330" t="s">
        <v>51199</v>
      </c>
      <c r="C6836" s="330" t="s">
        <v>16821</v>
      </c>
      <c r="D6836" s="330" t="s">
        <v>16361</v>
      </c>
      <c r="E6836" s="330" t="s">
        <v>4634</v>
      </c>
      <c r="F6836" s="331">
        <v>0.21</v>
      </c>
      <c r="G6836" s="332">
        <v>43000</v>
      </c>
      <c r="H6836" s="333">
        <v>52030</v>
      </c>
    </row>
    <row r="6837" spans="1:8">
      <c r="A6837" s="317">
        <v>1617000418</v>
      </c>
      <c r="B6837" s="330" t="s">
        <v>51200</v>
      </c>
      <c r="C6837" s="330" t="s">
        <v>16822</v>
      </c>
      <c r="D6837" s="330" t="s">
        <v>16823</v>
      </c>
      <c r="E6837" s="330" t="s">
        <v>37248</v>
      </c>
      <c r="F6837" s="331">
        <v>0.21</v>
      </c>
      <c r="G6837" s="332">
        <v>17620</v>
      </c>
      <c r="H6837" s="333">
        <v>21321</v>
      </c>
    </row>
    <row r="6838" spans="1:8">
      <c r="A6838" s="317" t="s">
        <v>16824</v>
      </c>
      <c r="B6838" s="330" t="s">
        <v>16824</v>
      </c>
      <c r="C6838" s="330" t="s">
        <v>16825</v>
      </c>
      <c r="D6838" s="330" t="s">
        <v>16826</v>
      </c>
      <c r="E6838" s="330" t="s">
        <v>4634</v>
      </c>
      <c r="F6838" s="331">
        <v>0.21</v>
      </c>
      <c r="G6838" s="332">
        <v>7854</v>
      </c>
      <c r="H6838" s="333">
        <v>9504</v>
      </c>
    </row>
    <row r="6839" spans="1:8">
      <c r="A6839" s="317">
        <v>1617000428</v>
      </c>
      <c r="B6839" s="330" t="s">
        <v>51201</v>
      </c>
      <c r="C6839" s="330" t="s">
        <v>16827</v>
      </c>
      <c r="D6839" s="330" t="s">
        <v>16828</v>
      </c>
      <c r="E6839" s="330" t="s">
        <v>37248</v>
      </c>
      <c r="F6839" s="331">
        <v>0.21</v>
      </c>
      <c r="G6839" s="332">
        <v>395144</v>
      </c>
      <c r="H6839" s="333">
        <v>478125</v>
      </c>
    </row>
    <row r="6840" spans="1:8">
      <c r="A6840" s="317">
        <v>1617000429</v>
      </c>
      <c r="B6840" s="330" t="s">
        <v>51202</v>
      </c>
      <c r="C6840" s="330" t="s">
        <v>16829</v>
      </c>
      <c r="D6840" s="330" t="s">
        <v>16830</v>
      </c>
      <c r="E6840" s="330" t="s">
        <v>37248</v>
      </c>
      <c r="F6840" s="331">
        <v>0.21</v>
      </c>
      <c r="G6840" s="332">
        <v>14100</v>
      </c>
      <c r="H6840" s="333">
        <v>17061</v>
      </c>
    </row>
    <row r="6841" spans="1:8">
      <c r="A6841" s="317">
        <v>1617000430</v>
      </c>
      <c r="B6841" s="330" t="s">
        <v>51203</v>
      </c>
      <c r="C6841" s="330" t="s">
        <v>16831</v>
      </c>
      <c r="D6841" s="330" t="s">
        <v>16832</v>
      </c>
      <c r="E6841" s="330" t="s">
        <v>37248</v>
      </c>
      <c r="F6841" s="331">
        <v>0.21</v>
      </c>
      <c r="G6841" s="332">
        <v>54530</v>
      </c>
      <c r="H6841" s="333">
        <v>65982</v>
      </c>
    </row>
    <row r="6842" spans="1:8">
      <c r="A6842" s="317" t="s">
        <v>16833</v>
      </c>
      <c r="B6842" s="330" t="s">
        <v>16833</v>
      </c>
      <c r="C6842" s="330" t="s">
        <v>16834</v>
      </c>
      <c r="D6842" s="330" t="s">
        <v>16835</v>
      </c>
      <c r="E6842" s="330" t="s">
        <v>4634</v>
      </c>
      <c r="F6842" s="331">
        <v>0.21</v>
      </c>
      <c r="G6842" s="332">
        <v>3022</v>
      </c>
      <c r="H6842" s="333">
        <v>3657</v>
      </c>
    </row>
    <row r="6843" spans="1:8">
      <c r="A6843" s="317" t="s">
        <v>16836</v>
      </c>
      <c r="B6843" s="330" t="s">
        <v>16836</v>
      </c>
      <c r="C6843" s="330" t="s">
        <v>16837</v>
      </c>
      <c r="D6843" s="330" t="s">
        <v>16838</v>
      </c>
      <c r="E6843" s="330" t="s">
        <v>4634</v>
      </c>
      <c r="F6843" s="331">
        <v>0.21</v>
      </c>
      <c r="G6843" s="332">
        <v>938</v>
      </c>
      <c r="H6843" s="333">
        <v>1135</v>
      </c>
    </row>
    <row r="6844" spans="1:8">
      <c r="A6844" s="317">
        <v>1617000432</v>
      </c>
      <c r="B6844" s="330" t="s">
        <v>51204</v>
      </c>
      <c r="C6844" s="330" t="s">
        <v>16839</v>
      </c>
      <c r="D6844" s="330" t="s">
        <v>16840</v>
      </c>
      <c r="E6844" s="330" t="s">
        <v>37248</v>
      </c>
      <c r="F6844" s="331">
        <v>0.21</v>
      </c>
      <c r="G6844" s="332">
        <v>277268</v>
      </c>
      <c r="H6844" s="333">
        <v>335495</v>
      </c>
    </row>
    <row r="6845" spans="1:8">
      <c r="A6845" s="317">
        <v>1617000433</v>
      </c>
      <c r="B6845" s="330" t="s">
        <v>51205</v>
      </c>
      <c r="C6845" s="330" t="s">
        <v>16841</v>
      </c>
      <c r="D6845" s="330" t="s">
        <v>16842</v>
      </c>
      <c r="E6845" s="330" t="s">
        <v>4634</v>
      </c>
      <c r="F6845" s="331">
        <v>0.21</v>
      </c>
      <c r="G6845" s="332">
        <v>261932</v>
      </c>
      <c r="H6845" s="333">
        <v>316938</v>
      </c>
    </row>
    <row r="6846" spans="1:8">
      <c r="A6846" s="317">
        <v>1617000442</v>
      </c>
      <c r="B6846" s="330" t="s">
        <v>51206</v>
      </c>
      <c r="C6846" s="330" t="s">
        <v>16843</v>
      </c>
      <c r="D6846" s="330" t="s">
        <v>16844</v>
      </c>
      <c r="E6846" s="330" t="s">
        <v>37248</v>
      </c>
      <c r="F6846" s="331">
        <v>0.21</v>
      </c>
      <c r="G6846" s="332">
        <v>37101</v>
      </c>
      <c r="H6846" s="333">
        <v>44893</v>
      </c>
    </row>
    <row r="6847" spans="1:8">
      <c r="A6847" s="317">
        <v>1617000452</v>
      </c>
      <c r="B6847" s="330" t="s">
        <v>51207</v>
      </c>
      <c r="C6847" s="330" t="s">
        <v>16845</v>
      </c>
      <c r="D6847" s="330" t="s">
        <v>16846</v>
      </c>
      <c r="E6847" s="330" t="s">
        <v>37248</v>
      </c>
      <c r="F6847" s="331">
        <v>0.21</v>
      </c>
      <c r="G6847" s="332">
        <v>57163</v>
      </c>
      <c r="H6847" s="333">
        <v>69168</v>
      </c>
    </row>
    <row r="6848" spans="1:8">
      <c r="A6848" s="317">
        <v>1617000459</v>
      </c>
      <c r="B6848" s="330" t="s">
        <v>51208</v>
      </c>
      <c r="C6848" s="330" t="s">
        <v>16847</v>
      </c>
      <c r="D6848" s="330" t="s">
        <v>16848</v>
      </c>
      <c r="E6848" s="330" t="s">
        <v>4634</v>
      </c>
      <c r="F6848" s="331">
        <v>0.21</v>
      </c>
      <c r="G6848" s="332">
        <v>2768</v>
      </c>
      <c r="H6848" s="333">
        <v>3350</v>
      </c>
    </row>
    <row r="6849" spans="1:8">
      <c r="A6849" s="317">
        <v>1617000460</v>
      </c>
      <c r="B6849" s="330" t="s">
        <v>51209</v>
      </c>
      <c r="C6849" s="330" t="s">
        <v>16849</v>
      </c>
      <c r="D6849" s="330" t="s">
        <v>16850</v>
      </c>
      <c r="E6849" s="330" t="s">
        <v>37248</v>
      </c>
      <c r="F6849" s="331">
        <v>0.21</v>
      </c>
      <c r="G6849" s="332">
        <v>32187</v>
      </c>
      <c r="H6849" s="333">
        <v>38947</v>
      </c>
    </row>
    <row r="6850" spans="1:8">
      <c r="A6850" s="317">
        <v>1617000463</v>
      </c>
      <c r="B6850" s="330" t="s">
        <v>51210</v>
      </c>
      <c r="C6850" s="330" t="s">
        <v>16851</v>
      </c>
      <c r="D6850" s="330" t="s">
        <v>16852</v>
      </c>
      <c r="E6850" s="330" t="s">
        <v>37248</v>
      </c>
      <c r="F6850" s="331">
        <v>0.21</v>
      </c>
      <c r="G6850" s="332">
        <v>62834</v>
      </c>
      <c r="H6850" s="333">
        <v>76030</v>
      </c>
    </row>
    <row r="6851" spans="1:8">
      <c r="A6851" s="317">
        <v>1617000464</v>
      </c>
      <c r="B6851" s="330" t="s">
        <v>51211</v>
      </c>
      <c r="C6851" s="330" t="s">
        <v>16853</v>
      </c>
      <c r="D6851" s="330" t="s">
        <v>16852</v>
      </c>
      <c r="E6851" s="330" t="s">
        <v>4634</v>
      </c>
      <c r="F6851" s="331">
        <v>0.21</v>
      </c>
      <c r="G6851" s="332">
        <v>74645</v>
      </c>
      <c r="H6851" s="333">
        <v>90321</v>
      </c>
    </row>
    <row r="6852" spans="1:8">
      <c r="A6852" s="317">
        <v>1617000465</v>
      </c>
      <c r="B6852" s="330" t="s">
        <v>51212</v>
      </c>
      <c r="C6852" s="330" t="s">
        <v>16854</v>
      </c>
      <c r="D6852" s="330" t="s">
        <v>16855</v>
      </c>
      <c r="E6852" s="330" t="s">
        <v>37248</v>
      </c>
      <c r="F6852" s="331">
        <v>0.21</v>
      </c>
      <c r="G6852" s="332">
        <v>109167</v>
      </c>
      <c r="H6852" s="333">
        <v>132093</v>
      </c>
    </row>
    <row r="6853" spans="1:8">
      <c r="A6853" s="317">
        <v>1617000473</v>
      </c>
      <c r="B6853" s="330" t="s">
        <v>51213</v>
      </c>
      <c r="C6853" s="330" t="s">
        <v>16856</v>
      </c>
      <c r="D6853" s="330" t="s">
        <v>16857</v>
      </c>
      <c r="E6853" s="330" t="s">
        <v>4819</v>
      </c>
      <c r="F6853" s="331">
        <v>0.21</v>
      </c>
      <c r="G6853" s="332">
        <v>196292</v>
      </c>
      <c r="H6853" s="333">
        <v>237514</v>
      </c>
    </row>
    <row r="6854" spans="1:8">
      <c r="A6854" s="317">
        <v>1617000474</v>
      </c>
      <c r="B6854" s="330" t="s">
        <v>51214</v>
      </c>
      <c r="C6854" s="330" t="s">
        <v>16858</v>
      </c>
      <c r="D6854" s="330" t="s">
        <v>16859</v>
      </c>
      <c r="E6854" s="330" t="s">
        <v>4634</v>
      </c>
      <c r="F6854" s="331">
        <v>0.21</v>
      </c>
      <c r="G6854" s="332">
        <v>57863</v>
      </c>
      <c r="H6854" s="333">
        <v>70015</v>
      </c>
    </row>
    <row r="6855" spans="1:8">
      <c r="A6855" s="317">
        <v>1617000475</v>
      </c>
      <c r="B6855" s="330" t="s">
        <v>51215</v>
      </c>
      <c r="C6855" s="330" t="s">
        <v>16860</v>
      </c>
      <c r="D6855" s="330" t="s">
        <v>16861</v>
      </c>
      <c r="E6855" s="330" t="s">
        <v>37248</v>
      </c>
      <c r="F6855" s="331">
        <v>0.21</v>
      </c>
      <c r="G6855" s="332">
        <v>2339</v>
      </c>
      <c r="H6855" s="333">
        <v>2831</v>
      </c>
    </row>
    <row r="6856" spans="1:8">
      <c r="A6856" s="317">
        <v>1617000477</v>
      </c>
      <c r="B6856" s="330" t="s">
        <v>51216</v>
      </c>
      <c r="C6856" s="330" t="s">
        <v>16862</v>
      </c>
      <c r="D6856" s="330" t="s">
        <v>16863</v>
      </c>
      <c r="E6856" s="330" t="s">
        <v>37248</v>
      </c>
      <c r="F6856" s="331">
        <v>0.21</v>
      </c>
      <c r="G6856" s="332">
        <v>22298</v>
      </c>
      <c r="H6856" s="333">
        <v>26981</v>
      </c>
    </row>
    <row r="6857" spans="1:8">
      <c r="A6857" s="317">
        <v>1617000478</v>
      </c>
      <c r="B6857" s="330" t="s">
        <v>51217</v>
      </c>
      <c r="C6857" s="330" t="s">
        <v>16864</v>
      </c>
      <c r="D6857" s="330" t="s">
        <v>7702</v>
      </c>
      <c r="E6857" s="330" t="s">
        <v>37248</v>
      </c>
      <c r="F6857" s="331">
        <v>0.21</v>
      </c>
      <c r="G6857" s="332">
        <v>7687</v>
      </c>
      <c r="H6857" s="333">
        <v>9302</v>
      </c>
    </row>
    <row r="6858" spans="1:8">
      <c r="A6858" s="317">
        <v>1617000480</v>
      </c>
      <c r="B6858" s="330" t="s">
        <v>51218</v>
      </c>
      <c r="C6858" s="330" t="s">
        <v>16865</v>
      </c>
      <c r="D6858" s="330" t="s">
        <v>16866</v>
      </c>
      <c r="E6858" s="330" t="s">
        <v>37248</v>
      </c>
      <c r="F6858" s="331">
        <v>0.21</v>
      </c>
      <c r="G6858" s="332">
        <v>21297</v>
      </c>
      <c r="H6858" s="333">
        <v>25770</v>
      </c>
    </row>
    <row r="6859" spans="1:8">
      <c r="A6859" s="317">
        <v>1617000481</v>
      </c>
      <c r="B6859" s="330" t="s">
        <v>51219</v>
      </c>
      <c r="C6859" s="330" t="s">
        <v>16867</v>
      </c>
      <c r="D6859" s="330" t="s">
        <v>16866</v>
      </c>
      <c r="E6859" s="330" t="s">
        <v>37248</v>
      </c>
      <c r="F6859" s="331">
        <v>0.21</v>
      </c>
      <c r="G6859" s="332">
        <v>43535</v>
      </c>
      <c r="H6859" s="333">
        <v>52678</v>
      </c>
    </row>
    <row r="6860" spans="1:8">
      <c r="A6860" s="317">
        <v>1617000483</v>
      </c>
      <c r="B6860" s="330" t="s">
        <v>51220</v>
      </c>
      <c r="C6860" s="330" t="s">
        <v>16868</v>
      </c>
      <c r="D6860" s="330" t="s">
        <v>5585</v>
      </c>
      <c r="E6860" s="330" t="s">
        <v>37248</v>
      </c>
      <c r="F6860" s="331">
        <v>0.21</v>
      </c>
      <c r="G6860" s="332">
        <v>5924</v>
      </c>
      <c r="H6860" s="333">
        <v>7169</v>
      </c>
    </row>
    <row r="6861" spans="1:8">
      <c r="A6861" s="317">
        <v>1617000488</v>
      </c>
      <c r="B6861" s="330" t="s">
        <v>51221</v>
      </c>
      <c r="C6861" s="330" t="s">
        <v>16869</v>
      </c>
      <c r="D6861" s="330" t="s">
        <v>16870</v>
      </c>
      <c r="E6861" s="330" t="s">
        <v>4634</v>
      </c>
      <c r="F6861" s="331">
        <v>0.21</v>
      </c>
      <c r="G6861" s="332">
        <v>177740</v>
      </c>
      <c r="H6861" s="333">
        <v>215066</v>
      </c>
    </row>
    <row r="6862" spans="1:8">
      <c r="A6862" s="317">
        <v>1617000489</v>
      </c>
      <c r="B6862" s="330" t="s">
        <v>51222</v>
      </c>
      <c r="C6862" s="330" t="s">
        <v>16871</v>
      </c>
      <c r="D6862" s="330" t="s">
        <v>16872</v>
      </c>
      <c r="E6862" s="330" t="s">
        <v>4819</v>
      </c>
      <c r="F6862" s="331">
        <v>0.21</v>
      </c>
      <c r="G6862" s="332">
        <v>175528</v>
      </c>
      <c r="H6862" s="333">
        <v>212389</v>
      </c>
    </row>
    <row r="6863" spans="1:8">
      <c r="A6863" s="317">
        <v>1617000490</v>
      </c>
      <c r="B6863" s="330" t="s">
        <v>51223</v>
      </c>
      <c r="C6863" s="330" t="s">
        <v>16873</v>
      </c>
      <c r="D6863" s="330" t="s">
        <v>16874</v>
      </c>
      <c r="E6863" s="330" t="s">
        <v>4634</v>
      </c>
      <c r="F6863" s="331">
        <v>0.21</v>
      </c>
      <c r="G6863" s="332">
        <v>752241</v>
      </c>
      <c r="H6863" s="333">
        <v>910212</v>
      </c>
    </row>
    <row r="6864" spans="1:8">
      <c r="A6864" s="317">
        <v>1617000491</v>
      </c>
      <c r="B6864" s="330" t="s">
        <v>51224</v>
      </c>
      <c r="C6864" s="330" t="s">
        <v>16875</v>
      </c>
      <c r="D6864" s="330" t="s">
        <v>16876</v>
      </c>
      <c r="E6864" s="330" t="s">
        <v>37248</v>
      </c>
      <c r="F6864" s="331">
        <v>0.21</v>
      </c>
      <c r="G6864" s="332">
        <v>117719</v>
      </c>
      <c r="H6864" s="333">
        <v>142440</v>
      </c>
    </row>
    <row r="6865" spans="1:8">
      <c r="A6865" s="317">
        <v>1617000492</v>
      </c>
      <c r="B6865" s="330" t="s">
        <v>51225</v>
      </c>
      <c r="C6865" s="330" t="s">
        <v>16877</v>
      </c>
      <c r="D6865" s="330" t="s">
        <v>16878</v>
      </c>
      <c r="E6865" s="330" t="s">
        <v>37248</v>
      </c>
      <c r="F6865" s="331">
        <v>0.21</v>
      </c>
      <c r="G6865" s="332">
        <v>276068</v>
      </c>
      <c r="H6865" s="333">
        <v>334043</v>
      </c>
    </row>
    <row r="6866" spans="1:8">
      <c r="A6866" s="317">
        <v>1617000493</v>
      </c>
      <c r="B6866" s="330" t="s">
        <v>51226</v>
      </c>
      <c r="C6866" s="330" t="s">
        <v>16879</v>
      </c>
      <c r="D6866" s="330" t="s">
        <v>16880</v>
      </c>
      <c r="E6866" s="330" t="s">
        <v>4634</v>
      </c>
      <c r="F6866" s="331">
        <v>0.21</v>
      </c>
      <c r="G6866" s="332">
        <v>24</v>
      </c>
      <c r="H6866" s="333">
        <v>30</v>
      </c>
    </row>
    <row r="6867" spans="1:8">
      <c r="A6867" s="317">
        <v>1617000494</v>
      </c>
      <c r="B6867" s="330" t="s">
        <v>51227</v>
      </c>
      <c r="C6867" s="330" t="s">
        <v>16881</v>
      </c>
      <c r="D6867" s="330" t="s">
        <v>16882</v>
      </c>
      <c r="E6867" s="330" t="s">
        <v>4634</v>
      </c>
      <c r="F6867" s="331">
        <v>0.21</v>
      </c>
      <c r="G6867" s="332">
        <v>24928</v>
      </c>
      <c r="H6867" s="333">
        <v>30163</v>
      </c>
    </row>
    <row r="6868" spans="1:8">
      <c r="A6868" s="317">
        <v>1617000495</v>
      </c>
      <c r="B6868" s="330" t="s">
        <v>51228</v>
      </c>
      <c r="C6868" s="330" t="s">
        <v>16883</v>
      </c>
      <c r="D6868" s="330" t="s">
        <v>7858</v>
      </c>
      <c r="E6868" s="330" t="s">
        <v>37248</v>
      </c>
      <c r="F6868" s="331">
        <v>0.21</v>
      </c>
      <c r="G6868" s="332">
        <v>81121</v>
      </c>
      <c r="H6868" s="333">
        <v>98157</v>
      </c>
    </row>
    <row r="6869" spans="1:8">
      <c r="A6869" s="317">
        <v>1617000497</v>
      </c>
      <c r="B6869" s="330" t="s">
        <v>51229</v>
      </c>
      <c r="C6869" s="330" t="s">
        <v>16884</v>
      </c>
      <c r="D6869" s="330" t="s">
        <v>16885</v>
      </c>
      <c r="E6869" s="330" t="s">
        <v>4634</v>
      </c>
      <c r="F6869" s="331">
        <v>0.21</v>
      </c>
      <c r="G6869" s="332">
        <v>14058</v>
      </c>
      <c r="H6869" s="333">
        <v>17011</v>
      </c>
    </row>
    <row r="6870" spans="1:8">
      <c r="A6870" s="317">
        <v>1617000499</v>
      </c>
      <c r="B6870" s="330" t="s">
        <v>51230</v>
      </c>
      <c r="C6870" s="330" t="s">
        <v>16886</v>
      </c>
      <c r="D6870" s="330" t="s">
        <v>16887</v>
      </c>
      <c r="E6870" s="330" t="s">
        <v>37248</v>
      </c>
      <c r="F6870" s="331">
        <v>0.21</v>
      </c>
      <c r="G6870" s="332">
        <v>378715</v>
      </c>
      <c r="H6870" s="333">
        <v>458246</v>
      </c>
    </row>
    <row r="6871" spans="1:8">
      <c r="A6871" s="317">
        <v>1617000500</v>
      </c>
      <c r="B6871" s="330" t="s">
        <v>51231</v>
      </c>
      <c r="C6871" s="330" t="s">
        <v>16888</v>
      </c>
      <c r="D6871" s="330" t="s">
        <v>16889</v>
      </c>
      <c r="E6871" s="330" t="s">
        <v>4819</v>
      </c>
      <c r="F6871" s="331">
        <v>0.21</v>
      </c>
      <c r="G6871" s="332">
        <v>63324</v>
      </c>
      <c r="H6871" s="333">
        <v>76623</v>
      </c>
    </row>
    <row r="6872" spans="1:8">
      <c r="A6872" s="317">
        <v>1617000511</v>
      </c>
      <c r="B6872" s="330" t="s">
        <v>51232</v>
      </c>
      <c r="C6872" s="330" t="s">
        <v>16890</v>
      </c>
      <c r="D6872" s="330" t="s">
        <v>16891</v>
      </c>
      <c r="E6872" s="330" t="s">
        <v>4634</v>
      </c>
      <c r="F6872" s="331">
        <v>0.21</v>
      </c>
      <c r="G6872" s="332">
        <v>24018</v>
      </c>
      <c r="H6872" s="333">
        <v>29062</v>
      </c>
    </row>
    <row r="6873" spans="1:8">
      <c r="A6873" s="317">
        <v>1617000516</v>
      </c>
      <c r="B6873" s="330" t="s">
        <v>51233</v>
      </c>
      <c r="C6873" s="330" t="s">
        <v>16892</v>
      </c>
      <c r="D6873" s="330" t="s">
        <v>10503</v>
      </c>
      <c r="E6873" s="330" t="s">
        <v>4634</v>
      </c>
      <c r="F6873" s="331">
        <v>0.21</v>
      </c>
      <c r="G6873" s="332">
        <v>84099</v>
      </c>
      <c r="H6873" s="333">
        <v>101760</v>
      </c>
    </row>
    <row r="6874" spans="1:8">
      <c r="A6874" s="317">
        <v>1617000517</v>
      </c>
      <c r="B6874" s="330" t="s">
        <v>51234</v>
      </c>
      <c r="C6874" s="330" t="s">
        <v>16893</v>
      </c>
      <c r="D6874" s="330" t="s">
        <v>16894</v>
      </c>
      <c r="E6874" s="330" t="s">
        <v>4819</v>
      </c>
      <c r="F6874" s="331">
        <v>0.21</v>
      </c>
      <c r="G6874" s="332">
        <v>125380</v>
      </c>
      <c r="H6874" s="333">
        <v>151710</v>
      </c>
    </row>
    <row r="6875" spans="1:8">
      <c r="A6875" s="317">
        <v>1617000523</v>
      </c>
      <c r="B6875" s="330" t="s">
        <v>51235</v>
      </c>
      <c r="C6875" s="330" t="s">
        <v>16895</v>
      </c>
      <c r="D6875" s="330" t="s">
        <v>16896</v>
      </c>
      <c r="E6875" s="330" t="s">
        <v>4819</v>
      </c>
      <c r="F6875" s="331">
        <v>0.21</v>
      </c>
      <c r="G6875" s="332">
        <v>54821</v>
      </c>
      <c r="H6875" s="333">
        <v>66334</v>
      </c>
    </row>
    <row r="6876" spans="1:8">
      <c r="A6876" s="317">
        <v>1617000524</v>
      </c>
      <c r="B6876" s="330" t="s">
        <v>51236</v>
      </c>
      <c r="C6876" s="330" t="s">
        <v>16897</v>
      </c>
      <c r="D6876" s="330" t="s">
        <v>16898</v>
      </c>
      <c r="E6876" s="330" t="s">
        <v>4819</v>
      </c>
      <c r="F6876" s="331">
        <v>0.21</v>
      </c>
      <c r="G6876" s="332">
        <v>88409</v>
      </c>
      <c r="H6876" s="333">
        <v>106975</v>
      </c>
    </row>
    <row r="6877" spans="1:8">
      <c r="A6877" s="317">
        <v>1617000526</v>
      </c>
      <c r="B6877" s="330" t="s">
        <v>51237</v>
      </c>
      <c r="C6877" s="330" t="s">
        <v>16899</v>
      </c>
      <c r="D6877" s="330" t="s">
        <v>16900</v>
      </c>
      <c r="E6877" s="330" t="s">
        <v>4634</v>
      </c>
      <c r="F6877" s="331">
        <v>0.21</v>
      </c>
      <c r="G6877" s="332">
        <v>6542</v>
      </c>
      <c r="H6877" s="333">
        <v>7916</v>
      </c>
    </row>
    <row r="6878" spans="1:8">
      <c r="A6878" s="317">
        <v>1617000527</v>
      </c>
      <c r="B6878" s="330" t="s">
        <v>51238</v>
      </c>
      <c r="C6878" s="330" t="s">
        <v>16901</v>
      </c>
      <c r="D6878" s="330" t="s">
        <v>16902</v>
      </c>
      <c r="E6878" s="330" t="s">
        <v>4634</v>
      </c>
      <c r="F6878" s="331">
        <v>0.21</v>
      </c>
      <c r="G6878" s="332">
        <v>33945</v>
      </c>
      <c r="H6878" s="333">
        <v>41074</v>
      </c>
    </row>
    <row r="6879" spans="1:8">
      <c r="A6879" s="317">
        <v>1617000528</v>
      </c>
      <c r="B6879" s="330" t="s">
        <v>51239</v>
      </c>
      <c r="C6879" s="330" t="s">
        <v>16903</v>
      </c>
      <c r="D6879" s="330" t="s">
        <v>16904</v>
      </c>
      <c r="E6879" s="330" t="s">
        <v>4634</v>
      </c>
      <c r="F6879" s="331">
        <v>0.21</v>
      </c>
      <c r="G6879" s="332">
        <v>13214</v>
      </c>
      <c r="H6879" s="333">
        <v>15989</v>
      </c>
    </row>
    <row r="6880" spans="1:8">
      <c r="A6880" s="317">
        <v>1617000529</v>
      </c>
      <c r="B6880" s="330" t="s">
        <v>51240</v>
      </c>
      <c r="C6880" s="330" t="s">
        <v>16905</v>
      </c>
      <c r="D6880" s="330" t="s">
        <v>16906</v>
      </c>
      <c r="E6880" s="330" t="s">
        <v>37248</v>
      </c>
      <c r="F6880" s="331">
        <v>0.21</v>
      </c>
      <c r="G6880" s="332">
        <v>14441</v>
      </c>
      <c r="H6880" s="333">
        <v>17474</v>
      </c>
    </row>
    <row r="6881" spans="1:8">
      <c r="A6881" s="317">
        <v>1617000530</v>
      </c>
      <c r="B6881" s="330" t="s">
        <v>51241</v>
      </c>
      <c r="C6881" s="330" t="s">
        <v>16907</v>
      </c>
      <c r="D6881" s="330" t="s">
        <v>16908</v>
      </c>
      <c r="E6881" s="330" t="s">
        <v>4634</v>
      </c>
      <c r="F6881" s="331">
        <v>0.21</v>
      </c>
      <c r="G6881" s="332">
        <v>11124</v>
      </c>
      <c r="H6881" s="333">
        <v>13461</v>
      </c>
    </row>
    <row r="6882" spans="1:8">
      <c r="A6882" s="317">
        <v>1617000531</v>
      </c>
      <c r="B6882" s="330" t="s">
        <v>51242</v>
      </c>
      <c r="C6882" s="330" t="s">
        <v>16909</v>
      </c>
      <c r="D6882" s="330" t="s">
        <v>16910</v>
      </c>
      <c r="E6882" s="330" t="s">
        <v>4634</v>
      </c>
      <c r="F6882" s="331">
        <v>0.21</v>
      </c>
      <c r="G6882" s="332">
        <v>2355</v>
      </c>
      <c r="H6882" s="333">
        <v>2850</v>
      </c>
    </row>
    <row r="6883" spans="1:8">
      <c r="A6883" s="317">
        <v>1617000557</v>
      </c>
      <c r="B6883" s="330" t="s">
        <v>51243</v>
      </c>
      <c r="C6883" s="330" t="s">
        <v>16911</v>
      </c>
      <c r="D6883" s="330" t="s">
        <v>16912</v>
      </c>
      <c r="E6883" s="330" t="s">
        <v>37248</v>
      </c>
      <c r="F6883" s="331">
        <v>0.21</v>
      </c>
      <c r="G6883" s="332">
        <v>27279</v>
      </c>
      <c r="H6883" s="333">
        <v>33008</v>
      </c>
    </row>
    <row r="6884" spans="1:8">
      <c r="A6884" s="317">
        <v>1617000560</v>
      </c>
      <c r="B6884" s="330" t="s">
        <v>51244</v>
      </c>
      <c r="C6884" s="330" t="s">
        <v>16913</v>
      </c>
      <c r="D6884" s="330" t="s">
        <v>16914</v>
      </c>
      <c r="E6884" s="330" t="s">
        <v>4634</v>
      </c>
      <c r="F6884" s="331">
        <v>0.21</v>
      </c>
      <c r="G6884" s="332">
        <v>10796</v>
      </c>
      <c r="H6884" s="333">
        <v>13064</v>
      </c>
    </row>
    <row r="6885" spans="1:8">
      <c r="A6885" s="317">
        <v>1617000562</v>
      </c>
      <c r="B6885" s="330" t="s">
        <v>51245</v>
      </c>
      <c r="C6885" s="330" t="s">
        <v>16915</v>
      </c>
      <c r="D6885" s="330" t="s">
        <v>16916</v>
      </c>
      <c r="E6885" s="330" t="s">
        <v>4634</v>
      </c>
      <c r="F6885" s="331">
        <v>0.21</v>
      </c>
      <c r="G6885" s="332">
        <v>12585</v>
      </c>
      <c r="H6885" s="333">
        <v>15228</v>
      </c>
    </row>
    <row r="6886" spans="1:8">
      <c r="A6886" s="317">
        <v>1617000564</v>
      </c>
      <c r="B6886" s="330" t="s">
        <v>51246</v>
      </c>
      <c r="C6886" s="330" t="s">
        <v>16917</v>
      </c>
      <c r="D6886" s="330" t="s">
        <v>16918</v>
      </c>
      <c r="E6886" s="330" t="s">
        <v>37248</v>
      </c>
      <c r="F6886" s="331">
        <v>0.21</v>
      </c>
      <c r="G6886" s="332">
        <v>68694</v>
      </c>
      <c r="H6886" s="333">
        <v>83120</v>
      </c>
    </row>
    <row r="6887" spans="1:8">
      <c r="A6887" s="317">
        <v>1617000580</v>
      </c>
      <c r="B6887" s="330" t="s">
        <v>51247</v>
      </c>
      <c r="C6887" s="330" t="s">
        <v>16919</v>
      </c>
      <c r="D6887" s="330" t="s">
        <v>16920</v>
      </c>
      <c r="E6887" s="330" t="s">
        <v>4634</v>
      </c>
      <c r="F6887" s="331">
        <v>0.21</v>
      </c>
      <c r="G6887" s="332">
        <v>3486</v>
      </c>
      <c r="H6887" s="333">
        <v>4219</v>
      </c>
    </row>
    <row r="6888" spans="1:8">
      <c r="A6888" s="317">
        <v>1617000581</v>
      </c>
      <c r="B6888" s="330" t="s">
        <v>51248</v>
      </c>
      <c r="C6888" s="330" t="s">
        <v>16921</v>
      </c>
      <c r="D6888" s="330" t="s">
        <v>16922</v>
      </c>
      <c r="E6888" s="330" t="s">
        <v>37248</v>
      </c>
      <c r="F6888" s="331">
        <v>0.21</v>
      </c>
      <c r="G6888" s="332">
        <v>70909</v>
      </c>
      <c r="H6888" s="333">
        <v>85800</v>
      </c>
    </row>
    <row r="6889" spans="1:8">
      <c r="A6889" s="317" t="s">
        <v>16923</v>
      </c>
      <c r="B6889" s="330" t="s">
        <v>16923</v>
      </c>
      <c r="C6889" s="330" t="s">
        <v>16924</v>
      </c>
      <c r="D6889" s="330" t="s">
        <v>16925</v>
      </c>
      <c r="E6889" s="330" t="s">
        <v>4634</v>
      </c>
      <c r="F6889" s="331">
        <v>0.21</v>
      </c>
      <c r="G6889" s="332">
        <v>348</v>
      </c>
      <c r="H6889" s="333">
        <v>422</v>
      </c>
    </row>
    <row r="6890" spans="1:8">
      <c r="A6890" s="317">
        <v>1617000665</v>
      </c>
      <c r="B6890" s="330" t="s">
        <v>51249</v>
      </c>
      <c r="C6890" s="330" t="s">
        <v>16926</v>
      </c>
      <c r="D6890" s="330" t="s">
        <v>16927</v>
      </c>
      <c r="E6890" s="330" t="s">
        <v>37248</v>
      </c>
      <c r="F6890" s="331">
        <v>0.21</v>
      </c>
      <c r="G6890" s="332">
        <v>6948</v>
      </c>
      <c r="H6890" s="333">
        <v>8408</v>
      </c>
    </row>
    <row r="6891" spans="1:8">
      <c r="A6891" s="317">
        <v>1617000667</v>
      </c>
      <c r="B6891" s="330" t="s">
        <v>51250</v>
      </c>
      <c r="C6891" s="330" t="s">
        <v>16928</v>
      </c>
      <c r="D6891" s="330" t="s">
        <v>15965</v>
      </c>
      <c r="E6891" s="330" t="s">
        <v>4819</v>
      </c>
      <c r="F6891" s="331">
        <v>0.21</v>
      </c>
      <c r="G6891" s="332">
        <v>83937</v>
      </c>
      <c r="H6891" s="333">
        <v>101564</v>
      </c>
    </row>
    <row r="6892" spans="1:8">
      <c r="A6892" s="317">
        <v>1617000668</v>
      </c>
      <c r="B6892" s="330" t="s">
        <v>51251</v>
      </c>
      <c r="C6892" s="330" t="s">
        <v>16929</v>
      </c>
      <c r="D6892" s="330" t="s">
        <v>16930</v>
      </c>
      <c r="E6892" s="330" t="s">
        <v>4634</v>
      </c>
      <c r="F6892" s="331">
        <v>0.21</v>
      </c>
      <c r="G6892" s="332">
        <v>75212</v>
      </c>
      <c r="H6892" s="333">
        <v>91007</v>
      </c>
    </row>
    <row r="6893" spans="1:8">
      <c r="A6893" s="317">
        <v>1617000669</v>
      </c>
      <c r="B6893" s="330" t="s">
        <v>51252</v>
      </c>
      <c r="C6893" s="330" t="s">
        <v>16931</v>
      </c>
      <c r="D6893" s="330" t="s">
        <v>16932</v>
      </c>
      <c r="E6893" s="330" t="s">
        <v>4819</v>
      </c>
      <c r="F6893" s="331">
        <v>0.21</v>
      </c>
      <c r="G6893" s="332">
        <v>4010</v>
      </c>
      <c r="H6893" s="333">
        <v>4853</v>
      </c>
    </row>
    <row r="6894" spans="1:8">
      <c r="A6894" s="317">
        <v>1617000685</v>
      </c>
      <c r="B6894" s="330" t="s">
        <v>51253</v>
      </c>
      <c r="C6894" s="330" t="s">
        <v>16933</v>
      </c>
      <c r="D6894" s="330" t="s">
        <v>16934</v>
      </c>
      <c r="E6894" s="330" t="s">
        <v>4819</v>
      </c>
      <c r="F6894" s="331">
        <v>0.21</v>
      </c>
      <c r="G6894" s="332">
        <v>3607</v>
      </c>
      <c r="H6894" s="333">
        <v>4365</v>
      </c>
    </row>
    <row r="6895" spans="1:8">
      <c r="A6895" s="317">
        <v>1617000689</v>
      </c>
      <c r="B6895" s="330" t="s">
        <v>51254</v>
      </c>
      <c r="C6895" s="330" t="s">
        <v>16935</v>
      </c>
      <c r="D6895" s="330" t="s">
        <v>16936</v>
      </c>
      <c r="E6895" s="330" t="s">
        <v>4819</v>
      </c>
      <c r="F6895" s="331">
        <v>0.21</v>
      </c>
      <c r="G6895" s="332">
        <v>55218</v>
      </c>
      <c r="H6895" s="333">
        <v>66814</v>
      </c>
    </row>
    <row r="6896" spans="1:8">
      <c r="A6896" s="317">
        <v>1617000691</v>
      </c>
      <c r="B6896" s="330" t="s">
        <v>51255</v>
      </c>
      <c r="C6896" s="330" t="s">
        <v>16937</v>
      </c>
      <c r="D6896" s="330" t="s">
        <v>16938</v>
      </c>
      <c r="E6896" s="330" t="s">
        <v>37248</v>
      </c>
      <c r="F6896" s="331">
        <v>0.21</v>
      </c>
      <c r="G6896" s="332">
        <v>39783</v>
      </c>
      <c r="H6896" s="333">
        <v>48138</v>
      </c>
    </row>
    <row r="6897" spans="1:8">
      <c r="A6897" s="317">
        <v>1617000693</v>
      </c>
      <c r="B6897" s="330" t="s">
        <v>51256</v>
      </c>
      <c r="C6897" s="330" t="s">
        <v>16939</v>
      </c>
      <c r="D6897" s="330" t="s">
        <v>16940</v>
      </c>
      <c r="E6897" s="330" t="s">
        <v>37248</v>
      </c>
      <c r="F6897" s="331">
        <v>0.21</v>
      </c>
      <c r="G6897" s="332">
        <v>114520</v>
      </c>
      <c r="H6897" s="333">
        <v>138570</v>
      </c>
    </row>
    <row r="6898" spans="1:8">
      <c r="A6898" s="317">
        <v>1617000694</v>
      </c>
      <c r="B6898" s="330" t="s">
        <v>51257</v>
      </c>
      <c r="C6898" s="330" t="s">
        <v>16941</v>
      </c>
      <c r="D6898" s="330" t="s">
        <v>16942</v>
      </c>
      <c r="E6898" s="330" t="s">
        <v>4634</v>
      </c>
      <c r="F6898" s="331">
        <v>0.21</v>
      </c>
      <c r="G6898" s="332">
        <v>20672</v>
      </c>
      <c r="H6898" s="333">
        <v>25014</v>
      </c>
    </row>
    <row r="6899" spans="1:8">
      <c r="A6899" s="317">
        <v>1617000697</v>
      </c>
      <c r="B6899" s="330" t="s">
        <v>51258</v>
      </c>
      <c r="C6899" s="330" t="s">
        <v>16943</v>
      </c>
      <c r="D6899" s="330" t="s">
        <v>16944</v>
      </c>
      <c r="E6899" s="330" t="s">
        <v>37248</v>
      </c>
      <c r="F6899" s="331">
        <v>0.21</v>
      </c>
      <c r="G6899" s="332">
        <v>50707</v>
      </c>
      <c r="H6899" s="333">
        <v>61356</v>
      </c>
    </row>
    <row r="6900" spans="1:8">
      <c r="A6900" s="317">
        <v>1617000698</v>
      </c>
      <c r="B6900" s="330" t="s">
        <v>51259</v>
      </c>
      <c r="C6900" s="330" t="s">
        <v>16945</v>
      </c>
      <c r="D6900" s="330" t="s">
        <v>16575</v>
      </c>
      <c r="E6900" s="330" t="s">
        <v>37248</v>
      </c>
      <c r="F6900" s="331">
        <v>0.21</v>
      </c>
      <c r="G6900" s="332">
        <v>33343</v>
      </c>
      <c r="H6900" s="333">
        <v>40346</v>
      </c>
    </row>
    <row r="6901" spans="1:8">
      <c r="A6901" s="317">
        <v>1617000699</v>
      </c>
      <c r="B6901" s="330" t="s">
        <v>51260</v>
      </c>
      <c r="C6901" s="330" t="s">
        <v>16946</v>
      </c>
      <c r="D6901" s="330" t="s">
        <v>16947</v>
      </c>
      <c r="E6901" s="330" t="s">
        <v>37248</v>
      </c>
      <c r="F6901" s="331">
        <v>0.21</v>
      </c>
      <c r="G6901" s="332">
        <v>61212</v>
      </c>
      <c r="H6901" s="333">
        <v>74067</v>
      </c>
    </row>
    <row r="6902" spans="1:8">
      <c r="A6902" s="317" t="s">
        <v>40418</v>
      </c>
      <c r="B6902" s="330" t="s">
        <v>51261</v>
      </c>
      <c r="C6902" s="330" t="s">
        <v>16948</v>
      </c>
      <c r="D6902" s="330" t="s">
        <v>16949</v>
      </c>
      <c r="E6902" s="330" t="s">
        <v>37248</v>
      </c>
      <c r="F6902" s="331">
        <v>0.21</v>
      </c>
      <c r="G6902" s="332">
        <v>858</v>
      </c>
      <c r="H6902" s="333">
        <v>1039</v>
      </c>
    </row>
    <row r="6903" spans="1:8">
      <c r="A6903" s="317" t="s">
        <v>40419</v>
      </c>
      <c r="B6903" s="330" t="s">
        <v>51262</v>
      </c>
      <c r="C6903" s="330" t="s">
        <v>16950</v>
      </c>
      <c r="D6903" s="330" t="s">
        <v>16951</v>
      </c>
      <c r="E6903" s="330" t="s">
        <v>37248</v>
      </c>
      <c r="F6903" s="331">
        <v>0.21</v>
      </c>
      <c r="G6903" s="332">
        <v>101602</v>
      </c>
      <c r="H6903" s="333">
        <v>122939</v>
      </c>
    </row>
    <row r="6904" spans="1:8">
      <c r="A6904" s="317" t="s">
        <v>40420</v>
      </c>
      <c r="B6904" s="330" t="s">
        <v>51263</v>
      </c>
      <c r="C6904" s="330" t="s">
        <v>16952</v>
      </c>
      <c r="D6904" s="330" t="s">
        <v>16953</v>
      </c>
      <c r="E6904" s="330" t="s">
        <v>37248</v>
      </c>
      <c r="F6904" s="331">
        <v>0.21</v>
      </c>
      <c r="G6904" s="332">
        <v>1505</v>
      </c>
      <c r="H6904" s="333">
        <v>1822</v>
      </c>
    </row>
    <row r="6905" spans="1:8">
      <c r="A6905" s="317" t="s">
        <v>40421</v>
      </c>
      <c r="B6905" s="330" t="s">
        <v>51264</v>
      </c>
      <c r="C6905" s="330" t="s">
        <v>16954</v>
      </c>
      <c r="D6905" s="330" t="s">
        <v>16955</v>
      </c>
      <c r="E6905" s="330" t="s">
        <v>4819</v>
      </c>
      <c r="F6905" s="331">
        <v>0.21</v>
      </c>
      <c r="G6905" s="332">
        <v>56059</v>
      </c>
      <c r="H6905" s="333">
        <v>67832</v>
      </c>
    </row>
    <row r="6906" spans="1:8">
      <c r="A6906" s="317" t="s">
        <v>40422</v>
      </c>
      <c r="B6906" s="330" t="s">
        <v>51265</v>
      </c>
      <c r="C6906" s="330" t="s">
        <v>16956</v>
      </c>
      <c r="D6906" s="330" t="s">
        <v>16957</v>
      </c>
      <c r="E6906" s="330" t="s">
        <v>37248</v>
      </c>
      <c r="F6906" s="331">
        <v>0.21</v>
      </c>
      <c r="G6906" s="332">
        <v>11787</v>
      </c>
      <c r="H6906" s="333">
        <v>14263</v>
      </c>
    </row>
    <row r="6907" spans="1:8">
      <c r="A6907" s="317" t="s">
        <v>40423</v>
      </c>
      <c r="B6907" s="330" t="s">
        <v>51266</v>
      </c>
      <c r="C6907" s="330" t="s">
        <v>16958</v>
      </c>
      <c r="D6907" s="330" t="s">
        <v>16959</v>
      </c>
      <c r="E6907" s="330" t="s">
        <v>4634</v>
      </c>
      <c r="F6907" s="331">
        <v>0.21</v>
      </c>
      <c r="G6907" s="332">
        <v>10671</v>
      </c>
      <c r="H6907" s="333">
        <v>12912</v>
      </c>
    </row>
    <row r="6908" spans="1:8">
      <c r="A6908" s="317" t="s">
        <v>40424</v>
      </c>
      <c r="B6908" s="330" t="s">
        <v>51267</v>
      </c>
      <c r="C6908" s="330" t="s">
        <v>16960</v>
      </c>
      <c r="D6908" s="330" t="s">
        <v>16961</v>
      </c>
      <c r="E6908" s="330" t="s">
        <v>37248</v>
      </c>
      <c r="F6908" s="331">
        <v>0.21</v>
      </c>
      <c r="G6908" s="332">
        <v>71571</v>
      </c>
      <c r="H6908" s="333">
        <v>86601</v>
      </c>
    </row>
    <row r="6909" spans="1:8">
      <c r="A6909" s="317" t="s">
        <v>40425</v>
      </c>
      <c r="B6909" s="330" t="s">
        <v>51268</v>
      </c>
      <c r="C6909" s="330" t="s">
        <v>16962</v>
      </c>
      <c r="D6909" s="330" t="s">
        <v>16963</v>
      </c>
      <c r="E6909" s="330" t="s">
        <v>37248</v>
      </c>
      <c r="F6909" s="331">
        <v>0.21</v>
      </c>
      <c r="G6909" s="332">
        <v>23846</v>
      </c>
      <c r="H6909" s="333">
        <v>28854</v>
      </c>
    </row>
    <row r="6910" spans="1:8">
      <c r="A6910" s="317" t="s">
        <v>40426</v>
      </c>
      <c r="B6910" s="330" t="s">
        <v>51269</v>
      </c>
      <c r="C6910" s="330" t="s">
        <v>16964</v>
      </c>
      <c r="D6910" s="330" t="s">
        <v>16965</v>
      </c>
      <c r="E6910" s="330" t="s">
        <v>37248</v>
      </c>
      <c r="F6910" s="331">
        <v>0.21</v>
      </c>
      <c r="G6910" s="332">
        <v>21297</v>
      </c>
      <c r="H6910" s="333">
        <v>25770</v>
      </c>
    </row>
    <row r="6911" spans="1:8">
      <c r="A6911" s="317" t="s">
        <v>40427</v>
      </c>
      <c r="B6911" s="330" t="s">
        <v>51270</v>
      </c>
      <c r="C6911" s="330" t="s">
        <v>16966</v>
      </c>
      <c r="D6911" s="330" t="s">
        <v>16967</v>
      </c>
      <c r="E6911" s="330" t="s">
        <v>37248</v>
      </c>
      <c r="F6911" s="331">
        <v>0.21</v>
      </c>
      <c r="G6911" s="332">
        <v>33662</v>
      </c>
      <c r="H6911" s="333">
        <v>40732</v>
      </c>
    </row>
    <row r="6912" spans="1:8">
      <c r="A6912" s="317" t="s">
        <v>40428</v>
      </c>
      <c r="B6912" s="330" t="s">
        <v>51271</v>
      </c>
      <c r="C6912" s="330" t="s">
        <v>16968</v>
      </c>
      <c r="D6912" s="330" t="s">
        <v>16969</v>
      </c>
      <c r="E6912" s="330" t="s">
        <v>4819</v>
      </c>
      <c r="F6912" s="331">
        <v>0.21</v>
      </c>
      <c r="G6912" s="332">
        <v>189133</v>
      </c>
      <c r="H6912" s="333">
        <v>228851</v>
      </c>
    </row>
    <row r="6913" spans="1:8">
      <c r="A6913" s="317" t="s">
        <v>40429</v>
      </c>
      <c r="B6913" s="330" t="s">
        <v>51272</v>
      </c>
      <c r="C6913" s="330" t="s">
        <v>16970</v>
      </c>
      <c r="D6913" s="330" t="s">
        <v>16971</v>
      </c>
      <c r="E6913" s="330" t="s">
        <v>4819</v>
      </c>
      <c r="F6913" s="331">
        <v>0.21</v>
      </c>
      <c r="G6913" s="332">
        <v>7477</v>
      </c>
      <c r="H6913" s="333">
        <v>9048</v>
      </c>
    </row>
    <row r="6914" spans="1:8">
      <c r="A6914" s="317" t="s">
        <v>40430</v>
      </c>
      <c r="B6914" s="330" t="s">
        <v>51273</v>
      </c>
      <c r="C6914" s="330" t="s">
        <v>16972</v>
      </c>
      <c r="D6914" s="330" t="s">
        <v>16973</v>
      </c>
      <c r="E6914" s="330" t="s">
        <v>4634</v>
      </c>
      <c r="F6914" s="331">
        <v>0.21</v>
      </c>
      <c r="G6914" s="332">
        <v>348</v>
      </c>
      <c r="H6914" s="333">
        <v>422</v>
      </c>
    </row>
    <row r="6915" spans="1:8">
      <c r="A6915" s="317" t="s">
        <v>40431</v>
      </c>
      <c r="B6915" s="330" t="s">
        <v>51274</v>
      </c>
      <c r="C6915" s="330" t="s">
        <v>16974</v>
      </c>
      <c r="D6915" s="330" t="s">
        <v>16975</v>
      </c>
      <c r="E6915" s="330" t="s">
        <v>37248</v>
      </c>
      <c r="F6915" s="331">
        <v>0.21</v>
      </c>
      <c r="G6915" s="332">
        <v>42949</v>
      </c>
      <c r="H6915" s="333">
        <v>51969</v>
      </c>
    </row>
    <row r="6916" spans="1:8">
      <c r="A6916" s="317" t="s">
        <v>40432</v>
      </c>
      <c r="B6916" s="330" t="s">
        <v>51275</v>
      </c>
      <c r="C6916" s="330" t="s">
        <v>16976</v>
      </c>
      <c r="D6916" s="330" t="s">
        <v>16977</v>
      </c>
      <c r="E6916" s="330" t="s">
        <v>37248</v>
      </c>
      <c r="F6916" s="331">
        <v>0.21</v>
      </c>
      <c r="G6916" s="332">
        <v>56545</v>
      </c>
      <c r="H6916" s="333">
        <v>68420</v>
      </c>
    </row>
    <row r="6917" spans="1:8">
      <c r="A6917" s="317" t="s">
        <v>40433</v>
      </c>
      <c r="B6917" s="330" t="s">
        <v>51276</v>
      </c>
      <c r="C6917" s="330" t="s">
        <v>16978</v>
      </c>
      <c r="D6917" s="330" t="s">
        <v>16979</v>
      </c>
      <c r="E6917" s="330" t="s">
        <v>37248</v>
      </c>
      <c r="F6917" s="331">
        <v>0.21</v>
      </c>
      <c r="G6917" s="332">
        <v>22236</v>
      </c>
      <c r="H6917" s="333">
        <v>26906</v>
      </c>
    </row>
    <row r="6918" spans="1:8">
      <c r="A6918" s="317" t="s">
        <v>40434</v>
      </c>
      <c r="B6918" s="330" t="s">
        <v>51277</v>
      </c>
      <c r="C6918" s="330" t="s">
        <v>16980</v>
      </c>
      <c r="D6918" s="330" t="s">
        <v>4947</v>
      </c>
      <c r="E6918" s="330" t="s">
        <v>37248</v>
      </c>
      <c r="F6918" s="331">
        <v>0.21</v>
      </c>
      <c r="G6918" s="332">
        <v>32328</v>
      </c>
      <c r="H6918" s="333">
        <v>39117</v>
      </c>
    </row>
    <row r="6919" spans="1:8">
      <c r="A6919" s="317" t="s">
        <v>40435</v>
      </c>
      <c r="B6919" s="330" t="s">
        <v>51278</v>
      </c>
      <c r="C6919" s="330" t="s">
        <v>16981</v>
      </c>
      <c r="D6919" s="330" t="s">
        <v>16982</v>
      </c>
      <c r="E6919" s="330" t="s">
        <v>37248</v>
      </c>
      <c r="F6919" s="331">
        <v>0.21</v>
      </c>
      <c r="G6919" s="332">
        <v>23954</v>
      </c>
      <c r="H6919" s="333">
        <v>28985</v>
      </c>
    </row>
    <row r="6920" spans="1:8">
      <c r="A6920" s="317" t="s">
        <v>40436</v>
      </c>
      <c r="B6920" s="330" t="s">
        <v>51279</v>
      </c>
      <c r="C6920" s="330" t="s">
        <v>16983</v>
      </c>
      <c r="D6920" s="330" t="s">
        <v>16984</v>
      </c>
      <c r="E6920" s="330" t="s">
        <v>4634</v>
      </c>
      <c r="F6920" s="331">
        <v>0.21</v>
      </c>
      <c r="G6920" s="332">
        <v>19836</v>
      </c>
      <c r="H6920" s="333">
        <v>24002</v>
      </c>
    </row>
    <row r="6921" spans="1:8">
      <c r="A6921" s="317" t="s">
        <v>40437</v>
      </c>
      <c r="B6921" s="330" t="s">
        <v>51280</v>
      </c>
      <c r="C6921" s="330" t="s">
        <v>16985</v>
      </c>
      <c r="D6921" s="330" t="s">
        <v>16986</v>
      </c>
      <c r="E6921" s="330" t="s">
        <v>37248</v>
      </c>
      <c r="F6921" s="331">
        <v>0.21</v>
      </c>
      <c r="G6921" s="332">
        <v>54450</v>
      </c>
      <c r="H6921" s="333">
        <v>65885</v>
      </c>
    </row>
    <row r="6922" spans="1:8">
      <c r="A6922" s="317" t="s">
        <v>40438</v>
      </c>
      <c r="B6922" s="330" t="s">
        <v>51281</v>
      </c>
      <c r="C6922" s="330" t="s">
        <v>16987</v>
      </c>
      <c r="D6922" s="330" t="s">
        <v>16988</v>
      </c>
      <c r="E6922" s="330" t="s">
        <v>4634</v>
      </c>
      <c r="F6922" s="331">
        <v>0.21</v>
      </c>
      <c r="G6922" s="332">
        <v>892</v>
      </c>
      <c r="H6922" s="333">
        <v>1080</v>
      </c>
    </row>
    <row r="6923" spans="1:8">
      <c r="A6923" s="317" t="s">
        <v>40439</v>
      </c>
      <c r="B6923" s="330" t="s">
        <v>51282</v>
      </c>
      <c r="C6923" s="330" t="s">
        <v>16989</v>
      </c>
      <c r="D6923" s="330" t="s">
        <v>16990</v>
      </c>
      <c r="E6923" s="330" t="s">
        <v>4819</v>
      </c>
      <c r="F6923" s="331">
        <v>0.21</v>
      </c>
      <c r="G6923" s="332">
        <v>36916</v>
      </c>
      <c r="H6923" s="333">
        <v>44669</v>
      </c>
    </row>
    <row r="6924" spans="1:8">
      <c r="A6924" s="317" t="s">
        <v>40440</v>
      </c>
      <c r="B6924" s="330" t="s">
        <v>51283</v>
      </c>
      <c r="C6924" s="330" t="s">
        <v>16991</v>
      </c>
      <c r="D6924" s="330" t="s">
        <v>16992</v>
      </c>
      <c r="E6924" s="330" t="s">
        <v>4634</v>
      </c>
      <c r="F6924" s="331">
        <v>0.21</v>
      </c>
      <c r="G6924" s="332">
        <v>17529</v>
      </c>
      <c r="H6924" s="333">
        <v>21211</v>
      </c>
    </row>
    <row r="6925" spans="1:8">
      <c r="A6925" s="317" t="s">
        <v>40441</v>
      </c>
      <c r="B6925" s="330" t="s">
        <v>51284</v>
      </c>
      <c r="C6925" s="330" t="s">
        <v>16993</v>
      </c>
      <c r="D6925" s="330" t="s">
        <v>16994</v>
      </c>
      <c r="E6925" s="330" t="s">
        <v>4634</v>
      </c>
      <c r="F6925" s="331">
        <v>0.21</v>
      </c>
      <c r="G6925" s="332">
        <v>8864</v>
      </c>
      <c r="H6925" s="333">
        <v>10726</v>
      </c>
    </row>
    <row r="6926" spans="1:8">
      <c r="A6926" s="317" t="s">
        <v>40442</v>
      </c>
      <c r="B6926" s="330" t="s">
        <v>51285</v>
      </c>
      <c r="C6926" s="330" t="s">
        <v>16995</v>
      </c>
      <c r="D6926" s="330" t="s">
        <v>16996</v>
      </c>
      <c r="E6926" s="330" t="s">
        <v>37248</v>
      </c>
      <c r="F6926" s="331">
        <v>0.21</v>
      </c>
      <c r="G6926" s="332">
        <v>2991</v>
      </c>
      <c r="H6926" s="333">
        <v>3620</v>
      </c>
    </row>
    <row r="6927" spans="1:8">
      <c r="A6927" s="317">
        <v>1617000701</v>
      </c>
      <c r="B6927" s="330" t="s">
        <v>51286</v>
      </c>
      <c r="C6927" s="330" t="s">
        <v>16997</v>
      </c>
      <c r="D6927" s="330" t="s">
        <v>16998</v>
      </c>
      <c r="E6927" s="330" t="s">
        <v>4634</v>
      </c>
      <c r="F6927" s="331">
        <v>0.21</v>
      </c>
      <c r="G6927" s="332">
        <v>25930</v>
      </c>
      <c r="H6927" s="333">
        <v>31376</v>
      </c>
    </row>
    <row r="6928" spans="1:8">
      <c r="A6928" s="317">
        <v>1617000702</v>
      </c>
      <c r="B6928" s="330" t="s">
        <v>51287</v>
      </c>
      <c r="C6928" s="330" t="s">
        <v>16999</v>
      </c>
      <c r="D6928" s="330" t="s">
        <v>16885</v>
      </c>
      <c r="E6928" s="330" t="s">
        <v>37248</v>
      </c>
      <c r="F6928" s="331">
        <v>0.21</v>
      </c>
      <c r="G6928" s="332">
        <v>88249</v>
      </c>
      <c r="H6928" s="333">
        <v>106782</v>
      </c>
    </row>
    <row r="6929" spans="1:8">
      <c r="A6929" s="317">
        <v>1617000706</v>
      </c>
      <c r="B6929" s="330" t="s">
        <v>51288</v>
      </c>
      <c r="C6929" s="330" t="s">
        <v>17000</v>
      </c>
      <c r="D6929" s="330" t="s">
        <v>17001</v>
      </c>
      <c r="E6929" s="330" t="s">
        <v>4623</v>
      </c>
      <c r="F6929" s="331">
        <v>0.21</v>
      </c>
      <c r="G6929" s="332">
        <v>13743</v>
      </c>
      <c r="H6929" s="333">
        <v>16630</v>
      </c>
    </row>
    <row r="6930" spans="1:8">
      <c r="A6930" s="317">
        <v>1617000707</v>
      </c>
      <c r="B6930" s="330" t="s">
        <v>51289</v>
      </c>
      <c r="C6930" s="330" t="s">
        <v>17002</v>
      </c>
      <c r="D6930" s="330" t="s">
        <v>17003</v>
      </c>
      <c r="E6930" s="330" t="s">
        <v>37248</v>
      </c>
      <c r="F6930" s="331">
        <v>0.21</v>
      </c>
      <c r="G6930" s="332">
        <v>37690</v>
      </c>
      <c r="H6930" s="333">
        <v>45605</v>
      </c>
    </row>
    <row r="6931" spans="1:8">
      <c r="A6931" s="317">
        <v>1617000709</v>
      </c>
      <c r="B6931" s="330" t="s">
        <v>51290</v>
      </c>
      <c r="C6931" s="330" t="s">
        <v>17004</v>
      </c>
      <c r="D6931" s="330" t="s">
        <v>17005</v>
      </c>
      <c r="E6931" s="330" t="s">
        <v>37248</v>
      </c>
      <c r="F6931" s="331">
        <v>0.21</v>
      </c>
      <c r="G6931" s="332">
        <v>265555</v>
      </c>
      <c r="H6931" s="333">
        <v>321322</v>
      </c>
    </row>
    <row r="6932" spans="1:8">
      <c r="A6932" s="317">
        <v>1617000710</v>
      </c>
      <c r="B6932" s="330" t="s">
        <v>51291</v>
      </c>
      <c r="C6932" s="330" t="s">
        <v>17006</v>
      </c>
      <c r="D6932" s="330" t="s">
        <v>16162</v>
      </c>
      <c r="E6932" s="330" t="s">
        <v>4819</v>
      </c>
      <c r="F6932" s="331">
        <v>0.21</v>
      </c>
      <c r="G6932" s="332">
        <v>21825</v>
      </c>
      <c r="H6932" s="333">
        <v>26409</v>
      </c>
    </row>
    <row r="6933" spans="1:8">
      <c r="A6933" s="317">
        <v>1617000711</v>
      </c>
      <c r="B6933" s="330" t="s">
        <v>51292</v>
      </c>
      <c r="C6933" s="330" t="s">
        <v>17007</v>
      </c>
      <c r="D6933" s="330" t="s">
        <v>17008</v>
      </c>
      <c r="E6933" s="330" t="s">
        <v>4634</v>
      </c>
      <c r="F6933" s="331">
        <v>0.21</v>
      </c>
      <c r="G6933" s="332">
        <v>23793</v>
      </c>
      <c r="H6933" s="333">
        <v>28790</v>
      </c>
    </row>
    <row r="6934" spans="1:8">
      <c r="A6934" s="317">
        <v>1617000715</v>
      </c>
      <c r="B6934" s="330" t="s">
        <v>51293</v>
      </c>
      <c r="C6934" s="330" t="s">
        <v>17009</v>
      </c>
      <c r="D6934" s="330" t="s">
        <v>17010</v>
      </c>
      <c r="E6934" s="330" t="s">
        <v>37248</v>
      </c>
      <c r="F6934" s="331">
        <v>0.21</v>
      </c>
      <c r="G6934" s="332">
        <v>2295</v>
      </c>
      <c r="H6934" s="333">
        <v>2777</v>
      </c>
    </row>
    <row r="6935" spans="1:8">
      <c r="A6935" s="317">
        <v>1617000716</v>
      </c>
      <c r="B6935" s="330" t="s">
        <v>51294</v>
      </c>
      <c r="C6935" s="330" t="s">
        <v>17011</v>
      </c>
      <c r="D6935" s="330" t="s">
        <v>17012</v>
      </c>
      <c r="E6935" s="330" t="s">
        <v>37248</v>
      </c>
      <c r="F6935" s="331">
        <v>0.21</v>
      </c>
      <c r="G6935" s="332">
        <v>39176</v>
      </c>
      <c r="H6935" s="333">
        <v>47403</v>
      </c>
    </row>
    <row r="6936" spans="1:8">
      <c r="A6936" s="317">
        <v>1617000717</v>
      </c>
      <c r="B6936" s="330" t="s">
        <v>51295</v>
      </c>
      <c r="C6936" s="330" t="s">
        <v>17013</v>
      </c>
      <c r="D6936" s="330" t="s">
        <v>17014</v>
      </c>
      <c r="E6936" s="330" t="s">
        <v>4819</v>
      </c>
      <c r="F6936" s="331">
        <v>0.21</v>
      </c>
      <c r="G6936" s="332">
        <v>7586</v>
      </c>
      <c r="H6936" s="333">
        <v>9180</v>
      </c>
    </row>
    <row r="6937" spans="1:8">
      <c r="A6937" s="317">
        <v>1617000718</v>
      </c>
      <c r="B6937" s="330" t="s">
        <v>51296</v>
      </c>
      <c r="C6937" s="330" t="s">
        <v>17015</v>
      </c>
      <c r="D6937" s="330" t="s">
        <v>17016</v>
      </c>
      <c r="E6937" s="330" t="s">
        <v>37248</v>
      </c>
      <c r="F6937" s="331">
        <v>0.21</v>
      </c>
      <c r="G6937" s="332">
        <v>37764</v>
      </c>
      <c r="H6937" s="333">
        <v>45695</v>
      </c>
    </row>
    <row r="6938" spans="1:8">
      <c r="A6938" s="317">
        <v>1617000719</v>
      </c>
      <c r="B6938" s="330" t="s">
        <v>51297</v>
      </c>
      <c r="C6938" s="330" t="s">
        <v>17017</v>
      </c>
      <c r="D6938" s="330" t="s">
        <v>17018</v>
      </c>
      <c r="E6938" s="330" t="s">
        <v>37248</v>
      </c>
      <c r="F6938" s="331">
        <v>0.21</v>
      </c>
      <c r="G6938" s="332">
        <v>71534</v>
      </c>
      <c r="H6938" s="333">
        <v>86557</v>
      </c>
    </row>
    <row r="6939" spans="1:8">
      <c r="A6939" s="317">
        <v>1617000720</v>
      </c>
      <c r="B6939" s="330" t="s">
        <v>51298</v>
      </c>
      <c r="C6939" s="330" t="s">
        <v>17019</v>
      </c>
      <c r="D6939" s="330" t="s">
        <v>17020</v>
      </c>
      <c r="E6939" s="330" t="s">
        <v>4819</v>
      </c>
      <c r="F6939" s="331">
        <v>0.21</v>
      </c>
      <c r="G6939" s="332">
        <v>64554</v>
      </c>
      <c r="H6939" s="333">
        <v>78111</v>
      </c>
    </row>
    <row r="6940" spans="1:8">
      <c r="A6940" s="317">
        <v>1617000726</v>
      </c>
      <c r="B6940" s="330" t="s">
        <v>51299</v>
      </c>
      <c r="C6940" s="330" t="s">
        <v>17021</v>
      </c>
      <c r="D6940" s="330" t="s">
        <v>17022</v>
      </c>
      <c r="E6940" s="330" t="s">
        <v>4623</v>
      </c>
      <c r="F6940" s="331">
        <v>0.21</v>
      </c>
      <c r="G6940" s="332">
        <v>475550</v>
      </c>
      <c r="H6940" s="333">
        <v>575416</v>
      </c>
    </row>
    <row r="6941" spans="1:8">
      <c r="A6941" s="317">
        <v>1617000728</v>
      </c>
      <c r="B6941" s="330" t="s">
        <v>51300</v>
      </c>
      <c r="C6941" s="330" t="s">
        <v>17023</v>
      </c>
      <c r="D6941" s="330" t="s">
        <v>17024</v>
      </c>
      <c r="E6941" s="330" t="s">
        <v>37248</v>
      </c>
      <c r="F6941" s="331">
        <v>0.21</v>
      </c>
      <c r="G6941" s="332">
        <v>98954</v>
      </c>
      <c r="H6941" s="333">
        <v>119735</v>
      </c>
    </row>
    <row r="6942" spans="1:8">
      <c r="A6942" s="317">
        <v>1617000729</v>
      </c>
      <c r="B6942" s="330" t="s">
        <v>51301</v>
      </c>
      <c r="C6942" s="330" t="s">
        <v>17025</v>
      </c>
      <c r="D6942" s="330" t="s">
        <v>10383</v>
      </c>
      <c r="E6942" s="330" t="s">
        <v>4634</v>
      </c>
      <c r="F6942" s="331">
        <v>0.21</v>
      </c>
      <c r="G6942" s="332">
        <v>69060</v>
      </c>
      <c r="H6942" s="333">
        <v>83563</v>
      </c>
    </row>
    <row r="6943" spans="1:8">
      <c r="A6943" s="317">
        <v>1617000730</v>
      </c>
      <c r="B6943" s="330" t="s">
        <v>51302</v>
      </c>
      <c r="C6943" s="330" t="s">
        <v>17026</v>
      </c>
      <c r="D6943" s="330" t="s">
        <v>17027</v>
      </c>
      <c r="E6943" s="330" t="s">
        <v>37248</v>
      </c>
      <c r="F6943" s="331">
        <v>0.21</v>
      </c>
      <c r="G6943" s="332">
        <v>27436</v>
      </c>
      <c r="H6943" s="333">
        <v>33198</v>
      </c>
    </row>
    <row r="6944" spans="1:8">
      <c r="A6944" s="317">
        <v>1617000731</v>
      </c>
      <c r="B6944" s="330" t="s">
        <v>51303</v>
      </c>
      <c r="C6944" s="330" t="s">
        <v>17028</v>
      </c>
      <c r="D6944" s="330" t="s">
        <v>17029</v>
      </c>
      <c r="E6944" s="330" t="s">
        <v>4819</v>
      </c>
      <c r="F6944" s="331">
        <v>0.21</v>
      </c>
      <c r="G6944" s="332">
        <v>431597</v>
      </c>
      <c r="H6944" s="333">
        <v>522233</v>
      </c>
    </row>
    <row r="6945" spans="1:8">
      <c r="A6945" s="317">
        <v>1617000733</v>
      </c>
      <c r="B6945" s="330" t="s">
        <v>51304</v>
      </c>
      <c r="C6945" s="330" t="s">
        <v>17030</v>
      </c>
      <c r="D6945" s="330" t="s">
        <v>17031</v>
      </c>
      <c r="E6945" s="330" t="s">
        <v>4819</v>
      </c>
      <c r="F6945" s="331">
        <v>0.21</v>
      </c>
      <c r="G6945" s="332">
        <v>660570</v>
      </c>
      <c r="H6945" s="333">
        <v>799290</v>
      </c>
    </row>
    <row r="6946" spans="1:8">
      <c r="A6946" s="317">
        <v>1617000740</v>
      </c>
      <c r="B6946" s="330" t="s">
        <v>51305</v>
      </c>
      <c r="C6946" s="330" t="s">
        <v>17032</v>
      </c>
      <c r="D6946" s="330" t="s">
        <v>17033</v>
      </c>
      <c r="E6946" s="330" t="s">
        <v>37248</v>
      </c>
      <c r="F6946" s="331">
        <v>0.21</v>
      </c>
      <c r="G6946" s="332">
        <v>29513</v>
      </c>
      <c r="H6946" s="333">
        <v>35711</v>
      </c>
    </row>
    <row r="6947" spans="1:8">
      <c r="A6947" s="317">
        <v>1617000744</v>
      </c>
      <c r="B6947" s="330" t="s">
        <v>51306</v>
      </c>
      <c r="C6947" s="330" t="s">
        <v>17034</v>
      </c>
      <c r="D6947" s="330" t="s">
        <v>17035</v>
      </c>
      <c r="E6947" s="330" t="s">
        <v>37248</v>
      </c>
      <c r="F6947" s="331">
        <v>0.21</v>
      </c>
      <c r="G6947" s="332">
        <v>14174</v>
      </c>
      <c r="H6947" s="333">
        <v>17151</v>
      </c>
    </row>
    <row r="6948" spans="1:8">
      <c r="A6948" s="317">
        <v>1617000745</v>
      </c>
      <c r="B6948" s="330" t="s">
        <v>51307</v>
      </c>
      <c r="C6948" s="330" t="s">
        <v>17036</v>
      </c>
      <c r="D6948" s="330" t="s">
        <v>17037</v>
      </c>
      <c r="E6948" s="330" t="s">
        <v>4819</v>
      </c>
      <c r="F6948" s="331">
        <v>0.21</v>
      </c>
      <c r="G6948" s="332">
        <v>142673</v>
      </c>
      <c r="H6948" s="333">
        <v>172635</v>
      </c>
    </row>
    <row r="6949" spans="1:8">
      <c r="A6949" s="317">
        <v>1617000746</v>
      </c>
      <c r="B6949" s="330" t="s">
        <v>51308</v>
      </c>
      <c r="C6949" s="330" t="s">
        <v>17038</v>
      </c>
      <c r="D6949" s="330" t="s">
        <v>17039</v>
      </c>
      <c r="E6949" s="330" t="s">
        <v>4819</v>
      </c>
      <c r="F6949" s="331">
        <v>0.21</v>
      </c>
      <c r="G6949" s="332">
        <v>356251</v>
      </c>
      <c r="H6949" s="333">
        <v>431064</v>
      </c>
    </row>
    <row r="6950" spans="1:8">
      <c r="A6950" s="317">
        <v>1617000747</v>
      </c>
      <c r="B6950" s="330" t="s">
        <v>51309</v>
      </c>
      <c r="C6950" s="330" t="s">
        <v>17040</v>
      </c>
      <c r="D6950" s="330" t="s">
        <v>17041</v>
      </c>
      <c r="E6950" s="330" t="s">
        <v>37248</v>
      </c>
      <c r="F6950" s="331">
        <v>0.21</v>
      </c>
      <c r="G6950" s="332">
        <v>74641</v>
      </c>
      <c r="H6950" s="333">
        <v>90316</v>
      </c>
    </row>
    <row r="6951" spans="1:8">
      <c r="A6951" s="317">
        <v>1617000748</v>
      </c>
      <c r="B6951" s="330" t="s">
        <v>51310</v>
      </c>
      <c r="C6951" s="330" t="s">
        <v>17042</v>
      </c>
      <c r="D6951" s="330" t="s">
        <v>17043</v>
      </c>
      <c r="E6951" s="330" t="s">
        <v>37248</v>
      </c>
      <c r="F6951" s="331">
        <v>0.21</v>
      </c>
      <c r="G6951" s="332">
        <v>79484</v>
      </c>
      <c r="H6951" s="333">
        <v>96176</v>
      </c>
    </row>
    <row r="6952" spans="1:8">
      <c r="A6952" s="317">
        <v>1617000749</v>
      </c>
      <c r="B6952" s="330" t="s">
        <v>51311</v>
      </c>
      <c r="C6952" s="330" t="s">
        <v>17044</v>
      </c>
      <c r="D6952" s="330" t="s">
        <v>17045</v>
      </c>
      <c r="E6952" s="330" t="s">
        <v>4819</v>
      </c>
      <c r="F6952" s="331">
        <v>0.21</v>
      </c>
      <c r="G6952" s="332">
        <v>31964</v>
      </c>
      <c r="H6952" s="333">
        <v>38677</v>
      </c>
    </row>
    <row r="6953" spans="1:8">
      <c r="A6953" s="317">
        <v>1617000752</v>
      </c>
      <c r="B6953" s="330" t="s">
        <v>51312</v>
      </c>
      <c r="C6953" s="330" t="s">
        <v>17046</v>
      </c>
      <c r="D6953" s="330" t="s">
        <v>17047</v>
      </c>
      <c r="E6953" s="330" t="s">
        <v>37248</v>
      </c>
      <c r="F6953" s="331">
        <v>0.21</v>
      </c>
      <c r="G6953" s="332">
        <v>38701</v>
      </c>
      <c r="H6953" s="333">
        <v>46829</v>
      </c>
    </row>
    <row r="6954" spans="1:8">
      <c r="A6954" s="317">
        <v>1617000753</v>
      </c>
      <c r="B6954" s="330" t="s">
        <v>51313</v>
      </c>
      <c r="C6954" s="330" t="s">
        <v>17048</v>
      </c>
      <c r="D6954" s="330" t="s">
        <v>17049</v>
      </c>
      <c r="E6954" s="330" t="s">
        <v>37248</v>
      </c>
      <c r="F6954" s="331">
        <v>0.21</v>
      </c>
      <c r="G6954" s="332">
        <v>41922</v>
      </c>
      <c r="H6954" s="333">
        <v>50726</v>
      </c>
    </row>
    <row r="6955" spans="1:8">
      <c r="A6955" s="317">
        <v>1617000754</v>
      </c>
      <c r="B6955" s="330" t="s">
        <v>51314</v>
      </c>
      <c r="C6955" s="330" t="s">
        <v>17050</v>
      </c>
      <c r="D6955" s="330" t="s">
        <v>17051</v>
      </c>
      <c r="E6955" s="330" t="s">
        <v>4634</v>
      </c>
      <c r="F6955" s="331">
        <v>0.21</v>
      </c>
      <c r="G6955" s="332">
        <v>25655</v>
      </c>
      <c r="H6955" s="333">
        <v>31043</v>
      </c>
    </row>
    <row r="6956" spans="1:8">
      <c r="A6956" s="317">
        <v>1617000755</v>
      </c>
      <c r="B6956" s="330" t="s">
        <v>51315</v>
      </c>
      <c r="C6956" s="330" t="s">
        <v>17052</v>
      </c>
      <c r="D6956" s="330" t="s">
        <v>17053</v>
      </c>
      <c r="E6956" s="330" t="s">
        <v>37248</v>
      </c>
      <c r="F6956" s="331">
        <v>0.21</v>
      </c>
      <c r="G6956" s="332">
        <v>14165</v>
      </c>
      <c r="H6956" s="333">
        <v>17140</v>
      </c>
    </row>
    <row r="6957" spans="1:8">
      <c r="A6957" s="317">
        <v>1617000756</v>
      </c>
      <c r="B6957" s="330" t="s">
        <v>51316</v>
      </c>
      <c r="C6957" s="330" t="s">
        <v>17054</v>
      </c>
      <c r="D6957" s="330" t="s">
        <v>17055</v>
      </c>
      <c r="E6957" s="330" t="s">
        <v>37248</v>
      </c>
      <c r="F6957" s="331">
        <v>0.21</v>
      </c>
      <c r="G6957" s="332">
        <v>7229</v>
      </c>
      <c r="H6957" s="333">
        <v>8748</v>
      </c>
    </row>
    <row r="6958" spans="1:8">
      <c r="A6958" s="317">
        <v>1617000757</v>
      </c>
      <c r="B6958" s="330" t="s">
        <v>51317</v>
      </c>
      <c r="C6958" s="330" t="s">
        <v>17056</v>
      </c>
      <c r="D6958" s="330" t="s">
        <v>17057</v>
      </c>
      <c r="E6958" s="330" t="s">
        <v>37248</v>
      </c>
      <c r="F6958" s="331">
        <v>0.21</v>
      </c>
      <c r="G6958" s="332">
        <v>6984</v>
      </c>
      <c r="H6958" s="333">
        <v>8451</v>
      </c>
    </row>
    <row r="6959" spans="1:8">
      <c r="A6959" s="317">
        <v>1617000758</v>
      </c>
      <c r="B6959" s="330" t="s">
        <v>51318</v>
      </c>
      <c r="C6959" s="330" t="s">
        <v>17058</v>
      </c>
      <c r="D6959" s="330" t="s">
        <v>17059</v>
      </c>
      <c r="E6959" s="330" t="s">
        <v>37248</v>
      </c>
      <c r="F6959" s="331">
        <v>0.21</v>
      </c>
      <c r="G6959" s="332">
        <v>77273</v>
      </c>
      <c r="H6959" s="333">
        <v>93501</v>
      </c>
    </row>
    <row r="6960" spans="1:8">
      <c r="A6960" s="317">
        <v>1617000804</v>
      </c>
      <c r="B6960" s="330" t="s">
        <v>51319</v>
      </c>
      <c r="C6960" s="330" t="s">
        <v>17060</v>
      </c>
      <c r="D6960" s="330" t="s">
        <v>17061</v>
      </c>
      <c r="E6960" s="330" t="s">
        <v>4634</v>
      </c>
      <c r="F6960" s="331">
        <v>0.21</v>
      </c>
      <c r="G6960" s="332">
        <v>28408</v>
      </c>
      <c r="H6960" s="333">
        <v>34374</v>
      </c>
    </row>
    <row r="6961" spans="1:8">
      <c r="A6961" s="317">
        <v>1617000807</v>
      </c>
      <c r="B6961" s="330" t="s">
        <v>51320</v>
      </c>
      <c r="C6961" s="330" t="s">
        <v>17062</v>
      </c>
      <c r="D6961" s="330" t="s">
        <v>17063</v>
      </c>
      <c r="E6961" s="330" t="s">
        <v>37248</v>
      </c>
      <c r="F6961" s="331">
        <v>0.21</v>
      </c>
      <c r="G6961" s="332">
        <v>4566</v>
      </c>
      <c r="H6961" s="333">
        <v>5525</v>
      </c>
    </row>
    <row r="6962" spans="1:8">
      <c r="A6962" s="317">
        <v>1617000811</v>
      </c>
      <c r="B6962" s="330" t="s">
        <v>51321</v>
      </c>
      <c r="C6962" s="330" t="s">
        <v>17064</v>
      </c>
      <c r="D6962" s="330" t="s">
        <v>17065</v>
      </c>
      <c r="E6962" s="330" t="s">
        <v>4634</v>
      </c>
      <c r="F6962" s="331">
        <v>0.21</v>
      </c>
      <c r="G6962" s="332">
        <v>16114</v>
      </c>
      <c r="H6962" s="333">
        <v>19498</v>
      </c>
    </row>
    <row r="6963" spans="1:8">
      <c r="A6963" s="317">
        <v>1617000812</v>
      </c>
      <c r="B6963" s="330" t="s">
        <v>51322</v>
      </c>
      <c r="C6963" s="330" t="s">
        <v>17066</v>
      </c>
      <c r="D6963" s="330" t="s">
        <v>17067</v>
      </c>
      <c r="E6963" s="330" t="s">
        <v>4634</v>
      </c>
      <c r="F6963" s="331">
        <v>0.21</v>
      </c>
      <c r="G6963" s="332">
        <v>32229</v>
      </c>
      <c r="H6963" s="333">
        <v>38998</v>
      </c>
    </row>
    <row r="6964" spans="1:8">
      <c r="A6964" s="317">
        <v>1617000817</v>
      </c>
      <c r="B6964" s="330" t="s">
        <v>51323</v>
      </c>
      <c r="C6964" s="330" t="s">
        <v>17068</v>
      </c>
      <c r="D6964" s="330" t="s">
        <v>17069</v>
      </c>
      <c r="E6964" s="330" t="s">
        <v>4634</v>
      </c>
      <c r="F6964" s="331">
        <v>0.21</v>
      </c>
      <c r="G6964" s="332">
        <v>110940</v>
      </c>
      <c r="H6964" s="333">
        <v>134238</v>
      </c>
    </row>
    <row r="6965" spans="1:8">
      <c r="A6965" s="317">
        <v>1617000818</v>
      </c>
      <c r="B6965" s="330" t="s">
        <v>51324</v>
      </c>
      <c r="C6965" s="330" t="s">
        <v>17070</v>
      </c>
      <c r="D6965" s="330" t="s">
        <v>17071</v>
      </c>
      <c r="E6965" s="330" t="s">
        <v>4634</v>
      </c>
      <c r="F6965" s="331">
        <v>0.21</v>
      </c>
      <c r="G6965" s="332">
        <v>32714</v>
      </c>
      <c r="H6965" s="333">
        <v>39584</v>
      </c>
    </row>
    <row r="6966" spans="1:8">
      <c r="A6966" s="317">
        <v>1617000824</v>
      </c>
      <c r="B6966" s="330" t="s">
        <v>51325</v>
      </c>
      <c r="C6966" s="330" t="s">
        <v>17072</v>
      </c>
      <c r="D6966" s="330" t="s">
        <v>17073</v>
      </c>
      <c r="E6966" s="330" t="s">
        <v>4819</v>
      </c>
      <c r="F6966" s="331">
        <v>0.21</v>
      </c>
      <c r="G6966" s="332">
        <v>12982</v>
      </c>
      <c r="H6966" s="333">
        <v>15709</v>
      </c>
    </row>
    <row r="6967" spans="1:8">
      <c r="A6967" s="317">
        <v>1617000825</v>
      </c>
      <c r="B6967" s="330" t="s">
        <v>51326</v>
      </c>
      <c r="C6967" s="330" t="s">
        <v>17074</v>
      </c>
      <c r="D6967" s="330" t="s">
        <v>17075</v>
      </c>
      <c r="E6967" s="330" t="s">
        <v>4634</v>
      </c>
      <c r="F6967" s="331">
        <v>0.21</v>
      </c>
      <c r="G6967" s="332">
        <v>53835</v>
      </c>
      <c r="H6967" s="333">
        <v>65141</v>
      </c>
    </row>
    <row r="6968" spans="1:8">
      <c r="A6968" s="317">
        <v>1617000826</v>
      </c>
      <c r="B6968" s="330" t="s">
        <v>51327</v>
      </c>
      <c r="C6968" s="330" t="s">
        <v>17076</v>
      </c>
      <c r="D6968" s="330" t="s">
        <v>17077</v>
      </c>
      <c r="E6968" s="330" t="s">
        <v>4634</v>
      </c>
      <c r="F6968" s="331">
        <v>0.21</v>
      </c>
      <c r="G6968" s="332">
        <v>13721</v>
      </c>
      <c r="H6968" s="333">
        <v>16603</v>
      </c>
    </row>
    <row r="6969" spans="1:8">
      <c r="A6969" s="317">
        <v>1617000828</v>
      </c>
      <c r="B6969" s="330" t="s">
        <v>51328</v>
      </c>
      <c r="C6969" s="330" t="s">
        <v>17078</v>
      </c>
      <c r="D6969" s="330" t="s">
        <v>17079</v>
      </c>
      <c r="E6969" s="330" t="s">
        <v>4819</v>
      </c>
      <c r="F6969" s="331">
        <v>0.21</v>
      </c>
      <c r="G6969" s="332">
        <v>251213</v>
      </c>
      <c r="H6969" s="333">
        <v>303968</v>
      </c>
    </row>
    <row r="6970" spans="1:8">
      <c r="A6970" s="317">
        <v>1617000829</v>
      </c>
      <c r="B6970" s="330" t="s">
        <v>51329</v>
      </c>
      <c r="C6970" s="330" t="s">
        <v>17080</v>
      </c>
      <c r="D6970" s="330" t="s">
        <v>17081</v>
      </c>
      <c r="E6970" s="330" t="s">
        <v>4634</v>
      </c>
      <c r="F6970" s="331">
        <v>0.21</v>
      </c>
      <c r="G6970" s="332">
        <v>5708</v>
      </c>
      <c r="H6970" s="333">
        <v>6907</v>
      </c>
    </row>
    <row r="6971" spans="1:8">
      <c r="A6971" s="317">
        <v>1617000830</v>
      </c>
      <c r="B6971" s="330" t="s">
        <v>51330</v>
      </c>
      <c r="C6971" s="330" t="s">
        <v>17082</v>
      </c>
      <c r="D6971" s="330" t="s">
        <v>17083</v>
      </c>
      <c r="E6971" s="330" t="s">
        <v>4623</v>
      </c>
      <c r="F6971" s="331">
        <v>0.21</v>
      </c>
      <c r="G6971" s="332">
        <v>82834</v>
      </c>
      <c r="H6971" s="333">
        <v>100230</v>
      </c>
    </row>
    <row r="6972" spans="1:8">
      <c r="A6972" s="317">
        <v>1617000834</v>
      </c>
      <c r="B6972" s="330" t="s">
        <v>51331</v>
      </c>
      <c r="C6972" s="330" t="s">
        <v>17084</v>
      </c>
      <c r="D6972" s="330" t="s">
        <v>17085</v>
      </c>
      <c r="E6972" s="330" t="s">
        <v>4819</v>
      </c>
      <c r="F6972" s="331">
        <v>0.21</v>
      </c>
      <c r="G6972" s="332">
        <v>19811</v>
      </c>
      <c r="H6972" s="333">
        <v>23972</v>
      </c>
    </row>
    <row r="6973" spans="1:8">
      <c r="A6973" s="317">
        <v>1617000835</v>
      </c>
      <c r="B6973" s="330" t="s">
        <v>51332</v>
      </c>
      <c r="C6973" s="330" t="s">
        <v>17086</v>
      </c>
      <c r="D6973" s="330" t="s">
        <v>14595</v>
      </c>
      <c r="E6973" s="330" t="s">
        <v>4819</v>
      </c>
      <c r="F6973" s="331">
        <v>0.21</v>
      </c>
      <c r="G6973" s="332">
        <v>33082</v>
      </c>
      <c r="H6973" s="333">
        <v>40030</v>
      </c>
    </row>
    <row r="6974" spans="1:8">
      <c r="A6974" s="317">
        <v>1617000837</v>
      </c>
      <c r="B6974" s="330" t="s">
        <v>51333</v>
      </c>
      <c r="C6974" s="330" t="s">
        <v>17087</v>
      </c>
      <c r="D6974" s="330" t="s">
        <v>17088</v>
      </c>
      <c r="E6974" s="330" t="s">
        <v>4634</v>
      </c>
      <c r="F6974" s="331">
        <v>0.21</v>
      </c>
      <c r="G6974" s="332">
        <v>103549</v>
      </c>
      <c r="H6974" s="333">
        <v>125295</v>
      </c>
    </row>
    <row r="6975" spans="1:8">
      <c r="A6975" s="317">
        <v>1617000839</v>
      </c>
      <c r="B6975" s="330" t="s">
        <v>51334</v>
      </c>
      <c r="C6975" s="330" t="s">
        <v>17089</v>
      </c>
      <c r="D6975" s="330" t="s">
        <v>17090</v>
      </c>
      <c r="E6975" s="330" t="s">
        <v>4634</v>
      </c>
      <c r="F6975" s="331">
        <v>0.21</v>
      </c>
      <c r="G6975" s="332">
        <v>5123</v>
      </c>
      <c r="H6975" s="333">
        <v>6199</v>
      </c>
    </row>
    <row r="6976" spans="1:8">
      <c r="A6976" s="317">
        <v>1617000840</v>
      </c>
      <c r="B6976" s="330" t="s">
        <v>51335</v>
      </c>
      <c r="C6976" s="330" t="s">
        <v>17091</v>
      </c>
      <c r="D6976" s="330" t="s">
        <v>17092</v>
      </c>
      <c r="E6976" s="330" t="s">
        <v>4819</v>
      </c>
      <c r="F6976" s="331">
        <v>0.21</v>
      </c>
      <c r="G6976" s="332">
        <v>110345</v>
      </c>
      <c r="H6976" s="333">
        <v>133518</v>
      </c>
    </row>
    <row r="6977" spans="1:8">
      <c r="A6977" s="317">
        <v>1617000841</v>
      </c>
      <c r="B6977" s="330" t="s">
        <v>51336</v>
      </c>
      <c r="C6977" s="330" t="s">
        <v>17093</v>
      </c>
      <c r="D6977" s="330" t="s">
        <v>17094</v>
      </c>
      <c r="E6977" s="330" t="s">
        <v>4634</v>
      </c>
      <c r="F6977" s="331">
        <v>0.21</v>
      </c>
      <c r="G6977" s="332">
        <v>26847</v>
      </c>
      <c r="H6977" s="333">
        <v>32485</v>
      </c>
    </row>
    <row r="6978" spans="1:8">
      <c r="A6978" s="317">
        <v>1617000842</v>
      </c>
      <c r="B6978" s="330" t="s">
        <v>51337</v>
      </c>
      <c r="C6978" s="330" t="s">
        <v>17095</v>
      </c>
      <c r="D6978" s="330" t="s">
        <v>6458</v>
      </c>
      <c r="E6978" s="330" t="s">
        <v>4819</v>
      </c>
      <c r="F6978" s="331">
        <v>0.21</v>
      </c>
      <c r="G6978" s="332">
        <v>27420</v>
      </c>
      <c r="H6978" s="333">
        <v>33179</v>
      </c>
    </row>
    <row r="6979" spans="1:8">
      <c r="A6979" s="317">
        <v>1617000843</v>
      </c>
      <c r="B6979" s="330" t="s">
        <v>51338</v>
      </c>
      <c r="C6979" s="330" t="s">
        <v>17096</v>
      </c>
      <c r="D6979" s="330" t="s">
        <v>17097</v>
      </c>
      <c r="E6979" s="330" t="s">
        <v>37248</v>
      </c>
      <c r="F6979" s="331">
        <v>0.21</v>
      </c>
      <c r="G6979" s="332">
        <v>36176</v>
      </c>
      <c r="H6979" s="333">
        <v>43773</v>
      </c>
    </row>
    <row r="6980" spans="1:8">
      <c r="A6980" s="317">
        <v>1617000844</v>
      </c>
      <c r="B6980" s="330" t="s">
        <v>51339</v>
      </c>
      <c r="C6980" s="330" t="s">
        <v>17098</v>
      </c>
      <c r="D6980" s="330" t="s">
        <v>17099</v>
      </c>
      <c r="E6980" s="330" t="s">
        <v>4634</v>
      </c>
      <c r="F6980" s="331">
        <v>0.21</v>
      </c>
      <c r="G6980" s="332">
        <v>39828</v>
      </c>
      <c r="H6980" s="333">
        <v>48192</v>
      </c>
    </row>
    <row r="6981" spans="1:8">
      <c r="A6981" s="317">
        <v>1617000845</v>
      </c>
      <c r="B6981" s="330" t="s">
        <v>51340</v>
      </c>
      <c r="C6981" s="330" t="s">
        <v>17100</v>
      </c>
      <c r="D6981" s="330" t="s">
        <v>17101</v>
      </c>
      <c r="E6981" s="330" t="s">
        <v>4634</v>
      </c>
      <c r="F6981" s="331">
        <v>0.21</v>
      </c>
      <c r="G6981" s="332">
        <v>37012</v>
      </c>
      <c r="H6981" s="333">
        <v>44785</v>
      </c>
    </row>
    <row r="6982" spans="1:8">
      <c r="A6982" s="317">
        <v>1617000849</v>
      </c>
      <c r="B6982" s="330" t="s">
        <v>51341</v>
      </c>
      <c r="C6982" s="330" t="s">
        <v>17102</v>
      </c>
      <c r="D6982" s="330" t="s">
        <v>17103</v>
      </c>
      <c r="E6982" s="330" t="s">
        <v>4623</v>
      </c>
      <c r="F6982" s="331">
        <v>0.21</v>
      </c>
      <c r="G6982" s="332">
        <v>651007</v>
      </c>
      <c r="H6982" s="333">
        <v>787719</v>
      </c>
    </row>
    <row r="6983" spans="1:8">
      <c r="A6983" s="317">
        <v>1617000851</v>
      </c>
      <c r="B6983" s="330" t="s">
        <v>51342</v>
      </c>
      <c r="C6983" s="330" t="s">
        <v>17104</v>
      </c>
      <c r="D6983" s="330" t="s">
        <v>17105</v>
      </c>
      <c r="E6983" s="330" t="s">
        <v>4634</v>
      </c>
      <c r="F6983" s="331">
        <v>0.21</v>
      </c>
      <c r="G6983" s="332">
        <v>290470</v>
      </c>
      <c r="H6983" s="333">
        <v>351469</v>
      </c>
    </row>
    <row r="6984" spans="1:8">
      <c r="A6984" s="317">
        <v>1617000852</v>
      </c>
      <c r="B6984" s="330" t="s">
        <v>51343</v>
      </c>
      <c r="C6984" s="330" t="s">
        <v>17106</v>
      </c>
      <c r="D6984" s="330" t="s">
        <v>17107</v>
      </c>
      <c r="E6984" s="330" t="s">
        <v>4634</v>
      </c>
      <c r="F6984" s="331">
        <v>0.21</v>
      </c>
      <c r="G6984" s="332">
        <v>260912</v>
      </c>
      <c r="H6984" s="333">
        <v>315704</v>
      </c>
    </row>
    <row r="6985" spans="1:8">
      <c r="A6985" s="317">
        <v>1617000853</v>
      </c>
      <c r="B6985" s="330" t="s">
        <v>51344</v>
      </c>
      <c r="C6985" s="330" t="s">
        <v>17108</v>
      </c>
      <c r="D6985" s="330" t="s">
        <v>17109</v>
      </c>
      <c r="E6985" s="330" t="s">
        <v>4634</v>
      </c>
      <c r="F6985" s="331">
        <v>0.21</v>
      </c>
      <c r="G6985" s="332">
        <v>5239</v>
      </c>
      <c r="H6985" s="333">
        <v>6340</v>
      </c>
    </row>
    <row r="6986" spans="1:8">
      <c r="A6986" s="317">
        <v>1617000858</v>
      </c>
      <c r="B6986" s="330" t="s">
        <v>51345</v>
      </c>
      <c r="C6986" s="330" t="s">
        <v>17110</v>
      </c>
      <c r="D6986" s="330" t="s">
        <v>17111</v>
      </c>
      <c r="E6986" s="330" t="s">
        <v>4819</v>
      </c>
      <c r="F6986" s="331">
        <v>0.21</v>
      </c>
      <c r="G6986" s="332">
        <v>19102</v>
      </c>
      <c r="H6986" s="333">
        <v>23114</v>
      </c>
    </row>
    <row r="6987" spans="1:8">
      <c r="A6987" s="317">
        <v>1617000861</v>
      </c>
      <c r="B6987" s="330" t="s">
        <v>51346</v>
      </c>
      <c r="C6987" s="330" t="s">
        <v>17112</v>
      </c>
      <c r="D6987" s="330" t="s">
        <v>17113</v>
      </c>
      <c r="E6987" s="330" t="s">
        <v>4634</v>
      </c>
      <c r="F6987" s="331">
        <v>0.21</v>
      </c>
      <c r="G6987" s="332">
        <v>47878</v>
      </c>
      <c r="H6987" s="333">
        <v>57933</v>
      </c>
    </row>
    <row r="6988" spans="1:8">
      <c r="A6988" s="317">
        <v>1617000872</v>
      </c>
      <c r="B6988" s="330" t="s">
        <v>51347</v>
      </c>
      <c r="C6988" s="330" t="s">
        <v>17114</v>
      </c>
      <c r="D6988" s="330" t="s">
        <v>17115</v>
      </c>
      <c r="E6988" s="330" t="s">
        <v>4819</v>
      </c>
      <c r="F6988" s="331">
        <v>0.21</v>
      </c>
      <c r="G6988" s="332">
        <v>293218</v>
      </c>
      <c r="H6988" s="333">
        <v>354794</v>
      </c>
    </row>
    <row r="6989" spans="1:8">
      <c r="A6989" s="317">
        <v>1617000873</v>
      </c>
      <c r="B6989" s="330" t="s">
        <v>51348</v>
      </c>
      <c r="C6989" s="330" t="s">
        <v>17116</v>
      </c>
      <c r="D6989" s="330" t="s">
        <v>17117</v>
      </c>
      <c r="E6989" s="330" t="s">
        <v>37248</v>
      </c>
      <c r="F6989" s="331">
        <v>0.21</v>
      </c>
      <c r="G6989" s="332">
        <v>15427</v>
      </c>
      <c r="H6989" s="333">
        <v>18667</v>
      </c>
    </row>
    <row r="6990" spans="1:8">
      <c r="A6990" s="317">
        <v>1617000874</v>
      </c>
      <c r="B6990" s="330" t="s">
        <v>51349</v>
      </c>
      <c r="C6990" s="330" t="s">
        <v>17118</v>
      </c>
      <c r="D6990" s="330" t="s">
        <v>17119</v>
      </c>
      <c r="E6990" s="330" t="s">
        <v>37248</v>
      </c>
      <c r="F6990" s="331">
        <v>0.21</v>
      </c>
      <c r="G6990" s="332">
        <v>158165</v>
      </c>
      <c r="H6990" s="333">
        <v>191380</v>
      </c>
    </row>
    <row r="6991" spans="1:8">
      <c r="A6991" s="317">
        <v>1617000875</v>
      </c>
      <c r="B6991" s="330" t="s">
        <v>51350</v>
      </c>
      <c r="C6991" s="330" t="s">
        <v>17120</v>
      </c>
      <c r="D6991" s="330" t="s">
        <v>17121</v>
      </c>
      <c r="E6991" s="330" t="s">
        <v>4819</v>
      </c>
      <c r="F6991" s="331">
        <v>0.21</v>
      </c>
      <c r="G6991" s="332">
        <v>58403</v>
      </c>
      <c r="H6991" s="333">
        <v>70668</v>
      </c>
    </row>
    <row r="6992" spans="1:8">
      <c r="A6992" s="317">
        <v>1617000876</v>
      </c>
      <c r="B6992" s="330" t="s">
        <v>51351</v>
      </c>
      <c r="C6992" s="330" t="s">
        <v>17122</v>
      </c>
      <c r="D6992" s="330" t="s">
        <v>17123</v>
      </c>
      <c r="E6992" s="330" t="s">
        <v>37248</v>
      </c>
      <c r="F6992" s="331">
        <v>0.21</v>
      </c>
      <c r="G6992" s="332">
        <v>123374</v>
      </c>
      <c r="H6992" s="333">
        <v>149283</v>
      </c>
    </row>
    <row r="6993" spans="1:8">
      <c r="A6993" s="317">
        <v>1617000883</v>
      </c>
      <c r="B6993" s="330" t="s">
        <v>51352</v>
      </c>
      <c r="C6993" s="330" t="s">
        <v>17124</v>
      </c>
      <c r="D6993" s="330" t="s">
        <v>17125</v>
      </c>
      <c r="E6993" s="330" t="s">
        <v>4634</v>
      </c>
      <c r="F6993" s="331">
        <v>0.21</v>
      </c>
      <c r="G6993" s="332">
        <v>9904</v>
      </c>
      <c r="H6993" s="333">
        <v>11984</v>
      </c>
    </row>
    <row r="6994" spans="1:8">
      <c r="A6994" s="317">
        <v>1617000884</v>
      </c>
      <c r="B6994" s="330" t="s">
        <v>51353</v>
      </c>
      <c r="C6994" s="330" t="s">
        <v>17126</v>
      </c>
      <c r="D6994" s="330" t="s">
        <v>17127</v>
      </c>
      <c r="E6994" s="330" t="s">
        <v>4634</v>
      </c>
      <c r="F6994" s="331">
        <v>0.21</v>
      </c>
      <c r="G6994" s="332">
        <v>11644</v>
      </c>
      <c r="H6994" s="333">
        <v>14090</v>
      </c>
    </row>
    <row r="6995" spans="1:8">
      <c r="A6995" s="317">
        <v>1617000889</v>
      </c>
      <c r="B6995" s="330" t="s">
        <v>51354</v>
      </c>
      <c r="C6995" s="330" t="s">
        <v>17128</v>
      </c>
      <c r="D6995" s="330" t="s">
        <v>17129</v>
      </c>
      <c r="E6995" s="330" t="s">
        <v>4819</v>
      </c>
      <c r="F6995" s="331">
        <v>0.21</v>
      </c>
      <c r="G6995" s="332">
        <v>63329</v>
      </c>
      <c r="H6995" s="333">
        <v>76629</v>
      </c>
    </row>
    <row r="6996" spans="1:8">
      <c r="A6996" s="317">
        <v>1617000890</v>
      </c>
      <c r="B6996" s="330" t="s">
        <v>51355</v>
      </c>
      <c r="C6996" s="330" t="s">
        <v>17130</v>
      </c>
      <c r="D6996" s="330" t="s">
        <v>10846</v>
      </c>
      <c r="E6996" s="330" t="s">
        <v>4634</v>
      </c>
      <c r="F6996" s="331">
        <v>0.21</v>
      </c>
      <c r="G6996" s="332">
        <v>50080</v>
      </c>
      <c r="H6996" s="333">
        <v>60597</v>
      </c>
    </row>
    <row r="6997" spans="1:8">
      <c r="A6997" s="317">
        <v>1617000892</v>
      </c>
      <c r="B6997" s="330" t="s">
        <v>51356</v>
      </c>
      <c r="C6997" s="330" t="s">
        <v>17131</v>
      </c>
      <c r="D6997" s="330" t="s">
        <v>17132</v>
      </c>
      <c r="E6997" s="330" t="s">
        <v>4634</v>
      </c>
      <c r="F6997" s="331">
        <v>0.21</v>
      </c>
      <c r="G6997" s="332">
        <v>11019</v>
      </c>
      <c r="H6997" s="333">
        <v>13333</v>
      </c>
    </row>
    <row r="6998" spans="1:8">
      <c r="A6998" s="317" t="s">
        <v>17133</v>
      </c>
      <c r="B6998" s="330" t="s">
        <v>17133</v>
      </c>
      <c r="C6998" s="330" t="s">
        <v>17134</v>
      </c>
      <c r="D6998" s="330" t="s">
        <v>17135</v>
      </c>
      <c r="E6998" s="330" t="s">
        <v>4819</v>
      </c>
      <c r="F6998" s="331">
        <v>0.21</v>
      </c>
      <c r="G6998" s="332">
        <v>27982</v>
      </c>
      <c r="H6998" s="333">
        <v>33859</v>
      </c>
    </row>
    <row r="6999" spans="1:8">
      <c r="A6999" s="317">
        <v>1617000895</v>
      </c>
      <c r="B6999" s="330" t="s">
        <v>51357</v>
      </c>
      <c r="C6999" s="330" t="s">
        <v>17136</v>
      </c>
      <c r="D6999" s="330" t="s">
        <v>17137</v>
      </c>
      <c r="E6999" s="330" t="s">
        <v>37248</v>
      </c>
      <c r="F6999" s="331">
        <v>0.21</v>
      </c>
      <c r="G6999" s="332">
        <v>51095</v>
      </c>
      <c r="H6999" s="333">
        <v>61825</v>
      </c>
    </row>
    <row r="7000" spans="1:8">
      <c r="A7000" s="317">
        <v>1617000897</v>
      </c>
      <c r="B7000" s="330" t="s">
        <v>51358</v>
      </c>
      <c r="C7000" s="330" t="s">
        <v>17138</v>
      </c>
      <c r="D7000" s="330" t="s">
        <v>17139</v>
      </c>
      <c r="E7000" s="330" t="s">
        <v>37248</v>
      </c>
      <c r="F7000" s="331">
        <v>0.21</v>
      </c>
      <c r="G7000" s="332">
        <v>52427</v>
      </c>
      <c r="H7000" s="333">
        <v>63437</v>
      </c>
    </row>
    <row r="7001" spans="1:8">
      <c r="A7001" s="317">
        <v>1617000898</v>
      </c>
      <c r="B7001" s="330" t="s">
        <v>51359</v>
      </c>
      <c r="C7001" s="330" t="s">
        <v>17140</v>
      </c>
      <c r="D7001" s="330" t="s">
        <v>10548</v>
      </c>
      <c r="E7001" s="330" t="s">
        <v>4819</v>
      </c>
      <c r="F7001" s="331">
        <v>0.21</v>
      </c>
      <c r="G7001" s="332">
        <v>191391</v>
      </c>
      <c r="H7001" s="333">
        <v>231584</v>
      </c>
    </row>
    <row r="7002" spans="1:8">
      <c r="A7002" s="317">
        <v>1617000899</v>
      </c>
      <c r="B7002" s="330" t="s">
        <v>51360</v>
      </c>
      <c r="C7002" s="330" t="s">
        <v>17141</v>
      </c>
      <c r="D7002" s="330" t="s">
        <v>17142</v>
      </c>
      <c r="E7002" s="330" t="s">
        <v>37248</v>
      </c>
      <c r="F7002" s="331">
        <v>0.21</v>
      </c>
      <c r="G7002" s="332">
        <v>59032</v>
      </c>
      <c r="H7002" s="333">
        <v>71429</v>
      </c>
    </row>
    <row r="7003" spans="1:8">
      <c r="A7003" s="317">
        <v>1617000915</v>
      </c>
      <c r="B7003" s="330" t="s">
        <v>51361</v>
      </c>
      <c r="C7003" s="330" t="s">
        <v>17143</v>
      </c>
      <c r="D7003" s="330" t="s">
        <v>17144</v>
      </c>
      <c r="E7003" s="330" t="s">
        <v>4634</v>
      </c>
      <c r="F7003" s="331">
        <v>0.21</v>
      </c>
      <c r="G7003" s="332">
        <v>13366</v>
      </c>
      <c r="H7003" s="333">
        <v>16173</v>
      </c>
    </row>
    <row r="7004" spans="1:8">
      <c r="A7004" s="317">
        <v>1617000917</v>
      </c>
      <c r="B7004" s="330" t="s">
        <v>51362</v>
      </c>
      <c r="C7004" s="330" t="s">
        <v>17145</v>
      </c>
      <c r="D7004" s="330" t="s">
        <v>17146</v>
      </c>
      <c r="E7004" s="330" t="s">
        <v>4634</v>
      </c>
      <c r="F7004" s="331">
        <v>0.21</v>
      </c>
      <c r="G7004" s="332">
        <v>134209</v>
      </c>
      <c r="H7004" s="333">
        <v>162393</v>
      </c>
    </row>
    <row r="7005" spans="1:8">
      <c r="A7005" s="317">
        <v>1617000918</v>
      </c>
      <c r="B7005" s="330" t="s">
        <v>51363</v>
      </c>
      <c r="C7005" s="330" t="s">
        <v>17147</v>
      </c>
      <c r="D7005" s="330" t="s">
        <v>17148</v>
      </c>
      <c r="E7005" s="330" t="s">
        <v>4634</v>
      </c>
      <c r="F7005" s="331">
        <v>0.21</v>
      </c>
      <c r="G7005" s="332">
        <v>81612</v>
      </c>
      <c r="H7005" s="333">
        <v>98751</v>
      </c>
    </row>
    <row r="7006" spans="1:8">
      <c r="A7006" s="317">
        <v>1617000930</v>
      </c>
      <c r="B7006" s="330" t="s">
        <v>51364</v>
      </c>
      <c r="C7006" s="330" t="s">
        <v>17149</v>
      </c>
      <c r="D7006" s="330" t="s">
        <v>17150</v>
      </c>
      <c r="E7006" s="330" t="s">
        <v>4634</v>
      </c>
      <c r="F7006" s="331">
        <v>0.21</v>
      </c>
      <c r="G7006" s="332">
        <v>40925</v>
      </c>
      <c r="H7006" s="333">
        <v>49520</v>
      </c>
    </row>
    <row r="7007" spans="1:8">
      <c r="A7007" s="317">
        <v>1617000931</v>
      </c>
      <c r="B7007" s="330" t="s">
        <v>51365</v>
      </c>
      <c r="C7007" s="330" t="s">
        <v>17151</v>
      </c>
      <c r="D7007" s="330" t="s">
        <v>17152</v>
      </c>
      <c r="E7007" s="330" t="s">
        <v>4819</v>
      </c>
      <c r="F7007" s="331">
        <v>0.21</v>
      </c>
      <c r="G7007" s="332">
        <v>88266</v>
      </c>
      <c r="H7007" s="333">
        <v>106802</v>
      </c>
    </row>
    <row r="7008" spans="1:8">
      <c r="A7008" s="317">
        <v>1617000932</v>
      </c>
      <c r="B7008" s="330" t="s">
        <v>51366</v>
      </c>
      <c r="C7008" s="330" t="s">
        <v>17153</v>
      </c>
      <c r="D7008" s="330" t="s">
        <v>17154</v>
      </c>
      <c r="E7008" s="330" t="s">
        <v>4634</v>
      </c>
      <c r="F7008" s="331">
        <v>0.21</v>
      </c>
      <c r="G7008" s="332">
        <v>17471</v>
      </c>
      <c r="H7008" s="333">
        <v>21140</v>
      </c>
    </row>
    <row r="7009" spans="1:8">
      <c r="A7009" s="317">
        <v>1617000934</v>
      </c>
      <c r="B7009" s="330" t="s">
        <v>51367</v>
      </c>
      <c r="C7009" s="330" t="s">
        <v>17155</v>
      </c>
      <c r="D7009" s="330" t="s">
        <v>17156</v>
      </c>
      <c r="E7009" s="330" t="s">
        <v>4634</v>
      </c>
      <c r="F7009" s="331">
        <v>0.21</v>
      </c>
      <c r="G7009" s="332">
        <v>23945</v>
      </c>
      <c r="H7009" s="333">
        <v>28974</v>
      </c>
    </row>
    <row r="7010" spans="1:8">
      <c r="A7010" s="317">
        <v>1617000936</v>
      </c>
      <c r="B7010" s="330" t="s">
        <v>51368</v>
      </c>
      <c r="C7010" s="330" t="s">
        <v>17157</v>
      </c>
      <c r="D7010" s="330" t="s">
        <v>17158</v>
      </c>
      <c r="E7010" s="330" t="s">
        <v>4634</v>
      </c>
      <c r="F7010" s="331">
        <v>0.21</v>
      </c>
      <c r="G7010" s="332">
        <v>26847</v>
      </c>
      <c r="H7010" s="333">
        <v>32485</v>
      </c>
    </row>
    <row r="7011" spans="1:8">
      <c r="A7011" s="317">
        <v>1617000938</v>
      </c>
      <c r="B7011" s="330" t="s">
        <v>51369</v>
      </c>
      <c r="C7011" s="330" t="s">
        <v>17159</v>
      </c>
      <c r="D7011" s="330" t="s">
        <v>17160</v>
      </c>
      <c r="E7011" s="330" t="s">
        <v>4634</v>
      </c>
      <c r="F7011" s="331">
        <v>0.21</v>
      </c>
      <c r="G7011" s="332">
        <v>26162</v>
      </c>
      <c r="H7011" s="333">
        <v>31657</v>
      </c>
    </row>
    <row r="7012" spans="1:8">
      <c r="A7012" s="317">
        <v>1617000945</v>
      </c>
      <c r="B7012" s="330" t="s">
        <v>51370</v>
      </c>
      <c r="C7012" s="330" t="s">
        <v>17161</v>
      </c>
      <c r="D7012" s="330" t="s">
        <v>17162</v>
      </c>
      <c r="E7012" s="330" t="s">
        <v>4634</v>
      </c>
      <c r="F7012" s="331">
        <v>0.21</v>
      </c>
      <c r="G7012" s="332">
        <v>1782</v>
      </c>
      <c r="H7012" s="333">
        <v>2157</v>
      </c>
    </row>
    <row r="7013" spans="1:8">
      <c r="A7013" s="317">
        <v>1617000948</v>
      </c>
      <c r="B7013" s="330" t="s">
        <v>51371</v>
      </c>
      <c r="C7013" s="330" t="s">
        <v>17163</v>
      </c>
      <c r="D7013" s="330" t="s">
        <v>17164</v>
      </c>
      <c r="E7013" s="330" t="s">
        <v>4634</v>
      </c>
      <c r="F7013" s="331">
        <v>0.21</v>
      </c>
      <c r="G7013" s="332">
        <v>31016</v>
      </c>
      <c r="H7013" s="333">
        <v>37530</v>
      </c>
    </row>
    <row r="7014" spans="1:8">
      <c r="A7014" s="317">
        <v>1617000949</v>
      </c>
      <c r="B7014" s="330" t="s">
        <v>51372</v>
      </c>
      <c r="C7014" s="330" t="s">
        <v>17165</v>
      </c>
      <c r="D7014" s="330" t="s">
        <v>17166</v>
      </c>
      <c r="E7014" s="330" t="s">
        <v>4634</v>
      </c>
      <c r="F7014" s="331">
        <v>0.21</v>
      </c>
      <c r="G7014" s="332">
        <v>4737</v>
      </c>
      <c r="H7014" s="333">
        <v>5732</v>
      </c>
    </row>
    <row r="7015" spans="1:8">
      <c r="A7015" s="317">
        <v>1617000957</v>
      </c>
      <c r="B7015" s="330" t="s">
        <v>51373</v>
      </c>
      <c r="C7015" s="330" t="s">
        <v>17167</v>
      </c>
      <c r="D7015" s="330" t="s">
        <v>17168</v>
      </c>
      <c r="E7015" s="330" t="s">
        <v>4634</v>
      </c>
      <c r="F7015" s="331">
        <v>0.21</v>
      </c>
      <c r="G7015" s="332">
        <v>6763</v>
      </c>
      <c r="H7015" s="333">
        <v>8184</v>
      </c>
    </row>
    <row r="7016" spans="1:8">
      <c r="A7016" s="317">
        <v>1617000958</v>
      </c>
      <c r="B7016" s="330" t="s">
        <v>51374</v>
      </c>
      <c r="C7016" s="330" t="s">
        <v>17169</v>
      </c>
      <c r="D7016" s="330" t="s">
        <v>17170</v>
      </c>
      <c r="E7016" s="330" t="s">
        <v>4634</v>
      </c>
      <c r="F7016" s="331">
        <v>0.21</v>
      </c>
      <c r="G7016" s="332">
        <v>36138</v>
      </c>
      <c r="H7016" s="333">
        <v>43727</v>
      </c>
    </row>
    <row r="7017" spans="1:8">
      <c r="A7017" s="317">
        <v>1617000960</v>
      </c>
      <c r="B7017" s="330" t="s">
        <v>51375</v>
      </c>
      <c r="C7017" s="330" t="s">
        <v>17171</v>
      </c>
      <c r="D7017" s="330" t="s">
        <v>17172</v>
      </c>
      <c r="E7017" s="330" t="s">
        <v>4634</v>
      </c>
      <c r="F7017" s="331">
        <v>0.21</v>
      </c>
      <c r="G7017" s="332">
        <v>35067</v>
      </c>
      <c r="H7017" s="333">
        <v>42432</v>
      </c>
    </row>
    <row r="7018" spans="1:8">
      <c r="A7018" s="317">
        <v>1617000962</v>
      </c>
      <c r="B7018" s="330" t="s">
        <v>51376</v>
      </c>
      <c r="C7018" s="330" t="s">
        <v>17173</v>
      </c>
      <c r="D7018" s="330" t="s">
        <v>17174</v>
      </c>
      <c r="E7018" s="330" t="s">
        <v>4634</v>
      </c>
      <c r="F7018" s="331">
        <v>0.21</v>
      </c>
      <c r="G7018" s="332">
        <v>28408</v>
      </c>
      <c r="H7018" s="333">
        <v>34374</v>
      </c>
    </row>
    <row r="7019" spans="1:8">
      <c r="A7019" s="317">
        <v>1617000967</v>
      </c>
      <c r="B7019" s="330" t="s">
        <v>51377</v>
      </c>
      <c r="C7019" s="330" t="s">
        <v>17175</v>
      </c>
      <c r="D7019" s="330" t="s">
        <v>17176</v>
      </c>
      <c r="E7019" s="330" t="s">
        <v>4634</v>
      </c>
      <c r="F7019" s="331">
        <v>0.21</v>
      </c>
      <c r="G7019" s="332">
        <v>46770</v>
      </c>
      <c r="H7019" s="333">
        <v>56592</v>
      </c>
    </row>
    <row r="7020" spans="1:8">
      <c r="A7020" s="317">
        <v>1617000969</v>
      </c>
      <c r="B7020" s="330" t="s">
        <v>51378</v>
      </c>
      <c r="C7020" s="330" t="s">
        <v>17177</v>
      </c>
      <c r="D7020" s="330" t="s">
        <v>17178</v>
      </c>
      <c r="E7020" s="330" t="s">
        <v>37248</v>
      </c>
      <c r="F7020" s="331">
        <v>0.21</v>
      </c>
      <c r="G7020" s="332">
        <v>276802</v>
      </c>
      <c r="H7020" s="333">
        <v>334931</v>
      </c>
    </row>
    <row r="7021" spans="1:8">
      <c r="A7021" s="317">
        <v>1617000970</v>
      </c>
      <c r="B7021" s="330" t="s">
        <v>51379</v>
      </c>
      <c r="C7021" s="330" t="s">
        <v>17179</v>
      </c>
      <c r="D7021" s="330" t="s">
        <v>17180</v>
      </c>
      <c r="E7021" s="330" t="s">
        <v>4634</v>
      </c>
      <c r="F7021" s="331">
        <v>0.21</v>
      </c>
      <c r="G7021" s="332">
        <v>437</v>
      </c>
      <c r="H7021" s="333">
        <v>529</v>
      </c>
    </row>
    <row r="7022" spans="1:8">
      <c r="A7022" s="317">
        <v>1617000971</v>
      </c>
      <c r="B7022" s="330" t="s">
        <v>51380</v>
      </c>
      <c r="C7022" s="330" t="s">
        <v>17181</v>
      </c>
      <c r="D7022" s="330" t="s">
        <v>17182</v>
      </c>
      <c r="E7022" s="330" t="s">
        <v>4634</v>
      </c>
      <c r="F7022" s="331">
        <v>0.21</v>
      </c>
      <c r="G7022" s="332">
        <v>19806</v>
      </c>
      <c r="H7022" s="333">
        <v>23966</v>
      </c>
    </row>
    <row r="7023" spans="1:8">
      <c r="A7023" s="317">
        <v>1617000972</v>
      </c>
      <c r="B7023" s="330" t="s">
        <v>51381</v>
      </c>
      <c r="C7023" s="330" t="s">
        <v>17183</v>
      </c>
      <c r="D7023" s="330" t="s">
        <v>17184</v>
      </c>
      <c r="E7023" s="330" t="s">
        <v>4634</v>
      </c>
      <c r="F7023" s="331">
        <v>0.21</v>
      </c>
      <c r="G7023" s="332">
        <v>9841</v>
      </c>
      <c r="H7023" s="333">
        <v>11908</v>
      </c>
    </row>
    <row r="7024" spans="1:8">
      <c r="A7024" s="317">
        <v>1617000975</v>
      </c>
      <c r="B7024" s="330" t="s">
        <v>51382</v>
      </c>
      <c r="C7024" s="330" t="s">
        <v>17185</v>
      </c>
      <c r="D7024" s="330" t="s">
        <v>17186</v>
      </c>
      <c r="E7024" s="330" t="s">
        <v>4634</v>
      </c>
      <c r="F7024" s="331">
        <v>0.21</v>
      </c>
      <c r="G7024" s="332">
        <v>1258</v>
      </c>
      <c r="H7024" s="333">
        <v>1523</v>
      </c>
    </row>
    <row r="7025" spans="1:8">
      <c r="A7025" s="317">
        <v>1617000976</v>
      </c>
      <c r="B7025" s="330" t="s">
        <v>51383</v>
      </c>
      <c r="C7025" s="330" t="s">
        <v>17187</v>
      </c>
      <c r="D7025" s="330" t="s">
        <v>17188</v>
      </c>
      <c r="E7025" s="330" t="s">
        <v>4634</v>
      </c>
      <c r="F7025" s="331">
        <v>0.21</v>
      </c>
      <c r="G7025" s="332">
        <v>63860</v>
      </c>
      <c r="H7025" s="333">
        <v>77271</v>
      </c>
    </row>
    <row r="7026" spans="1:8">
      <c r="A7026" s="317">
        <v>1617000977</v>
      </c>
      <c r="B7026" s="330" t="s">
        <v>51384</v>
      </c>
      <c r="C7026" s="330" t="s">
        <v>17189</v>
      </c>
      <c r="D7026" s="330" t="s">
        <v>17190</v>
      </c>
      <c r="E7026" s="330" t="s">
        <v>4634</v>
      </c>
      <c r="F7026" s="331">
        <v>0.21</v>
      </c>
      <c r="G7026" s="332">
        <v>24221</v>
      </c>
      <c r="H7026" s="333">
        <v>29308</v>
      </c>
    </row>
    <row r="7027" spans="1:8">
      <c r="A7027" s="317">
        <v>1617000978</v>
      </c>
      <c r="B7027" s="330" t="s">
        <v>51385</v>
      </c>
      <c r="C7027" s="330" t="s">
        <v>17191</v>
      </c>
      <c r="D7027" s="330" t="s">
        <v>17192</v>
      </c>
      <c r="E7027" s="330" t="s">
        <v>4634</v>
      </c>
      <c r="F7027" s="331">
        <v>0.21</v>
      </c>
      <c r="G7027" s="332">
        <v>47945</v>
      </c>
      <c r="H7027" s="333">
        <v>58014</v>
      </c>
    </row>
    <row r="7028" spans="1:8">
      <c r="A7028" s="317">
        <v>1617000980</v>
      </c>
      <c r="B7028" s="330" t="s">
        <v>51386</v>
      </c>
      <c r="C7028" s="330" t="s">
        <v>17193</v>
      </c>
      <c r="D7028" s="330" t="s">
        <v>17194</v>
      </c>
      <c r="E7028" s="330" t="s">
        <v>4634</v>
      </c>
      <c r="F7028" s="331">
        <v>0.21</v>
      </c>
      <c r="G7028" s="332">
        <v>7406</v>
      </c>
      <c r="H7028" s="333">
        <v>8962</v>
      </c>
    </row>
    <row r="7029" spans="1:8">
      <c r="A7029" s="317">
        <v>1617000981</v>
      </c>
      <c r="B7029" s="330" t="s">
        <v>51387</v>
      </c>
      <c r="C7029" s="330" t="s">
        <v>17195</v>
      </c>
      <c r="D7029" s="330" t="s">
        <v>17196</v>
      </c>
      <c r="E7029" s="330" t="s">
        <v>37248</v>
      </c>
      <c r="F7029" s="331">
        <v>0.21</v>
      </c>
      <c r="G7029" s="332">
        <v>36995</v>
      </c>
      <c r="H7029" s="333">
        <v>44764</v>
      </c>
    </row>
    <row r="7030" spans="1:8">
      <c r="A7030" s="317">
        <v>1617000982</v>
      </c>
      <c r="B7030" s="330" t="s">
        <v>51388</v>
      </c>
      <c r="C7030" s="330" t="s">
        <v>17197</v>
      </c>
      <c r="D7030" s="330" t="s">
        <v>16420</v>
      </c>
      <c r="E7030" s="330" t="s">
        <v>4634</v>
      </c>
      <c r="F7030" s="331">
        <v>0.21</v>
      </c>
      <c r="G7030" s="332">
        <v>31058</v>
      </c>
      <c r="H7030" s="333">
        <v>37581</v>
      </c>
    </row>
    <row r="7031" spans="1:8">
      <c r="A7031" s="317">
        <v>1617000984</v>
      </c>
      <c r="B7031" s="330" t="s">
        <v>51389</v>
      </c>
      <c r="C7031" s="330" t="s">
        <v>17198</v>
      </c>
      <c r="D7031" s="330" t="s">
        <v>17199</v>
      </c>
      <c r="E7031" s="330" t="s">
        <v>4634</v>
      </c>
      <c r="F7031" s="331">
        <v>0.21</v>
      </c>
      <c r="G7031" s="332">
        <v>7609</v>
      </c>
      <c r="H7031" s="333">
        <v>9207</v>
      </c>
    </row>
    <row r="7032" spans="1:8">
      <c r="A7032" s="317">
        <v>1617000991</v>
      </c>
      <c r="B7032" s="330" t="s">
        <v>51390</v>
      </c>
      <c r="C7032" s="330" t="s">
        <v>17200</v>
      </c>
      <c r="D7032" s="330" t="s">
        <v>17201</v>
      </c>
      <c r="E7032" s="330" t="s">
        <v>4819</v>
      </c>
      <c r="F7032" s="331">
        <v>0.21</v>
      </c>
      <c r="G7032" s="332">
        <v>24770</v>
      </c>
      <c r="H7032" s="333">
        <v>29972</v>
      </c>
    </row>
    <row r="7033" spans="1:8">
      <c r="A7033" s="317">
        <v>1617000992</v>
      </c>
      <c r="B7033" s="330" t="s">
        <v>51391</v>
      </c>
      <c r="C7033" s="330" t="s">
        <v>17202</v>
      </c>
      <c r="D7033" s="330" t="s">
        <v>17203</v>
      </c>
      <c r="E7033" s="330" t="s">
        <v>4634</v>
      </c>
      <c r="F7033" s="331">
        <v>0.21</v>
      </c>
      <c r="G7033" s="332">
        <v>349514</v>
      </c>
      <c r="H7033" s="333">
        <v>422912</v>
      </c>
    </row>
    <row r="7034" spans="1:8">
      <c r="A7034" s="317">
        <v>1617000993</v>
      </c>
      <c r="B7034" s="330" t="s">
        <v>51392</v>
      </c>
      <c r="C7034" s="330" t="s">
        <v>17204</v>
      </c>
      <c r="D7034" s="330" t="s">
        <v>17205</v>
      </c>
      <c r="E7034" s="330" t="s">
        <v>4634</v>
      </c>
      <c r="F7034" s="331">
        <v>0.21</v>
      </c>
      <c r="G7034" s="332">
        <v>116515</v>
      </c>
      <c r="H7034" s="333">
        <v>140984</v>
      </c>
    </row>
    <row r="7035" spans="1:8">
      <c r="A7035" s="317">
        <v>1617000994</v>
      </c>
      <c r="B7035" s="330" t="s">
        <v>51393</v>
      </c>
      <c r="C7035" s="330" t="s">
        <v>17206</v>
      </c>
      <c r="D7035" s="330" t="s">
        <v>17207</v>
      </c>
      <c r="E7035" s="330" t="s">
        <v>4819</v>
      </c>
      <c r="F7035" s="331">
        <v>0.21</v>
      </c>
      <c r="G7035" s="332">
        <v>125572</v>
      </c>
      <c r="H7035" s="333">
        <v>151943</v>
      </c>
    </row>
    <row r="7036" spans="1:8">
      <c r="A7036" s="317">
        <v>1617000996</v>
      </c>
      <c r="B7036" s="330" t="s">
        <v>51394</v>
      </c>
      <c r="C7036" s="330" t="s">
        <v>17208</v>
      </c>
      <c r="D7036" s="330" t="s">
        <v>17209</v>
      </c>
      <c r="E7036" s="330" t="s">
        <v>4634</v>
      </c>
      <c r="F7036" s="331">
        <v>0.21</v>
      </c>
      <c r="G7036" s="332">
        <v>51155</v>
      </c>
      <c r="H7036" s="333">
        <v>61898</v>
      </c>
    </row>
    <row r="7037" spans="1:8">
      <c r="A7037" s="317">
        <v>1617000999</v>
      </c>
      <c r="B7037" s="330" t="s">
        <v>51395</v>
      </c>
      <c r="C7037" s="330" t="s">
        <v>17210</v>
      </c>
      <c r="D7037" s="330" t="s">
        <v>17211</v>
      </c>
      <c r="E7037" s="330" t="s">
        <v>4634</v>
      </c>
      <c r="F7037" s="331">
        <v>0.21</v>
      </c>
      <c r="G7037" s="332">
        <v>5481</v>
      </c>
      <c r="H7037" s="333">
        <v>6633</v>
      </c>
    </row>
    <row r="7038" spans="1:8">
      <c r="A7038" s="317" t="s">
        <v>40443</v>
      </c>
      <c r="B7038" s="330" t="s">
        <v>51396</v>
      </c>
      <c r="C7038" s="330" t="s">
        <v>17212</v>
      </c>
      <c r="D7038" s="330" t="s">
        <v>17213</v>
      </c>
      <c r="E7038" s="330" t="s">
        <v>37248</v>
      </c>
      <c r="F7038" s="331">
        <v>0.21</v>
      </c>
      <c r="G7038" s="332">
        <v>28404</v>
      </c>
      <c r="H7038" s="333">
        <v>34369</v>
      </c>
    </row>
    <row r="7039" spans="1:8">
      <c r="A7039" s="317" t="s">
        <v>40444</v>
      </c>
      <c r="B7039" s="330" t="s">
        <v>51397</v>
      </c>
      <c r="C7039" s="330" t="s">
        <v>17214</v>
      </c>
      <c r="D7039" s="330" t="s">
        <v>17215</v>
      </c>
      <c r="E7039" s="330" t="s">
        <v>4634</v>
      </c>
      <c r="F7039" s="331">
        <v>0.21</v>
      </c>
      <c r="G7039" s="332">
        <v>10082</v>
      </c>
      <c r="H7039" s="333">
        <v>12200</v>
      </c>
    </row>
    <row r="7040" spans="1:8">
      <c r="A7040" s="317" t="s">
        <v>40445</v>
      </c>
      <c r="B7040" s="330" t="s">
        <v>51398</v>
      </c>
      <c r="C7040" s="330" t="s">
        <v>17216</v>
      </c>
      <c r="D7040" s="330" t="s">
        <v>17217</v>
      </c>
      <c r="E7040" s="330" t="s">
        <v>4634</v>
      </c>
      <c r="F7040" s="331">
        <v>0.21</v>
      </c>
      <c r="G7040" s="332">
        <v>5523</v>
      </c>
      <c r="H7040" s="333">
        <v>6683</v>
      </c>
    </row>
    <row r="7041" spans="1:8">
      <c r="A7041" s="317" t="s">
        <v>40446</v>
      </c>
      <c r="B7041" s="330" t="s">
        <v>51399</v>
      </c>
      <c r="C7041" s="330" t="s">
        <v>17218</v>
      </c>
      <c r="D7041" s="330" t="s">
        <v>17219</v>
      </c>
      <c r="E7041" s="330" t="s">
        <v>4634</v>
      </c>
      <c r="F7041" s="331">
        <v>0.21</v>
      </c>
      <c r="G7041" s="332">
        <v>246165</v>
      </c>
      <c r="H7041" s="333">
        <v>297860</v>
      </c>
    </row>
    <row r="7042" spans="1:8">
      <c r="A7042" s="317" t="s">
        <v>40447</v>
      </c>
      <c r="B7042" s="330" t="s">
        <v>51400</v>
      </c>
      <c r="C7042" s="330" t="s">
        <v>17220</v>
      </c>
      <c r="D7042" s="330" t="s">
        <v>17221</v>
      </c>
      <c r="E7042" s="330" t="s">
        <v>37248</v>
      </c>
      <c r="F7042" s="331">
        <v>0.21</v>
      </c>
      <c r="G7042" s="332">
        <v>35172</v>
      </c>
      <c r="H7042" s="333">
        <v>42559</v>
      </c>
    </row>
    <row r="7043" spans="1:8">
      <c r="A7043" s="317" t="s">
        <v>40448</v>
      </c>
      <c r="B7043" s="330" t="s">
        <v>51401</v>
      </c>
      <c r="C7043" s="330" t="s">
        <v>17222</v>
      </c>
      <c r="D7043" s="330" t="s">
        <v>17223</v>
      </c>
      <c r="E7043" s="330" t="s">
        <v>4819</v>
      </c>
      <c r="F7043" s="331">
        <v>0.21</v>
      </c>
      <c r="G7043" s="332">
        <v>72970</v>
      </c>
      <c r="H7043" s="333">
        <v>88294</v>
      </c>
    </row>
    <row r="7044" spans="1:8">
      <c r="A7044" s="317" t="s">
        <v>40449</v>
      </c>
      <c r="B7044" s="330" t="s">
        <v>51402</v>
      </c>
      <c r="C7044" s="330" t="s">
        <v>17224</v>
      </c>
      <c r="D7044" s="330" t="s">
        <v>14045</v>
      </c>
      <c r="E7044" s="330" t="s">
        <v>4634</v>
      </c>
      <c r="F7044" s="331">
        <v>0.21</v>
      </c>
      <c r="G7044" s="332">
        <v>1547</v>
      </c>
      <c r="H7044" s="333">
        <v>1872</v>
      </c>
    </row>
    <row r="7045" spans="1:8">
      <c r="A7045" s="317" t="s">
        <v>40450</v>
      </c>
      <c r="B7045" s="330" t="s">
        <v>51403</v>
      </c>
      <c r="C7045" s="330" t="s">
        <v>17225</v>
      </c>
      <c r="D7045" s="330" t="s">
        <v>17226</v>
      </c>
      <c r="E7045" s="330" t="s">
        <v>37248</v>
      </c>
      <c r="F7045" s="331">
        <v>0.21</v>
      </c>
      <c r="G7045" s="332">
        <v>24313</v>
      </c>
      <c r="H7045" s="333">
        <v>29419</v>
      </c>
    </row>
    <row r="7046" spans="1:8">
      <c r="A7046" s="317" t="s">
        <v>40451</v>
      </c>
      <c r="B7046" s="330" t="s">
        <v>51404</v>
      </c>
      <c r="C7046" s="330" t="s">
        <v>17227</v>
      </c>
      <c r="D7046" s="330" t="s">
        <v>17228</v>
      </c>
      <c r="E7046" s="330" t="s">
        <v>4819</v>
      </c>
      <c r="F7046" s="331">
        <v>0.21</v>
      </c>
      <c r="G7046" s="332">
        <v>27183</v>
      </c>
      <c r="H7046" s="333">
        <v>32892</v>
      </c>
    </row>
    <row r="7047" spans="1:8">
      <c r="A7047" s="317" t="s">
        <v>40452</v>
      </c>
      <c r="B7047" s="330" t="s">
        <v>51405</v>
      </c>
      <c r="C7047" s="330" t="s">
        <v>17229</v>
      </c>
      <c r="D7047" s="330" t="s">
        <v>17230</v>
      </c>
      <c r="E7047" s="330" t="s">
        <v>37248</v>
      </c>
      <c r="F7047" s="331">
        <v>0.21</v>
      </c>
      <c r="G7047" s="332">
        <v>229436</v>
      </c>
      <c r="H7047" s="333">
        <v>277618</v>
      </c>
    </row>
    <row r="7048" spans="1:8">
      <c r="A7048" s="317" t="s">
        <v>40453</v>
      </c>
      <c r="B7048" s="330" t="s">
        <v>51406</v>
      </c>
      <c r="C7048" s="330" t="s">
        <v>17231</v>
      </c>
      <c r="D7048" s="330" t="s">
        <v>17232</v>
      </c>
      <c r="E7048" s="330" t="s">
        <v>4634</v>
      </c>
      <c r="F7048" s="331">
        <v>0.21</v>
      </c>
      <c r="G7048" s="332">
        <v>35341</v>
      </c>
      <c r="H7048" s="333">
        <v>42763</v>
      </c>
    </row>
    <row r="7049" spans="1:8">
      <c r="A7049" s="317" t="s">
        <v>40454</v>
      </c>
      <c r="B7049" s="330" t="s">
        <v>51407</v>
      </c>
      <c r="C7049" s="330" t="s">
        <v>17233</v>
      </c>
      <c r="D7049" s="330" t="s">
        <v>17234</v>
      </c>
      <c r="E7049" s="330" t="s">
        <v>37248</v>
      </c>
      <c r="F7049" s="331">
        <v>0.21</v>
      </c>
      <c r="G7049" s="332">
        <v>4568</v>
      </c>
      <c r="H7049" s="333">
        <v>5528</v>
      </c>
    </row>
    <row r="7050" spans="1:8">
      <c r="A7050" s="317" t="s">
        <v>40455</v>
      </c>
      <c r="B7050" s="330" t="s">
        <v>51408</v>
      </c>
      <c r="C7050" s="330" t="s">
        <v>17235</v>
      </c>
      <c r="D7050" s="330" t="s">
        <v>17236</v>
      </c>
      <c r="E7050" s="330" t="s">
        <v>37248</v>
      </c>
      <c r="F7050" s="331">
        <v>0.21</v>
      </c>
      <c r="G7050" s="332">
        <v>60571</v>
      </c>
      <c r="H7050" s="333">
        <v>73291</v>
      </c>
    </row>
    <row r="7051" spans="1:8">
      <c r="A7051" s="317" t="s">
        <v>40456</v>
      </c>
      <c r="B7051" s="330" t="s">
        <v>51409</v>
      </c>
      <c r="C7051" s="330" t="s">
        <v>17237</v>
      </c>
      <c r="D7051" s="330" t="s">
        <v>17238</v>
      </c>
      <c r="E7051" s="330" t="s">
        <v>37248</v>
      </c>
      <c r="F7051" s="331">
        <v>0.21</v>
      </c>
      <c r="G7051" s="332">
        <v>31449</v>
      </c>
      <c r="H7051" s="333">
        <v>38054</v>
      </c>
    </row>
    <row r="7052" spans="1:8">
      <c r="A7052" s="317" t="s">
        <v>40457</v>
      </c>
      <c r="B7052" s="330" t="s">
        <v>51410</v>
      </c>
      <c r="C7052" s="330" t="s">
        <v>17239</v>
      </c>
      <c r="D7052" s="330" t="s">
        <v>17240</v>
      </c>
      <c r="E7052" s="330" t="s">
        <v>4634</v>
      </c>
      <c r="F7052" s="331">
        <v>0.21</v>
      </c>
      <c r="G7052" s="332">
        <v>66302</v>
      </c>
      <c r="H7052" s="333">
        <v>80226</v>
      </c>
    </row>
    <row r="7053" spans="1:8">
      <c r="A7053" s="317" t="s">
        <v>40458</v>
      </c>
      <c r="B7053" s="330" t="s">
        <v>51411</v>
      </c>
      <c r="C7053" s="330" t="s">
        <v>17241</v>
      </c>
      <c r="D7053" s="330" t="s">
        <v>7871</v>
      </c>
      <c r="E7053" s="330" t="s">
        <v>37248</v>
      </c>
      <c r="F7053" s="331">
        <v>0.21</v>
      </c>
      <c r="G7053" s="332">
        <v>160552</v>
      </c>
      <c r="H7053" s="333">
        <v>194268</v>
      </c>
    </row>
    <row r="7054" spans="1:8">
      <c r="A7054" s="317" t="s">
        <v>40459</v>
      </c>
      <c r="B7054" s="330" t="s">
        <v>51412</v>
      </c>
      <c r="C7054" s="330" t="s">
        <v>17242</v>
      </c>
      <c r="D7054" s="330" t="s">
        <v>13483</v>
      </c>
      <c r="E7054" s="330" t="s">
        <v>37248</v>
      </c>
      <c r="F7054" s="331">
        <v>0.21</v>
      </c>
      <c r="G7054" s="332">
        <v>59197</v>
      </c>
      <c r="H7054" s="333">
        <v>71629</v>
      </c>
    </row>
    <row r="7055" spans="1:8">
      <c r="A7055" s="317" t="s">
        <v>40460</v>
      </c>
      <c r="B7055" s="330" t="s">
        <v>51413</v>
      </c>
      <c r="C7055" s="330" t="s">
        <v>17243</v>
      </c>
      <c r="D7055" s="330" t="s">
        <v>17244</v>
      </c>
      <c r="E7055" s="330" t="s">
        <v>4634</v>
      </c>
      <c r="F7055" s="331">
        <v>0.21</v>
      </c>
      <c r="G7055" s="332">
        <v>114103</v>
      </c>
      <c r="H7055" s="333">
        <v>138065</v>
      </c>
    </row>
    <row r="7056" spans="1:8">
      <c r="A7056" s="317" t="s">
        <v>40461</v>
      </c>
      <c r="B7056" s="330" t="s">
        <v>51414</v>
      </c>
      <c r="C7056" s="330" t="s">
        <v>17245</v>
      </c>
      <c r="D7056" s="330" t="s">
        <v>17246</v>
      </c>
      <c r="E7056" s="330" t="s">
        <v>37248</v>
      </c>
      <c r="F7056" s="331">
        <v>0.21</v>
      </c>
      <c r="G7056" s="332">
        <v>96110</v>
      </c>
      <c r="H7056" s="333">
        <v>116294</v>
      </c>
    </row>
    <row r="7057" spans="1:8">
      <c r="A7057" s="317" t="s">
        <v>40462</v>
      </c>
      <c r="B7057" s="330" t="s">
        <v>51415</v>
      </c>
      <c r="C7057" s="330" t="s">
        <v>17247</v>
      </c>
      <c r="D7057" s="330" t="s">
        <v>17248</v>
      </c>
      <c r="E7057" s="330" t="s">
        <v>37248</v>
      </c>
      <c r="F7057" s="331">
        <v>0.21</v>
      </c>
      <c r="G7057" s="332">
        <v>71041</v>
      </c>
      <c r="H7057" s="333">
        <v>85960</v>
      </c>
    </row>
    <row r="7058" spans="1:8">
      <c r="A7058" s="317" t="s">
        <v>40463</v>
      </c>
      <c r="B7058" s="330" t="s">
        <v>51416</v>
      </c>
      <c r="C7058" s="330" t="s">
        <v>17249</v>
      </c>
      <c r="D7058" s="330" t="s">
        <v>17250</v>
      </c>
      <c r="E7058" s="330" t="s">
        <v>37248</v>
      </c>
      <c r="F7058" s="331">
        <v>0.21</v>
      </c>
      <c r="G7058" s="332">
        <v>77282</v>
      </c>
      <c r="H7058" s="333">
        <v>93512</v>
      </c>
    </row>
    <row r="7059" spans="1:8">
      <c r="A7059" s="317" t="s">
        <v>40464</v>
      </c>
      <c r="B7059" s="330" t="s">
        <v>51417</v>
      </c>
      <c r="C7059" s="330" t="s">
        <v>17251</v>
      </c>
      <c r="D7059" s="330" t="s">
        <v>17252</v>
      </c>
      <c r="E7059" s="330" t="s">
        <v>37248</v>
      </c>
      <c r="F7059" s="331">
        <v>0.21</v>
      </c>
      <c r="G7059" s="332">
        <v>59218</v>
      </c>
      <c r="H7059" s="333">
        <v>71654</v>
      </c>
    </row>
    <row r="7060" spans="1:8">
      <c r="A7060" s="317" t="s">
        <v>40465</v>
      </c>
      <c r="B7060" s="330" t="s">
        <v>51418</v>
      </c>
      <c r="C7060" s="330" t="s">
        <v>17253</v>
      </c>
      <c r="D7060" s="330" t="s">
        <v>17254</v>
      </c>
      <c r="E7060" s="330" t="s">
        <v>4634</v>
      </c>
      <c r="F7060" s="331">
        <v>0.21</v>
      </c>
      <c r="G7060" s="332">
        <v>7481</v>
      </c>
      <c r="H7060" s="333">
        <v>9053</v>
      </c>
    </row>
    <row r="7061" spans="1:8">
      <c r="A7061" s="317" t="s">
        <v>40466</v>
      </c>
      <c r="B7061" s="330" t="s">
        <v>51419</v>
      </c>
      <c r="C7061" s="330" t="s">
        <v>17255</v>
      </c>
      <c r="D7061" s="330" t="s">
        <v>17256</v>
      </c>
      <c r="E7061" s="330" t="s">
        <v>37248</v>
      </c>
      <c r="F7061" s="331">
        <v>0.21</v>
      </c>
      <c r="G7061" s="332">
        <v>15282</v>
      </c>
      <c r="H7061" s="333">
        <v>18492</v>
      </c>
    </row>
    <row r="7062" spans="1:8">
      <c r="A7062" s="317" t="s">
        <v>40467</v>
      </c>
      <c r="B7062" s="330" t="s">
        <v>51420</v>
      </c>
      <c r="C7062" s="330" t="s">
        <v>17257</v>
      </c>
      <c r="D7062" s="330" t="s">
        <v>17258</v>
      </c>
      <c r="E7062" s="330" t="s">
        <v>37248</v>
      </c>
      <c r="F7062" s="331">
        <v>0.21</v>
      </c>
      <c r="G7062" s="332">
        <v>19994</v>
      </c>
      <c r="H7062" s="333">
        <v>24193</v>
      </c>
    </row>
    <row r="7063" spans="1:8">
      <c r="A7063" s="317" t="s">
        <v>40468</v>
      </c>
      <c r="B7063" s="330" t="s">
        <v>51421</v>
      </c>
      <c r="C7063" s="330" t="s">
        <v>17259</v>
      </c>
      <c r="D7063" s="330" t="s">
        <v>17260</v>
      </c>
      <c r="E7063" s="330" t="s">
        <v>4634</v>
      </c>
      <c r="F7063" s="331">
        <v>0.21</v>
      </c>
      <c r="G7063" s="332">
        <v>13882</v>
      </c>
      <c r="H7063" s="333">
        <v>16798</v>
      </c>
    </row>
    <row r="7064" spans="1:8">
      <c r="A7064" s="317" t="s">
        <v>40469</v>
      </c>
      <c r="B7064" s="330" t="s">
        <v>51422</v>
      </c>
      <c r="C7064" s="330" t="s">
        <v>17261</v>
      </c>
      <c r="D7064" s="330" t="s">
        <v>17262</v>
      </c>
      <c r="E7064" s="330" t="s">
        <v>37248</v>
      </c>
      <c r="F7064" s="331">
        <v>0.21</v>
      </c>
      <c r="G7064" s="332">
        <v>96222</v>
      </c>
      <c r="H7064" s="333">
        <v>116429</v>
      </c>
    </row>
    <row r="7065" spans="1:8">
      <c r="A7065" s="317" t="s">
        <v>40470</v>
      </c>
      <c r="B7065" s="330" t="s">
        <v>51423</v>
      </c>
      <c r="C7065" s="330" t="s">
        <v>17263</v>
      </c>
      <c r="D7065" s="330" t="s">
        <v>17264</v>
      </c>
      <c r="E7065" s="330" t="s">
        <v>37248</v>
      </c>
      <c r="F7065" s="331">
        <v>0.21</v>
      </c>
      <c r="G7065" s="332">
        <v>10343</v>
      </c>
      <c r="H7065" s="333">
        <v>12516</v>
      </c>
    </row>
    <row r="7066" spans="1:8">
      <c r="A7066" s="317" t="s">
        <v>40471</v>
      </c>
      <c r="B7066" s="330" t="s">
        <v>51424</v>
      </c>
      <c r="C7066" s="330" t="s">
        <v>17265</v>
      </c>
      <c r="D7066" s="330" t="s">
        <v>17266</v>
      </c>
      <c r="E7066" s="330" t="s">
        <v>4819</v>
      </c>
      <c r="F7066" s="331">
        <v>0.21</v>
      </c>
      <c r="G7066" s="332">
        <v>71531</v>
      </c>
      <c r="H7066" s="333">
        <v>86553</v>
      </c>
    </row>
    <row r="7067" spans="1:8">
      <c r="A7067" s="317" t="s">
        <v>40472</v>
      </c>
      <c r="B7067" s="330" t="s">
        <v>51425</v>
      </c>
      <c r="C7067" s="330" t="s">
        <v>17267</v>
      </c>
      <c r="D7067" s="330" t="s">
        <v>15369</v>
      </c>
      <c r="E7067" s="330" t="s">
        <v>4819</v>
      </c>
      <c r="F7067" s="331">
        <v>0.21</v>
      </c>
      <c r="G7067" s="332">
        <v>44184</v>
      </c>
      <c r="H7067" s="333">
        <v>53463</v>
      </c>
    </row>
    <row r="7068" spans="1:8">
      <c r="A7068" s="317" t="s">
        <v>40473</v>
      </c>
      <c r="B7068" s="330" t="s">
        <v>51426</v>
      </c>
      <c r="C7068" s="330" t="s">
        <v>17268</v>
      </c>
      <c r="D7068" s="330" t="s">
        <v>17269</v>
      </c>
      <c r="E7068" s="330" t="s">
        <v>4634</v>
      </c>
      <c r="F7068" s="331">
        <v>0.21</v>
      </c>
      <c r="G7068" s="332">
        <v>8572</v>
      </c>
      <c r="H7068" s="333">
        <v>10373</v>
      </c>
    </row>
    <row r="7069" spans="1:8">
      <c r="A7069" s="317" t="s">
        <v>40474</v>
      </c>
      <c r="B7069" s="330" t="s">
        <v>51427</v>
      </c>
      <c r="C7069" s="330" t="s">
        <v>17270</v>
      </c>
      <c r="D7069" s="330" t="s">
        <v>17271</v>
      </c>
      <c r="E7069" s="330" t="s">
        <v>4634</v>
      </c>
      <c r="F7069" s="331">
        <v>0.21</v>
      </c>
      <c r="G7069" s="332">
        <v>14058</v>
      </c>
      <c r="H7069" s="333">
        <v>17011</v>
      </c>
    </row>
    <row r="7070" spans="1:8">
      <c r="A7070" s="317" t="s">
        <v>40475</v>
      </c>
      <c r="B7070" s="330" t="s">
        <v>51428</v>
      </c>
      <c r="C7070" s="330" t="s">
        <v>17272</v>
      </c>
      <c r="D7070" s="330" t="s">
        <v>17273</v>
      </c>
      <c r="E7070" s="330" t="s">
        <v>4634</v>
      </c>
      <c r="F7070" s="331">
        <v>0.21</v>
      </c>
      <c r="G7070" s="332">
        <v>13654</v>
      </c>
      <c r="H7070" s="333">
        <v>16522</v>
      </c>
    </row>
    <row r="7071" spans="1:8">
      <c r="A7071" s="317">
        <v>1617014106</v>
      </c>
      <c r="B7071" s="330" t="s">
        <v>51429</v>
      </c>
      <c r="C7071" s="330" t="s">
        <v>17274</v>
      </c>
      <c r="D7071" s="330" t="s">
        <v>17275</v>
      </c>
      <c r="E7071" s="330" t="s">
        <v>4634</v>
      </c>
      <c r="F7071" s="331">
        <v>0.21</v>
      </c>
      <c r="G7071" s="332">
        <v>4095</v>
      </c>
      <c r="H7071" s="333">
        <v>4955</v>
      </c>
    </row>
    <row r="7072" spans="1:8">
      <c r="A7072" s="317">
        <v>1617014108</v>
      </c>
      <c r="B7072" s="330" t="s">
        <v>51430</v>
      </c>
      <c r="C7072" s="330" t="s">
        <v>17276</v>
      </c>
      <c r="D7072" s="330" t="s">
        <v>17277</v>
      </c>
      <c r="E7072" s="330" t="s">
        <v>4634</v>
      </c>
      <c r="F7072" s="331">
        <v>0.21</v>
      </c>
      <c r="G7072" s="332">
        <v>4294</v>
      </c>
      <c r="H7072" s="333">
        <v>5196</v>
      </c>
    </row>
    <row r="7073" spans="1:8">
      <c r="A7073" s="317">
        <v>1617014110</v>
      </c>
      <c r="B7073" s="330" t="s">
        <v>51431</v>
      </c>
      <c r="C7073" s="330" t="s">
        <v>17278</v>
      </c>
      <c r="D7073" s="330" t="s">
        <v>17279</v>
      </c>
      <c r="E7073" s="330" t="s">
        <v>4819</v>
      </c>
      <c r="F7073" s="331">
        <v>0.21</v>
      </c>
      <c r="G7073" s="332">
        <v>26782</v>
      </c>
      <c r="H7073" s="333">
        <v>32407</v>
      </c>
    </row>
    <row r="7074" spans="1:8">
      <c r="A7074" s="317">
        <v>1617014111</v>
      </c>
      <c r="B7074" s="330" t="s">
        <v>51432</v>
      </c>
      <c r="C7074" s="330" t="s">
        <v>17280</v>
      </c>
      <c r="D7074" s="330" t="s">
        <v>17281</v>
      </c>
      <c r="E7074" s="330" t="s">
        <v>37248</v>
      </c>
      <c r="F7074" s="331">
        <v>0.21</v>
      </c>
      <c r="G7074" s="332">
        <v>13270</v>
      </c>
      <c r="H7074" s="333">
        <v>16057</v>
      </c>
    </row>
    <row r="7075" spans="1:8">
      <c r="A7075" s="317">
        <v>1617014114</v>
      </c>
      <c r="B7075" s="330" t="s">
        <v>51433</v>
      </c>
      <c r="C7075" s="330" t="s">
        <v>17282</v>
      </c>
      <c r="D7075" s="330" t="s">
        <v>17283</v>
      </c>
      <c r="E7075" s="330" t="s">
        <v>37248</v>
      </c>
      <c r="F7075" s="331">
        <v>0.21</v>
      </c>
      <c r="G7075" s="332">
        <v>13828</v>
      </c>
      <c r="H7075" s="333">
        <v>16732</v>
      </c>
    </row>
    <row r="7076" spans="1:8">
      <c r="A7076" s="317">
        <v>1617014117</v>
      </c>
      <c r="B7076" s="330" t="s">
        <v>51434</v>
      </c>
      <c r="C7076" s="330" t="s">
        <v>17284</v>
      </c>
      <c r="D7076" s="330" t="s">
        <v>17285</v>
      </c>
      <c r="E7076" s="330" t="s">
        <v>4634</v>
      </c>
      <c r="F7076" s="331">
        <v>0.21</v>
      </c>
      <c r="G7076" s="332">
        <v>3513</v>
      </c>
      <c r="H7076" s="333">
        <v>4251</v>
      </c>
    </row>
    <row r="7077" spans="1:8">
      <c r="A7077" s="317">
        <v>1617014119</v>
      </c>
      <c r="B7077" s="330" t="s">
        <v>51435</v>
      </c>
      <c r="C7077" s="330" t="s">
        <v>17286</v>
      </c>
      <c r="D7077" s="330" t="s">
        <v>17287</v>
      </c>
      <c r="E7077" s="330" t="s">
        <v>4634</v>
      </c>
      <c r="F7077" s="331">
        <v>0.21</v>
      </c>
      <c r="G7077" s="332">
        <v>5568</v>
      </c>
      <c r="H7077" s="333">
        <v>6738</v>
      </c>
    </row>
    <row r="7078" spans="1:8">
      <c r="A7078" s="317">
        <v>1617014124</v>
      </c>
      <c r="B7078" s="330" t="s">
        <v>51436</v>
      </c>
      <c r="C7078" s="330" t="s">
        <v>17288</v>
      </c>
      <c r="D7078" s="330" t="s">
        <v>17289</v>
      </c>
      <c r="E7078" s="330" t="s">
        <v>37248</v>
      </c>
      <c r="F7078" s="331">
        <v>0.21</v>
      </c>
      <c r="G7078" s="332">
        <v>14330</v>
      </c>
      <c r="H7078" s="333">
        <v>17340</v>
      </c>
    </row>
    <row r="7079" spans="1:8">
      <c r="A7079" s="317">
        <v>1617014127</v>
      </c>
      <c r="B7079" s="330" t="s">
        <v>51437</v>
      </c>
      <c r="C7079" s="330" t="s">
        <v>17290</v>
      </c>
      <c r="D7079" s="330" t="s">
        <v>17291</v>
      </c>
      <c r="E7079" s="330" t="s">
        <v>4634</v>
      </c>
      <c r="F7079" s="331">
        <v>0.21</v>
      </c>
      <c r="G7079" s="332">
        <v>3352</v>
      </c>
      <c r="H7079" s="333">
        <v>4056</v>
      </c>
    </row>
    <row r="7080" spans="1:8">
      <c r="A7080" s="317">
        <v>1617014131</v>
      </c>
      <c r="B7080" s="330" t="s">
        <v>51438</v>
      </c>
      <c r="C7080" s="330" t="s">
        <v>17292</v>
      </c>
      <c r="D7080" s="330" t="s">
        <v>17293</v>
      </c>
      <c r="E7080" s="330" t="s">
        <v>4634</v>
      </c>
      <c r="F7080" s="331">
        <v>0.21</v>
      </c>
      <c r="G7080" s="332">
        <v>13132</v>
      </c>
      <c r="H7080" s="333">
        <v>15890</v>
      </c>
    </row>
    <row r="7081" spans="1:8">
      <c r="A7081" s="317">
        <v>1617014142</v>
      </c>
      <c r="B7081" s="330" t="s">
        <v>51439</v>
      </c>
      <c r="C7081" s="330" t="s">
        <v>17294</v>
      </c>
      <c r="D7081" s="330" t="s">
        <v>17295</v>
      </c>
      <c r="E7081" s="330" t="s">
        <v>37248</v>
      </c>
      <c r="F7081" s="331">
        <v>0.21</v>
      </c>
      <c r="G7081" s="332">
        <v>5877</v>
      </c>
      <c r="H7081" s="333">
        <v>7112</v>
      </c>
    </row>
    <row r="7082" spans="1:8">
      <c r="A7082" s="317">
        <v>1617016009</v>
      </c>
      <c r="B7082" s="330" t="s">
        <v>51440</v>
      </c>
      <c r="C7082" s="330" t="s">
        <v>17296</v>
      </c>
      <c r="D7082" s="330" t="s">
        <v>17297</v>
      </c>
      <c r="E7082" s="330" t="s">
        <v>4634</v>
      </c>
      <c r="F7082" s="331">
        <v>0.21</v>
      </c>
      <c r="G7082" s="332">
        <v>7551</v>
      </c>
      <c r="H7082" s="333">
        <v>9137</v>
      </c>
    </row>
    <row r="7083" spans="1:8">
      <c r="A7083" s="317">
        <v>1617031004</v>
      </c>
      <c r="B7083" s="330" t="s">
        <v>51441</v>
      </c>
      <c r="C7083" s="330" t="s">
        <v>17298</v>
      </c>
      <c r="D7083" s="330" t="s">
        <v>17299</v>
      </c>
      <c r="E7083" s="330" t="s">
        <v>4634</v>
      </c>
      <c r="F7083" s="331">
        <v>0.21</v>
      </c>
      <c r="G7083" s="332">
        <v>10120</v>
      </c>
      <c r="H7083" s="333">
        <v>12246</v>
      </c>
    </row>
    <row r="7084" spans="1:8">
      <c r="A7084" s="317">
        <v>1617031009</v>
      </c>
      <c r="B7084" s="330" t="s">
        <v>51442</v>
      </c>
      <c r="C7084" s="330" t="s">
        <v>17300</v>
      </c>
      <c r="D7084" s="330" t="s">
        <v>17301</v>
      </c>
      <c r="E7084" s="330" t="s">
        <v>4634</v>
      </c>
      <c r="F7084" s="331">
        <v>0.21</v>
      </c>
      <c r="G7084" s="332">
        <v>31864</v>
      </c>
      <c r="H7084" s="333">
        <v>38556</v>
      </c>
    </row>
    <row r="7085" spans="1:8">
      <c r="A7085" s="317">
        <v>1617031014</v>
      </c>
      <c r="B7085" s="330" t="s">
        <v>51443</v>
      </c>
      <c r="C7085" s="330" t="s">
        <v>17302</v>
      </c>
      <c r="D7085" s="330" t="s">
        <v>17303</v>
      </c>
      <c r="E7085" s="330" t="s">
        <v>4634</v>
      </c>
      <c r="F7085" s="331">
        <v>0.21</v>
      </c>
      <c r="G7085" s="332">
        <v>37144</v>
      </c>
      <c r="H7085" s="333">
        <v>44945</v>
      </c>
    </row>
    <row r="7086" spans="1:8">
      <c r="A7086" s="317">
        <v>1617200015</v>
      </c>
      <c r="B7086" s="330" t="s">
        <v>51444</v>
      </c>
      <c r="C7086" s="330" t="s">
        <v>17304</v>
      </c>
      <c r="D7086" s="330" t="s">
        <v>17305</v>
      </c>
      <c r="E7086" s="330" t="s">
        <v>4634</v>
      </c>
      <c r="F7086" s="331">
        <v>0.21</v>
      </c>
      <c r="G7086" s="332">
        <v>22686</v>
      </c>
      <c r="H7086" s="333">
        <v>27451</v>
      </c>
    </row>
    <row r="7087" spans="1:8">
      <c r="A7087" s="317">
        <v>1617200017</v>
      </c>
      <c r="B7087" s="330" t="s">
        <v>51445</v>
      </c>
      <c r="C7087" s="330" t="s">
        <v>17306</v>
      </c>
      <c r="D7087" s="330" t="s">
        <v>17307</v>
      </c>
      <c r="E7087" s="330" t="s">
        <v>4634</v>
      </c>
      <c r="F7087" s="331">
        <v>0.21</v>
      </c>
      <c r="G7087" s="332">
        <v>6185</v>
      </c>
      <c r="H7087" s="333">
        <v>7484</v>
      </c>
    </row>
    <row r="7088" spans="1:8">
      <c r="A7088" s="317">
        <v>1617200021</v>
      </c>
      <c r="B7088" s="330" t="s">
        <v>51446</v>
      </c>
      <c r="C7088" s="330" t="s">
        <v>17308</v>
      </c>
      <c r="D7088" s="330" t="s">
        <v>17309</v>
      </c>
      <c r="E7088" s="330" t="s">
        <v>4634</v>
      </c>
      <c r="F7088" s="331">
        <v>0.21</v>
      </c>
      <c r="G7088" s="332">
        <v>6185</v>
      </c>
      <c r="H7088" s="333">
        <v>7484</v>
      </c>
    </row>
    <row r="7089" spans="1:8">
      <c r="A7089" s="317">
        <v>1617200040</v>
      </c>
      <c r="B7089" s="330" t="s">
        <v>51447</v>
      </c>
      <c r="C7089" s="330" t="s">
        <v>17310</v>
      </c>
      <c r="D7089" s="330" t="s">
        <v>17311</v>
      </c>
      <c r="E7089" s="330" t="s">
        <v>4634</v>
      </c>
      <c r="F7089" s="331">
        <v>0.21</v>
      </c>
      <c r="G7089" s="332">
        <v>8135</v>
      </c>
      <c r="H7089" s="333">
        <v>9844</v>
      </c>
    </row>
    <row r="7090" spans="1:8">
      <c r="A7090" s="317">
        <v>1617200041</v>
      </c>
      <c r="B7090" s="330" t="s">
        <v>51448</v>
      </c>
      <c r="C7090" s="330" t="s">
        <v>17312</v>
      </c>
      <c r="D7090" s="330" t="s">
        <v>17313</v>
      </c>
      <c r="E7090" s="330" t="s">
        <v>4634</v>
      </c>
      <c r="F7090" s="331">
        <v>0.21</v>
      </c>
      <c r="G7090" s="332">
        <v>27496</v>
      </c>
      <c r="H7090" s="333">
        <v>33271</v>
      </c>
    </row>
    <row r="7091" spans="1:8">
      <c r="A7091" s="317">
        <v>1617200042</v>
      </c>
      <c r="B7091" s="330" t="s">
        <v>51449</v>
      </c>
      <c r="C7091" s="330" t="s">
        <v>17314</v>
      </c>
      <c r="D7091" s="330" t="s">
        <v>6840</v>
      </c>
      <c r="E7091" s="330" t="s">
        <v>37248</v>
      </c>
      <c r="F7091" s="331">
        <v>0.21</v>
      </c>
      <c r="G7091" s="332">
        <v>15427</v>
      </c>
      <c r="H7091" s="333">
        <v>18667</v>
      </c>
    </row>
    <row r="7092" spans="1:8">
      <c r="A7092" s="317">
        <v>1617200047</v>
      </c>
      <c r="B7092" s="330" t="s">
        <v>51450</v>
      </c>
      <c r="C7092" s="330" t="s">
        <v>17315</v>
      </c>
      <c r="D7092" s="330" t="s">
        <v>17316</v>
      </c>
      <c r="E7092" s="330" t="s">
        <v>37248</v>
      </c>
      <c r="F7092" s="331">
        <v>0.21</v>
      </c>
      <c r="G7092" s="332">
        <v>14732</v>
      </c>
      <c r="H7092" s="333">
        <v>17826</v>
      </c>
    </row>
    <row r="7093" spans="1:8">
      <c r="A7093" s="317">
        <v>1617200052</v>
      </c>
      <c r="B7093" s="330" t="s">
        <v>51451</v>
      </c>
      <c r="C7093" s="330" t="s">
        <v>17317</v>
      </c>
      <c r="D7093" s="330" t="s">
        <v>17318</v>
      </c>
      <c r="E7093" s="330" t="s">
        <v>4634</v>
      </c>
      <c r="F7093" s="331">
        <v>0.21</v>
      </c>
      <c r="G7093" s="332">
        <v>52674</v>
      </c>
      <c r="H7093" s="333">
        <v>63736</v>
      </c>
    </row>
    <row r="7094" spans="1:8">
      <c r="A7094" s="317">
        <v>1617200056</v>
      </c>
      <c r="B7094" s="330" t="s">
        <v>51452</v>
      </c>
      <c r="C7094" s="330" t="s">
        <v>17319</v>
      </c>
      <c r="D7094" s="330" t="s">
        <v>17320</v>
      </c>
      <c r="E7094" s="330" t="s">
        <v>37248</v>
      </c>
      <c r="F7094" s="331">
        <v>0.21</v>
      </c>
      <c r="G7094" s="332">
        <v>49415</v>
      </c>
      <c r="H7094" s="333">
        <v>59793</v>
      </c>
    </row>
    <row r="7095" spans="1:8">
      <c r="A7095" s="317">
        <v>1617200067</v>
      </c>
      <c r="B7095" s="330" t="s">
        <v>51453</v>
      </c>
      <c r="C7095" s="330" t="s">
        <v>17321</v>
      </c>
      <c r="D7095" s="330" t="s">
        <v>17322</v>
      </c>
      <c r="E7095" s="330" t="s">
        <v>4634</v>
      </c>
      <c r="F7095" s="331">
        <v>0.21</v>
      </c>
      <c r="G7095" s="332">
        <v>17078</v>
      </c>
      <c r="H7095" s="333">
        <v>20665</v>
      </c>
    </row>
    <row r="7096" spans="1:8">
      <c r="A7096" s="317">
        <v>1617200070</v>
      </c>
      <c r="B7096" s="330" t="s">
        <v>51454</v>
      </c>
      <c r="C7096" s="330" t="s">
        <v>17323</v>
      </c>
      <c r="D7096" s="330" t="s">
        <v>17324</v>
      </c>
      <c r="E7096" s="330" t="s">
        <v>4634</v>
      </c>
      <c r="F7096" s="331">
        <v>0.21</v>
      </c>
      <c r="G7096" s="332">
        <v>6902</v>
      </c>
      <c r="H7096" s="333">
        <v>8352</v>
      </c>
    </row>
    <row r="7097" spans="1:8">
      <c r="A7097" s="317">
        <v>1617200081</v>
      </c>
      <c r="B7097" s="330" t="s">
        <v>51455</v>
      </c>
      <c r="C7097" s="330" t="s">
        <v>17325</v>
      </c>
      <c r="D7097" s="330" t="s">
        <v>17326</v>
      </c>
      <c r="E7097" s="330" t="s">
        <v>4634</v>
      </c>
      <c r="F7097" s="331">
        <v>0.21</v>
      </c>
      <c r="G7097" s="332">
        <v>6834</v>
      </c>
      <c r="H7097" s="333">
        <v>8270</v>
      </c>
    </row>
    <row r="7098" spans="1:8">
      <c r="A7098" s="317">
        <v>1617200083</v>
      </c>
      <c r="B7098" s="330" t="s">
        <v>51456</v>
      </c>
      <c r="C7098" s="330" t="s">
        <v>17327</v>
      </c>
      <c r="D7098" s="330" t="s">
        <v>17328</v>
      </c>
      <c r="E7098" s="330" t="s">
        <v>4634</v>
      </c>
      <c r="F7098" s="331">
        <v>0.21</v>
      </c>
      <c r="G7098" s="332">
        <v>4481</v>
      </c>
      <c r="H7098" s="333">
        <v>5423</v>
      </c>
    </row>
    <row r="7099" spans="1:8">
      <c r="A7099" s="317">
        <v>1617200088</v>
      </c>
      <c r="B7099" s="330" t="s">
        <v>51457</v>
      </c>
      <c r="C7099" s="330" t="s">
        <v>17329</v>
      </c>
      <c r="D7099" s="330" t="s">
        <v>17330</v>
      </c>
      <c r="E7099" s="330" t="s">
        <v>4634</v>
      </c>
      <c r="F7099" s="331">
        <v>0.21</v>
      </c>
      <c r="G7099" s="332">
        <v>5652</v>
      </c>
      <c r="H7099" s="333">
        <v>6839</v>
      </c>
    </row>
    <row r="7100" spans="1:8">
      <c r="A7100" s="317">
        <v>1617200089</v>
      </c>
      <c r="B7100" s="330" t="s">
        <v>51458</v>
      </c>
      <c r="C7100" s="330" t="s">
        <v>17331</v>
      </c>
      <c r="D7100" s="330" t="s">
        <v>17332</v>
      </c>
      <c r="E7100" s="330" t="s">
        <v>4634</v>
      </c>
      <c r="F7100" s="331">
        <v>0.21</v>
      </c>
      <c r="G7100" s="332">
        <v>6185</v>
      </c>
      <c r="H7100" s="333">
        <v>7484</v>
      </c>
    </row>
    <row r="7101" spans="1:8">
      <c r="A7101" s="317">
        <v>1617200095</v>
      </c>
      <c r="B7101" s="330" t="s">
        <v>51459</v>
      </c>
      <c r="C7101" s="330" t="s">
        <v>17333</v>
      </c>
      <c r="D7101" s="330" t="s">
        <v>17334</v>
      </c>
      <c r="E7101" s="330" t="s">
        <v>37248</v>
      </c>
      <c r="F7101" s="331">
        <v>0.21</v>
      </c>
      <c r="G7101" s="332">
        <v>39120</v>
      </c>
      <c r="H7101" s="333">
        <v>47336</v>
      </c>
    </row>
    <row r="7102" spans="1:8">
      <c r="A7102" s="317">
        <v>1617200102</v>
      </c>
      <c r="B7102" s="330" t="s">
        <v>51460</v>
      </c>
      <c r="C7102" s="330" t="s">
        <v>17335</v>
      </c>
      <c r="D7102" s="330" t="s">
        <v>17336</v>
      </c>
      <c r="E7102" s="330" t="s">
        <v>37248</v>
      </c>
      <c r="F7102" s="331">
        <v>0.21</v>
      </c>
      <c r="G7102" s="332">
        <v>45802</v>
      </c>
      <c r="H7102" s="333">
        <v>55421</v>
      </c>
    </row>
    <row r="7103" spans="1:8">
      <c r="A7103" s="317">
        <v>1617200108</v>
      </c>
      <c r="B7103" s="330" t="s">
        <v>51461</v>
      </c>
      <c r="C7103" s="330" t="s">
        <v>17337</v>
      </c>
      <c r="D7103" s="330" t="s">
        <v>17338</v>
      </c>
      <c r="E7103" s="330" t="s">
        <v>37248</v>
      </c>
      <c r="F7103" s="331">
        <v>0.21</v>
      </c>
      <c r="G7103" s="332">
        <v>47287</v>
      </c>
      <c r="H7103" s="333">
        <v>57218</v>
      </c>
    </row>
    <row r="7104" spans="1:8">
      <c r="A7104" s="317">
        <v>1617200110</v>
      </c>
      <c r="B7104" s="330" t="s">
        <v>51462</v>
      </c>
      <c r="C7104" s="330" t="s">
        <v>17339</v>
      </c>
      <c r="D7104" s="330" t="s">
        <v>17340</v>
      </c>
      <c r="E7104" s="330" t="s">
        <v>4819</v>
      </c>
      <c r="F7104" s="331">
        <v>0.21</v>
      </c>
      <c r="G7104" s="332">
        <v>25356</v>
      </c>
      <c r="H7104" s="333">
        <v>30681</v>
      </c>
    </row>
    <row r="7105" spans="1:8">
      <c r="A7105" s="317">
        <v>1617200112</v>
      </c>
      <c r="B7105" s="330" t="s">
        <v>51463</v>
      </c>
      <c r="C7105" s="330" t="s">
        <v>17341</v>
      </c>
      <c r="D7105" s="330" t="s">
        <v>17342</v>
      </c>
      <c r="E7105" s="330" t="s">
        <v>4634</v>
      </c>
      <c r="F7105" s="331">
        <v>0.21</v>
      </c>
      <c r="G7105" s="332">
        <v>13351</v>
      </c>
      <c r="H7105" s="333">
        <v>16155</v>
      </c>
    </row>
    <row r="7106" spans="1:8">
      <c r="A7106" s="317">
        <v>1617200113</v>
      </c>
      <c r="B7106" s="330" t="s">
        <v>51464</v>
      </c>
      <c r="C7106" s="330" t="s">
        <v>17343</v>
      </c>
      <c r="D7106" s="330" t="s">
        <v>17344</v>
      </c>
      <c r="E7106" s="330" t="s">
        <v>4634</v>
      </c>
      <c r="F7106" s="331">
        <v>0.21</v>
      </c>
      <c r="G7106" s="332">
        <v>12161</v>
      </c>
      <c r="H7106" s="333">
        <v>14715</v>
      </c>
    </row>
    <row r="7107" spans="1:8">
      <c r="A7107" s="317">
        <v>1617200120</v>
      </c>
      <c r="B7107" s="330" t="s">
        <v>51465</v>
      </c>
      <c r="C7107" s="330" t="s">
        <v>17345</v>
      </c>
      <c r="D7107" s="330" t="s">
        <v>17346</v>
      </c>
      <c r="E7107" s="330" t="s">
        <v>37248</v>
      </c>
      <c r="F7107" s="331">
        <v>0.21</v>
      </c>
      <c r="G7107" s="332">
        <v>47968</v>
      </c>
      <c r="H7107" s="333">
        <v>58042</v>
      </c>
    </row>
    <row r="7108" spans="1:8">
      <c r="A7108" s="317">
        <v>1617200130</v>
      </c>
      <c r="B7108" s="330" t="s">
        <v>51466</v>
      </c>
      <c r="C7108" s="330" t="s">
        <v>17347</v>
      </c>
      <c r="D7108" s="330" t="s">
        <v>17348</v>
      </c>
      <c r="E7108" s="330" t="s">
        <v>37248</v>
      </c>
      <c r="F7108" s="331">
        <v>0.21</v>
      </c>
      <c r="G7108" s="332">
        <v>39865</v>
      </c>
      <c r="H7108" s="333">
        <v>48237</v>
      </c>
    </row>
    <row r="7109" spans="1:8">
      <c r="A7109" s="317">
        <v>1617200500</v>
      </c>
      <c r="B7109" s="330" t="s">
        <v>51467</v>
      </c>
      <c r="C7109" s="330" t="s">
        <v>17349</v>
      </c>
      <c r="D7109" s="330" t="s">
        <v>17350</v>
      </c>
      <c r="E7109" s="330" t="s">
        <v>4634</v>
      </c>
      <c r="F7109" s="331">
        <v>0.21</v>
      </c>
      <c r="G7109" s="332">
        <v>9648</v>
      </c>
      <c r="H7109" s="333">
        <v>11675</v>
      </c>
    </row>
    <row r="7110" spans="1:8">
      <c r="A7110" s="317">
        <v>1617200515</v>
      </c>
      <c r="B7110" s="330" t="s">
        <v>51468</v>
      </c>
      <c r="C7110" s="330" t="s">
        <v>17351</v>
      </c>
      <c r="D7110" s="330" t="s">
        <v>17352</v>
      </c>
      <c r="E7110" s="330" t="s">
        <v>37248</v>
      </c>
      <c r="F7110" s="331">
        <v>0.21</v>
      </c>
      <c r="G7110" s="332">
        <v>38233</v>
      </c>
      <c r="H7110" s="333">
        <v>46262</v>
      </c>
    </row>
    <row r="7111" spans="1:8">
      <c r="A7111" s="317">
        <v>1617220073</v>
      </c>
      <c r="B7111" s="330" t="s">
        <v>51469</v>
      </c>
      <c r="C7111" s="330" t="s">
        <v>17353</v>
      </c>
      <c r="D7111" s="330" t="s">
        <v>17354</v>
      </c>
      <c r="E7111" s="330" t="s">
        <v>4634</v>
      </c>
      <c r="F7111" s="331">
        <v>0.21</v>
      </c>
      <c r="G7111" s="332">
        <v>135811</v>
      </c>
      <c r="H7111" s="333">
        <v>164332</v>
      </c>
    </row>
    <row r="7112" spans="1:8">
      <c r="A7112" s="317">
        <v>1617233016</v>
      </c>
      <c r="B7112" s="330" t="s">
        <v>51470</v>
      </c>
      <c r="C7112" s="330" t="s">
        <v>17355</v>
      </c>
      <c r="D7112" s="330" t="s">
        <v>17356</v>
      </c>
      <c r="E7112" s="330" t="s">
        <v>4634</v>
      </c>
      <c r="F7112" s="331">
        <v>0.21</v>
      </c>
      <c r="G7112" s="332">
        <v>15729</v>
      </c>
      <c r="H7112" s="333">
        <v>19033</v>
      </c>
    </row>
    <row r="7113" spans="1:8">
      <c r="A7113" s="317">
        <v>1617233018</v>
      </c>
      <c r="B7113" s="330" t="s">
        <v>51471</v>
      </c>
      <c r="C7113" s="330" t="s">
        <v>17357</v>
      </c>
      <c r="D7113" s="330" t="s">
        <v>17358</v>
      </c>
      <c r="E7113" s="330" t="s">
        <v>4634</v>
      </c>
      <c r="F7113" s="331">
        <v>0.21</v>
      </c>
      <c r="G7113" s="332">
        <v>102535</v>
      </c>
      <c r="H7113" s="333">
        <v>124068</v>
      </c>
    </row>
    <row r="7114" spans="1:8">
      <c r="A7114" s="317">
        <v>1617233026</v>
      </c>
      <c r="B7114" s="330" t="s">
        <v>51472</v>
      </c>
      <c r="C7114" s="330" t="s">
        <v>17359</v>
      </c>
      <c r="D7114" s="330" t="s">
        <v>17360</v>
      </c>
      <c r="E7114" s="330" t="s">
        <v>4634</v>
      </c>
      <c r="F7114" s="331">
        <v>0.21</v>
      </c>
      <c r="G7114" s="332">
        <v>65502</v>
      </c>
      <c r="H7114" s="333">
        <v>79258</v>
      </c>
    </row>
    <row r="7115" spans="1:8">
      <c r="A7115" s="317">
        <v>1617233028</v>
      </c>
      <c r="B7115" s="330" t="s">
        <v>51473</v>
      </c>
      <c r="C7115" s="330" t="s">
        <v>17361</v>
      </c>
      <c r="D7115" s="330" t="s">
        <v>17362</v>
      </c>
      <c r="E7115" s="330" t="s">
        <v>4634</v>
      </c>
      <c r="F7115" s="331">
        <v>0.21</v>
      </c>
      <c r="G7115" s="332">
        <v>725</v>
      </c>
      <c r="H7115" s="333">
        <v>878</v>
      </c>
    </row>
    <row r="7116" spans="1:8">
      <c r="A7116" s="317">
        <v>1617233032</v>
      </c>
      <c r="B7116" s="330" t="s">
        <v>51474</v>
      </c>
      <c r="C7116" s="330" t="s">
        <v>17363</v>
      </c>
      <c r="D7116" s="330" t="s">
        <v>17364</v>
      </c>
      <c r="E7116" s="330" t="s">
        <v>37248</v>
      </c>
      <c r="F7116" s="331">
        <v>0.21</v>
      </c>
      <c r="G7116" s="332">
        <v>91294</v>
      </c>
      <c r="H7116" s="333">
        <v>110466</v>
      </c>
    </row>
    <row r="7117" spans="1:8">
      <c r="A7117" s="317">
        <v>1617233037</v>
      </c>
      <c r="B7117" s="330" t="s">
        <v>51475</v>
      </c>
      <c r="C7117" s="330" t="s">
        <v>17365</v>
      </c>
      <c r="D7117" s="330" t="s">
        <v>17366</v>
      </c>
      <c r="E7117" s="330" t="s">
        <v>37248</v>
      </c>
      <c r="F7117" s="331">
        <v>0.21</v>
      </c>
      <c r="G7117" s="332">
        <v>85822</v>
      </c>
      <c r="H7117" s="333">
        <v>103845</v>
      </c>
    </row>
    <row r="7118" spans="1:8">
      <c r="A7118" s="317">
        <v>1617233042</v>
      </c>
      <c r="B7118" s="330" t="s">
        <v>51476</v>
      </c>
      <c r="C7118" s="330" t="s">
        <v>17367</v>
      </c>
      <c r="D7118" s="330" t="s">
        <v>17368</v>
      </c>
      <c r="E7118" s="330" t="s">
        <v>37248</v>
      </c>
      <c r="F7118" s="331">
        <v>0.21</v>
      </c>
      <c r="G7118" s="332">
        <v>99962</v>
      </c>
      <c r="H7118" s="333">
        <v>120955</v>
      </c>
    </row>
    <row r="7119" spans="1:8">
      <c r="A7119" s="317">
        <v>1617233047</v>
      </c>
      <c r="B7119" s="330" t="s">
        <v>51477</v>
      </c>
      <c r="C7119" s="330" t="s">
        <v>17369</v>
      </c>
      <c r="D7119" s="330" t="s">
        <v>17370</v>
      </c>
      <c r="E7119" s="330" t="s">
        <v>37248</v>
      </c>
      <c r="F7119" s="331">
        <v>0.21</v>
      </c>
      <c r="G7119" s="332">
        <v>83105</v>
      </c>
      <c r="H7119" s="333">
        <v>100558</v>
      </c>
    </row>
    <row r="7120" spans="1:8">
      <c r="A7120" s="317">
        <v>1617233049</v>
      </c>
      <c r="B7120" s="330" t="s">
        <v>51478</v>
      </c>
      <c r="C7120" s="330" t="s">
        <v>17371</v>
      </c>
      <c r="D7120" s="330" t="s">
        <v>17372</v>
      </c>
      <c r="E7120" s="330" t="s">
        <v>37248</v>
      </c>
      <c r="F7120" s="331">
        <v>0.21</v>
      </c>
      <c r="G7120" s="332">
        <v>86312</v>
      </c>
      <c r="H7120" s="333">
        <v>104438</v>
      </c>
    </row>
    <row r="7121" spans="1:8">
      <c r="A7121" s="317">
        <v>1617233052</v>
      </c>
      <c r="B7121" s="330" t="s">
        <v>51479</v>
      </c>
      <c r="C7121" s="330" t="s">
        <v>17373</v>
      </c>
      <c r="D7121" s="330" t="s">
        <v>17374</v>
      </c>
      <c r="E7121" s="330" t="s">
        <v>37248</v>
      </c>
      <c r="F7121" s="331">
        <v>0.21</v>
      </c>
      <c r="G7121" s="332">
        <v>66439</v>
      </c>
      <c r="H7121" s="333">
        <v>80392</v>
      </c>
    </row>
    <row r="7122" spans="1:8">
      <c r="A7122" s="317">
        <v>1617328002</v>
      </c>
      <c r="B7122" s="330" t="s">
        <v>51480</v>
      </c>
      <c r="C7122" s="330" t="s">
        <v>17375</v>
      </c>
      <c r="D7122" s="330" t="s">
        <v>17376</v>
      </c>
      <c r="E7122" s="330" t="s">
        <v>4634</v>
      </c>
      <c r="F7122" s="331">
        <v>0.21</v>
      </c>
      <c r="G7122" s="332">
        <v>2355</v>
      </c>
      <c r="H7122" s="333">
        <v>2850</v>
      </c>
    </row>
    <row r="7123" spans="1:8">
      <c r="A7123" s="317">
        <v>1617328029</v>
      </c>
      <c r="B7123" s="330" t="s">
        <v>51481</v>
      </c>
      <c r="C7123" s="330" t="s">
        <v>17377</v>
      </c>
      <c r="D7123" s="330" t="s">
        <v>17378</v>
      </c>
      <c r="E7123" s="330" t="s">
        <v>4634</v>
      </c>
      <c r="F7123" s="331">
        <v>0.21</v>
      </c>
      <c r="G7123" s="332">
        <v>21674</v>
      </c>
      <c r="H7123" s="333">
        <v>26226</v>
      </c>
    </row>
    <row r="7124" spans="1:8">
      <c r="A7124" s="317">
        <v>1617328032</v>
      </c>
      <c r="B7124" s="330" t="s">
        <v>51482</v>
      </c>
      <c r="C7124" s="330" t="s">
        <v>17379</v>
      </c>
      <c r="D7124" s="330" t="s">
        <v>17380</v>
      </c>
      <c r="E7124" s="330" t="s">
        <v>37248</v>
      </c>
      <c r="F7124" s="331">
        <v>0.21</v>
      </c>
      <c r="G7124" s="332">
        <v>5672</v>
      </c>
      <c r="H7124" s="333">
        <v>6864</v>
      </c>
    </row>
    <row r="7125" spans="1:8">
      <c r="A7125" s="317" t="s">
        <v>40476</v>
      </c>
      <c r="B7125" s="330" t="s">
        <v>51483</v>
      </c>
      <c r="C7125" s="330" t="s">
        <v>17381</v>
      </c>
      <c r="D7125" s="330" t="s">
        <v>17382</v>
      </c>
      <c r="E7125" s="330" t="s">
        <v>4634</v>
      </c>
      <c r="F7125" s="331">
        <v>0.21</v>
      </c>
      <c r="G7125" s="332">
        <v>65870</v>
      </c>
      <c r="H7125" s="333">
        <v>79703</v>
      </c>
    </row>
    <row r="7126" spans="1:8">
      <c r="A7126" s="317" t="s">
        <v>40477</v>
      </c>
      <c r="B7126" s="330" t="s">
        <v>51484</v>
      </c>
      <c r="C7126" s="330" t="s">
        <v>17383</v>
      </c>
      <c r="D7126" s="330" t="s">
        <v>17384</v>
      </c>
      <c r="E7126" s="330" t="s">
        <v>4634</v>
      </c>
      <c r="F7126" s="331">
        <v>0.21</v>
      </c>
      <c r="G7126" s="332">
        <v>59987</v>
      </c>
      <c r="H7126" s="333">
        <v>72585</v>
      </c>
    </row>
    <row r="7127" spans="1:8">
      <c r="A7127" s="317">
        <v>1618000028</v>
      </c>
      <c r="B7127" s="330" t="s">
        <v>51485</v>
      </c>
      <c r="C7127" s="330" t="s">
        <v>17385</v>
      </c>
      <c r="D7127" s="330" t="s">
        <v>17386</v>
      </c>
      <c r="E7127" s="330" t="s">
        <v>4819</v>
      </c>
      <c r="F7127" s="331">
        <v>0.21</v>
      </c>
      <c r="G7127" s="332">
        <v>21790</v>
      </c>
      <c r="H7127" s="333">
        <v>26366</v>
      </c>
    </row>
    <row r="7128" spans="1:8">
      <c r="A7128" s="317">
        <v>1618040053</v>
      </c>
      <c r="B7128" s="330" t="s">
        <v>51486</v>
      </c>
      <c r="C7128" s="330" t="s">
        <v>17387</v>
      </c>
      <c r="D7128" s="330" t="s">
        <v>17388</v>
      </c>
      <c r="E7128" s="330" t="s">
        <v>4819</v>
      </c>
      <c r="F7128" s="331">
        <v>0.21</v>
      </c>
      <c r="G7128" s="332">
        <v>3595</v>
      </c>
      <c r="H7128" s="333">
        <v>4350</v>
      </c>
    </row>
    <row r="7129" spans="1:8">
      <c r="A7129" s="317">
        <v>1618040059</v>
      </c>
      <c r="B7129" s="330" t="s">
        <v>51487</v>
      </c>
      <c r="C7129" s="330" t="s">
        <v>17389</v>
      </c>
      <c r="D7129" s="330" t="s">
        <v>17390</v>
      </c>
      <c r="E7129" s="330" t="s">
        <v>4634</v>
      </c>
      <c r="F7129" s="331">
        <v>0.21</v>
      </c>
      <c r="G7129" s="332">
        <v>1945</v>
      </c>
      <c r="H7129" s="333">
        <v>2354</v>
      </c>
    </row>
    <row r="7130" spans="1:8">
      <c r="A7130" s="317">
        <v>1618040071</v>
      </c>
      <c r="B7130" s="330" t="s">
        <v>51488</v>
      </c>
      <c r="C7130" s="330" t="s">
        <v>17391</v>
      </c>
      <c r="D7130" s="330" t="s">
        <v>17392</v>
      </c>
      <c r="E7130" s="330" t="s">
        <v>4819</v>
      </c>
      <c r="F7130" s="331">
        <v>0.21</v>
      </c>
      <c r="G7130" s="332">
        <v>6783</v>
      </c>
      <c r="H7130" s="333">
        <v>8208</v>
      </c>
    </row>
    <row r="7131" spans="1:8">
      <c r="A7131" s="317">
        <v>1618040073</v>
      </c>
      <c r="B7131" s="330" t="s">
        <v>51489</v>
      </c>
      <c r="C7131" s="330" t="s">
        <v>17393</v>
      </c>
      <c r="D7131" s="330" t="s">
        <v>17394</v>
      </c>
      <c r="E7131" s="330" t="s">
        <v>4634</v>
      </c>
      <c r="F7131" s="331">
        <v>0.21</v>
      </c>
      <c r="G7131" s="332">
        <v>928</v>
      </c>
      <c r="H7131" s="333">
        <v>1123</v>
      </c>
    </row>
    <row r="7132" spans="1:8">
      <c r="A7132" s="317">
        <v>1618040074</v>
      </c>
      <c r="B7132" s="330" t="s">
        <v>51490</v>
      </c>
      <c r="C7132" s="330" t="s">
        <v>17395</v>
      </c>
      <c r="D7132" s="330" t="s">
        <v>17396</v>
      </c>
      <c r="E7132" s="330" t="s">
        <v>4634</v>
      </c>
      <c r="F7132" s="331">
        <v>0.21</v>
      </c>
      <c r="G7132" s="332">
        <v>1008</v>
      </c>
      <c r="H7132" s="333">
        <v>1220</v>
      </c>
    </row>
    <row r="7133" spans="1:8">
      <c r="A7133" s="317">
        <v>1618040084</v>
      </c>
      <c r="B7133" s="330" t="s">
        <v>51491</v>
      </c>
      <c r="C7133" s="330" t="s">
        <v>17397</v>
      </c>
      <c r="D7133" s="330" t="s">
        <v>17398</v>
      </c>
      <c r="E7133" s="330" t="s">
        <v>4819</v>
      </c>
      <c r="F7133" s="331">
        <v>0.21</v>
      </c>
      <c r="G7133" s="332">
        <v>3506</v>
      </c>
      <c r="H7133" s="333">
        <v>4243</v>
      </c>
    </row>
    <row r="7134" spans="1:8">
      <c r="A7134" s="317">
        <v>1618040087</v>
      </c>
      <c r="B7134" s="330" t="s">
        <v>51492</v>
      </c>
      <c r="C7134" s="330" t="s">
        <v>17399</v>
      </c>
      <c r="D7134" s="330" t="s">
        <v>7877</v>
      </c>
      <c r="E7134" s="330" t="s">
        <v>4634</v>
      </c>
      <c r="F7134" s="331">
        <v>0.21</v>
      </c>
      <c r="G7134" s="332">
        <v>1479</v>
      </c>
      <c r="H7134" s="333">
        <v>1790</v>
      </c>
    </row>
    <row r="7135" spans="1:8">
      <c r="A7135" s="317">
        <v>1618040094</v>
      </c>
      <c r="B7135" s="330" t="s">
        <v>51493</v>
      </c>
      <c r="C7135" s="330" t="s">
        <v>17400</v>
      </c>
      <c r="D7135" s="330" t="s">
        <v>17401</v>
      </c>
      <c r="E7135" s="330" t="s">
        <v>4634</v>
      </c>
      <c r="F7135" s="331">
        <v>0.21</v>
      </c>
      <c r="G7135" s="332">
        <v>416</v>
      </c>
      <c r="H7135" s="333">
        <v>504</v>
      </c>
    </row>
    <row r="7136" spans="1:8">
      <c r="A7136" s="317">
        <v>1618040095</v>
      </c>
      <c r="B7136" s="330" t="s">
        <v>51494</v>
      </c>
      <c r="C7136" s="330" t="s">
        <v>17402</v>
      </c>
      <c r="D7136" s="330" t="s">
        <v>17403</v>
      </c>
      <c r="E7136" s="330" t="s">
        <v>37248</v>
      </c>
      <c r="F7136" s="331">
        <v>0.21</v>
      </c>
      <c r="G7136" s="332">
        <v>1155</v>
      </c>
      <c r="H7136" s="333">
        <v>1398</v>
      </c>
    </row>
    <row r="7137" spans="1:8">
      <c r="A7137" s="317">
        <v>1618040097</v>
      </c>
      <c r="B7137" s="330" t="s">
        <v>51495</v>
      </c>
      <c r="C7137" s="330" t="s">
        <v>17404</v>
      </c>
      <c r="D7137" s="330" t="s">
        <v>17405</v>
      </c>
      <c r="E7137" s="330" t="s">
        <v>37248</v>
      </c>
      <c r="F7137" s="331">
        <v>0.21</v>
      </c>
      <c r="G7137" s="332">
        <v>3310</v>
      </c>
      <c r="H7137" s="333">
        <v>4006</v>
      </c>
    </row>
    <row r="7138" spans="1:8">
      <c r="A7138" s="317">
        <v>1618045018</v>
      </c>
      <c r="B7138" s="330" t="s">
        <v>51496</v>
      </c>
      <c r="C7138" s="330" t="s">
        <v>17406</v>
      </c>
      <c r="D7138" s="330" t="s">
        <v>17407</v>
      </c>
      <c r="E7138" s="330" t="s">
        <v>4634</v>
      </c>
      <c r="F7138" s="331">
        <v>0.21</v>
      </c>
      <c r="G7138" s="332">
        <v>84728</v>
      </c>
      <c r="H7138" s="333">
        <v>102521</v>
      </c>
    </row>
    <row r="7139" spans="1:8">
      <c r="A7139" s="317">
        <v>1618045022</v>
      </c>
      <c r="B7139" s="330" t="s">
        <v>51497</v>
      </c>
      <c r="C7139" s="330" t="s">
        <v>17408</v>
      </c>
      <c r="D7139" s="330" t="s">
        <v>17409</v>
      </c>
      <c r="E7139" s="330" t="s">
        <v>37248</v>
      </c>
      <c r="F7139" s="331">
        <v>0.21</v>
      </c>
      <c r="G7139" s="332">
        <v>77949</v>
      </c>
      <c r="H7139" s="333">
        <v>94319</v>
      </c>
    </row>
    <row r="7140" spans="1:8">
      <c r="A7140" s="317">
        <v>1618045024</v>
      </c>
      <c r="B7140" s="330" t="s">
        <v>51498</v>
      </c>
      <c r="C7140" s="330" t="s">
        <v>17410</v>
      </c>
      <c r="D7140" s="330" t="s">
        <v>17411</v>
      </c>
      <c r="E7140" s="330" t="s">
        <v>4634</v>
      </c>
      <c r="F7140" s="331">
        <v>0.21</v>
      </c>
      <c r="G7140" s="332">
        <v>56779</v>
      </c>
      <c r="H7140" s="333">
        <v>68703</v>
      </c>
    </row>
    <row r="7141" spans="1:8">
      <c r="A7141" s="317">
        <v>1618045026</v>
      </c>
      <c r="B7141" s="330" t="s">
        <v>51499</v>
      </c>
      <c r="C7141" s="330" t="s">
        <v>17412</v>
      </c>
      <c r="D7141" s="330" t="s">
        <v>17413</v>
      </c>
      <c r="E7141" s="330" t="s">
        <v>37248</v>
      </c>
      <c r="F7141" s="331">
        <v>0.21</v>
      </c>
      <c r="G7141" s="332">
        <v>94260</v>
      </c>
      <c r="H7141" s="333">
        <v>114055</v>
      </c>
    </row>
    <row r="7142" spans="1:8">
      <c r="A7142" s="317">
        <v>1618597023</v>
      </c>
      <c r="B7142" s="330" t="s">
        <v>51500</v>
      </c>
      <c r="C7142" s="330" t="s">
        <v>17414</v>
      </c>
      <c r="D7142" s="330" t="s">
        <v>17415</v>
      </c>
      <c r="E7142" s="330" t="s">
        <v>4634</v>
      </c>
      <c r="F7142" s="331">
        <v>0.21</v>
      </c>
      <c r="G7142" s="332">
        <v>26653</v>
      </c>
      <c r="H7142" s="333">
        <v>32251</v>
      </c>
    </row>
    <row r="7143" spans="1:8">
      <c r="A7143" s="317">
        <v>1618597029</v>
      </c>
      <c r="B7143" s="330" t="s">
        <v>51501</v>
      </c>
      <c r="C7143" s="330" t="s">
        <v>17416</v>
      </c>
      <c r="D7143" s="330" t="s">
        <v>17417</v>
      </c>
      <c r="E7143" s="330" t="s">
        <v>4634</v>
      </c>
      <c r="F7143" s="331">
        <v>0.21</v>
      </c>
      <c r="G7143" s="332">
        <v>75855</v>
      </c>
      <c r="H7143" s="333">
        <v>91785</v>
      </c>
    </row>
    <row r="7144" spans="1:8">
      <c r="A7144" s="317">
        <v>1618597031</v>
      </c>
      <c r="B7144" s="330" t="s">
        <v>51502</v>
      </c>
      <c r="C7144" s="330" t="s">
        <v>17418</v>
      </c>
      <c r="D7144" s="330" t="s">
        <v>17419</v>
      </c>
      <c r="E7144" s="330" t="s">
        <v>4634</v>
      </c>
      <c r="F7144" s="331">
        <v>0.21</v>
      </c>
      <c r="G7144" s="332">
        <v>15126</v>
      </c>
      <c r="H7144" s="333">
        <v>18303</v>
      </c>
    </row>
    <row r="7145" spans="1:8">
      <c r="A7145" s="317">
        <v>1618597032</v>
      </c>
      <c r="B7145" s="330" t="s">
        <v>51503</v>
      </c>
      <c r="C7145" s="330" t="s">
        <v>17420</v>
      </c>
      <c r="D7145" s="330" t="s">
        <v>17419</v>
      </c>
      <c r="E7145" s="330" t="s">
        <v>4634</v>
      </c>
      <c r="F7145" s="331">
        <v>0.21</v>
      </c>
      <c r="G7145" s="332">
        <v>15126</v>
      </c>
      <c r="H7145" s="333">
        <v>18303</v>
      </c>
    </row>
    <row r="7146" spans="1:8">
      <c r="A7146" s="317">
        <v>1618597033</v>
      </c>
      <c r="B7146" s="330" t="s">
        <v>51504</v>
      </c>
      <c r="C7146" s="330" t="s">
        <v>17421</v>
      </c>
      <c r="D7146" s="330" t="s">
        <v>17422</v>
      </c>
      <c r="E7146" s="330" t="s">
        <v>4634</v>
      </c>
      <c r="F7146" s="331">
        <v>0.21</v>
      </c>
      <c r="G7146" s="332">
        <v>19093</v>
      </c>
      <c r="H7146" s="333">
        <v>23103</v>
      </c>
    </row>
    <row r="7147" spans="1:8">
      <c r="A7147" s="317">
        <v>1618597060</v>
      </c>
      <c r="B7147" s="330" t="s">
        <v>51505</v>
      </c>
      <c r="C7147" s="330" t="s">
        <v>17423</v>
      </c>
      <c r="D7147" s="330" t="s">
        <v>17424</v>
      </c>
      <c r="E7147" s="330" t="s">
        <v>4634</v>
      </c>
      <c r="F7147" s="331">
        <v>0.21</v>
      </c>
      <c r="G7147" s="332">
        <v>23838</v>
      </c>
      <c r="H7147" s="333">
        <v>28844</v>
      </c>
    </row>
    <row r="7148" spans="1:8">
      <c r="A7148" s="317">
        <v>1618597067</v>
      </c>
      <c r="B7148" s="330" t="s">
        <v>51506</v>
      </c>
      <c r="C7148" s="330" t="s">
        <v>17425</v>
      </c>
      <c r="D7148" s="330" t="s">
        <v>17426</v>
      </c>
      <c r="E7148" s="330" t="s">
        <v>37248</v>
      </c>
      <c r="F7148" s="331">
        <v>0.21</v>
      </c>
      <c r="G7148" s="332">
        <v>96188</v>
      </c>
      <c r="H7148" s="333">
        <v>116388</v>
      </c>
    </row>
    <row r="7149" spans="1:8">
      <c r="A7149" s="317">
        <v>1618597068</v>
      </c>
      <c r="B7149" s="330" t="s">
        <v>51507</v>
      </c>
      <c r="C7149" s="330" t="s">
        <v>17427</v>
      </c>
      <c r="D7149" s="330" t="s">
        <v>17428</v>
      </c>
      <c r="E7149" s="330" t="s">
        <v>37248</v>
      </c>
      <c r="F7149" s="331">
        <v>0.21</v>
      </c>
      <c r="G7149" s="332">
        <v>152930</v>
      </c>
      <c r="H7149" s="333">
        <v>185046</v>
      </c>
    </row>
    <row r="7150" spans="1:8">
      <c r="A7150" s="317">
        <v>1618597069</v>
      </c>
      <c r="B7150" s="330" t="s">
        <v>51508</v>
      </c>
      <c r="C7150" s="330" t="s">
        <v>17429</v>
      </c>
      <c r="D7150" s="330" t="s">
        <v>17430</v>
      </c>
      <c r="E7150" s="330" t="s">
        <v>4634</v>
      </c>
      <c r="F7150" s="331">
        <v>0.21</v>
      </c>
      <c r="G7150" s="332">
        <v>31748</v>
      </c>
      <c r="H7150" s="333">
        <v>38416</v>
      </c>
    </row>
    <row r="7151" spans="1:8">
      <c r="A7151" s="317">
        <v>1618597071</v>
      </c>
      <c r="B7151" s="330" t="s">
        <v>51509</v>
      </c>
      <c r="C7151" s="330" t="s">
        <v>17431</v>
      </c>
      <c r="D7151" s="330" t="s">
        <v>17432</v>
      </c>
      <c r="E7151" s="330" t="s">
        <v>4634</v>
      </c>
      <c r="F7151" s="331">
        <v>0.21</v>
      </c>
      <c r="G7151" s="332">
        <v>22367</v>
      </c>
      <c r="H7151" s="333">
        <v>27065</v>
      </c>
    </row>
    <row r="7152" spans="1:8">
      <c r="A7152" s="317">
        <v>1618597072</v>
      </c>
      <c r="B7152" s="330" t="s">
        <v>51510</v>
      </c>
      <c r="C7152" s="330" t="s">
        <v>17433</v>
      </c>
      <c r="D7152" s="330" t="s">
        <v>10519</v>
      </c>
      <c r="E7152" s="330" t="s">
        <v>37248</v>
      </c>
      <c r="F7152" s="331">
        <v>0.21</v>
      </c>
      <c r="G7152" s="332">
        <v>181702</v>
      </c>
      <c r="H7152" s="333">
        <v>219860</v>
      </c>
    </row>
    <row r="7153" spans="1:8">
      <c r="A7153" s="317">
        <v>1618597102</v>
      </c>
      <c r="B7153" s="330" t="s">
        <v>51511</v>
      </c>
      <c r="C7153" s="330" t="s">
        <v>17434</v>
      </c>
      <c r="D7153" s="330" t="s">
        <v>17435</v>
      </c>
      <c r="E7153" s="330" t="s">
        <v>37248</v>
      </c>
      <c r="F7153" s="331">
        <v>0.21</v>
      </c>
      <c r="G7153" s="332">
        <v>161888</v>
      </c>
      <c r="H7153" s="333">
        <v>195885</v>
      </c>
    </row>
    <row r="7154" spans="1:8">
      <c r="A7154" s="317">
        <v>1618597105</v>
      </c>
      <c r="B7154" s="330" t="s">
        <v>51512</v>
      </c>
      <c r="C7154" s="330" t="s">
        <v>17436</v>
      </c>
      <c r="D7154" s="330" t="s">
        <v>17437</v>
      </c>
      <c r="E7154" s="330" t="s">
        <v>37248</v>
      </c>
      <c r="F7154" s="331">
        <v>0.21</v>
      </c>
      <c r="G7154" s="332">
        <v>149398</v>
      </c>
      <c r="H7154" s="333">
        <v>180772</v>
      </c>
    </row>
    <row r="7155" spans="1:8">
      <c r="A7155" s="317">
        <v>1618597118</v>
      </c>
      <c r="B7155" s="330" t="s">
        <v>51513</v>
      </c>
      <c r="C7155" s="330" t="s">
        <v>17438</v>
      </c>
      <c r="D7155" s="330" t="s">
        <v>17439</v>
      </c>
      <c r="E7155" s="330" t="s">
        <v>4819</v>
      </c>
      <c r="F7155" s="331">
        <v>0.21</v>
      </c>
      <c r="G7155" s="332">
        <v>4135</v>
      </c>
      <c r="H7155" s="333">
        <v>5004</v>
      </c>
    </row>
    <row r="7156" spans="1:8">
      <c r="A7156" s="317">
        <v>1618597119</v>
      </c>
      <c r="B7156" s="330" t="s">
        <v>51514</v>
      </c>
      <c r="C7156" s="330" t="s">
        <v>17440</v>
      </c>
      <c r="D7156" s="330" t="s">
        <v>5386</v>
      </c>
      <c r="E7156" s="330" t="s">
        <v>4819</v>
      </c>
      <c r="F7156" s="331">
        <v>0.21</v>
      </c>
      <c r="G7156" s="332">
        <v>3319</v>
      </c>
      <c r="H7156" s="333">
        <v>4016</v>
      </c>
    </row>
    <row r="7157" spans="1:8">
      <c r="A7157" s="317">
        <v>1618597129</v>
      </c>
      <c r="B7157" s="330" t="s">
        <v>51515</v>
      </c>
      <c r="C7157" s="330" t="s">
        <v>17441</v>
      </c>
      <c r="D7157" s="330" t="s">
        <v>17442</v>
      </c>
      <c r="E7157" s="330" t="s">
        <v>37248</v>
      </c>
      <c r="F7157" s="331">
        <v>0.21</v>
      </c>
      <c r="G7157" s="332">
        <v>21502</v>
      </c>
      <c r="H7157" s="333">
        <v>26018</v>
      </c>
    </row>
    <row r="7158" spans="1:8">
      <c r="A7158" s="317">
        <v>1618598175</v>
      </c>
      <c r="B7158" s="330" t="s">
        <v>51516</v>
      </c>
      <c r="C7158" s="330" t="s">
        <v>17443</v>
      </c>
      <c r="D7158" s="330" t="s">
        <v>17444</v>
      </c>
      <c r="E7158" s="330" t="s">
        <v>37248</v>
      </c>
      <c r="F7158" s="331">
        <v>0.21</v>
      </c>
      <c r="G7158" s="332">
        <v>97437</v>
      </c>
      <c r="H7158" s="333">
        <v>117899</v>
      </c>
    </row>
    <row r="7159" spans="1:8">
      <c r="A7159" s="317">
        <v>1618598191</v>
      </c>
      <c r="B7159" s="330" t="s">
        <v>51517</v>
      </c>
      <c r="C7159" s="330" t="s">
        <v>17445</v>
      </c>
      <c r="D7159" s="330" t="s">
        <v>17446</v>
      </c>
      <c r="E7159" s="330" t="s">
        <v>4634</v>
      </c>
      <c r="F7159" s="331">
        <v>0.21</v>
      </c>
      <c r="G7159" s="332">
        <v>45255</v>
      </c>
      <c r="H7159" s="333">
        <v>54759</v>
      </c>
    </row>
    <row r="7160" spans="1:8">
      <c r="A7160" s="317">
        <v>1618598220</v>
      </c>
      <c r="B7160" s="330" t="s">
        <v>51518</v>
      </c>
      <c r="C7160" s="330" t="s">
        <v>17447</v>
      </c>
      <c r="D7160" s="330" t="s">
        <v>17448</v>
      </c>
      <c r="E7160" s="330" t="s">
        <v>4634</v>
      </c>
      <c r="F7160" s="331">
        <v>0.21</v>
      </c>
      <c r="G7160" s="332">
        <v>111951</v>
      </c>
      <c r="H7160" s="333">
        <v>135461</v>
      </c>
    </row>
    <row r="7161" spans="1:8">
      <c r="A7161" s="317">
        <v>1618598221</v>
      </c>
      <c r="B7161" s="330" t="s">
        <v>51519</v>
      </c>
      <c r="C7161" s="330" t="s">
        <v>17449</v>
      </c>
      <c r="D7161" s="330" t="s">
        <v>17450</v>
      </c>
      <c r="E7161" s="330" t="s">
        <v>4634</v>
      </c>
      <c r="F7161" s="331">
        <v>0.21</v>
      </c>
      <c r="G7161" s="332">
        <v>179474</v>
      </c>
      <c r="H7161" s="333">
        <v>217164</v>
      </c>
    </row>
    <row r="7162" spans="1:8">
      <c r="A7162" s="317">
        <v>1618598241</v>
      </c>
      <c r="B7162" s="330" t="s">
        <v>51520</v>
      </c>
      <c r="C7162" s="330" t="s">
        <v>17451</v>
      </c>
      <c r="D7162" s="330" t="s">
        <v>17452</v>
      </c>
      <c r="E7162" s="330" t="s">
        <v>37248</v>
      </c>
      <c r="F7162" s="331">
        <v>0.21</v>
      </c>
      <c r="G7162" s="332">
        <v>61591</v>
      </c>
      <c r="H7162" s="333">
        <v>74526</v>
      </c>
    </row>
    <row r="7163" spans="1:8">
      <c r="A7163" s="317">
        <v>1618598248</v>
      </c>
      <c r="B7163" s="330" t="s">
        <v>51521</v>
      </c>
      <c r="C7163" s="330" t="s">
        <v>17453</v>
      </c>
      <c r="D7163" s="330" t="s">
        <v>17454</v>
      </c>
      <c r="E7163" s="330" t="s">
        <v>4819</v>
      </c>
      <c r="F7163" s="331">
        <v>0.21</v>
      </c>
      <c r="G7163" s="332">
        <v>112910</v>
      </c>
      <c r="H7163" s="333">
        <v>136622</v>
      </c>
    </row>
    <row r="7164" spans="1:8">
      <c r="A7164" s="317">
        <v>1618598249</v>
      </c>
      <c r="B7164" s="330" t="s">
        <v>51522</v>
      </c>
      <c r="C7164" s="330" t="s">
        <v>17455</v>
      </c>
      <c r="D7164" s="330" t="s">
        <v>17456</v>
      </c>
      <c r="E7164" s="330" t="s">
        <v>4634</v>
      </c>
      <c r="F7164" s="331">
        <v>0.21</v>
      </c>
      <c r="G7164" s="332">
        <v>149965</v>
      </c>
      <c r="H7164" s="333">
        <v>181458</v>
      </c>
    </row>
    <row r="7165" spans="1:8">
      <c r="A7165" s="317">
        <v>1618700033</v>
      </c>
      <c r="B7165" s="330" t="s">
        <v>51523</v>
      </c>
      <c r="C7165" s="330" t="s">
        <v>17457</v>
      </c>
      <c r="D7165" s="330" t="s">
        <v>17458</v>
      </c>
      <c r="E7165" s="330" t="s">
        <v>4634</v>
      </c>
      <c r="F7165" s="331">
        <v>0.21</v>
      </c>
      <c r="G7165" s="332">
        <v>17613</v>
      </c>
      <c r="H7165" s="333">
        <v>21312</v>
      </c>
    </row>
    <row r="7166" spans="1:8">
      <c r="A7166" s="317">
        <v>1618700041</v>
      </c>
      <c r="B7166" s="330" t="s">
        <v>51524</v>
      </c>
      <c r="C7166" s="330" t="s">
        <v>17459</v>
      </c>
      <c r="D7166" s="330" t="s">
        <v>17460</v>
      </c>
      <c r="E7166" s="330" t="s">
        <v>4634</v>
      </c>
      <c r="F7166" s="331">
        <v>0.21</v>
      </c>
      <c r="G7166" s="332">
        <v>52710</v>
      </c>
      <c r="H7166" s="333">
        <v>63780</v>
      </c>
    </row>
    <row r="7167" spans="1:8">
      <c r="A7167" s="317">
        <v>1618700043</v>
      </c>
      <c r="B7167" s="330" t="s">
        <v>51525</v>
      </c>
      <c r="C7167" s="330" t="s">
        <v>17461</v>
      </c>
      <c r="D7167" s="330" t="s">
        <v>17462</v>
      </c>
      <c r="E7167" s="330" t="s">
        <v>37248</v>
      </c>
      <c r="F7167" s="331">
        <v>0.21</v>
      </c>
      <c r="G7167" s="332">
        <v>334494</v>
      </c>
      <c r="H7167" s="333">
        <v>404738</v>
      </c>
    </row>
    <row r="7168" spans="1:8">
      <c r="A7168" s="317">
        <v>1618700047</v>
      </c>
      <c r="B7168" s="330" t="s">
        <v>51526</v>
      </c>
      <c r="C7168" s="330" t="s">
        <v>17463</v>
      </c>
      <c r="D7168" s="330" t="s">
        <v>17464</v>
      </c>
      <c r="E7168" s="330" t="s">
        <v>4819</v>
      </c>
      <c r="F7168" s="331">
        <v>0.21</v>
      </c>
      <c r="G7168" s="332">
        <v>13210</v>
      </c>
      <c r="H7168" s="333">
        <v>15985</v>
      </c>
    </row>
    <row r="7169" spans="1:8">
      <c r="A7169" s="317">
        <v>1618700052</v>
      </c>
      <c r="B7169" s="330" t="s">
        <v>51527</v>
      </c>
      <c r="C7169" s="330" t="s">
        <v>17465</v>
      </c>
      <c r="D7169" s="330" t="s">
        <v>17466</v>
      </c>
      <c r="E7169" s="330" t="s">
        <v>37248</v>
      </c>
      <c r="F7169" s="331">
        <v>0.21</v>
      </c>
      <c r="G7169" s="332">
        <v>17984</v>
      </c>
      <c r="H7169" s="333">
        <v>21761</v>
      </c>
    </row>
    <row r="7170" spans="1:8">
      <c r="A7170" s="317">
        <v>1618700057</v>
      </c>
      <c r="B7170" s="330" t="s">
        <v>51528</v>
      </c>
      <c r="C7170" s="330" t="s">
        <v>17467</v>
      </c>
      <c r="D7170" s="330" t="s">
        <v>17468</v>
      </c>
      <c r="E7170" s="330" t="s">
        <v>4634</v>
      </c>
      <c r="F7170" s="331">
        <v>0.21</v>
      </c>
      <c r="G7170" s="332">
        <v>14098</v>
      </c>
      <c r="H7170" s="333">
        <v>17059</v>
      </c>
    </row>
    <row r="7171" spans="1:8">
      <c r="A7171" s="317">
        <v>1618700060</v>
      </c>
      <c r="B7171" s="330" t="s">
        <v>51529</v>
      </c>
      <c r="C7171" s="330" t="s">
        <v>17469</v>
      </c>
      <c r="D7171" s="330" t="s">
        <v>17470</v>
      </c>
      <c r="E7171" s="330" t="s">
        <v>4634</v>
      </c>
      <c r="F7171" s="331">
        <v>0.21</v>
      </c>
      <c r="G7171" s="332">
        <v>5344</v>
      </c>
      <c r="H7171" s="333">
        <v>6467</v>
      </c>
    </row>
    <row r="7172" spans="1:8">
      <c r="A7172" s="317">
        <v>1618700063</v>
      </c>
      <c r="B7172" s="330" t="s">
        <v>51530</v>
      </c>
      <c r="C7172" s="330" t="s">
        <v>17471</v>
      </c>
      <c r="D7172" s="330" t="s">
        <v>17472</v>
      </c>
      <c r="E7172" s="330" t="s">
        <v>37248</v>
      </c>
      <c r="F7172" s="331">
        <v>0.21</v>
      </c>
      <c r="G7172" s="332">
        <v>18280</v>
      </c>
      <c r="H7172" s="333">
        <v>22119</v>
      </c>
    </row>
    <row r="7173" spans="1:8">
      <c r="A7173" s="317">
        <v>1618700066</v>
      </c>
      <c r="B7173" s="330" t="s">
        <v>51531</v>
      </c>
      <c r="C7173" s="330" t="s">
        <v>17473</v>
      </c>
      <c r="D7173" s="330" t="s">
        <v>17474</v>
      </c>
      <c r="E7173" s="330" t="s">
        <v>4819</v>
      </c>
      <c r="F7173" s="331">
        <v>0.21</v>
      </c>
      <c r="G7173" s="332">
        <v>26978</v>
      </c>
      <c r="H7173" s="333">
        <v>32644</v>
      </c>
    </row>
    <row r="7174" spans="1:8">
      <c r="A7174" s="317">
        <v>1618700073</v>
      </c>
      <c r="B7174" s="330" t="s">
        <v>51532</v>
      </c>
      <c r="C7174" s="330" t="s">
        <v>17475</v>
      </c>
      <c r="D7174" s="330" t="s">
        <v>17476</v>
      </c>
      <c r="E7174" s="330" t="s">
        <v>4634</v>
      </c>
      <c r="F7174" s="331">
        <v>0.21</v>
      </c>
      <c r="G7174" s="332">
        <v>3838</v>
      </c>
      <c r="H7174" s="333">
        <v>4644</v>
      </c>
    </row>
    <row r="7175" spans="1:8">
      <c r="A7175" s="317">
        <v>1618700075</v>
      </c>
      <c r="B7175" s="330" t="s">
        <v>51533</v>
      </c>
      <c r="C7175" s="330" t="s">
        <v>17477</v>
      </c>
      <c r="D7175" s="330" t="s">
        <v>17478</v>
      </c>
      <c r="E7175" s="330" t="s">
        <v>37248</v>
      </c>
      <c r="F7175" s="331">
        <v>0.21</v>
      </c>
      <c r="G7175" s="332">
        <v>16616</v>
      </c>
      <c r="H7175" s="333">
        <v>20106</v>
      </c>
    </row>
    <row r="7176" spans="1:8">
      <c r="A7176" s="317">
        <v>1618700083</v>
      </c>
      <c r="B7176" s="330" t="s">
        <v>51534</v>
      </c>
      <c r="C7176" s="330" t="s">
        <v>17479</v>
      </c>
      <c r="D7176" s="330" t="s">
        <v>7271</v>
      </c>
      <c r="E7176" s="330" t="s">
        <v>37248</v>
      </c>
      <c r="F7176" s="331">
        <v>0.21</v>
      </c>
      <c r="G7176" s="332">
        <v>14589</v>
      </c>
      <c r="H7176" s="333">
        <v>17653</v>
      </c>
    </row>
    <row r="7177" spans="1:8">
      <c r="A7177" s="317">
        <v>1618700085</v>
      </c>
      <c r="B7177" s="330" t="s">
        <v>51535</v>
      </c>
      <c r="C7177" s="330" t="s">
        <v>17480</v>
      </c>
      <c r="D7177" s="330" t="s">
        <v>17481</v>
      </c>
      <c r="E7177" s="330" t="s">
        <v>4819</v>
      </c>
      <c r="F7177" s="331">
        <v>0.21</v>
      </c>
      <c r="G7177" s="332">
        <v>22019</v>
      </c>
      <c r="H7177" s="333">
        <v>26643</v>
      </c>
    </row>
    <row r="7178" spans="1:8">
      <c r="A7178" s="317">
        <v>1618700093</v>
      </c>
      <c r="B7178" s="330" t="s">
        <v>51536</v>
      </c>
      <c r="C7178" s="330" t="s">
        <v>17482</v>
      </c>
      <c r="D7178" s="330" t="s">
        <v>17483</v>
      </c>
      <c r="E7178" s="330" t="s">
        <v>4819</v>
      </c>
      <c r="F7178" s="331">
        <v>0.21</v>
      </c>
      <c r="G7178" s="332">
        <v>19548</v>
      </c>
      <c r="H7178" s="333">
        <v>23654</v>
      </c>
    </row>
    <row r="7179" spans="1:8">
      <c r="A7179" s="317">
        <v>1618710030</v>
      </c>
      <c r="B7179" s="330" t="s">
        <v>51537</v>
      </c>
      <c r="C7179" s="330" t="s">
        <v>17484</v>
      </c>
      <c r="D7179" s="330" t="s">
        <v>15366</v>
      </c>
      <c r="E7179" s="330" t="s">
        <v>4634</v>
      </c>
      <c r="F7179" s="331">
        <v>0.21</v>
      </c>
      <c r="G7179" s="332">
        <v>18546</v>
      </c>
      <c r="H7179" s="333">
        <v>22441</v>
      </c>
    </row>
    <row r="7180" spans="1:8">
      <c r="A7180" s="317">
        <v>1618710038</v>
      </c>
      <c r="B7180" s="330" t="s">
        <v>51538</v>
      </c>
      <c r="C7180" s="330" t="s">
        <v>17485</v>
      </c>
      <c r="D7180" s="330" t="s">
        <v>17486</v>
      </c>
      <c r="E7180" s="330" t="s">
        <v>4634</v>
      </c>
      <c r="F7180" s="331">
        <v>0.21</v>
      </c>
      <c r="G7180" s="332">
        <v>3528</v>
      </c>
      <c r="H7180" s="333">
        <v>4269</v>
      </c>
    </row>
    <row r="7181" spans="1:8">
      <c r="A7181" s="317">
        <v>1618710039</v>
      </c>
      <c r="B7181" s="330" t="s">
        <v>51539</v>
      </c>
      <c r="C7181" s="330" t="s">
        <v>17487</v>
      </c>
      <c r="D7181" s="330" t="s">
        <v>17488</v>
      </c>
      <c r="E7181" s="330" t="s">
        <v>37248</v>
      </c>
      <c r="F7181" s="331">
        <v>0.21</v>
      </c>
      <c r="G7181" s="332">
        <v>90190</v>
      </c>
      <c r="H7181" s="333">
        <v>109130</v>
      </c>
    </row>
    <row r="7182" spans="1:8">
      <c r="A7182" s="317">
        <v>1618710044</v>
      </c>
      <c r="B7182" s="330" t="s">
        <v>51540</v>
      </c>
      <c r="C7182" s="330" t="s">
        <v>17489</v>
      </c>
      <c r="D7182" s="330" t="s">
        <v>15366</v>
      </c>
      <c r="E7182" s="330" t="s">
        <v>4634</v>
      </c>
      <c r="F7182" s="331">
        <v>0.21</v>
      </c>
      <c r="G7182" s="332">
        <v>7359</v>
      </c>
      <c r="H7182" s="333">
        <v>8905</v>
      </c>
    </row>
    <row r="7183" spans="1:8">
      <c r="A7183" s="317">
        <v>1618710051</v>
      </c>
      <c r="B7183" s="330" t="s">
        <v>51541</v>
      </c>
      <c r="C7183" s="330" t="s">
        <v>17490</v>
      </c>
      <c r="D7183" s="330" t="s">
        <v>17491</v>
      </c>
      <c r="E7183" s="330" t="s">
        <v>4634</v>
      </c>
      <c r="F7183" s="331">
        <v>0.21</v>
      </c>
      <c r="G7183" s="332">
        <v>437</v>
      </c>
      <c r="H7183" s="333">
        <v>529</v>
      </c>
    </row>
    <row r="7184" spans="1:8">
      <c r="A7184" s="317">
        <v>1618710052</v>
      </c>
      <c r="B7184" s="330" t="s">
        <v>51542</v>
      </c>
      <c r="C7184" s="330" t="s">
        <v>17492</v>
      </c>
      <c r="D7184" s="330" t="s">
        <v>17493</v>
      </c>
      <c r="E7184" s="330" t="s">
        <v>4819</v>
      </c>
      <c r="F7184" s="331">
        <v>0.21</v>
      </c>
      <c r="G7184" s="332">
        <v>30320</v>
      </c>
      <c r="H7184" s="333">
        <v>36688</v>
      </c>
    </row>
    <row r="7185" spans="1:8">
      <c r="A7185" s="317">
        <v>1618710053</v>
      </c>
      <c r="B7185" s="330" t="s">
        <v>51543</v>
      </c>
      <c r="C7185" s="330" t="s">
        <v>17494</v>
      </c>
      <c r="D7185" s="330" t="s">
        <v>17495</v>
      </c>
      <c r="E7185" s="330" t="s">
        <v>4634</v>
      </c>
      <c r="F7185" s="331">
        <v>0.21</v>
      </c>
      <c r="G7185" s="332">
        <v>5474</v>
      </c>
      <c r="H7185" s="333">
        <v>6624</v>
      </c>
    </row>
    <row r="7186" spans="1:8">
      <c r="A7186" s="317">
        <v>1618710055</v>
      </c>
      <c r="B7186" s="330" t="s">
        <v>51544</v>
      </c>
      <c r="C7186" s="330" t="s">
        <v>17496</v>
      </c>
      <c r="D7186" s="330" t="s">
        <v>17497</v>
      </c>
      <c r="E7186" s="330" t="s">
        <v>4634</v>
      </c>
      <c r="F7186" s="331">
        <v>0.21</v>
      </c>
      <c r="G7186" s="332">
        <v>7359</v>
      </c>
      <c r="H7186" s="333">
        <v>8905</v>
      </c>
    </row>
    <row r="7187" spans="1:8">
      <c r="A7187" s="317">
        <v>1618710057</v>
      </c>
      <c r="B7187" s="330" t="s">
        <v>51545</v>
      </c>
      <c r="C7187" s="330" t="s">
        <v>17498</v>
      </c>
      <c r="D7187" s="330" t="s">
        <v>17499</v>
      </c>
      <c r="E7187" s="330" t="s">
        <v>37248</v>
      </c>
      <c r="F7187" s="331">
        <v>0.21</v>
      </c>
      <c r="G7187" s="332">
        <v>19907</v>
      </c>
      <c r="H7187" s="333">
        <v>24088</v>
      </c>
    </row>
    <row r="7188" spans="1:8">
      <c r="A7188" s="317">
        <v>1618710058</v>
      </c>
      <c r="B7188" s="330" t="s">
        <v>51546</v>
      </c>
      <c r="C7188" s="330" t="s">
        <v>17500</v>
      </c>
      <c r="D7188" s="330" t="s">
        <v>17501</v>
      </c>
      <c r="E7188" s="330" t="s">
        <v>4634</v>
      </c>
      <c r="F7188" s="331">
        <v>0.21</v>
      </c>
      <c r="G7188" s="332">
        <v>12789</v>
      </c>
      <c r="H7188" s="333">
        <v>15475</v>
      </c>
    </row>
    <row r="7189" spans="1:8">
      <c r="A7189" s="317">
        <v>1618710060</v>
      </c>
      <c r="B7189" s="330" t="s">
        <v>51547</v>
      </c>
      <c r="C7189" s="330" t="s">
        <v>17502</v>
      </c>
      <c r="D7189" s="330" t="s">
        <v>17503</v>
      </c>
      <c r="E7189" s="330" t="s">
        <v>37248</v>
      </c>
      <c r="F7189" s="331">
        <v>0.21</v>
      </c>
      <c r="G7189" s="332">
        <v>22137</v>
      </c>
      <c r="H7189" s="333">
        <v>26786</v>
      </c>
    </row>
    <row r="7190" spans="1:8">
      <c r="A7190" s="317">
        <v>1618710062</v>
      </c>
      <c r="B7190" s="330" t="s">
        <v>51548</v>
      </c>
      <c r="C7190" s="330" t="s">
        <v>17504</v>
      </c>
      <c r="D7190" s="330" t="s">
        <v>17505</v>
      </c>
      <c r="E7190" s="330" t="s">
        <v>37248</v>
      </c>
      <c r="F7190" s="331">
        <v>0.21</v>
      </c>
      <c r="G7190" s="332">
        <v>71933</v>
      </c>
      <c r="H7190" s="333">
        <v>87039</v>
      </c>
    </row>
    <row r="7191" spans="1:8">
      <c r="A7191" s="317">
        <v>1618710066</v>
      </c>
      <c r="B7191" s="330" t="s">
        <v>51549</v>
      </c>
      <c r="C7191" s="330" t="s">
        <v>17506</v>
      </c>
      <c r="D7191" s="330" t="s">
        <v>17507</v>
      </c>
      <c r="E7191" s="330" t="s">
        <v>4634</v>
      </c>
      <c r="F7191" s="331">
        <v>0.21</v>
      </c>
      <c r="G7191" s="332">
        <v>4115</v>
      </c>
      <c r="H7191" s="333">
        <v>4980</v>
      </c>
    </row>
    <row r="7192" spans="1:8">
      <c r="A7192" s="317">
        <v>1618710068</v>
      </c>
      <c r="B7192" s="330" t="s">
        <v>51550</v>
      </c>
      <c r="C7192" s="330" t="s">
        <v>17508</v>
      </c>
      <c r="D7192" s="330" t="s">
        <v>17509</v>
      </c>
      <c r="E7192" s="330" t="s">
        <v>4634</v>
      </c>
      <c r="F7192" s="331">
        <v>0.21</v>
      </c>
      <c r="G7192" s="332">
        <v>1798</v>
      </c>
      <c r="H7192" s="333">
        <v>2176</v>
      </c>
    </row>
    <row r="7193" spans="1:8">
      <c r="A7193" s="317">
        <v>1618710070</v>
      </c>
      <c r="B7193" s="330" t="s">
        <v>51551</v>
      </c>
      <c r="C7193" s="330" t="s">
        <v>17510</v>
      </c>
      <c r="D7193" s="330" t="s">
        <v>17511</v>
      </c>
      <c r="E7193" s="330" t="s">
        <v>4634</v>
      </c>
      <c r="F7193" s="331">
        <v>0.21</v>
      </c>
      <c r="G7193" s="332">
        <v>2250</v>
      </c>
      <c r="H7193" s="333">
        <v>2723</v>
      </c>
    </row>
    <row r="7194" spans="1:8">
      <c r="A7194" s="317">
        <v>1618710071</v>
      </c>
      <c r="B7194" s="330" t="s">
        <v>51552</v>
      </c>
      <c r="C7194" s="330" t="s">
        <v>17512</v>
      </c>
      <c r="D7194" s="330" t="s">
        <v>17513</v>
      </c>
      <c r="E7194" s="330" t="s">
        <v>37248</v>
      </c>
      <c r="F7194" s="331">
        <v>0.21</v>
      </c>
      <c r="G7194" s="332">
        <v>39011</v>
      </c>
      <c r="H7194" s="333">
        <v>47204</v>
      </c>
    </row>
    <row r="7195" spans="1:8">
      <c r="A7195" s="317">
        <v>1618710073</v>
      </c>
      <c r="B7195" s="330" t="s">
        <v>51553</v>
      </c>
      <c r="C7195" s="330" t="s">
        <v>17514</v>
      </c>
      <c r="D7195" s="330" t="s">
        <v>17515</v>
      </c>
      <c r="E7195" s="330" t="s">
        <v>4819</v>
      </c>
      <c r="F7195" s="331">
        <v>0.21</v>
      </c>
      <c r="G7195" s="332">
        <v>37581</v>
      </c>
      <c r="H7195" s="333">
        <v>45474</v>
      </c>
    </row>
    <row r="7196" spans="1:8">
      <c r="A7196" s="317">
        <v>1618710074</v>
      </c>
      <c r="B7196" s="330" t="s">
        <v>51554</v>
      </c>
      <c r="C7196" s="330" t="s">
        <v>17516</v>
      </c>
      <c r="D7196" s="330" t="s">
        <v>17517</v>
      </c>
      <c r="E7196" s="330" t="s">
        <v>37248</v>
      </c>
      <c r="F7196" s="331">
        <v>0.21</v>
      </c>
      <c r="G7196" s="332">
        <v>42308</v>
      </c>
      <c r="H7196" s="333">
        <v>51193</v>
      </c>
    </row>
    <row r="7197" spans="1:8">
      <c r="A7197" s="317">
        <v>1618710077</v>
      </c>
      <c r="B7197" s="330" t="s">
        <v>51555</v>
      </c>
      <c r="C7197" s="330" t="s">
        <v>17518</v>
      </c>
      <c r="D7197" s="330" t="s">
        <v>17519</v>
      </c>
      <c r="E7197" s="330" t="s">
        <v>4634</v>
      </c>
      <c r="F7197" s="331">
        <v>0.21</v>
      </c>
      <c r="G7197" s="332">
        <v>9128</v>
      </c>
      <c r="H7197" s="333">
        <v>11045</v>
      </c>
    </row>
    <row r="7198" spans="1:8">
      <c r="A7198" s="317">
        <v>1618710080</v>
      </c>
      <c r="B7198" s="330" t="s">
        <v>51556</v>
      </c>
      <c r="C7198" s="330" t="s">
        <v>17520</v>
      </c>
      <c r="D7198" s="330" t="s">
        <v>17521</v>
      </c>
      <c r="E7198" s="330" t="s">
        <v>4634</v>
      </c>
      <c r="F7198" s="331">
        <v>0.21</v>
      </c>
      <c r="G7198" s="332">
        <v>1557</v>
      </c>
      <c r="H7198" s="333">
        <v>1884</v>
      </c>
    </row>
    <row r="7199" spans="1:8">
      <c r="A7199" s="317">
        <v>1618710083</v>
      </c>
      <c r="B7199" s="330" t="s">
        <v>51557</v>
      </c>
      <c r="C7199" s="330" t="s">
        <v>17522</v>
      </c>
      <c r="D7199" s="330" t="s">
        <v>17523</v>
      </c>
      <c r="E7199" s="330" t="s">
        <v>4634</v>
      </c>
      <c r="F7199" s="331">
        <v>0.21</v>
      </c>
      <c r="G7199" s="332">
        <v>8253</v>
      </c>
      <c r="H7199" s="333">
        <v>9987</v>
      </c>
    </row>
    <row r="7200" spans="1:8">
      <c r="A7200" s="317">
        <v>1618710085</v>
      </c>
      <c r="B7200" s="330" t="s">
        <v>51558</v>
      </c>
      <c r="C7200" s="330" t="s">
        <v>17524</v>
      </c>
      <c r="D7200" s="330" t="s">
        <v>7101</v>
      </c>
      <c r="E7200" s="330" t="s">
        <v>37248</v>
      </c>
      <c r="F7200" s="331">
        <v>0.21</v>
      </c>
      <c r="G7200" s="332">
        <v>15583</v>
      </c>
      <c r="H7200" s="333">
        <v>18856</v>
      </c>
    </row>
    <row r="7201" spans="1:8">
      <c r="A7201" s="317">
        <v>1618710089</v>
      </c>
      <c r="B7201" s="330" t="s">
        <v>51559</v>
      </c>
      <c r="C7201" s="330" t="s">
        <v>17525</v>
      </c>
      <c r="D7201" s="330" t="s">
        <v>17526</v>
      </c>
      <c r="E7201" s="330" t="s">
        <v>4819</v>
      </c>
      <c r="F7201" s="331">
        <v>0.21</v>
      </c>
      <c r="G7201" s="332">
        <v>35027</v>
      </c>
      <c r="H7201" s="333">
        <v>42383</v>
      </c>
    </row>
    <row r="7202" spans="1:8">
      <c r="A7202" s="317">
        <v>1618710091</v>
      </c>
      <c r="B7202" s="330" t="s">
        <v>51560</v>
      </c>
      <c r="C7202" s="330" t="s">
        <v>17527</v>
      </c>
      <c r="D7202" s="330" t="s">
        <v>17528</v>
      </c>
      <c r="E7202" s="330" t="s">
        <v>4634</v>
      </c>
      <c r="F7202" s="331">
        <v>0.21</v>
      </c>
      <c r="G7202" s="332">
        <v>7684</v>
      </c>
      <c r="H7202" s="333">
        <v>9298</v>
      </c>
    </row>
    <row r="7203" spans="1:8">
      <c r="A7203" s="317">
        <v>1618710094</v>
      </c>
      <c r="B7203" s="330" t="s">
        <v>51561</v>
      </c>
      <c r="C7203" s="330" t="s">
        <v>17529</v>
      </c>
      <c r="D7203" s="330" t="s">
        <v>7858</v>
      </c>
      <c r="E7203" s="330" t="s">
        <v>4819</v>
      </c>
      <c r="F7203" s="331">
        <v>0.21</v>
      </c>
      <c r="G7203" s="332">
        <v>19601</v>
      </c>
      <c r="H7203" s="333">
        <v>23718</v>
      </c>
    </row>
    <row r="7204" spans="1:8">
      <c r="A7204" s="317">
        <v>1618900001</v>
      </c>
      <c r="B7204" s="330" t="s">
        <v>51562</v>
      </c>
      <c r="C7204" s="330" t="s">
        <v>17530</v>
      </c>
      <c r="D7204" s="330" t="s">
        <v>17531</v>
      </c>
      <c r="E7204" s="330" t="s">
        <v>4819</v>
      </c>
      <c r="F7204" s="331">
        <v>0.21</v>
      </c>
      <c r="G7204" s="332">
        <v>6147</v>
      </c>
      <c r="H7204" s="333">
        <v>7438</v>
      </c>
    </row>
    <row r="7205" spans="1:8">
      <c r="A7205" s="317">
        <v>1618900002</v>
      </c>
      <c r="B7205" s="330" t="s">
        <v>51563</v>
      </c>
      <c r="C7205" s="330" t="s">
        <v>17532</v>
      </c>
      <c r="D7205" s="330" t="s">
        <v>5912</v>
      </c>
      <c r="E7205" s="330" t="s">
        <v>4634</v>
      </c>
      <c r="F7205" s="331">
        <v>0.21</v>
      </c>
      <c r="G7205" s="332">
        <v>2186</v>
      </c>
      <c r="H7205" s="333">
        <v>2646</v>
      </c>
    </row>
    <row r="7206" spans="1:8">
      <c r="A7206" s="317">
        <v>1618900003</v>
      </c>
      <c r="B7206" s="330" t="s">
        <v>51564</v>
      </c>
      <c r="C7206" s="330" t="s">
        <v>17533</v>
      </c>
      <c r="D7206" s="330" t="s">
        <v>17534</v>
      </c>
      <c r="E7206" s="330" t="s">
        <v>4634</v>
      </c>
      <c r="F7206" s="331">
        <v>0.21</v>
      </c>
      <c r="G7206" s="332">
        <v>1106</v>
      </c>
      <c r="H7206" s="333">
        <v>1339</v>
      </c>
    </row>
    <row r="7207" spans="1:8">
      <c r="A7207" s="317">
        <v>1618900004</v>
      </c>
      <c r="B7207" s="330" t="s">
        <v>51565</v>
      </c>
      <c r="C7207" s="330" t="s">
        <v>17535</v>
      </c>
      <c r="D7207" s="330" t="s">
        <v>17534</v>
      </c>
      <c r="E7207" s="330" t="s">
        <v>4634</v>
      </c>
      <c r="F7207" s="331">
        <v>0.21</v>
      </c>
      <c r="G7207" s="332">
        <v>1106</v>
      </c>
      <c r="H7207" s="333">
        <v>1339</v>
      </c>
    </row>
    <row r="7208" spans="1:8">
      <c r="A7208" s="317" t="s">
        <v>40478</v>
      </c>
      <c r="B7208" s="330" t="s">
        <v>51566</v>
      </c>
      <c r="C7208" s="330" t="s">
        <v>17536</v>
      </c>
      <c r="D7208" s="330" t="s">
        <v>17537</v>
      </c>
      <c r="E7208" s="330" t="s">
        <v>4819</v>
      </c>
      <c r="F7208" s="331">
        <v>0.21</v>
      </c>
      <c r="G7208" s="332">
        <v>292</v>
      </c>
      <c r="H7208" s="333">
        <v>354</v>
      </c>
    </row>
    <row r="7209" spans="1:8">
      <c r="A7209" s="317" t="s">
        <v>40479</v>
      </c>
      <c r="B7209" s="330" t="s">
        <v>51567</v>
      </c>
      <c r="C7209" s="330" t="s">
        <v>17538</v>
      </c>
      <c r="D7209" s="330" t="s">
        <v>6896</v>
      </c>
      <c r="E7209" s="330" t="s">
        <v>37248</v>
      </c>
      <c r="F7209" s="331">
        <v>0.21</v>
      </c>
      <c r="G7209" s="332">
        <v>1282</v>
      </c>
      <c r="H7209" s="333">
        <v>1552</v>
      </c>
    </row>
    <row r="7210" spans="1:8">
      <c r="A7210" s="317" t="s">
        <v>40480</v>
      </c>
      <c r="B7210" s="330" t="s">
        <v>51568</v>
      </c>
      <c r="C7210" s="330" t="s">
        <v>17539</v>
      </c>
      <c r="D7210" s="330" t="s">
        <v>17540</v>
      </c>
      <c r="E7210" s="330" t="s">
        <v>4819</v>
      </c>
      <c r="F7210" s="331">
        <v>0.21</v>
      </c>
      <c r="G7210" s="332">
        <v>1025</v>
      </c>
      <c r="H7210" s="333">
        <v>1241</v>
      </c>
    </row>
    <row r="7211" spans="1:8">
      <c r="A7211" s="317" t="s">
        <v>40481</v>
      </c>
      <c r="B7211" s="330" t="s">
        <v>51569</v>
      </c>
      <c r="C7211" s="330" t="s">
        <v>17541</v>
      </c>
      <c r="D7211" s="330" t="s">
        <v>17542</v>
      </c>
      <c r="E7211" s="330" t="s">
        <v>4819</v>
      </c>
      <c r="F7211" s="331">
        <v>0.21</v>
      </c>
      <c r="G7211" s="332">
        <v>628</v>
      </c>
      <c r="H7211" s="333">
        <v>760</v>
      </c>
    </row>
    <row r="7212" spans="1:8">
      <c r="A7212" s="317" t="s">
        <v>40482</v>
      </c>
      <c r="B7212" s="330" t="s">
        <v>51570</v>
      </c>
      <c r="C7212" s="330" t="s">
        <v>17543</v>
      </c>
      <c r="D7212" s="330" t="s">
        <v>17542</v>
      </c>
      <c r="E7212" s="330" t="s">
        <v>4819</v>
      </c>
      <c r="F7212" s="331">
        <v>0.21</v>
      </c>
      <c r="G7212" s="332">
        <v>628</v>
      </c>
      <c r="H7212" s="333">
        <v>760</v>
      </c>
    </row>
    <row r="7213" spans="1:8">
      <c r="A7213" s="317" t="s">
        <v>40483</v>
      </c>
      <c r="B7213" s="330" t="s">
        <v>51571</v>
      </c>
      <c r="C7213" s="330" t="s">
        <v>17544</v>
      </c>
      <c r="D7213" s="330" t="s">
        <v>17545</v>
      </c>
      <c r="E7213" s="330" t="s">
        <v>4819</v>
      </c>
      <c r="F7213" s="331">
        <v>0.21</v>
      </c>
      <c r="G7213" s="332">
        <v>3084</v>
      </c>
      <c r="H7213" s="333">
        <v>3732</v>
      </c>
    </row>
    <row r="7214" spans="1:8">
      <c r="A7214" s="317" t="s">
        <v>40484</v>
      </c>
      <c r="B7214" s="330" t="s">
        <v>51572</v>
      </c>
      <c r="C7214" s="330" t="s">
        <v>17546</v>
      </c>
      <c r="D7214" s="330" t="s">
        <v>17547</v>
      </c>
      <c r="E7214" s="330" t="s">
        <v>4634</v>
      </c>
      <c r="F7214" s="331">
        <v>0.21</v>
      </c>
      <c r="G7214" s="332">
        <v>3245</v>
      </c>
      <c r="H7214" s="333">
        <v>3927</v>
      </c>
    </row>
    <row r="7215" spans="1:8">
      <c r="A7215" s="317" t="s">
        <v>40485</v>
      </c>
      <c r="B7215" s="330" t="s">
        <v>51573</v>
      </c>
      <c r="C7215" s="330" t="s">
        <v>17548</v>
      </c>
      <c r="D7215" s="330" t="s">
        <v>17549</v>
      </c>
      <c r="E7215" s="330" t="s">
        <v>4634</v>
      </c>
      <c r="F7215" s="331">
        <v>0.21</v>
      </c>
      <c r="G7215" s="332">
        <v>17634</v>
      </c>
      <c r="H7215" s="333">
        <v>21338</v>
      </c>
    </row>
    <row r="7216" spans="1:8">
      <c r="A7216" s="317" t="s">
        <v>40486</v>
      </c>
      <c r="B7216" s="330" t="s">
        <v>51574</v>
      </c>
      <c r="C7216" s="330" t="s">
        <v>17550</v>
      </c>
      <c r="D7216" s="330" t="s">
        <v>17551</v>
      </c>
      <c r="E7216" s="330" t="s">
        <v>4634</v>
      </c>
      <c r="F7216" s="331">
        <v>0.21</v>
      </c>
      <c r="G7216" s="332">
        <v>16639</v>
      </c>
      <c r="H7216" s="333">
        <v>20134</v>
      </c>
    </row>
    <row r="7217" spans="1:8">
      <c r="A7217" s="317" t="s">
        <v>40487</v>
      </c>
      <c r="B7217" s="330" t="s">
        <v>51575</v>
      </c>
      <c r="C7217" s="330" t="s">
        <v>17552</v>
      </c>
      <c r="D7217" s="330" t="s">
        <v>17553</v>
      </c>
      <c r="E7217" s="330" t="s">
        <v>4819</v>
      </c>
      <c r="F7217" s="331">
        <v>0.21</v>
      </c>
      <c r="G7217" s="332">
        <v>2311</v>
      </c>
      <c r="H7217" s="333">
        <v>2797</v>
      </c>
    </row>
    <row r="7218" spans="1:8">
      <c r="A7218" s="317" t="s">
        <v>40488</v>
      </c>
      <c r="B7218" s="330" t="s">
        <v>51576</v>
      </c>
      <c r="C7218" s="330" t="s">
        <v>17554</v>
      </c>
      <c r="D7218" s="330" t="s">
        <v>17555</v>
      </c>
      <c r="E7218" s="330" t="s">
        <v>4819</v>
      </c>
      <c r="F7218" s="331">
        <v>0.21</v>
      </c>
      <c r="G7218" s="332">
        <v>1025</v>
      </c>
      <c r="H7218" s="333">
        <v>1241</v>
      </c>
    </row>
    <row r="7219" spans="1:8">
      <c r="A7219" s="317" t="s">
        <v>40489</v>
      </c>
      <c r="B7219" s="330" t="s">
        <v>51577</v>
      </c>
      <c r="C7219" s="330" t="s">
        <v>17556</v>
      </c>
      <c r="D7219" s="330" t="s">
        <v>17557</v>
      </c>
      <c r="E7219" s="330" t="s">
        <v>4819</v>
      </c>
      <c r="F7219" s="331">
        <v>0.21</v>
      </c>
      <c r="G7219" s="332">
        <v>8900</v>
      </c>
      <c r="H7219" s="333">
        <v>10769</v>
      </c>
    </row>
    <row r="7220" spans="1:8">
      <c r="A7220" s="317" t="s">
        <v>40490</v>
      </c>
      <c r="B7220" s="330" t="s">
        <v>51578</v>
      </c>
      <c r="C7220" s="330" t="s">
        <v>17558</v>
      </c>
      <c r="D7220" s="330" t="s">
        <v>17559</v>
      </c>
      <c r="E7220" s="330" t="s">
        <v>4819</v>
      </c>
      <c r="F7220" s="331">
        <v>0.21</v>
      </c>
      <c r="G7220" s="332">
        <v>7096</v>
      </c>
      <c r="H7220" s="333">
        <v>8587</v>
      </c>
    </row>
    <row r="7221" spans="1:8">
      <c r="A7221" s="317" t="s">
        <v>40491</v>
      </c>
      <c r="B7221" s="330" t="s">
        <v>51579</v>
      </c>
      <c r="C7221" s="330" t="s">
        <v>17560</v>
      </c>
      <c r="D7221" s="330" t="s">
        <v>17561</v>
      </c>
      <c r="E7221" s="330" t="s">
        <v>37248</v>
      </c>
      <c r="F7221" s="331">
        <v>0.21</v>
      </c>
      <c r="G7221" s="332">
        <v>49634</v>
      </c>
      <c r="H7221" s="333">
        <v>60058</v>
      </c>
    </row>
    <row r="7222" spans="1:8">
      <c r="A7222" s="317" t="s">
        <v>40492</v>
      </c>
      <c r="B7222" s="330" t="s">
        <v>51580</v>
      </c>
      <c r="C7222" s="330" t="s">
        <v>17562</v>
      </c>
      <c r="D7222" s="330" t="s">
        <v>17561</v>
      </c>
      <c r="E7222" s="330" t="s">
        <v>37248</v>
      </c>
      <c r="F7222" s="331">
        <v>0.21</v>
      </c>
      <c r="G7222" s="332">
        <v>64527</v>
      </c>
      <c r="H7222" s="333">
        <v>78078</v>
      </c>
    </row>
    <row r="7223" spans="1:8">
      <c r="A7223" s="317" t="s">
        <v>40493</v>
      </c>
      <c r="B7223" s="330" t="s">
        <v>51581</v>
      </c>
      <c r="C7223" s="330" t="s">
        <v>17563</v>
      </c>
      <c r="D7223" s="330" t="s">
        <v>17564</v>
      </c>
      <c r="E7223" s="330" t="s">
        <v>37248</v>
      </c>
      <c r="F7223" s="331">
        <v>0.21</v>
      </c>
      <c r="G7223" s="332">
        <v>780</v>
      </c>
      <c r="H7223" s="333">
        <v>944</v>
      </c>
    </row>
    <row r="7224" spans="1:8">
      <c r="A7224" s="317" t="s">
        <v>40494</v>
      </c>
      <c r="B7224" s="330" t="s">
        <v>51582</v>
      </c>
      <c r="C7224" s="330" t="s">
        <v>17565</v>
      </c>
      <c r="D7224" s="330" t="s">
        <v>17566</v>
      </c>
      <c r="E7224" s="330" t="s">
        <v>37248</v>
      </c>
      <c r="F7224" s="331">
        <v>0.21</v>
      </c>
      <c r="G7224" s="332">
        <v>863</v>
      </c>
      <c r="H7224" s="333">
        <v>1045</v>
      </c>
    </row>
    <row r="7225" spans="1:8">
      <c r="A7225" s="317" t="s">
        <v>40495</v>
      </c>
      <c r="B7225" s="330" t="s">
        <v>51583</v>
      </c>
      <c r="C7225" s="330" t="s">
        <v>17567</v>
      </c>
      <c r="D7225" s="330" t="s">
        <v>17561</v>
      </c>
      <c r="E7225" s="330" t="s">
        <v>37248</v>
      </c>
      <c r="F7225" s="331">
        <v>0.21</v>
      </c>
      <c r="G7225" s="332">
        <v>3707</v>
      </c>
      <c r="H7225" s="333">
        <v>4486</v>
      </c>
    </row>
    <row r="7226" spans="1:8">
      <c r="A7226" s="317" t="s">
        <v>40496</v>
      </c>
      <c r="B7226" s="330" t="s">
        <v>51584</v>
      </c>
      <c r="C7226" s="330" t="s">
        <v>17568</v>
      </c>
      <c r="D7226" s="330" t="s">
        <v>17569</v>
      </c>
      <c r="E7226" s="330" t="s">
        <v>4819</v>
      </c>
      <c r="F7226" s="331">
        <v>0.21</v>
      </c>
      <c r="G7226" s="332">
        <v>10950</v>
      </c>
      <c r="H7226" s="333">
        <v>13250</v>
      </c>
    </row>
    <row r="7227" spans="1:8">
      <c r="A7227" s="317" t="s">
        <v>40497</v>
      </c>
      <c r="B7227" s="330" t="s">
        <v>51585</v>
      </c>
      <c r="C7227" s="330" t="s">
        <v>17570</v>
      </c>
      <c r="D7227" s="330" t="s">
        <v>17571</v>
      </c>
      <c r="E7227" s="330" t="s">
        <v>4819</v>
      </c>
      <c r="F7227" s="331">
        <v>0.21</v>
      </c>
      <c r="G7227" s="332">
        <v>48936</v>
      </c>
      <c r="H7227" s="333">
        <v>59213</v>
      </c>
    </row>
    <row r="7228" spans="1:8">
      <c r="A7228" s="317" t="s">
        <v>40498</v>
      </c>
      <c r="B7228" s="330" t="s">
        <v>51586</v>
      </c>
      <c r="C7228" s="330" t="s">
        <v>17572</v>
      </c>
      <c r="D7228" s="330" t="s">
        <v>17573</v>
      </c>
      <c r="E7228" s="330" t="s">
        <v>4819</v>
      </c>
      <c r="F7228" s="331">
        <v>0.21</v>
      </c>
      <c r="G7228" s="332">
        <v>3314</v>
      </c>
      <c r="H7228" s="333">
        <v>4010</v>
      </c>
    </row>
    <row r="7229" spans="1:8">
      <c r="A7229" s="317" t="s">
        <v>40499</v>
      </c>
      <c r="B7229" s="330" t="s">
        <v>51587</v>
      </c>
      <c r="C7229" s="330" t="s">
        <v>17574</v>
      </c>
      <c r="D7229" s="330" t="s">
        <v>17575</v>
      </c>
      <c r="E7229" s="330" t="s">
        <v>37248</v>
      </c>
      <c r="F7229" s="331">
        <v>0.21</v>
      </c>
      <c r="G7229" s="332">
        <v>2730</v>
      </c>
      <c r="H7229" s="333">
        <v>3304</v>
      </c>
    </row>
    <row r="7230" spans="1:8">
      <c r="A7230" s="317" t="s">
        <v>40500</v>
      </c>
      <c r="B7230" s="330" t="s">
        <v>51588</v>
      </c>
      <c r="C7230" s="330" t="s">
        <v>17576</v>
      </c>
      <c r="D7230" s="330" t="s">
        <v>17577</v>
      </c>
      <c r="E7230" s="330" t="s">
        <v>37248</v>
      </c>
      <c r="F7230" s="331">
        <v>0.21</v>
      </c>
      <c r="G7230" s="332">
        <v>3934</v>
      </c>
      <c r="H7230" s="333">
        <v>4761</v>
      </c>
    </row>
    <row r="7231" spans="1:8">
      <c r="A7231" s="317" t="s">
        <v>40501</v>
      </c>
      <c r="B7231" s="330" t="s">
        <v>51589</v>
      </c>
      <c r="C7231" s="330" t="s">
        <v>17578</v>
      </c>
      <c r="D7231" s="330" t="s">
        <v>17579</v>
      </c>
      <c r="E7231" s="330" t="s">
        <v>37248</v>
      </c>
      <c r="F7231" s="331">
        <v>0.21</v>
      </c>
      <c r="G7231" s="332">
        <v>1623</v>
      </c>
      <c r="H7231" s="333">
        <v>1964</v>
      </c>
    </row>
    <row r="7232" spans="1:8">
      <c r="A7232" s="317" t="s">
        <v>40502</v>
      </c>
      <c r="B7232" s="330" t="s">
        <v>51590</v>
      </c>
      <c r="C7232" s="330" t="s">
        <v>17580</v>
      </c>
      <c r="D7232" s="330" t="s">
        <v>17581</v>
      </c>
      <c r="E7232" s="330" t="s">
        <v>37248</v>
      </c>
      <c r="F7232" s="331">
        <v>0.21</v>
      </c>
      <c r="G7232" s="332">
        <v>5797</v>
      </c>
      <c r="H7232" s="333">
        <v>7015</v>
      </c>
    </row>
    <row r="7233" spans="1:8">
      <c r="A7233" s="317" t="s">
        <v>40503</v>
      </c>
      <c r="B7233" s="330" t="s">
        <v>51591</v>
      </c>
      <c r="C7233" s="330" t="s">
        <v>17582</v>
      </c>
      <c r="D7233" s="330" t="s">
        <v>17583</v>
      </c>
      <c r="E7233" s="330" t="s">
        <v>4819</v>
      </c>
      <c r="F7233" s="331">
        <v>0.21</v>
      </c>
      <c r="G7233" s="332">
        <v>1373</v>
      </c>
      <c r="H7233" s="333">
        <v>1662</v>
      </c>
    </row>
    <row r="7234" spans="1:8">
      <c r="A7234" s="317" t="s">
        <v>40504</v>
      </c>
      <c r="B7234" s="330" t="s">
        <v>51592</v>
      </c>
      <c r="C7234" s="330" t="s">
        <v>17584</v>
      </c>
      <c r="D7234" s="330" t="s">
        <v>17585</v>
      </c>
      <c r="E7234" s="330" t="s">
        <v>4819</v>
      </c>
      <c r="F7234" s="331">
        <v>0.21</v>
      </c>
      <c r="G7234" s="332">
        <v>1373</v>
      </c>
      <c r="H7234" s="333">
        <v>1662</v>
      </c>
    </row>
    <row r="7235" spans="1:8">
      <c r="A7235" s="317" t="s">
        <v>40505</v>
      </c>
      <c r="B7235" s="330" t="s">
        <v>51593</v>
      </c>
      <c r="C7235" s="330" t="s">
        <v>17586</v>
      </c>
      <c r="D7235" s="330" t="s">
        <v>17587</v>
      </c>
      <c r="E7235" s="330" t="s">
        <v>4634</v>
      </c>
      <c r="F7235" s="331">
        <v>0.21</v>
      </c>
      <c r="G7235" s="332">
        <v>1286</v>
      </c>
      <c r="H7235" s="333">
        <v>1557</v>
      </c>
    </row>
    <row r="7236" spans="1:8">
      <c r="A7236" s="317" t="s">
        <v>40506</v>
      </c>
      <c r="B7236" s="330" t="s">
        <v>51594</v>
      </c>
      <c r="C7236" s="330" t="s">
        <v>17588</v>
      </c>
      <c r="D7236" s="330" t="s">
        <v>17589</v>
      </c>
      <c r="E7236" s="330" t="s">
        <v>4819</v>
      </c>
      <c r="F7236" s="331">
        <v>0.21</v>
      </c>
      <c r="G7236" s="332">
        <v>1373</v>
      </c>
      <c r="H7236" s="333">
        <v>1662</v>
      </c>
    </row>
    <row r="7237" spans="1:8">
      <c r="A7237" s="317" t="s">
        <v>40507</v>
      </c>
      <c r="B7237" s="330" t="s">
        <v>51595</v>
      </c>
      <c r="C7237" s="330" t="s">
        <v>17590</v>
      </c>
      <c r="D7237" s="330" t="s">
        <v>17591</v>
      </c>
      <c r="E7237" s="330" t="s">
        <v>4819</v>
      </c>
      <c r="F7237" s="331">
        <v>0.21</v>
      </c>
      <c r="G7237" s="332">
        <v>628</v>
      </c>
      <c r="H7237" s="333">
        <v>760</v>
      </c>
    </row>
    <row r="7238" spans="1:8">
      <c r="A7238" s="317" t="s">
        <v>40508</v>
      </c>
      <c r="B7238" s="330" t="s">
        <v>51596</v>
      </c>
      <c r="C7238" s="330" t="s">
        <v>17592</v>
      </c>
      <c r="D7238" s="330" t="s">
        <v>17593</v>
      </c>
      <c r="E7238" s="330" t="s">
        <v>4819</v>
      </c>
      <c r="F7238" s="331">
        <v>0.21</v>
      </c>
      <c r="G7238" s="332">
        <v>709</v>
      </c>
      <c r="H7238" s="333">
        <v>858</v>
      </c>
    </row>
    <row r="7239" spans="1:8">
      <c r="A7239" s="317" t="s">
        <v>40509</v>
      </c>
      <c r="B7239" s="330" t="s">
        <v>51597</v>
      </c>
      <c r="C7239" s="330" t="s">
        <v>17594</v>
      </c>
      <c r="D7239" s="330" t="s">
        <v>5822</v>
      </c>
      <c r="E7239" s="330" t="s">
        <v>37248</v>
      </c>
      <c r="F7239" s="331">
        <v>0.21</v>
      </c>
      <c r="G7239" s="332">
        <v>1072</v>
      </c>
      <c r="H7239" s="333">
        <v>1298</v>
      </c>
    </row>
    <row r="7240" spans="1:8">
      <c r="A7240" s="317" t="s">
        <v>40510</v>
      </c>
      <c r="B7240" s="330" t="s">
        <v>51598</v>
      </c>
      <c r="C7240" s="330" t="s">
        <v>17595</v>
      </c>
      <c r="D7240" s="330" t="s">
        <v>17596</v>
      </c>
      <c r="E7240" s="330" t="s">
        <v>4819</v>
      </c>
      <c r="F7240" s="331">
        <v>0.21</v>
      </c>
      <c r="G7240" s="332">
        <v>5382</v>
      </c>
      <c r="H7240" s="333">
        <v>6513</v>
      </c>
    </row>
    <row r="7241" spans="1:8">
      <c r="A7241" s="317" t="s">
        <v>40511</v>
      </c>
      <c r="B7241" s="330" t="s">
        <v>51599</v>
      </c>
      <c r="C7241" s="330" t="s">
        <v>17597</v>
      </c>
      <c r="D7241" s="330" t="s">
        <v>17598</v>
      </c>
      <c r="E7241" s="330" t="s">
        <v>37248</v>
      </c>
      <c r="F7241" s="331">
        <v>0.21</v>
      </c>
      <c r="G7241" s="332">
        <v>4305</v>
      </c>
      <c r="H7241" s="333">
        <v>5210</v>
      </c>
    </row>
    <row r="7242" spans="1:8">
      <c r="A7242" s="317" t="s">
        <v>40512</v>
      </c>
      <c r="B7242" s="330" t="s">
        <v>51600</v>
      </c>
      <c r="C7242" s="330" t="s">
        <v>17599</v>
      </c>
      <c r="D7242" s="330" t="s">
        <v>17600</v>
      </c>
      <c r="E7242" s="330" t="s">
        <v>37248</v>
      </c>
      <c r="F7242" s="331">
        <v>0.21</v>
      </c>
      <c r="G7242" s="332">
        <v>37960</v>
      </c>
      <c r="H7242" s="333">
        <v>45932</v>
      </c>
    </row>
    <row r="7243" spans="1:8">
      <c r="A7243" s="317" t="s">
        <v>40513</v>
      </c>
      <c r="B7243" s="330" t="s">
        <v>51601</v>
      </c>
      <c r="C7243" s="330" t="s">
        <v>17601</v>
      </c>
      <c r="D7243" s="330" t="s">
        <v>17602</v>
      </c>
      <c r="E7243" s="330" t="s">
        <v>4819</v>
      </c>
      <c r="F7243" s="331">
        <v>0.21</v>
      </c>
      <c r="G7243" s="332">
        <v>758</v>
      </c>
      <c r="H7243" s="333">
        <v>918</v>
      </c>
    </row>
    <row r="7244" spans="1:8">
      <c r="A7244" s="317" t="s">
        <v>40514</v>
      </c>
      <c r="B7244" s="330" t="s">
        <v>51602</v>
      </c>
      <c r="C7244" s="330" t="s">
        <v>17603</v>
      </c>
      <c r="D7244" s="330" t="s">
        <v>17604</v>
      </c>
      <c r="E7244" s="330" t="s">
        <v>4634</v>
      </c>
      <c r="F7244" s="331">
        <v>0.21</v>
      </c>
      <c r="G7244" s="332">
        <v>3274</v>
      </c>
      <c r="H7244" s="333">
        <v>3962</v>
      </c>
    </row>
    <row r="7245" spans="1:8">
      <c r="A7245" s="317" t="s">
        <v>40515</v>
      </c>
      <c r="B7245" s="330" t="s">
        <v>51603</v>
      </c>
      <c r="C7245" s="330" t="s">
        <v>17605</v>
      </c>
      <c r="D7245" s="330" t="s">
        <v>17542</v>
      </c>
      <c r="E7245" s="330" t="s">
        <v>4819</v>
      </c>
      <c r="F7245" s="331">
        <v>0.21</v>
      </c>
      <c r="G7245" s="332">
        <v>628</v>
      </c>
      <c r="H7245" s="333">
        <v>760</v>
      </c>
    </row>
    <row r="7246" spans="1:8">
      <c r="A7246" s="317" t="s">
        <v>40516</v>
      </c>
      <c r="B7246" s="330" t="s">
        <v>51604</v>
      </c>
      <c r="C7246" s="330" t="s">
        <v>17606</v>
      </c>
      <c r="D7246" s="330" t="s">
        <v>17607</v>
      </c>
      <c r="E7246" s="330" t="s">
        <v>4819</v>
      </c>
      <c r="F7246" s="331">
        <v>0.21</v>
      </c>
      <c r="G7246" s="332">
        <v>2311</v>
      </c>
      <c r="H7246" s="333">
        <v>2797</v>
      </c>
    </row>
    <row r="7247" spans="1:8">
      <c r="A7247" s="317" t="s">
        <v>40517</v>
      </c>
      <c r="B7247" s="330" t="s">
        <v>51605</v>
      </c>
      <c r="C7247" s="330" t="s">
        <v>17608</v>
      </c>
      <c r="D7247" s="330" t="s">
        <v>17609</v>
      </c>
      <c r="E7247" s="330" t="s">
        <v>4819</v>
      </c>
      <c r="F7247" s="331">
        <v>0.21</v>
      </c>
      <c r="G7247" s="332">
        <v>4031</v>
      </c>
      <c r="H7247" s="333">
        <v>4878</v>
      </c>
    </row>
    <row r="7248" spans="1:8">
      <c r="A7248" s="317" t="s">
        <v>40518</v>
      </c>
      <c r="B7248" s="330" t="s">
        <v>51606</v>
      </c>
      <c r="C7248" s="330" t="s">
        <v>17610</v>
      </c>
      <c r="D7248" s="330" t="s">
        <v>17611</v>
      </c>
      <c r="E7248" s="330" t="s">
        <v>4819</v>
      </c>
      <c r="F7248" s="331">
        <v>0.21</v>
      </c>
      <c r="G7248" s="332">
        <v>29231</v>
      </c>
      <c r="H7248" s="333">
        <v>35370</v>
      </c>
    </row>
    <row r="7249" spans="1:8">
      <c r="A7249" s="317" t="s">
        <v>40519</v>
      </c>
      <c r="B7249" s="330" t="s">
        <v>51607</v>
      </c>
      <c r="C7249" s="330" t="s">
        <v>17612</v>
      </c>
      <c r="D7249" s="330" t="s">
        <v>17611</v>
      </c>
      <c r="E7249" s="330" t="s">
        <v>4819</v>
      </c>
      <c r="F7249" s="331">
        <v>0.21</v>
      </c>
      <c r="G7249" s="332">
        <v>20900</v>
      </c>
      <c r="H7249" s="333">
        <v>25289</v>
      </c>
    </row>
    <row r="7250" spans="1:8">
      <c r="A7250" s="317">
        <v>1619990149</v>
      </c>
      <c r="B7250" s="330" t="s">
        <v>51608</v>
      </c>
      <c r="C7250" s="330" t="s">
        <v>17613</v>
      </c>
      <c r="D7250" s="330" t="s">
        <v>17614</v>
      </c>
      <c r="E7250" s="330" t="s">
        <v>4634</v>
      </c>
      <c r="F7250" s="331">
        <v>0.21</v>
      </c>
      <c r="G7250" s="332">
        <v>46413</v>
      </c>
      <c r="H7250" s="333">
        <v>56160</v>
      </c>
    </row>
    <row r="7251" spans="1:8">
      <c r="A7251" s="317">
        <v>1619990151</v>
      </c>
      <c r="B7251" s="330" t="s">
        <v>51609</v>
      </c>
      <c r="C7251" s="330" t="s">
        <v>17615</v>
      </c>
      <c r="D7251" s="330" t="s">
        <v>17616</v>
      </c>
      <c r="E7251" s="330" t="s">
        <v>4634</v>
      </c>
      <c r="F7251" s="331">
        <v>0.21</v>
      </c>
      <c r="G7251" s="332">
        <v>6734</v>
      </c>
      <c r="H7251" s="333">
        <v>8149</v>
      </c>
    </row>
    <row r="7252" spans="1:8">
      <c r="A7252" s="317">
        <v>1619990177</v>
      </c>
      <c r="B7252" s="330" t="s">
        <v>51610</v>
      </c>
      <c r="C7252" s="330" t="s">
        <v>17617</v>
      </c>
      <c r="D7252" s="330" t="s">
        <v>17618</v>
      </c>
      <c r="E7252" s="330" t="s">
        <v>37248</v>
      </c>
      <c r="F7252" s="331">
        <v>0.21</v>
      </c>
      <c r="G7252" s="332">
        <v>2150</v>
      </c>
      <c r="H7252" s="333">
        <v>2602</v>
      </c>
    </row>
    <row r="7253" spans="1:8">
      <c r="A7253" s="317">
        <v>1619990179</v>
      </c>
      <c r="B7253" s="330" t="s">
        <v>51611</v>
      </c>
      <c r="C7253" s="330" t="s">
        <v>17619</v>
      </c>
      <c r="D7253" s="330" t="s">
        <v>17620</v>
      </c>
      <c r="E7253" s="330" t="s">
        <v>37248</v>
      </c>
      <c r="F7253" s="331">
        <v>0.21</v>
      </c>
      <c r="G7253" s="332">
        <v>3825</v>
      </c>
      <c r="H7253" s="333">
        <v>4629</v>
      </c>
    </row>
    <row r="7254" spans="1:8">
      <c r="A7254" s="317" t="s">
        <v>40520</v>
      </c>
      <c r="B7254" s="330" t="s">
        <v>51612</v>
      </c>
      <c r="C7254" s="330" t="s">
        <v>17621</v>
      </c>
      <c r="D7254" s="330" t="s">
        <v>17622</v>
      </c>
      <c r="E7254" s="330" t="s">
        <v>37248</v>
      </c>
      <c r="F7254" s="331">
        <v>0.21</v>
      </c>
      <c r="G7254" s="332">
        <v>107</v>
      </c>
      <c r="H7254" s="333">
        <v>130</v>
      </c>
    </row>
    <row r="7255" spans="1:8">
      <c r="A7255" s="317" t="s">
        <v>40521</v>
      </c>
      <c r="B7255" s="330" t="s">
        <v>51613</v>
      </c>
      <c r="C7255" s="330" t="s">
        <v>17623</v>
      </c>
      <c r="D7255" s="330" t="s">
        <v>17624</v>
      </c>
      <c r="E7255" s="330" t="s">
        <v>4819</v>
      </c>
      <c r="F7255" s="331">
        <v>0.21</v>
      </c>
      <c r="G7255" s="332">
        <v>671</v>
      </c>
      <c r="H7255" s="333">
        <v>812</v>
      </c>
    </row>
    <row r="7256" spans="1:8">
      <c r="A7256" s="317" t="s">
        <v>40522</v>
      </c>
      <c r="B7256" s="330" t="s">
        <v>51614</v>
      </c>
      <c r="C7256" s="330" t="s">
        <v>17625</v>
      </c>
      <c r="D7256" s="330" t="s">
        <v>17626</v>
      </c>
      <c r="E7256" s="330" t="s">
        <v>4634</v>
      </c>
      <c r="F7256" s="331">
        <v>0.21</v>
      </c>
      <c r="G7256" s="332">
        <v>9128</v>
      </c>
      <c r="H7256" s="333">
        <v>11045</v>
      </c>
    </row>
    <row r="7257" spans="1:8">
      <c r="A7257" s="317" t="s">
        <v>40523</v>
      </c>
      <c r="B7257" s="330" t="s">
        <v>51615</v>
      </c>
      <c r="C7257" s="330" t="s">
        <v>17627</v>
      </c>
      <c r="D7257" s="330" t="s">
        <v>17628</v>
      </c>
      <c r="E7257" s="330" t="s">
        <v>4634</v>
      </c>
      <c r="F7257" s="331">
        <v>0.21</v>
      </c>
      <c r="G7257" s="332">
        <v>10033</v>
      </c>
      <c r="H7257" s="333">
        <v>12140</v>
      </c>
    </row>
    <row r="7258" spans="1:8">
      <c r="A7258" s="317" t="s">
        <v>40524</v>
      </c>
      <c r="B7258" s="330" t="s">
        <v>51616</v>
      </c>
      <c r="C7258" s="330" t="s">
        <v>17629</v>
      </c>
      <c r="D7258" s="330" t="s">
        <v>17630</v>
      </c>
      <c r="E7258" s="330" t="s">
        <v>37248</v>
      </c>
      <c r="F7258" s="331">
        <v>0.21</v>
      </c>
      <c r="G7258" s="332">
        <v>41017</v>
      </c>
      <c r="H7258" s="333">
        <v>49631</v>
      </c>
    </row>
    <row r="7259" spans="1:8">
      <c r="A7259" s="317" t="s">
        <v>40525</v>
      </c>
      <c r="B7259" s="330" t="s">
        <v>51617</v>
      </c>
      <c r="C7259" s="330" t="s">
        <v>17631</v>
      </c>
      <c r="D7259" s="330" t="s">
        <v>17632</v>
      </c>
      <c r="E7259" s="330" t="s">
        <v>4634</v>
      </c>
      <c r="F7259" s="331">
        <v>0.21</v>
      </c>
      <c r="G7259" s="332">
        <v>432</v>
      </c>
      <c r="H7259" s="333">
        <v>523</v>
      </c>
    </row>
    <row r="7260" spans="1:8">
      <c r="A7260" s="317" t="s">
        <v>40526</v>
      </c>
      <c r="B7260" s="330" t="s">
        <v>51618</v>
      </c>
      <c r="C7260" s="330" t="s">
        <v>17633</v>
      </c>
      <c r="D7260" s="330" t="s">
        <v>4658</v>
      </c>
      <c r="E7260" s="330" t="s">
        <v>4819</v>
      </c>
      <c r="F7260" s="331">
        <v>0.21</v>
      </c>
      <c r="G7260" s="332">
        <v>1505</v>
      </c>
      <c r="H7260" s="333">
        <v>1822</v>
      </c>
    </row>
    <row r="7261" spans="1:8">
      <c r="A7261" s="317" t="s">
        <v>40527</v>
      </c>
      <c r="B7261" s="330" t="s">
        <v>51619</v>
      </c>
      <c r="C7261" s="330" t="s">
        <v>17634</v>
      </c>
      <c r="D7261" s="330" t="s">
        <v>17635</v>
      </c>
      <c r="E7261" s="330" t="s">
        <v>37248</v>
      </c>
      <c r="F7261" s="331">
        <v>0.21</v>
      </c>
      <c r="G7261" s="332">
        <v>107</v>
      </c>
      <c r="H7261" s="333">
        <v>130</v>
      </c>
    </row>
    <row r="7262" spans="1:8">
      <c r="A7262" s="317" t="s">
        <v>40528</v>
      </c>
      <c r="B7262" s="330" t="s">
        <v>51620</v>
      </c>
      <c r="C7262" s="330" t="s">
        <v>17636</v>
      </c>
      <c r="D7262" s="330" t="s">
        <v>17637</v>
      </c>
      <c r="E7262" s="330" t="s">
        <v>4819</v>
      </c>
      <c r="F7262" s="331">
        <v>0.21</v>
      </c>
      <c r="G7262" s="332">
        <v>2478</v>
      </c>
      <c r="H7262" s="333">
        <v>2999</v>
      </c>
    </row>
    <row r="7263" spans="1:8">
      <c r="A7263" s="317" t="s">
        <v>40529</v>
      </c>
      <c r="B7263" s="330" t="s">
        <v>51621</v>
      </c>
      <c r="C7263" s="330" t="s">
        <v>17638</v>
      </c>
      <c r="D7263" s="330" t="s">
        <v>17639</v>
      </c>
      <c r="E7263" s="330" t="s">
        <v>37248</v>
      </c>
      <c r="F7263" s="331">
        <v>0.21</v>
      </c>
      <c r="G7263" s="332">
        <v>994</v>
      </c>
      <c r="H7263" s="333">
        <v>1203</v>
      </c>
    </row>
    <row r="7264" spans="1:8">
      <c r="A7264" s="317" t="s">
        <v>40530</v>
      </c>
      <c r="B7264" s="330" t="s">
        <v>51622</v>
      </c>
      <c r="C7264" s="330" t="s">
        <v>17640</v>
      </c>
      <c r="D7264" s="330" t="s">
        <v>6220</v>
      </c>
      <c r="E7264" s="330" t="s">
        <v>4819</v>
      </c>
      <c r="F7264" s="331">
        <v>0.21</v>
      </c>
      <c r="G7264" s="332">
        <v>994</v>
      </c>
      <c r="H7264" s="333">
        <v>1203</v>
      </c>
    </row>
    <row r="7265" spans="1:8">
      <c r="A7265" s="317" t="s">
        <v>40531</v>
      </c>
      <c r="B7265" s="330" t="s">
        <v>51623</v>
      </c>
      <c r="C7265" s="330" t="s">
        <v>17641</v>
      </c>
      <c r="D7265" s="330" t="s">
        <v>17642</v>
      </c>
      <c r="E7265" s="330" t="s">
        <v>37248</v>
      </c>
      <c r="F7265" s="331">
        <v>0.21</v>
      </c>
      <c r="G7265" s="332">
        <v>1247</v>
      </c>
      <c r="H7265" s="333">
        <v>1509</v>
      </c>
    </row>
    <row r="7266" spans="1:8">
      <c r="A7266" s="317" t="s">
        <v>40532</v>
      </c>
      <c r="B7266" s="330" t="s">
        <v>51624</v>
      </c>
      <c r="C7266" s="330" t="s">
        <v>17643</v>
      </c>
      <c r="D7266" s="330" t="s">
        <v>6220</v>
      </c>
      <c r="E7266" s="330" t="s">
        <v>4819</v>
      </c>
      <c r="F7266" s="331">
        <v>0.21</v>
      </c>
      <c r="G7266" s="332">
        <v>1217</v>
      </c>
      <c r="H7266" s="333">
        <v>1473</v>
      </c>
    </row>
    <row r="7267" spans="1:8">
      <c r="A7267" s="317" t="s">
        <v>40533</v>
      </c>
      <c r="B7267" s="330" t="s">
        <v>51625</v>
      </c>
      <c r="C7267" s="330" t="s">
        <v>17644</v>
      </c>
      <c r="D7267" s="330" t="s">
        <v>17645</v>
      </c>
      <c r="E7267" s="330" t="s">
        <v>37248</v>
      </c>
      <c r="F7267" s="331">
        <v>0.21</v>
      </c>
      <c r="G7267" s="332">
        <v>4073</v>
      </c>
      <c r="H7267" s="333">
        <v>4929</v>
      </c>
    </row>
    <row r="7268" spans="1:8">
      <c r="A7268" s="317" t="s">
        <v>40534</v>
      </c>
      <c r="B7268" s="330" t="s">
        <v>51626</v>
      </c>
      <c r="C7268" s="330" t="s">
        <v>17646</v>
      </c>
      <c r="D7268" s="330" t="s">
        <v>17647</v>
      </c>
      <c r="E7268" s="330" t="s">
        <v>4634</v>
      </c>
      <c r="F7268" s="331">
        <v>0.21</v>
      </c>
      <c r="G7268" s="332">
        <v>274</v>
      </c>
      <c r="H7268" s="333">
        <v>332</v>
      </c>
    </row>
    <row r="7269" spans="1:8">
      <c r="A7269" s="317" t="s">
        <v>40535</v>
      </c>
      <c r="B7269" s="330" t="s">
        <v>51627</v>
      </c>
      <c r="C7269" s="330" t="s">
        <v>17648</v>
      </c>
      <c r="D7269" s="330" t="s">
        <v>4909</v>
      </c>
      <c r="E7269" s="330" t="s">
        <v>37248</v>
      </c>
      <c r="F7269" s="331">
        <v>0.21</v>
      </c>
      <c r="G7269" s="332">
        <v>1652</v>
      </c>
      <c r="H7269" s="333">
        <v>1999</v>
      </c>
    </row>
    <row r="7270" spans="1:8">
      <c r="A7270" s="317" t="s">
        <v>40536</v>
      </c>
      <c r="B7270" s="330" t="s">
        <v>51628</v>
      </c>
      <c r="C7270" s="330" t="s">
        <v>17649</v>
      </c>
      <c r="D7270" s="330" t="s">
        <v>17650</v>
      </c>
      <c r="E7270" s="330" t="s">
        <v>4819</v>
      </c>
      <c r="F7270" s="331">
        <v>0.21</v>
      </c>
      <c r="G7270" s="332">
        <v>1684</v>
      </c>
      <c r="H7270" s="333">
        <v>2038</v>
      </c>
    </row>
    <row r="7271" spans="1:8">
      <c r="A7271" s="317" t="s">
        <v>40537</v>
      </c>
      <c r="B7271" s="330" t="s">
        <v>51629</v>
      </c>
      <c r="C7271" s="330" t="s">
        <v>17651</v>
      </c>
      <c r="D7271" s="330" t="s">
        <v>17652</v>
      </c>
      <c r="E7271" s="330" t="s">
        <v>4634</v>
      </c>
      <c r="F7271" s="331">
        <v>0.21</v>
      </c>
      <c r="G7271" s="332">
        <v>1882</v>
      </c>
      <c r="H7271" s="333">
        <v>2278</v>
      </c>
    </row>
    <row r="7272" spans="1:8">
      <c r="A7272" s="317" t="s">
        <v>40538</v>
      </c>
      <c r="B7272" s="330" t="s">
        <v>51630</v>
      </c>
      <c r="C7272" s="330" t="s">
        <v>17653</v>
      </c>
      <c r="D7272" s="330" t="s">
        <v>8783</v>
      </c>
      <c r="E7272" s="330" t="s">
        <v>4819</v>
      </c>
      <c r="F7272" s="331">
        <v>0.21</v>
      </c>
      <c r="G7272" s="332">
        <v>488</v>
      </c>
      <c r="H7272" s="333">
        <v>591</v>
      </c>
    </row>
    <row r="7273" spans="1:8">
      <c r="A7273" s="317" t="s">
        <v>40539</v>
      </c>
      <c r="B7273" s="330" t="s">
        <v>51631</v>
      </c>
      <c r="C7273" s="330" t="s">
        <v>17654</v>
      </c>
      <c r="D7273" s="330" t="s">
        <v>17655</v>
      </c>
      <c r="E7273" s="330" t="s">
        <v>4634</v>
      </c>
      <c r="F7273" s="331">
        <v>0.21</v>
      </c>
      <c r="G7273" s="332">
        <v>274</v>
      </c>
      <c r="H7273" s="333">
        <v>332</v>
      </c>
    </row>
    <row r="7274" spans="1:8">
      <c r="A7274" s="317" t="s">
        <v>40540</v>
      </c>
      <c r="B7274" s="330" t="s">
        <v>51632</v>
      </c>
      <c r="C7274" s="330" t="s">
        <v>17656</v>
      </c>
      <c r="D7274" s="330" t="s">
        <v>17657</v>
      </c>
      <c r="E7274" s="330" t="s">
        <v>37248</v>
      </c>
      <c r="F7274" s="331">
        <v>0.21</v>
      </c>
      <c r="G7274" s="332">
        <v>1431</v>
      </c>
      <c r="H7274" s="333">
        <v>1732</v>
      </c>
    </row>
    <row r="7275" spans="1:8">
      <c r="A7275" s="317" t="s">
        <v>40541</v>
      </c>
      <c r="B7275" s="330" t="s">
        <v>51633</v>
      </c>
      <c r="C7275" s="330" t="s">
        <v>17658</v>
      </c>
      <c r="D7275" s="330" t="s">
        <v>17659</v>
      </c>
      <c r="E7275" s="330" t="s">
        <v>4819</v>
      </c>
      <c r="F7275" s="331">
        <v>0.21</v>
      </c>
      <c r="G7275" s="332">
        <v>20119</v>
      </c>
      <c r="H7275" s="333">
        <v>24344</v>
      </c>
    </row>
    <row r="7276" spans="1:8">
      <c r="A7276" s="317" t="s">
        <v>40542</v>
      </c>
      <c r="B7276" s="330" t="s">
        <v>51634</v>
      </c>
      <c r="C7276" s="330" t="s">
        <v>17660</v>
      </c>
      <c r="D7276" s="330" t="s">
        <v>17661</v>
      </c>
      <c r="E7276" s="330" t="s">
        <v>37248</v>
      </c>
      <c r="F7276" s="331">
        <v>0.21</v>
      </c>
      <c r="G7276" s="332">
        <v>52431</v>
      </c>
      <c r="H7276" s="333">
        <v>63442</v>
      </c>
    </row>
    <row r="7277" spans="1:8">
      <c r="A7277" s="317" t="s">
        <v>40543</v>
      </c>
      <c r="B7277" s="330" t="s">
        <v>51635</v>
      </c>
      <c r="C7277" s="330" t="s">
        <v>17662</v>
      </c>
      <c r="D7277" s="330" t="s">
        <v>17663</v>
      </c>
      <c r="E7277" s="330" t="s">
        <v>4819</v>
      </c>
      <c r="F7277" s="331">
        <v>0.21</v>
      </c>
      <c r="G7277" s="332">
        <v>6147</v>
      </c>
      <c r="H7277" s="333">
        <v>7438</v>
      </c>
    </row>
    <row r="7278" spans="1:8">
      <c r="A7278" s="317" t="s">
        <v>40544</v>
      </c>
      <c r="B7278" s="330" t="s">
        <v>51636</v>
      </c>
      <c r="C7278" s="330" t="s">
        <v>17664</v>
      </c>
      <c r="D7278" s="330" t="s">
        <v>17665</v>
      </c>
      <c r="E7278" s="330" t="s">
        <v>37248</v>
      </c>
      <c r="F7278" s="331">
        <v>0.21</v>
      </c>
      <c r="G7278" s="332">
        <v>8507</v>
      </c>
      <c r="H7278" s="333">
        <v>10294</v>
      </c>
    </row>
    <row r="7279" spans="1:8">
      <c r="A7279" s="317" t="s">
        <v>40545</v>
      </c>
      <c r="B7279" s="330" t="s">
        <v>51637</v>
      </c>
      <c r="C7279" s="330" t="s">
        <v>17666</v>
      </c>
      <c r="D7279" s="330" t="s">
        <v>17667</v>
      </c>
      <c r="E7279" s="330" t="s">
        <v>4819</v>
      </c>
      <c r="F7279" s="331">
        <v>0.21</v>
      </c>
      <c r="G7279" s="332">
        <v>5418</v>
      </c>
      <c r="H7279" s="333">
        <v>6556</v>
      </c>
    </row>
    <row r="7280" spans="1:8">
      <c r="A7280" s="317" t="s">
        <v>40546</v>
      </c>
      <c r="B7280" s="330" t="s">
        <v>51638</v>
      </c>
      <c r="C7280" s="330" t="s">
        <v>17668</v>
      </c>
      <c r="D7280" s="330" t="s">
        <v>17669</v>
      </c>
      <c r="E7280" s="330" t="s">
        <v>4634</v>
      </c>
      <c r="F7280" s="331">
        <v>0.21</v>
      </c>
      <c r="G7280" s="332">
        <v>2881</v>
      </c>
      <c r="H7280" s="333">
        <v>3487</v>
      </c>
    </row>
    <row r="7281" spans="1:8">
      <c r="A7281" s="317" t="s">
        <v>40547</v>
      </c>
      <c r="B7281" s="330" t="s">
        <v>51639</v>
      </c>
      <c r="C7281" s="330" t="s">
        <v>17670</v>
      </c>
      <c r="D7281" s="330" t="s">
        <v>17671</v>
      </c>
      <c r="E7281" s="330" t="s">
        <v>4819</v>
      </c>
      <c r="F7281" s="331">
        <v>0.21</v>
      </c>
      <c r="G7281" s="332">
        <v>10602</v>
      </c>
      <c r="H7281" s="333">
        <v>12829</v>
      </c>
    </row>
    <row r="7282" spans="1:8">
      <c r="A7282" s="317" t="s">
        <v>40548</v>
      </c>
      <c r="B7282" s="330" t="s">
        <v>51640</v>
      </c>
      <c r="C7282" s="330" t="s">
        <v>17672</v>
      </c>
      <c r="D7282" s="330" t="s">
        <v>17673</v>
      </c>
      <c r="E7282" s="330" t="s">
        <v>4819</v>
      </c>
      <c r="F7282" s="331">
        <v>0.21</v>
      </c>
      <c r="G7282" s="332">
        <v>1505</v>
      </c>
      <c r="H7282" s="333">
        <v>1822</v>
      </c>
    </row>
    <row r="7283" spans="1:8">
      <c r="A7283" s="317" t="s">
        <v>40549</v>
      </c>
      <c r="B7283" s="330" t="s">
        <v>51641</v>
      </c>
      <c r="C7283" s="330" t="s">
        <v>17674</v>
      </c>
      <c r="D7283" s="330" t="s">
        <v>17675</v>
      </c>
      <c r="E7283" s="330" t="s">
        <v>4634</v>
      </c>
      <c r="F7283" s="331">
        <v>0.21</v>
      </c>
      <c r="G7283" s="332">
        <v>234</v>
      </c>
      <c r="H7283" s="333">
        <v>284</v>
      </c>
    </row>
    <row r="7284" spans="1:8">
      <c r="A7284" s="317" t="s">
        <v>40550</v>
      </c>
      <c r="B7284" s="330" t="s">
        <v>51642</v>
      </c>
      <c r="C7284" s="330" t="s">
        <v>17676</v>
      </c>
      <c r="D7284" s="330" t="s">
        <v>17675</v>
      </c>
      <c r="E7284" s="330" t="s">
        <v>4634</v>
      </c>
      <c r="F7284" s="331">
        <v>0.21</v>
      </c>
      <c r="G7284" s="332">
        <v>234</v>
      </c>
      <c r="H7284" s="333">
        <v>284</v>
      </c>
    </row>
    <row r="7285" spans="1:8">
      <c r="A7285" s="317" t="s">
        <v>40551</v>
      </c>
      <c r="B7285" s="330" t="s">
        <v>51643</v>
      </c>
      <c r="C7285" s="330" t="s">
        <v>17677</v>
      </c>
      <c r="D7285" s="330" t="s">
        <v>17678</v>
      </c>
      <c r="E7285" s="330" t="s">
        <v>37248</v>
      </c>
      <c r="F7285" s="331">
        <v>0.21</v>
      </c>
      <c r="G7285" s="332">
        <v>5549</v>
      </c>
      <c r="H7285" s="333">
        <v>6715</v>
      </c>
    </row>
    <row r="7286" spans="1:8">
      <c r="A7286" s="317" t="s">
        <v>40552</v>
      </c>
      <c r="B7286" s="330" t="s">
        <v>51644</v>
      </c>
      <c r="C7286" s="330" t="s">
        <v>17679</v>
      </c>
      <c r="D7286" s="330" t="s">
        <v>17680</v>
      </c>
      <c r="E7286" s="330" t="s">
        <v>4634</v>
      </c>
      <c r="F7286" s="331">
        <v>0.21</v>
      </c>
      <c r="G7286" s="332">
        <v>1664</v>
      </c>
      <c r="H7286" s="333">
        <v>2014</v>
      </c>
    </row>
    <row r="7287" spans="1:8">
      <c r="A7287" s="317" t="s">
        <v>40553</v>
      </c>
      <c r="B7287" s="330" t="s">
        <v>51645</v>
      </c>
      <c r="C7287" s="330" t="s">
        <v>17681</v>
      </c>
      <c r="D7287" s="330" t="s">
        <v>17682</v>
      </c>
      <c r="E7287" s="330" t="s">
        <v>4634</v>
      </c>
      <c r="F7287" s="331">
        <v>0.21</v>
      </c>
      <c r="G7287" s="332">
        <v>928</v>
      </c>
      <c r="H7287" s="333">
        <v>1123</v>
      </c>
    </row>
    <row r="7288" spans="1:8">
      <c r="A7288" s="317" t="s">
        <v>40554</v>
      </c>
      <c r="B7288" s="330" t="s">
        <v>51646</v>
      </c>
      <c r="C7288" s="330" t="s">
        <v>17683</v>
      </c>
      <c r="D7288" s="330" t="s">
        <v>17684</v>
      </c>
      <c r="E7288" s="330" t="s">
        <v>4819</v>
      </c>
      <c r="F7288" s="331">
        <v>0.21</v>
      </c>
      <c r="G7288" s="332">
        <v>2478</v>
      </c>
      <c r="H7288" s="333">
        <v>2999</v>
      </c>
    </row>
    <row r="7289" spans="1:8">
      <c r="A7289" s="317" t="s">
        <v>40555</v>
      </c>
      <c r="B7289" s="330" t="s">
        <v>51647</v>
      </c>
      <c r="C7289" s="330" t="s">
        <v>17685</v>
      </c>
      <c r="D7289" s="330" t="s">
        <v>17686</v>
      </c>
      <c r="E7289" s="330" t="s">
        <v>4819</v>
      </c>
      <c r="F7289" s="331">
        <v>0.21</v>
      </c>
      <c r="G7289" s="332">
        <v>6448</v>
      </c>
      <c r="H7289" s="333">
        <v>7803</v>
      </c>
    </row>
    <row r="7290" spans="1:8">
      <c r="A7290" s="317" t="s">
        <v>40556</v>
      </c>
      <c r="B7290" s="330" t="s">
        <v>51648</v>
      </c>
      <c r="C7290" s="330" t="s">
        <v>17687</v>
      </c>
      <c r="D7290" s="330" t="s">
        <v>17688</v>
      </c>
      <c r="E7290" s="330" t="s">
        <v>4634</v>
      </c>
      <c r="F7290" s="331">
        <v>0.21</v>
      </c>
      <c r="G7290" s="332">
        <v>30537</v>
      </c>
      <c r="H7290" s="333">
        <v>36950</v>
      </c>
    </row>
    <row r="7291" spans="1:8">
      <c r="A7291" s="317" t="s">
        <v>40557</v>
      </c>
      <c r="B7291" s="330" t="s">
        <v>51649</v>
      </c>
      <c r="C7291" s="330" t="s">
        <v>17689</v>
      </c>
      <c r="D7291" s="330" t="s">
        <v>17690</v>
      </c>
      <c r="E7291" s="330" t="s">
        <v>4634</v>
      </c>
      <c r="F7291" s="331">
        <v>0.21</v>
      </c>
      <c r="G7291" s="332">
        <v>564</v>
      </c>
      <c r="H7291" s="333">
        <v>683</v>
      </c>
    </row>
    <row r="7292" spans="1:8">
      <c r="A7292" s="317" t="s">
        <v>40558</v>
      </c>
      <c r="B7292" s="330" t="s">
        <v>51650</v>
      </c>
      <c r="C7292" s="330" t="s">
        <v>17691</v>
      </c>
      <c r="D7292" s="330" t="s">
        <v>17692</v>
      </c>
      <c r="E7292" s="330" t="s">
        <v>4634</v>
      </c>
      <c r="F7292" s="331">
        <v>0.21</v>
      </c>
      <c r="G7292" s="332">
        <v>274</v>
      </c>
      <c r="H7292" s="333">
        <v>332</v>
      </c>
    </row>
    <row r="7293" spans="1:8">
      <c r="A7293" s="317" t="s">
        <v>40559</v>
      </c>
      <c r="B7293" s="330" t="s">
        <v>51651</v>
      </c>
      <c r="C7293" s="330" t="s">
        <v>17693</v>
      </c>
      <c r="D7293" s="330" t="s">
        <v>17694</v>
      </c>
      <c r="E7293" s="330" t="s">
        <v>4634</v>
      </c>
      <c r="F7293" s="331">
        <v>0.21</v>
      </c>
      <c r="G7293" s="332">
        <v>1258</v>
      </c>
      <c r="H7293" s="333">
        <v>1523</v>
      </c>
    </row>
    <row r="7294" spans="1:8">
      <c r="A7294" s="317" t="s">
        <v>40560</v>
      </c>
      <c r="B7294" s="330" t="s">
        <v>51652</v>
      </c>
      <c r="C7294" s="330" t="s">
        <v>17695</v>
      </c>
      <c r="D7294" s="330" t="s">
        <v>17696</v>
      </c>
      <c r="E7294" s="330" t="s">
        <v>4634</v>
      </c>
      <c r="F7294" s="331">
        <v>0.21</v>
      </c>
      <c r="G7294" s="332">
        <v>711</v>
      </c>
      <c r="H7294" s="333">
        <v>861</v>
      </c>
    </row>
    <row r="7295" spans="1:8">
      <c r="A7295" s="317" t="s">
        <v>40561</v>
      </c>
      <c r="B7295" s="330" t="s">
        <v>51653</v>
      </c>
      <c r="C7295" s="330" t="s">
        <v>17697</v>
      </c>
      <c r="D7295" s="330" t="s">
        <v>17698</v>
      </c>
      <c r="E7295" s="330" t="s">
        <v>4634</v>
      </c>
      <c r="F7295" s="331">
        <v>0.21</v>
      </c>
      <c r="G7295" s="332">
        <v>1581</v>
      </c>
      <c r="H7295" s="333">
        <v>1914</v>
      </c>
    </row>
    <row r="7296" spans="1:8">
      <c r="A7296" s="317" t="s">
        <v>40562</v>
      </c>
      <c r="B7296" s="330" t="s">
        <v>51654</v>
      </c>
      <c r="C7296" s="330" t="s">
        <v>17699</v>
      </c>
      <c r="D7296" s="330" t="s">
        <v>17700</v>
      </c>
      <c r="E7296" s="330" t="s">
        <v>4634</v>
      </c>
      <c r="F7296" s="331">
        <v>0.21</v>
      </c>
      <c r="G7296" s="332">
        <v>387</v>
      </c>
      <c r="H7296" s="333">
        <v>469</v>
      </c>
    </row>
    <row r="7297" spans="1:8">
      <c r="A7297" s="317" t="s">
        <v>40563</v>
      </c>
      <c r="B7297" s="330" t="s">
        <v>51655</v>
      </c>
      <c r="C7297" s="330" t="s">
        <v>17701</v>
      </c>
      <c r="D7297" s="330" t="s">
        <v>17702</v>
      </c>
      <c r="E7297" s="330" t="s">
        <v>4634</v>
      </c>
      <c r="F7297" s="331">
        <v>0.21</v>
      </c>
      <c r="G7297" s="332">
        <v>6232</v>
      </c>
      <c r="H7297" s="333">
        <v>7541</v>
      </c>
    </row>
    <row r="7298" spans="1:8">
      <c r="A7298" s="317" t="s">
        <v>40564</v>
      </c>
      <c r="B7298" s="330" t="s">
        <v>51656</v>
      </c>
      <c r="C7298" s="330" t="s">
        <v>17703</v>
      </c>
      <c r="D7298" s="330" t="s">
        <v>17704</v>
      </c>
      <c r="E7298" s="330" t="s">
        <v>4634</v>
      </c>
      <c r="F7298" s="331">
        <v>0.21</v>
      </c>
      <c r="G7298" s="332">
        <v>274</v>
      </c>
      <c r="H7298" s="333">
        <v>332</v>
      </c>
    </row>
    <row r="7299" spans="1:8">
      <c r="A7299" s="317" t="s">
        <v>40565</v>
      </c>
      <c r="B7299" s="330" t="s">
        <v>51657</v>
      </c>
      <c r="C7299" s="330" t="s">
        <v>17705</v>
      </c>
      <c r="D7299" s="330" t="s">
        <v>17706</v>
      </c>
      <c r="E7299" s="330" t="s">
        <v>4634</v>
      </c>
      <c r="F7299" s="331">
        <v>0.21</v>
      </c>
      <c r="G7299" s="332">
        <v>432</v>
      </c>
      <c r="H7299" s="333">
        <v>523</v>
      </c>
    </row>
    <row r="7300" spans="1:8">
      <c r="A7300" s="317" t="s">
        <v>40566</v>
      </c>
      <c r="B7300" s="330" t="s">
        <v>51658</v>
      </c>
      <c r="C7300" s="330" t="s">
        <v>17707</v>
      </c>
      <c r="D7300" s="330" t="s">
        <v>17708</v>
      </c>
      <c r="E7300" s="330" t="s">
        <v>4634</v>
      </c>
      <c r="F7300" s="331">
        <v>0.21</v>
      </c>
      <c r="G7300" s="332">
        <v>274</v>
      </c>
      <c r="H7300" s="333">
        <v>332</v>
      </c>
    </row>
    <row r="7301" spans="1:8">
      <c r="A7301" s="317" t="s">
        <v>40567</v>
      </c>
      <c r="B7301" s="330" t="s">
        <v>51659</v>
      </c>
      <c r="C7301" s="330" t="s">
        <v>17709</v>
      </c>
      <c r="D7301" s="330" t="s">
        <v>17710</v>
      </c>
      <c r="E7301" s="330" t="s">
        <v>4634</v>
      </c>
      <c r="F7301" s="331">
        <v>0.21</v>
      </c>
      <c r="G7301" s="332">
        <v>455</v>
      </c>
      <c r="H7301" s="333">
        <v>551</v>
      </c>
    </row>
    <row r="7302" spans="1:8">
      <c r="A7302" s="317" t="s">
        <v>40568</v>
      </c>
      <c r="B7302" s="330" t="s">
        <v>51660</v>
      </c>
      <c r="C7302" s="330" t="s">
        <v>17711</v>
      </c>
      <c r="D7302" s="330" t="s">
        <v>17712</v>
      </c>
      <c r="E7302" s="330" t="s">
        <v>4634</v>
      </c>
      <c r="F7302" s="331">
        <v>0.21</v>
      </c>
      <c r="G7302" s="332">
        <v>274</v>
      </c>
      <c r="H7302" s="333">
        <v>332</v>
      </c>
    </row>
    <row r="7303" spans="1:8">
      <c r="A7303" s="317" t="s">
        <v>40569</v>
      </c>
      <c r="B7303" s="330" t="s">
        <v>51661</v>
      </c>
      <c r="C7303" s="330" t="s">
        <v>17713</v>
      </c>
      <c r="D7303" s="330" t="s">
        <v>17714</v>
      </c>
      <c r="E7303" s="330" t="s">
        <v>4634</v>
      </c>
      <c r="F7303" s="331">
        <v>0.21</v>
      </c>
      <c r="G7303" s="332">
        <v>3189</v>
      </c>
      <c r="H7303" s="333">
        <v>3859</v>
      </c>
    </row>
    <row r="7304" spans="1:8">
      <c r="A7304" s="317" t="s">
        <v>40570</v>
      </c>
      <c r="B7304" s="330" t="s">
        <v>51662</v>
      </c>
      <c r="C7304" s="330" t="s">
        <v>17715</v>
      </c>
      <c r="D7304" s="330" t="s">
        <v>17716</v>
      </c>
      <c r="E7304" s="330" t="s">
        <v>4634</v>
      </c>
      <c r="F7304" s="331">
        <v>0.21</v>
      </c>
      <c r="G7304" s="332">
        <v>481</v>
      </c>
      <c r="H7304" s="333">
        <v>583</v>
      </c>
    </row>
    <row r="7305" spans="1:8">
      <c r="A7305" s="317" t="s">
        <v>40571</v>
      </c>
      <c r="B7305" s="330" t="s">
        <v>51663</v>
      </c>
      <c r="C7305" s="330" t="s">
        <v>17717</v>
      </c>
      <c r="D7305" s="330" t="s">
        <v>17712</v>
      </c>
      <c r="E7305" s="330" t="s">
        <v>4819</v>
      </c>
      <c r="F7305" s="331">
        <v>0.21</v>
      </c>
      <c r="G7305" s="332">
        <v>3310</v>
      </c>
      <c r="H7305" s="333">
        <v>4006</v>
      </c>
    </row>
    <row r="7306" spans="1:8">
      <c r="A7306" s="317" t="s">
        <v>40572</v>
      </c>
      <c r="B7306" s="330" t="s">
        <v>51664</v>
      </c>
      <c r="C7306" s="330" t="s">
        <v>17718</v>
      </c>
      <c r="D7306" s="330" t="s">
        <v>17719</v>
      </c>
      <c r="E7306" s="330" t="s">
        <v>4634</v>
      </c>
      <c r="F7306" s="331">
        <v>0.21</v>
      </c>
      <c r="G7306" s="332">
        <v>455</v>
      </c>
      <c r="H7306" s="333">
        <v>551</v>
      </c>
    </row>
    <row r="7307" spans="1:8">
      <c r="A7307" s="317" t="s">
        <v>40573</v>
      </c>
      <c r="B7307" s="330" t="s">
        <v>51665</v>
      </c>
      <c r="C7307" s="330" t="s">
        <v>17720</v>
      </c>
      <c r="D7307" s="330" t="s">
        <v>17721</v>
      </c>
      <c r="E7307" s="330" t="s">
        <v>4634</v>
      </c>
      <c r="F7307" s="331">
        <v>0.21</v>
      </c>
      <c r="G7307" s="332">
        <v>1581</v>
      </c>
      <c r="H7307" s="333">
        <v>1914</v>
      </c>
    </row>
    <row r="7308" spans="1:8">
      <c r="A7308" s="317" t="s">
        <v>40574</v>
      </c>
      <c r="B7308" s="330" t="s">
        <v>51666</v>
      </c>
      <c r="C7308" s="330" t="s">
        <v>17722</v>
      </c>
      <c r="D7308" s="330" t="s">
        <v>17723</v>
      </c>
      <c r="E7308" s="330" t="s">
        <v>4634</v>
      </c>
      <c r="F7308" s="331">
        <v>0.21</v>
      </c>
      <c r="G7308" s="332">
        <v>791</v>
      </c>
      <c r="H7308" s="333">
        <v>958</v>
      </c>
    </row>
    <row r="7309" spans="1:8">
      <c r="A7309" s="317" t="s">
        <v>40575</v>
      </c>
      <c r="B7309" s="330" t="s">
        <v>51667</v>
      </c>
      <c r="C7309" s="330" t="s">
        <v>17724</v>
      </c>
      <c r="D7309" s="330" t="s">
        <v>17725</v>
      </c>
      <c r="E7309" s="330" t="s">
        <v>4634</v>
      </c>
      <c r="F7309" s="331">
        <v>0.21</v>
      </c>
      <c r="G7309" s="332">
        <v>274</v>
      </c>
      <c r="H7309" s="333">
        <v>332</v>
      </c>
    </row>
    <row r="7310" spans="1:8">
      <c r="A7310" s="317" t="s">
        <v>40576</v>
      </c>
      <c r="B7310" s="330" t="s">
        <v>51668</v>
      </c>
      <c r="C7310" s="330" t="s">
        <v>17726</v>
      </c>
      <c r="D7310" s="330" t="s">
        <v>17727</v>
      </c>
      <c r="E7310" s="330" t="s">
        <v>4634</v>
      </c>
      <c r="F7310" s="331">
        <v>0.21</v>
      </c>
      <c r="G7310" s="332">
        <v>372</v>
      </c>
      <c r="H7310" s="333">
        <v>451</v>
      </c>
    </row>
    <row r="7311" spans="1:8">
      <c r="A7311" s="317" t="s">
        <v>40577</v>
      </c>
      <c r="B7311" s="330" t="s">
        <v>51669</v>
      </c>
      <c r="C7311" s="330" t="s">
        <v>17728</v>
      </c>
      <c r="D7311" s="330" t="s">
        <v>17729</v>
      </c>
      <c r="E7311" s="330" t="s">
        <v>4634</v>
      </c>
      <c r="F7311" s="331">
        <v>0.21</v>
      </c>
      <c r="G7311" s="332">
        <v>5344</v>
      </c>
      <c r="H7311" s="333">
        <v>6467</v>
      </c>
    </row>
    <row r="7312" spans="1:8">
      <c r="A7312" s="317" t="s">
        <v>40578</v>
      </c>
      <c r="B7312" s="330" t="s">
        <v>51670</v>
      </c>
      <c r="C7312" s="330" t="s">
        <v>17730</v>
      </c>
      <c r="D7312" s="330" t="s">
        <v>17731</v>
      </c>
      <c r="E7312" s="330" t="s">
        <v>4634</v>
      </c>
      <c r="F7312" s="331">
        <v>0.21</v>
      </c>
      <c r="G7312" s="332">
        <v>711</v>
      </c>
      <c r="H7312" s="333">
        <v>861</v>
      </c>
    </row>
    <row r="7313" spans="1:8">
      <c r="A7313" s="317" t="s">
        <v>40579</v>
      </c>
      <c r="B7313" s="330" t="s">
        <v>51671</v>
      </c>
      <c r="C7313" s="330" t="s">
        <v>17732</v>
      </c>
      <c r="D7313" s="330" t="s">
        <v>17733</v>
      </c>
      <c r="E7313" s="330" t="s">
        <v>4623</v>
      </c>
      <c r="F7313" s="331">
        <v>0.21</v>
      </c>
      <c r="G7313" s="332">
        <v>1344</v>
      </c>
      <c r="H7313" s="333">
        <v>1627</v>
      </c>
    </row>
    <row r="7314" spans="1:8">
      <c r="A7314" s="317" t="s">
        <v>40580</v>
      </c>
      <c r="B7314" s="330" t="s">
        <v>51672</v>
      </c>
      <c r="C7314" s="330" t="s">
        <v>17734</v>
      </c>
      <c r="D7314" s="330" t="s">
        <v>17704</v>
      </c>
      <c r="E7314" s="330" t="s">
        <v>4634</v>
      </c>
      <c r="F7314" s="331">
        <v>0.21</v>
      </c>
      <c r="G7314" s="332">
        <v>274</v>
      </c>
      <c r="H7314" s="333">
        <v>332</v>
      </c>
    </row>
    <row r="7315" spans="1:8">
      <c r="A7315" s="317" t="s">
        <v>40581</v>
      </c>
      <c r="B7315" s="330" t="s">
        <v>51673</v>
      </c>
      <c r="C7315" s="330" t="s">
        <v>17735</v>
      </c>
      <c r="D7315" s="330" t="s">
        <v>17733</v>
      </c>
      <c r="E7315" s="330" t="s">
        <v>4634</v>
      </c>
      <c r="F7315" s="331">
        <v>0.21</v>
      </c>
      <c r="G7315" s="332">
        <v>274</v>
      </c>
      <c r="H7315" s="333">
        <v>332</v>
      </c>
    </row>
    <row r="7316" spans="1:8">
      <c r="A7316" s="317" t="s">
        <v>40582</v>
      </c>
      <c r="B7316" s="330" t="s">
        <v>51674</v>
      </c>
      <c r="C7316" s="330" t="s">
        <v>17736</v>
      </c>
      <c r="D7316" s="330" t="s">
        <v>17731</v>
      </c>
      <c r="E7316" s="330" t="s">
        <v>4634</v>
      </c>
      <c r="F7316" s="331">
        <v>0.21</v>
      </c>
      <c r="G7316" s="332">
        <v>455</v>
      </c>
      <c r="H7316" s="333">
        <v>551</v>
      </c>
    </row>
    <row r="7317" spans="1:8">
      <c r="A7317" s="317" t="s">
        <v>40583</v>
      </c>
      <c r="B7317" s="330" t="s">
        <v>51675</v>
      </c>
      <c r="C7317" s="330" t="s">
        <v>17737</v>
      </c>
      <c r="D7317" s="330" t="s">
        <v>17712</v>
      </c>
      <c r="E7317" s="330" t="s">
        <v>4634</v>
      </c>
      <c r="F7317" s="331">
        <v>0.21</v>
      </c>
      <c r="G7317" s="332">
        <v>274</v>
      </c>
      <c r="H7317" s="333">
        <v>332</v>
      </c>
    </row>
    <row r="7318" spans="1:8">
      <c r="A7318" s="317" t="s">
        <v>40584</v>
      </c>
      <c r="B7318" s="330" t="s">
        <v>51676</v>
      </c>
      <c r="C7318" s="330" t="s">
        <v>17738</v>
      </c>
      <c r="D7318" s="330" t="s">
        <v>17733</v>
      </c>
      <c r="E7318" s="330" t="s">
        <v>4634</v>
      </c>
      <c r="F7318" s="331">
        <v>0.21</v>
      </c>
      <c r="G7318" s="332">
        <v>648</v>
      </c>
      <c r="H7318" s="333">
        <v>785</v>
      </c>
    </row>
    <row r="7319" spans="1:8">
      <c r="A7319" s="317" t="s">
        <v>40585</v>
      </c>
      <c r="B7319" s="330" t="s">
        <v>51677</v>
      </c>
      <c r="C7319" s="330" t="s">
        <v>17739</v>
      </c>
      <c r="D7319" s="330" t="s">
        <v>17740</v>
      </c>
      <c r="E7319" s="330" t="s">
        <v>4634</v>
      </c>
      <c r="F7319" s="331">
        <v>0.21</v>
      </c>
      <c r="G7319" s="332">
        <v>613</v>
      </c>
      <c r="H7319" s="333">
        <v>742</v>
      </c>
    </row>
    <row r="7320" spans="1:8">
      <c r="A7320" s="317" t="s">
        <v>40586</v>
      </c>
      <c r="B7320" s="330" t="s">
        <v>51678</v>
      </c>
      <c r="C7320" s="330" t="s">
        <v>17741</v>
      </c>
      <c r="D7320" s="330" t="s">
        <v>17742</v>
      </c>
      <c r="E7320" s="330" t="s">
        <v>4634</v>
      </c>
      <c r="F7320" s="331">
        <v>0.21</v>
      </c>
      <c r="G7320" s="332">
        <v>274</v>
      </c>
      <c r="H7320" s="333">
        <v>332</v>
      </c>
    </row>
    <row r="7321" spans="1:8">
      <c r="A7321" s="317" t="s">
        <v>40587</v>
      </c>
      <c r="B7321" s="330" t="s">
        <v>51679</v>
      </c>
      <c r="C7321" s="330" t="s">
        <v>17743</v>
      </c>
      <c r="D7321" s="330" t="s">
        <v>17744</v>
      </c>
      <c r="E7321" s="330" t="s">
        <v>4634</v>
      </c>
      <c r="F7321" s="331">
        <v>0.21</v>
      </c>
      <c r="G7321" s="332">
        <v>678</v>
      </c>
      <c r="H7321" s="333">
        <v>821</v>
      </c>
    </row>
    <row r="7322" spans="1:8">
      <c r="A7322" s="317" t="s">
        <v>40588</v>
      </c>
      <c r="B7322" s="330" t="s">
        <v>51680</v>
      </c>
      <c r="C7322" s="330" t="s">
        <v>17745</v>
      </c>
      <c r="D7322" s="330" t="s">
        <v>17746</v>
      </c>
      <c r="E7322" s="330" t="s">
        <v>4634</v>
      </c>
      <c r="F7322" s="331">
        <v>0.21</v>
      </c>
      <c r="G7322" s="332">
        <v>20203</v>
      </c>
      <c r="H7322" s="333">
        <v>24446</v>
      </c>
    </row>
    <row r="7323" spans="1:8">
      <c r="A7323" s="317" t="s">
        <v>40589</v>
      </c>
      <c r="B7323" s="330" t="s">
        <v>51681</v>
      </c>
      <c r="C7323" s="330" t="s">
        <v>17747</v>
      </c>
      <c r="D7323" s="330" t="s">
        <v>17748</v>
      </c>
      <c r="E7323" s="330" t="s">
        <v>4819</v>
      </c>
      <c r="F7323" s="331">
        <v>0.21</v>
      </c>
      <c r="G7323" s="332">
        <v>10225</v>
      </c>
      <c r="H7323" s="333">
        <v>12373</v>
      </c>
    </row>
    <row r="7324" spans="1:8">
      <c r="A7324" s="317" t="s">
        <v>40590</v>
      </c>
      <c r="B7324" s="330" t="s">
        <v>51682</v>
      </c>
      <c r="C7324" s="330" t="s">
        <v>17749</v>
      </c>
      <c r="D7324" s="330" t="s">
        <v>17719</v>
      </c>
      <c r="E7324" s="330" t="s">
        <v>4634</v>
      </c>
      <c r="F7324" s="331">
        <v>0.21</v>
      </c>
      <c r="G7324" s="332">
        <v>274</v>
      </c>
      <c r="H7324" s="333">
        <v>332</v>
      </c>
    </row>
    <row r="7325" spans="1:8">
      <c r="A7325" s="317" t="s">
        <v>40591</v>
      </c>
      <c r="B7325" s="330" t="s">
        <v>51683</v>
      </c>
      <c r="C7325" s="330" t="s">
        <v>17750</v>
      </c>
      <c r="D7325" s="330" t="s">
        <v>17751</v>
      </c>
      <c r="E7325" s="330" t="s">
        <v>4634</v>
      </c>
      <c r="F7325" s="331">
        <v>0.21</v>
      </c>
      <c r="G7325" s="332">
        <v>274</v>
      </c>
      <c r="H7325" s="333">
        <v>332</v>
      </c>
    </row>
    <row r="7326" spans="1:8">
      <c r="A7326" s="317" t="s">
        <v>40592</v>
      </c>
      <c r="B7326" s="330" t="s">
        <v>51684</v>
      </c>
      <c r="C7326" s="330" t="s">
        <v>17752</v>
      </c>
      <c r="D7326" s="330" t="s">
        <v>17744</v>
      </c>
      <c r="E7326" s="330" t="s">
        <v>4634</v>
      </c>
      <c r="F7326" s="331">
        <v>0.21</v>
      </c>
      <c r="G7326" s="332">
        <v>1199</v>
      </c>
      <c r="H7326" s="333">
        <v>1451</v>
      </c>
    </row>
    <row r="7327" spans="1:8">
      <c r="A7327" s="317" t="s">
        <v>40593</v>
      </c>
      <c r="B7327" s="330" t="s">
        <v>51685</v>
      </c>
      <c r="C7327" s="330" t="s">
        <v>17753</v>
      </c>
      <c r="D7327" s="330" t="s">
        <v>17754</v>
      </c>
      <c r="E7327" s="330" t="s">
        <v>4634</v>
      </c>
      <c r="F7327" s="331">
        <v>0.21</v>
      </c>
      <c r="G7327" s="332">
        <v>2186</v>
      </c>
      <c r="H7327" s="333">
        <v>2646</v>
      </c>
    </row>
    <row r="7328" spans="1:8">
      <c r="A7328" s="317" t="s">
        <v>40594</v>
      </c>
      <c r="B7328" s="330" t="s">
        <v>51686</v>
      </c>
      <c r="C7328" s="330" t="s">
        <v>17755</v>
      </c>
      <c r="D7328" s="330" t="s">
        <v>17756</v>
      </c>
      <c r="E7328" s="330" t="s">
        <v>4634</v>
      </c>
      <c r="F7328" s="331">
        <v>0.21</v>
      </c>
      <c r="G7328" s="332">
        <v>274</v>
      </c>
      <c r="H7328" s="333">
        <v>332</v>
      </c>
    </row>
    <row r="7329" spans="1:8">
      <c r="A7329" s="317" t="s">
        <v>40595</v>
      </c>
      <c r="B7329" s="330" t="s">
        <v>51687</v>
      </c>
      <c r="C7329" s="330" t="s">
        <v>17757</v>
      </c>
      <c r="D7329" s="330" t="s">
        <v>17758</v>
      </c>
      <c r="E7329" s="330" t="s">
        <v>4634</v>
      </c>
      <c r="F7329" s="331">
        <v>0.21</v>
      </c>
      <c r="G7329" s="332">
        <v>274</v>
      </c>
      <c r="H7329" s="333">
        <v>332</v>
      </c>
    </row>
    <row r="7330" spans="1:8">
      <c r="A7330" s="317" t="s">
        <v>40596</v>
      </c>
      <c r="B7330" s="330" t="s">
        <v>51688</v>
      </c>
      <c r="C7330" s="330" t="s">
        <v>17759</v>
      </c>
      <c r="D7330" s="330" t="s">
        <v>17712</v>
      </c>
      <c r="E7330" s="330" t="s">
        <v>4634</v>
      </c>
      <c r="F7330" s="331">
        <v>0.21</v>
      </c>
      <c r="G7330" s="332">
        <v>274</v>
      </c>
      <c r="H7330" s="333">
        <v>332</v>
      </c>
    </row>
    <row r="7331" spans="1:8">
      <c r="A7331" s="317" t="s">
        <v>40597</v>
      </c>
      <c r="B7331" s="330" t="s">
        <v>51689</v>
      </c>
      <c r="C7331" s="330" t="s">
        <v>17760</v>
      </c>
      <c r="D7331" s="330" t="s">
        <v>17761</v>
      </c>
      <c r="E7331" s="330" t="s">
        <v>4634</v>
      </c>
      <c r="F7331" s="331">
        <v>0.21</v>
      </c>
      <c r="G7331" s="332">
        <v>2799</v>
      </c>
      <c r="H7331" s="333">
        <v>3387</v>
      </c>
    </row>
    <row r="7332" spans="1:8">
      <c r="A7332" s="317" t="s">
        <v>40598</v>
      </c>
      <c r="B7332" s="330" t="s">
        <v>51690</v>
      </c>
      <c r="C7332" s="330" t="s">
        <v>17762</v>
      </c>
      <c r="D7332" s="330" t="s">
        <v>17704</v>
      </c>
      <c r="E7332" s="330" t="s">
        <v>4634</v>
      </c>
      <c r="F7332" s="331">
        <v>0.21</v>
      </c>
      <c r="G7332" s="332">
        <v>274</v>
      </c>
      <c r="H7332" s="333">
        <v>332</v>
      </c>
    </row>
    <row r="7333" spans="1:8">
      <c r="A7333" s="317" t="s">
        <v>40599</v>
      </c>
      <c r="B7333" s="330" t="s">
        <v>51691</v>
      </c>
      <c r="C7333" s="330" t="s">
        <v>17763</v>
      </c>
      <c r="D7333" s="330" t="s">
        <v>17764</v>
      </c>
      <c r="E7333" s="330" t="s">
        <v>4634</v>
      </c>
      <c r="F7333" s="331">
        <v>0.21</v>
      </c>
      <c r="G7333" s="332">
        <v>13418</v>
      </c>
      <c r="H7333" s="333">
        <v>16236</v>
      </c>
    </row>
    <row r="7334" spans="1:8">
      <c r="A7334" s="317" t="s">
        <v>40600</v>
      </c>
      <c r="B7334" s="330" t="s">
        <v>51692</v>
      </c>
      <c r="C7334" s="330" t="s">
        <v>17765</v>
      </c>
      <c r="D7334" s="330" t="s">
        <v>17766</v>
      </c>
      <c r="E7334" s="330" t="s">
        <v>4634</v>
      </c>
      <c r="F7334" s="331">
        <v>0.21</v>
      </c>
      <c r="G7334" s="332">
        <v>15135</v>
      </c>
      <c r="H7334" s="333">
        <v>18314</v>
      </c>
    </row>
    <row r="7335" spans="1:8">
      <c r="A7335" s="317" t="s">
        <v>40601</v>
      </c>
      <c r="B7335" s="330" t="s">
        <v>51693</v>
      </c>
      <c r="C7335" s="330" t="s">
        <v>17767</v>
      </c>
      <c r="D7335" s="330" t="s">
        <v>17768</v>
      </c>
      <c r="E7335" s="330" t="s">
        <v>4634</v>
      </c>
      <c r="F7335" s="331">
        <v>0.21</v>
      </c>
      <c r="G7335" s="332">
        <v>1878</v>
      </c>
      <c r="H7335" s="333">
        <v>2273</v>
      </c>
    </row>
    <row r="7336" spans="1:8">
      <c r="A7336" s="317" t="s">
        <v>40602</v>
      </c>
      <c r="B7336" s="330" t="s">
        <v>51694</v>
      </c>
      <c r="C7336" s="330" t="s">
        <v>17769</v>
      </c>
      <c r="D7336" s="330" t="s">
        <v>17770</v>
      </c>
      <c r="E7336" s="330" t="s">
        <v>4634</v>
      </c>
      <c r="F7336" s="331">
        <v>0.21</v>
      </c>
      <c r="G7336" s="332">
        <v>2748</v>
      </c>
      <c r="H7336" s="333">
        <v>3326</v>
      </c>
    </row>
    <row r="7337" spans="1:8">
      <c r="A7337" s="317" t="s">
        <v>40603</v>
      </c>
      <c r="B7337" s="330" t="s">
        <v>51695</v>
      </c>
      <c r="C7337" s="330" t="s">
        <v>17771</v>
      </c>
      <c r="D7337" s="330" t="s">
        <v>17772</v>
      </c>
      <c r="E7337" s="330" t="s">
        <v>4634</v>
      </c>
      <c r="F7337" s="331">
        <v>0.21</v>
      </c>
      <c r="G7337" s="332">
        <v>678</v>
      </c>
      <c r="H7337" s="333">
        <v>821</v>
      </c>
    </row>
    <row r="7338" spans="1:8">
      <c r="A7338" s="317" t="s">
        <v>40604</v>
      </c>
      <c r="B7338" s="330" t="s">
        <v>51696</v>
      </c>
      <c r="C7338" s="330" t="s">
        <v>17773</v>
      </c>
      <c r="D7338" s="330" t="s">
        <v>17774</v>
      </c>
      <c r="E7338" s="330" t="s">
        <v>37248</v>
      </c>
      <c r="F7338" s="331">
        <v>0.21</v>
      </c>
      <c r="G7338" s="332">
        <v>11735</v>
      </c>
      <c r="H7338" s="333">
        <v>14200</v>
      </c>
    </row>
    <row r="7339" spans="1:8">
      <c r="A7339" s="317" t="s">
        <v>40605</v>
      </c>
      <c r="B7339" s="330" t="s">
        <v>51697</v>
      </c>
      <c r="C7339" s="330" t="s">
        <v>17775</v>
      </c>
      <c r="D7339" s="330" t="s">
        <v>17776</v>
      </c>
      <c r="E7339" s="330" t="s">
        <v>37248</v>
      </c>
      <c r="F7339" s="331">
        <v>0.21</v>
      </c>
      <c r="G7339" s="332">
        <v>113</v>
      </c>
      <c r="H7339" s="333">
        <v>137</v>
      </c>
    </row>
    <row r="7340" spans="1:8">
      <c r="A7340" s="317" t="s">
        <v>40606</v>
      </c>
      <c r="B7340" s="330" t="s">
        <v>51698</v>
      </c>
      <c r="C7340" s="330" t="s">
        <v>17777</v>
      </c>
      <c r="D7340" s="330" t="s">
        <v>17778</v>
      </c>
      <c r="E7340" s="330" t="s">
        <v>4634</v>
      </c>
      <c r="F7340" s="331">
        <v>0.21</v>
      </c>
      <c r="G7340" s="332">
        <v>6119</v>
      </c>
      <c r="H7340" s="333">
        <v>7404</v>
      </c>
    </row>
    <row r="7341" spans="1:8">
      <c r="A7341" s="317" t="s">
        <v>40607</v>
      </c>
      <c r="B7341" s="330" t="s">
        <v>51699</v>
      </c>
      <c r="C7341" s="330" t="s">
        <v>17779</v>
      </c>
      <c r="D7341" s="330" t="s">
        <v>17780</v>
      </c>
      <c r="E7341" s="330" t="s">
        <v>4634</v>
      </c>
      <c r="F7341" s="331">
        <v>0.21</v>
      </c>
      <c r="G7341" s="332">
        <v>9152</v>
      </c>
      <c r="H7341" s="333">
        <v>11074</v>
      </c>
    </row>
    <row r="7342" spans="1:8">
      <c r="A7342" s="317" t="s">
        <v>40608</v>
      </c>
      <c r="B7342" s="330" t="s">
        <v>51700</v>
      </c>
      <c r="C7342" s="330" t="s">
        <v>17781</v>
      </c>
      <c r="D7342" s="330" t="s">
        <v>17782</v>
      </c>
      <c r="E7342" s="330" t="s">
        <v>4634</v>
      </c>
      <c r="F7342" s="331">
        <v>0.21</v>
      </c>
      <c r="G7342" s="332">
        <v>236</v>
      </c>
      <c r="H7342" s="333">
        <v>286</v>
      </c>
    </row>
    <row r="7343" spans="1:8">
      <c r="A7343" s="317" t="s">
        <v>40609</v>
      </c>
      <c r="B7343" s="330" t="s">
        <v>51701</v>
      </c>
      <c r="C7343" s="330" t="s">
        <v>17783</v>
      </c>
      <c r="D7343" s="330" t="s">
        <v>17784</v>
      </c>
      <c r="E7343" s="330" t="s">
        <v>4819</v>
      </c>
      <c r="F7343" s="331">
        <v>0.21</v>
      </c>
      <c r="G7343" s="332">
        <v>3084</v>
      </c>
      <c r="H7343" s="333">
        <v>3732</v>
      </c>
    </row>
    <row r="7344" spans="1:8">
      <c r="A7344" s="317" t="s">
        <v>40610</v>
      </c>
      <c r="B7344" s="330" t="s">
        <v>51702</v>
      </c>
      <c r="C7344" s="330" t="s">
        <v>17785</v>
      </c>
      <c r="D7344" s="330" t="s">
        <v>17786</v>
      </c>
      <c r="E7344" s="330" t="s">
        <v>37248</v>
      </c>
      <c r="F7344" s="331">
        <v>0.21</v>
      </c>
      <c r="G7344" s="332">
        <v>1247</v>
      </c>
      <c r="H7344" s="333">
        <v>1509</v>
      </c>
    </row>
    <row r="7345" spans="1:8">
      <c r="A7345" s="317" t="s">
        <v>40611</v>
      </c>
      <c r="B7345" s="330" t="s">
        <v>51703</v>
      </c>
      <c r="C7345" s="330" t="s">
        <v>17787</v>
      </c>
      <c r="D7345" s="330" t="s">
        <v>17788</v>
      </c>
      <c r="E7345" s="330" t="s">
        <v>4634</v>
      </c>
      <c r="F7345" s="331">
        <v>0.21</v>
      </c>
      <c r="G7345" s="332">
        <v>236</v>
      </c>
      <c r="H7345" s="333">
        <v>286</v>
      </c>
    </row>
    <row r="7346" spans="1:8">
      <c r="A7346" s="317" t="s">
        <v>40612</v>
      </c>
      <c r="B7346" s="330" t="s">
        <v>51704</v>
      </c>
      <c r="C7346" s="330" t="s">
        <v>17789</v>
      </c>
      <c r="D7346" s="330" t="s">
        <v>5786</v>
      </c>
      <c r="E7346" s="330" t="s">
        <v>37248</v>
      </c>
      <c r="F7346" s="331">
        <v>0.21</v>
      </c>
      <c r="G7346" s="332">
        <v>1164</v>
      </c>
      <c r="H7346" s="333">
        <v>1409</v>
      </c>
    </row>
    <row r="7347" spans="1:8">
      <c r="A7347" s="317" t="s">
        <v>40613</v>
      </c>
      <c r="B7347" s="330" t="s">
        <v>51705</v>
      </c>
      <c r="C7347" s="330" t="s">
        <v>17790</v>
      </c>
      <c r="D7347" s="330" t="s">
        <v>17791</v>
      </c>
      <c r="E7347" s="330" t="s">
        <v>4634</v>
      </c>
      <c r="F7347" s="331">
        <v>0.21</v>
      </c>
      <c r="G7347" s="332">
        <v>236</v>
      </c>
      <c r="H7347" s="333">
        <v>286</v>
      </c>
    </row>
    <row r="7348" spans="1:8">
      <c r="A7348" s="317" t="s">
        <v>40614</v>
      </c>
      <c r="B7348" s="330" t="s">
        <v>51706</v>
      </c>
      <c r="C7348" s="330" t="s">
        <v>17792</v>
      </c>
      <c r="D7348" s="330" t="s">
        <v>17793</v>
      </c>
      <c r="E7348" s="330" t="s">
        <v>37248</v>
      </c>
      <c r="F7348" s="331">
        <v>0.21</v>
      </c>
      <c r="G7348" s="332">
        <v>2478</v>
      </c>
      <c r="H7348" s="333">
        <v>2999</v>
      </c>
    </row>
    <row r="7349" spans="1:8">
      <c r="A7349" s="317" t="s">
        <v>40615</v>
      </c>
      <c r="B7349" s="330" t="s">
        <v>51707</v>
      </c>
      <c r="C7349" s="330" t="s">
        <v>17794</v>
      </c>
      <c r="D7349" s="330" t="s">
        <v>17793</v>
      </c>
      <c r="E7349" s="330" t="s">
        <v>37248</v>
      </c>
      <c r="F7349" s="331">
        <v>0.21</v>
      </c>
      <c r="G7349" s="332">
        <v>2596</v>
      </c>
      <c r="H7349" s="333">
        <v>3142</v>
      </c>
    </row>
    <row r="7350" spans="1:8">
      <c r="A7350" s="317" t="s">
        <v>40616</v>
      </c>
      <c r="B7350" s="330" t="s">
        <v>51708</v>
      </c>
      <c r="C7350" s="330" t="s">
        <v>17795</v>
      </c>
      <c r="D7350" s="330" t="s">
        <v>17796</v>
      </c>
      <c r="E7350" s="330" t="s">
        <v>4819</v>
      </c>
      <c r="F7350" s="331">
        <v>0.21</v>
      </c>
      <c r="G7350" s="332">
        <v>479</v>
      </c>
      <c r="H7350" s="333">
        <v>580</v>
      </c>
    </row>
    <row r="7351" spans="1:8">
      <c r="A7351" s="317" t="s">
        <v>40617</v>
      </c>
      <c r="B7351" s="330" t="s">
        <v>51709</v>
      </c>
      <c r="C7351" s="330" t="s">
        <v>17797</v>
      </c>
      <c r="D7351" s="330" t="s">
        <v>7235</v>
      </c>
      <c r="E7351" s="330" t="s">
        <v>37248</v>
      </c>
      <c r="F7351" s="331">
        <v>0.21</v>
      </c>
      <c r="G7351" s="332">
        <v>296</v>
      </c>
      <c r="H7351" s="333">
        <v>359</v>
      </c>
    </row>
    <row r="7352" spans="1:8">
      <c r="A7352" s="317" t="s">
        <v>40618</v>
      </c>
      <c r="B7352" s="330" t="s">
        <v>51710</v>
      </c>
      <c r="C7352" s="330" t="s">
        <v>17798</v>
      </c>
      <c r="D7352" s="330" t="s">
        <v>17799</v>
      </c>
      <c r="E7352" s="330" t="s">
        <v>37248</v>
      </c>
      <c r="F7352" s="331">
        <v>0.21</v>
      </c>
      <c r="G7352" s="332">
        <v>15610</v>
      </c>
      <c r="H7352" s="333">
        <v>18889</v>
      </c>
    </row>
    <row r="7353" spans="1:8">
      <c r="A7353" s="317" t="s">
        <v>40619</v>
      </c>
      <c r="B7353" s="330" t="s">
        <v>51711</v>
      </c>
      <c r="C7353" s="330" t="s">
        <v>17800</v>
      </c>
      <c r="D7353" s="330" t="s">
        <v>17801</v>
      </c>
      <c r="E7353" s="330" t="s">
        <v>4634</v>
      </c>
      <c r="F7353" s="331">
        <v>0.21</v>
      </c>
      <c r="G7353" s="332">
        <v>3283</v>
      </c>
      <c r="H7353" s="333">
        <v>3973</v>
      </c>
    </row>
    <row r="7354" spans="1:8">
      <c r="A7354" s="317" t="s">
        <v>40620</v>
      </c>
      <c r="B7354" s="330" t="s">
        <v>51712</v>
      </c>
      <c r="C7354" s="330" t="s">
        <v>17802</v>
      </c>
      <c r="D7354" s="330" t="s">
        <v>8155</v>
      </c>
      <c r="E7354" s="330" t="s">
        <v>4819</v>
      </c>
      <c r="F7354" s="331">
        <v>0.21</v>
      </c>
      <c r="G7354" s="332">
        <v>1505</v>
      </c>
      <c r="H7354" s="333">
        <v>1822</v>
      </c>
    </row>
    <row r="7355" spans="1:8">
      <c r="A7355" s="317" t="s">
        <v>40621</v>
      </c>
      <c r="B7355" s="330" t="s">
        <v>51713</v>
      </c>
      <c r="C7355" s="330" t="s">
        <v>17803</v>
      </c>
      <c r="D7355" s="330" t="s">
        <v>17804</v>
      </c>
      <c r="E7355" s="330" t="s">
        <v>4634</v>
      </c>
      <c r="F7355" s="331">
        <v>0.21</v>
      </c>
      <c r="G7355" s="332">
        <v>274</v>
      </c>
      <c r="H7355" s="333">
        <v>332</v>
      </c>
    </row>
    <row r="7356" spans="1:8">
      <c r="A7356" s="317" t="s">
        <v>40622</v>
      </c>
      <c r="B7356" s="330" t="s">
        <v>51714</v>
      </c>
      <c r="C7356" s="330" t="s">
        <v>17805</v>
      </c>
      <c r="D7356" s="330" t="s">
        <v>8670</v>
      </c>
      <c r="E7356" s="330" t="s">
        <v>4819</v>
      </c>
      <c r="F7356" s="331">
        <v>0.21</v>
      </c>
      <c r="G7356" s="332">
        <v>292</v>
      </c>
      <c r="H7356" s="333">
        <v>354</v>
      </c>
    </row>
    <row r="7357" spans="1:8">
      <c r="A7357" s="317" t="s">
        <v>40623</v>
      </c>
      <c r="B7357" s="330" t="s">
        <v>51715</v>
      </c>
      <c r="C7357" s="330" t="s">
        <v>17806</v>
      </c>
      <c r="D7357" s="330" t="s">
        <v>17807</v>
      </c>
      <c r="E7357" s="330" t="s">
        <v>4634</v>
      </c>
      <c r="F7357" s="331">
        <v>0.21</v>
      </c>
      <c r="G7357" s="332">
        <v>29591</v>
      </c>
      <c r="H7357" s="333">
        <v>35806</v>
      </c>
    </row>
    <row r="7358" spans="1:8">
      <c r="A7358" s="317" t="s">
        <v>40624</v>
      </c>
      <c r="B7358" s="330" t="s">
        <v>51716</v>
      </c>
      <c r="C7358" s="330" t="s">
        <v>17808</v>
      </c>
      <c r="D7358" s="330" t="s">
        <v>17809</v>
      </c>
      <c r="E7358" s="330" t="s">
        <v>4634</v>
      </c>
      <c r="F7358" s="331">
        <v>0.21</v>
      </c>
      <c r="G7358" s="332">
        <v>416</v>
      </c>
      <c r="H7358" s="333">
        <v>504</v>
      </c>
    </row>
    <row r="7359" spans="1:8">
      <c r="A7359" s="317" t="s">
        <v>40625</v>
      </c>
      <c r="B7359" s="330" t="s">
        <v>51717</v>
      </c>
      <c r="C7359" s="330" t="s">
        <v>17810</v>
      </c>
      <c r="D7359" s="330" t="s">
        <v>17811</v>
      </c>
      <c r="E7359" s="330" t="s">
        <v>4819</v>
      </c>
      <c r="F7359" s="331">
        <v>0.21</v>
      </c>
      <c r="G7359" s="332">
        <v>1780</v>
      </c>
      <c r="H7359" s="333">
        <v>2154</v>
      </c>
    </row>
    <row r="7360" spans="1:8">
      <c r="A7360" s="317" t="s">
        <v>40626</v>
      </c>
      <c r="B7360" s="330" t="s">
        <v>51718</v>
      </c>
      <c r="C7360" s="330" t="s">
        <v>17812</v>
      </c>
      <c r="D7360" s="330" t="s">
        <v>17813</v>
      </c>
      <c r="E7360" s="330" t="s">
        <v>4819</v>
      </c>
      <c r="F7360" s="331">
        <v>0.21</v>
      </c>
      <c r="G7360" s="332">
        <v>6185</v>
      </c>
      <c r="H7360" s="333">
        <v>7484</v>
      </c>
    </row>
    <row r="7361" spans="1:8">
      <c r="A7361" s="317" t="s">
        <v>40627</v>
      </c>
      <c r="B7361" s="330" t="s">
        <v>51719</v>
      </c>
      <c r="C7361" s="330" t="s">
        <v>17814</v>
      </c>
      <c r="D7361" s="330" t="s">
        <v>17815</v>
      </c>
      <c r="E7361" s="330" t="s">
        <v>37248</v>
      </c>
      <c r="F7361" s="331">
        <v>0.21</v>
      </c>
      <c r="G7361" s="332">
        <v>19139</v>
      </c>
      <c r="H7361" s="333">
        <v>23159</v>
      </c>
    </row>
    <row r="7362" spans="1:8">
      <c r="A7362" s="317" t="s">
        <v>40628</v>
      </c>
      <c r="B7362" s="330" t="s">
        <v>51720</v>
      </c>
      <c r="C7362" s="330" t="s">
        <v>17816</v>
      </c>
      <c r="D7362" s="330" t="s">
        <v>17817</v>
      </c>
      <c r="E7362" s="330" t="s">
        <v>37248</v>
      </c>
      <c r="F7362" s="331">
        <v>0.21</v>
      </c>
      <c r="G7362" s="332">
        <v>19548</v>
      </c>
      <c r="H7362" s="333">
        <v>23654</v>
      </c>
    </row>
    <row r="7363" spans="1:8">
      <c r="A7363" s="317" t="s">
        <v>40629</v>
      </c>
      <c r="B7363" s="330" t="s">
        <v>51721</v>
      </c>
      <c r="C7363" s="330" t="s">
        <v>17818</v>
      </c>
      <c r="D7363" s="330" t="s">
        <v>17819</v>
      </c>
      <c r="E7363" s="330" t="s">
        <v>37248</v>
      </c>
      <c r="F7363" s="331">
        <v>0.21</v>
      </c>
      <c r="G7363" s="332">
        <v>4959</v>
      </c>
      <c r="H7363" s="333">
        <v>6001</v>
      </c>
    </row>
    <row r="7364" spans="1:8">
      <c r="A7364" s="317" t="s">
        <v>40630</v>
      </c>
      <c r="B7364" s="330" t="s">
        <v>51722</v>
      </c>
      <c r="C7364" s="330" t="s">
        <v>17820</v>
      </c>
      <c r="D7364" s="330" t="s">
        <v>17821</v>
      </c>
      <c r="E7364" s="330" t="s">
        <v>4634</v>
      </c>
      <c r="F7364" s="331">
        <v>0.21</v>
      </c>
      <c r="G7364" s="332">
        <v>1030</v>
      </c>
      <c r="H7364" s="333">
        <v>1247</v>
      </c>
    </row>
    <row r="7365" spans="1:8">
      <c r="A7365" s="317" t="s">
        <v>40631</v>
      </c>
      <c r="B7365" s="330" t="s">
        <v>51723</v>
      </c>
      <c r="C7365" s="330" t="s">
        <v>17822</v>
      </c>
      <c r="D7365" s="330" t="s">
        <v>17823</v>
      </c>
      <c r="E7365" s="330" t="s">
        <v>4819</v>
      </c>
      <c r="F7365" s="331">
        <v>0.21</v>
      </c>
      <c r="G7365" s="332">
        <v>12197</v>
      </c>
      <c r="H7365" s="333">
        <v>14759</v>
      </c>
    </row>
    <row r="7366" spans="1:8">
      <c r="A7366" s="317" t="s">
        <v>40632</v>
      </c>
      <c r="B7366" s="330" t="s">
        <v>51724</v>
      </c>
      <c r="C7366" s="330" t="s">
        <v>17824</v>
      </c>
      <c r="D7366" s="330" t="s">
        <v>17825</v>
      </c>
      <c r="E7366" s="330" t="s">
        <v>4819</v>
      </c>
      <c r="F7366" s="331">
        <v>0.21</v>
      </c>
      <c r="G7366" s="332">
        <v>3825</v>
      </c>
      <c r="H7366" s="333">
        <v>4629</v>
      </c>
    </row>
    <row r="7367" spans="1:8">
      <c r="A7367" s="317" t="s">
        <v>40633</v>
      </c>
      <c r="B7367" s="330" t="s">
        <v>51725</v>
      </c>
      <c r="C7367" s="330" t="s">
        <v>17826</v>
      </c>
      <c r="D7367" s="330" t="s">
        <v>17827</v>
      </c>
      <c r="E7367" s="330" t="s">
        <v>4634</v>
      </c>
      <c r="F7367" s="331">
        <v>0.21</v>
      </c>
      <c r="G7367" s="332">
        <v>8267</v>
      </c>
      <c r="H7367" s="333">
        <v>10004</v>
      </c>
    </row>
    <row r="7368" spans="1:8">
      <c r="A7368" s="317" t="s">
        <v>40634</v>
      </c>
      <c r="B7368" s="330" t="s">
        <v>51726</v>
      </c>
      <c r="C7368" s="330" t="s">
        <v>17828</v>
      </c>
      <c r="D7368" s="330" t="s">
        <v>17829</v>
      </c>
      <c r="E7368" s="330" t="s">
        <v>37248</v>
      </c>
      <c r="F7368" s="331">
        <v>0.21</v>
      </c>
      <c r="G7368" s="332">
        <v>2250</v>
      </c>
      <c r="H7368" s="333">
        <v>2723</v>
      </c>
    </row>
    <row r="7369" spans="1:8">
      <c r="A7369" s="317" t="s">
        <v>40635</v>
      </c>
      <c r="B7369" s="330" t="s">
        <v>51727</v>
      </c>
      <c r="C7369" s="330" t="s">
        <v>17830</v>
      </c>
      <c r="D7369" s="330" t="s">
        <v>17831</v>
      </c>
      <c r="E7369" s="330" t="s">
        <v>37248</v>
      </c>
      <c r="F7369" s="331">
        <v>0.21</v>
      </c>
      <c r="G7369" s="332">
        <v>3856</v>
      </c>
      <c r="H7369" s="333">
        <v>4666</v>
      </c>
    </row>
    <row r="7370" spans="1:8">
      <c r="A7370" s="317" t="s">
        <v>40636</v>
      </c>
      <c r="B7370" s="330" t="s">
        <v>51728</v>
      </c>
      <c r="C7370" s="330" t="s">
        <v>17832</v>
      </c>
      <c r="D7370" s="330" t="s">
        <v>17833</v>
      </c>
      <c r="E7370" s="330" t="s">
        <v>37248</v>
      </c>
      <c r="F7370" s="331">
        <v>0.21</v>
      </c>
      <c r="G7370" s="332">
        <v>1704</v>
      </c>
      <c r="H7370" s="333">
        <v>2062</v>
      </c>
    </row>
    <row r="7371" spans="1:8">
      <c r="A7371" s="317" t="s">
        <v>40637</v>
      </c>
      <c r="B7371" s="330" t="s">
        <v>51729</v>
      </c>
      <c r="C7371" s="330" t="s">
        <v>17834</v>
      </c>
      <c r="D7371" s="330" t="s">
        <v>17835</v>
      </c>
      <c r="E7371" s="330" t="s">
        <v>37248</v>
      </c>
      <c r="F7371" s="331">
        <v>0.21</v>
      </c>
      <c r="G7371" s="332">
        <v>2810</v>
      </c>
      <c r="H7371" s="333">
        <v>3401</v>
      </c>
    </row>
    <row r="7372" spans="1:8">
      <c r="A7372" s="317" t="s">
        <v>40638</v>
      </c>
      <c r="B7372" s="330" t="s">
        <v>51730</v>
      </c>
      <c r="C7372" s="330" t="s">
        <v>17836</v>
      </c>
      <c r="D7372" s="330" t="s">
        <v>17837</v>
      </c>
      <c r="E7372" s="330" t="s">
        <v>37248</v>
      </c>
      <c r="F7372" s="331">
        <v>0.21</v>
      </c>
      <c r="G7372" s="332">
        <v>1652</v>
      </c>
      <c r="H7372" s="333">
        <v>1999</v>
      </c>
    </row>
    <row r="7373" spans="1:8">
      <c r="A7373" s="317" t="s">
        <v>40639</v>
      </c>
      <c r="B7373" s="330" t="s">
        <v>51731</v>
      </c>
      <c r="C7373" s="330" t="s">
        <v>17838</v>
      </c>
      <c r="D7373" s="330" t="s">
        <v>17839</v>
      </c>
      <c r="E7373" s="330" t="s">
        <v>37248</v>
      </c>
      <c r="F7373" s="331">
        <v>0.21</v>
      </c>
      <c r="G7373" s="332">
        <v>2810</v>
      </c>
      <c r="H7373" s="333">
        <v>3401</v>
      </c>
    </row>
    <row r="7374" spans="1:8">
      <c r="A7374" s="317" t="s">
        <v>40640</v>
      </c>
      <c r="B7374" s="330" t="s">
        <v>51732</v>
      </c>
      <c r="C7374" s="330" t="s">
        <v>17840</v>
      </c>
      <c r="D7374" s="330" t="s">
        <v>17841</v>
      </c>
      <c r="E7374" s="330" t="s">
        <v>4819</v>
      </c>
      <c r="F7374" s="331">
        <v>0.21</v>
      </c>
      <c r="G7374" s="332">
        <v>1505</v>
      </c>
      <c r="H7374" s="333">
        <v>1822</v>
      </c>
    </row>
    <row r="7375" spans="1:8">
      <c r="A7375" s="317" t="s">
        <v>40641</v>
      </c>
      <c r="B7375" s="330" t="s">
        <v>51733</v>
      </c>
      <c r="C7375" s="330" t="s">
        <v>17842</v>
      </c>
      <c r="D7375" s="330" t="s">
        <v>17843</v>
      </c>
      <c r="E7375" s="330" t="s">
        <v>4634</v>
      </c>
      <c r="F7375" s="331">
        <v>0.21</v>
      </c>
      <c r="G7375" s="332">
        <v>43854</v>
      </c>
      <c r="H7375" s="333">
        <v>53064</v>
      </c>
    </row>
    <row r="7376" spans="1:8">
      <c r="A7376" s="317" t="s">
        <v>40642</v>
      </c>
      <c r="B7376" s="330" t="s">
        <v>51734</v>
      </c>
      <c r="C7376" s="330" t="s">
        <v>17844</v>
      </c>
      <c r="D7376" s="330" t="s">
        <v>17845</v>
      </c>
      <c r="E7376" s="330" t="s">
        <v>4819</v>
      </c>
      <c r="F7376" s="331">
        <v>0.21</v>
      </c>
      <c r="G7376" s="332">
        <v>1505</v>
      </c>
      <c r="H7376" s="333">
        <v>1822</v>
      </c>
    </row>
    <row r="7377" spans="1:8">
      <c r="A7377" s="317" t="s">
        <v>40643</v>
      </c>
      <c r="B7377" s="330" t="s">
        <v>51735</v>
      </c>
      <c r="C7377" s="330" t="s">
        <v>17846</v>
      </c>
      <c r="D7377" s="330" t="s">
        <v>17845</v>
      </c>
      <c r="E7377" s="330" t="s">
        <v>4819</v>
      </c>
      <c r="F7377" s="331">
        <v>0.21</v>
      </c>
      <c r="G7377" s="332">
        <v>1684</v>
      </c>
      <c r="H7377" s="333">
        <v>2038</v>
      </c>
    </row>
    <row r="7378" spans="1:8">
      <c r="A7378" s="317" t="s">
        <v>40644</v>
      </c>
      <c r="B7378" s="330" t="s">
        <v>51736</v>
      </c>
      <c r="C7378" s="330" t="s">
        <v>17847</v>
      </c>
      <c r="D7378" s="330" t="s">
        <v>17848</v>
      </c>
      <c r="E7378" s="330" t="s">
        <v>4819</v>
      </c>
      <c r="F7378" s="331">
        <v>0.21</v>
      </c>
      <c r="G7378" s="332">
        <v>47680</v>
      </c>
      <c r="H7378" s="333">
        <v>57693</v>
      </c>
    </row>
    <row r="7379" spans="1:8">
      <c r="A7379" s="317" t="s">
        <v>40645</v>
      </c>
      <c r="B7379" s="330" t="s">
        <v>51737</v>
      </c>
      <c r="C7379" s="330" t="s">
        <v>17849</v>
      </c>
      <c r="D7379" s="330" t="s">
        <v>17850</v>
      </c>
      <c r="E7379" s="330" t="s">
        <v>4634</v>
      </c>
      <c r="F7379" s="331">
        <v>0.21</v>
      </c>
      <c r="G7379" s="332">
        <v>2059</v>
      </c>
      <c r="H7379" s="333">
        <v>2492</v>
      </c>
    </row>
    <row r="7380" spans="1:8">
      <c r="A7380" s="317" t="s">
        <v>40646</v>
      </c>
      <c r="B7380" s="330" t="s">
        <v>51738</v>
      </c>
      <c r="C7380" s="330" t="s">
        <v>17851</v>
      </c>
      <c r="D7380" s="330" t="s">
        <v>17852</v>
      </c>
      <c r="E7380" s="330" t="s">
        <v>4819</v>
      </c>
      <c r="F7380" s="331">
        <v>0.21</v>
      </c>
      <c r="G7380" s="332">
        <v>1652</v>
      </c>
      <c r="H7380" s="333">
        <v>1999</v>
      </c>
    </row>
    <row r="7381" spans="1:8">
      <c r="A7381" s="317" t="s">
        <v>40647</v>
      </c>
      <c r="B7381" s="330" t="s">
        <v>51739</v>
      </c>
      <c r="C7381" s="330" t="s">
        <v>17853</v>
      </c>
      <c r="D7381" s="330" t="s">
        <v>17854</v>
      </c>
      <c r="E7381" s="330" t="s">
        <v>4634</v>
      </c>
      <c r="F7381" s="331">
        <v>0.21</v>
      </c>
      <c r="G7381" s="332">
        <v>5340</v>
      </c>
      <c r="H7381" s="333">
        <v>6462</v>
      </c>
    </row>
    <row r="7382" spans="1:8">
      <c r="A7382" s="317" t="s">
        <v>40648</v>
      </c>
      <c r="B7382" s="330" t="s">
        <v>51740</v>
      </c>
      <c r="C7382" s="330" t="s">
        <v>17855</v>
      </c>
      <c r="D7382" s="330" t="s">
        <v>17845</v>
      </c>
      <c r="E7382" s="330" t="s">
        <v>37248</v>
      </c>
      <c r="F7382" s="331">
        <v>0.21</v>
      </c>
      <c r="G7382" s="332">
        <v>1396</v>
      </c>
      <c r="H7382" s="333">
        <v>1690</v>
      </c>
    </row>
    <row r="7383" spans="1:8">
      <c r="A7383" s="317" t="s">
        <v>40649</v>
      </c>
      <c r="B7383" s="330" t="s">
        <v>51741</v>
      </c>
      <c r="C7383" s="330" t="s">
        <v>17856</v>
      </c>
      <c r="D7383" s="330" t="s">
        <v>17857</v>
      </c>
      <c r="E7383" s="330" t="s">
        <v>4634</v>
      </c>
      <c r="F7383" s="331">
        <v>0.21</v>
      </c>
      <c r="G7383" s="332">
        <v>274</v>
      </c>
      <c r="H7383" s="333">
        <v>332</v>
      </c>
    </row>
    <row r="7384" spans="1:8">
      <c r="A7384" s="317" t="s">
        <v>40650</v>
      </c>
      <c r="B7384" s="330" t="s">
        <v>51742</v>
      </c>
      <c r="C7384" s="330" t="s">
        <v>17858</v>
      </c>
      <c r="D7384" s="330" t="s">
        <v>17845</v>
      </c>
      <c r="E7384" s="330" t="s">
        <v>4634</v>
      </c>
      <c r="F7384" s="331">
        <v>0.21</v>
      </c>
      <c r="G7384" s="332">
        <v>274</v>
      </c>
      <c r="H7384" s="333">
        <v>332</v>
      </c>
    </row>
    <row r="7385" spans="1:8">
      <c r="A7385" s="317" t="s">
        <v>40651</v>
      </c>
      <c r="B7385" s="330" t="s">
        <v>51743</v>
      </c>
      <c r="C7385" s="330" t="s">
        <v>17859</v>
      </c>
      <c r="D7385" s="330" t="s">
        <v>17860</v>
      </c>
      <c r="E7385" s="330" t="s">
        <v>4819</v>
      </c>
      <c r="F7385" s="331">
        <v>0.21</v>
      </c>
      <c r="G7385" s="332">
        <v>1438</v>
      </c>
      <c r="H7385" s="333">
        <v>1740</v>
      </c>
    </row>
    <row r="7386" spans="1:8">
      <c r="A7386" s="317" t="s">
        <v>40652</v>
      </c>
      <c r="B7386" s="330" t="s">
        <v>51744</v>
      </c>
      <c r="C7386" s="330" t="s">
        <v>17861</v>
      </c>
      <c r="D7386" s="330" t="s">
        <v>7653</v>
      </c>
      <c r="E7386" s="330" t="s">
        <v>4819</v>
      </c>
      <c r="F7386" s="331">
        <v>0.21</v>
      </c>
      <c r="G7386" s="332">
        <v>1579</v>
      </c>
      <c r="H7386" s="333">
        <v>1911</v>
      </c>
    </row>
    <row r="7387" spans="1:8">
      <c r="A7387" s="317" t="s">
        <v>40653</v>
      </c>
      <c r="B7387" s="330" t="s">
        <v>51745</v>
      </c>
      <c r="C7387" s="330" t="s">
        <v>17862</v>
      </c>
      <c r="D7387" s="330" t="s">
        <v>17845</v>
      </c>
      <c r="E7387" s="330" t="s">
        <v>4634</v>
      </c>
      <c r="F7387" s="331">
        <v>0.21</v>
      </c>
      <c r="G7387" s="332">
        <v>274</v>
      </c>
      <c r="H7387" s="333">
        <v>332</v>
      </c>
    </row>
    <row r="7388" spans="1:8">
      <c r="A7388" s="317" t="s">
        <v>40654</v>
      </c>
      <c r="B7388" s="330" t="s">
        <v>51746</v>
      </c>
      <c r="C7388" s="330" t="s">
        <v>17863</v>
      </c>
      <c r="D7388" s="330" t="s">
        <v>17864</v>
      </c>
      <c r="E7388" s="330" t="s">
        <v>4634</v>
      </c>
      <c r="F7388" s="331">
        <v>0.21</v>
      </c>
      <c r="G7388" s="332">
        <v>274</v>
      </c>
      <c r="H7388" s="333">
        <v>332</v>
      </c>
    </row>
    <row r="7389" spans="1:8">
      <c r="A7389" s="317" t="s">
        <v>40655</v>
      </c>
      <c r="B7389" s="330" t="s">
        <v>51747</v>
      </c>
      <c r="C7389" s="330" t="s">
        <v>17865</v>
      </c>
      <c r="D7389" s="330" t="s">
        <v>17866</v>
      </c>
      <c r="E7389" s="330" t="s">
        <v>4634</v>
      </c>
      <c r="F7389" s="331">
        <v>0.21</v>
      </c>
      <c r="G7389" s="332">
        <v>648</v>
      </c>
      <c r="H7389" s="333">
        <v>785</v>
      </c>
    </row>
    <row r="7390" spans="1:8">
      <c r="A7390" s="317" t="s">
        <v>40656</v>
      </c>
      <c r="B7390" s="330" t="s">
        <v>51748</v>
      </c>
      <c r="C7390" s="330" t="s">
        <v>17867</v>
      </c>
      <c r="D7390" s="330" t="s">
        <v>17868</v>
      </c>
      <c r="E7390" s="330" t="s">
        <v>37248</v>
      </c>
      <c r="F7390" s="331">
        <v>0.21</v>
      </c>
      <c r="G7390" s="332">
        <v>56828</v>
      </c>
      <c r="H7390" s="333">
        <v>68762</v>
      </c>
    </row>
    <row r="7391" spans="1:8">
      <c r="A7391" s="317" t="s">
        <v>40657</v>
      </c>
      <c r="B7391" s="330" t="s">
        <v>51749</v>
      </c>
      <c r="C7391" s="330" t="s">
        <v>17869</v>
      </c>
      <c r="D7391" s="330" t="s">
        <v>17870</v>
      </c>
      <c r="E7391" s="330" t="s">
        <v>37248</v>
      </c>
      <c r="F7391" s="331">
        <v>0.21</v>
      </c>
      <c r="G7391" s="332">
        <v>28642</v>
      </c>
      <c r="H7391" s="333">
        <v>34657</v>
      </c>
    </row>
    <row r="7392" spans="1:8">
      <c r="A7392" s="317" t="s">
        <v>40658</v>
      </c>
      <c r="B7392" s="330" t="s">
        <v>51750</v>
      </c>
      <c r="C7392" s="330" t="s">
        <v>17871</v>
      </c>
      <c r="D7392" s="330" t="s">
        <v>17872</v>
      </c>
      <c r="E7392" s="330" t="s">
        <v>37248</v>
      </c>
      <c r="F7392" s="331">
        <v>0.21</v>
      </c>
      <c r="G7392" s="332">
        <v>57618</v>
      </c>
      <c r="H7392" s="333">
        <v>69718</v>
      </c>
    </row>
    <row r="7393" spans="1:8">
      <c r="A7393" s="317" t="s">
        <v>40659</v>
      </c>
      <c r="B7393" s="330" t="s">
        <v>51751</v>
      </c>
      <c r="C7393" s="330" t="s">
        <v>17873</v>
      </c>
      <c r="D7393" s="330" t="s">
        <v>17874</v>
      </c>
      <c r="E7393" s="330" t="s">
        <v>4634</v>
      </c>
      <c r="F7393" s="331">
        <v>0.21</v>
      </c>
      <c r="G7393" s="332">
        <v>3528</v>
      </c>
      <c r="H7393" s="333">
        <v>4269</v>
      </c>
    </row>
    <row r="7394" spans="1:8">
      <c r="A7394" s="317" t="s">
        <v>40660</v>
      </c>
      <c r="B7394" s="330" t="s">
        <v>51752</v>
      </c>
      <c r="C7394" s="330" t="s">
        <v>17875</v>
      </c>
      <c r="D7394" s="330" t="s">
        <v>17876</v>
      </c>
      <c r="E7394" s="330" t="s">
        <v>4819</v>
      </c>
      <c r="F7394" s="331">
        <v>0.21</v>
      </c>
      <c r="G7394" s="332">
        <v>77862</v>
      </c>
      <c r="H7394" s="333">
        <v>94214</v>
      </c>
    </row>
    <row r="7395" spans="1:8">
      <c r="A7395" s="317" t="s">
        <v>40661</v>
      </c>
      <c r="B7395" s="330" t="s">
        <v>51753</v>
      </c>
      <c r="C7395" s="330" t="s">
        <v>17877</v>
      </c>
      <c r="D7395" s="330" t="s">
        <v>17878</v>
      </c>
      <c r="E7395" s="330" t="s">
        <v>4819</v>
      </c>
      <c r="F7395" s="331">
        <v>0.21</v>
      </c>
      <c r="G7395" s="332">
        <v>29049</v>
      </c>
      <c r="H7395" s="333">
        <v>35150</v>
      </c>
    </row>
    <row r="7396" spans="1:8">
      <c r="A7396" s="317" t="s">
        <v>40662</v>
      </c>
      <c r="B7396" s="330" t="s">
        <v>51754</v>
      </c>
      <c r="C7396" s="330" t="s">
        <v>17879</v>
      </c>
      <c r="D7396" s="330" t="s">
        <v>17880</v>
      </c>
      <c r="E7396" s="330" t="s">
        <v>4819</v>
      </c>
      <c r="F7396" s="331">
        <v>0.21</v>
      </c>
      <c r="G7396" s="332">
        <v>2821</v>
      </c>
      <c r="H7396" s="333">
        <v>3414</v>
      </c>
    </row>
    <row r="7397" spans="1:8">
      <c r="A7397" s="317" t="s">
        <v>40663</v>
      </c>
      <c r="B7397" s="330" t="s">
        <v>51755</v>
      </c>
      <c r="C7397" s="330" t="s">
        <v>17881</v>
      </c>
      <c r="D7397" s="330" t="s">
        <v>17882</v>
      </c>
      <c r="E7397" s="330" t="s">
        <v>4819</v>
      </c>
      <c r="F7397" s="331">
        <v>0.21</v>
      </c>
      <c r="G7397" s="332">
        <v>5182</v>
      </c>
      <c r="H7397" s="333">
        <v>6271</v>
      </c>
    </row>
    <row r="7398" spans="1:8">
      <c r="A7398" s="317" t="s">
        <v>40664</v>
      </c>
      <c r="B7398" s="330" t="s">
        <v>51756</v>
      </c>
      <c r="C7398" s="330" t="s">
        <v>17883</v>
      </c>
      <c r="D7398" s="330" t="s">
        <v>15405</v>
      </c>
      <c r="E7398" s="330" t="s">
        <v>37248</v>
      </c>
      <c r="F7398" s="331">
        <v>0.21</v>
      </c>
      <c r="G7398" s="332">
        <v>417</v>
      </c>
      <c r="H7398" s="333">
        <v>505</v>
      </c>
    </row>
    <row r="7399" spans="1:8">
      <c r="A7399" s="317" t="s">
        <v>40665</v>
      </c>
      <c r="B7399" s="330" t="s">
        <v>51757</v>
      </c>
      <c r="C7399" s="330" t="s">
        <v>17884</v>
      </c>
      <c r="D7399" s="330" t="s">
        <v>17885</v>
      </c>
      <c r="E7399" s="330" t="s">
        <v>37248</v>
      </c>
      <c r="F7399" s="331">
        <v>0.21</v>
      </c>
      <c r="G7399" s="332">
        <v>1501</v>
      </c>
      <c r="H7399" s="333">
        <v>1817</v>
      </c>
    </row>
    <row r="7400" spans="1:8">
      <c r="A7400" s="317" t="s">
        <v>40666</v>
      </c>
      <c r="B7400" s="330" t="s">
        <v>51758</v>
      </c>
      <c r="C7400" s="330" t="s">
        <v>17886</v>
      </c>
      <c r="D7400" s="330" t="s">
        <v>8976</v>
      </c>
      <c r="E7400" s="330" t="s">
        <v>37248</v>
      </c>
      <c r="F7400" s="331">
        <v>0.21</v>
      </c>
      <c r="G7400" s="332">
        <v>54611</v>
      </c>
      <c r="H7400" s="333">
        <v>66080</v>
      </c>
    </row>
    <row r="7401" spans="1:8">
      <c r="A7401" s="317" t="s">
        <v>40667</v>
      </c>
      <c r="B7401" s="330" t="s">
        <v>51759</v>
      </c>
      <c r="C7401" s="330" t="s">
        <v>17887</v>
      </c>
      <c r="D7401" s="330" t="s">
        <v>17888</v>
      </c>
      <c r="E7401" s="330" t="s">
        <v>4634</v>
      </c>
      <c r="F7401" s="331">
        <v>0.21</v>
      </c>
      <c r="G7401" s="332">
        <v>44909</v>
      </c>
      <c r="H7401" s="333">
        <v>54340</v>
      </c>
    </row>
    <row r="7402" spans="1:8">
      <c r="A7402" s="317" t="s">
        <v>40668</v>
      </c>
      <c r="B7402" s="330" t="s">
        <v>51760</v>
      </c>
      <c r="C7402" s="330" t="s">
        <v>17889</v>
      </c>
      <c r="D7402" s="330" t="s">
        <v>17890</v>
      </c>
      <c r="E7402" s="330" t="s">
        <v>37248</v>
      </c>
      <c r="F7402" s="331">
        <v>0.21</v>
      </c>
      <c r="G7402" s="332">
        <v>2398</v>
      </c>
      <c r="H7402" s="333">
        <v>2902</v>
      </c>
    </row>
    <row r="7403" spans="1:8">
      <c r="A7403" s="317" t="s">
        <v>40669</v>
      </c>
      <c r="B7403" s="330" t="s">
        <v>51761</v>
      </c>
      <c r="C7403" s="330" t="s">
        <v>17891</v>
      </c>
      <c r="D7403" s="330" t="s">
        <v>17890</v>
      </c>
      <c r="E7403" s="330" t="s">
        <v>37248</v>
      </c>
      <c r="F7403" s="331">
        <v>0.21</v>
      </c>
      <c r="G7403" s="332">
        <v>2398</v>
      </c>
      <c r="H7403" s="333">
        <v>2902</v>
      </c>
    </row>
    <row r="7404" spans="1:8">
      <c r="A7404" s="317" t="s">
        <v>40670</v>
      </c>
      <c r="B7404" s="330" t="s">
        <v>51762</v>
      </c>
      <c r="C7404" s="330" t="s">
        <v>17892</v>
      </c>
      <c r="D7404" s="330" t="s">
        <v>17893</v>
      </c>
      <c r="E7404" s="330" t="s">
        <v>37248</v>
      </c>
      <c r="F7404" s="331">
        <v>0.21</v>
      </c>
      <c r="G7404" s="332">
        <v>51943</v>
      </c>
      <c r="H7404" s="333">
        <v>62852</v>
      </c>
    </row>
    <row r="7405" spans="1:8">
      <c r="A7405" s="317" t="s">
        <v>40671</v>
      </c>
      <c r="B7405" s="330" t="s">
        <v>51763</v>
      </c>
      <c r="C7405" s="330" t="s">
        <v>17894</v>
      </c>
      <c r="D7405" s="330" t="s">
        <v>17895</v>
      </c>
      <c r="E7405" s="330" t="s">
        <v>4634</v>
      </c>
      <c r="F7405" s="331">
        <v>0.21</v>
      </c>
      <c r="G7405" s="332">
        <v>3923</v>
      </c>
      <c r="H7405" s="333">
        <v>4747</v>
      </c>
    </row>
    <row r="7406" spans="1:8">
      <c r="A7406" s="317" t="s">
        <v>40672</v>
      </c>
      <c r="B7406" s="330" t="s">
        <v>51764</v>
      </c>
      <c r="C7406" s="330" t="s">
        <v>17896</v>
      </c>
      <c r="D7406" s="330" t="s">
        <v>17897</v>
      </c>
      <c r="E7406" s="330" t="s">
        <v>4819</v>
      </c>
      <c r="F7406" s="331">
        <v>0.21</v>
      </c>
      <c r="G7406" s="332">
        <v>4021</v>
      </c>
      <c r="H7406" s="333">
        <v>4866</v>
      </c>
    </row>
    <row r="7407" spans="1:8">
      <c r="A7407" s="317" t="s">
        <v>40673</v>
      </c>
      <c r="B7407" s="330" t="s">
        <v>51765</v>
      </c>
      <c r="C7407" s="330" t="s">
        <v>17898</v>
      </c>
      <c r="D7407" s="330" t="s">
        <v>17899</v>
      </c>
      <c r="E7407" s="330" t="s">
        <v>37248</v>
      </c>
      <c r="F7407" s="331">
        <v>0.21</v>
      </c>
      <c r="G7407" s="332">
        <v>807</v>
      </c>
      <c r="H7407" s="333">
        <v>977</v>
      </c>
    </row>
    <row r="7408" spans="1:8">
      <c r="A7408" s="317" t="s">
        <v>40674</v>
      </c>
      <c r="B7408" s="330" t="s">
        <v>51766</v>
      </c>
      <c r="C7408" s="330" t="s">
        <v>17900</v>
      </c>
      <c r="D7408" s="330" t="s">
        <v>17901</v>
      </c>
      <c r="E7408" s="330" t="s">
        <v>4634</v>
      </c>
      <c r="F7408" s="331">
        <v>0.21</v>
      </c>
      <c r="G7408" s="332">
        <v>13116</v>
      </c>
      <c r="H7408" s="333">
        <v>15871</v>
      </c>
    </row>
    <row r="7409" spans="1:8">
      <c r="A7409" s="317" t="s">
        <v>40675</v>
      </c>
      <c r="B7409" s="330" t="s">
        <v>51767</v>
      </c>
      <c r="C7409" s="330" t="s">
        <v>17902</v>
      </c>
      <c r="D7409" s="330" t="s">
        <v>17903</v>
      </c>
      <c r="E7409" s="330" t="s">
        <v>37248</v>
      </c>
      <c r="F7409" s="331">
        <v>0.21</v>
      </c>
      <c r="G7409" s="332">
        <v>10163</v>
      </c>
      <c r="H7409" s="333">
        <v>12298</v>
      </c>
    </row>
    <row r="7410" spans="1:8">
      <c r="A7410" s="317" t="s">
        <v>40676</v>
      </c>
      <c r="B7410" s="330" t="s">
        <v>51768</v>
      </c>
      <c r="C7410" s="330" t="s">
        <v>17904</v>
      </c>
      <c r="D7410" s="330" t="s">
        <v>17905</v>
      </c>
      <c r="E7410" s="330" t="s">
        <v>4634</v>
      </c>
      <c r="F7410" s="331">
        <v>0.21</v>
      </c>
      <c r="G7410" s="332">
        <v>3421</v>
      </c>
      <c r="H7410" s="333">
        <v>4140</v>
      </c>
    </row>
    <row r="7411" spans="1:8">
      <c r="A7411" s="317" t="s">
        <v>40677</v>
      </c>
      <c r="B7411" s="330" t="s">
        <v>51769</v>
      </c>
      <c r="C7411" s="330" t="s">
        <v>17906</v>
      </c>
      <c r="D7411" s="330" t="s">
        <v>17907</v>
      </c>
      <c r="E7411" s="330" t="s">
        <v>4634</v>
      </c>
      <c r="F7411" s="331">
        <v>0.21</v>
      </c>
      <c r="G7411" s="332">
        <v>1951</v>
      </c>
      <c r="H7411" s="333">
        <v>2361</v>
      </c>
    </row>
    <row r="7412" spans="1:8">
      <c r="A7412" s="317" t="s">
        <v>40678</v>
      </c>
      <c r="B7412" s="330" t="s">
        <v>51770</v>
      </c>
      <c r="C7412" s="330" t="s">
        <v>17908</v>
      </c>
      <c r="D7412" s="330" t="s">
        <v>9297</v>
      </c>
      <c r="E7412" s="330" t="s">
        <v>37248</v>
      </c>
      <c r="F7412" s="331">
        <v>0.21</v>
      </c>
      <c r="G7412" s="332">
        <v>17669</v>
      </c>
      <c r="H7412" s="333">
        <v>21380</v>
      </c>
    </row>
    <row r="7413" spans="1:8">
      <c r="A7413" s="317" t="s">
        <v>40679</v>
      </c>
      <c r="B7413" s="330" t="s">
        <v>51771</v>
      </c>
      <c r="C7413" s="330" t="s">
        <v>17909</v>
      </c>
      <c r="D7413" s="330" t="s">
        <v>17910</v>
      </c>
      <c r="E7413" s="330" t="s">
        <v>37248</v>
      </c>
      <c r="F7413" s="331">
        <v>0.21</v>
      </c>
      <c r="G7413" s="332">
        <v>7149</v>
      </c>
      <c r="H7413" s="333">
        <v>8651</v>
      </c>
    </row>
    <row r="7414" spans="1:8">
      <c r="A7414" s="317" t="s">
        <v>40680</v>
      </c>
      <c r="B7414" s="330" t="s">
        <v>51772</v>
      </c>
      <c r="C7414" s="330" t="s">
        <v>17911</v>
      </c>
      <c r="D7414" s="330" t="s">
        <v>17912</v>
      </c>
      <c r="E7414" s="330" t="s">
        <v>4819</v>
      </c>
      <c r="F7414" s="331">
        <v>0.21</v>
      </c>
      <c r="G7414" s="332">
        <v>13205</v>
      </c>
      <c r="H7414" s="333">
        <v>15979</v>
      </c>
    </row>
    <row r="7415" spans="1:8">
      <c r="A7415" s="317" t="s">
        <v>40681</v>
      </c>
      <c r="B7415" s="330" t="s">
        <v>51773</v>
      </c>
      <c r="C7415" s="330" t="s">
        <v>17913</v>
      </c>
      <c r="D7415" s="330" t="s">
        <v>17914</v>
      </c>
      <c r="E7415" s="330" t="s">
        <v>4634</v>
      </c>
      <c r="F7415" s="331">
        <v>0.21</v>
      </c>
      <c r="G7415" s="332">
        <v>274</v>
      </c>
      <c r="H7415" s="333">
        <v>332</v>
      </c>
    </row>
    <row r="7416" spans="1:8">
      <c r="A7416" s="317" t="s">
        <v>40682</v>
      </c>
      <c r="B7416" s="330" t="s">
        <v>51774</v>
      </c>
      <c r="C7416" s="330" t="s">
        <v>17915</v>
      </c>
      <c r="D7416" s="330" t="s">
        <v>17916</v>
      </c>
      <c r="E7416" s="330" t="s">
        <v>37248</v>
      </c>
      <c r="F7416" s="331">
        <v>0.21</v>
      </c>
      <c r="G7416" s="332">
        <v>23529</v>
      </c>
      <c r="H7416" s="333">
        <v>28471</v>
      </c>
    </row>
    <row r="7417" spans="1:8">
      <c r="A7417" s="317" t="s">
        <v>40683</v>
      </c>
      <c r="B7417" s="330" t="s">
        <v>51775</v>
      </c>
      <c r="C7417" s="330" t="s">
        <v>17917</v>
      </c>
      <c r="D7417" s="330" t="s">
        <v>17918</v>
      </c>
      <c r="E7417" s="330" t="s">
        <v>37248</v>
      </c>
      <c r="F7417" s="331">
        <v>0.21</v>
      </c>
      <c r="G7417" s="332">
        <v>4590</v>
      </c>
      <c r="H7417" s="333">
        <v>5554</v>
      </c>
    </row>
    <row r="7418" spans="1:8">
      <c r="A7418" s="317" t="s">
        <v>40684</v>
      </c>
      <c r="B7418" s="330" t="s">
        <v>51776</v>
      </c>
      <c r="C7418" s="330" t="s">
        <v>17919</v>
      </c>
      <c r="D7418" s="330" t="s">
        <v>17920</v>
      </c>
      <c r="E7418" s="330" t="s">
        <v>37248</v>
      </c>
      <c r="F7418" s="331">
        <v>0.21</v>
      </c>
      <c r="G7418" s="332">
        <v>31446</v>
      </c>
      <c r="H7418" s="333">
        <v>38050</v>
      </c>
    </row>
    <row r="7419" spans="1:8">
      <c r="A7419" s="317" t="s">
        <v>40685</v>
      </c>
      <c r="B7419" s="330" t="s">
        <v>51777</v>
      </c>
      <c r="C7419" s="330" t="s">
        <v>17921</v>
      </c>
      <c r="D7419" s="330" t="s">
        <v>17922</v>
      </c>
      <c r="E7419" s="330" t="s">
        <v>4634</v>
      </c>
      <c r="F7419" s="331">
        <v>0.21</v>
      </c>
      <c r="G7419" s="332">
        <v>25298</v>
      </c>
      <c r="H7419" s="333">
        <v>30611</v>
      </c>
    </row>
    <row r="7420" spans="1:8">
      <c r="A7420" s="317" t="s">
        <v>40686</v>
      </c>
      <c r="B7420" s="330" t="s">
        <v>51778</v>
      </c>
      <c r="C7420" s="330" t="s">
        <v>17923</v>
      </c>
      <c r="D7420" s="330" t="s">
        <v>17791</v>
      </c>
      <c r="E7420" s="330" t="s">
        <v>4634</v>
      </c>
      <c r="F7420" s="331">
        <v>0.21</v>
      </c>
      <c r="G7420" s="332">
        <v>236</v>
      </c>
      <c r="H7420" s="333">
        <v>286</v>
      </c>
    </row>
    <row r="7421" spans="1:8">
      <c r="A7421" s="317" t="s">
        <v>40687</v>
      </c>
      <c r="B7421" s="330" t="s">
        <v>51779</v>
      </c>
      <c r="C7421" s="330" t="s">
        <v>17924</v>
      </c>
      <c r="D7421" s="330" t="s">
        <v>17642</v>
      </c>
      <c r="E7421" s="330" t="s">
        <v>37248</v>
      </c>
      <c r="F7421" s="331">
        <v>0.21</v>
      </c>
      <c r="G7421" s="332">
        <v>383</v>
      </c>
      <c r="H7421" s="333">
        <v>464</v>
      </c>
    </row>
    <row r="7422" spans="1:8">
      <c r="A7422" s="317" t="s">
        <v>40688</v>
      </c>
      <c r="B7422" s="330" t="s">
        <v>51780</v>
      </c>
      <c r="C7422" s="330" t="s">
        <v>17925</v>
      </c>
      <c r="D7422" s="330" t="s">
        <v>17926</v>
      </c>
      <c r="E7422" s="330" t="s">
        <v>37248</v>
      </c>
      <c r="F7422" s="331">
        <v>0.21</v>
      </c>
      <c r="G7422" s="332">
        <v>24977</v>
      </c>
      <c r="H7422" s="333">
        <v>30223</v>
      </c>
    </row>
    <row r="7423" spans="1:8">
      <c r="A7423" s="317" t="s">
        <v>40689</v>
      </c>
      <c r="B7423" s="330" t="s">
        <v>51781</v>
      </c>
      <c r="C7423" s="330" t="s">
        <v>17927</v>
      </c>
      <c r="D7423" s="330" t="s">
        <v>17928</v>
      </c>
      <c r="E7423" s="330" t="s">
        <v>4634</v>
      </c>
      <c r="F7423" s="331">
        <v>0.21</v>
      </c>
      <c r="G7423" s="332">
        <v>2551</v>
      </c>
      <c r="H7423" s="333">
        <v>3087</v>
      </c>
    </row>
    <row r="7424" spans="1:8">
      <c r="A7424" s="317" t="s">
        <v>40690</v>
      </c>
      <c r="B7424" s="330" t="s">
        <v>51782</v>
      </c>
      <c r="C7424" s="330" t="s">
        <v>17929</v>
      </c>
      <c r="D7424" s="330" t="s">
        <v>17930</v>
      </c>
      <c r="E7424" s="330" t="s">
        <v>4819</v>
      </c>
      <c r="F7424" s="331">
        <v>0.21</v>
      </c>
      <c r="G7424" s="332">
        <v>3731</v>
      </c>
      <c r="H7424" s="333">
        <v>4515</v>
      </c>
    </row>
    <row r="7425" spans="1:8">
      <c r="A7425" s="317" t="s">
        <v>40691</v>
      </c>
      <c r="B7425" s="330" t="s">
        <v>51783</v>
      </c>
      <c r="C7425" s="330" t="s">
        <v>17931</v>
      </c>
      <c r="D7425" s="330" t="s">
        <v>17932</v>
      </c>
      <c r="E7425" s="330" t="s">
        <v>37248</v>
      </c>
      <c r="F7425" s="331">
        <v>0.21</v>
      </c>
      <c r="G7425" s="332">
        <v>383</v>
      </c>
      <c r="H7425" s="333">
        <v>464</v>
      </c>
    </row>
    <row r="7426" spans="1:8">
      <c r="A7426" s="317" t="s">
        <v>40692</v>
      </c>
      <c r="B7426" s="330" t="s">
        <v>51784</v>
      </c>
      <c r="C7426" s="330" t="s">
        <v>17933</v>
      </c>
      <c r="D7426" s="330" t="s">
        <v>17934</v>
      </c>
      <c r="E7426" s="330" t="s">
        <v>4634</v>
      </c>
      <c r="F7426" s="331">
        <v>0.21</v>
      </c>
      <c r="G7426" s="332">
        <v>426</v>
      </c>
      <c r="H7426" s="333">
        <v>516</v>
      </c>
    </row>
    <row r="7427" spans="1:8">
      <c r="A7427" s="317" t="s">
        <v>40693</v>
      </c>
      <c r="B7427" s="330" t="s">
        <v>51785</v>
      </c>
      <c r="C7427" s="330" t="s">
        <v>17935</v>
      </c>
      <c r="D7427" s="330" t="s">
        <v>4830</v>
      </c>
      <c r="E7427" s="330" t="s">
        <v>4819</v>
      </c>
      <c r="F7427" s="331">
        <v>0.21</v>
      </c>
      <c r="G7427" s="332">
        <v>1688</v>
      </c>
      <c r="H7427" s="333">
        <v>2043</v>
      </c>
    </row>
    <row r="7428" spans="1:8">
      <c r="A7428" s="317" t="s">
        <v>40694</v>
      </c>
      <c r="B7428" s="330" t="s">
        <v>51786</v>
      </c>
      <c r="C7428" s="330" t="s">
        <v>17936</v>
      </c>
      <c r="D7428" s="330" t="s">
        <v>5786</v>
      </c>
      <c r="E7428" s="330" t="s">
        <v>37248</v>
      </c>
      <c r="F7428" s="331">
        <v>0.21</v>
      </c>
      <c r="G7428" s="332">
        <v>1652</v>
      </c>
      <c r="H7428" s="333">
        <v>1999</v>
      </c>
    </row>
    <row r="7429" spans="1:8">
      <c r="A7429" s="317" t="s">
        <v>40695</v>
      </c>
      <c r="B7429" s="330" t="s">
        <v>51787</v>
      </c>
      <c r="C7429" s="330" t="s">
        <v>17937</v>
      </c>
      <c r="D7429" s="330" t="s">
        <v>5786</v>
      </c>
      <c r="E7429" s="330" t="s">
        <v>37248</v>
      </c>
      <c r="F7429" s="331">
        <v>0.21</v>
      </c>
      <c r="G7429" s="332">
        <v>1652</v>
      </c>
      <c r="H7429" s="333">
        <v>1999</v>
      </c>
    </row>
    <row r="7430" spans="1:8">
      <c r="A7430" s="317" t="s">
        <v>40696</v>
      </c>
      <c r="B7430" s="330" t="s">
        <v>51788</v>
      </c>
      <c r="C7430" s="330" t="s">
        <v>17938</v>
      </c>
      <c r="D7430" s="330" t="s">
        <v>17939</v>
      </c>
      <c r="E7430" s="330" t="s">
        <v>37248</v>
      </c>
      <c r="F7430" s="331">
        <v>0.21</v>
      </c>
      <c r="G7430" s="332">
        <v>7408</v>
      </c>
      <c r="H7430" s="333">
        <v>8964</v>
      </c>
    </row>
    <row r="7431" spans="1:8">
      <c r="A7431" s="317" t="s">
        <v>40697</v>
      </c>
      <c r="B7431" s="330" t="s">
        <v>51789</v>
      </c>
      <c r="C7431" s="330" t="s">
        <v>17940</v>
      </c>
      <c r="D7431" s="330" t="s">
        <v>17941</v>
      </c>
      <c r="E7431" s="330" t="s">
        <v>4634</v>
      </c>
      <c r="F7431" s="331">
        <v>0.21</v>
      </c>
      <c r="G7431" s="332">
        <v>2939</v>
      </c>
      <c r="H7431" s="333">
        <v>3557</v>
      </c>
    </row>
    <row r="7432" spans="1:8">
      <c r="A7432" s="317" t="s">
        <v>40698</v>
      </c>
      <c r="B7432" s="330" t="s">
        <v>51790</v>
      </c>
      <c r="C7432" s="330" t="s">
        <v>17942</v>
      </c>
      <c r="D7432" s="330" t="s">
        <v>17943</v>
      </c>
      <c r="E7432" s="330" t="s">
        <v>37248</v>
      </c>
      <c r="F7432" s="331">
        <v>0.21</v>
      </c>
      <c r="G7432" s="332">
        <v>10914</v>
      </c>
      <c r="H7432" s="333">
        <v>13206</v>
      </c>
    </row>
    <row r="7433" spans="1:8">
      <c r="A7433" s="317" t="s">
        <v>40699</v>
      </c>
      <c r="B7433" s="330" t="s">
        <v>51791</v>
      </c>
      <c r="C7433" s="330" t="s">
        <v>17944</v>
      </c>
      <c r="D7433" s="330" t="s">
        <v>17945</v>
      </c>
      <c r="E7433" s="330" t="s">
        <v>4634</v>
      </c>
      <c r="F7433" s="331">
        <v>0.21</v>
      </c>
      <c r="G7433" s="332">
        <v>1514</v>
      </c>
      <c r="H7433" s="333">
        <v>1832</v>
      </c>
    </row>
    <row r="7434" spans="1:8">
      <c r="A7434" s="317" t="s">
        <v>40700</v>
      </c>
      <c r="B7434" s="330" t="s">
        <v>51792</v>
      </c>
      <c r="C7434" s="330" t="s">
        <v>17946</v>
      </c>
      <c r="D7434" s="330" t="s">
        <v>17947</v>
      </c>
      <c r="E7434" s="330" t="s">
        <v>4819</v>
      </c>
      <c r="F7434" s="331">
        <v>0.21</v>
      </c>
      <c r="G7434" s="332">
        <v>2237</v>
      </c>
      <c r="H7434" s="333">
        <v>2707</v>
      </c>
    </row>
    <row r="7435" spans="1:8">
      <c r="A7435" s="317" t="s">
        <v>40701</v>
      </c>
      <c r="B7435" s="330" t="s">
        <v>51793</v>
      </c>
      <c r="C7435" s="330" t="s">
        <v>17948</v>
      </c>
      <c r="D7435" s="330" t="s">
        <v>17949</v>
      </c>
      <c r="E7435" s="330" t="s">
        <v>37248</v>
      </c>
      <c r="F7435" s="331">
        <v>0.21</v>
      </c>
      <c r="G7435" s="332">
        <v>2137</v>
      </c>
      <c r="H7435" s="333">
        <v>2586</v>
      </c>
    </row>
    <row r="7436" spans="1:8">
      <c r="A7436" s="317" t="s">
        <v>40702</v>
      </c>
      <c r="B7436" s="330" t="s">
        <v>51794</v>
      </c>
      <c r="C7436" s="330" t="s">
        <v>17950</v>
      </c>
      <c r="D7436" s="330" t="s">
        <v>17951</v>
      </c>
      <c r="E7436" s="330" t="s">
        <v>4634</v>
      </c>
      <c r="F7436" s="331">
        <v>0.21</v>
      </c>
      <c r="G7436" s="332">
        <v>4325</v>
      </c>
      <c r="H7436" s="333">
        <v>5234</v>
      </c>
    </row>
    <row r="7437" spans="1:8">
      <c r="A7437" s="317" t="s">
        <v>40703</v>
      </c>
      <c r="B7437" s="330" t="s">
        <v>51795</v>
      </c>
      <c r="C7437" s="330" t="s">
        <v>17952</v>
      </c>
      <c r="D7437" s="330" t="s">
        <v>17953</v>
      </c>
      <c r="E7437" s="330" t="s">
        <v>4634</v>
      </c>
      <c r="F7437" s="331">
        <v>0.21</v>
      </c>
      <c r="G7437" s="332">
        <v>1327</v>
      </c>
      <c r="H7437" s="333">
        <v>1606</v>
      </c>
    </row>
    <row r="7438" spans="1:8">
      <c r="A7438" s="317" t="s">
        <v>40704</v>
      </c>
      <c r="B7438" s="330" t="s">
        <v>51796</v>
      </c>
      <c r="C7438" s="330" t="s">
        <v>17954</v>
      </c>
      <c r="D7438" s="330" t="s">
        <v>17955</v>
      </c>
      <c r="E7438" s="330" t="s">
        <v>4634</v>
      </c>
      <c r="F7438" s="331">
        <v>0.21</v>
      </c>
      <c r="G7438" s="332">
        <v>12035</v>
      </c>
      <c r="H7438" s="333">
        <v>14563</v>
      </c>
    </row>
    <row r="7439" spans="1:8">
      <c r="A7439" s="317" t="s">
        <v>40705</v>
      </c>
      <c r="B7439" s="330" t="s">
        <v>51797</v>
      </c>
      <c r="C7439" s="330" t="s">
        <v>17956</v>
      </c>
      <c r="D7439" s="330" t="s">
        <v>17957</v>
      </c>
      <c r="E7439" s="330" t="s">
        <v>37248</v>
      </c>
      <c r="F7439" s="331">
        <v>0.21</v>
      </c>
      <c r="G7439" s="332">
        <v>12878</v>
      </c>
      <c r="H7439" s="333">
        <v>15583</v>
      </c>
    </row>
    <row r="7440" spans="1:8">
      <c r="A7440" s="317" t="s">
        <v>40706</v>
      </c>
      <c r="B7440" s="330" t="s">
        <v>51798</v>
      </c>
      <c r="C7440" s="330" t="s">
        <v>17958</v>
      </c>
      <c r="D7440" s="330" t="s">
        <v>13483</v>
      </c>
      <c r="E7440" s="330" t="s">
        <v>4634</v>
      </c>
      <c r="F7440" s="331">
        <v>0.21</v>
      </c>
      <c r="G7440" s="332">
        <v>816</v>
      </c>
      <c r="H7440" s="333">
        <v>988</v>
      </c>
    </row>
    <row r="7441" spans="1:8">
      <c r="A7441" s="317" t="s">
        <v>40707</v>
      </c>
      <c r="B7441" s="330" t="s">
        <v>51799</v>
      </c>
      <c r="C7441" s="330" t="s">
        <v>17959</v>
      </c>
      <c r="D7441" s="330" t="s">
        <v>4710</v>
      </c>
      <c r="E7441" s="330" t="s">
        <v>37248</v>
      </c>
      <c r="F7441" s="331">
        <v>0.21</v>
      </c>
      <c r="G7441" s="332">
        <v>3847</v>
      </c>
      <c r="H7441" s="333">
        <v>4655</v>
      </c>
    </row>
    <row r="7442" spans="1:8">
      <c r="A7442" s="317" t="s">
        <v>40708</v>
      </c>
      <c r="B7442" s="330" t="s">
        <v>51800</v>
      </c>
      <c r="C7442" s="330" t="s">
        <v>17960</v>
      </c>
      <c r="D7442" s="330" t="s">
        <v>17961</v>
      </c>
      <c r="E7442" s="330" t="s">
        <v>4819</v>
      </c>
      <c r="F7442" s="331">
        <v>0.21</v>
      </c>
      <c r="G7442" s="332">
        <v>671</v>
      </c>
      <c r="H7442" s="333">
        <v>812</v>
      </c>
    </row>
    <row r="7443" spans="1:8">
      <c r="A7443" s="317" t="s">
        <v>40709</v>
      </c>
      <c r="B7443" s="330" t="s">
        <v>51801</v>
      </c>
      <c r="C7443" s="330" t="s">
        <v>17962</v>
      </c>
      <c r="D7443" s="330" t="s">
        <v>4658</v>
      </c>
      <c r="E7443" s="330" t="s">
        <v>4819</v>
      </c>
      <c r="F7443" s="331">
        <v>0.21</v>
      </c>
      <c r="G7443" s="332">
        <v>3171</v>
      </c>
      <c r="H7443" s="333">
        <v>3837</v>
      </c>
    </row>
    <row r="7444" spans="1:8">
      <c r="A7444" s="317" t="s">
        <v>40710</v>
      </c>
      <c r="B7444" s="330" t="s">
        <v>51802</v>
      </c>
      <c r="C7444" s="330" t="s">
        <v>17963</v>
      </c>
      <c r="D7444" s="330" t="s">
        <v>17964</v>
      </c>
      <c r="E7444" s="330" t="s">
        <v>37248</v>
      </c>
      <c r="F7444" s="331">
        <v>0.21</v>
      </c>
      <c r="G7444" s="332">
        <v>1072</v>
      </c>
      <c r="H7444" s="333">
        <v>1298</v>
      </c>
    </row>
    <row r="7445" spans="1:8">
      <c r="A7445" s="317" t="s">
        <v>40711</v>
      </c>
      <c r="B7445" s="330" t="s">
        <v>51803</v>
      </c>
      <c r="C7445" s="330" t="s">
        <v>17965</v>
      </c>
      <c r="D7445" s="330" t="s">
        <v>17966</v>
      </c>
      <c r="E7445" s="330" t="s">
        <v>37248</v>
      </c>
      <c r="F7445" s="331">
        <v>0.21</v>
      </c>
      <c r="G7445" s="332">
        <v>20190</v>
      </c>
      <c r="H7445" s="333">
        <v>24430</v>
      </c>
    </row>
    <row r="7446" spans="1:8">
      <c r="A7446" s="317" t="s">
        <v>40712</v>
      </c>
      <c r="B7446" s="330" t="s">
        <v>51804</v>
      </c>
      <c r="C7446" s="330" t="s">
        <v>17967</v>
      </c>
      <c r="D7446" s="330" t="s">
        <v>17968</v>
      </c>
      <c r="E7446" s="330" t="s">
        <v>37248</v>
      </c>
      <c r="F7446" s="331">
        <v>0.21</v>
      </c>
      <c r="G7446" s="332">
        <v>3089</v>
      </c>
      <c r="H7446" s="333">
        <v>3738</v>
      </c>
    </row>
    <row r="7447" spans="1:8">
      <c r="A7447" s="317" t="s">
        <v>40713</v>
      </c>
      <c r="B7447" s="330" t="s">
        <v>51805</v>
      </c>
      <c r="C7447" s="330" t="s">
        <v>17969</v>
      </c>
      <c r="D7447" s="330" t="s">
        <v>17970</v>
      </c>
      <c r="E7447" s="330" t="s">
        <v>37248</v>
      </c>
      <c r="F7447" s="331">
        <v>0.21</v>
      </c>
      <c r="G7447" s="332">
        <v>107746</v>
      </c>
      <c r="H7447" s="333">
        <v>130373</v>
      </c>
    </row>
    <row r="7448" spans="1:8">
      <c r="A7448" s="317" t="s">
        <v>40714</v>
      </c>
      <c r="B7448" s="330" t="s">
        <v>51806</v>
      </c>
      <c r="C7448" s="330" t="s">
        <v>17971</v>
      </c>
      <c r="D7448" s="330" t="s">
        <v>17972</v>
      </c>
      <c r="E7448" s="330" t="s">
        <v>4634</v>
      </c>
      <c r="F7448" s="331">
        <v>0.21</v>
      </c>
      <c r="G7448" s="332">
        <v>35272</v>
      </c>
      <c r="H7448" s="333">
        <v>42680</v>
      </c>
    </row>
    <row r="7449" spans="1:8">
      <c r="A7449" s="317" t="s">
        <v>40715</v>
      </c>
      <c r="B7449" s="330" t="s">
        <v>51807</v>
      </c>
      <c r="C7449" s="330" t="s">
        <v>17973</v>
      </c>
      <c r="D7449" s="330" t="s">
        <v>17974</v>
      </c>
      <c r="E7449" s="330" t="s">
        <v>37248</v>
      </c>
      <c r="F7449" s="331">
        <v>0.21</v>
      </c>
      <c r="G7449" s="332">
        <v>3979</v>
      </c>
      <c r="H7449" s="333">
        <v>4815</v>
      </c>
    </row>
    <row r="7450" spans="1:8">
      <c r="A7450" s="317" t="s">
        <v>40716</v>
      </c>
      <c r="B7450" s="330" t="s">
        <v>51808</v>
      </c>
      <c r="C7450" s="330" t="s">
        <v>17975</v>
      </c>
      <c r="D7450" s="330" t="s">
        <v>17976</v>
      </c>
      <c r="E7450" s="330" t="s">
        <v>4634</v>
      </c>
      <c r="F7450" s="331">
        <v>0.21</v>
      </c>
      <c r="G7450" s="332">
        <v>387</v>
      </c>
      <c r="H7450" s="333">
        <v>469</v>
      </c>
    </row>
    <row r="7451" spans="1:8">
      <c r="A7451" s="317" t="s">
        <v>40717</v>
      </c>
      <c r="B7451" s="330" t="s">
        <v>51809</v>
      </c>
      <c r="C7451" s="330" t="s">
        <v>17977</v>
      </c>
      <c r="D7451" s="330" t="s">
        <v>17978</v>
      </c>
      <c r="E7451" s="330" t="s">
        <v>4634</v>
      </c>
      <c r="F7451" s="331">
        <v>0.21</v>
      </c>
      <c r="G7451" s="332">
        <v>274</v>
      </c>
      <c r="H7451" s="333">
        <v>332</v>
      </c>
    </row>
    <row r="7452" spans="1:8">
      <c r="A7452" s="317" t="s">
        <v>40718</v>
      </c>
      <c r="B7452" s="330" t="s">
        <v>51810</v>
      </c>
      <c r="C7452" s="330" t="s">
        <v>17979</v>
      </c>
      <c r="D7452" s="330" t="s">
        <v>17980</v>
      </c>
      <c r="E7452" s="330" t="s">
        <v>4634</v>
      </c>
      <c r="F7452" s="331">
        <v>0.21</v>
      </c>
      <c r="G7452" s="332">
        <v>91905</v>
      </c>
      <c r="H7452" s="333">
        <v>111206</v>
      </c>
    </row>
    <row r="7453" spans="1:8">
      <c r="A7453" s="317" t="s">
        <v>40719</v>
      </c>
      <c r="B7453" s="330" t="s">
        <v>51811</v>
      </c>
      <c r="C7453" s="330" t="s">
        <v>17981</v>
      </c>
      <c r="D7453" s="330" t="s">
        <v>17982</v>
      </c>
      <c r="E7453" s="330" t="s">
        <v>4634</v>
      </c>
      <c r="F7453" s="331">
        <v>0.21</v>
      </c>
      <c r="G7453" s="332">
        <v>274</v>
      </c>
      <c r="H7453" s="333">
        <v>332</v>
      </c>
    </row>
    <row r="7454" spans="1:8">
      <c r="A7454" s="317" t="s">
        <v>40720</v>
      </c>
      <c r="B7454" s="330" t="s">
        <v>51812</v>
      </c>
      <c r="C7454" s="330" t="s">
        <v>17983</v>
      </c>
      <c r="D7454" s="330" t="s">
        <v>17984</v>
      </c>
      <c r="E7454" s="330" t="s">
        <v>4634</v>
      </c>
      <c r="F7454" s="331">
        <v>0.21</v>
      </c>
      <c r="G7454" s="332">
        <v>348</v>
      </c>
      <c r="H7454" s="333">
        <v>422</v>
      </c>
    </row>
    <row r="7455" spans="1:8">
      <c r="A7455" s="317" t="s">
        <v>40721</v>
      </c>
      <c r="B7455" s="330" t="s">
        <v>51813</v>
      </c>
      <c r="C7455" s="330" t="s">
        <v>17985</v>
      </c>
      <c r="D7455" s="330" t="s">
        <v>17986</v>
      </c>
      <c r="E7455" s="330" t="s">
        <v>37248</v>
      </c>
      <c r="F7455" s="331">
        <v>0.21</v>
      </c>
      <c r="G7455" s="332">
        <v>709</v>
      </c>
      <c r="H7455" s="333">
        <v>858</v>
      </c>
    </row>
    <row r="7456" spans="1:8">
      <c r="A7456" s="317" t="s">
        <v>40722</v>
      </c>
      <c r="B7456" s="330" t="s">
        <v>51814</v>
      </c>
      <c r="C7456" s="330" t="s">
        <v>17987</v>
      </c>
      <c r="D7456" s="330" t="s">
        <v>17988</v>
      </c>
      <c r="E7456" s="330" t="s">
        <v>4634</v>
      </c>
      <c r="F7456" s="331">
        <v>0.21</v>
      </c>
      <c r="G7456" s="332">
        <v>4004</v>
      </c>
      <c r="H7456" s="333">
        <v>4845</v>
      </c>
    </row>
    <row r="7457" spans="1:8">
      <c r="A7457" s="317" t="s">
        <v>40723</v>
      </c>
      <c r="B7457" s="330" t="s">
        <v>51815</v>
      </c>
      <c r="C7457" s="330" t="s">
        <v>17989</v>
      </c>
      <c r="D7457" s="330" t="s">
        <v>17990</v>
      </c>
      <c r="E7457" s="330" t="s">
        <v>4623</v>
      </c>
      <c r="F7457" s="331">
        <v>0.21</v>
      </c>
      <c r="G7457" s="332">
        <v>85233</v>
      </c>
      <c r="H7457" s="333">
        <v>103132</v>
      </c>
    </row>
    <row r="7458" spans="1:8">
      <c r="A7458" s="317" t="s">
        <v>40724</v>
      </c>
      <c r="B7458" s="330" t="s">
        <v>51816</v>
      </c>
      <c r="C7458" s="330" t="s">
        <v>17991</v>
      </c>
      <c r="D7458" s="330" t="s">
        <v>17992</v>
      </c>
      <c r="E7458" s="330" t="s">
        <v>4634</v>
      </c>
      <c r="F7458" s="331">
        <v>0.21</v>
      </c>
      <c r="G7458" s="332">
        <v>1030</v>
      </c>
      <c r="H7458" s="333">
        <v>1247</v>
      </c>
    </row>
    <row r="7459" spans="1:8">
      <c r="A7459" s="317" t="s">
        <v>40725</v>
      </c>
      <c r="B7459" s="330" t="s">
        <v>51817</v>
      </c>
      <c r="C7459" s="330" t="s">
        <v>17993</v>
      </c>
      <c r="D7459" s="330" t="s">
        <v>17994</v>
      </c>
      <c r="E7459" s="330" t="s">
        <v>4634</v>
      </c>
      <c r="F7459" s="331">
        <v>0.21</v>
      </c>
      <c r="G7459" s="332">
        <v>1371</v>
      </c>
      <c r="H7459" s="333">
        <v>1659</v>
      </c>
    </row>
    <row r="7460" spans="1:8">
      <c r="A7460" s="317" t="s">
        <v>40726</v>
      </c>
      <c r="B7460" s="330" t="s">
        <v>51818</v>
      </c>
      <c r="C7460" s="330" t="s">
        <v>17995</v>
      </c>
      <c r="D7460" s="330" t="s">
        <v>17996</v>
      </c>
      <c r="E7460" s="330" t="s">
        <v>4634</v>
      </c>
      <c r="F7460" s="331">
        <v>0.21</v>
      </c>
      <c r="G7460" s="332">
        <v>2063</v>
      </c>
      <c r="H7460" s="333">
        <v>2497</v>
      </c>
    </row>
    <row r="7461" spans="1:8">
      <c r="A7461" s="317" t="s">
        <v>40727</v>
      </c>
      <c r="B7461" s="330" t="s">
        <v>51819</v>
      </c>
      <c r="C7461" s="330" t="s">
        <v>17997</v>
      </c>
      <c r="D7461" s="330" t="s">
        <v>6518</v>
      </c>
      <c r="E7461" s="330" t="s">
        <v>4634</v>
      </c>
      <c r="F7461" s="331">
        <v>0.21</v>
      </c>
      <c r="G7461" s="332">
        <v>9906</v>
      </c>
      <c r="H7461" s="333">
        <v>11987</v>
      </c>
    </row>
    <row r="7462" spans="1:8">
      <c r="A7462" s="317" t="s">
        <v>40728</v>
      </c>
      <c r="B7462" s="330" t="s">
        <v>51820</v>
      </c>
      <c r="C7462" s="330" t="s">
        <v>17998</v>
      </c>
      <c r="D7462" s="330" t="s">
        <v>17999</v>
      </c>
      <c r="E7462" s="330" t="s">
        <v>4623</v>
      </c>
      <c r="F7462" s="331">
        <v>0.21</v>
      </c>
      <c r="G7462" s="332">
        <v>2215</v>
      </c>
      <c r="H7462" s="333">
        <v>2681</v>
      </c>
    </row>
    <row r="7463" spans="1:8">
      <c r="A7463" s="317" t="s">
        <v>40729</v>
      </c>
      <c r="B7463" s="330" t="s">
        <v>51821</v>
      </c>
      <c r="C7463" s="330" t="s">
        <v>18000</v>
      </c>
      <c r="D7463" s="330" t="s">
        <v>18001</v>
      </c>
      <c r="E7463" s="330" t="s">
        <v>4634</v>
      </c>
      <c r="F7463" s="331">
        <v>0.21</v>
      </c>
      <c r="G7463" s="332">
        <v>17580</v>
      </c>
      <c r="H7463" s="333">
        <v>21272</v>
      </c>
    </row>
    <row r="7464" spans="1:8">
      <c r="A7464" s="317" t="s">
        <v>40730</v>
      </c>
      <c r="B7464" s="330" t="s">
        <v>51822</v>
      </c>
      <c r="C7464" s="330" t="s">
        <v>18002</v>
      </c>
      <c r="D7464" s="330" t="s">
        <v>18003</v>
      </c>
      <c r="E7464" s="330" t="s">
        <v>4623</v>
      </c>
      <c r="F7464" s="331">
        <v>0.21</v>
      </c>
      <c r="G7464" s="332">
        <v>5313</v>
      </c>
      <c r="H7464" s="333">
        <v>6429</v>
      </c>
    </row>
    <row r="7465" spans="1:8">
      <c r="A7465" s="317" t="s">
        <v>40731</v>
      </c>
      <c r="B7465" s="330" t="s">
        <v>51823</v>
      </c>
      <c r="C7465" s="330" t="s">
        <v>18004</v>
      </c>
      <c r="D7465" s="330" t="s">
        <v>18005</v>
      </c>
      <c r="E7465" s="330" t="s">
        <v>4819</v>
      </c>
      <c r="F7465" s="331">
        <v>0.21</v>
      </c>
      <c r="G7465" s="332">
        <v>24382</v>
      </c>
      <c r="H7465" s="333">
        <v>29503</v>
      </c>
    </row>
    <row r="7466" spans="1:8">
      <c r="A7466" s="317" t="s">
        <v>40732</v>
      </c>
      <c r="B7466" s="330" t="s">
        <v>51824</v>
      </c>
      <c r="C7466" s="330" t="s">
        <v>18006</v>
      </c>
      <c r="D7466" s="330" t="s">
        <v>18007</v>
      </c>
      <c r="E7466" s="330" t="s">
        <v>4819</v>
      </c>
      <c r="F7466" s="331">
        <v>0.21</v>
      </c>
      <c r="G7466" s="332">
        <v>1487</v>
      </c>
      <c r="H7466" s="333">
        <v>1800</v>
      </c>
    </row>
    <row r="7467" spans="1:8">
      <c r="A7467" s="317" t="s">
        <v>40733</v>
      </c>
      <c r="B7467" s="330" t="s">
        <v>51825</v>
      </c>
      <c r="C7467" s="330" t="s">
        <v>18008</v>
      </c>
      <c r="D7467" s="330" t="s">
        <v>17996</v>
      </c>
      <c r="E7467" s="330" t="s">
        <v>4634</v>
      </c>
      <c r="F7467" s="331">
        <v>0.21</v>
      </c>
      <c r="G7467" s="332">
        <v>1581</v>
      </c>
      <c r="H7467" s="333">
        <v>1914</v>
      </c>
    </row>
    <row r="7468" spans="1:8">
      <c r="A7468" s="317" t="s">
        <v>40734</v>
      </c>
      <c r="B7468" s="330" t="s">
        <v>51826</v>
      </c>
      <c r="C7468" s="330" t="s">
        <v>18009</v>
      </c>
      <c r="D7468" s="330" t="s">
        <v>18010</v>
      </c>
      <c r="E7468" s="330" t="s">
        <v>4623</v>
      </c>
      <c r="F7468" s="331">
        <v>0.21</v>
      </c>
      <c r="G7468" s="332">
        <v>9135</v>
      </c>
      <c r="H7468" s="333">
        <v>11054</v>
      </c>
    </row>
    <row r="7469" spans="1:8">
      <c r="A7469" s="317" t="s">
        <v>40735</v>
      </c>
      <c r="B7469" s="330" t="s">
        <v>51827</v>
      </c>
      <c r="C7469" s="330" t="s">
        <v>18011</v>
      </c>
      <c r="D7469" s="330" t="s">
        <v>18012</v>
      </c>
      <c r="E7469" s="330" t="s">
        <v>4634</v>
      </c>
      <c r="F7469" s="331">
        <v>0.21</v>
      </c>
      <c r="G7469" s="332">
        <v>1782</v>
      </c>
      <c r="H7469" s="333">
        <v>2157</v>
      </c>
    </row>
    <row r="7470" spans="1:8">
      <c r="A7470" s="317" t="s">
        <v>40736</v>
      </c>
      <c r="B7470" s="330" t="s">
        <v>51828</v>
      </c>
      <c r="C7470" s="330" t="s">
        <v>18013</v>
      </c>
      <c r="D7470" s="330" t="s">
        <v>18014</v>
      </c>
      <c r="E7470" s="330" t="s">
        <v>37248</v>
      </c>
      <c r="F7470" s="331">
        <v>0.21</v>
      </c>
      <c r="G7470" s="332">
        <v>671</v>
      </c>
      <c r="H7470" s="333">
        <v>812</v>
      </c>
    </row>
    <row r="7471" spans="1:8">
      <c r="A7471" s="317" t="s">
        <v>40737</v>
      </c>
      <c r="B7471" s="330" t="s">
        <v>51829</v>
      </c>
      <c r="C7471" s="330" t="s">
        <v>18015</v>
      </c>
      <c r="D7471" s="330" t="s">
        <v>18016</v>
      </c>
      <c r="E7471" s="330" t="s">
        <v>4819</v>
      </c>
      <c r="F7471" s="331">
        <v>0.21</v>
      </c>
      <c r="G7471" s="332">
        <v>6072</v>
      </c>
      <c r="H7471" s="333">
        <v>7348</v>
      </c>
    </row>
    <row r="7472" spans="1:8">
      <c r="A7472" s="317" t="s">
        <v>40738</v>
      </c>
      <c r="B7472" s="330" t="s">
        <v>51830</v>
      </c>
      <c r="C7472" s="330" t="s">
        <v>18017</v>
      </c>
      <c r="D7472" s="330" t="s">
        <v>18018</v>
      </c>
      <c r="E7472" s="330" t="s">
        <v>4819</v>
      </c>
      <c r="F7472" s="331">
        <v>0.21</v>
      </c>
      <c r="G7472" s="332">
        <v>671</v>
      </c>
      <c r="H7472" s="333">
        <v>812</v>
      </c>
    </row>
    <row r="7473" spans="1:8">
      <c r="A7473" s="317" t="s">
        <v>40739</v>
      </c>
      <c r="B7473" s="330" t="s">
        <v>51831</v>
      </c>
      <c r="C7473" s="330" t="s">
        <v>18019</v>
      </c>
      <c r="D7473" s="330" t="s">
        <v>18020</v>
      </c>
      <c r="E7473" s="330" t="s">
        <v>4623</v>
      </c>
      <c r="F7473" s="331">
        <v>0.21</v>
      </c>
      <c r="G7473" s="332">
        <v>600</v>
      </c>
      <c r="H7473" s="333">
        <v>726</v>
      </c>
    </row>
    <row r="7474" spans="1:8">
      <c r="A7474" s="317" t="s">
        <v>40740</v>
      </c>
      <c r="B7474" s="330" t="s">
        <v>51832</v>
      </c>
      <c r="C7474" s="330" t="s">
        <v>18021</v>
      </c>
      <c r="D7474" s="330" t="s">
        <v>18022</v>
      </c>
      <c r="E7474" s="330" t="s">
        <v>4634</v>
      </c>
      <c r="F7474" s="331">
        <v>0.21</v>
      </c>
      <c r="G7474" s="332">
        <v>180</v>
      </c>
      <c r="H7474" s="333">
        <v>218</v>
      </c>
    </row>
    <row r="7475" spans="1:8">
      <c r="A7475" s="317" t="s">
        <v>40741</v>
      </c>
      <c r="B7475" s="330" t="s">
        <v>51833</v>
      </c>
      <c r="C7475" s="330" t="s">
        <v>18023</v>
      </c>
      <c r="D7475" s="330" t="s">
        <v>18024</v>
      </c>
      <c r="E7475" s="330" t="s">
        <v>4623</v>
      </c>
      <c r="F7475" s="331">
        <v>0.21</v>
      </c>
      <c r="G7475" s="332">
        <v>13951</v>
      </c>
      <c r="H7475" s="333">
        <v>16881</v>
      </c>
    </row>
    <row r="7476" spans="1:8">
      <c r="A7476" s="317" t="s">
        <v>40742</v>
      </c>
      <c r="B7476" s="330" t="s">
        <v>51834</v>
      </c>
      <c r="C7476" s="330" t="s">
        <v>18025</v>
      </c>
      <c r="D7476" s="330" t="s">
        <v>18026</v>
      </c>
      <c r="E7476" s="330" t="s">
        <v>4819</v>
      </c>
      <c r="F7476" s="331">
        <v>0.21</v>
      </c>
      <c r="G7476" s="332">
        <v>8925</v>
      </c>
      <c r="H7476" s="333">
        <v>10800</v>
      </c>
    </row>
    <row r="7477" spans="1:8">
      <c r="A7477" s="317" t="s">
        <v>40743</v>
      </c>
      <c r="B7477" s="330" t="s">
        <v>51835</v>
      </c>
      <c r="C7477" s="330" t="s">
        <v>18027</v>
      </c>
      <c r="D7477" s="330" t="s">
        <v>18028</v>
      </c>
      <c r="E7477" s="330" t="s">
        <v>4623</v>
      </c>
      <c r="F7477" s="331">
        <v>0.21</v>
      </c>
      <c r="G7477" s="332">
        <v>4234</v>
      </c>
      <c r="H7477" s="333">
        <v>5124</v>
      </c>
    </row>
    <row r="7478" spans="1:8">
      <c r="A7478" s="317" t="s">
        <v>40744</v>
      </c>
      <c r="B7478" s="330" t="s">
        <v>51836</v>
      </c>
      <c r="C7478" s="330" t="s">
        <v>18029</v>
      </c>
      <c r="D7478" s="330" t="s">
        <v>18030</v>
      </c>
      <c r="E7478" s="330" t="s">
        <v>4634</v>
      </c>
      <c r="F7478" s="331">
        <v>0.21</v>
      </c>
      <c r="G7478" s="332">
        <v>153</v>
      </c>
      <c r="H7478" s="333">
        <v>186</v>
      </c>
    </row>
    <row r="7479" spans="1:8">
      <c r="A7479" s="317" t="s">
        <v>40745</v>
      </c>
      <c r="B7479" s="330" t="s">
        <v>51837</v>
      </c>
      <c r="C7479" s="330" t="s">
        <v>18031</v>
      </c>
      <c r="D7479" s="330" t="s">
        <v>18032</v>
      </c>
      <c r="E7479" s="330" t="s">
        <v>37248</v>
      </c>
      <c r="F7479" s="331">
        <v>0.21</v>
      </c>
      <c r="G7479" s="332">
        <v>2221</v>
      </c>
      <c r="H7479" s="333">
        <v>2688</v>
      </c>
    </row>
    <row r="7480" spans="1:8">
      <c r="A7480" s="317" t="s">
        <v>40746</v>
      </c>
      <c r="B7480" s="330" t="s">
        <v>51838</v>
      </c>
      <c r="C7480" s="330" t="s">
        <v>18033</v>
      </c>
      <c r="D7480" s="330" t="s">
        <v>18034</v>
      </c>
      <c r="E7480" s="330" t="s">
        <v>4634</v>
      </c>
      <c r="F7480" s="331">
        <v>0.21</v>
      </c>
      <c r="G7480" s="332">
        <v>142</v>
      </c>
      <c r="H7480" s="333">
        <v>172</v>
      </c>
    </row>
    <row r="7481" spans="1:8">
      <c r="A7481" s="317" t="s">
        <v>40747</v>
      </c>
      <c r="B7481" s="330" t="s">
        <v>51839</v>
      </c>
      <c r="C7481" s="330" t="s">
        <v>18035</v>
      </c>
      <c r="D7481" s="330" t="s">
        <v>18036</v>
      </c>
      <c r="E7481" s="330" t="s">
        <v>4634</v>
      </c>
      <c r="F7481" s="331">
        <v>0.21</v>
      </c>
      <c r="G7481" s="332">
        <v>142</v>
      </c>
      <c r="H7481" s="333">
        <v>172</v>
      </c>
    </row>
    <row r="7482" spans="1:8">
      <c r="A7482" s="317" t="s">
        <v>40748</v>
      </c>
      <c r="B7482" s="330" t="s">
        <v>51840</v>
      </c>
      <c r="C7482" s="330" t="s">
        <v>18037</v>
      </c>
      <c r="D7482" s="330" t="s">
        <v>18038</v>
      </c>
      <c r="E7482" s="330" t="s">
        <v>4819</v>
      </c>
      <c r="F7482" s="331">
        <v>0.21</v>
      </c>
      <c r="G7482" s="332">
        <v>1684</v>
      </c>
      <c r="H7482" s="333">
        <v>2038</v>
      </c>
    </row>
    <row r="7483" spans="1:8">
      <c r="A7483" s="317" t="s">
        <v>40749</v>
      </c>
      <c r="B7483" s="330" t="s">
        <v>51841</v>
      </c>
      <c r="C7483" s="330" t="s">
        <v>18039</v>
      </c>
      <c r="D7483" s="330" t="s">
        <v>18040</v>
      </c>
      <c r="E7483" s="330" t="s">
        <v>4634</v>
      </c>
      <c r="F7483" s="331">
        <v>0.21</v>
      </c>
      <c r="G7483" s="332">
        <v>1664</v>
      </c>
      <c r="H7483" s="333">
        <v>2014</v>
      </c>
    </row>
    <row r="7484" spans="1:8">
      <c r="A7484" s="317" t="s">
        <v>40750</v>
      </c>
      <c r="B7484" s="330" t="s">
        <v>51842</v>
      </c>
      <c r="C7484" s="330" t="s">
        <v>18041</v>
      </c>
      <c r="D7484" s="330" t="s">
        <v>18042</v>
      </c>
      <c r="E7484" s="330" t="s">
        <v>4634</v>
      </c>
      <c r="F7484" s="331">
        <v>0.21</v>
      </c>
      <c r="G7484" s="332">
        <v>17669</v>
      </c>
      <c r="H7484" s="333">
        <v>21380</v>
      </c>
    </row>
    <row r="7485" spans="1:8">
      <c r="A7485" s="317" t="s">
        <v>40751</v>
      </c>
      <c r="B7485" s="330" t="s">
        <v>51843</v>
      </c>
      <c r="C7485" s="330" t="s">
        <v>18043</v>
      </c>
      <c r="D7485" s="330" t="s">
        <v>18044</v>
      </c>
      <c r="E7485" s="330" t="s">
        <v>4634</v>
      </c>
      <c r="F7485" s="331">
        <v>0.21</v>
      </c>
      <c r="G7485" s="332">
        <v>1233</v>
      </c>
      <c r="H7485" s="333">
        <v>1492</v>
      </c>
    </row>
    <row r="7486" spans="1:8">
      <c r="A7486" s="317" t="s">
        <v>40752</v>
      </c>
      <c r="B7486" s="330" t="s">
        <v>51844</v>
      </c>
      <c r="C7486" s="330" t="s">
        <v>18045</v>
      </c>
      <c r="D7486" s="330" t="s">
        <v>18046</v>
      </c>
      <c r="E7486" s="330" t="s">
        <v>4819</v>
      </c>
      <c r="F7486" s="331">
        <v>0.21</v>
      </c>
      <c r="G7486" s="332">
        <v>2581</v>
      </c>
      <c r="H7486" s="333">
        <v>3124</v>
      </c>
    </row>
    <row r="7487" spans="1:8">
      <c r="A7487" s="317" t="s">
        <v>40753</v>
      </c>
      <c r="B7487" s="330" t="s">
        <v>51845</v>
      </c>
      <c r="C7487" s="330" t="s">
        <v>18047</v>
      </c>
      <c r="D7487" s="330" t="s">
        <v>18048</v>
      </c>
      <c r="E7487" s="330" t="s">
        <v>4634</v>
      </c>
      <c r="F7487" s="331">
        <v>0.21</v>
      </c>
      <c r="G7487" s="332">
        <v>11600</v>
      </c>
      <c r="H7487" s="333">
        <v>14036</v>
      </c>
    </row>
    <row r="7488" spans="1:8">
      <c r="A7488" s="317" t="s">
        <v>40754</v>
      </c>
      <c r="B7488" s="330" t="s">
        <v>51846</v>
      </c>
      <c r="C7488" s="330" t="s">
        <v>18049</v>
      </c>
      <c r="D7488" s="330" t="s">
        <v>18050</v>
      </c>
      <c r="E7488" s="330" t="s">
        <v>4819</v>
      </c>
      <c r="F7488" s="331">
        <v>0.21</v>
      </c>
      <c r="G7488" s="332">
        <v>2478</v>
      </c>
      <c r="H7488" s="333">
        <v>2999</v>
      </c>
    </row>
    <row r="7489" spans="1:8">
      <c r="A7489" s="317" t="s">
        <v>40755</v>
      </c>
      <c r="B7489" s="330" t="s">
        <v>51847</v>
      </c>
      <c r="C7489" s="330" t="s">
        <v>18051</v>
      </c>
      <c r="D7489" s="330" t="s">
        <v>18052</v>
      </c>
      <c r="E7489" s="330" t="s">
        <v>4634</v>
      </c>
      <c r="F7489" s="331">
        <v>0.21</v>
      </c>
      <c r="G7489" s="332">
        <v>274</v>
      </c>
      <c r="H7489" s="333">
        <v>332</v>
      </c>
    </row>
    <row r="7490" spans="1:8">
      <c r="A7490" s="317" t="s">
        <v>40756</v>
      </c>
      <c r="B7490" s="330" t="s">
        <v>51848</v>
      </c>
      <c r="C7490" s="330" t="s">
        <v>18053</v>
      </c>
      <c r="D7490" s="330" t="s">
        <v>18054</v>
      </c>
      <c r="E7490" s="330" t="s">
        <v>4819</v>
      </c>
      <c r="F7490" s="331">
        <v>0.21</v>
      </c>
      <c r="G7490" s="332">
        <v>2328</v>
      </c>
      <c r="H7490" s="333">
        <v>2817</v>
      </c>
    </row>
    <row r="7491" spans="1:8">
      <c r="A7491" s="317" t="s">
        <v>40757</v>
      </c>
      <c r="B7491" s="330" t="s">
        <v>51849</v>
      </c>
      <c r="C7491" s="330" t="s">
        <v>18055</v>
      </c>
      <c r="D7491" s="330" t="s">
        <v>18056</v>
      </c>
      <c r="E7491" s="330" t="s">
        <v>4634</v>
      </c>
      <c r="F7491" s="331">
        <v>0.21</v>
      </c>
      <c r="G7491" s="332">
        <v>142</v>
      </c>
      <c r="H7491" s="333">
        <v>172</v>
      </c>
    </row>
    <row r="7492" spans="1:8">
      <c r="A7492" s="317" t="s">
        <v>40758</v>
      </c>
      <c r="B7492" s="330" t="s">
        <v>51850</v>
      </c>
      <c r="C7492" s="330" t="s">
        <v>18057</v>
      </c>
      <c r="D7492" s="330" t="s">
        <v>18058</v>
      </c>
      <c r="E7492" s="330" t="s">
        <v>4623</v>
      </c>
      <c r="F7492" s="331">
        <v>0.21</v>
      </c>
      <c r="G7492" s="332">
        <v>4994</v>
      </c>
      <c r="H7492" s="333">
        <v>6043</v>
      </c>
    </row>
    <row r="7493" spans="1:8">
      <c r="A7493" s="317" t="s">
        <v>40759</v>
      </c>
      <c r="B7493" s="330" t="s">
        <v>51851</v>
      </c>
      <c r="C7493" s="330" t="s">
        <v>18059</v>
      </c>
      <c r="D7493" s="330" t="s">
        <v>18060</v>
      </c>
      <c r="E7493" s="330" t="s">
        <v>37248</v>
      </c>
      <c r="F7493" s="331">
        <v>0.21</v>
      </c>
      <c r="G7493" s="332">
        <v>1780</v>
      </c>
      <c r="H7493" s="333">
        <v>2154</v>
      </c>
    </row>
    <row r="7494" spans="1:8">
      <c r="A7494" s="317" t="s">
        <v>40760</v>
      </c>
      <c r="B7494" s="330" t="s">
        <v>51852</v>
      </c>
      <c r="C7494" s="330" t="s">
        <v>18061</v>
      </c>
      <c r="D7494" s="330" t="s">
        <v>18062</v>
      </c>
      <c r="E7494" s="330" t="s">
        <v>4623</v>
      </c>
      <c r="F7494" s="331">
        <v>0.21</v>
      </c>
      <c r="G7494" s="332">
        <v>4795</v>
      </c>
      <c r="H7494" s="333">
        <v>5802</v>
      </c>
    </row>
    <row r="7495" spans="1:8">
      <c r="A7495" s="317" t="s">
        <v>40761</v>
      </c>
      <c r="B7495" s="330" t="s">
        <v>51853</v>
      </c>
      <c r="C7495" s="330" t="s">
        <v>18063</v>
      </c>
      <c r="D7495" s="330" t="s">
        <v>18064</v>
      </c>
      <c r="E7495" s="330" t="s">
        <v>4623</v>
      </c>
      <c r="F7495" s="331">
        <v>0.21</v>
      </c>
      <c r="G7495" s="332">
        <v>11216</v>
      </c>
      <c r="H7495" s="333">
        <v>13572</v>
      </c>
    </row>
    <row r="7496" spans="1:8">
      <c r="A7496" s="317" t="s">
        <v>40762</v>
      </c>
      <c r="B7496" s="330" t="s">
        <v>51854</v>
      </c>
      <c r="C7496" s="330" t="s">
        <v>18065</v>
      </c>
      <c r="D7496" s="330" t="s">
        <v>18066</v>
      </c>
      <c r="E7496" s="330" t="s">
        <v>4634</v>
      </c>
      <c r="F7496" s="331">
        <v>0.21</v>
      </c>
      <c r="G7496" s="332">
        <v>280</v>
      </c>
      <c r="H7496" s="333">
        <v>339</v>
      </c>
    </row>
    <row r="7497" spans="1:8">
      <c r="A7497" s="317" t="s">
        <v>40763</v>
      </c>
      <c r="B7497" s="330" t="s">
        <v>51855</v>
      </c>
      <c r="C7497" s="330" t="s">
        <v>18067</v>
      </c>
      <c r="D7497" s="330" t="s">
        <v>18068</v>
      </c>
      <c r="E7497" s="330" t="s">
        <v>4819</v>
      </c>
      <c r="F7497" s="331">
        <v>0.21</v>
      </c>
      <c r="G7497" s="332">
        <v>863</v>
      </c>
      <c r="H7497" s="333">
        <v>1045</v>
      </c>
    </row>
    <row r="7498" spans="1:8">
      <c r="A7498" s="317" t="s">
        <v>40764</v>
      </c>
      <c r="B7498" s="330" t="s">
        <v>51856</v>
      </c>
      <c r="C7498" s="330" t="s">
        <v>18069</v>
      </c>
      <c r="D7498" s="330" t="s">
        <v>18070</v>
      </c>
      <c r="E7498" s="330" t="s">
        <v>4634</v>
      </c>
      <c r="F7498" s="331">
        <v>0.21</v>
      </c>
      <c r="G7498" s="332">
        <v>2330</v>
      </c>
      <c r="H7498" s="333">
        <v>2820</v>
      </c>
    </row>
    <row r="7499" spans="1:8">
      <c r="A7499" s="317" t="s">
        <v>40765</v>
      </c>
      <c r="B7499" s="330" t="s">
        <v>51857</v>
      </c>
      <c r="C7499" s="330" t="s">
        <v>18071</v>
      </c>
      <c r="D7499" s="330" t="s">
        <v>18072</v>
      </c>
      <c r="E7499" s="330" t="s">
        <v>4634</v>
      </c>
      <c r="F7499" s="331">
        <v>0.21</v>
      </c>
      <c r="G7499" s="332">
        <v>1664</v>
      </c>
      <c r="H7499" s="333">
        <v>2014</v>
      </c>
    </row>
    <row r="7500" spans="1:8">
      <c r="A7500" s="317" t="s">
        <v>40766</v>
      </c>
      <c r="B7500" s="330" t="s">
        <v>51858</v>
      </c>
      <c r="C7500" s="330" t="s">
        <v>18073</v>
      </c>
      <c r="D7500" s="330" t="s">
        <v>18074</v>
      </c>
      <c r="E7500" s="330" t="s">
        <v>37248</v>
      </c>
      <c r="F7500" s="331">
        <v>0.21</v>
      </c>
      <c r="G7500" s="332">
        <v>410</v>
      </c>
      <c r="H7500" s="333">
        <v>497</v>
      </c>
    </row>
    <row r="7501" spans="1:8">
      <c r="A7501" s="317" t="s">
        <v>40767</v>
      </c>
      <c r="B7501" s="330" t="s">
        <v>51859</v>
      </c>
      <c r="C7501" s="330" t="s">
        <v>18075</v>
      </c>
      <c r="D7501" s="330" t="s">
        <v>18076</v>
      </c>
      <c r="E7501" s="330" t="s">
        <v>37248</v>
      </c>
      <c r="F7501" s="331">
        <v>0.21</v>
      </c>
      <c r="G7501" s="332">
        <v>410</v>
      </c>
      <c r="H7501" s="333">
        <v>497</v>
      </c>
    </row>
    <row r="7502" spans="1:8">
      <c r="A7502" s="317" t="s">
        <v>40768</v>
      </c>
      <c r="B7502" s="330" t="s">
        <v>51860</v>
      </c>
      <c r="C7502" s="330" t="s">
        <v>18077</v>
      </c>
      <c r="D7502" s="330" t="s">
        <v>18078</v>
      </c>
      <c r="E7502" s="330" t="s">
        <v>4819</v>
      </c>
      <c r="F7502" s="331">
        <v>0.21</v>
      </c>
      <c r="G7502" s="332">
        <v>5732</v>
      </c>
      <c r="H7502" s="333">
        <v>6936</v>
      </c>
    </row>
    <row r="7503" spans="1:8">
      <c r="A7503" s="317" t="s">
        <v>40769</v>
      </c>
      <c r="B7503" s="330" t="s">
        <v>51861</v>
      </c>
      <c r="C7503" s="330" t="s">
        <v>18079</v>
      </c>
      <c r="D7503" s="330" t="s">
        <v>18080</v>
      </c>
      <c r="E7503" s="330" t="s">
        <v>4819</v>
      </c>
      <c r="F7503" s="331">
        <v>0.21</v>
      </c>
      <c r="G7503" s="332">
        <v>3698</v>
      </c>
      <c r="H7503" s="333">
        <v>4475</v>
      </c>
    </row>
    <row r="7504" spans="1:8">
      <c r="A7504" s="317" t="s">
        <v>40770</v>
      </c>
      <c r="B7504" s="330" t="s">
        <v>51862</v>
      </c>
      <c r="C7504" s="330" t="s">
        <v>18081</v>
      </c>
      <c r="D7504" s="330" t="s">
        <v>18082</v>
      </c>
      <c r="E7504" s="330" t="s">
        <v>4634</v>
      </c>
      <c r="F7504" s="331">
        <v>0.21</v>
      </c>
      <c r="G7504" s="332">
        <v>274</v>
      </c>
      <c r="H7504" s="333">
        <v>332</v>
      </c>
    </row>
    <row r="7505" spans="1:8">
      <c r="A7505" s="317" t="s">
        <v>40771</v>
      </c>
      <c r="B7505" s="330" t="s">
        <v>51863</v>
      </c>
      <c r="C7505" s="330" t="s">
        <v>18083</v>
      </c>
      <c r="D7505" s="330" t="s">
        <v>12869</v>
      </c>
      <c r="E7505" s="330" t="s">
        <v>4634</v>
      </c>
      <c r="F7505" s="331">
        <v>0.21</v>
      </c>
      <c r="G7505" s="332">
        <v>153</v>
      </c>
      <c r="H7505" s="333">
        <v>186</v>
      </c>
    </row>
    <row r="7506" spans="1:8">
      <c r="A7506" s="317" t="s">
        <v>40772</v>
      </c>
      <c r="B7506" s="330" t="s">
        <v>51864</v>
      </c>
      <c r="C7506" s="330" t="s">
        <v>18084</v>
      </c>
      <c r="D7506" s="330" t="s">
        <v>18085</v>
      </c>
      <c r="E7506" s="330" t="s">
        <v>4819</v>
      </c>
      <c r="F7506" s="331">
        <v>0.21</v>
      </c>
      <c r="G7506" s="332">
        <v>1396</v>
      </c>
      <c r="H7506" s="333">
        <v>1690</v>
      </c>
    </row>
    <row r="7507" spans="1:8">
      <c r="A7507" s="317" t="s">
        <v>40773</v>
      </c>
      <c r="B7507" s="330" t="s">
        <v>51865</v>
      </c>
      <c r="C7507" s="330" t="s">
        <v>18086</v>
      </c>
      <c r="D7507" s="330" t="s">
        <v>18087</v>
      </c>
      <c r="E7507" s="330" t="s">
        <v>4634</v>
      </c>
      <c r="F7507" s="331">
        <v>0.21</v>
      </c>
      <c r="G7507" s="332">
        <v>153</v>
      </c>
      <c r="H7507" s="333">
        <v>186</v>
      </c>
    </row>
    <row r="7508" spans="1:8">
      <c r="A7508" s="317" t="s">
        <v>40774</v>
      </c>
      <c r="B7508" s="330" t="s">
        <v>51866</v>
      </c>
      <c r="C7508" s="330" t="s">
        <v>18088</v>
      </c>
      <c r="D7508" s="330" t="s">
        <v>18089</v>
      </c>
      <c r="E7508" s="330" t="s">
        <v>4634</v>
      </c>
      <c r="F7508" s="331">
        <v>0.21</v>
      </c>
      <c r="G7508" s="332">
        <v>280</v>
      </c>
      <c r="H7508" s="333">
        <v>339</v>
      </c>
    </row>
    <row r="7509" spans="1:8">
      <c r="A7509" s="317" t="s">
        <v>40775</v>
      </c>
      <c r="B7509" s="330" t="s">
        <v>51867</v>
      </c>
      <c r="C7509" s="330" t="s">
        <v>18090</v>
      </c>
      <c r="D7509" s="330" t="s">
        <v>18091</v>
      </c>
      <c r="E7509" s="330" t="s">
        <v>4634</v>
      </c>
      <c r="F7509" s="331">
        <v>0.21</v>
      </c>
      <c r="G7509" s="332">
        <v>274</v>
      </c>
      <c r="H7509" s="333">
        <v>332</v>
      </c>
    </row>
    <row r="7510" spans="1:8">
      <c r="A7510" s="317" t="s">
        <v>40776</v>
      </c>
      <c r="B7510" s="330" t="s">
        <v>51868</v>
      </c>
      <c r="C7510" s="330" t="s">
        <v>18092</v>
      </c>
      <c r="D7510" s="330" t="s">
        <v>18093</v>
      </c>
      <c r="E7510" s="330" t="s">
        <v>4634</v>
      </c>
      <c r="F7510" s="331">
        <v>0.21</v>
      </c>
      <c r="G7510" s="332">
        <v>274</v>
      </c>
      <c r="H7510" s="333">
        <v>332</v>
      </c>
    </row>
    <row r="7511" spans="1:8">
      <c r="A7511" s="317" t="s">
        <v>40777</v>
      </c>
      <c r="B7511" s="330" t="s">
        <v>51869</v>
      </c>
      <c r="C7511" s="330" t="s">
        <v>18094</v>
      </c>
      <c r="D7511" s="330" t="s">
        <v>18095</v>
      </c>
      <c r="E7511" s="330" t="s">
        <v>4634</v>
      </c>
      <c r="F7511" s="331">
        <v>0.21</v>
      </c>
      <c r="G7511" s="332">
        <v>274</v>
      </c>
      <c r="H7511" s="333">
        <v>332</v>
      </c>
    </row>
    <row r="7512" spans="1:8">
      <c r="A7512" s="317" t="s">
        <v>40778</v>
      </c>
      <c r="B7512" s="330" t="s">
        <v>51870</v>
      </c>
      <c r="C7512" s="330" t="s">
        <v>18096</v>
      </c>
      <c r="D7512" s="330" t="s">
        <v>18097</v>
      </c>
      <c r="E7512" s="330" t="s">
        <v>4819</v>
      </c>
      <c r="F7512" s="331">
        <v>0.21</v>
      </c>
      <c r="G7512" s="332">
        <v>1505</v>
      </c>
      <c r="H7512" s="333">
        <v>1822</v>
      </c>
    </row>
    <row r="7513" spans="1:8">
      <c r="A7513" s="317" t="s">
        <v>40779</v>
      </c>
      <c r="B7513" s="330" t="s">
        <v>51871</v>
      </c>
      <c r="C7513" s="330" t="s">
        <v>18098</v>
      </c>
      <c r="D7513" s="330" t="s">
        <v>18099</v>
      </c>
      <c r="E7513" s="330" t="s">
        <v>4819</v>
      </c>
      <c r="F7513" s="331">
        <v>0.21</v>
      </c>
      <c r="G7513" s="332">
        <v>1505</v>
      </c>
      <c r="H7513" s="333">
        <v>1822</v>
      </c>
    </row>
    <row r="7514" spans="1:8">
      <c r="A7514" s="317" t="s">
        <v>40780</v>
      </c>
      <c r="B7514" s="330" t="s">
        <v>51872</v>
      </c>
      <c r="C7514" s="330" t="s">
        <v>18100</v>
      </c>
      <c r="D7514" s="330" t="s">
        <v>18101</v>
      </c>
      <c r="E7514" s="330" t="s">
        <v>4634</v>
      </c>
      <c r="F7514" s="331">
        <v>0.21</v>
      </c>
      <c r="G7514" s="332">
        <v>274</v>
      </c>
      <c r="H7514" s="333">
        <v>332</v>
      </c>
    </row>
    <row r="7515" spans="1:8">
      <c r="A7515" s="317" t="s">
        <v>40781</v>
      </c>
      <c r="B7515" s="330" t="s">
        <v>51873</v>
      </c>
      <c r="C7515" s="330" t="s">
        <v>18102</v>
      </c>
      <c r="D7515" s="330" t="s">
        <v>18103</v>
      </c>
      <c r="E7515" s="330" t="s">
        <v>4634</v>
      </c>
      <c r="F7515" s="331">
        <v>0.21</v>
      </c>
      <c r="G7515" s="332">
        <v>274</v>
      </c>
      <c r="H7515" s="333">
        <v>332</v>
      </c>
    </row>
    <row r="7516" spans="1:8">
      <c r="A7516" s="317" t="s">
        <v>40782</v>
      </c>
      <c r="B7516" s="330" t="s">
        <v>51874</v>
      </c>
      <c r="C7516" s="330" t="s">
        <v>18104</v>
      </c>
      <c r="D7516" s="330" t="s">
        <v>18082</v>
      </c>
      <c r="E7516" s="330" t="s">
        <v>4634</v>
      </c>
      <c r="F7516" s="331">
        <v>0.21</v>
      </c>
      <c r="G7516" s="332">
        <v>274</v>
      </c>
      <c r="H7516" s="333">
        <v>332</v>
      </c>
    </row>
    <row r="7517" spans="1:8">
      <c r="A7517" s="317" t="s">
        <v>40783</v>
      </c>
      <c r="B7517" s="330" t="s">
        <v>51875</v>
      </c>
      <c r="C7517" s="330" t="s">
        <v>18105</v>
      </c>
      <c r="D7517" s="330" t="s">
        <v>18106</v>
      </c>
      <c r="E7517" s="330" t="s">
        <v>4634</v>
      </c>
      <c r="F7517" s="331">
        <v>0.21</v>
      </c>
      <c r="G7517" s="332">
        <v>274</v>
      </c>
      <c r="H7517" s="333">
        <v>332</v>
      </c>
    </row>
    <row r="7518" spans="1:8">
      <c r="A7518" s="317" t="s">
        <v>40784</v>
      </c>
      <c r="B7518" s="330" t="s">
        <v>51876</v>
      </c>
      <c r="C7518" s="330" t="s">
        <v>18107</v>
      </c>
      <c r="D7518" s="330" t="s">
        <v>18108</v>
      </c>
      <c r="E7518" s="330" t="s">
        <v>4634</v>
      </c>
      <c r="F7518" s="331">
        <v>0.21</v>
      </c>
      <c r="G7518" s="332">
        <v>274</v>
      </c>
      <c r="H7518" s="333">
        <v>332</v>
      </c>
    </row>
    <row r="7519" spans="1:8">
      <c r="A7519" s="317" t="s">
        <v>40785</v>
      </c>
      <c r="B7519" s="330" t="s">
        <v>51877</v>
      </c>
      <c r="C7519" s="330" t="s">
        <v>18109</v>
      </c>
      <c r="D7519" s="330" t="s">
        <v>18110</v>
      </c>
      <c r="E7519" s="330" t="s">
        <v>4634</v>
      </c>
      <c r="F7519" s="331">
        <v>0.21</v>
      </c>
      <c r="G7519" s="332">
        <v>274</v>
      </c>
      <c r="H7519" s="333">
        <v>332</v>
      </c>
    </row>
    <row r="7520" spans="1:8">
      <c r="A7520" s="317" t="s">
        <v>40786</v>
      </c>
      <c r="B7520" s="330" t="s">
        <v>51878</v>
      </c>
      <c r="C7520" s="330" t="s">
        <v>18111</v>
      </c>
      <c r="D7520" s="330" t="s">
        <v>18112</v>
      </c>
      <c r="E7520" s="330" t="s">
        <v>4634</v>
      </c>
      <c r="F7520" s="331">
        <v>0.21</v>
      </c>
      <c r="G7520" s="332">
        <v>274</v>
      </c>
      <c r="H7520" s="333">
        <v>332</v>
      </c>
    </row>
    <row r="7521" spans="1:8">
      <c r="A7521" s="317" t="s">
        <v>40787</v>
      </c>
      <c r="B7521" s="330" t="s">
        <v>51879</v>
      </c>
      <c r="C7521" s="330" t="s">
        <v>18113</v>
      </c>
      <c r="D7521" s="330" t="s">
        <v>18114</v>
      </c>
      <c r="E7521" s="330" t="s">
        <v>37248</v>
      </c>
      <c r="F7521" s="331">
        <v>0.21</v>
      </c>
      <c r="G7521" s="332">
        <v>23759</v>
      </c>
      <c r="H7521" s="333">
        <v>28749</v>
      </c>
    </row>
    <row r="7522" spans="1:8">
      <c r="A7522" s="317" t="s">
        <v>40788</v>
      </c>
      <c r="B7522" s="330" t="s">
        <v>51880</v>
      </c>
      <c r="C7522" s="330" t="s">
        <v>18115</v>
      </c>
      <c r="D7522" s="330" t="s">
        <v>18116</v>
      </c>
      <c r="E7522" s="330" t="s">
        <v>4634</v>
      </c>
      <c r="F7522" s="331">
        <v>0.21</v>
      </c>
      <c r="G7522" s="332">
        <v>24839</v>
      </c>
      <c r="H7522" s="333">
        <v>30056</v>
      </c>
    </row>
    <row r="7523" spans="1:8">
      <c r="A7523" s="317" t="s">
        <v>40789</v>
      </c>
      <c r="B7523" s="330" t="s">
        <v>51881</v>
      </c>
      <c r="C7523" s="330" t="s">
        <v>18117</v>
      </c>
      <c r="D7523" s="330" t="s">
        <v>18118</v>
      </c>
      <c r="E7523" s="330" t="s">
        <v>4819</v>
      </c>
      <c r="F7523" s="331">
        <v>0.21</v>
      </c>
      <c r="G7523" s="332">
        <v>6147</v>
      </c>
      <c r="H7523" s="333">
        <v>7438</v>
      </c>
    </row>
    <row r="7524" spans="1:8">
      <c r="A7524" s="317" t="s">
        <v>40790</v>
      </c>
      <c r="B7524" s="330" t="s">
        <v>51882</v>
      </c>
      <c r="C7524" s="330" t="s">
        <v>18119</v>
      </c>
      <c r="D7524" s="330" t="s">
        <v>18120</v>
      </c>
      <c r="E7524" s="330" t="s">
        <v>4634</v>
      </c>
      <c r="F7524" s="331">
        <v>0.21</v>
      </c>
      <c r="G7524" s="332">
        <v>4294</v>
      </c>
      <c r="H7524" s="333">
        <v>5196</v>
      </c>
    </row>
    <row r="7525" spans="1:8">
      <c r="A7525" s="317" t="s">
        <v>40791</v>
      </c>
      <c r="B7525" s="330" t="s">
        <v>51883</v>
      </c>
      <c r="C7525" s="330" t="s">
        <v>18121</v>
      </c>
      <c r="D7525" s="330" t="s">
        <v>18122</v>
      </c>
      <c r="E7525" s="330" t="s">
        <v>4634</v>
      </c>
      <c r="F7525" s="331">
        <v>0.21</v>
      </c>
      <c r="G7525" s="332">
        <v>142</v>
      </c>
      <c r="H7525" s="333">
        <v>172</v>
      </c>
    </row>
    <row r="7526" spans="1:8">
      <c r="A7526" s="317" t="s">
        <v>40792</v>
      </c>
      <c r="B7526" s="330" t="s">
        <v>51884</v>
      </c>
      <c r="C7526" s="330" t="s">
        <v>18123</v>
      </c>
      <c r="D7526" s="330" t="s">
        <v>18124</v>
      </c>
      <c r="E7526" s="330" t="s">
        <v>37248</v>
      </c>
      <c r="F7526" s="331">
        <v>0.21</v>
      </c>
      <c r="G7526" s="332">
        <v>112466</v>
      </c>
      <c r="H7526" s="333">
        <v>136084</v>
      </c>
    </row>
    <row r="7527" spans="1:8">
      <c r="A7527" s="317" t="s">
        <v>40793</v>
      </c>
      <c r="B7527" s="330" t="s">
        <v>51885</v>
      </c>
      <c r="C7527" s="330" t="s">
        <v>18125</v>
      </c>
      <c r="D7527" s="330" t="s">
        <v>18126</v>
      </c>
      <c r="E7527" s="330" t="s">
        <v>37248</v>
      </c>
      <c r="F7527" s="331">
        <v>0.21</v>
      </c>
      <c r="G7527" s="332">
        <v>5436</v>
      </c>
      <c r="H7527" s="333">
        <v>6578</v>
      </c>
    </row>
    <row r="7528" spans="1:8">
      <c r="A7528" s="317" t="s">
        <v>40794</v>
      </c>
      <c r="B7528" s="330" t="s">
        <v>51886</v>
      </c>
      <c r="C7528" s="330" t="s">
        <v>18127</v>
      </c>
      <c r="D7528" s="330" t="s">
        <v>13365</v>
      </c>
      <c r="E7528" s="330" t="s">
        <v>37248</v>
      </c>
      <c r="F7528" s="331">
        <v>0.21</v>
      </c>
      <c r="G7528" s="332">
        <v>356</v>
      </c>
      <c r="H7528" s="333">
        <v>431</v>
      </c>
    </row>
    <row r="7529" spans="1:8">
      <c r="A7529" s="317" t="s">
        <v>40795</v>
      </c>
      <c r="B7529" s="330" t="s">
        <v>51887</v>
      </c>
      <c r="C7529" s="330" t="s">
        <v>18128</v>
      </c>
      <c r="D7529" s="330" t="s">
        <v>18129</v>
      </c>
      <c r="E7529" s="330" t="s">
        <v>4634</v>
      </c>
      <c r="F7529" s="331">
        <v>0.21</v>
      </c>
      <c r="G7529" s="332">
        <v>274</v>
      </c>
      <c r="H7529" s="333">
        <v>332</v>
      </c>
    </row>
    <row r="7530" spans="1:8">
      <c r="A7530" s="317" t="s">
        <v>40796</v>
      </c>
      <c r="B7530" s="330" t="s">
        <v>51888</v>
      </c>
      <c r="C7530" s="330" t="s">
        <v>18130</v>
      </c>
      <c r="D7530" s="330" t="s">
        <v>18131</v>
      </c>
      <c r="E7530" s="330" t="s">
        <v>4819</v>
      </c>
      <c r="F7530" s="331">
        <v>0.21</v>
      </c>
      <c r="G7530" s="332">
        <v>968</v>
      </c>
      <c r="H7530" s="333">
        <v>1172</v>
      </c>
    </row>
    <row r="7531" spans="1:8">
      <c r="A7531" s="317" t="s">
        <v>40797</v>
      </c>
      <c r="B7531" s="330" t="s">
        <v>51889</v>
      </c>
      <c r="C7531" s="330" t="s">
        <v>18132</v>
      </c>
      <c r="D7531" s="330" t="s">
        <v>18133</v>
      </c>
      <c r="E7531" s="330" t="s">
        <v>37248</v>
      </c>
      <c r="F7531" s="331">
        <v>0.21</v>
      </c>
      <c r="G7531" s="332">
        <v>10131</v>
      </c>
      <c r="H7531" s="333">
        <v>12259</v>
      </c>
    </row>
    <row r="7532" spans="1:8">
      <c r="A7532" s="317" t="s">
        <v>40798</v>
      </c>
      <c r="B7532" s="330" t="s">
        <v>51890</v>
      </c>
      <c r="C7532" s="330" t="s">
        <v>18134</v>
      </c>
      <c r="D7532" s="330" t="s">
        <v>18135</v>
      </c>
      <c r="E7532" s="330" t="s">
        <v>4634</v>
      </c>
      <c r="F7532" s="331">
        <v>0.21</v>
      </c>
      <c r="G7532" s="332">
        <v>20456</v>
      </c>
      <c r="H7532" s="333">
        <v>24752</v>
      </c>
    </row>
    <row r="7533" spans="1:8">
      <c r="A7533" s="317" t="s">
        <v>40799</v>
      </c>
      <c r="B7533" s="330" t="s">
        <v>51891</v>
      </c>
      <c r="C7533" s="330" t="s">
        <v>18136</v>
      </c>
      <c r="D7533" s="330" t="s">
        <v>18040</v>
      </c>
      <c r="E7533" s="330" t="s">
        <v>37248</v>
      </c>
      <c r="F7533" s="331">
        <v>0.21</v>
      </c>
      <c r="G7533" s="332">
        <v>51943</v>
      </c>
      <c r="H7533" s="333">
        <v>62852</v>
      </c>
    </row>
    <row r="7534" spans="1:8">
      <c r="A7534" s="317" t="s">
        <v>40800</v>
      </c>
      <c r="B7534" s="330" t="s">
        <v>51892</v>
      </c>
      <c r="C7534" s="330" t="s">
        <v>18137</v>
      </c>
      <c r="D7534" s="330" t="s">
        <v>13293</v>
      </c>
      <c r="E7534" s="330" t="s">
        <v>4634</v>
      </c>
      <c r="F7534" s="331">
        <v>0.21</v>
      </c>
      <c r="G7534" s="332">
        <v>372</v>
      </c>
      <c r="H7534" s="333">
        <v>451</v>
      </c>
    </row>
    <row r="7535" spans="1:8">
      <c r="A7535" s="317" t="s">
        <v>40801</v>
      </c>
      <c r="B7535" s="330" t="s">
        <v>51893</v>
      </c>
      <c r="C7535" s="330" t="s">
        <v>18138</v>
      </c>
      <c r="D7535" s="330" t="s">
        <v>18139</v>
      </c>
      <c r="E7535" s="330" t="s">
        <v>4819</v>
      </c>
      <c r="F7535" s="331">
        <v>0.21</v>
      </c>
      <c r="G7535" s="332">
        <v>10544</v>
      </c>
      <c r="H7535" s="333">
        <v>12759</v>
      </c>
    </row>
    <row r="7536" spans="1:8">
      <c r="A7536" s="317" t="s">
        <v>40802</v>
      </c>
      <c r="B7536" s="330" t="s">
        <v>51894</v>
      </c>
      <c r="C7536" s="330" t="s">
        <v>18140</v>
      </c>
      <c r="D7536" s="330" t="s">
        <v>18141</v>
      </c>
      <c r="E7536" s="330" t="s">
        <v>37248</v>
      </c>
      <c r="F7536" s="331">
        <v>0.21</v>
      </c>
      <c r="G7536" s="332">
        <v>1505</v>
      </c>
      <c r="H7536" s="333">
        <v>1822</v>
      </c>
    </row>
    <row r="7537" spans="1:8">
      <c r="A7537" s="317" t="s">
        <v>40803</v>
      </c>
      <c r="B7537" s="330" t="s">
        <v>51895</v>
      </c>
      <c r="C7537" s="330" t="s">
        <v>18142</v>
      </c>
      <c r="D7537" s="330" t="s">
        <v>18143</v>
      </c>
      <c r="E7537" s="330" t="s">
        <v>4634</v>
      </c>
      <c r="F7537" s="331">
        <v>0.21</v>
      </c>
      <c r="G7537" s="332">
        <v>40798</v>
      </c>
      <c r="H7537" s="333">
        <v>49366</v>
      </c>
    </row>
    <row r="7538" spans="1:8">
      <c r="A7538" s="317" t="s">
        <v>40804</v>
      </c>
      <c r="B7538" s="330" t="s">
        <v>51896</v>
      </c>
      <c r="C7538" s="330" t="s">
        <v>18144</v>
      </c>
      <c r="D7538" s="330" t="s">
        <v>18145</v>
      </c>
      <c r="E7538" s="330" t="s">
        <v>37248</v>
      </c>
      <c r="F7538" s="331">
        <v>0.21</v>
      </c>
      <c r="G7538" s="332">
        <v>52427</v>
      </c>
      <c r="H7538" s="333">
        <v>63437</v>
      </c>
    </row>
    <row r="7539" spans="1:8">
      <c r="A7539" s="317" t="s">
        <v>40805</v>
      </c>
      <c r="B7539" s="330" t="s">
        <v>51897</v>
      </c>
      <c r="C7539" s="330" t="s">
        <v>18146</v>
      </c>
      <c r="D7539" s="330" t="s">
        <v>18147</v>
      </c>
      <c r="E7539" s="330" t="s">
        <v>4634</v>
      </c>
      <c r="F7539" s="331">
        <v>0.21</v>
      </c>
      <c r="G7539" s="332">
        <v>2212</v>
      </c>
      <c r="H7539" s="333">
        <v>2677</v>
      </c>
    </row>
    <row r="7540" spans="1:8">
      <c r="A7540" s="317" t="s">
        <v>40806</v>
      </c>
      <c r="B7540" s="330" t="s">
        <v>51898</v>
      </c>
      <c r="C7540" s="330" t="s">
        <v>18148</v>
      </c>
      <c r="D7540" s="330" t="s">
        <v>12473</v>
      </c>
      <c r="E7540" s="330" t="s">
        <v>37248</v>
      </c>
      <c r="F7540" s="331">
        <v>0.21</v>
      </c>
      <c r="G7540" s="332">
        <v>37829</v>
      </c>
      <c r="H7540" s="333">
        <v>45774</v>
      </c>
    </row>
    <row r="7541" spans="1:8">
      <c r="A7541" s="317" t="s">
        <v>40807</v>
      </c>
      <c r="B7541" s="330" t="s">
        <v>51899</v>
      </c>
      <c r="C7541" s="330" t="s">
        <v>18149</v>
      </c>
      <c r="D7541" s="330" t="s">
        <v>18150</v>
      </c>
      <c r="E7541" s="330" t="s">
        <v>37248</v>
      </c>
      <c r="F7541" s="331">
        <v>0.21</v>
      </c>
      <c r="G7541" s="332">
        <v>53417</v>
      </c>
      <c r="H7541" s="333">
        <v>64635</v>
      </c>
    </row>
    <row r="7542" spans="1:8">
      <c r="A7542" s="317" t="s">
        <v>40808</v>
      </c>
      <c r="B7542" s="330" t="s">
        <v>51900</v>
      </c>
      <c r="C7542" s="330" t="s">
        <v>18151</v>
      </c>
      <c r="D7542" s="330" t="s">
        <v>18152</v>
      </c>
      <c r="E7542" s="330" t="s">
        <v>37248</v>
      </c>
      <c r="F7542" s="331">
        <v>0.21</v>
      </c>
      <c r="G7542" s="332">
        <v>296081</v>
      </c>
      <c r="H7542" s="333">
        <v>358259</v>
      </c>
    </row>
    <row r="7543" spans="1:8">
      <c r="A7543" s="317" t="s">
        <v>40809</v>
      </c>
      <c r="B7543" s="330" t="s">
        <v>51901</v>
      </c>
      <c r="C7543" s="330" t="s">
        <v>18153</v>
      </c>
      <c r="D7543" s="330" t="s">
        <v>18154</v>
      </c>
      <c r="E7543" s="330" t="s">
        <v>4634</v>
      </c>
      <c r="F7543" s="331">
        <v>0.21</v>
      </c>
      <c r="G7543" s="332">
        <v>16694</v>
      </c>
      <c r="H7543" s="333">
        <v>20200</v>
      </c>
    </row>
    <row r="7544" spans="1:8">
      <c r="A7544" s="317" t="s">
        <v>40810</v>
      </c>
      <c r="B7544" s="330" t="s">
        <v>51902</v>
      </c>
      <c r="C7544" s="330" t="s">
        <v>18155</v>
      </c>
      <c r="D7544" s="330" t="s">
        <v>18156</v>
      </c>
      <c r="E7544" s="330" t="s">
        <v>4634</v>
      </c>
      <c r="F7544" s="331">
        <v>0.21</v>
      </c>
      <c r="G7544" s="332">
        <v>73</v>
      </c>
      <c r="H7544" s="333">
        <v>89</v>
      </c>
    </row>
    <row r="7545" spans="1:8">
      <c r="A7545" s="317" t="s">
        <v>40811</v>
      </c>
      <c r="B7545" s="330" t="s">
        <v>51903</v>
      </c>
      <c r="C7545" s="330" t="s">
        <v>18157</v>
      </c>
      <c r="D7545" s="330" t="s">
        <v>18158</v>
      </c>
      <c r="E7545" s="330" t="s">
        <v>37248</v>
      </c>
      <c r="F7545" s="331">
        <v>0.21</v>
      </c>
      <c r="G7545" s="332">
        <v>24417</v>
      </c>
      <c r="H7545" s="333">
        <v>29545</v>
      </c>
    </row>
    <row r="7546" spans="1:8">
      <c r="A7546" s="317" t="s">
        <v>40812</v>
      </c>
      <c r="B7546" s="330" t="s">
        <v>51904</v>
      </c>
      <c r="C7546" s="330" t="s">
        <v>18159</v>
      </c>
      <c r="D7546" s="330" t="s">
        <v>18160</v>
      </c>
      <c r="E7546" s="330" t="s">
        <v>4634</v>
      </c>
      <c r="F7546" s="331">
        <v>0.21</v>
      </c>
      <c r="G7546" s="332">
        <v>107</v>
      </c>
      <c r="H7546" s="333">
        <v>130</v>
      </c>
    </row>
    <row r="7547" spans="1:8">
      <c r="A7547" s="317" t="s">
        <v>40813</v>
      </c>
      <c r="B7547" s="330" t="s">
        <v>51905</v>
      </c>
      <c r="C7547" s="330" t="s">
        <v>18161</v>
      </c>
      <c r="D7547" s="330" t="s">
        <v>18162</v>
      </c>
      <c r="E7547" s="330" t="s">
        <v>4819</v>
      </c>
      <c r="F7547" s="331">
        <v>0.21</v>
      </c>
      <c r="G7547" s="332">
        <v>1536</v>
      </c>
      <c r="H7547" s="333">
        <v>1859</v>
      </c>
    </row>
    <row r="7548" spans="1:8">
      <c r="A7548" s="317" t="s">
        <v>40814</v>
      </c>
      <c r="B7548" s="330" t="s">
        <v>51906</v>
      </c>
      <c r="C7548" s="330" t="s">
        <v>18163</v>
      </c>
      <c r="D7548" s="330" t="s">
        <v>18164</v>
      </c>
      <c r="E7548" s="330" t="s">
        <v>37248</v>
      </c>
      <c r="F7548" s="331">
        <v>0.21</v>
      </c>
      <c r="G7548" s="332">
        <v>2190</v>
      </c>
      <c r="H7548" s="333">
        <v>2650</v>
      </c>
    </row>
    <row r="7549" spans="1:8">
      <c r="A7549" s="317" t="s">
        <v>40815</v>
      </c>
      <c r="B7549" s="330" t="s">
        <v>51907</v>
      </c>
      <c r="C7549" s="330" t="s">
        <v>18165</v>
      </c>
      <c r="D7549" s="330" t="s">
        <v>18166</v>
      </c>
      <c r="E7549" s="330" t="s">
        <v>37248</v>
      </c>
      <c r="F7549" s="331">
        <v>0.21</v>
      </c>
      <c r="G7549" s="332">
        <v>12253</v>
      </c>
      <c r="H7549" s="333">
        <v>14827</v>
      </c>
    </row>
    <row r="7550" spans="1:8">
      <c r="A7550" s="317" t="s">
        <v>40816</v>
      </c>
      <c r="B7550" s="330" t="s">
        <v>51908</v>
      </c>
      <c r="C7550" s="330" t="s">
        <v>18167</v>
      </c>
      <c r="D7550" s="330" t="s">
        <v>18168</v>
      </c>
      <c r="E7550" s="330" t="s">
        <v>37248</v>
      </c>
      <c r="F7550" s="331">
        <v>0.21</v>
      </c>
      <c r="G7550" s="332">
        <v>3363</v>
      </c>
      <c r="H7550" s="333">
        <v>4070</v>
      </c>
    </row>
    <row r="7551" spans="1:8">
      <c r="A7551" s="317" t="s">
        <v>40817</v>
      </c>
      <c r="B7551" s="330" t="s">
        <v>51909</v>
      </c>
      <c r="C7551" s="330" t="s">
        <v>18169</v>
      </c>
      <c r="D7551" s="330" t="s">
        <v>18170</v>
      </c>
      <c r="E7551" s="330" t="s">
        <v>4819</v>
      </c>
      <c r="F7551" s="331">
        <v>0.21</v>
      </c>
      <c r="G7551" s="332">
        <v>2552</v>
      </c>
      <c r="H7551" s="333">
        <v>3088</v>
      </c>
    </row>
    <row r="7552" spans="1:8">
      <c r="A7552" s="317" t="s">
        <v>40818</v>
      </c>
      <c r="B7552" s="330" t="s">
        <v>51910</v>
      </c>
      <c r="C7552" s="330" t="s">
        <v>18171</v>
      </c>
      <c r="D7552" s="330" t="s">
        <v>18172</v>
      </c>
      <c r="E7552" s="330" t="s">
        <v>4634</v>
      </c>
      <c r="F7552" s="331">
        <v>0.21</v>
      </c>
      <c r="G7552" s="332">
        <v>91</v>
      </c>
      <c r="H7552" s="333">
        <v>111</v>
      </c>
    </row>
    <row r="7553" spans="1:8">
      <c r="A7553" s="317" t="s">
        <v>40819</v>
      </c>
      <c r="B7553" s="330" t="s">
        <v>51911</v>
      </c>
      <c r="C7553" s="330" t="s">
        <v>18173</v>
      </c>
      <c r="D7553" s="330" t="s">
        <v>18174</v>
      </c>
      <c r="E7553" s="330" t="s">
        <v>37248</v>
      </c>
      <c r="F7553" s="331">
        <v>0.21</v>
      </c>
      <c r="G7553" s="332">
        <v>2514</v>
      </c>
      <c r="H7553" s="333">
        <v>3042</v>
      </c>
    </row>
    <row r="7554" spans="1:8">
      <c r="A7554" s="317" t="s">
        <v>40820</v>
      </c>
      <c r="B7554" s="330" t="s">
        <v>51912</v>
      </c>
      <c r="C7554" s="330" t="s">
        <v>18175</v>
      </c>
      <c r="D7554" s="330" t="s">
        <v>18176</v>
      </c>
      <c r="E7554" s="330" t="s">
        <v>4819</v>
      </c>
      <c r="F7554" s="331">
        <v>0.21</v>
      </c>
      <c r="G7554" s="332">
        <v>1530</v>
      </c>
      <c r="H7554" s="333">
        <v>1852</v>
      </c>
    </row>
    <row r="7555" spans="1:8">
      <c r="A7555" s="317" t="s">
        <v>40821</v>
      </c>
      <c r="B7555" s="330" t="s">
        <v>51913</v>
      </c>
      <c r="C7555" s="330" t="s">
        <v>18177</v>
      </c>
      <c r="D7555" s="330" t="s">
        <v>18172</v>
      </c>
      <c r="E7555" s="330" t="s">
        <v>4634</v>
      </c>
      <c r="F7555" s="331">
        <v>0.21</v>
      </c>
      <c r="G7555" s="332">
        <v>234</v>
      </c>
      <c r="H7555" s="333">
        <v>284</v>
      </c>
    </row>
    <row r="7556" spans="1:8">
      <c r="A7556" s="317" t="s">
        <v>40822</v>
      </c>
      <c r="B7556" s="330" t="s">
        <v>51914</v>
      </c>
      <c r="C7556" s="330" t="s">
        <v>18178</v>
      </c>
      <c r="D7556" s="330" t="s">
        <v>18179</v>
      </c>
      <c r="E7556" s="330" t="s">
        <v>4634</v>
      </c>
      <c r="F7556" s="331">
        <v>0.21</v>
      </c>
      <c r="G7556" s="332">
        <v>280</v>
      </c>
      <c r="H7556" s="333">
        <v>339</v>
      </c>
    </row>
    <row r="7557" spans="1:8">
      <c r="A7557" s="317" t="s">
        <v>40823</v>
      </c>
      <c r="B7557" s="330" t="s">
        <v>51915</v>
      </c>
      <c r="C7557" s="330" t="s">
        <v>18180</v>
      </c>
      <c r="D7557" s="330" t="s">
        <v>18181</v>
      </c>
      <c r="E7557" s="330" t="s">
        <v>4634</v>
      </c>
      <c r="F7557" s="331">
        <v>0.21</v>
      </c>
      <c r="G7557" s="332">
        <v>236</v>
      </c>
      <c r="H7557" s="333">
        <v>286</v>
      </c>
    </row>
    <row r="7558" spans="1:8">
      <c r="A7558" s="317" t="s">
        <v>40824</v>
      </c>
      <c r="B7558" s="330" t="s">
        <v>51916</v>
      </c>
      <c r="C7558" s="330" t="s">
        <v>18182</v>
      </c>
      <c r="D7558" s="330" t="s">
        <v>18183</v>
      </c>
      <c r="E7558" s="330" t="s">
        <v>4819</v>
      </c>
      <c r="F7558" s="331">
        <v>0.21</v>
      </c>
      <c r="G7558" s="332">
        <v>14732</v>
      </c>
      <c r="H7558" s="333">
        <v>17826</v>
      </c>
    </row>
    <row r="7559" spans="1:8">
      <c r="A7559" s="317" t="s">
        <v>40825</v>
      </c>
      <c r="B7559" s="330" t="s">
        <v>51917</v>
      </c>
      <c r="C7559" s="330" t="s">
        <v>18184</v>
      </c>
      <c r="D7559" s="330" t="s">
        <v>18185</v>
      </c>
      <c r="E7559" s="330" t="s">
        <v>37248</v>
      </c>
      <c r="F7559" s="331">
        <v>0.21</v>
      </c>
      <c r="G7559" s="332">
        <v>4900</v>
      </c>
      <c r="H7559" s="333">
        <v>5929</v>
      </c>
    </row>
    <row r="7560" spans="1:8">
      <c r="A7560" s="317" t="s">
        <v>40826</v>
      </c>
      <c r="B7560" s="330" t="s">
        <v>51918</v>
      </c>
      <c r="C7560" s="330" t="s">
        <v>18186</v>
      </c>
      <c r="D7560" s="330" t="s">
        <v>18187</v>
      </c>
      <c r="E7560" s="330" t="s">
        <v>37248</v>
      </c>
      <c r="F7560" s="331">
        <v>0.21</v>
      </c>
      <c r="G7560" s="332">
        <v>10618</v>
      </c>
      <c r="H7560" s="333">
        <v>12848</v>
      </c>
    </row>
    <row r="7561" spans="1:8">
      <c r="A7561" s="317" t="s">
        <v>40827</v>
      </c>
      <c r="B7561" s="330" t="s">
        <v>51919</v>
      </c>
      <c r="C7561" s="330" t="s">
        <v>18188</v>
      </c>
      <c r="D7561" s="330" t="s">
        <v>18189</v>
      </c>
      <c r="E7561" s="330" t="s">
        <v>4634</v>
      </c>
      <c r="F7561" s="331">
        <v>0.21</v>
      </c>
      <c r="G7561" s="332">
        <v>23380</v>
      </c>
      <c r="H7561" s="333">
        <v>28290</v>
      </c>
    </row>
    <row r="7562" spans="1:8">
      <c r="A7562" s="317" t="s">
        <v>40828</v>
      </c>
      <c r="B7562" s="330" t="s">
        <v>51920</v>
      </c>
      <c r="C7562" s="330" t="s">
        <v>18190</v>
      </c>
      <c r="D7562" s="330" t="s">
        <v>10123</v>
      </c>
      <c r="E7562" s="330" t="s">
        <v>37248</v>
      </c>
      <c r="F7562" s="331">
        <v>0.21</v>
      </c>
      <c r="G7562" s="332">
        <v>1063</v>
      </c>
      <c r="H7562" s="333">
        <v>1287</v>
      </c>
    </row>
    <row r="7563" spans="1:8">
      <c r="A7563" s="317" t="s">
        <v>40829</v>
      </c>
      <c r="B7563" s="330" t="s">
        <v>51921</v>
      </c>
      <c r="C7563" s="330" t="s">
        <v>18191</v>
      </c>
      <c r="D7563" s="330" t="s">
        <v>18192</v>
      </c>
      <c r="E7563" s="330" t="s">
        <v>37248</v>
      </c>
      <c r="F7563" s="331">
        <v>0.21</v>
      </c>
      <c r="G7563" s="332">
        <v>20081</v>
      </c>
      <c r="H7563" s="333">
        <v>24299</v>
      </c>
    </row>
    <row r="7564" spans="1:8">
      <c r="A7564" s="317" t="s">
        <v>40830</v>
      </c>
      <c r="B7564" s="330" t="s">
        <v>51922</v>
      </c>
      <c r="C7564" s="330" t="s">
        <v>18193</v>
      </c>
      <c r="D7564" s="330" t="s">
        <v>18194</v>
      </c>
      <c r="E7564" s="330" t="s">
        <v>4819</v>
      </c>
      <c r="F7564" s="331">
        <v>0.21</v>
      </c>
      <c r="G7564" s="332">
        <v>28484</v>
      </c>
      <c r="H7564" s="333">
        <v>34466</v>
      </c>
    </row>
    <row r="7565" spans="1:8">
      <c r="A7565" s="317" t="s">
        <v>40831</v>
      </c>
      <c r="B7565" s="330" t="s">
        <v>51923</v>
      </c>
      <c r="C7565" s="330" t="s">
        <v>18195</v>
      </c>
      <c r="D7565" s="330" t="s">
        <v>18196</v>
      </c>
      <c r="E7565" s="330" t="s">
        <v>37248</v>
      </c>
      <c r="F7565" s="331">
        <v>0.21</v>
      </c>
      <c r="G7565" s="332">
        <v>38527</v>
      </c>
      <c r="H7565" s="333">
        <v>46618</v>
      </c>
    </row>
    <row r="7566" spans="1:8">
      <c r="A7566" s="317" t="s">
        <v>40832</v>
      </c>
      <c r="B7566" s="330" t="s">
        <v>51924</v>
      </c>
      <c r="C7566" s="330" t="s">
        <v>18197</v>
      </c>
      <c r="D7566" s="330" t="s">
        <v>18198</v>
      </c>
      <c r="E7566" s="330" t="s">
        <v>37248</v>
      </c>
      <c r="F7566" s="331">
        <v>0.21</v>
      </c>
      <c r="G7566" s="332">
        <v>19989</v>
      </c>
      <c r="H7566" s="333">
        <v>24187</v>
      </c>
    </row>
    <row r="7567" spans="1:8">
      <c r="A7567" s="317" t="s">
        <v>40833</v>
      </c>
      <c r="B7567" s="330" t="s">
        <v>51925</v>
      </c>
      <c r="C7567" s="330" t="s">
        <v>18199</v>
      </c>
      <c r="D7567" s="330" t="s">
        <v>18200</v>
      </c>
      <c r="E7567" s="330" t="s">
        <v>37248</v>
      </c>
      <c r="F7567" s="331">
        <v>0.21</v>
      </c>
      <c r="G7567" s="332">
        <v>2770</v>
      </c>
      <c r="H7567" s="333">
        <v>3352</v>
      </c>
    </row>
    <row r="7568" spans="1:8">
      <c r="A7568" s="317" t="s">
        <v>40834</v>
      </c>
      <c r="B7568" s="330" t="s">
        <v>51926</v>
      </c>
      <c r="C7568" s="330" t="s">
        <v>18201</v>
      </c>
      <c r="D7568" s="330" t="s">
        <v>18202</v>
      </c>
      <c r="E7568" s="330" t="s">
        <v>37248</v>
      </c>
      <c r="F7568" s="331">
        <v>0.21</v>
      </c>
      <c r="G7568" s="332">
        <v>107</v>
      </c>
      <c r="H7568" s="333">
        <v>130</v>
      </c>
    </row>
    <row r="7569" spans="1:8">
      <c r="A7569" s="317" t="s">
        <v>40835</v>
      </c>
      <c r="B7569" s="330" t="s">
        <v>51927</v>
      </c>
      <c r="C7569" s="330" t="s">
        <v>18203</v>
      </c>
      <c r="D7569" s="330" t="s">
        <v>18204</v>
      </c>
      <c r="E7569" s="330" t="s">
        <v>4634</v>
      </c>
      <c r="F7569" s="331">
        <v>0.21</v>
      </c>
      <c r="G7569" s="332">
        <v>5781</v>
      </c>
      <c r="H7569" s="333">
        <v>6996</v>
      </c>
    </row>
    <row r="7570" spans="1:8">
      <c r="A7570" s="317" t="s">
        <v>40836</v>
      </c>
      <c r="B7570" s="330" t="s">
        <v>51928</v>
      </c>
      <c r="C7570" s="330" t="s">
        <v>18205</v>
      </c>
      <c r="D7570" s="330" t="s">
        <v>18206</v>
      </c>
      <c r="E7570" s="330" t="s">
        <v>37248</v>
      </c>
      <c r="F7570" s="331">
        <v>0.21</v>
      </c>
      <c r="G7570" s="332">
        <v>49491</v>
      </c>
      <c r="H7570" s="333">
        <v>59885</v>
      </c>
    </row>
    <row r="7571" spans="1:8">
      <c r="A7571" s="317" t="s">
        <v>40837</v>
      </c>
      <c r="B7571" s="330" t="s">
        <v>51929</v>
      </c>
      <c r="C7571" s="330" t="s">
        <v>18207</v>
      </c>
      <c r="D7571" s="330" t="s">
        <v>18208</v>
      </c>
      <c r="E7571" s="330" t="s">
        <v>37248</v>
      </c>
      <c r="F7571" s="331">
        <v>0.21</v>
      </c>
      <c r="G7571" s="332">
        <v>23519</v>
      </c>
      <c r="H7571" s="333">
        <v>28458</v>
      </c>
    </row>
    <row r="7572" spans="1:8">
      <c r="A7572" s="317" t="s">
        <v>40838</v>
      </c>
      <c r="B7572" s="330" t="s">
        <v>51930</v>
      </c>
      <c r="C7572" s="330" t="s">
        <v>18209</v>
      </c>
      <c r="D7572" s="330" t="s">
        <v>6729</v>
      </c>
      <c r="E7572" s="330" t="s">
        <v>37248</v>
      </c>
      <c r="F7572" s="331">
        <v>0.21</v>
      </c>
      <c r="G7572" s="332">
        <v>2128</v>
      </c>
      <c r="H7572" s="333">
        <v>2575</v>
      </c>
    </row>
    <row r="7573" spans="1:8">
      <c r="A7573" s="317" t="s">
        <v>40839</v>
      </c>
      <c r="B7573" s="330" t="s">
        <v>51931</v>
      </c>
      <c r="C7573" s="330" t="s">
        <v>18210</v>
      </c>
      <c r="D7573" s="330" t="s">
        <v>18211</v>
      </c>
      <c r="E7573" s="330" t="s">
        <v>4634</v>
      </c>
      <c r="F7573" s="331">
        <v>0.21</v>
      </c>
      <c r="G7573" s="332">
        <v>39520</v>
      </c>
      <c r="H7573" s="333">
        <v>47820</v>
      </c>
    </row>
    <row r="7574" spans="1:8">
      <c r="A7574" s="317" t="s">
        <v>40840</v>
      </c>
      <c r="B7574" s="330" t="s">
        <v>51932</v>
      </c>
      <c r="C7574" s="330" t="s">
        <v>18212</v>
      </c>
      <c r="D7574" s="330" t="s">
        <v>18213</v>
      </c>
      <c r="E7574" s="330" t="s">
        <v>4634</v>
      </c>
      <c r="F7574" s="331">
        <v>0.21</v>
      </c>
      <c r="G7574" s="332">
        <v>1258</v>
      </c>
      <c r="H7574" s="333">
        <v>1523</v>
      </c>
    </row>
    <row r="7575" spans="1:8">
      <c r="A7575" s="317" t="s">
        <v>40841</v>
      </c>
      <c r="B7575" s="330" t="s">
        <v>51933</v>
      </c>
      <c r="C7575" s="330" t="s">
        <v>18214</v>
      </c>
      <c r="D7575" s="330" t="s">
        <v>18215</v>
      </c>
      <c r="E7575" s="330" t="s">
        <v>4634</v>
      </c>
      <c r="F7575" s="331">
        <v>0.21</v>
      </c>
      <c r="G7575" s="332">
        <v>6513</v>
      </c>
      <c r="H7575" s="333">
        <v>7881</v>
      </c>
    </row>
    <row r="7576" spans="1:8">
      <c r="A7576" s="317" t="s">
        <v>40842</v>
      </c>
      <c r="B7576" s="330" t="s">
        <v>51934</v>
      </c>
      <c r="C7576" s="330" t="s">
        <v>18216</v>
      </c>
      <c r="D7576" s="330" t="s">
        <v>18217</v>
      </c>
      <c r="E7576" s="330" t="s">
        <v>4634</v>
      </c>
      <c r="F7576" s="331">
        <v>0.21</v>
      </c>
      <c r="G7576" s="332">
        <v>2074</v>
      </c>
      <c r="H7576" s="333">
        <v>2510</v>
      </c>
    </row>
    <row r="7577" spans="1:8">
      <c r="A7577" s="317" t="s">
        <v>40843</v>
      </c>
      <c r="B7577" s="330" t="s">
        <v>51935</v>
      </c>
      <c r="C7577" s="330" t="s">
        <v>18218</v>
      </c>
      <c r="D7577" s="330" t="s">
        <v>18219</v>
      </c>
      <c r="E7577" s="330" t="s">
        <v>4634</v>
      </c>
      <c r="F7577" s="331">
        <v>0.21</v>
      </c>
      <c r="G7577" s="332">
        <v>1258</v>
      </c>
      <c r="H7577" s="333">
        <v>1523</v>
      </c>
    </row>
    <row r="7578" spans="1:8">
      <c r="A7578" s="317" t="s">
        <v>40844</v>
      </c>
      <c r="B7578" s="330" t="s">
        <v>51936</v>
      </c>
      <c r="C7578" s="330" t="s">
        <v>18220</v>
      </c>
      <c r="D7578" s="330" t="s">
        <v>18221</v>
      </c>
      <c r="E7578" s="330" t="s">
        <v>4634</v>
      </c>
      <c r="F7578" s="331">
        <v>0.21</v>
      </c>
      <c r="G7578" s="332">
        <v>2059</v>
      </c>
      <c r="H7578" s="333">
        <v>2492</v>
      </c>
    </row>
    <row r="7579" spans="1:8">
      <c r="A7579" s="317" t="s">
        <v>40845</v>
      </c>
      <c r="B7579" s="330" t="s">
        <v>51937</v>
      </c>
      <c r="C7579" s="330" t="s">
        <v>18222</v>
      </c>
      <c r="D7579" s="330" t="s">
        <v>18223</v>
      </c>
      <c r="E7579" s="330" t="s">
        <v>4819</v>
      </c>
      <c r="F7579" s="331">
        <v>0.21</v>
      </c>
      <c r="G7579" s="332">
        <v>1610</v>
      </c>
      <c r="H7579" s="333">
        <v>1949</v>
      </c>
    </row>
    <row r="7580" spans="1:8">
      <c r="A7580" s="317" t="s">
        <v>40846</v>
      </c>
      <c r="B7580" s="330" t="s">
        <v>51938</v>
      </c>
      <c r="C7580" s="330" t="s">
        <v>18224</v>
      </c>
      <c r="D7580" s="330" t="s">
        <v>18225</v>
      </c>
      <c r="E7580" s="330" t="s">
        <v>4623</v>
      </c>
      <c r="F7580" s="331">
        <v>0.21</v>
      </c>
      <c r="G7580" s="332">
        <v>1440</v>
      </c>
      <c r="H7580" s="333">
        <v>1743</v>
      </c>
    </row>
    <row r="7581" spans="1:8">
      <c r="A7581" s="317" t="s">
        <v>40847</v>
      </c>
      <c r="B7581" s="330" t="s">
        <v>51939</v>
      </c>
      <c r="C7581" s="330" t="s">
        <v>18226</v>
      </c>
      <c r="D7581" s="330" t="s">
        <v>18227</v>
      </c>
      <c r="E7581" s="330" t="s">
        <v>4634</v>
      </c>
      <c r="F7581" s="331">
        <v>0.21</v>
      </c>
      <c r="G7581" s="332">
        <v>18789</v>
      </c>
      <c r="H7581" s="333">
        <v>22735</v>
      </c>
    </row>
    <row r="7582" spans="1:8">
      <c r="A7582" s="317" t="s">
        <v>40848</v>
      </c>
      <c r="B7582" s="330" t="s">
        <v>51940</v>
      </c>
      <c r="C7582" s="330" t="s">
        <v>18228</v>
      </c>
      <c r="D7582" s="330" t="s">
        <v>18229</v>
      </c>
      <c r="E7582" s="330" t="s">
        <v>4634</v>
      </c>
      <c r="F7582" s="331">
        <v>0.21</v>
      </c>
      <c r="G7582" s="332">
        <v>455</v>
      </c>
      <c r="H7582" s="333">
        <v>551</v>
      </c>
    </row>
    <row r="7583" spans="1:8">
      <c r="A7583" s="317" t="s">
        <v>40849</v>
      </c>
      <c r="B7583" s="330" t="s">
        <v>51941</v>
      </c>
      <c r="C7583" s="330" t="s">
        <v>18230</v>
      </c>
      <c r="D7583" s="330" t="s">
        <v>18231</v>
      </c>
      <c r="E7583" s="330" t="s">
        <v>4634</v>
      </c>
      <c r="F7583" s="331">
        <v>0.21</v>
      </c>
      <c r="G7583" s="332">
        <v>280</v>
      </c>
      <c r="H7583" s="333">
        <v>339</v>
      </c>
    </row>
    <row r="7584" spans="1:8">
      <c r="A7584" s="317" t="s">
        <v>40850</v>
      </c>
      <c r="B7584" s="330" t="s">
        <v>51942</v>
      </c>
      <c r="C7584" s="330" t="s">
        <v>18232</v>
      </c>
      <c r="D7584" s="330" t="s">
        <v>18233</v>
      </c>
      <c r="E7584" s="330" t="s">
        <v>4634</v>
      </c>
      <c r="F7584" s="331">
        <v>0.21</v>
      </c>
      <c r="G7584" s="332">
        <v>236</v>
      </c>
      <c r="H7584" s="333">
        <v>286</v>
      </c>
    </row>
    <row r="7585" spans="1:8">
      <c r="A7585" s="317" t="s">
        <v>40851</v>
      </c>
      <c r="B7585" s="330" t="s">
        <v>51943</v>
      </c>
      <c r="C7585" s="330" t="s">
        <v>18234</v>
      </c>
      <c r="D7585" s="330" t="s">
        <v>18235</v>
      </c>
      <c r="E7585" s="330" t="s">
        <v>4634</v>
      </c>
      <c r="F7585" s="331">
        <v>0.21</v>
      </c>
      <c r="G7585" s="332">
        <v>4737</v>
      </c>
      <c r="H7585" s="333">
        <v>5732</v>
      </c>
    </row>
    <row r="7586" spans="1:8">
      <c r="A7586" s="317" t="s">
        <v>40852</v>
      </c>
      <c r="B7586" s="330" t="s">
        <v>51944</v>
      </c>
      <c r="C7586" s="330" t="s">
        <v>18236</v>
      </c>
      <c r="D7586" s="330" t="s">
        <v>18237</v>
      </c>
      <c r="E7586" s="330" t="s">
        <v>4634</v>
      </c>
      <c r="F7586" s="331">
        <v>0.21</v>
      </c>
      <c r="G7586" s="332">
        <v>236</v>
      </c>
      <c r="H7586" s="333">
        <v>286</v>
      </c>
    </row>
    <row r="7587" spans="1:8">
      <c r="A7587" s="317" t="s">
        <v>40853</v>
      </c>
      <c r="B7587" s="330" t="s">
        <v>51945</v>
      </c>
      <c r="C7587" s="330" t="s">
        <v>18238</v>
      </c>
      <c r="D7587" s="330" t="s">
        <v>18239</v>
      </c>
      <c r="E7587" s="330" t="s">
        <v>4634</v>
      </c>
      <c r="F7587" s="331">
        <v>0.21</v>
      </c>
      <c r="G7587" s="332">
        <v>4737</v>
      </c>
      <c r="H7587" s="333">
        <v>5732</v>
      </c>
    </row>
    <row r="7588" spans="1:8">
      <c r="A7588" s="317" t="s">
        <v>40854</v>
      </c>
      <c r="B7588" s="330" t="s">
        <v>51946</v>
      </c>
      <c r="C7588" s="330" t="s">
        <v>18240</v>
      </c>
      <c r="D7588" s="330" t="s">
        <v>18241</v>
      </c>
      <c r="E7588" s="330" t="s">
        <v>37248</v>
      </c>
      <c r="F7588" s="331">
        <v>0.21</v>
      </c>
      <c r="G7588" s="332">
        <v>22999</v>
      </c>
      <c r="H7588" s="333">
        <v>27829</v>
      </c>
    </row>
    <row r="7589" spans="1:8">
      <c r="A7589" s="317" t="s">
        <v>40855</v>
      </c>
      <c r="B7589" s="330" t="s">
        <v>51947</v>
      </c>
      <c r="C7589" s="330" t="s">
        <v>18242</v>
      </c>
      <c r="D7589" s="330" t="s">
        <v>18243</v>
      </c>
      <c r="E7589" s="330" t="s">
        <v>4819</v>
      </c>
      <c r="F7589" s="331">
        <v>0.21</v>
      </c>
      <c r="G7589" s="332">
        <v>18481</v>
      </c>
      <c r="H7589" s="333">
        <v>22363</v>
      </c>
    </row>
    <row r="7590" spans="1:8">
      <c r="A7590" s="317" t="s">
        <v>40856</v>
      </c>
      <c r="B7590" s="330" t="s">
        <v>51948</v>
      </c>
      <c r="C7590" s="330" t="s">
        <v>18244</v>
      </c>
      <c r="D7590" s="330" t="s">
        <v>18245</v>
      </c>
      <c r="E7590" s="330" t="s">
        <v>4634</v>
      </c>
      <c r="F7590" s="331">
        <v>0.21</v>
      </c>
      <c r="G7590" s="332">
        <v>348</v>
      </c>
      <c r="H7590" s="333">
        <v>422</v>
      </c>
    </row>
    <row r="7591" spans="1:8">
      <c r="A7591" s="317" t="s">
        <v>40857</v>
      </c>
      <c r="B7591" s="330" t="s">
        <v>51949</v>
      </c>
      <c r="C7591" s="330" t="s">
        <v>18246</v>
      </c>
      <c r="D7591" s="330" t="s">
        <v>18247</v>
      </c>
      <c r="E7591" s="330" t="s">
        <v>4819</v>
      </c>
      <c r="F7591" s="331">
        <v>0.21</v>
      </c>
      <c r="G7591" s="332">
        <v>4814</v>
      </c>
      <c r="H7591" s="333">
        <v>5825</v>
      </c>
    </row>
    <row r="7592" spans="1:8">
      <c r="A7592" s="317" t="s">
        <v>40858</v>
      </c>
      <c r="B7592" s="330" t="s">
        <v>51950</v>
      </c>
      <c r="C7592" s="330" t="s">
        <v>18248</v>
      </c>
      <c r="D7592" s="330" t="s">
        <v>18249</v>
      </c>
      <c r="E7592" s="330" t="s">
        <v>4634</v>
      </c>
      <c r="F7592" s="331">
        <v>0.21</v>
      </c>
      <c r="G7592" s="332">
        <v>14256</v>
      </c>
      <c r="H7592" s="333">
        <v>17250</v>
      </c>
    </row>
    <row r="7593" spans="1:8">
      <c r="A7593" s="317" t="s">
        <v>40859</v>
      </c>
      <c r="B7593" s="330" t="s">
        <v>51951</v>
      </c>
      <c r="C7593" s="330" t="s">
        <v>18250</v>
      </c>
      <c r="D7593" s="330" t="s">
        <v>18251</v>
      </c>
      <c r="E7593" s="330" t="s">
        <v>4634</v>
      </c>
      <c r="F7593" s="331">
        <v>0.21</v>
      </c>
      <c r="G7593" s="332">
        <v>3080</v>
      </c>
      <c r="H7593" s="333">
        <v>3727</v>
      </c>
    </row>
    <row r="7594" spans="1:8">
      <c r="A7594" s="317" t="s">
        <v>40860</v>
      </c>
      <c r="B7594" s="330" t="s">
        <v>51952</v>
      </c>
      <c r="C7594" s="330" t="s">
        <v>18252</v>
      </c>
      <c r="D7594" s="330" t="s">
        <v>18253</v>
      </c>
      <c r="E7594" s="330" t="s">
        <v>37248</v>
      </c>
      <c r="F7594" s="331">
        <v>0.21</v>
      </c>
      <c r="G7594" s="332">
        <v>32084</v>
      </c>
      <c r="H7594" s="333">
        <v>38822</v>
      </c>
    </row>
    <row r="7595" spans="1:8">
      <c r="A7595" s="317" t="s">
        <v>40861</v>
      </c>
      <c r="B7595" s="330" t="s">
        <v>51953</v>
      </c>
      <c r="C7595" s="330" t="s">
        <v>18254</v>
      </c>
      <c r="D7595" s="330" t="s">
        <v>18255</v>
      </c>
      <c r="E7595" s="330" t="s">
        <v>37248</v>
      </c>
      <c r="F7595" s="331">
        <v>0.21</v>
      </c>
      <c r="G7595" s="332">
        <v>1021</v>
      </c>
      <c r="H7595" s="333">
        <v>1236</v>
      </c>
    </row>
    <row r="7596" spans="1:8">
      <c r="A7596" s="317" t="s">
        <v>40862</v>
      </c>
      <c r="B7596" s="330" t="s">
        <v>51954</v>
      </c>
      <c r="C7596" s="330" t="s">
        <v>18256</v>
      </c>
      <c r="D7596" s="330" t="s">
        <v>18257</v>
      </c>
      <c r="E7596" s="330" t="s">
        <v>37248</v>
      </c>
      <c r="F7596" s="331">
        <v>0.21</v>
      </c>
      <c r="G7596" s="332">
        <v>4773</v>
      </c>
      <c r="H7596" s="333">
        <v>5776</v>
      </c>
    </row>
    <row r="7597" spans="1:8">
      <c r="A7597" s="317" t="s">
        <v>40863</v>
      </c>
      <c r="B7597" s="330" t="s">
        <v>51955</v>
      </c>
      <c r="C7597" s="330" t="s">
        <v>18258</v>
      </c>
      <c r="D7597" s="330" t="s">
        <v>18259</v>
      </c>
      <c r="E7597" s="330" t="s">
        <v>37248</v>
      </c>
      <c r="F7597" s="331">
        <v>0.21</v>
      </c>
      <c r="G7597" s="332">
        <v>1565</v>
      </c>
      <c r="H7597" s="333">
        <v>1894</v>
      </c>
    </row>
    <row r="7598" spans="1:8">
      <c r="A7598" s="317" t="s">
        <v>40864</v>
      </c>
      <c r="B7598" s="330" t="s">
        <v>51956</v>
      </c>
      <c r="C7598" s="330" t="s">
        <v>18260</v>
      </c>
      <c r="D7598" s="330" t="s">
        <v>18261</v>
      </c>
      <c r="E7598" s="330" t="s">
        <v>4819</v>
      </c>
      <c r="F7598" s="331">
        <v>0.21</v>
      </c>
      <c r="G7598" s="332">
        <v>13031</v>
      </c>
      <c r="H7598" s="333">
        <v>15768</v>
      </c>
    </row>
    <row r="7599" spans="1:8">
      <c r="A7599" s="317" t="s">
        <v>40865</v>
      </c>
      <c r="B7599" s="330" t="s">
        <v>51957</v>
      </c>
      <c r="C7599" s="330" t="s">
        <v>18262</v>
      </c>
      <c r="D7599" s="330" t="s">
        <v>18263</v>
      </c>
      <c r="E7599" s="330" t="s">
        <v>4819</v>
      </c>
      <c r="F7599" s="331">
        <v>0.21</v>
      </c>
      <c r="G7599" s="332">
        <v>4628</v>
      </c>
      <c r="H7599" s="333">
        <v>5600</v>
      </c>
    </row>
    <row r="7600" spans="1:8">
      <c r="A7600" s="317" t="s">
        <v>40866</v>
      </c>
      <c r="B7600" s="330" t="s">
        <v>51958</v>
      </c>
      <c r="C7600" s="330" t="s">
        <v>18264</v>
      </c>
      <c r="D7600" s="330" t="s">
        <v>18265</v>
      </c>
      <c r="E7600" s="330" t="s">
        <v>4634</v>
      </c>
      <c r="F7600" s="331">
        <v>0.21</v>
      </c>
      <c r="G7600" s="332">
        <v>1514</v>
      </c>
      <c r="H7600" s="333">
        <v>1832</v>
      </c>
    </row>
    <row r="7601" spans="1:8">
      <c r="A7601" s="317" t="s">
        <v>40867</v>
      </c>
      <c r="B7601" s="330" t="s">
        <v>51959</v>
      </c>
      <c r="C7601" s="330" t="s">
        <v>18266</v>
      </c>
      <c r="D7601" s="330" t="s">
        <v>18267</v>
      </c>
      <c r="E7601" s="330" t="s">
        <v>4634</v>
      </c>
      <c r="F7601" s="331">
        <v>0.21</v>
      </c>
      <c r="G7601" s="332">
        <v>1731</v>
      </c>
      <c r="H7601" s="333">
        <v>2095</v>
      </c>
    </row>
    <row r="7602" spans="1:8">
      <c r="A7602" s="317" t="s">
        <v>40868</v>
      </c>
      <c r="B7602" s="330" t="s">
        <v>51960</v>
      </c>
      <c r="C7602" s="330" t="s">
        <v>18268</v>
      </c>
      <c r="D7602" s="330" t="s">
        <v>18269</v>
      </c>
      <c r="E7602" s="330" t="s">
        <v>4634</v>
      </c>
      <c r="F7602" s="331">
        <v>0.21</v>
      </c>
      <c r="G7602" s="332">
        <v>236</v>
      </c>
      <c r="H7602" s="333">
        <v>286</v>
      </c>
    </row>
    <row r="7603" spans="1:8">
      <c r="A7603" s="317" t="s">
        <v>40869</v>
      </c>
      <c r="B7603" s="330" t="s">
        <v>51961</v>
      </c>
      <c r="C7603" s="330" t="s">
        <v>18270</v>
      </c>
      <c r="D7603" s="330" t="s">
        <v>18271</v>
      </c>
      <c r="E7603" s="330" t="s">
        <v>4819</v>
      </c>
      <c r="F7603" s="331">
        <v>0.21</v>
      </c>
      <c r="G7603" s="332">
        <v>7067</v>
      </c>
      <c r="H7603" s="333">
        <v>8552</v>
      </c>
    </row>
    <row r="7604" spans="1:8">
      <c r="A7604" s="317" t="s">
        <v>40870</v>
      </c>
      <c r="B7604" s="330" t="s">
        <v>51962</v>
      </c>
      <c r="C7604" s="330" t="s">
        <v>18272</v>
      </c>
      <c r="D7604" s="330" t="s">
        <v>18273</v>
      </c>
      <c r="E7604" s="330" t="s">
        <v>37248</v>
      </c>
      <c r="F7604" s="331">
        <v>0.21</v>
      </c>
      <c r="G7604" s="332">
        <v>4959</v>
      </c>
      <c r="H7604" s="333">
        <v>6001</v>
      </c>
    </row>
    <row r="7605" spans="1:8">
      <c r="A7605" s="317" t="s">
        <v>40871</v>
      </c>
      <c r="B7605" s="330" t="s">
        <v>51963</v>
      </c>
      <c r="C7605" s="330" t="s">
        <v>18274</v>
      </c>
      <c r="D7605" s="330" t="s">
        <v>18275</v>
      </c>
      <c r="E7605" s="330" t="s">
        <v>37248</v>
      </c>
      <c r="F7605" s="331">
        <v>0.21</v>
      </c>
      <c r="G7605" s="332">
        <v>10330</v>
      </c>
      <c r="H7605" s="333">
        <v>12500</v>
      </c>
    </row>
    <row r="7606" spans="1:8">
      <c r="A7606" s="317" t="s">
        <v>40872</v>
      </c>
      <c r="B7606" s="330" t="s">
        <v>51964</v>
      </c>
      <c r="C7606" s="330" t="s">
        <v>18276</v>
      </c>
      <c r="D7606" s="330" t="s">
        <v>18277</v>
      </c>
      <c r="E7606" s="330" t="s">
        <v>4634</v>
      </c>
      <c r="F7606" s="331">
        <v>0.21</v>
      </c>
      <c r="G7606" s="332">
        <v>5882</v>
      </c>
      <c r="H7606" s="333">
        <v>7118</v>
      </c>
    </row>
    <row r="7607" spans="1:8">
      <c r="A7607" s="317" t="s">
        <v>40873</v>
      </c>
      <c r="B7607" s="330" t="s">
        <v>51965</v>
      </c>
      <c r="C7607" s="330" t="s">
        <v>18278</v>
      </c>
      <c r="D7607" s="330" t="s">
        <v>18279</v>
      </c>
      <c r="E7607" s="330" t="s">
        <v>37248</v>
      </c>
      <c r="F7607" s="331">
        <v>0.21</v>
      </c>
      <c r="G7607" s="332">
        <v>1945</v>
      </c>
      <c r="H7607" s="333">
        <v>2354</v>
      </c>
    </row>
    <row r="7608" spans="1:8">
      <c r="A7608" s="317" t="s">
        <v>40874</v>
      </c>
      <c r="B7608" s="330" t="s">
        <v>51966</v>
      </c>
      <c r="C7608" s="330" t="s">
        <v>18280</v>
      </c>
      <c r="D7608" s="330" t="s">
        <v>18281</v>
      </c>
      <c r="E7608" s="330" t="s">
        <v>4634</v>
      </c>
      <c r="F7608" s="331">
        <v>0.21</v>
      </c>
      <c r="G7608" s="332">
        <v>236</v>
      </c>
      <c r="H7608" s="333">
        <v>286</v>
      </c>
    </row>
    <row r="7609" spans="1:8">
      <c r="A7609" s="317" t="s">
        <v>40875</v>
      </c>
      <c r="B7609" s="330" t="s">
        <v>51967</v>
      </c>
      <c r="C7609" s="330" t="s">
        <v>18282</v>
      </c>
      <c r="D7609" s="330" t="s">
        <v>18283</v>
      </c>
      <c r="E7609" s="330" t="s">
        <v>37248</v>
      </c>
      <c r="F7609" s="331">
        <v>0.21</v>
      </c>
      <c r="G7609" s="332">
        <v>5976</v>
      </c>
      <c r="H7609" s="333">
        <v>7231</v>
      </c>
    </row>
    <row r="7610" spans="1:8">
      <c r="A7610" s="317" t="s">
        <v>40876</v>
      </c>
      <c r="B7610" s="330" t="s">
        <v>51968</v>
      </c>
      <c r="C7610" s="330" t="s">
        <v>18284</v>
      </c>
      <c r="D7610" s="330" t="s">
        <v>18285</v>
      </c>
      <c r="E7610" s="330" t="s">
        <v>37248</v>
      </c>
      <c r="F7610" s="331">
        <v>0.21</v>
      </c>
      <c r="G7610" s="332">
        <v>1652</v>
      </c>
      <c r="H7610" s="333">
        <v>1999</v>
      </c>
    </row>
    <row r="7611" spans="1:8">
      <c r="A7611" s="317" t="s">
        <v>40877</v>
      </c>
      <c r="B7611" s="330" t="s">
        <v>51969</v>
      </c>
      <c r="C7611" s="330" t="s">
        <v>18286</v>
      </c>
      <c r="D7611" s="330" t="s">
        <v>18287</v>
      </c>
      <c r="E7611" s="330" t="s">
        <v>37248</v>
      </c>
      <c r="F7611" s="331">
        <v>0.21</v>
      </c>
      <c r="G7611" s="332">
        <v>4708</v>
      </c>
      <c r="H7611" s="333">
        <v>5697</v>
      </c>
    </row>
    <row r="7612" spans="1:8">
      <c r="A7612" s="317" t="s">
        <v>40878</v>
      </c>
      <c r="B7612" s="330" t="s">
        <v>51970</v>
      </c>
      <c r="C7612" s="330" t="s">
        <v>18288</v>
      </c>
      <c r="D7612" s="330" t="s">
        <v>18289</v>
      </c>
      <c r="E7612" s="330" t="s">
        <v>4634</v>
      </c>
      <c r="F7612" s="331">
        <v>0.21</v>
      </c>
      <c r="G7612" s="332">
        <v>107</v>
      </c>
      <c r="H7612" s="333">
        <v>130</v>
      </c>
    </row>
    <row r="7613" spans="1:8">
      <c r="A7613" s="317" t="s">
        <v>40879</v>
      </c>
      <c r="B7613" s="330" t="s">
        <v>51971</v>
      </c>
      <c r="C7613" s="330" t="s">
        <v>18290</v>
      </c>
      <c r="D7613" s="330" t="s">
        <v>8783</v>
      </c>
      <c r="E7613" s="330" t="s">
        <v>4634</v>
      </c>
      <c r="F7613" s="331">
        <v>0.21</v>
      </c>
      <c r="G7613" s="332">
        <v>153</v>
      </c>
      <c r="H7613" s="333">
        <v>186</v>
      </c>
    </row>
    <row r="7614" spans="1:8">
      <c r="A7614" s="317" t="s">
        <v>40880</v>
      </c>
      <c r="B7614" s="330" t="s">
        <v>51972</v>
      </c>
      <c r="C7614" s="330" t="s">
        <v>18291</v>
      </c>
      <c r="D7614" s="330" t="s">
        <v>18292</v>
      </c>
      <c r="E7614" s="330" t="s">
        <v>37248</v>
      </c>
      <c r="F7614" s="331">
        <v>0.21</v>
      </c>
      <c r="G7614" s="332">
        <v>78</v>
      </c>
      <c r="H7614" s="333">
        <v>95</v>
      </c>
    </row>
    <row r="7615" spans="1:8">
      <c r="A7615" s="317" t="s">
        <v>40881</v>
      </c>
      <c r="B7615" s="330" t="s">
        <v>51973</v>
      </c>
      <c r="C7615" s="330" t="s">
        <v>18293</v>
      </c>
      <c r="D7615" s="330" t="s">
        <v>18294</v>
      </c>
      <c r="E7615" s="330" t="s">
        <v>37248</v>
      </c>
      <c r="F7615" s="331">
        <v>0.21</v>
      </c>
      <c r="G7615" s="332">
        <v>1034</v>
      </c>
      <c r="H7615" s="333">
        <v>1252</v>
      </c>
    </row>
    <row r="7616" spans="1:8">
      <c r="A7616" s="317" t="s">
        <v>40882</v>
      </c>
      <c r="B7616" s="330" t="s">
        <v>51974</v>
      </c>
      <c r="C7616" s="330" t="s">
        <v>18295</v>
      </c>
      <c r="D7616" s="330" t="s">
        <v>18296</v>
      </c>
      <c r="E7616" s="330" t="s">
        <v>4634</v>
      </c>
      <c r="F7616" s="331">
        <v>0.21</v>
      </c>
      <c r="G7616" s="332">
        <v>153</v>
      </c>
      <c r="H7616" s="333">
        <v>186</v>
      </c>
    </row>
    <row r="7617" spans="1:8">
      <c r="A7617" s="317" t="s">
        <v>40883</v>
      </c>
      <c r="B7617" s="330" t="s">
        <v>51975</v>
      </c>
      <c r="C7617" s="330" t="s">
        <v>18297</v>
      </c>
      <c r="D7617" s="330" t="s">
        <v>18298</v>
      </c>
      <c r="E7617" s="330" t="s">
        <v>4819</v>
      </c>
      <c r="F7617" s="331">
        <v>0.21</v>
      </c>
      <c r="G7617" s="332">
        <v>30324</v>
      </c>
      <c r="H7617" s="333">
        <v>36693</v>
      </c>
    </row>
    <row r="7618" spans="1:8">
      <c r="A7618" s="317" t="s">
        <v>40884</v>
      </c>
      <c r="B7618" s="330" t="s">
        <v>51976</v>
      </c>
      <c r="C7618" s="330" t="s">
        <v>18299</v>
      </c>
      <c r="D7618" s="330" t="s">
        <v>18300</v>
      </c>
      <c r="E7618" s="330" t="s">
        <v>37248</v>
      </c>
      <c r="F7618" s="331">
        <v>0.21</v>
      </c>
      <c r="G7618" s="332">
        <v>2150</v>
      </c>
      <c r="H7618" s="333">
        <v>2602</v>
      </c>
    </row>
    <row r="7619" spans="1:8">
      <c r="A7619" s="317" t="s">
        <v>40885</v>
      </c>
      <c r="B7619" s="330" t="s">
        <v>51977</v>
      </c>
      <c r="C7619" s="330" t="s">
        <v>18301</v>
      </c>
      <c r="D7619" s="330" t="s">
        <v>18302</v>
      </c>
      <c r="E7619" s="330" t="s">
        <v>4634</v>
      </c>
      <c r="F7619" s="331">
        <v>0.21</v>
      </c>
      <c r="G7619" s="332">
        <v>236</v>
      </c>
      <c r="H7619" s="333">
        <v>286</v>
      </c>
    </row>
    <row r="7620" spans="1:8">
      <c r="A7620" s="317" t="s">
        <v>40886</v>
      </c>
      <c r="B7620" s="330" t="s">
        <v>51978</v>
      </c>
      <c r="C7620" s="330" t="s">
        <v>18303</v>
      </c>
      <c r="D7620" s="330" t="s">
        <v>18304</v>
      </c>
      <c r="E7620" s="330" t="s">
        <v>4634</v>
      </c>
      <c r="F7620" s="331">
        <v>0.21</v>
      </c>
      <c r="G7620" s="332">
        <v>1258</v>
      </c>
      <c r="H7620" s="333">
        <v>1523</v>
      </c>
    </row>
    <row r="7621" spans="1:8">
      <c r="A7621" s="317" t="s">
        <v>40887</v>
      </c>
      <c r="B7621" s="330" t="s">
        <v>51979</v>
      </c>
      <c r="C7621" s="330" t="s">
        <v>18305</v>
      </c>
      <c r="D7621" s="330" t="s">
        <v>18306</v>
      </c>
      <c r="E7621" s="330" t="s">
        <v>37248</v>
      </c>
      <c r="F7621" s="331">
        <v>0.21</v>
      </c>
      <c r="G7621" s="332">
        <v>3294</v>
      </c>
      <c r="H7621" s="333">
        <v>3986</v>
      </c>
    </row>
    <row r="7622" spans="1:8">
      <c r="A7622" s="317" t="s">
        <v>40888</v>
      </c>
      <c r="B7622" s="330" t="s">
        <v>51980</v>
      </c>
      <c r="C7622" s="330" t="s">
        <v>18307</v>
      </c>
      <c r="D7622" s="330" t="s">
        <v>12706</v>
      </c>
      <c r="E7622" s="330" t="s">
        <v>37248</v>
      </c>
      <c r="F7622" s="331">
        <v>0.21</v>
      </c>
      <c r="G7622" s="332">
        <v>1717</v>
      </c>
      <c r="H7622" s="333">
        <v>2078</v>
      </c>
    </row>
    <row r="7623" spans="1:8">
      <c r="A7623" s="317" t="s">
        <v>40889</v>
      </c>
      <c r="B7623" s="330" t="s">
        <v>51981</v>
      </c>
      <c r="C7623" s="330" t="s">
        <v>18308</v>
      </c>
      <c r="D7623" s="330" t="s">
        <v>18309</v>
      </c>
      <c r="E7623" s="330" t="s">
        <v>37248</v>
      </c>
      <c r="F7623" s="331">
        <v>0.21</v>
      </c>
      <c r="G7623" s="332">
        <v>8961</v>
      </c>
      <c r="H7623" s="333">
        <v>10843</v>
      </c>
    </row>
    <row r="7624" spans="1:8">
      <c r="A7624" s="317" t="s">
        <v>40890</v>
      </c>
      <c r="B7624" s="330" t="s">
        <v>51982</v>
      </c>
      <c r="C7624" s="330" t="s">
        <v>18310</v>
      </c>
      <c r="D7624" s="330" t="s">
        <v>12706</v>
      </c>
      <c r="E7624" s="330" t="s">
        <v>37248</v>
      </c>
      <c r="F7624" s="331">
        <v>0.21</v>
      </c>
      <c r="G7624" s="332">
        <v>1701</v>
      </c>
      <c r="H7624" s="333">
        <v>2059</v>
      </c>
    </row>
    <row r="7625" spans="1:8">
      <c r="A7625" s="317" t="s">
        <v>40891</v>
      </c>
      <c r="B7625" s="330" t="s">
        <v>51983</v>
      </c>
      <c r="C7625" s="330" t="s">
        <v>18311</v>
      </c>
      <c r="D7625" s="330" t="s">
        <v>18312</v>
      </c>
      <c r="E7625" s="330" t="s">
        <v>37248</v>
      </c>
      <c r="F7625" s="331">
        <v>0.21</v>
      </c>
      <c r="G7625" s="332">
        <v>25203</v>
      </c>
      <c r="H7625" s="333">
        <v>30496</v>
      </c>
    </row>
    <row r="7626" spans="1:8">
      <c r="A7626" s="317" t="s">
        <v>40892</v>
      </c>
      <c r="B7626" s="330" t="s">
        <v>51984</v>
      </c>
      <c r="C7626" s="330" t="s">
        <v>18313</v>
      </c>
      <c r="D7626" s="330" t="s">
        <v>18314</v>
      </c>
      <c r="E7626" s="330" t="s">
        <v>37248</v>
      </c>
      <c r="F7626" s="331">
        <v>0.21</v>
      </c>
      <c r="G7626" s="332">
        <v>7772</v>
      </c>
      <c r="H7626" s="333">
        <v>9405</v>
      </c>
    </row>
    <row r="7627" spans="1:8">
      <c r="A7627" s="317" t="s">
        <v>40893</v>
      </c>
      <c r="B7627" s="330" t="s">
        <v>51985</v>
      </c>
      <c r="C7627" s="330" t="s">
        <v>18315</v>
      </c>
      <c r="D7627" s="330" t="s">
        <v>18316</v>
      </c>
      <c r="E7627" s="330" t="s">
        <v>37248</v>
      </c>
      <c r="F7627" s="331">
        <v>0.21</v>
      </c>
      <c r="G7627" s="332">
        <v>40437</v>
      </c>
      <c r="H7627" s="333">
        <v>48929</v>
      </c>
    </row>
    <row r="7628" spans="1:8">
      <c r="A7628" s="317" t="s">
        <v>40894</v>
      </c>
      <c r="B7628" s="330" t="s">
        <v>51986</v>
      </c>
      <c r="C7628" s="330" t="s">
        <v>18317</v>
      </c>
      <c r="D7628" s="330" t="s">
        <v>18318</v>
      </c>
      <c r="E7628" s="330" t="s">
        <v>37248</v>
      </c>
      <c r="F7628" s="331">
        <v>0.21</v>
      </c>
      <c r="G7628" s="332">
        <v>31386</v>
      </c>
      <c r="H7628" s="333">
        <v>37978</v>
      </c>
    </row>
    <row r="7629" spans="1:8">
      <c r="A7629" s="317" t="s">
        <v>40895</v>
      </c>
      <c r="B7629" s="330" t="s">
        <v>51987</v>
      </c>
      <c r="C7629" s="330" t="s">
        <v>18319</v>
      </c>
      <c r="D7629" s="330" t="s">
        <v>18320</v>
      </c>
      <c r="E7629" s="330" t="s">
        <v>4819</v>
      </c>
      <c r="F7629" s="331">
        <v>0.21</v>
      </c>
      <c r="G7629" s="332">
        <v>1617</v>
      </c>
      <c r="H7629" s="333">
        <v>1957</v>
      </c>
    </row>
    <row r="7630" spans="1:8">
      <c r="A7630" s="317" t="s">
        <v>40896</v>
      </c>
      <c r="B7630" s="330" t="s">
        <v>51988</v>
      </c>
      <c r="C7630" s="330" t="s">
        <v>18321</v>
      </c>
      <c r="D7630" s="330" t="s">
        <v>18322</v>
      </c>
      <c r="E7630" s="330" t="s">
        <v>4819</v>
      </c>
      <c r="F7630" s="331">
        <v>0.21</v>
      </c>
      <c r="G7630" s="332">
        <v>780</v>
      </c>
      <c r="H7630" s="333">
        <v>944</v>
      </c>
    </row>
    <row r="7631" spans="1:8">
      <c r="A7631" s="317" t="s">
        <v>40897</v>
      </c>
      <c r="B7631" s="330" t="s">
        <v>51989</v>
      </c>
      <c r="C7631" s="330" t="s">
        <v>18323</v>
      </c>
      <c r="D7631" s="330" t="s">
        <v>18324</v>
      </c>
      <c r="E7631" s="330" t="s">
        <v>4819</v>
      </c>
      <c r="F7631" s="331">
        <v>0.21</v>
      </c>
      <c r="G7631" s="332">
        <v>1438</v>
      </c>
      <c r="H7631" s="333">
        <v>1740</v>
      </c>
    </row>
    <row r="7632" spans="1:8">
      <c r="A7632" s="317" t="s">
        <v>40898</v>
      </c>
      <c r="B7632" s="330" t="s">
        <v>51990</v>
      </c>
      <c r="C7632" s="330" t="s">
        <v>18325</v>
      </c>
      <c r="D7632" s="330" t="s">
        <v>18326</v>
      </c>
      <c r="E7632" s="330" t="s">
        <v>4634</v>
      </c>
      <c r="F7632" s="331">
        <v>0.21</v>
      </c>
      <c r="G7632" s="332">
        <v>648</v>
      </c>
      <c r="H7632" s="333">
        <v>785</v>
      </c>
    </row>
    <row r="7633" spans="1:8">
      <c r="A7633" s="317" t="s">
        <v>40899</v>
      </c>
      <c r="B7633" s="330" t="s">
        <v>51991</v>
      </c>
      <c r="C7633" s="330" t="s">
        <v>18327</v>
      </c>
      <c r="D7633" s="330" t="s">
        <v>6502</v>
      </c>
      <c r="E7633" s="330" t="s">
        <v>37248</v>
      </c>
      <c r="F7633" s="331">
        <v>0.21</v>
      </c>
      <c r="G7633" s="332">
        <v>240</v>
      </c>
      <c r="H7633" s="333">
        <v>291</v>
      </c>
    </row>
    <row r="7634" spans="1:8">
      <c r="A7634" s="317" t="s">
        <v>40900</v>
      </c>
      <c r="B7634" s="330" t="s">
        <v>51992</v>
      </c>
      <c r="C7634" s="330" t="s">
        <v>18328</v>
      </c>
      <c r="D7634" s="330" t="s">
        <v>18329</v>
      </c>
      <c r="E7634" s="330" t="s">
        <v>37248</v>
      </c>
      <c r="F7634" s="331">
        <v>0.21</v>
      </c>
      <c r="G7634" s="332">
        <v>591</v>
      </c>
      <c r="H7634" s="333">
        <v>716</v>
      </c>
    </row>
    <row r="7635" spans="1:8">
      <c r="A7635" s="317" t="s">
        <v>40901</v>
      </c>
      <c r="B7635" s="330" t="s">
        <v>51993</v>
      </c>
      <c r="C7635" s="330" t="s">
        <v>18330</v>
      </c>
      <c r="D7635" s="330" t="s">
        <v>7369</v>
      </c>
      <c r="E7635" s="330" t="s">
        <v>37248</v>
      </c>
      <c r="F7635" s="331">
        <v>0.21</v>
      </c>
      <c r="G7635" s="332">
        <v>24382</v>
      </c>
      <c r="H7635" s="333">
        <v>29503</v>
      </c>
    </row>
    <row r="7636" spans="1:8">
      <c r="A7636" s="317" t="s">
        <v>40902</v>
      </c>
      <c r="B7636" s="330" t="s">
        <v>51994</v>
      </c>
      <c r="C7636" s="330" t="s">
        <v>18331</v>
      </c>
      <c r="D7636" s="330" t="s">
        <v>18332</v>
      </c>
      <c r="E7636" s="330" t="s">
        <v>4634</v>
      </c>
      <c r="F7636" s="331">
        <v>0.21</v>
      </c>
      <c r="G7636" s="332">
        <v>6268</v>
      </c>
      <c r="H7636" s="333">
        <v>7585</v>
      </c>
    </row>
    <row r="7637" spans="1:8">
      <c r="A7637" s="317" t="s">
        <v>40903</v>
      </c>
      <c r="B7637" s="330" t="s">
        <v>51995</v>
      </c>
      <c r="C7637" s="330" t="s">
        <v>18333</v>
      </c>
      <c r="D7637" s="330" t="s">
        <v>18334</v>
      </c>
      <c r="E7637" s="330" t="s">
        <v>4819</v>
      </c>
      <c r="F7637" s="331">
        <v>0.21</v>
      </c>
      <c r="G7637" s="332">
        <v>2128</v>
      </c>
      <c r="H7637" s="333">
        <v>2575</v>
      </c>
    </row>
    <row r="7638" spans="1:8">
      <c r="A7638" s="317" t="s">
        <v>40904</v>
      </c>
      <c r="B7638" s="330" t="s">
        <v>51996</v>
      </c>
      <c r="C7638" s="330" t="s">
        <v>18335</v>
      </c>
      <c r="D7638" s="330" t="s">
        <v>18336</v>
      </c>
      <c r="E7638" s="330" t="s">
        <v>37248</v>
      </c>
      <c r="F7638" s="331">
        <v>0.21</v>
      </c>
      <c r="G7638" s="332">
        <v>10163</v>
      </c>
      <c r="H7638" s="333">
        <v>12298</v>
      </c>
    </row>
    <row r="7639" spans="1:8">
      <c r="A7639" s="317" t="s">
        <v>40905</v>
      </c>
      <c r="B7639" s="330" t="s">
        <v>51997</v>
      </c>
      <c r="C7639" s="330" t="s">
        <v>18337</v>
      </c>
      <c r="D7639" s="330" t="s">
        <v>18338</v>
      </c>
      <c r="E7639" s="330" t="s">
        <v>4819</v>
      </c>
      <c r="F7639" s="331">
        <v>0.21</v>
      </c>
      <c r="G7639" s="332">
        <v>12072</v>
      </c>
      <c r="H7639" s="333">
        <v>14608</v>
      </c>
    </row>
    <row r="7640" spans="1:8">
      <c r="A7640" s="317" t="s">
        <v>40906</v>
      </c>
      <c r="B7640" s="330" t="s">
        <v>51998</v>
      </c>
      <c r="C7640" s="330" t="s">
        <v>18339</v>
      </c>
      <c r="D7640" s="330" t="s">
        <v>18340</v>
      </c>
      <c r="E7640" s="330" t="s">
        <v>4819</v>
      </c>
      <c r="F7640" s="331">
        <v>0.21</v>
      </c>
      <c r="G7640" s="332">
        <v>15436</v>
      </c>
      <c r="H7640" s="333">
        <v>18678</v>
      </c>
    </row>
    <row r="7641" spans="1:8">
      <c r="A7641" s="317" t="s">
        <v>40907</v>
      </c>
      <c r="B7641" s="330" t="s">
        <v>51999</v>
      </c>
      <c r="C7641" s="330" t="s">
        <v>18341</v>
      </c>
      <c r="D7641" s="330" t="s">
        <v>18342</v>
      </c>
      <c r="E7641" s="330" t="s">
        <v>4819</v>
      </c>
      <c r="F7641" s="331">
        <v>0.21</v>
      </c>
      <c r="G7641" s="332">
        <v>4021</v>
      </c>
      <c r="H7641" s="333">
        <v>4866</v>
      </c>
    </row>
    <row r="7642" spans="1:8">
      <c r="A7642" s="317" t="s">
        <v>40908</v>
      </c>
      <c r="B7642" s="330" t="s">
        <v>52000</v>
      </c>
      <c r="C7642" s="330" t="s">
        <v>18343</v>
      </c>
      <c r="D7642" s="330" t="s">
        <v>8702</v>
      </c>
      <c r="E7642" s="330" t="s">
        <v>4634</v>
      </c>
      <c r="F7642" s="331">
        <v>0.21</v>
      </c>
      <c r="G7642" s="332">
        <v>280</v>
      </c>
      <c r="H7642" s="333">
        <v>339</v>
      </c>
    </row>
    <row r="7643" spans="1:8">
      <c r="A7643" s="317" t="s">
        <v>40909</v>
      </c>
      <c r="B7643" s="330" t="s">
        <v>52001</v>
      </c>
      <c r="C7643" s="330" t="s">
        <v>18344</v>
      </c>
      <c r="D7643" s="330" t="s">
        <v>18345</v>
      </c>
      <c r="E7643" s="330" t="s">
        <v>4634</v>
      </c>
      <c r="F7643" s="331">
        <v>0.21</v>
      </c>
      <c r="G7643" s="332">
        <v>280</v>
      </c>
      <c r="H7643" s="333">
        <v>339</v>
      </c>
    </row>
    <row r="7644" spans="1:8">
      <c r="A7644" s="317" t="s">
        <v>40910</v>
      </c>
      <c r="B7644" s="330" t="s">
        <v>52002</v>
      </c>
      <c r="C7644" s="330" t="s">
        <v>18346</v>
      </c>
      <c r="D7644" s="330" t="s">
        <v>18347</v>
      </c>
      <c r="E7644" s="330" t="s">
        <v>4634</v>
      </c>
      <c r="F7644" s="331">
        <v>0.21</v>
      </c>
      <c r="G7644" s="332">
        <v>1258</v>
      </c>
      <c r="H7644" s="333">
        <v>1523</v>
      </c>
    </row>
    <row r="7645" spans="1:8">
      <c r="A7645" s="317" t="s">
        <v>40911</v>
      </c>
      <c r="B7645" s="330" t="s">
        <v>52003</v>
      </c>
      <c r="C7645" s="330" t="s">
        <v>18348</v>
      </c>
      <c r="D7645" s="330" t="s">
        <v>8702</v>
      </c>
      <c r="E7645" s="330" t="s">
        <v>4634</v>
      </c>
      <c r="F7645" s="331">
        <v>0.21</v>
      </c>
      <c r="G7645" s="332">
        <v>153</v>
      </c>
      <c r="H7645" s="333">
        <v>186</v>
      </c>
    </row>
    <row r="7646" spans="1:8">
      <c r="A7646" s="317" t="s">
        <v>40912</v>
      </c>
      <c r="B7646" s="330" t="s">
        <v>52004</v>
      </c>
      <c r="C7646" s="330" t="s">
        <v>18349</v>
      </c>
      <c r="D7646" s="330" t="s">
        <v>18350</v>
      </c>
      <c r="E7646" s="330" t="s">
        <v>37248</v>
      </c>
      <c r="F7646" s="331">
        <v>0.21</v>
      </c>
      <c r="G7646" s="332">
        <v>21888</v>
      </c>
      <c r="H7646" s="333">
        <v>26485</v>
      </c>
    </row>
    <row r="7647" spans="1:8">
      <c r="A7647" s="317" t="s">
        <v>40913</v>
      </c>
      <c r="B7647" s="330" t="s">
        <v>52005</v>
      </c>
      <c r="C7647" s="330" t="s">
        <v>18351</v>
      </c>
      <c r="D7647" s="330" t="s">
        <v>18352</v>
      </c>
      <c r="E7647" s="330" t="s">
        <v>4819</v>
      </c>
      <c r="F7647" s="331">
        <v>0.21</v>
      </c>
      <c r="G7647" s="332">
        <v>3520</v>
      </c>
      <c r="H7647" s="333">
        <v>4260</v>
      </c>
    </row>
    <row r="7648" spans="1:8">
      <c r="A7648" s="317" t="s">
        <v>40914</v>
      </c>
      <c r="B7648" s="330" t="s">
        <v>52006</v>
      </c>
      <c r="C7648" s="330" t="s">
        <v>18353</v>
      </c>
      <c r="D7648" s="330" t="s">
        <v>18354</v>
      </c>
      <c r="E7648" s="330" t="s">
        <v>4819</v>
      </c>
      <c r="F7648" s="331">
        <v>0.21</v>
      </c>
      <c r="G7648" s="332">
        <v>910</v>
      </c>
      <c r="H7648" s="333">
        <v>1102</v>
      </c>
    </row>
    <row r="7649" spans="1:8">
      <c r="A7649" s="317" t="s">
        <v>40915</v>
      </c>
      <c r="B7649" s="330" t="s">
        <v>52007</v>
      </c>
      <c r="C7649" s="330" t="s">
        <v>18355</v>
      </c>
      <c r="D7649" s="330" t="s">
        <v>18356</v>
      </c>
      <c r="E7649" s="330" t="s">
        <v>37248</v>
      </c>
      <c r="F7649" s="331">
        <v>0.21</v>
      </c>
      <c r="G7649" s="332">
        <v>479</v>
      </c>
      <c r="H7649" s="333">
        <v>580</v>
      </c>
    </row>
    <row r="7650" spans="1:8">
      <c r="A7650" s="317" t="s">
        <v>40916</v>
      </c>
      <c r="B7650" s="330" t="s">
        <v>52008</v>
      </c>
      <c r="C7650" s="330" t="s">
        <v>18357</v>
      </c>
      <c r="D7650" s="330" t="s">
        <v>18358</v>
      </c>
      <c r="E7650" s="330" t="s">
        <v>4819</v>
      </c>
      <c r="F7650" s="331">
        <v>0.21</v>
      </c>
      <c r="G7650" s="332">
        <v>2478</v>
      </c>
      <c r="H7650" s="333">
        <v>2999</v>
      </c>
    </row>
    <row r="7651" spans="1:8">
      <c r="A7651" s="317" t="s">
        <v>40917</v>
      </c>
      <c r="B7651" s="330" t="s">
        <v>52009</v>
      </c>
      <c r="C7651" s="330" t="s">
        <v>18359</v>
      </c>
      <c r="D7651" s="330" t="s">
        <v>18360</v>
      </c>
      <c r="E7651" s="330" t="s">
        <v>4819</v>
      </c>
      <c r="F7651" s="331">
        <v>0.21</v>
      </c>
      <c r="G7651" s="332">
        <v>1102</v>
      </c>
      <c r="H7651" s="333">
        <v>1334</v>
      </c>
    </row>
    <row r="7652" spans="1:8">
      <c r="A7652" s="317" t="s">
        <v>40918</v>
      </c>
      <c r="B7652" s="330" t="s">
        <v>52010</v>
      </c>
      <c r="C7652" s="330" t="s">
        <v>18361</v>
      </c>
      <c r="D7652" s="330" t="s">
        <v>18362</v>
      </c>
      <c r="E7652" s="330" t="s">
        <v>4819</v>
      </c>
      <c r="F7652" s="331">
        <v>0.21</v>
      </c>
      <c r="G7652" s="332">
        <v>10578</v>
      </c>
      <c r="H7652" s="333">
        <v>12800</v>
      </c>
    </row>
    <row r="7653" spans="1:8">
      <c r="A7653" s="317" t="s">
        <v>40919</v>
      </c>
      <c r="B7653" s="330" t="s">
        <v>52011</v>
      </c>
      <c r="C7653" s="330" t="s">
        <v>18363</v>
      </c>
      <c r="D7653" s="330" t="s">
        <v>4867</v>
      </c>
      <c r="E7653" s="330" t="s">
        <v>37248</v>
      </c>
      <c r="F7653" s="331">
        <v>0.21</v>
      </c>
      <c r="G7653" s="332">
        <v>807</v>
      </c>
      <c r="H7653" s="333">
        <v>977</v>
      </c>
    </row>
    <row r="7654" spans="1:8">
      <c r="A7654" s="317" t="s">
        <v>40920</v>
      </c>
      <c r="B7654" s="330" t="s">
        <v>52012</v>
      </c>
      <c r="C7654" s="330" t="s">
        <v>18364</v>
      </c>
      <c r="D7654" s="330" t="s">
        <v>18365</v>
      </c>
      <c r="E7654" s="330" t="s">
        <v>4623</v>
      </c>
      <c r="F7654" s="331">
        <v>0.21</v>
      </c>
      <c r="G7654" s="332">
        <v>941</v>
      </c>
      <c r="H7654" s="333">
        <v>1139</v>
      </c>
    </row>
    <row r="7655" spans="1:8">
      <c r="A7655" s="317" t="s">
        <v>40921</v>
      </c>
      <c r="B7655" s="330" t="s">
        <v>52013</v>
      </c>
      <c r="C7655" s="330" t="s">
        <v>18366</v>
      </c>
      <c r="D7655" s="330" t="s">
        <v>18367</v>
      </c>
      <c r="E7655" s="330" t="s">
        <v>4634</v>
      </c>
      <c r="F7655" s="331">
        <v>0.21</v>
      </c>
      <c r="G7655" s="332">
        <v>928</v>
      </c>
      <c r="H7655" s="333">
        <v>1123</v>
      </c>
    </row>
    <row r="7656" spans="1:8">
      <c r="A7656" s="317" t="s">
        <v>40922</v>
      </c>
      <c r="B7656" s="330" t="s">
        <v>52014</v>
      </c>
      <c r="C7656" s="330" t="s">
        <v>18368</v>
      </c>
      <c r="D7656" s="330" t="s">
        <v>18369</v>
      </c>
      <c r="E7656" s="330" t="s">
        <v>37248</v>
      </c>
      <c r="F7656" s="331">
        <v>0.21</v>
      </c>
      <c r="G7656" s="332">
        <v>1530</v>
      </c>
      <c r="H7656" s="333">
        <v>1852</v>
      </c>
    </row>
    <row r="7657" spans="1:8">
      <c r="A7657" s="317" t="s">
        <v>40923</v>
      </c>
      <c r="B7657" s="330" t="s">
        <v>52015</v>
      </c>
      <c r="C7657" s="330" t="s">
        <v>18370</v>
      </c>
      <c r="D7657" s="330" t="s">
        <v>18371</v>
      </c>
      <c r="E7657" s="330" t="s">
        <v>4634</v>
      </c>
      <c r="F7657" s="331">
        <v>0.21</v>
      </c>
      <c r="G7657" s="332">
        <v>280</v>
      </c>
      <c r="H7657" s="333">
        <v>339</v>
      </c>
    </row>
    <row r="7658" spans="1:8">
      <c r="A7658" s="317" t="s">
        <v>40924</v>
      </c>
      <c r="B7658" s="330" t="s">
        <v>52016</v>
      </c>
      <c r="C7658" s="330" t="s">
        <v>18372</v>
      </c>
      <c r="D7658" s="330" t="s">
        <v>18373</v>
      </c>
      <c r="E7658" s="330" t="s">
        <v>4819</v>
      </c>
      <c r="F7658" s="331">
        <v>0.21</v>
      </c>
      <c r="G7658" s="332">
        <v>1394</v>
      </c>
      <c r="H7658" s="333">
        <v>1687</v>
      </c>
    </row>
    <row r="7659" spans="1:8">
      <c r="A7659" s="317" t="s">
        <v>40925</v>
      </c>
      <c r="B7659" s="330" t="s">
        <v>52017</v>
      </c>
      <c r="C7659" s="330" t="s">
        <v>18374</v>
      </c>
      <c r="D7659" s="330" t="s">
        <v>18375</v>
      </c>
      <c r="E7659" s="330" t="s">
        <v>4819</v>
      </c>
      <c r="F7659" s="331">
        <v>0.21</v>
      </c>
      <c r="G7659" s="332">
        <v>12907</v>
      </c>
      <c r="H7659" s="333">
        <v>15618</v>
      </c>
    </row>
    <row r="7660" spans="1:8">
      <c r="A7660" s="317" t="s">
        <v>40926</v>
      </c>
      <c r="B7660" s="330" t="s">
        <v>52018</v>
      </c>
      <c r="C7660" s="330" t="s">
        <v>18376</v>
      </c>
      <c r="D7660" s="330" t="s">
        <v>18377</v>
      </c>
      <c r="E7660" s="330" t="s">
        <v>4819</v>
      </c>
      <c r="F7660" s="331">
        <v>0.21</v>
      </c>
      <c r="G7660" s="332">
        <v>21477</v>
      </c>
      <c r="H7660" s="333">
        <v>25988</v>
      </c>
    </row>
    <row r="7661" spans="1:8">
      <c r="A7661" s="317" t="s">
        <v>40927</v>
      </c>
      <c r="B7661" s="330" t="s">
        <v>52019</v>
      </c>
      <c r="C7661" s="330" t="s">
        <v>18378</v>
      </c>
      <c r="D7661" s="330" t="s">
        <v>18371</v>
      </c>
      <c r="E7661" s="330" t="s">
        <v>4634</v>
      </c>
      <c r="F7661" s="331">
        <v>0.21</v>
      </c>
      <c r="G7661" s="332">
        <v>756</v>
      </c>
      <c r="H7661" s="333">
        <v>915</v>
      </c>
    </row>
    <row r="7662" spans="1:8">
      <c r="A7662" s="317" t="s">
        <v>40928</v>
      </c>
      <c r="B7662" s="330" t="s">
        <v>52020</v>
      </c>
      <c r="C7662" s="330" t="s">
        <v>18379</v>
      </c>
      <c r="D7662" s="330" t="s">
        <v>18380</v>
      </c>
      <c r="E7662" s="330" t="s">
        <v>4623</v>
      </c>
      <c r="F7662" s="331">
        <v>0.21</v>
      </c>
      <c r="G7662" s="332">
        <v>1008</v>
      </c>
      <c r="H7662" s="333">
        <v>1220</v>
      </c>
    </row>
    <row r="7663" spans="1:8">
      <c r="A7663" s="317" t="s">
        <v>40929</v>
      </c>
      <c r="B7663" s="330" t="s">
        <v>52021</v>
      </c>
      <c r="C7663" s="330" t="s">
        <v>18381</v>
      </c>
      <c r="D7663" s="330" t="s">
        <v>18382</v>
      </c>
      <c r="E7663" s="330" t="s">
        <v>4634</v>
      </c>
      <c r="F7663" s="331">
        <v>0.21</v>
      </c>
      <c r="G7663" s="332">
        <v>280</v>
      </c>
      <c r="H7663" s="333">
        <v>339</v>
      </c>
    </row>
    <row r="7664" spans="1:8">
      <c r="A7664" s="317" t="s">
        <v>40930</v>
      </c>
      <c r="B7664" s="330" t="s">
        <v>52022</v>
      </c>
      <c r="C7664" s="330" t="s">
        <v>18383</v>
      </c>
      <c r="D7664" s="330" t="s">
        <v>18384</v>
      </c>
      <c r="E7664" s="330" t="s">
        <v>4634</v>
      </c>
      <c r="F7664" s="331">
        <v>0.21</v>
      </c>
      <c r="G7664" s="332">
        <v>2098</v>
      </c>
      <c r="H7664" s="333">
        <v>2539</v>
      </c>
    </row>
    <row r="7665" spans="1:8">
      <c r="A7665" s="317" t="s">
        <v>40931</v>
      </c>
      <c r="B7665" s="330" t="s">
        <v>52023</v>
      </c>
      <c r="C7665" s="330" t="s">
        <v>18385</v>
      </c>
      <c r="D7665" s="330" t="s">
        <v>18386</v>
      </c>
      <c r="E7665" s="330" t="s">
        <v>37248</v>
      </c>
      <c r="F7665" s="331">
        <v>0.21</v>
      </c>
      <c r="G7665" s="332">
        <v>17589</v>
      </c>
      <c r="H7665" s="333">
        <v>21283</v>
      </c>
    </row>
    <row r="7666" spans="1:8">
      <c r="A7666" s="317" t="s">
        <v>40932</v>
      </c>
      <c r="B7666" s="330" t="s">
        <v>52024</v>
      </c>
      <c r="C7666" s="330" t="s">
        <v>18387</v>
      </c>
      <c r="D7666" s="330" t="s">
        <v>18388</v>
      </c>
      <c r="E7666" s="330" t="s">
        <v>4634</v>
      </c>
      <c r="F7666" s="331">
        <v>0.21</v>
      </c>
      <c r="G7666" s="332">
        <v>2574</v>
      </c>
      <c r="H7666" s="333">
        <v>3115</v>
      </c>
    </row>
    <row r="7667" spans="1:8">
      <c r="A7667" s="317" t="s">
        <v>40933</v>
      </c>
      <c r="B7667" s="330" t="s">
        <v>52025</v>
      </c>
      <c r="C7667" s="330" t="s">
        <v>18389</v>
      </c>
      <c r="D7667" s="330" t="s">
        <v>18390</v>
      </c>
      <c r="E7667" s="330" t="s">
        <v>4634</v>
      </c>
      <c r="F7667" s="331">
        <v>0.21</v>
      </c>
      <c r="G7667" s="332">
        <v>280</v>
      </c>
      <c r="H7667" s="333">
        <v>339</v>
      </c>
    </row>
    <row r="7668" spans="1:8">
      <c r="A7668" s="317" t="s">
        <v>40934</v>
      </c>
      <c r="B7668" s="330" t="s">
        <v>52026</v>
      </c>
      <c r="C7668" s="330" t="s">
        <v>18391</v>
      </c>
      <c r="D7668" s="330" t="s">
        <v>18392</v>
      </c>
      <c r="E7668" s="330" t="s">
        <v>4634</v>
      </c>
      <c r="F7668" s="331">
        <v>0.21</v>
      </c>
      <c r="G7668" s="332">
        <v>1170</v>
      </c>
      <c r="H7668" s="333">
        <v>1416</v>
      </c>
    </row>
    <row r="7669" spans="1:8">
      <c r="A7669" s="317" t="s">
        <v>40935</v>
      </c>
      <c r="B7669" s="330" t="s">
        <v>52027</v>
      </c>
      <c r="C7669" s="330" t="s">
        <v>18393</v>
      </c>
      <c r="D7669" s="330" t="s">
        <v>18394</v>
      </c>
      <c r="E7669" s="330" t="s">
        <v>37248</v>
      </c>
      <c r="F7669" s="331">
        <v>0.21</v>
      </c>
      <c r="G7669" s="332">
        <v>23336</v>
      </c>
      <c r="H7669" s="333">
        <v>28237</v>
      </c>
    </row>
    <row r="7670" spans="1:8">
      <c r="A7670" s="317" t="s">
        <v>40936</v>
      </c>
      <c r="B7670" s="330" t="s">
        <v>52028</v>
      </c>
      <c r="C7670" s="330" t="s">
        <v>18395</v>
      </c>
      <c r="D7670" s="330" t="s">
        <v>18396</v>
      </c>
      <c r="E7670" s="330" t="s">
        <v>37248</v>
      </c>
      <c r="F7670" s="331">
        <v>0.21</v>
      </c>
      <c r="G7670" s="332">
        <v>37157</v>
      </c>
      <c r="H7670" s="333">
        <v>44960</v>
      </c>
    </row>
    <row r="7671" spans="1:8">
      <c r="A7671" s="317" t="s">
        <v>40937</v>
      </c>
      <c r="B7671" s="330" t="s">
        <v>52029</v>
      </c>
      <c r="C7671" s="330" t="s">
        <v>18397</v>
      </c>
      <c r="D7671" s="330" t="s">
        <v>18398</v>
      </c>
      <c r="E7671" s="330" t="s">
        <v>37248</v>
      </c>
      <c r="F7671" s="331">
        <v>0.21</v>
      </c>
      <c r="G7671" s="332">
        <v>35991</v>
      </c>
      <c r="H7671" s="333">
        <v>43550</v>
      </c>
    </row>
    <row r="7672" spans="1:8">
      <c r="A7672" s="317" t="s">
        <v>40938</v>
      </c>
      <c r="B7672" s="330" t="s">
        <v>52030</v>
      </c>
      <c r="C7672" s="330" t="s">
        <v>18399</v>
      </c>
      <c r="D7672" s="330" t="s">
        <v>18400</v>
      </c>
      <c r="E7672" s="330" t="s">
        <v>4634</v>
      </c>
      <c r="F7672" s="331">
        <v>0.21</v>
      </c>
      <c r="G7672" s="332">
        <v>41275</v>
      </c>
      <c r="H7672" s="333">
        <v>49943</v>
      </c>
    </row>
    <row r="7673" spans="1:8">
      <c r="A7673" s="317" t="s">
        <v>40939</v>
      </c>
      <c r="B7673" s="330" t="s">
        <v>52031</v>
      </c>
      <c r="C7673" s="330" t="s">
        <v>18401</v>
      </c>
      <c r="D7673" s="330" t="s">
        <v>18402</v>
      </c>
      <c r="E7673" s="330" t="s">
        <v>37248</v>
      </c>
      <c r="F7673" s="331">
        <v>0.21</v>
      </c>
      <c r="G7673" s="332">
        <v>16153</v>
      </c>
      <c r="H7673" s="333">
        <v>19546</v>
      </c>
    </row>
    <row r="7674" spans="1:8">
      <c r="A7674" s="317" t="s">
        <v>40940</v>
      </c>
      <c r="B7674" s="330" t="s">
        <v>52032</v>
      </c>
      <c r="C7674" s="330" t="s">
        <v>18403</v>
      </c>
      <c r="D7674" s="330" t="s">
        <v>18404</v>
      </c>
      <c r="E7674" s="330" t="s">
        <v>37248</v>
      </c>
      <c r="F7674" s="331">
        <v>0.21</v>
      </c>
      <c r="G7674" s="332">
        <v>174</v>
      </c>
      <c r="H7674" s="333">
        <v>211</v>
      </c>
    </row>
    <row r="7675" spans="1:8">
      <c r="A7675" s="317" t="s">
        <v>40941</v>
      </c>
      <c r="B7675" s="330" t="s">
        <v>52033</v>
      </c>
      <c r="C7675" s="330" t="s">
        <v>18405</v>
      </c>
      <c r="D7675" s="330" t="s">
        <v>18406</v>
      </c>
      <c r="E7675" s="330" t="s">
        <v>37248</v>
      </c>
      <c r="F7675" s="331">
        <v>0.21</v>
      </c>
      <c r="G7675" s="332">
        <v>29945</v>
      </c>
      <c r="H7675" s="333">
        <v>36234</v>
      </c>
    </row>
    <row r="7676" spans="1:8">
      <c r="A7676" s="317" t="s">
        <v>40942</v>
      </c>
      <c r="B7676" s="330" t="s">
        <v>52034</v>
      </c>
      <c r="C7676" s="330" t="s">
        <v>18407</v>
      </c>
      <c r="D7676" s="330" t="s">
        <v>12614</v>
      </c>
      <c r="E7676" s="330" t="s">
        <v>37248</v>
      </c>
      <c r="F7676" s="331">
        <v>0.21</v>
      </c>
      <c r="G7676" s="332">
        <v>1208</v>
      </c>
      <c r="H7676" s="333">
        <v>1462</v>
      </c>
    </row>
    <row r="7677" spans="1:8">
      <c r="A7677" s="317" t="s">
        <v>40943</v>
      </c>
      <c r="B7677" s="330" t="s">
        <v>52035</v>
      </c>
      <c r="C7677" s="330" t="s">
        <v>18408</v>
      </c>
      <c r="D7677" s="330" t="s">
        <v>6729</v>
      </c>
      <c r="E7677" s="330" t="s">
        <v>37248</v>
      </c>
      <c r="F7677" s="331">
        <v>0.21</v>
      </c>
      <c r="G7677" s="332">
        <v>3056</v>
      </c>
      <c r="H7677" s="333">
        <v>3698</v>
      </c>
    </row>
    <row r="7678" spans="1:8">
      <c r="A7678" s="317" t="s">
        <v>40944</v>
      </c>
      <c r="B7678" s="330" t="s">
        <v>52036</v>
      </c>
      <c r="C7678" s="330" t="s">
        <v>18409</v>
      </c>
      <c r="D7678" s="330" t="s">
        <v>18410</v>
      </c>
      <c r="E7678" s="330" t="s">
        <v>4634</v>
      </c>
      <c r="F7678" s="331">
        <v>0.21</v>
      </c>
      <c r="G7678" s="332">
        <v>220</v>
      </c>
      <c r="H7678" s="333">
        <v>267</v>
      </c>
    </row>
    <row r="7679" spans="1:8">
      <c r="A7679" s="317" t="s">
        <v>18411</v>
      </c>
      <c r="B7679" s="330" t="s">
        <v>18411</v>
      </c>
      <c r="C7679" s="330" t="s">
        <v>18412</v>
      </c>
      <c r="D7679" s="330" t="s">
        <v>18413</v>
      </c>
      <c r="E7679" s="330" t="s">
        <v>4634</v>
      </c>
      <c r="F7679" s="331">
        <v>0.21</v>
      </c>
      <c r="G7679" s="332">
        <v>145</v>
      </c>
      <c r="H7679" s="333">
        <v>176</v>
      </c>
    </row>
    <row r="7680" spans="1:8">
      <c r="A7680" s="317" t="s">
        <v>18414</v>
      </c>
      <c r="B7680" s="330" t="s">
        <v>18414</v>
      </c>
      <c r="C7680" s="330" t="s">
        <v>18415</v>
      </c>
      <c r="D7680" s="330" t="s">
        <v>18416</v>
      </c>
      <c r="E7680" s="330" t="s">
        <v>4634</v>
      </c>
      <c r="F7680" s="331">
        <v>0.21</v>
      </c>
      <c r="G7680" s="332">
        <v>1474</v>
      </c>
      <c r="H7680" s="333">
        <v>1784</v>
      </c>
    </row>
    <row r="7681" spans="1:8">
      <c r="A7681" s="317" t="s">
        <v>40945</v>
      </c>
      <c r="B7681" s="330" t="s">
        <v>52037</v>
      </c>
      <c r="C7681" s="330" t="s">
        <v>18417</v>
      </c>
      <c r="D7681" s="330" t="s">
        <v>18418</v>
      </c>
      <c r="E7681" s="330" t="s">
        <v>37248</v>
      </c>
      <c r="F7681" s="331">
        <v>0.21</v>
      </c>
      <c r="G7681" s="332">
        <v>1740</v>
      </c>
      <c r="H7681" s="333">
        <v>2106</v>
      </c>
    </row>
    <row r="7682" spans="1:8">
      <c r="A7682" s="317" t="s">
        <v>40946</v>
      </c>
      <c r="B7682" s="330" t="s">
        <v>52038</v>
      </c>
      <c r="C7682" s="330" t="s">
        <v>18419</v>
      </c>
      <c r="D7682" s="330" t="s">
        <v>18420</v>
      </c>
      <c r="E7682" s="330" t="s">
        <v>4819</v>
      </c>
      <c r="F7682" s="331">
        <v>0.21</v>
      </c>
      <c r="G7682" s="332">
        <v>4396</v>
      </c>
      <c r="H7682" s="333">
        <v>5320</v>
      </c>
    </row>
    <row r="7683" spans="1:8">
      <c r="A7683" s="317" t="s">
        <v>40947</v>
      </c>
      <c r="B7683" s="330" t="s">
        <v>52039</v>
      </c>
      <c r="C7683" s="330" t="s">
        <v>18421</v>
      </c>
      <c r="D7683" s="330" t="s">
        <v>18422</v>
      </c>
      <c r="E7683" s="330" t="s">
        <v>4819</v>
      </c>
      <c r="F7683" s="331">
        <v>0.21</v>
      </c>
      <c r="G7683" s="332">
        <v>13790</v>
      </c>
      <c r="H7683" s="333">
        <v>16686</v>
      </c>
    </row>
    <row r="7684" spans="1:8">
      <c r="A7684" s="317" t="s">
        <v>40948</v>
      </c>
      <c r="B7684" s="330" t="s">
        <v>52040</v>
      </c>
      <c r="C7684" s="330" t="s">
        <v>18423</v>
      </c>
      <c r="D7684" s="330" t="s">
        <v>18424</v>
      </c>
      <c r="E7684" s="330" t="s">
        <v>4634</v>
      </c>
      <c r="F7684" s="331">
        <v>0.21</v>
      </c>
      <c r="G7684" s="332">
        <v>174</v>
      </c>
      <c r="H7684" s="333">
        <v>211</v>
      </c>
    </row>
    <row r="7685" spans="1:8">
      <c r="A7685" s="317" t="s">
        <v>40949</v>
      </c>
      <c r="B7685" s="330" t="s">
        <v>52041</v>
      </c>
      <c r="C7685" s="330" t="s">
        <v>18425</v>
      </c>
      <c r="D7685" s="330" t="s">
        <v>18380</v>
      </c>
      <c r="E7685" s="330" t="s">
        <v>37248</v>
      </c>
      <c r="F7685" s="331">
        <v>0.21</v>
      </c>
      <c r="G7685" s="332">
        <v>994</v>
      </c>
      <c r="H7685" s="333">
        <v>1203</v>
      </c>
    </row>
    <row r="7686" spans="1:8">
      <c r="A7686" s="317" t="s">
        <v>40950</v>
      </c>
      <c r="B7686" s="330" t="s">
        <v>52042</v>
      </c>
      <c r="C7686" s="330" t="s">
        <v>18426</v>
      </c>
      <c r="D7686" s="330" t="s">
        <v>15466</v>
      </c>
      <c r="E7686" s="330" t="s">
        <v>37248</v>
      </c>
      <c r="F7686" s="331">
        <v>0.21</v>
      </c>
      <c r="G7686" s="332">
        <v>107</v>
      </c>
      <c r="H7686" s="333">
        <v>130</v>
      </c>
    </row>
    <row r="7687" spans="1:8">
      <c r="A7687" s="317" t="s">
        <v>40951</v>
      </c>
      <c r="B7687" s="330" t="s">
        <v>52043</v>
      </c>
      <c r="C7687" s="330" t="s">
        <v>18427</v>
      </c>
      <c r="D7687" s="330" t="s">
        <v>18428</v>
      </c>
      <c r="E7687" s="330" t="s">
        <v>4819</v>
      </c>
      <c r="F7687" s="331">
        <v>0.21</v>
      </c>
      <c r="G7687" s="332">
        <v>25749</v>
      </c>
      <c r="H7687" s="333">
        <v>31157</v>
      </c>
    </row>
    <row r="7688" spans="1:8">
      <c r="A7688" s="317" t="s">
        <v>40952</v>
      </c>
      <c r="B7688" s="330" t="s">
        <v>52044</v>
      </c>
      <c r="C7688" s="330" t="s">
        <v>18429</v>
      </c>
      <c r="D7688" s="330" t="s">
        <v>5233</v>
      </c>
      <c r="E7688" s="330" t="s">
        <v>4634</v>
      </c>
      <c r="F7688" s="331">
        <v>0.21</v>
      </c>
      <c r="G7688" s="332">
        <v>153</v>
      </c>
      <c r="H7688" s="333">
        <v>186</v>
      </c>
    </row>
    <row r="7689" spans="1:8">
      <c r="A7689" s="317" t="s">
        <v>40953</v>
      </c>
      <c r="B7689" s="330" t="s">
        <v>52045</v>
      </c>
      <c r="C7689" s="330" t="s">
        <v>18430</v>
      </c>
      <c r="D7689" s="330" t="s">
        <v>18431</v>
      </c>
      <c r="E7689" s="330" t="s">
        <v>4634</v>
      </c>
      <c r="F7689" s="331">
        <v>0.21</v>
      </c>
      <c r="G7689" s="332">
        <v>174</v>
      </c>
      <c r="H7689" s="333">
        <v>211</v>
      </c>
    </row>
    <row r="7690" spans="1:8">
      <c r="A7690" s="317" t="s">
        <v>40954</v>
      </c>
      <c r="B7690" s="330" t="s">
        <v>52046</v>
      </c>
      <c r="C7690" s="330" t="s">
        <v>18432</v>
      </c>
      <c r="D7690" s="330" t="s">
        <v>18433</v>
      </c>
      <c r="E7690" s="330" t="s">
        <v>4819</v>
      </c>
      <c r="F7690" s="331">
        <v>0.21</v>
      </c>
      <c r="G7690" s="332">
        <v>789</v>
      </c>
      <c r="H7690" s="333">
        <v>955</v>
      </c>
    </row>
    <row r="7691" spans="1:8">
      <c r="A7691" s="317" t="s">
        <v>40955</v>
      </c>
      <c r="B7691" s="330" t="s">
        <v>52047</v>
      </c>
      <c r="C7691" s="330" t="s">
        <v>18434</v>
      </c>
      <c r="D7691" s="330" t="s">
        <v>18435</v>
      </c>
      <c r="E7691" s="330" t="s">
        <v>37248</v>
      </c>
      <c r="F7691" s="331">
        <v>0.21</v>
      </c>
      <c r="G7691" s="332">
        <v>814</v>
      </c>
      <c r="H7691" s="333">
        <v>985</v>
      </c>
    </row>
    <row r="7692" spans="1:8">
      <c r="A7692" s="317" t="s">
        <v>40956</v>
      </c>
      <c r="B7692" s="330" t="s">
        <v>52048</v>
      </c>
      <c r="C7692" s="330" t="s">
        <v>18436</v>
      </c>
      <c r="D7692" s="330" t="s">
        <v>17784</v>
      </c>
      <c r="E7692" s="330" t="s">
        <v>4634</v>
      </c>
      <c r="F7692" s="331">
        <v>0.21</v>
      </c>
      <c r="G7692" s="332">
        <v>455</v>
      </c>
      <c r="H7692" s="333">
        <v>551</v>
      </c>
    </row>
    <row r="7693" spans="1:8">
      <c r="A7693" s="317" t="s">
        <v>40957</v>
      </c>
      <c r="B7693" s="330" t="s">
        <v>52049</v>
      </c>
      <c r="C7693" s="330" t="s">
        <v>18437</v>
      </c>
      <c r="D7693" s="330" t="s">
        <v>18438</v>
      </c>
      <c r="E7693" s="330" t="s">
        <v>37248</v>
      </c>
      <c r="F7693" s="331">
        <v>0.21</v>
      </c>
      <c r="G7693" s="332">
        <v>2237</v>
      </c>
      <c r="H7693" s="333">
        <v>2707</v>
      </c>
    </row>
    <row r="7694" spans="1:8">
      <c r="A7694" s="317" t="s">
        <v>40958</v>
      </c>
      <c r="B7694" s="330" t="s">
        <v>52050</v>
      </c>
      <c r="C7694" s="330" t="s">
        <v>18439</v>
      </c>
      <c r="D7694" s="330" t="s">
        <v>18440</v>
      </c>
      <c r="E7694" s="330" t="s">
        <v>37248</v>
      </c>
      <c r="F7694" s="331">
        <v>0.21</v>
      </c>
      <c r="G7694" s="332">
        <v>205</v>
      </c>
      <c r="H7694" s="333">
        <v>249</v>
      </c>
    </row>
    <row r="7695" spans="1:8">
      <c r="A7695" s="317" t="s">
        <v>40959</v>
      </c>
      <c r="B7695" s="330" t="s">
        <v>52051</v>
      </c>
      <c r="C7695" s="330" t="s">
        <v>18441</v>
      </c>
      <c r="D7695" s="330" t="s">
        <v>18442</v>
      </c>
      <c r="E7695" s="330" t="s">
        <v>37248</v>
      </c>
      <c r="F7695" s="331">
        <v>0.21</v>
      </c>
      <c r="G7695" s="332">
        <v>1373</v>
      </c>
      <c r="H7695" s="333">
        <v>1662</v>
      </c>
    </row>
    <row r="7696" spans="1:8">
      <c r="A7696" s="317" t="s">
        <v>40960</v>
      </c>
      <c r="B7696" s="330" t="s">
        <v>52052</v>
      </c>
      <c r="C7696" s="330" t="s">
        <v>18443</v>
      </c>
      <c r="D7696" s="330" t="s">
        <v>18444</v>
      </c>
      <c r="E7696" s="330" t="s">
        <v>37248</v>
      </c>
      <c r="F7696" s="331">
        <v>0.21</v>
      </c>
      <c r="G7696" s="332">
        <v>807</v>
      </c>
      <c r="H7696" s="333">
        <v>977</v>
      </c>
    </row>
    <row r="7697" spans="1:8">
      <c r="A7697" s="317" t="s">
        <v>40961</v>
      </c>
      <c r="B7697" s="330" t="s">
        <v>52053</v>
      </c>
      <c r="C7697" s="330" t="s">
        <v>18445</v>
      </c>
      <c r="D7697" s="330" t="s">
        <v>18446</v>
      </c>
      <c r="E7697" s="330" t="s">
        <v>37248</v>
      </c>
      <c r="F7697" s="331">
        <v>0.21</v>
      </c>
      <c r="G7697" s="332">
        <v>15222</v>
      </c>
      <c r="H7697" s="333">
        <v>18419</v>
      </c>
    </row>
    <row r="7698" spans="1:8">
      <c r="A7698" s="317" t="s">
        <v>40962</v>
      </c>
      <c r="B7698" s="330" t="s">
        <v>52054</v>
      </c>
      <c r="C7698" s="330" t="s">
        <v>18447</v>
      </c>
      <c r="D7698" s="330" t="s">
        <v>18446</v>
      </c>
      <c r="E7698" s="330" t="s">
        <v>4819</v>
      </c>
      <c r="F7698" s="331">
        <v>0.21</v>
      </c>
      <c r="G7698" s="332">
        <v>5436</v>
      </c>
      <c r="H7698" s="333">
        <v>6578</v>
      </c>
    </row>
    <row r="7699" spans="1:8">
      <c r="A7699" s="317" t="s">
        <v>40963</v>
      </c>
      <c r="B7699" s="330" t="s">
        <v>52055</v>
      </c>
      <c r="C7699" s="330" t="s">
        <v>18448</v>
      </c>
      <c r="D7699" s="330" t="s">
        <v>18449</v>
      </c>
      <c r="E7699" s="330" t="s">
        <v>4819</v>
      </c>
      <c r="F7699" s="331">
        <v>0.21</v>
      </c>
      <c r="G7699" s="332">
        <v>2509</v>
      </c>
      <c r="H7699" s="333">
        <v>3036</v>
      </c>
    </row>
    <row r="7700" spans="1:8">
      <c r="A7700" s="317" t="s">
        <v>40964</v>
      </c>
      <c r="B7700" s="330" t="s">
        <v>52056</v>
      </c>
      <c r="C7700" s="330" t="s">
        <v>18450</v>
      </c>
      <c r="D7700" s="330" t="s">
        <v>18451</v>
      </c>
      <c r="E7700" s="330" t="s">
        <v>37248</v>
      </c>
      <c r="F7700" s="331">
        <v>0.21</v>
      </c>
      <c r="G7700" s="332">
        <v>20752</v>
      </c>
      <c r="H7700" s="333">
        <v>25110</v>
      </c>
    </row>
    <row r="7701" spans="1:8">
      <c r="A7701" s="317" t="s">
        <v>40965</v>
      </c>
      <c r="B7701" s="330" t="s">
        <v>52057</v>
      </c>
      <c r="C7701" s="330" t="s">
        <v>18452</v>
      </c>
      <c r="D7701" s="330" t="s">
        <v>18453</v>
      </c>
      <c r="E7701" s="330" t="s">
        <v>4634</v>
      </c>
      <c r="F7701" s="331">
        <v>0.21</v>
      </c>
      <c r="G7701" s="332">
        <v>2649</v>
      </c>
      <c r="H7701" s="333">
        <v>3206</v>
      </c>
    </row>
    <row r="7702" spans="1:8">
      <c r="A7702" s="317" t="s">
        <v>40966</v>
      </c>
      <c r="B7702" s="330" t="s">
        <v>52058</v>
      </c>
      <c r="C7702" s="330" t="s">
        <v>18454</v>
      </c>
      <c r="D7702" s="330" t="s">
        <v>18455</v>
      </c>
      <c r="E7702" s="330" t="s">
        <v>4634</v>
      </c>
      <c r="F7702" s="331">
        <v>0.21</v>
      </c>
      <c r="G7702" s="332">
        <v>2398</v>
      </c>
      <c r="H7702" s="333">
        <v>2902</v>
      </c>
    </row>
    <row r="7703" spans="1:8">
      <c r="A7703" s="317" t="s">
        <v>40967</v>
      </c>
      <c r="B7703" s="330" t="s">
        <v>52059</v>
      </c>
      <c r="C7703" s="330" t="s">
        <v>18456</v>
      </c>
      <c r="D7703" s="330" t="s">
        <v>18457</v>
      </c>
      <c r="E7703" s="330" t="s">
        <v>4634</v>
      </c>
      <c r="F7703" s="331">
        <v>0.21</v>
      </c>
      <c r="G7703" s="332">
        <v>2398</v>
      </c>
      <c r="H7703" s="333">
        <v>2902</v>
      </c>
    </row>
    <row r="7704" spans="1:8">
      <c r="A7704" s="317" t="s">
        <v>40968</v>
      </c>
      <c r="B7704" s="330" t="s">
        <v>52060</v>
      </c>
      <c r="C7704" s="330" t="s">
        <v>18458</v>
      </c>
      <c r="D7704" s="330" t="s">
        <v>18459</v>
      </c>
      <c r="E7704" s="330" t="s">
        <v>4623</v>
      </c>
      <c r="F7704" s="331">
        <v>0.21</v>
      </c>
      <c r="G7704" s="332">
        <v>11129</v>
      </c>
      <c r="H7704" s="333">
        <v>13467</v>
      </c>
    </row>
    <row r="7705" spans="1:8">
      <c r="A7705" s="317" t="s">
        <v>40969</v>
      </c>
      <c r="B7705" s="330" t="s">
        <v>52061</v>
      </c>
      <c r="C7705" s="330" t="s">
        <v>18460</v>
      </c>
      <c r="D7705" s="330" t="s">
        <v>18461</v>
      </c>
      <c r="E7705" s="330" t="s">
        <v>4623</v>
      </c>
      <c r="F7705" s="331">
        <v>0.21</v>
      </c>
      <c r="G7705" s="332">
        <v>8485</v>
      </c>
      <c r="H7705" s="333">
        <v>10267</v>
      </c>
    </row>
    <row r="7706" spans="1:8">
      <c r="A7706" s="317" t="s">
        <v>40970</v>
      </c>
      <c r="B7706" s="330" t="s">
        <v>52062</v>
      </c>
      <c r="C7706" s="330" t="s">
        <v>18462</v>
      </c>
      <c r="D7706" s="330" t="s">
        <v>18463</v>
      </c>
      <c r="E7706" s="330" t="s">
        <v>37248</v>
      </c>
      <c r="F7706" s="331">
        <v>0.21</v>
      </c>
      <c r="G7706" s="332">
        <v>2333</v>
      </c>
      <c r="H7706" s="333">
        <v>2823</v>
      </c>
    </row>
    <row r="7707" spans="1:8">
      <c r="A7707" s="317" t="s">
        <v>40971</v>
      </c>
      <c r="B7707" s="330" t="s">
        <v>52063</v>
      </c>
      <c r="C7707" s="330" t="s">
        <v>18464</v>
      </c>
      <c r="D7707" s="330" t="s">
        <v>18465</v>
      </c>
      <c r="E7707" s="330" t="s">
        <v>4634</v>
      </c>
      <c r="F7707" s="331">
        <v>0.21</v>
      </c>
      <c r="G7707" s="332">
        <v>47718</v>
      </c>
      <c r="H7707" s="333">
        <v>57739</v>
      </c>
    </row>
    <row r="7708" spans="1:8">
      <c r="A7708" s="317" t="s">
        <v>40972</v>
      </c>
      <c r="B7708" s="330" t="s">
        <v>52064</v>
      </c>
      <c r="C7708" s="330" t="s">
        <v>18466</v>
      </c>
      <c r="D7708" s="330" t="s">
        <v>18467</v>
      </c>
      <c r="E7708" s="330" t="s">
        <v>37248</v>
      </c>
      <c r="F7708" s="331">
        <v>0.21</v>
      </c>
      <c r="G7708" s="332">
        <v>20465</v>
      </c>
      <c r="H7708" s="333">
        <v>24763</v>
      </c>
    </row>
    <row r="7709" spans="1:8">
      <c r="A7709" s="317" t="s">
        <v>40973</v>
      </c>
      <c r="B7709" s="330" t="s">
        <v>52065</v>
      </c>
      <c r="C7709" s="330" t="s">
        <v>18468</v>
      </c>
      <c r="D7709" s="330" t="s">
        <v>18469</v>
      </c>
      <c r="E7709" s="330" t="s">
        <v>4623</v>
      </c>
      <c r="F7709" s="331">
        <v>0.21</v>
      </c>
      <c r="G7709" s="332">
        <v>91035</v>
      </c>
      <c r="H7709" s="333">
        <v>110153</v>
      </c>
    </row>
    <row r="7710" spans="1:8">
      <c r="A7710" s="317" t="s">
        <v>40974</v>
      </c>
      <c r="B7710" s="330" t="s">
        <v>52066</v>
      </c>
      <c r="C7710" s="330" t="s">
        <v>18470</v>
      </c>
      <c r="D7710" s="330" t="s">
        <v>18471</v>
      </c>
      <c r="E7710" s="330" t="s">
        <v>4634</v>
      </c>
      <c r="F7710" s="331">
        <v>0.21</v>
      </c>
      <c r="G7710" s="332">
        <v>1106</v>
      </c>
      <c r="H7710" s="333">
        <v>1339</v>
      </c>
    </row>
    <row r="7711" spans="1:8">
      <c r="A7711" s="317" t="s">
        <v>40975</v>
      </c>
      <c r="B7711" s="330" t="s">
        <v>52067</v>
      </c>
      <c r="C7711" s="330" t="s">
        <v>18472</v>
      </c>
      <c r="D7711" s="330" t="s">
        <v>18473</v>
      </c>
      <c r="E7711" s="330" t="s">
        <v>4634</v>
      </c>
      <c r="F7711" s="331">
        <v>0.21</v>
      </c>
      <c r="G7711" s="332">
        <v>455</v>
      </c>
      <c r="H7711" s="333">
        <v>551</v>
      </c>
    </row>
    <row r="7712" spans="1:8">
      <c r="A7712" s="317" t="s">
        <v>40976</v>
      </c>
      <c r="B7712" s="330" t="s">
        <v>52068</v>
      </c>
      <c r="C7712" s="330" t="s">
        <v>18474</v>
      </c>
      <c r="D7712" s="330" t="s">
        <v>18475</v>
      </c>
      <c r="E7712" s="330" t="s">
        <v>4623</v>
      </c>
      <c r="F7712" s="331">
        <v>0.21</v>
      </c>
      <c r="G7712" s="332">
        <v>3774</v>
      </c>
      <c r="H7712" s="333">
        <v>4567</v>
      </c>
    </row>
    <row r="7713" spans="1:8">
      <c r="A7713" s="317" t="s">
        <v>40977</v>
      </c>
      <c r="B7713" s="330" t="s">
        <v>52069</v>
      </c>
      <c r="C7713" s="330" t="s">
        <v>18476</v>
      </c>
      <c r="D7713" s="330" t="s">
        <v>18477</v>
      </c>
      <c r="E7713" s="330" t="s">
        <v>4634</v>
      </c>
      <c r="F7713" s="331">
        <v>0.21</v>
      </c>
      <c r="G7713" s="332">
        <v>8662</v>
      </c>
      <c r="H7713" s="333">
        <v>10482</v>
      </c>
    </row>
    <row r="7714" spans="1:8">
      <c r="A7714" s="317" t="s">
        <v>40978</v>
      </c>
      <c r="B7714" s="330" t="s">
        <v>52070</v>
      </c>
      <c r="C7714" s="330" t="s">
        <v>18478</v>
      </c>
      <c r="D7714" s="330" t="s">
        <v>18461</v>
      </c>
      <c r="E7714" s="330" t="s">
        <v>4819</v>
      </c>
      <c r="F7714" s="331">
        <v>0.21</v>
      </c>
      <c r="G7714" s="332">
        <v>3442</v>
      </c>
      <c r="H7714" s="333">
        <v>4165</v>
      </c>
    </row>
    <row r="7715" spans="1:8">
      <c r="A7715" s="317" t="s">
        <v>40979</v>
      </c>
      <c r="B7715" s="330" t="s">
        <v>52071</v>
      </c>
      <c r="C7715" s="330" t="s">
        <v>18479</v>
      </c>
      <c r="D7715" s="330" t="s">
        <v>18480</v>
      </c>
      <c r="E7715" s="330" t="s">
        <v>37248</v>
      </c>
      <c r="F7715" s="331">
        <v>0.21</v>
      </c>
      <c r="G7715" s="332">
        <v>1905</v>
      </c>
      <c r="H7715" s="333">
        <v>2306</v>
      </c>
    </row>
    <row r="7716" spans="1:8">
      <c r="A7716" s="317" t="s">
        <v>40980</v>
      </c>
      <c r="B7716" s="330" t="s">
        <v>52072</v>
      </c>
      <c r="C7716" s="330" t="s">
        <v>18481</v>
      </c>
      <c r="D7716" s="330" t="s">
        <v>18482</v>
      </c>
      <c r="E7716" s="330" t="s">
        <v>37248</v>
      </c>
      <c r="F7716" s="331">
        <v>0.21</v>
      </c>
      <c r="G7716" s="332">
        <v>39984</v>
      </c>
      <c r="H7716" s="333">
        <v>48381</v>
      </c>
    </row>
    <row r="7717" spans="1:8">
      <c r="A7717" s="317" t="s">
        <v>40981</v>
      </c>
      <c r="B7717" s="330" t="s">
        <v>52073</v>
      </c>
      <c r="C7717" s="330" t="s">
        <v>18483</v>
      </c>
      <c r="D7717" s="330" t="s">
        <v>14319</v>
      </c>
      <c r="E7717" s="330" t="s">
        <v>37248</v>
      </c>
      <c r="F7717" s="331">
        <v>0.21</v>
      </c>
      <c r="G7717" s="332">
        <v>579</v>
      </c>
      <c r="H7717" s="333">
        <v>701</v>
      </c>
    </row>
    <row r="7718" spans="1:8">
      <c r="A7718" s="317" t="s">
        <v>40982</v>
      </c>
      <c r="B7718" s="330" t="s">
        <v>52074</v>
      </c>
      <c r="C7718" s="330" t="s">
        <v>18484</v>
      </c>
      <c r="D7718" s="330" t="s">
        <v>18485</v>
      </c>
      <c r="E7718" s="330" t="s">
        <v>37248</v>
      </c>
      <c r="F7718" s="331">
        <v>0.21</v>
      </c>
      <c r="G7718" s="332">
        <v>22912</v>
      </c>
      <c r="H7718" s="333">
        <v>27724</v>
      </c>
    </row>
    <row r="7719" spans="1:8">
      <c r="A7719" s="317" t="s">
        <v>40983</v>
      </c>
      <c r="B7719" s="330" t="s">
        <v>52075</v>
      </c>
      <c r="C7719" s="330" t="s">
        <v>18486</v>
      </c>
      <c r="D7719" s="330" t="s">
        <v>18487</v>
      </c>
      <c r="E7719" s="330" t="s">
        <v>4634</v>
      </c>
      <c r="F7719" s="331">
        <v>0.21</v>
      </c>
      <c r="G7719" s="332">
        <v>564</v>
      </c>
      <c r="H7719" s="333">
        <v>683</v>
      </c>
    </row>
    <row r="7720" spans="1:8">
      <c r="A7720" s="317" t="s">
        <v>40984</v>
      </c>
      <c r="B7720" s="330" t="s">
        <v>52076</v>
      </c>
      <c r="C7720" s="330" t="s">
        <v>18488</v>
      </c>
      <c r="D7720" s="330" t="s">
        <v>18489</v>
      </c>
      <c r="E7720" s="330" t="s">
        <v>4819</v>
      </c>
      <c r="F7720" s="331">
        <v>0.21</v>
      </c>
      <c r="G7720" s="332">
        <v>10923</v>
      </c>
      <c r="H7720" s="333">
        <v>13217</v>
      </c>
    </row>
    <row r="7721" spans="1:8">
      <c r="A7721" s="317" t="s">
        <v>40985</v>
      </c>
      <c r="B7721" s="330" t="s">
        <v>52077</v>
      </c>
      <c r="C7721" s="330" t="s">
        <v>18490</v>
      </c>
      <c r="D7721" s="330" t="s">
        <v>18491</v>
      </c>
      <c r="E7721" s="330" t="s">
        <v>37248</v>
      </c>
      <c r="F7721" s="331">
        <v>0.21</v>
      </c>
      <c r="G7721" s="332">
        <v>24047</v>
      </c>
      <c r="H7721" s="333">
        <v>29097</v>
      </c>
    </row>
    <row r="7722" spans="1:8">
      <c r="A7722" s="317" t="s">
        <v>40986</v>
      </c>
      <c r="B7722" s="330" t="s">
        <v>52078</v>
      </c>
      <c r="C7722" s="330" t="s">
        <v>18492</v>
      </c>
      <c r="D7722" s="330" t="s">
        <v>14454</v>
      </c>
      <c r="E7722" s="330" t="s">
        <v>4819</v>
      </c>
      <c r="F7722" s="331">
        <v>0.21</v>
      </c>
      <c r="G7722" s="332">
        <v>21966</v>
      </c>
      <c r="H7722" s="333">
        <v>26579</v>
      </c>
    </row>
    <row r="7723" spans="1:8">
      <c r="A7723" s="317" t="s">
        <v>40987</v>
      </c>
      <c r="B7723" s="330" t="s">
        <v>52079</v>
      </c>
      <c r="C7723" s="330" t="s">
        <v>18493</v>
      </c>
      <c r="D7723" s="330" t="s">
        <v>18494</v>
      </c>
      <c r="E7723" s="330" t="s">
        <v>4634</v>
      </c>
      <c r="F7723" s="331">
        <v>0.21</v>
      </c>
      <c r="G7723" s="332">
        <v>29225</v>
      </c>
      <c r="H7723" s="333">
        <v>35363</v>
      </c>
    </row>
    <row r="7724" spans="1:8">
      <c r="A7724" s="317" t="s">
        <v>40988</v>
      </c>
      <c r="B7724" s="330" t="s">
        <v>52080</v>
      </c>
      <c r="C7724" s="330" t="s">
        <v>18495</v>
      </c>
      <c r="D7724" s="330" t="s">
        <v>18496</v>
      </c>
      <c r="E7724" s="330" t="s">
        <v>4819</v>
      </c>
      <c r="F7724" s="331">
        <v>0.21</v>
      </c>
      <c r="G7724" s="332">
        <v>845</v>
      </c>
      <c r="H7724" s="333">
        <v>1023</v>
      </c>
    </row>
    <row r="7725" spans="1:8">
      <c r="A7725" s="317" t="s">
        <v>40989</v>
      </c>
      <c r="B7725" s="330" t="s">
        <v>52081</v>
      </c>
      <c r="C7725" s="330" t="s">
        <v>18497</v>
      </c>
      <c r="D7725" s="330" t="s">
        <v>14331</v>
      </c>
      <c r="E7725" s="330" t="s">
        <v>37248</v>
      </c>
      <c r="F7725" s="331">
        <v>0.21</v>
      </c>
      <c r="G7725" s="332">
        <v>6255</v>
      </c>
      <c r="H7725" s="333">
        <v>7569</v>
      </c>
    </row>
    <row r="7726" spans="1:8">
      <c r="A7726" s="317" t="s">
        <v>40990</v>
      </c>
      <c r="B7726" s="330" t="s">
        <v>52082</v>
      </c>
      <c r="C7726" s="330" t="s">
        <v>18498</v>
      </c>
      <c r="D7726" s="330" t="s">
        <v>18499</v>
      </c>
      <c r="E7726" s="330" t="s">
        <v>4819</v>
      </c>
      <c r="F7726" s="331">
        <v>0.21</v>
      </c>
      <c r="G7726" s="332">
        <v>3979</v>
      </c>
      <c r="H7726" s="333">
        <v>4815</v>
      </c>
    </row>
    <row r="7727" spans="1:8">
      <c r="A7727" s="317" t="s">
        <v>40991</v>
      </c>
      <c r="B7727" s="330" t="s">
        <v>52083</v>
      </c>
      <c r="C7727" s="330" t="s">
        <v>18500</v>
      </c>
      <c r="D7727" s="330" t="s">
        <v>18501</v>
      </c>
      <c r="E7727" s="330" t="s">
        <v>37248</v>
      </c>
      <c r="F7727" s="331">
        <v>0.21</v>
      </c>
      <c r="G7727" s="332">
        <v>25046</v>
      </c>
      <c r="H7727" s="333">
        <v>30306</v>
      </c>
    </row>
    <row r="7728" spans="1:8">
      <c r="A7728" s="317" t="s">
        <v>40992</v>
      </c>
      <c r="B7728" s="330" t="s">
        <v>52084</v>
      </c>
      <c r="C7728" s="330" t="s">
        <v>18502</v>
      </c>
      <c r="D7728" s="330" t="s">
        <v>18503</v>
      </c>
      <c r="E7728" s="330" t="s">
        <v>4819</v>
      </c>
      <c r="F7728" s="331">
        <v>0.21</v>
      </c>
      <c r="G7728" s="332">
        <v>3506</v>
      </c>
      <c r="H7728" s="333">
        <v>4243</v>
      </c>
    </row>
    <row r="7729" spans="1:8">
      <c r="A7729" s="317" t="s">
        <v>40993</v>
      </c>
      <c r="B7729" s="330" t="s">
        <v>52085</v>
      </c>
      <c r="C7729" s="330" t="s">
        <v>18504</v>
      </c>
      <c r="D7729" s="330" t="s">
        <v>18505</v>
      </c>
      <c r="E7729" s="330" t="s">
        <v>4819</v>
      </c>
      <c r="F7729" s="331">
        <v>0.21</v>
      </c>
      <c r="G7729" s="332">
        <v>8039</v>
      </c>
      <c r="H7729" s="333">
        <v>9728</v>
      </c>
    </row>
    <row r="7730" spans="1:8">
      <c r="A7730" s="317" t="s">
        <v>40994</v>
      </c>
      <c r="B7730" s="330" t="s">
        <v>52086</v>
      </c>
      <c r="C7730" s="330" t="s">
        <v>18506</v>
      </c>
      <c r="D7730" s="330" t="s">
        <v>16603</v>
      </c>
      <c r="E7730" s="330" t="s">
        <v>37248</v>
      </c>
      <c r="F7730" s="331">
        <v>0.21</v>
      </c>
      <c r="G7730" s="332">
        <v>1953</v>
      </c>
      <c r="H7730" s="333">
        <v>2364</v>
      </c>
    </row>
    <row r="7731" spans="1:8">
      <c r="A7731" s="317" t="s">
        <v>40995</v>
      </c>
      <c r="B7731" s="330" t="s">
        <v>52087</v>
      </c>
      <c r="C7731" s="330" t="s">
        <v>18507</v>
      </c>
      <c r="D7731" s="330" t="s">
        <v>14454</v>
      </c>
      <c r="E7731" s="330" t="s">
        <v>4623</v>
      </c>
      <c r="F7731" s="331">
        <v>0.21</v>
      </c>
      <c r="G7731" s="332">
        <v>9270</v>
      </c>
      <c r="H7731" s="333">
        <v>11217</v>
      </c>
    </row>
    <row r="7732" spans="1:8">
      <c r="A7732" s="317" t="s">
        <v>40996</v>
      </c>
      <c r="B7732" s="330" t="s">
        <v>52088</v>
      </c>
      <c r="C7732" s="330" t="s">
        <v>18508</v>
      </c>
      <c r="D7732" s="330" t="s">
        <v>18509</v>
      </c>
      <c r="E7732" s="330" t="s">
        <v>37248</v>
      </c>
      <c r="F7732" s="331">
        <v>0.21</v>
      </c>
      <c r="G7732" s="332">
        <v>383</v>
      </c>
      <c r="H7732" s="333">
        <v>464</v>
      </c>
    </row>
    <row r="7733" spans="1:8">
      <c r="A7733" s="317" t="s">
        <v>40997</v>
      </c>
      <c r="B7733" s="330" t="s">
        <v>52089</v>
      </c>
      <c r="C7733" s="330" t="s">
        <v>18510</v>
      </c>
      <c r="D7733" s="330" t="s">
        <v>18511</v>
      </c>
      <c r="E7733" s="330" t="s">
        <v>37248</v>
      </c>
      <c r="F7733" s="331">
        <v>0.21</v>
      </c>
      <c r="G7733" s="332">
        <v>46156</v>
      </c>
      <c r="H7733" s="333">
        <v>55849</v>
      </c>
    </row>
    <row r="7734" spans="1:8">
      <c r="A7734" s="317" t="s">
        <v>40998</v>
      </c>
      <c r="B7734" s="330" t="s">
        <v>52090</v>
      </c>
      <c r="C7734" s="330" t="s">
        <v>18512</v>
      </c>
      <c r="D7734" s="330" t="s">
        <v>18513</v>
      </c>
      <c r="E7734" s="330" t="s">
        <v>37248</v>
      </c>
      <c r="F7734" s="331">
        <v>0.21</v>
      </c>
      <c r="G7734" s="332">
        <v>2690</v>
      </c>
      <c r="H7734" s="333">
        <v>3255</v>
      </c>
    </row>
    <row r="7735" spans="1:8">
      <c r="A7735" s="317" t="s">
        <v>40999</v>
      </c>
      <c r="B7735" s="330" t="s">
        <v>52091</v>
      </c>
      <c r="C7735" s="330" t="s">
        <v>18514</v>
      </c>
      <c r="D7735" s="330" t="s">
        <v>18461</v>
      </c>
      <c r="E7735" s="330" t="s">
        <v>4634</v>
      </c>
      <c r="F7735" s="331">
        <v>0.21</v>
      </c>
      <c r="G7735" s="332">
        <v>455</v>
      </c>
      <c r="H7735" s="333">
        <v>551</v>
      </c>
    </row>
    <row r="7736" spans="1:8">
      <c r="A7736" s="317" t="s">
        <v>41000</v>
      </c>
      <c r="B7736" s="330" t="s">
        <v>52092</v>
      </c>
      <c r="C7736" s="330" t="s">
        <v>18515</v>
      </c>
      <c r="D7736" s="330" t="s">
        <v>18516</v>
      </c>
      <c r="E7736" s="330" t="s">
        <v>4634</v>
      </c>
      <c r="F7736" s="331">
        <v>0.21</v>
      </c>
      <c r="G7736" s="332">
        <v>10618</v>
      </c>
      <c r="H7736" s="333">
        <v>12848</v>
      </c>
    </row>
    <row r="7737" spans="1:8">
      <c r="A7737" s="317" t="s">
        <v>41001</v>
      </c>
      <c r="B7737" s="330" t="s">
        <v>52093</v>
      </c>
      <c r="C7737" s="330" t="s">
        <v>18517</v>
      </c>
      <c r="D7737" s="330" t="s">
        <v>18518</v>
      </c>
      <c r="E7737" s="330" t="s">
        <v>4634</v>
      </c>
      <c r="F7737" s="331">
        <v>0.21</v>
      </c>
      <c r="G7737" s="332">
        <v>992</v>
      </c>
      <c r="H7737" s="333">
        <v>1201</v>
      </c>
    </row>
    <row r="7738" spans="1:8">
      <c r="A7738" s="317" t="s">
        <v>41002</v>
      </c>
      <c r="B7738" s="330" t="s">
        <v>52094</v>
      </c>
      <c r="C7738" s="330" t="s">
        <v>18519</v>
      </c>
      <c r="D7738" s="330" t="s">
        <v>18520</v>
      </c>
      <c r="E7738" s="330" t="s">
        <v>37248</v>
      </c>
      <c r="F7738" s="331">
        <v>0.21</v>
      </c>
      <c r="G7738" s="332">
        <v>3499</v>
      </c>
      <c r="H7738" s="333">
        <v>4234</v>
      </c>
    </row>
    <row r="7739" spans="1:8">
      <c r="A7739" s="317" t="s">
        <v>41003</v>
      </c>
      <c r="B7739" s="330" t="s">
        <v>52095</v>
      </c>
      <c r="C7739" s="330" t="s">
        <v>18521</v>
      </c>
      <c r="D7739" s="330" t="s">
        <v>18522</v>
      </c>
      <c r="E7739" s="330" t="s">
        <v>4623</v>
      </c>
      <c r="F7739" s="331">
        <v>0.21</v>
      </c>
      <c r="G7739" s="332">
        <v>3176</v>
      </c>
      <c r="H7739" s="333">
        <v>3843</v>
      </c>
    </row>
    <row r="7740" spans="1:8">
      <c r="A7740" s="317" t="s">
        <v>41004</v>
      </c>
      <c r="B7740" s="330" t="s">
        <v>52096</v>
      </c>
      <c r="C7740" s="330" t="s">
        <v>18523</v>
      </c>
      <c r="D7740" s="330" t="s">
        <v>18524</v>
      </c>
      <c r="E7740" s="330" t="s">
        <v>4634</v>
      </c>
      <c r="F7740" s="331">
        <v>0.21</v>
      </c>
      <c r="G7740" s="332">
        <v>4871</v>
      </c>
      <c r="H7740" s="333">
        <v>5894</v>
      </c>
    </row>
    <row r="7741" spans="1:8">
      <c r="A7741" s="317" t="s">
        <v>41005</v>
      </c>
      <c r="B7741" s="330" t="s">
        <v>52097</v>
      </c>
      <c r="C7741" s="330" t="s">
        <v>18525</v>
      </c>
      <c r="D7741" s="330" t="s">
        <v>18526</v>
      </c>
      <c r="E7741" s="330" t="s">
        <v>4623</v>
      </c>
      <c r="F7741" s="331">
        <v>0.21</v>
      </c>
      <c r="G7741" s="332">
        <v>4934</v>
      </c>
      <c r="H7741" s="333">
        <v>5971</v>
      </c>
    </row>
    <row r="7742" spans="1:8">
      <c r="A7742" s="317" t="s">
        <v>41006</v>
      </c>
      <c r="B7742" s="330" t="s">
        <v>52098</v>
      </c>
      <c r="C7742" s="330" t="s">
        <v>18527</v>
      </c>
      <c r="D7742" s="330" t="s">
        <v>18528</v>
      </c>
      <c r="E7742" s="330" t="s">
        <v>37248</v>
      </c>
      <c r="F7742" s="331">
        <v>0.21</v>
      </c>
      <c r="G7742" s="332">
        <v>8039</v>
      </c>
      <c r="H7742" s="333">
        <v>9728</v>
      </c>
    </row>
    <row r="7743" spans="1:8">
      <c r="A7743" s="317" t="s">
        <v>41007</v>
      </c>
      <c r="B7743" s="330" t="s">
        <v>52099</v>
      </c>
      <c r="C7743" s="330" t="s">
        <v>18529</v>
      </c>
      <c r="D7743" s="330" t="s">
        <v>18530</v>
      </c>
      <c r="E7743" s="330" t="s">
        <v>37248</v>
      </c>
      <c r="F7743" s="331">
        <v>0.21</v>
      </c>
      <c r="G7743" s="332">
        <v>20949</v>
      </c>
      <c r="H7743" s="333">
        <v>25349</v>
      </c>
    </row>
    <row r="7744" spans="1:8">
      <c r="A7744" s="317" t="s">
        <v>41008</v>
      </c>
      <c r="B7744" s="330" t="s">
        <v>52100</v>
      </c>
      <c r="C7744" s="330" t="s">
        <v>18531</v>
      </c>
      <c r="D7744" s="330" t="s">
        <v>18532</v>
      </c>
      <c r="E7744" s="330" t="s">
        <v>4819</v>
      </c>
      <c r="F7744" s="331">
        <v>0.21</v>
      </c>
      <c r="G7744" s="332">
        <v>410</v>
      </c>
      <c r="H7744" s="333">
        <v>497</v>
      </c>
    </row>
    <row r="7745" spans="1:8">
      <c r="A7745" s="317" t="s">
        <v>41009</v>
      </c>
      <c r="B7745" s="330" t="s">
        <v>52101</v>
      </c>
      <c r="C7745" s="330" t="s">
        <v>18533</v>
      </c>
      <c r="D7745" s="330" t="s">
        <v>18534</v>
      </c>
      <c r="E7745" s="330" t="s">
        <v>37248</v>
      </c>
      <c r="F7745" s="331">
        <v>0.21</v>
      </c>
      <c r="G7745" s="332">
        <v>314</v>
      </c>
      <c r="H7745" s="333">
        <v>380</v>
      </c>
    </row>
    <row r="7746" spans="1:8">
      <c r="A7746" s="317" t="s">
        <v>41010</v>
      </c>
      <c r="B7746" s="330" t="s">
        <v>52102</v>
      </c>
      <c r="C7746" s="330" t="s">
        <v>18535</v>
      </c>
      <c r="D7746" s="330" t="s">
        <v>18536</v>
      </c>
      <c r="E7746" s="330" t="s">
        <v>4819</v>
      </c>
      <c r="F7746" s="331">
        <v>0.21</v>
      </c>
      <c r="G7746" s="332">
        <v>410</v>
      </c>
      <c r="H7746" s="333">
        <v>497</v>
      </c>
    </row>
    <row r="7747" spans="1:8">
      <c r="A7747" s="317" t="s">
        <v>41011</v>
      </c>
      <c r="B7747" s="330" t="s">
        <v>52103</v>
      </c>
      <c r="C7747" s="330" t="s">
        <v>18537</v>
      </c>
      <c r="D7747" s="330" t="s">
        <v>18538</v>
      </c>
      <c r="E7747" s="330" t="s">
        <v>4634</v>
      </c>
      <c r="F7747" s="331">
        <v>0.21</v>
      </c>
      <c r="G7747" s="332">
        <v>2949</v>
      </c>
      <c r="H7747" s="333">
        <v>3569</v>
      </c>
    </row>
    <row r="7748" spans="1:8">
      <c r="A7748" s="317" t="s">
        <v>41012</v>
      </c>
      <c r="B7748" s="330" t="s">
        <v>52104</v>
      </c>
      <c r="C7748" s="330" t="s">
        <v>18539</v>
      </c>
      <c r="D7748" s="330" t="s">
        <v>18540</v>
      </c>
      <c r="E7748" s="330" t="s">
        <v>37248</v>
      </c>
      <c r="F7748" s="331">
        <v>0.21</v>
      </c>
      <c r="G7748" s="332">
        <v>4289</v>
      </c>
      <c r="H7748" s="333">
        <v>5190</v>
      </c>
    </row>
    <row r="7749" spans="1:8">
      <c r="A7749" s="317" t="s">
        <v>41013</v>
      </c>
      <c r="B7749" s="330" t="s">
        <v>52105</v>
      </c>
      <c r="C7749" s="330" t="s">
        <v>18541</v>
      </c>
      <c r="D7749" s="330" t="s">
        <v>18491</v>
      </c>
      <c r="E7749" s="330" t="s">
        <v>37248</v>
      </c>
      <c r="F7749" s="331">
        <v>0.21</v>
      </c>
      <c r="G7749" s="332">
        <v>36018</v>
      </c>
      <c r="H7749" s="333">
        <v>43582</v>
      </c>
    </row>
    <row r="7750" spans="1:8">
      <c r="A7750" s="317" t="s">
        <v>41014</v>
      </c>
      <c r="B7750" s="330" t="s">
        <v>52106</v>
      </c>
      <c r="C7750" s="330" t="s">
        <v>18542</v>
      </c>
      <c r="D7750" s="330" t="s">
        <v>5334</v>
      </c>
      <c r="E7750" s="330" t="s">
        <v>4819</v>
      </c>
      <c r="F7750" s="331">
        <v>0.21</v>
      </c>
      <c r="G7750" s="332">
        <v>14497</v>
      </c>
      <c r="H7750" s="333">
        <v>17542</v>
      </c>
    </row>
    <row r="7751" spans="1:8">
      <c r="A7751" s="317" t="s">
        <v>41015</v>
      </c>
      <c r="B7751" s="330" t="s">
        <v>52107</v>
      </c>
      <c r="C7751" s="330" t="s">
        <v>18543</v>
      </c>
      <c r="D7751" s="330" t="s">
        <v>18544</v>
      </c>
      <c r="E7751" s="330" t="s">
        <v>4634</v>
      </c>
      <c r="F7751" s="331">
        <v>0.21</v>
      </c>
      <c r="G7751" s="332">
        <v>432</v>
      </c>
      <c r="H7751" s="333">
        <v>523</v>
      </c>
    </row>
    <row r="7752" spans="1:8">
      <c r="A7752" s="317" t="s">
        <v>41016</v>
      </c>
      <c r="B7752" s="330" t="s">
        <v>52108</v>
      </c>
      <c r="C7752" s="330" t="s">
        <v>18545</v>
      </c>
      <c r="D7752" s="330" t="s">
        <v>18546</v>
      </c>
      <c r="E7752" s="330" t="s">
        <v>4819</v>
      </c>
      <c r="F7752" s="331">
        <v>0.21</v>
      </c>
      <c r="G7752" s="332">
        <v>21210</v>
      </c>
      <c r="H7752" s="333">
        <v>25665</v>
      </c>
    </row>
    <row r="7753" spans="1:8">
      <c r="A7753" s="317" t="s">
        <v>41017</v>
      </c>
      <c r="B7753" s="330" t="s">
        <v>52109</v>
      </c>
      <c r="C7753" s="330" t="s">
        <v>18547</v>
      </c>
      <c r="D7753" s="330" t="s">
        <v>16494</v>
      </c>
      <c r="E7753" s="330" t="s">
        <v>4634</v>
      </c>
      <c r="F7753" s="331">
        <v>0.21</v>
      </c>
      <c r="G7753" s="332">
        <v>4233</v>
      </c>
      <c r="H7753" s="333">
        <v>5122</v>
      </c>
    </row>
    <row r="7754" spans="1:8">
      <c r="A7754" s="317" t="s">
        <v>41018</v>
      </c>
      <c r="B7754" s="330" t="s">
        <v>52110</v>
      </c>
      <c r="C7754" s="330" t="s">
        <v>18548</v>
      </c>
      <c r="D7754" s="330" t="s">
        <v>18549</v>
      </c>
      <c r="E7754" s="330" t="s">
        <v>4634</v>
      </c>
      <c r="F7754" s="331">
        <v>0.21</v>
      </c>
      <c r="G7754" s="332">
        <v>153</v>
      </c>
      <c r="H7754" s="333">
        <v>186</v>
      </c>
    </row>
    <row r="7755" spans="1:8">
      <c r="A7755" s="317" t="s">
        <v>41019</v>
      </c>
      <c r="B7755" s="330" t="s">
        <v>52111</v>
      </c>
      <c r="C7755" s="330" t="s">
        <v>18550</v>
      </c>
      <c r="D7755" s="330" t="s">
        <v>6931</v>
      </c>
      <c r="E7755" s="330" t="s">
        <v>4819</v>
      </c>
      <c r="F7755" s="331">
        <v>0.21</v>
      </c>
      <c r="G7755" s="332">
        <v>43111</v>
      </c>
      <c r="H7755" s="333">
        <v>52165</v>
      </c>
    </row>
    <row r="7756" spans="1:8">
      <c r="A7756" s="317" t="s">
        <v>41020</v>
      </c>
      <c r="B7756" s="330" t="s">
        <v>52112</v>
      </c>
      <c r="C7756" s="330" t="s">
        <v>18551</v>
      </c>
      <c r="D7756" s="330" t="s">
        <v>18552</v>
      </c>
      <c r="E7756" s="330" t="s">
        <v>4819</v>
      </c>
      <c r="F7756" s="331">
        <v>0.21</v>
      </c>
      <c r="G7756" s="332">
        <v>27288</v>
      </c>
      <c r="H7756" s="333">
        <v>33019</v>
      </c>
    </row>
    <row r="7757" spans="1:8">
      <c r="A7757" s="317" t="s">
        <v>41021</v>
      </c>
      <c r="B7757" s="330" t="s">
        <v>52113</v>
      </c>
      <c r="C7757" s="330" t="s">
        <v>18553</v>
      </c>
      <c r="D7757" s="330" t="s">
        <v>18554</v>
      </c>
      <c r="E7757" s="330" t="s">
        <v>37248</v>
      </c>
      <c r="F7757" s="331">
        <v>0.21</v>
      </c>
      <c r="G7757" s="332">
        <v>720</v>
      </c>
      <c r="H7757" s="333">
        <v>872</v>
      </c>
    </row>
    <row r="7758" spans="1:8">
      <c r="A7758" s="317" t="s">
        <v>41022</v>
      </c>
      <c r="B7758" s="330" t="s">
        <v>52114</v>
      </c>
      <c r="C7758" s="330" t="s">
        <v>18555</v>
      </c>
      <c r="D7758" s="330" t="s">
        <v>18556</v>
      </c>
      <c r="E7758" s="330" t="s">
        <v>37248</v>
      </c>
      <c r="F7758" s="331">
        <v>0.21</v>
      </c>
      <c r="G7758" s="332">
        <v>38500</v>
      </c>
      <c r="H7758" s="333">
        <v>46585</v>
      </c>
    </row>
    <row r="7759" spans="1:8">
      <c r="A7759" s="317" t="s">
        <v>41023</v>
      </c>
      <c r="B7759" s="330" t="s">
        <v>52115</v>
      </c>
      <c r="C7759" s="330" t="s">
        <v>18557</v>
      </c>
      <c r="D7759" s="330" t="s">
        <v>18558</v>
      </c>
      <c r="E7759" s="330" t="s">
        <v>37248</v>
      </c>
      <c r="F7759" s="331">
        <v>0.21</v>
      </c>
      <c r="G7759" s="332">
        <v>17816</v>
      </c>
      <c r="H7759" s="333">
        <v>21558</v>
      </c>
    </row>
    <row r="7760" spans="1:8">
      <c r="A7760" s="317" t="s">
        <v>41024</v>
      </c>
      <c r="B7760" s="330" t="s">
        <v>52116</v>
      </c>
      <c r="C7760" s="330" t="s">
        <v>18559</v>
      </c>
      <c r="D7760" s="330" t="s">
        <v>18560</v>
      </c>
      <c r="E7760" s="330" t="s">
        <v>4819</v>
      </c>
      <c r="F7760" s="331">
        <v>0.21</v>
      </c>
      <c r="G7760" s="332">
        <v>17384</v>
      </c>
      <c r="H7760" s="333">
        <v>21035</v>
      </c>
    </row>
    <row r="7761" spans="1:8">
      <c r="A7761" s="317" t="s">
        <v>41025</v>
      </c>
      <c r="B7761" s="330" t="s">
        <v>52117</v>
      </c>
      <c r="C7761" s="330" t="s">
        <v>18561</v>
      </c>
      <c r="D7761" s="330" t="s">
        <v>18562</v>
      </c>
      <c r="E7761" s="330" t="s">
        <v>4634</v>
      </c>
      <c r="F7761" s="331">
        <v>0.21</v>
      </c>
      <c r="G7761" s="332">
        <v>13995</v>
      </c>
      <c r="H7761" s="333">
        <v>16934</v>
      </c>
    </row>
    <row r="7762" spans="1:8">
      <c r="A7762" s="317" t="s">
        <v>41026</v>
      </c>
      <c r="B7762" s="330" t="s">
        <v>52118</v>
      </c>
      <c r="C7762" s="330" t="s">
        <v>18563</v>
      </c>
      <c r="D7762" s="330" t="s">
        <v>18564</v>
      </c>
      <c r="E7762" s="330" t="s">
        <v>4819</v>
      </c>
      <c r="F7762" s="331">
        <v>0.21</v>
      </c>
      <c r="G7762" s="332">
        <v>18118</v>
      </c>
      <c r="H7762" s="333">
        <v>21923</v>
      </c>
    </row>
    <row r="7763" spans="1:8">
      <c r="A7763" s="317" t="s">
        <v>41027</v>
      </c>
      <c r="B7763" s="330" t="s">
        <v>52119</v>
      </c>
      <c r="C7763" s="330" t="s">
        <v>18565</v>
      </c>
      <c r="D7763" s="330" t="s">
        <v>18566</v>
      </c>
      <c r="E7763" s="330" t="s">
        <v>37248</v>
      </c>
      <c r="F7763" s="331">
        <v>0.21</v>
      </c>
      <c r="G7763" s="332">
        <v>21944</v>
      </c>
      <c r="H7763" s="333">
        <v>26553</v>
      </c>
    </row>
    <row r="7764" spans="1:8">
      <c r="A7764" s="317" t="s">
        <v>41028</v>
      </c>
      <c r="B7764" s="330" t="s">
        <v>52120</v>
      </c>
      <c r="C7764" s="330" t="s">
        <v>18567</v>
      </c>
      <c r="D7764" s="330" t="s">
        <v>18568</v>
      </c>
      <c r="E7764" s="330" t="s">
        <v>4819</v>
      </c>
      <c r="F7764" s="331">
        <v>0.21</v>
      </c>
      <c r="G7764" s="332">
        <v>23287</v>
      </c>
      <c r="H7764" s="333">
        <v>28178</v>
      </c>
    </row>
    <row r="7765" spans="1:8">
      <c r="A7765" s="317" t="s">
        <v>41029</v>
      </c>
      <c r="B7765" s="330" t="s">
        <v>52121</v>
      </c>
      <c r="C7765" s="330" t="s">
        <v>18569</v>
      </c>
      <c r="D7765" s="330" t="s">
        <v>18570</v>
      </c>
      <c r="E7765" s="330" t="s">
        <v>37248</v>
      </c>
      <c r="F7765" s="331">
        <v>0.21</v>
      </c>
      <c r="G7765" s="332">
        <v>12132</v>
      </c>
      <c r="H7765" s="333">
        <v>14680</v>
      </c>
    </row>
    <row r="7766" spans="1:8">
      <c r="A7766" s="317" t="s">
        <v>41030</v>
      </c>
      <c r="B7766" s="330" t="s">
        <v>52122</v>
      </c>
      <c r="C7766" s="330" t="s">
        <v>18571</v>
      </c>
      <c r="D7766" s="330" t="s">
        <v>18572</v>
      </c>
      <c r="E7766" s="330" t="s">
        <v>37248</v>
      </c>
      <c r="F7766" s="331">
        <v>0.21</v>
      </c>
      <c r="G7766" s="332">
        <v>814</v>
      </c>
      <c r="H7766" s="333">
        <v>985</v>
      </c>
    </row>
    <row r="7767" spans="1:8">
      <c r="A7767" s="317" t="s">
        <v>41031</v>
      </c>
      <c r="B7767" s="330" t="s">
        <v>52123</v>
      </c>
      <c r="C7767" s="330" t="s">
        <v>18573</v>
      </c>
      <c r="D7767" s="330" t="s">
        <v>18574</v>
      </c>
      <c r="E7767" s="330" t="s">
        <v>37248</v>
      </c>
      <c r="F7767" s="331">
        <v>0.21</v>
      </c>
      <c r="G7767" s="332">
        <v>6948</v>
      </c>
      <c r="H7767" s="333">
        <v>8408</v>
      </c>
    </row>
    <row r="7768" spans="1:8">
      <c r="A7768" s="317" t="s">
        <v>41032</v>
      </c>
      <c r="B7768" s="330" t="s">
        <v>52124</v>
      </c>
      <c r="C7768" s="330" t="s">
        <v>18575</v>
      </c>
      <c r="D7768" s="330" t="s">
        <v>6458</v>
      </c>
      <c r="E7768" s="330" t="s">
        <v>4634</v>
      </c>
      <c r="F7768" s="331">
        <v>0.21</v>
      </c>
      <c r="G7768" s="332">
        <v>1556</v>
      </c>
      <c r="H7768" s="333">
        <v>1883</v>
      </c>
    </row>
    <row r="7769" spans="1:8">
      <c r="A7769" s="317" t="s">
        <v>41033</v>
      </c>
      <c r="B7769" s="330" t="s">
        <v>52125</v>
      </c>
      <c r="C7769" s="330" t="s">
        <v>18576</v>
      </c>
      <c r="D7769" s="330" t="s">
        <v>18577</v>
      </c>
      <c r="E7769" s="330" t="s">
        <v>37248</v>
      </c>
      <c r="F7769" s="331">
        <v>0.21</v>
      </c>
      <c r="G7769" s="332">
        <v>14526</v>
      </c>
      <c r="H7769" s="333">
        <v>17577</v>
      </c>
    </row>
    <row r="7770" spans="1:8">
      <c r="A7770" s="317" t="s">
        <v>41034</v>
      </c>
      <c r="B7770" s="330" t="s">
        <v>52126</v>
      </c>
      <c r="C7770" s="330" t="s">
        <v>18578</v>
      </c>
      <c r="D7770" s="330" t="s">
        <v>18579</v>
      </c>
      <c r="E7770" s="330" t="s">
        <v>37248</v>
      </c>
      <c r="F7770" s="331">
        <v>0.21</v>
      </c>
      <c r="G7770" s="332">
        <v>709</v>
      </c>
      <c r="H7770" s="333">
        <v>858</v>
      </c>
    </row>
    <row r="7771" spans="1:8">
      <c r="A7771" s="317" t="s">
        <v>41035</v>
      </c>
      <c r="B7771" s="330" t="s">
        <v>52127</v>
      </c>
      <c r="C7771" s="330" t="s">
        <v>18580</v>
      </c>
      <c r="D7771" s="330" t="s">
        <v>18581</v>
      </c>
      <c r="E7771" s="330" t="s">
        <v>37248</v>
      </c>
      <c r="F7771" s="331">
        <v>0.21</v>
      </c>
      <c r="G7771" s="332">
        <v>720</v>
      </c>
      <c r="H7771" s="333">
        <v>872</v>
      </c>
    </row>
    <row r="7772" spans="1:8">
      <c r="A7772" s="317" t="s">
        <v>41036</v>
      </c>
      <c r="B7772" s="330" t="s">
        <v>52128</v>
      </c>
      <c r="C7772" s="330" t="s">
        <v>18582</v>
      </c>
      <c r="D7772" s="330" t="s">
        <v>18583</v>
      </c>
      <c r="E7772" s="330" t="s">
        <v>37248</v>
      </c>
      <c r="F7772" s="331">
        <v>0.21</v>
      </c>
      <c r="G7772" s="332">
        <v>7002</v>
      </c>
      <c r="H7772" s="333">
        <v>8473</v>
      </c>
    </row>
    <row r="7773" spans="1:8">
      <c r="A7773" s="317" t="s">
        <v>41037</v>
      </c>
      <c r="B7773" s="330" t="s">
        <v>52129</v>
      </c>
      <c r="C7773" s="330" t="s">
        <v>18584</v>
      </c>
      <c r="D7773" s="330" t="s">
        <v>18585</v>
      </c>
      <c r="E7773" s="330" t="s">
        <v>37248</v>
      </c>
      <c r="F7773" s="331">
        <v>0.21</v>
      </c>
      <c r="G7773" s="332">
        <v>305</v>
      </c>
      <c r="H7773" s="333">
        <v>370</v>
      </c>
    </row>
    <row r="7774" spans="1:8">
      <c r="A7774" s="317" t="s">
        <v>41038</v>
      </c>
      <c r="B7774" s="330" t="s">
        <v>52130</v>
      </c>
      <c r="C7774" s="330" t="s">
        <v>18586</v>
      </c>
      <c r="D7774" s="330" t="s">
        <v>18587</v>
      </c>
      <c r="E7774" s="330" t="s">
        <v>37248</v>
      </c>
      <c r="F7774" s="331">
        <v>0.21</v>
      </c>
      <c r="G7774" s="332">
        <v>4336</v>
      </c>
      <c r="H7774" s="333">
        <v>5247</v>
      </c>
    </row>
    <row r="7775" spans="1:8">
      <c r="A7775" s="317" t="s">
        <v>41039</v>
      </c>
      <c r="B7775" s="330" t="s">
        <v>52131</v>
      </c>
      <c r="C7775" s="330" t="s">
        <v>18588</v>
      </c>
      <c r="D7775" s="330" t="s">
        <v>18589</v>
      </c>
      <c r="E7775" s="330" t="s">
        <v>37248</v>
      </c>
      <c r="F7775" s="331">
        <v>0.21</v>
      </c>
      <c r="G7775" s="332">
        <v>1610</v>
      </c>
      <c r="H7775" s="333">
        <v>1949</v>
      </c>
    </row>
    <row r="7776" spans="1:8">
      <c r="A7776" s="317" t="s">
        <v>41040</v>
      </c>
      <c r="B7776" s="330" t="s">
        <v>52132</v>
      </c>
      <c r="C7776" s="330" t="s">
        <v>18590</v>
      </c>
      <c r="D7776" s="330" t="s">
        <v>18591</v>
      </c>
      <c r="E7776" s="330" t="s">
        <v>37248</v>
      </c>
      <c r="F7776" s="331">
        <v>0.21</v>
      </c>
      <c r="G7776" s="332">
        <v>57928</v>
      </c>
      <c r="H7776" s="333">
        <v>70093</v>
      </c>
    </row>
    <row r="7777" spans="1:8">
      <c r="A7777" s="317" t="s">
        <v>41041</v>
      </c>
      <c r="B7777" s="330" t="s">
        <v>52133</v>
      </c>
      <c r="C7777" s="330" t="s">
        <v>18592</v>
      </c>
      <c r="D7777" s="330" t="s">
        <v>18593</v>
      </c>
      <c r="E7777" s="330" t="s">
        <v>37248</v>
      </c>
      <c r="F7777" s="331">
        <v>0.21</v>
      </c>
      <c r="G7777" s="332">
        <v>107</v>
      </c>
      <c r="H7777" s="333">
        <v>130</v>
      </c>
    </row>
    <row r="7778" spans="1:8">
      <c r="A7778" s="317" t="s">
        <v>41042</v>
      </c>
      <c r="B7778" s="330" t="s">
        <v>52134</v>
      </c>
      <c r="C7778" s="330" t="s">
        <v>18594</v>
      </c>
      <c r="D7778" s="330" t="s">
        <v>18595</v>
      </c>
      <c r="E7778" s="330" t="s">
        <v>37248</v>
      </c>
      <c r="F7778" s="331">
        <v>0.21</v>
      </c>
      <c r="G7778" s="332">
        <v>78</v>
      </c>
      <c r="H7778" s="333">
        <v>95</v>
      </c>
    </row>
    <row r="7779" spans="1:8">
      <c r="A7779" s="317" t="s">
        <v>41043</v>
      </c>
      <c r="B7779" s="330" t="s">
        <v>52135</v>
      </c>
      <c r="C7779" s="330" t="s">
        <v>18596</v>
      </c>
      <c r="D7779" s="330" t="s">
        <v>18597</v>
      </c>
      <c r="E7779" s="330" t="s">
        <v>4634</v>
      </c>
      <c r="F7779" s="331">
        <v>0.21</v>
      </c>
      <c r="G7779" s="332">
        <v>5114</v>
      </c>
      <c r="H7779" s="333">
        <v>6188</v>
      </c>
    </row>
    <row r="7780" spans="1:8">
      <c r="A7780" s="317" t="s">
        <v>41044</v>
      </c>
      <c r="B7780" s="330" t="s">
        <v>52136</v>
      </c>
      <c r="C7780" s="330" t="s">
        <v>18598</v>
      </c>
      <c r="D7780" s="330" t="s">
        <v>18599</v>
      </c>
      <c r="E7780" s="330" t="s">
        <v>37248</v>
      </c>
      <c r="F7780" s="331">
        <v>0.21</v>
      </c>
      <c r="G7780" s="332">
        <v>240</v>
      </c>
      <c r="H7780" s="333">
        <v>291</v>
      </c>
    </row>
    <row r="7781" spans="1:8">
      <c r="A7781" s="317" t="s">
        <v>41045</v>
      </c>
      <c r="B7781" s="330" t="s">
        <v>52137</v>
      </c>
      <c r="C7781" s="330" t="s">
        <v>18600</v>
      </c>
      <c r="D7781" s="330" t="s">
        <v>18601</v>
      </c>
      <c r="E7781" s="330" t="s">
        <v>37248</v>
      </c>
      <c r="F7781" s="331">
        <v>0.21</v>
      </c>
      <c r="G7781" s="332">
        <v>265</v>
      </c>
      <c r="H7781" s="333">
        <v>321</v>
      </c>
    </row>
    <row r="7782" spans="1:8">
      <c r="A7782" s="317" t="s">
        <v>41046</v>
      </c>
      <c r="B7782" s="330" t="s">
        <v>52138</v>
      </c>
      <c r="C7782" s="330" t="s">
        <v>18602</v>
      </c>
      <c r="D7782" s="330" t="s">
        <v>18603</v>
      </c>
      <c r="E7782" s="330" t="s">
        <v>37248</v>
      </c>
      <c r="F7782" s="331">
        <v>0.21</v>
      </c>
      <c r="G7782" s="332">
        <v>671</v>
      </c>
      <c r="H7782" s="333">
        <v>812</v>
      </c>
    </row>
    <row r="7783" spans="1:8">
      <c r="A7783" s="317" t="s">
        <v>41047</v>
      </c>
      <c r="B7783" s="330" t="s">
        <v>52139</v>
      </c>
      <c r="C7783" s="330" t="s">
        <v>18604</v>
      </c>
      <c r="D7783" s="330" t="s">
        <v>18605</v>
      </c>
      <c r="E7783" s="330" t="s">
        <v>37248</v>
      </c>
      <c r="F7783" s="331">
        <v>0.21</v>
      </c>
      <c r="G7783" s="332">
        <v>213</v>
      </c>
      <c r="H7783" s="333">
        <v>258</v>
      </c>
    </row>
    <row r="7784" spans="1:8">
      <c r="A7784" s="317" t="s">
        <v>41048</v>
      </c>
      <c r="B7784" s="330" t="s">
        <v>52140</v>
      </c>
      <c r="C7784" s="330" t="s">
        <v>18606</v>
      </c>
      <c r="D7784" s="330" t="s">
        <v>18570</v>
      </c>
      <c r="E7784" s="330" t="s">
        <v>37248</v>
      </c>
      <c r="F7784" s="331">
        <v>0.21</v>
      </c>
      <c r="G7784" s="332">
        <v>25684</v>
      </c>
      <c r="H7784" s="333">
        <v>31078</v>
      </c>
    </row>
    <row r="7785" spans="1:8">
      <c r="A7785" s="317" t="s">
        <v>41049</v>
      </c>
      <c r="B7785" s="330" t="s">
        <v>52141</v>
      </c>
      <c r="C7785" s="330" t="s">
        <v>18607</v>
      </c>
      <c r="D7785" s="330" t="s">
        <v>18608</v>
      </c>
      <c r="E7785" s="330" t="s">
        <v>37248</v>
      </c>
      <c r="F7785" s="331">
        <v>0.21</v>
      </c>
      <c r="G7785" s="332">
        <v>25867</v>
      </c>
      <c r="H7785" s="333">
        <v>31300</v>
      </c>
    </row>
    <row r="7786" spans="1:8">
      <c r="A7786" s="317" t="s">
        <v>41050</v>
      </c>
      <c r="B7786" s="330" t="s">
        <v>52142</v>
      </c>
      <c r="C7786" s="330" t="s">
        <v>18609</v>
      </c>
      <c r="D7786" s="330" t="s">
        <v>18610</v>
      </c>
      <c r="E7786" s="330" t="s">
        <v>37248</v>
      </c>
      <c r="F7786" s="331">
        <v>0.21</v>
      </c>
      <c r="G7786" s="332">
        <v>14711</v>
      </c>
      <c r="H7786" s="333">
        <v>17801</v>
      </c>
    </row>
    <row r="7787" spans="1:8">
      <c r="A7787" s="317" t="s">
        <v>41051</v>
      </c>
      <c r="B7787" s="330" t="s">
        <v>52143</v>
      </c>
      <c r="C7787" s="330" t="s">
        <v>18611</v>
      </c>
      <c r="D7787" s="330" t="s">
        <v>18612</v>
      </c>
      <c r="E7787" s="330" t="s">
        <v>37248</v>
      </c>
      <c r="F7787" s="331">
        <v>0.21</v>
      </c>
      <c r="G7787" s="332">
        <v>6411</v>
      </c>
      <c r="H7787" s="333">
        <v>7758</v>
      </c>
    </row>
    <row r="7788" spans="1:8">
      <c r="A7788" s="317" t="s">
        <v>41052</v>
      </c>
      <c r="B7788" s="330" t="s">
        <v>52144</v>
      </c>
      <c r="C7788" s="330" t="s">
        <v>18613</v>
      </c>
      <c r="D7788" s="330" t="s">
        <v>18614</v>
      </c>
      <c r="E7788" s="330" t="s">
        <v>37248</v>
      </c>
      <c r="F7788" s="331">
        <v>0.21</v>
      </c>
      <c r="G7788" s="332">
        <v>7537</v>
      </c>
      <c r="H7788" s="333">
        <v>9120</v>
      </c>
    </row>
    <row r="7789" spans="1:8">
      <c r="A7789" s="317" t="s">
        <v>41053</v>
      </c>
      <c r="B7789" s="330" t="s">
        <v>52145</v>
      </c>
      <c r="C7789" s="330" t="s">
        <v>18615</v>
      </c>
      <c r="D7789" s="330" t="s">
        <v>18616</v>
      </c>
      <c r="E7789" s="330" t="s">
        <v>37248</v>
      </c>
      <c r="F7789" s="331">
        <v>0.21</v>
      </c>
      <c r="G7789" s="332">
        <v>4932</v>
      </c>
      <c r="H7789" s="333">
        <v>5968</v>
      </c>
    </row>
    <row r="7790" spans="1:8">
      <c r="A7790" s="317" t="s">
        <v>41054</v>
      </c>
      <c r="B7790" s="330" t="s">
        <v>52146</v>
      </c>
      <c r="C7790" s="330" t="s">
        <v>18617</v>
      </c>
      <c r="D7790" s="330" t="s">
        <v>18618</v>
      </c>
      <c r="E7790" s="330" t="s">
        <v>37248</v>
      </c>
      <c r="F7790" s="331">
        <v>0.21</v>
      </c>
      <c r="G7790" s="332">
        <v>780</v>
      </c>
      <c r="H7790" s="333">
        <v>944</v>
      </c>
    </row>
    <row r="7791" spans="1:8">
      <c r="A7791" s="317" t="s">
        <v>41055</v>
      </c>
      <c r="B7791" s="330" t="s">
        <v>52147</v>
      </c>
      <c r="C7791" s="330" t="s">
        <v>18619</v>
      </c>
      <c r="D7791" s="330" t="s">
        <v>18620</v>
      </c>
      <c r="E7791" s="330" t="s">
        <v>37248</v>
      </c>
      <c r="F7791" s="331">
        <v>0.21</v>
      </c>
      <c r="G7791" s="332">
        <v>553</v>
      </c>
      <c r="H7791" s="333">
        <v>670</v>
      </c>
    </row>
    <row r="7792" spans="1:8">
      <c r="A7792" s="317" t="s">
        <v>41056</v>
      </c>
      <c r="B7792" s="330" t="s">
        <v>52148</v>
      </c>
      <c r="C7792" s="330" t="s">
        <v>18621</v>
      </c>
      <c r="D7792" s="330" t="s">
        <v>18622</v>
      </c>
      <c r="E7792" s="330" t="s">
        <v>37248</v>
      </c>
      <c r="F7792" s="331">
        <v>0.21</v>
      </c>
      <c r="G7792" s="332">
        <v>548</v>
      </c>
      <c r="H7792" s="333">
        <v>664</v>
      </c>
    </row>
    <row r="7793" spans="1:8">
      <c r="A7793" s="317" t="s">
        <v>41057</v>
      </c>
      <c r="B7793" s="330" t="s">
        <v>52149</v>
      </c>
      <c r="C7793" s="330" t="s">
        <v>18623</v>
      </c>
      <c r="D7793" s="330" t="s">
        <v>18624</v>
      </c>
      <c r="E7793" s="330" t="s">
        <v>37248</v>
      </c>
      <c r="F7793" s="331">
        <v>0.21</v>
      </c>
      <c r="G7793" s="332">
        <v>410</v>
      </c>
      <c r="H7793" s="333">
        <v>497</v>
      </c>
    </row>
    <row r="7794" spans="1:8">
      <c r="A7794" s="317" t="s">
        <v>41058</v>
      </c>
      <c r="B7794" s="330" t="s">
        <v>52150</v>
      </c>
      <c r="C7794" s="330" t="s">
        <v>18625</v>
      </c>
      <c r="D7794" s="330" t="s">
        <v>18626</v>
      </c>
      <c r="E7794" s="330" t="s">
        <v>37248</v>
      </c>
      <c r="F7794" s="331">
        <v>0.21</v>
      </c>
      <c r="G7794" s="332">
        <v>6884</v>
      </c>
      <c r="H7794" s="333">
        <v>8330</v>
      </c>
    </row>
    <row r="7795" spans="1:8">
      <c r="A7795" s="317" t="s">
        <v>41059</v>
      </c>
      <c r="B7795" s="330" t="s">
        <v>52151</v>
      </c>
      <c r="C7795" s="330" t="s">
        <v>18627</v>
      </c>
      <c r="D7795" s="330" t="s">
        <v>18628</v>
      </c>
      <c r="E7795" s="330" t="s">
        <v>37248</v>
      </c>
      <c r="F7795" s="331">
        <v>0.21</v>
      </c>
      <c r="G7795" s="332">
        <v>318</v>
      </c>
      <c r="H7795" s="333">
        <v>385</v>
      </c>
    </row>
    <row r="7796" spans="1:8">
      <c r="A7796" s="317" t="s">
        <v>41060</v>
      </c>
      <c r="B7796" s="330" t="s">
        <v>52152</v>
      </c>
      <c r="C7796" s="330" t="s">
        <v>18629</v>
      </c>
      <c r="D7796" s="330" t="s">
        <v>18630</v>
      </c>
      <c r="E7796" s="330" t="s">
        <v>4819</v>
      </c>
      <c r="F7796" s="331">
        <v>0.21</v>
      </c>
      <c r="G7796" s="332">
        <v>104</v>
      </c>
      <c r="H7796" s="333">
        <v>126</v>
      </c>
    </row>
    <row r="7797" spans="1:8">
      <c r="A7797" s="317" t="s">
        <v>41061</v>
      </c>
      <c r="B7797" s="330" t="s">
        <v>52153</v>
      </c>
      <c r="C7797" s="330" t="s">
        <v>18631</v>
      </c>
      <c r="D7797" s="330" t="s">
        <v>18632</v>
      </c>
      <c r="E7797" s="330" t="s">
        <v>4819</v>
      </c>
      <c r="F7797" s="331">
        <v>0.21</v>
      </c>
      <c r="G7797" s="332">
        <v>6058</v>
      </c>
      <c r="H7797" s="333">
        <v>7331</v>
      </c>
    </row>
    <row r="7798" spans="1:8">
      <c r="A7798" s="317" t="s">
        <v>41062</v>
      </c>
      <c r="B7798" s="330" t="s">
        <v>52154</v>
      </c>
      <c r="C7798" s="330" t="s">
        <v>18633</v>
      </c>
      <c r="D7798" s="330" t="s">
        <v>18634</v>
      </c>
      <c r="E7798" s="330" t="s">
        <v>4819</v>
      </c>
      <c r="F7798" s="331">
        <v>0.21</v>
      </c>
      <c r="G7798" s="332">
        <v>24273</v>
      </c>
      <c r="H7798" s="333">
        <v>29371</v>
      </c>
    </row>
    <row r="7799" spans="1:8">
      <c r="A7799" s="317" t="s">
        <v>41063</v>
      </c>
      <c r="B7799" s="330" t="s">
        <v>52155</v>
      </c>
      <c r="C7799" s="330" t="s">
        <v>18635</v>
      </c>
      <c r="D7799" s="330" t="s">
        <v>18636</v>
      </c>
      <c r="E7799" s="330" t="s">
        <v>37248</v>
      </c>
      <c r="F7799" s="331">
        <v>0.21</v>
      </c>
      <c r="G7799" s="332">
        <v>17961</v>
      </c>
      <c r="H7799" s="333">
        <v>21733</v>
      </c>
    </row>
    <row r="7800" spans="1:8">
      <c r="A7800" s="317" t="s">
        <v>41064</v>
      </c>
      <c r="B7800" s="330" t="s">
        <v>52156</v>
      </c>
      <c r="C7800" s="330" t="s">
        <v>18637</v>
      </c>
      <c r="D7800" s="330" t="s">
        <v>18638</v>
      </c>
      <c r="E7800" s="330" t="s">
        <v>37248</v>
      </c>
      <c r="F7800" s="331">
        <v>0.21</v>
      </c>
      <c r="G7800" s="332">
        <v>845</v>
      </c>
      <c r="H7800" s="333">
        <v>1023</v>
      </c>
    </row>
    <row r="7801" spans="1:8">
      <c r="A7801" s="317" t="s">
        <v>41065</v>
      </c>
      <c r="B7801" s="330" t="s">
        <v>52157</v>
      </c>
      <c r="C7801" s="330" t="s">
        <v>18639</v>
      </c>
      <c r="D7801" s="330" t="s">
        <v>18640</v>
      </c>
      <c r="E7801" s="330" t="s">
        <v>37248</v>
      </c>
      <c r="F7801" s="331">
        <v>0.21</v>
      </c>
      <c r="G7801" s="332">
        <v>3303</v>
      </c>
      <c r="H7801" s="333">
        <v>3997</v>
      </c>
    </row>
    <row r="7802" spans="1:8">
      <c r="A7802" s="317" t="s">
        <v>41066</v>
      </c>
      <c r="B7802" s="330" t="s">
        <v>52158</v>
      </c>
      <c r="C7802" s="330" t="s">
        <v>18641</v>
      </c>
      <c r="D7802" s="330" t="s">
        <v>18642</v>
      </c>
      <c r="E7802" s="330" t="s">
        <v>4634</v>
      </c>
      <c r="F7802" s="331">
        <v>0.21</v>
      </c>
      <c r="G7802" s="332">
        <v>174</v>
      </c>
      <c r="H7802" s="333">
        <v>211</v>
      </c>
    </row>
    <row r="7803" spans="1:8">
      <c r="A7803" s="317" t="s">
        <v>41067</v>
      </c>
      <c r="B7803" s="330" t="s">
        <v>52159</v>
      </c>
      <c r="C7803" s="330" t="s">
        <v>18643</v>
      </c>
      <c r="D7803" s="330" t="s">
        <v>18644</v>
      </c>
      <c r="E7803" s="330" t="s">
        <v>37248</v>
      </c>
      <c r="F7803" s="331">
        <v>0.21</v>
      </c>
      <c r="G7803" s="332">
        <v>4932</v>
      </c>
      <c r="H7803" s="333">
        <v>5968</v>
      </c>
    </row>
    <row r="7804" spans="1:8">
      <c r="A7804" s="317" t="s">
        <v>41068</v>
      </c>
      <c r="B7804" s="330" t="s">
        <v>52160</v>
      </c>
      <c r="C7804" s="330" t="s">
        <v>18645</v>
      </c>
      <c r="D7804" s="330" t="s">
        <v>18646</v>
      </c>
      <c r="E7804" s="330" t="s">
        <v>37248</v>
      </c>
      <c r="F7804" s="331">
        <v>0.21</v>
      </c>
      <c r="G7804" s="332">
        <v>2134</v>
      </c>
      <c r="H7804" s="333">
        <v>2583</v>
      </c>
    </row>
    <row r="7805" spans="1:8">
      <c r="A7805" s="317" t="s">
        <v>41069</v>
      </c>
      <c r="B7805" s="330" t="s">
        <v>52161</v>
      </c>
      <c r="C7805" s="330" t="s">
        <v>18647</v>
      </c>
      <c r="D7805" s="330" t="s">
        <v>18648</v>
      </c>
      <c r="E7805" s="330" t="s">
        <v>4634</v>
      </c>
      <c r="F7805" s="331">
        <v>0.21</v>
      </c>
      <c r="G7805" s="332">
        <v>280</v>
      </c>
      <c r="H7805" s="333">
        <v>339</v>
      </c>
    </row>
    <row r="7806" spans="1:8">
      <c r="A7806" s="317" t="s">
        <v>41070</v>
      </c>
      <c r="B7806" s="330" t="s">
        <v>52162</v>
      </c>
      <c r="C7806" s="330" t="s">
        <v>18649</v>
      </c>
      <c r="D7806" s="330" t="s">
        <v>18650</v>
      </c>
      <c r="E7806" s="330" t="s">
        <v>4634</v>
      </c>
      <c r="F7806" s="331">
        <v>0.21</v>
      </c>
      <c r="G7806" s="332">
        <v>387</v>
      </c>
      <c r="H7806" s="333">
        <v>469</v>
      </c>
    </row>
    <row r="7807" spans="1:8">
      <c r="A7807" s="317" t="s">
        <v>41071</v>
      </c>
      <c r="B7807" s="330" t="s">
        <v>52163</v>
      </c>
      <c r="C7807" s="330" t="s">
        <v>18651</v>
      </c>
      <c r="D7807" s="330" t="s">
        <v>18652</v>
      </c>
      <c r="E7807" s="330" t="s">
        <v>4819</v>
      </c>
      <c r="F7807" s="331">
        <v>0.21</v>
      </c>
      <c r="G7807" s="332">
        <v>17964</v>
      </c>
      <c r="H7807" s="333">
        <v>21737</v>
      </c>
    </row>
    <row r="7808" spans="1:8">
      <c r="A7808" s="317" t="s">
        <v>41072</v>
      </c>
      <c r="B7808" s="330" t="s">
        <v>52164</v>
      </c>
      <c r="C7808" s="330" t="s">
        <v>18653</v>
      </c>
      <c r="D7808" s="330" t="s">
        <v>18654</v>
      </c>
      <c r="E7808" s="330" t="s">
        <v>37248</v>
      </c>
      <c r="F7808" s="331">
        <v>0.21</v>
      </c>
      <c r="G7808" s="332">
        <v>1052</v>
      </c>
      <c r="H7808" s="333">
        <v>1273</v>
      </c>
    </row>
    <row r="7809" spans="1:8">
      <c r="A7809" s="317" t="s">
        <v>41073</v>
      </c>
      <c r="B7809" s="330" t="s">
        <v>52165</v>
      </c>
      <c r="C7809" s="330" t="s">
        <v>18655</v>
      </c>
      <c r="D7809" s="330" t="s">
        <v>9896</v>
      </c>
      <c r="E7809" s="330" t="s">
        <v>4819</v>
      </c>
      <c r="F7809" s="331">
        <v>0.21</v>
      </c>
      <c r="G7809" s="332">
        <v>55820</v>
      </c>
      <c r="H7809" s="333">
        <v>67543</v>
      </c>
    </row>
    <row r="7810" spans="1:8">
      <c r="A7810" s="317" t="s">
        <v>41074</v>
      </c>
      <c r="B7810" s="330" t="s">
        <v>52166</v>
      </c>
      <c r="C7810" s="330" t="s">
        <v>18656</v>
      </c>
      <c r="D7810" s="330" t="s">
        <v>18657</v>
      </c>
      <c r="E7810" s="330" t="s">
        <v>4634</v>
      </c>
      <c r="F7810" s="331">
        <v>0.21</v>
      </c>
      <c r="G7810" s="332">
        <v>2491</v>
      </c>
      <c r="H7810" s="333">
        <v>3015</v>
      </c>
    </row>
    <row r="7811" spans="1:8">
      <c r="A7811" s="317" t="s">
        <v>41075</v>
      </c>
      <c r="B7811" s="330" t="s">
        <v>52167</v>
      </c>
      <c r="C7811" s="330" t="s">
        <v>18658</v>
      </c>
      <c r="D7811" s="330" t="s">
        <v>6931</v>
      </c>
      <c r="E7811" s="330" t="s">
        <v>37248</v>
      </c>
      <c r="F7811" s="331">
        <v>0.21</v>
      </c>
      <c r="G7811" s="332">
        <v>67630</v>
      </c>
      <c r="H7811" s="333">
        <v>81833</v>
      </c>
    </row>
    <row r="7812" spans="1:8">
      <c r="A7812" s="317" t="s">
        <v>41076</v>
      </c>
      <c r="B7812" s="330" t="s">
        <v>52168</v>
      </c>
      <c r="C7812" s="330" t="s">
        <v>18659</v>
      </c>
      <c r="D7812" s="330" t="s">
        <v>18660</v>
      </c>
      <c r="E7812" s="330" t="s">
        <v>37248</v>
      </c>
      <c r="F7812" s="331">
        <v>0.21</v>
      </c>
      <c r="G7812" s="332">
        <v>6910</v>
      </c>
      <c r="H7812" s="333">
        <v>8362</v>
      </c>
    </row>
    <row r="7813" spans="1:8">
      <c r="A7813" s="317" t="s">
        <v>41077</v>
      </c>
      <c r="B7813" s="330" t="s">
        <v>52169</v>
      </c>
      <c r="C7813" s="330" t="s">
        <v>18661</v>
      </c>
      <c r="D7813" s="330" t="s">
        <v>18662</v>
      </c>
      <c r="E7813" s="330" t="s">
        <v>37248</v>
      </c>
      <c r="F7813" s="331">
        <v>0.21</v>
      </c>
      <c r="G7813" s="332">
        <v>2426</v>
      </c>
      <c r="H7813" s="333">
        <v>2936</v>
      </c>
    </row>
    <row r="7814" spans="1:8">
      <c r="A7814" s="317" t="s">
        <v>41078</v>
      </c>
      <c r="B7814" s="330" t="s">
        <v>52170</v>
      </c>
      <c r="C7814" s="330" t="s">
        <v>18663</v>
      </c>
      <c r="D7814" s="330" t="s">
        <v>18664</v>
      </c>
      <c r="E7814" s="330" t="s">
        <v>4819</v>
      </c>
      <c r="F7814" s="331">
        <v>0.21</v>
      </c>
      <c r="G7814" s="332">
        <v>48909</v>
      </c>
      <c r="H7814" s="333">
        <v>59180</v>
      </c>
    </row>
    <row r="7815" spans="1:8">
      <c r="A7815" s="317" t="s">
        <v>41079</v>
      </c>
      <c r="B7815" s="330" t="s">
        <v>52171</v>
      </c>
      <c r="C7815" s="330" t="s">
        <v>18665</v>
      </c>
      <c r="D7815" s="330" t="s">
        <v>18666</v>
      </c>
      <c r="E7815" s="330" t="s">
        <v>37248</v>
      </c>
      <c r="F7815" s="331">
        <v>0.21</v>
      </c>
      <c r="G7815" s="332">
        <v>11629</v>
      </c>
      <c r="H7815" s="333">
        <v>14072</v>
      </c>
    </row>
    <row r="7816" spans="1:8">
      <c r="A7816" s="317" t="s">
        <v>41080</v>
      </c>
      <c r="B7816" s="330" t="s">
        <v>52172</v>
      </c>
      <c r="C7816" s="330" t="s">
        <v>18667</v>
      </c>
      <c r="D7816" s="330" t="s">
        <v>18668</v>
      </c>
      <c r="E7816" s="330" t="s">
        <v>37248</v>
      </c>
      <c r="F7816" s="331">
        <v>0.21</v>
      </c>
      <c r="G7816" s="332">
        <v>3874</v>
      </c>
      <c r="H7816" s="333">
        <v>4688</v>
      </c>
    </row>
    <row r="7817" spans="1:8">
      <c r="A7817" s="317" t="s">
        <v>41081</v>
      </c>
      <c r="B7817" s="330" t="s">
        <v>52173</v>
      </c>
      <c r="C7817" s="330" t="s">
        <v>18669</v>
      </c>
      <c r="D7817" s="330" t="s">
        <v>18670</v>
      </c>
      <c r="E7817" s="330" t="s">
        <v>37248</v>
      </c>
      <c r="F7817" s="331">
        <v>0.21</v>
      </c>
      <c r="G7817" s="332">
        <v>4031</v>
      </c>
      <c r="H7817" s="333">
        <v>4878</v>
      </c>
    </row>
    <row r="7818" spans="1:8">
      <c r="A7818" s="317" t="s">
        <v>41082</v>
      </c>
      <c r="B7818" s="330" t="s">
        <v>52174</v>
      </c>
      <c r="C7818" s="330" t="s">
        <v>18671</v>
      </c>
      <c r="D7818" s="330" t="s">
        <v>18672</v>
      </c>
      <c r="E7818" s="330" t="s">
        <v>4819</v>
      </c>
      <c r="F7818" s="331">
        <v>0.21</v>
      </c>
      <c r="G7818" s="332">
        <v>44735</v>
      </c>
      <c r="H7818" s="333">
        <v>54130</v>
      </c>
    </row>
    <row r="7819" spans="1:8">
      <c r="A7819" s="317" t="s">
        <v>41083</v>
      </c>
      <c r="B7819" s="330" t="s">
        <v>52175</v>
      </c>
      <c r="C7819" s="330" t="s">
        <v>18673</v>
      </c>
      <c r="D7819" s="330" t="s">
        <v>18674</v>
      </c>
      <c r="E7819" s="330" t="s">
        <v>4634</v>
      </c>
      <c r="F7819" s="331">
        <v>0.21</v>
      </c>
      <c r="G7819" s="332">
        <v>17589</v>
      </c>
      <c r="H7819" s="333">
        <v>21283</v>
      </c>
    </row>
    <row r="7820" spans="1:8">
      <c r="A7820" s="317" t="s">
        <v>41084</v>
      </c>
      <c r="B7820" s="330" t="s">
        <v>52176</v>
      </c>
      <c r="C7820" s="330" t="s">
        <v>18675</v>
      </c>
      <c r="D7820" s="330" t="s">
        <v>8976</v>
      </c>
      <c r="E7820" s="330" t="s">
        <v>37248</v>
      </c>
      <c r="F7820" s="331">
        <v>0.21</v>
      </c>
      <c r="G7820" s="332">
        <v>43604</v>
      </c>
      <c r="H7820" s="333">
        <v>52761</v>
      </c>
    </row>
    <row r="7821" spans="1:8">
      <c r="A7821" s="317" t="s">
        <v>41085</v>
      </c>
      <c r="B7821" s="330" t="s">
        <v>52177</v>
      </c>
      <c r="C7821" s="330" t="s">
        <v>18676</v>
      </c>
      <c r="D7821" s="330" t="s">
        <v>7322</v>
      </c>
      <c r="E7821" s="330" t="s">
        <v>37248</v>
      </c>
      <c r="F7821" s="331">
        <v>0.21</v>
      </c>
      <c r="G7821" s="332">
        <v>10602</v>
      </c>
      <c r="H7821" s="333">
        <v>12829</v>
      </c>
    </row>
    <row r="7822" spans="1:8">
      <c r="A7822" s="317" t="s">
        <v>41086</v>
      </c>
      <c r="B7822" s="330" t="s">
        <v>52178</v>
      </c>
      <c r="C7822" s="330" t="s">
        <v>18677</v>
      </c>
      <c r="D7822" s="330" t="s">
        <v>18678</v>
      </c>
      <c r="E7822" s="330" t="s">
        <v>4819</v>
      </c>
      <c r="F7822" s="331">
        <v>0.21</v>
      </c>
      <c r="G7822" s="332">
        <v>14143</v>
      </c>
      <c r="H7822" s="333">
        <v>17114</v>
      </c>
    </row>
    <row r="7823" spans="1:8">
      <c r="A7823" s="317" t="s">
        <v>41087</v>
      </c>
      <c r="B7823" s="330" t="s">
        <v>52179</v>
      </c>
      <c r="C7823" s="330" t="s">
        <v>18679</v>
      </c>
      <c r="D7823" s="330" t="s">
        <v>18680</v>
      </c>
      <c r="E7823" s="330" t="s">
        <v>37248</v>
      </c>
      <c r="F7823" s="331">
        <v>0.21</v>
      </c>
      <c r="G7823" s="332">
        <v>646</v>
      </c>
      <c r="H7823" s="333">
        <v>782</v>
      </c>
    </row>
    <row r="7824" spans="1:8">
      <c r="A7824" s="317" t="s">
        <v>41088</v>
      </c>
      <c r="B7824" s="330" t="s">
        <v>52180</v>
      </c>
      <c r="C7824" s="330" t="s">
        <v>18681</v>
      </c>
      <c r="D7824" s="330" t="s">
        <v>12458</v>
      </c>
      <c r="E7824" s="330" t="s">
        <v>37248</v>
      </c>
      <c r="F7824" s="331">
        <v>0.21</v>
      </c>
      <c r="G7824" s="332">
        <v>383</v>
      </c>
      <c r="H7824" s="333">
        <v>464</v>
      </c>
    </row>
    <row r="7825" spans="1:8">
      <c r="A7825" s="317" t="s">
        <v>41089</v>
      </c>
      <c r="B7825" s="330" t="s">
        <v>52181</v>
      </c>
      <c r="C7825" s="330" t="s">
        <v>18682</v>
      </c>
      <c r="D7825" s="330" t="s">
        <v>15091</v>
      </c>
      <c r="E7825" s="330" t="s">
        <v>4634</v>
      </c>
      <c r="F7825" s="331">
        <v>0.21</v>
      </c>
      <c r="G7825" s="332">
        <v>702</v>
      </c>
      <c r="H7825" s="333">
        <v>850</v>
      </c>
    </row>
    <row r="7826" spans="1:8">
      <c r="A7826" s="317" t="s">
        <v>41090</v>
      </c>
      <c r="B7826" s="330" t="s">
        <v>52182</v>
      </c>
      <c r="C7826" s="330" t="s">
        <v>18683</v>
      </c>
      <c r="D7826" s="330" t="s">
        <v>18684</v>
      </c>
      <c r="E7826" s="330" t="s">
        <v>37248</v>
      </c>
      <c r="F7826" s="331">
        <v>0.21</v>
      </c>
      <c r="G7826" s="332">
        <v>12342</v>
      </c>
      <c r="H7826" s="333">
        <v>14934</v>
      </c>
    </row>
    <row r="7827" spans="1:8">
      <c r="A7827" s="317" t="s">
        <v>41091</v>
      </c>
      <c r="B7827" s="330" t="s">
        <v>52183</v>
      </c>
      <c r="C7827" s="330" t="s">
        <v>18685</v>
      </c>
      <c r="D7827" s="330" t="s">
        <v>18686</v>
      </c>
      <c r="E7827" s="330" t="s">
        <v>37248</v>
      </c>
      <c r="F7827" s="331">
        <v>0.21</v>
      </c>
      <c r="G7827" s="332">
        <v>764</v>
      </c>
      <c r="H7827" s="333">
        <v>925</v>
      </c>
    </row>
    <row r="7828" spans="1:8">
      <c r="A7828" s="317" t="s">
        <v>41092</v>
      </c>
      <c r="B7828" s="330" t="s">
        <v>52184</v>
      </c>
      <c r="C7828" s="330" t="s">
        <v>18687</v>
      </c>
      <c r="D7828" s="330" t="s">
        <v>18688</v>
      </c>
      <c r="E7828" s="330" t="s">
        <v>4819</v>
      </c>
      <c r="F7828" s="331">
        <v>0.21</v>
      </c>
      <c r="G7828" s="332">
        <v>47388</v>
      </c>
      <c r="H7828" s="333">
        <v>57340</v>
      </c>
    </row>
    <row r="7829" spans="1:8">
      <c r="A7829" s="317" t="s">
        <v>41093</v>
      </c>
      <c r="B7829" s="330" t="s">
        <v>52185</v>
      </c>
      <c r="C7829" s="330" t="s">
        <v>18689</v>
      </c>
      <c r="D7829" s="330" t="s">
        <v>18690</v>
      </c>
      <c r="E7829" s="330" t="s">
        <v>37248</v>
      </c>
      <c r="F7829" s="331">
        <v>0.21</v>
      </c>
      <c r="G7829" s="332">
        <v>9145</v>
      </c>
      <c r="H7829" s="333">
        <v>11066</v>
      </c>
    </row>
    <row r="7830" spans="1:8">
      <c r="A7830" s="317" t="s">
        <v>41094</v>
      </c>
      <c r="B7830" s="330" t="s">
        <v>52186</v>
      </c>
      <c r="C7830" s="330" t="s">
        <v>18691</v>
      </c>
      <c r="D7830" s="330" t="s">
        <v>18692</v>
      </c>
      <c r="E7830" s="330" t="s">
        <v>4819</v>
      </c>
      <c r="F7830" s="331">
        <v>0.21</v>
      </c>
      <c r="G7830" s="332">
        <v>10923</v>
      </c>
      <c r="H7830" s="333">
        <v>13217</v>
      </c>
    </row>
    <row r="7831" spans="1:8">
      <c r="A7831" s="317" t="s">
        <v>41095</v>
      </c>
      <c r="B7831" s="330" t="s">
        <v>52187</v>
      </c>
      <c r="C7831" s="330" t="s">
        <v>18693</v>
      </c>
      <c r="D7831" s="330" t="s">
        <v>18694</v>
      </c>
      <c r="E7831" s="330" t="s">
        <v>4634</v>
      </c>
      <c r="F7831" s="331">
        <v>0.21</v>
      </c>
      <c r="G7831" s="332">
        <v>196</v>
      </c>
      <c r="H7831" s="333">
        <v>238</v>
      </c>
    </row>
    <row r="7832" spans="1:8">
      <c r="A7832" s="317" t="s">
        <v>41096</v>
      </c>
      <c r="B7832" s="330" t="s">
        <v>52188</v>
      </c>
      <c r="C7832" s="330" t="s">
        <v>18695</v>
      </c>
      <c r="D7832" s="330" t="s">
        <v>18696</v>
      </c>
      <c r="E7832" s="330" t="s">
        <v>37248</v>
      </c>
      <c r="F7832" s="331">
        <v>0.21</v>
      </c>
      <c r="G7832" s="332">
        <v>1356</v>
      </c>
      <c r="H7832" s="333">
        <v>1641</v>
      </c>
    </row>
    <row r="7833" spans="1:8">
      <c r="A7833" s="317" t="s">
        <v>41097</v>
      </c>
      <c r="B7833" s="330" t="s">
        <v>52189</v>
      </c>
      <c r="C7833" s="330" t="s">
        <v>18697</v>
      </c>
      <c r="D7833" s="330" t="s">
        <v>18698</v>
      </c>
      <c r="E7833" s="330" t="s">
        <v>37248</v>
      </c>
      <c r="F7833" s="331">
        <v>0.21</v>
      </c>
      <c r="G7833" s="332">
        <v>8978</v>
      </c>
      <c r="H7833" s="333">
        <v>10864</v>
      </c>
    </row>
    <row r="7834" spans="1:8">
      <c r="A7834" s="317" t="s">
        <v>41098</v>
      </c>
      <c r="B7834" s="330" t="s">
        <v>52190</v>
      </c>
      <c r="C7834" s="330" t="s">
        <v>18699</v>
      </c>
      <c r="D7834" s="330" t="s">
        <v>18700</v>
      </c>
      <c r="E7834" s="330" t="s">
        <v>4819</v>
      </c>
      <c r="F7834" s="331">
        <v>0.21</v>
      </c>
      <c r="G7834" s="332">
        <v>3263</v>
      </c>
      <c r="H7834" s="333">
        <v>3949</v>
      </c>
    </row>
    <row r="7835" spans="1:8">
      <c r="A7835" s="317" t="s">
        <v>41099</v>
      </c>
      <c r="B7835" s="330" t="s">
        <v>52191</v>
      </c>
      <c r="C7835" s="330" t="s">
        <v>18701</v>
      </c>
      <c r="D7835" s="330" t="s">
        <v>18702</v>
      </c>
      <c r="E7835" s="330" t="s">
        <v>4634</v>
      </c>
      <c r="F7835" s="331">
        <v>0.21</v>
      </c>
      <c r="G7835" s="332">
        <v>5567</v>
      </c>
      <c r="H7835" s="333">
        <v>6737</v>
      </c>
    </row>
    <row r="7836" spans="1:8">
      <c r="A7836" s="317" t="s">
        <v>41100</v>
      </c>
      <c r="B7836" s="330" t="s">
        <v>52192</v>
      </c>
      <c r="C7836" s="330" t="s">
        <v>18703</v>
      </c>
      <c r="D7836" s="330" t="s">
        <v>18704</v>
      </c>
      <c r="E7836" s="330" t="s">
        <v>37248</v>
      </c>
      <c r="F7836" s="331">
        <v>0.21</v>
      </c>
      <c r="G7836" s="332">
        <v>339</v>
      </c>
      <c r="H7836" s="333">
        <v>411</v>
      </c>
    </row>
    <row r="7837" spans="1:8">
      <c r="A7837" s="317" t="s">
        <v>41101</v>
      </c>
      <c r="B7837" s="330" t="s">
        <v>52193</v>
      </c>
      <c r="C7837" s="330" t="s">
        <v>18705</v>
      </c>
      <c r="D7837" s="330" t="s">
        <v>18706</v>
      </c>
      <c r="E7837" s="330" t="s">
        <v>4634</v>
      </c>
      <c r="F7837" s="331">
        <v>0.21</v>
      </c>
      <c r="G7837" s="332">
        <v>426</v>
      </c>
      <c r="H7837" s="333">
        <v>516</v>
      </c>
    </row>
    <row r="7838" spans="1:8">
      <c r="A7838" s="317" t="s">
        <v>41102</v>
      </c>
      <c r="B7838" s="330" t="s">
        <v>52194</v>
      </c>
      <c r="C7838" s="330" t="s">
        <v>18707</v>
      </c>
      <c r="D7838" s="330" t="s">
        <v>18708</v>
      </c>
      <c r="E7838" s="330" t="s">
        <v>4819</v>
      </c>
      <c r="F7838" s="331">
        <v>0.21</v>
      </c>
      <c r="G7838" s="332">
        <v>898</v>
      </c>
      <c r="H7838" s="333">
        <v>1087</v>
      </c>
    </row>
    <row r="7839" spans="1:8">
      <c r="A7839" s="317" t="s">
        <v>41103</v>
      </c>
      <c r="B7839" s="330" t="s">
        <v>52195</v>
      </c>
      <c r="C7839" s="330" t="s">
        <v>18709</v>
      </c>
      <c r="D7839" s="330" t="s">
        <v>18710</v>
      </c>
      <c r="E7839" s="330" t="s">
        <v>4819</v>
      </c>
      <c r="F7839" s="331">
        <v>0.21</v>
      </c>
      <c r="G7839" s="332">
        <v>2823</v>
      </c>
      <c r="H7839" s="333">
        <v>3416</v>
      </c>
    </row>
    <row r="7840" spans="1:8">
      <c r="A7840" s="317" t="s">
        <v>41104</v>
      </c>
      <c r="B7840" s="330" t="s">
        <v>52196</v>
      </c>
      <c r="C7840" s="330" t="s">
        <v>18711</v>
      </c>
      <c r="D7840" s="330" t="s">
        <v>18712</v>
      </c>
      <c r="E7840" s="330" t="s">
        <v>37248</v>
      </c>
      <c r="F7840" s="331">
        <v>0.21</v>
      </c>
      <c r="G7840" s="332">
        <v>56799</v>
      </c>
      <c r="H7840" s="333">
        <v>68727</v>
      </c>
    </row>
    <row r="7841" spans="1:8">
      <c r="A7841" s="317" t="s">
        <v>41105</v>
      </c>
      <c r="B7841" s="330" t="s">
        <v>52197</v>
      </c>
      <c r="C7841" s="330" t="s">
        <v>18713</v>
      </c>
      <c r="D7841" s="330" t="s">
        <v>18714</v>
      </c>
      <c r="E7841" s="330" t="s">
        <v>4819</v>
      </c>
      <c r="F7841" s="331">
        <v>0.21</v>
      </c>
      <c r="G7841" s="332">
        <v>30068</v>
      </c>
      <c r="H7841" s="333">
        <v>36383</v>
      </c>
    </row>
    <row r="7842" spans="1:8">
      <c r="A7842" s="317" t="s">
        <v>41106</v>
      </c>
      <c r="B7842" s="330" t="s">
        <v>52198</v>
      </c>
      <c r="C7842" s="330" t="s">
        <v>18715</v>
      </c>
      <c r="D7842" s="330" t="s">
        <v>18716</v>
      </c>
      <c r="E7842" s="330" t="s">
        <v>4819</v>
      </c>
      <c r="F7842" s="331">
        <v>0.21</v>
      </c>
      <c r="G7842" s="332">
        <v>51755</v>
      </c>
      <c r="H7842" s="333">
        <v>62624</v>
      </c>
    </row>
    <row r="7843" spans="1:8">
      <c r="A7843" s="317" t="s">
        <v>41107</v>
      </c>
      <c r="B7843" s="330" t="s">
        <v>52199</v>
      </c>
      <c r="C7843" s="330" t="s">
        <v>18717</v>
      </c>
      <c r="D7843" s="330" t="s">
        <v>6485</v>
      </c>
      <c r="E7843" s="330" t="s">
        <v>37248</v>
      </c>
      <c r="F7843" s="331">
        <v>0.21</v>
      </c>
      <c r="G7843" s="332">
        <v>7818</v>
      </c>
      <c r="H7843" s="333">
        <v>9460</v>
      </c>
    </row>
    <row r="7844" spans="1:8">
      <c r="A7844" s="317" t="s">
        <v>41108</v>
      </c>
      <c r="B7844" s="330" t="s">
        <v>52200</v>
      </c>
      <c r="C7844" s="330" t="s">
        <v>18718</v>
      </c>
      <c r="D7844" s="330" t="s">
        <v>5707</v>
      </c>
      <c r="E7844" s="330" t="s">
        <v>37248</v>
      </c>
      <c r="F7844" s="331">
        <v>0.21</v>
      </c>
      <c r="G7844" s="332">
        <v>24090</v>
      </c>
      <c r="H7844" s="333">
        <v>29149</v>
      </c>
    </row>
    <row r="7845" spans="1:8">
      <c r="A7845" s="317" t="s">
        <v>41109</v>
      </c>
      <c r="B7845" s="330" t="s">
        <v>52201</v>
      </c>
      <c r="C7845" s="330" t="s">
        <v>18719</v>
      </c>
      <c r="D7845" s="330" t="s">
        <v>8783</v>
      </c>
      <c r="E7845" s="330" t="s">
        <v>37248</v>
      </c>
      <c r="F7845" s="331">
        <v>0.21</v>
      </c>
      <c r="G7845" s="332">
        <v>339</v>
      </c>
      <c r="H7845" s="333">
        <v>411</v>
      </c>
    </row>
    <row r="7846" spans="1:8">
      <c r="A7846" s="317" t="s">
        <v>41110</v>
      </c>
      <c r="B7846" s="330" t="s">
        <v>52202</v>
      </c>
      <c r="C7846" s="330" t="s">
        <v>18720</v>
      </c>
      <c r="D7846" s="330" t="s">
        <v>18721</v>
      </c>
      <c r="E7846" s="330" t="s">
        <v>4819</v>
      </c>
      <c r="F7846" s="331">
        <v>0.21</v>
      </c>
      <c r="G7846" s="332">
        <v>1405</v>
      </c>
      <c r="H7846" s="333">
        <v>1701</v>
      </c>
    </row>
    <row r="7847" spans="1:8">
      <c r="A7847" s="317" t="s">
        <v>41111</v>
      </c>
      <c r="B7847" s="330" t="s">
        <v>52203</v>
      </c>
      <c r="C7847" s="330" t="s">
        <v>18722</v>
      </c>
      <c r="D7847" s="330" t="s">
        <v>18723</v>
      </c>
      <c r="E7847" s="330" t="s">
        <v>37248</v>
      </c>
      <c r="F7847" s="331">
        <v>0.21</v>
      </c>
      <c r="G7847" s="332">
        <v>22722</v>
      </c>
      <c r="H7847" s="333">
        <v>27494</v>
      </c>
    </row>
    <row r="7848" spans="1:8">
      <c r="A7848" s="317" t="s">
        <v>41112</v>
      </c>
      <c r="B7848" s="330" t="s">
        <v>52204</v>
      </c>
      <c r="C7848" s="330" t="s">
        <v>18724</v>
      </c>
      <c r="D7848" s="330" t="s">
        <v>18725</v>
      </c>
      <c r="E7848" s="330" t="s">
        <v>4819</v>
      </c>
      <c r="F7848" s="331">
        <v>0.21</v>
      </c>
      <c r="G7848" s="332">
        <v>1373</v>
      </c>
      <c r="H7848" s="333">
        <v>1662</v>
      </c>
    </row>
    <row r="7849" spans="1:8">
      <c r="A7849" s="317" t="s">
        <v>41113</v>
      </c>
      <c r="B7849" s="330" t="s">
        <v>52205</v>
      </c>
      <c r="C7849" s="330" t="s">
        <v>18726</v>
      </c>
      <c r="D7849" s="330" t="s">
        <v>18727</v>
      </c>
      <c r="E7849" s="330" t="s">
        <v>4819</v>
      </c>
      <c r="F7849" s="331">
        <v>0.21</v>
      </c>
      <c r="G7849" s="332">
        <v>1373</v>
      </c>
      <c r="H7849" s="333">
        <v>1662</v>
      </c>
    </row>
    <row r="7850" spans="1:8">
      <c r="A7850" s="317" t="s">
        <v>41114</v>
      </c>
      <c r="B7850" s="330" t="s">
        <v>52206</v>
      </c>
      <c r="C7850" s="330" t="s">
        <v>18728</v>
      </c>
      <c r="D7850" s="330" t="s">
        <v>18729</v>
      </c>
      <c r="E7850" s="330" t="s">
        <v>4819</v>
      </c>
      <c r="F7850" s="331">
        <v>0.21</v>
      </c>
      <c r="G7850" s="332">
        <v>1115</v>
      </c>
      <c r="H7850" s="333">
        <v>1350</v>
      </c>
    </row>
    <row r="7851" spans="1:8">
      <c r="A7851" s="317" t="s">
        <v>41115</v>
      </c>
      <c r="B7851" s="330" t="s">
        <v>52207</v>
      </c>
      <c r="C7851" s="330" t="s">
        <v>18730</v>
      </c>
      <c r="D7851" s="330" t="s">
        <v>18731</v>
      </c>
      <c r="E7851" s="330" t="s">
        <v>4819</v>
      </c>
      <c r="F7851" s="331">
        <v>0.21</v>
      </c>
      <c r="G7851" s="332">
        <v>4932</v>
      </c>
      <c r="H7851" s="333">
        <v>5968</v>
      </c>
    </row>
    <row r="7852" spans="1:8">
      <c r="A7852" s="317" t="s">
        <v>41116</v>
      </c>
      <c r="B7852" s="330" t="s">
        <v>52208</v>
      </c>
      <c r="C7852" s="330" t="s">
        <v>18732</v>
      </c>
      <c r="D7852" s="330" t="s">
        <v>18733</v>
      </c>
      <c r="E7852" s="330" t="s">
        <v>37248</v>
      </c>
      <c r="F7852" s="331">
        <v>0.21</v>
      </c>
      <c r="G7852" s="332">
        <v>3970</v>
      </c>
      <c r="H7852" s="333">
        <v>4804</v>
      </c>
    </row>
    <row r="7853" spans="1:8">
      <c r="A7853" s="317" t="s">
        <v>41117</v>
      </c>
      <c r="B7853" s="330" t="s">
        <v>52209</v>
      </c>
      <c r="C7853" s="330" t="s">
        <v>18734</v>
      </c>
      <c r="D7853" s="330" t="s">
        <v>4909</v>
      </c>
      <c r="E7853" s="330" t="s">
        <v>37248</v>
      </c>
      <c r="F7853" s="331">
        <v>0.21</v>
      </c>
      <c r="G7853" s="332">
        <v>318</v>
      </c>
      <c r="H7853" s="333">
        <v>385</v>
      </c>
    </row>
    <row r="7854" spans="1:8">
      <c r="A7854" s="317" t="s">
        <v>41118</v>
      </c>
      <c r="B7854" s="330" t="s">
        <v>52210</v>
      </c>
      <c r="C7854" s="330" t="s">
        <v>18735</v>
      </c>
      <c r="D7854" s="330" t="s">
        <v>18736</v>
      </c>
      <c r="E7854" s="330" t="s">
        <v>37248</v>
      </c>
      <c r="F7854" s="331">
        <v>0.21</v>
      </c>
      <c r="G7854" s="332">
        <v>789</v>
      </c>
      <c r="H7854" s="333">
        <v>955</v>
      </c>
    </row>
    <row r="7855" spans="1:8">
      <c r="A7855" s="317" t="s">
        <v>41119</v>
      </c>
      <c r="B7855" s="330" t="s">
        <v>52211</v>
      </c>
      <c r="C7855" s="330" t="s">
        <v>18737</v>
      </c>
      <c r="D7855" s="330" t="s">
        <v>18738</v>
      </c>
      <c r="E7855" s="330" t="s">
        <v>4819</v>
      </c>
      <c r="F7855" s="331">
        <v>0.21</v>
      </c>
      <c r="G7855" s="332">
        <v>11787</v>
      </c>
      <c r="H7855" s="333">
        <v>14263</v>
      </c>
    </row>
    <row r="7856" spans="1:8">
      <c r="A7856" s="317" t="s">
        <v>41120</v>
      </c>
      <c r="B7856" s="330" t="s">
        <v>52212</v>
      </c>
      <c r="C7856" s="330" t="s">
        <v>18739</v>
      </c>
      <c r="D7856" s="330" t="s">
        <v>18740</v>
      </c>
      <c r="E7856" s="330" t="s">
        <v>4819</v>
      </c>
      <c r="F7856" s="331">
        <v>0.21</v>
      </c>
      <c r="G7856" s="332">
        <v>807</v>
      </c>
      <c r="H7856" s="333">
        <v>977</v>
      </c>
    </row>
    <row r="7857" spans="1:8">
      <c r="A7857" s="317" t="s">
        <v>41121</v>
      </c>
      <c r="B7857" s="330" t="s">
        <v>52213</v>
      </c>
      <c r="C7857" s="330" t="s">
        <v>18741</v>
      </c>
      <c r="D7857" s="330" t="s">
        <v>18742</v>
      </c>
      <c r="E7857" s="330" t="s">
        <v>4634</v>
      </c>
      <c r="F7857" s="331">
        <v>0.21</v>
      </c>
      <c r="G7857" s="332">
        <v>1882</v>
      </c>
      <c r="H7857" s="333">
        <v>2278</v>
      </c>
    </row>
    <row r="7858" spans="1:8">
      <c r="A7858" s="317" t="s">
        <v>41122</v>
      </c>
      <c r="B7858" s="330" t="s">
        <v>52214</v>
      </c>
      <c r="C7858" s="330" t="s">
        <v>18743</v>
      </c>
      <c r="D7858" s="330" t="s">
        <v>18744</v>
      </c>
      <c r="E7858" s="330" t="s">
        <v>37248</v>
      </c>
      <c r="F7858" s="331">
        <v>0.21</v>
      </c>
      <c r="G7858" s="332">
        <v>28484</v>
      </c>
      <c r="H7858" s="333">
        <v>34466</v>
      </c>
    </row>
    <row r="7859" spans="1:8">
      <c r="A7859" s="317" t="s">
        <v>41123</v>
      </c>
      <c r="B7859" s="330" t="s">
        <v>52215</v>
      </c>
      <c r="C7859" s="330" t="s">
        <v>18745</v>
      </c>
      <c r="D7859" s="330" t="s">
        <v>18746</v>
      </c>
      <c r="E7859" s="330" t="s">
        <v>4634</v>
      </c>
      <c r="F7859" s="331">
        <v>0.21</v>
      </c>
      <c r="G7859" s="332">
        <v>3524</v>
      </c>
      <c r="H7859" s="333">
        <v>4265</v>
      </c>
    </row>
    <row r="7860" spans="1:8">
      <c r="A7860" s="317" t="s">
        <v>41124</v>
      </c>
      <c r="B7860" s="330" t="s">
        <v>52216</v>
      </c>
      <c r="C7860" s="330" t="s">
        <v>18747</v>
      </c>
      <c r="D7860" s="330" t="s">
        <v>18748</v>
      </c>
      <c r="E7860" s="330" t="s">
        <v>4819</v>
      </c>
      <c r="F7860" s="331">
        <v>0.21</v>
      </c>
      <c r="G7860" s="332">
        <v>292</v>
      </c>
      <c r="H7860" s="333">
        <v>354</v>
      </c>
    </row>
    <row r="7861" spans="1:8">
      <c r="A7861" s="317" t="s">
        <v>41125</v>
      </c>
      <c r="B7861" s="330" t="s">
        <v>52217</v>
      </c>
      <c r="C7861" s="330" t="s">
        <v>18749</v>
      </c>
      <c r="D7861" s="330" t="s">
        <v>6740</v>
      </c>
      <c r="E7861" s="330" t="s">
        <v>37248</v>
      </c>
      <c r="F7861" s="331">
        <v>0.21</v>
      </c>
      <c r="G7861" s="332">
        <v>1835</v>
      </c>
      <c r="H7861" s="333">
        <v>2221</v>
      </c>
    </row>
    <row r="7862" spans="1:8">
      <c r="A7862" s="317" t="s">
        <v>41126</v>
      </c>
      <c r="B7862" s="330" t="s">
        <v>52218</v>
      </c>
      <c r="C7862" s="330" t="s">
        <v>18750</v>
      </c>
      <c r="D7862" s="330" t="s">
        <v>18751</v>
      </c>
      <c r="E7862" s="330" t="s">
        <v>4819</v>
      </c>
      <c r="F7862" s="331">
        <v>0.21</v>
      </c>
      <c r="G7862" s="332">
        <v>5487</v>
      </c>
      <c r="H7862" s="333">
        <v>6640</v>
      </c>
    </row>
    <row r="7863" spans="1:8">
      <c r="A7863" s="317" t="s">
        <v>41127</v>
      </c>
      <c r="B7863" s="330" t="s">
        <v>52219</v>
      </c>
      <c r="C7863" s="330" t="s">
        <v>18752</v>
      </c>
      <c r="D7863" s="330" t="s">
        <v>18753</v>
      </c>
      <c r="E7863" s="330" t="s">
        <v>4819</v>
      </c>
      <c r="F7863" s="331">
        <v>0.21</v>
      </c>
      <c r="G7863" s="332">
        <v>1126</v>
      </c>
      <c r="H7863" s="333">
        <v>1363</v>
      </c>
    </row>
    <row r="7864" spans="1:8">
      <c r="A7864" s="317" t="s">
        <v>41128</v>
      </c>
      <c r="B7864" s="330" t="s">
        <v>52220</v>
      </c>
      <c r="C7864" s="330" t="s">
        <v>18754</v>
      </c>
      <c r="D7864" s="330" t="s">
        <v>18755</v>
      </c>
      <c r="E7864" s="330" t="s">
        <v>4819</v>
      </c>
      <c r="F7864" s="331">
        <v>0.21</v>
      </c>
      <c r="G7864" s="332">
        <v>9413</v>
      </c>
      <c r="H7864" s="333">
        <v>11390</v>
      </c>
    </row>
    <row r="7865" spans="1:8">
      <c r="A7865" s="317" t="s">
        <v>41129</v>
      </c>
      <c r="B7865" s="330" t="s">
        <v>52221</v>
      </c>
      <c r="C7865" s="330" t="s">
        <v>18756</v>
      </c>
      <c r="D7865" s="330" t="s">
        <v>18757</v>
      </c>
      <c r="E7865" s="330" t="s">
        <v>37248</v>
      </c>
      <c r="F7865" s="331">
        <v>0.21</v>
      </c>
      <c r="G7865" s="332">
        <v>28513</v>
      </c>
      <c r="H7865" s="333">
        <v>34501</v>
      </c>
    </row>
    <row r="7866" spans="1:8">
      <c r="A7866" s="317" t="s">
        <v>41130</v>
      </c>
      <c r="B7866" s="330" t="s">
        <v>52222</v>
      </c>
      <c r="C7866" s="330" t="s">
        <v>18758</v>
      </c>
      <c r="D7866" s="330" t="s">
        <v>18759</v>
      </c>
      <c r="E7866" s="330" t="s">
        <v>4819</v>
      </c>
      <c r="F7866" s="331">
        <v>0.21</v>
      </c>
      <c r="G7866" s="332">
        <v>9415</v>
      </c>
      <c r="H7866" s="333">
        <v>11393</v>
      </c>
    </row>
    <row r="7867" spans="1:8">
      <c r="A7867" s="317" t="s">
        <v>41131</v>
      </c>
      <c r="B7867" s="330" t="s">
        <v>52223</v>
      </c>
      <c r="C7867" s="330" t="s">
        <v>18760</v>
      </c>
      <c r="D7867" s="330" t="s">
        <v>18761</v>
      </c>
      <c r="E7867" s="330" t="s">
        <v>4819</v>
      </c>
      <c r="F7867" s="331">
        <v>0.21</v>
      </c>
      <c r="G7867" s="332">
        <v>16028</v>
      </c>
      <c r="H7867" s="333">
        <v>19394</v>
      </c>
    </row>
    <row r="7868" spans="1:8">
      <c r="A7868" s="317" t="s">
        <v>41132</v>
      </c>
      <c r="B7868" s="330" t="s">
        <v>52224</v>
      </c>
      <c r="C7868" s="330" t="s">
        <v>18762</v>
      </c>
      <c r="D7868" s="330" t="s">
        <v>18763</v>
      </c>
      <c r="E7868" s="330" t="s">
        <v>4819</v>
      </c>
      <c r="F7868" s="331">
        <v>0.21</v>
      </c>
      <c r="G7868" s="332">
        <v>14100</v>
      </c>
      <c r="H7868" s="333">
        <v>17061</v>
      </c>
    </row>
    <row r="7869" spans="1:8">
      <c r="A7869" s="317" t="s">
        <v>41133</v>
      </c>
      <c r="B7869" s="330" t="s">
        <v>52225</v>
      </c>
      <c r="C7869" s="330" t="s">
        <v>18764</v>
      </c>
      <c r="D7869" s="330" t="s">
        <v>18765</v>
      </c>
      <c r="E7869" s="330" t="s">
        <v>4634</v>
      </c>
      <c r="F7869" s="331">
        <v>0.21</v>
      </c>
      <c r="G7869" s="332">
        <v>6875</v>
      </c>
      <c r="H7869" s="333">
        <v>8319</v>
      </c>
    </row>
    <row r="7870" spans="1:8">
      <c r="A7870" s="317" t="s">
        <v>41134</v>
      </c>
      <c r="B7870" s="330" t="s">
        <v>52226</v>
      </c>
      <c r="C7870" s="330" t="s">
        <v>18766</v>
      </c>
      <c r="D7870" s="330" t="s">
        <v>18767</v>
      </c>
      <c r="E7870" s="330" t="s">
        <v>37248</v>
      </c>
      <c r="F7870" s="331">
        <v>0.21</v>
      </c>
      <c r="G7870" s="332">
        <v>4428</v>
      </c>
      <c r="H7870" s="333">
        <v>5358</v>
      </c>
    </row>
    <row r="7871" spans="1:8">
      <c r="A7871" s="317" t="s">
        <v>41135</v>
      </c>
      <c r="B7871" s="330" t="s">
        <v>52227</v>
      </c>
      <c r="C7871" s="330" t="s">
        <v>18768</v>
      </c>
      <c r="D7871" s="330" t="s">
        <v>18769</v>
      </c>
      <c r="E7871" s="330" t="s">
        <v>37248</v>
      </c>
      <c r="F7871" s="331">
        <v>0.21</v>
      </c>
      <c r="G7871" s="332">
        <v>1186</v>
      </c>
      <c r="H7871" s="333">
        <v>1436</v>
      </c>
    </row>
    <row r="7872" spans="1:8">
      <c r="A7872" s="317" t="s">
        <v>41136</v>
      </c>
      <c r="B7872" s="330" t="s">
        <v>52228</v>
      </c>
      <c r="C7872" s="330" t="s">
        <v>18770</v>
      </c>
      <c r="D7872" s="330" t="s">
        <v>18771</v>
      </c>
      <c r="E7872" s="330" t="s">
        <v>4819</v>
      </c>
      <c r="F7872" s="331">
        <v>0.21</v>
      </c>
      <c r="G7872" s="332">
        <v>3979</v>
      </c>
      <c r="H7872" s="333">
        <v>4815</v>
      </c>
    </row>
    <row r="7873" spans="1:8">
      <c r="A7873" s="317" t="s">
        <v>41137</v>
      </c>
      <c r="B7873" s="330" t="s">
        <v>52229</v>
      </c>
      <c r="C7873" s="330" t="s">
        <v>18772</v>
      </c>
      <c r="D7873" s="330" t="s">
        <v>18773</v>
      </c>
      <c r="E7873" s="330" t="s">
        <v>4819</v>
      </c>
      <c r="F7873" s="331">
        <v>0.21</v>
      </c>
      <c r="G7873" s="332">
        <v>479</v>
      </c>
      <c r="H7873" s="333">
        <v>580</v>
      </c>
    </row>
    <row r="7874" spans="1:8">
      <c r="A7874" s="317" t="s">
        <v>41138</v>
      </c>
      <c r="B7874" s="330" t="s">
        <v>52230</v>
      </c>
      <c r="C7874" s="330" t="s">
        <v>18774</v>
      </c>
      <c r="D7874" s="330" t="s">
        <v>18775</v>
      </c>
      <c r="E7874" s="330" t="s">
        <v>37248</v>
      </c>
      <c r="F7874" s="331">
        <v>0.21</v>
      </c>
      <c r="G7874" s="332">
        <v>7796</v>
      </c>
      <c r="H7874" s="333">
        <v>9434</v>
      </c>
    </row>
    <row r="7875" spans="1:8">
      <c r="A7875" s="317" t="s">
        <v>41139</v>
      </c>
      <c r="B7875" s="330" t="s">
        <v>52231</v>
      </c>
      <c r="C7875" s="330" t="s">
        <v>18776</v>
      </c>
      <c r="D7875" s="330" t="s">
        <v>18777</v>
      </c>
      <c r="E7875" s="330" t="s">
        <v>4819</v>
      </c>
      <c r="F7875" s="331">
        <v>0.21</v>
      </c>
      <c r="G7875" s="332">
        <v>29412</v>
      </c>
      <c r="H7875" s="333">
        <v>35589</v>
      </c>
    </row>
    <row r="7876" spans="1:8">
      <c r="A7876" s="317" t="s">
        <v>41140</v>
      </c>
      <c r="B7876" s="330" t="s">
        <v>52232</v>
      </c>
      <c r="C7876" s="330" t="s">
        <v>18778</v>
      </c>
      <c r="D7876" s="330" t="s">
        <v>18779</v>
      </c>
      <c r="E7876" s="330" t="s">
        <v>4819</v>
      </c>
      <c r="F7876" s="331">
        <v>0.21</v>
      </c>
      <c r="G7876" s="332">
        <v>5242</v>
      </c>
      <c r="H7876" s="333">
        <v>6343</v>
      </c>
    </row>
    <row r="7877" spans="1:8">
      <c r="A7877" s="317" t="s">
        <v>41141</v>
      </c>
      <c r="B7877" s="330" t="s">
        <v>52233</v>
      </c>
      <c r="C7877" s="330" t="s">
        <v>18780</v>
      </c>
      <c r="D7877" s="330" t="s">
        <v>18781</v>
      </c>
      <c r="E7877" s="330" t="s">
        <v>4819</v>
      </c>
      <c r="F7877" s="331">
        <v>0.21</v>
      </c>
      <c r="G7877" s="332">
        <v>10227</v>
      </c>
      <c r="H7877" s="333">
        <v>12375</v>
      </c>
    </row>
    <row r="7878" spans="1:8">
      <c r="A7878" s="317" t="s">
        <v>41142</v>
      </c>
      <c r="B7878" s="330" t="s">
        <v>52234</v>
      </c>
      <c r="C7878" s="330" t="s">
        <v>18782</v>
      </c>
      <c r="D7878" s="330" t="s">
        <v>18783</v>
      </c>
      <c r="E7878" s="330" t="s">
        <v>4819</v>
      </c>
      <c r="F7878" s="331">
        <v>0.21</v>
      </c>
      <c r="G7878" s="332">
        <v>64908</v>
      </c>
      <c r="H7878" s="333">
        <v>78539</v>
      </c>
    </row>
    <row r="7879" spans="1:8">
      <c r="A7879" s="317" t="s">
        <v>41143</v>
      </c>
      <c r="B7879" s="330" t="s">
        <v>52235</v>
      </c>
      <c r="C7879" s="330" t="s">
        <v>18784</v>
      </c>
      <c r="D7879" s="330" t="s">
        <v>18785</v>
      </c>
      <c r="E7879" s="330" t="s">
        <v>4819</v>
      </c>
      <c r="F7879" s="331">
        <v>0.21</v>
      </c>
      <c r="G7879" s="332">
        <v>3796</v>
      </c>
      <c r="H7879" s="333">
        <v>4594</v>
      </c>
    </row>
    <row r="7880" spans="1:8">
      <c r="A7880" s="317" t="s">
        <v>41144</v>
      </c>
      <c r="B7880" s="330" t="s">
        <v>52236</v>
      </c>
      <c r="C7880" s="330" t="s">
        <v>18786</v>
      </c>
      <c r="D7880" s="330" t="s">
        <v>18787</v>
      </c>
      <c r="E7880" s="330" t="s">
        <v>4819</v>
      </c>
      <c r="F7880" s="331">
        <v>0.21</v>
      </c>
      <c r="G7880" s="332">
        <v>159051</v>
      </c>
      <c r="H7880" s="333">
        <v>192452</v>
      </c>
    </row>
    <row r="7881" spans="1:8">
      <c r="A7881" s="317" t="s">
        <v>41145</v>
      </c>
      <c r="B7881" s="330" t="s">
        <v>52237</v>
      </c>
      <c r="C7881" s="330" t="s">
        <v>18788</v>
      </c>
      <c r="D7881" s="330" t="s">
        <v>18789</v>
      </c>
      <c r="E7881" s="330" t="s">
        <v>4819</v>
      </c>
      <c r="F7881" s="331">
        <v>0.21</v>
      </c>
      <c r="G7881" s="332">
        <v>17939</v>
      </c>
      <c r="H7881" s="333">
        <v>21707</v>
      </c>
    </row>
    <row r="7882" spans="1:8">
      <c r="A7882" s="317" t="s">
        <v>41146</v>
      </c>
      <c r="B7882" s="330" t="s">
        <v>52238</v>
      </c>
      <c r="C7882" s="330" t="s">
        <v>18790</v>
      </c>
      <c r="D7882" s="330" t="s">
        <v>18791</v>
      </c>
      <c r="E7882" s="330" t="s">
        <v>4819</v>
      </c>
      <c r="F7882" s="331">
        <v>0.21</v>
      </c>
      <c r="G7882" s="332">
        <v>13886</v>
      </c>
      <c r="H7882" s="333">
        <v>16803</v>
      </c>
    </row>
    <row r="7883" spans="1:8">
      <c r="A7883" s="317" t="s">
        <v>41147</v>
      </c>
      <c r="B7883" s="330" t="s">
        <v>52239</v>
      </c>
      <c r="C7883" s="330" t="s">
        <v>18792</v>
      </c>
      <c r="D7883" s="330" t="s">
        <v>18793</v>
      </c>
      <c r="E7883" s="330" t="s">
        <v>4819</v>
      </c>
      <c r="F7883" s="331">
        <v>0.21</v>
      </c>
      <c r="G7883" s="332">
        <v>1601</v>
      </c>
      <c r="H7883" s="333">
        <v>1938</v>
      </c>
    </row>
    <row r="7884" spans="1:8">
      <c r="A7884" s="317" t="s">
        <v>41148</v>
      </c>
      <c r="B7884" s="330" t="s">
        <v>52240</v>
      </c>
      <c r="C7884" s="330" t="s">
        <v>18794</v>
      </c>
      <c r="D7884" s="330" t="s">
        <v>18795</v>
      </c>
      <c r="E7884" s="330" t="s">
        <v>4819</v>
      </c>
      <c r="F7884" s="331">
        <v>0.21</v>
      </c>
      <c r="G7884" s="332">
        <v>29684</v>
      </c>
      <c r="H7884" s="333">
        <v>35918</v>
      </c>
    </row>
    <row r="7885" spans="1:8">
      <c r="A7885" s="317" t="s">
        <v>41149</v>
      </c>
      <c r="B7885" s="330" t="s">
        <v>52241</v>
      </c>
      <c r="C7885" s="330" t="s">
        <v>18796</v>
      </c>
      <c r="D7885" s="330" t="s">
        <v>18797</v>
      </c>
      <c r="E7885" s="330" t="s">
        <v>4819</v>
      </c>
      <c r="F7885" s="331">
        <v>0.21</v>
      </c>
      <c r="G7885" s="332">
        <v>12934</v>
      </c>
      <c r="H7885" s="333">
        <v>15651</v>
      </c>
    </row>
    <row r="7886" spans="1:8">
      <c r="A7886" s="317" t="s">
        <v>41150</v>
      </c>
      <c r="B7886" s="330" t="s">
        <v>52242</v>
      </c>
      <c r="C7886" s="330" t="s">
        <v>18798</v>
      </c>
      <c r="D7886" s="330" t="s">
        <v>18799</v>
      </c>
      <c r="E7886" s="330" t="s">
        <v>4819</v>
      </c>
      <c r="F7886" s="331">
        <v>0.21</v>
      </c>
      <c r="G7886" s="332">
        <v>2705</v>
      </c>
      <c r="H7886" s="333">
        <v>3274</v>
      </c>
    </row>
    <row r="7887" spans="1:8">
      <c r="A7887" s="317" t="s">
        <v>41151</v>
      </c>
      <c r="B7887" s="330" t="s">
        <v>52243</v>
      </c>
      <c r="C7887" s="330" t="s">
        <v>18800</v>
      </c>
      <c r="D7887" s="330" t="s">
        <v>18801</v>
      </c>
      <c r="E7887" s="330" t="s">
        <v>4819</v>
      </c>
      <c r="F7887" s="331">
        <v>0.21</v>
      </c>
      <c r="G7887" s="332">
        <v>3979</v>
      </c>
      <c r="H7887" s="333">
        <v>4815</v>
      </c>
    </row>
    <row r="7888" spans="1:8">
      <c r="A7888" s="317" t="s">
        <v>41152</v>
      </c>
      <c r="B7888" s="330" t="s">
        <v>52244</v>
      </c>
      <c r="C7888" s="330" t="s">
        <v>18802</v>
      </c>
      <c r="D7888" s="330" t="s">
        <v>18789</v>
      </c>
      <c r="E7888" s="330" t="s">
        <v>4819</v>
      </c>
      <c r="F7888" s="331">
        <v>0.21</v>
      </c>
      <c r="G7888" s="332">
        <v>3031</v>
      </c>
      <c r="H7888" s="333">
        <v>3668</v>
      </c>
    </row>
    <row r="7889" spans="1:8">
      <c r="A7889" s="317" t="s">
        <v>41153</v>
      </c>
      <c r="B7889" s="330" t="s">
        <v>52245</v>
      </c>
      <c r="C7889" s="330" t="s">
        <v>18803</v>
      </c>
      <c r="D7889" s="330" t="s">
        <v>18804</v>
      </c>
      <c r="E7889" s="330" t="s">
        <v>4819</v>
      </c>
      <c r="F7889" s="331">
        <v>0.21</v>
      </c>
      <c r="G7889" s="332">
        <v>18664</v>
      </c>
      <c r="H7889" s="333">
        <v>22584</v>
      </c>
    </row>
    <row r="7890" spans="1:8">
      <c r="A7890" s="317" t="s">
        <v>41154</v>
      </c>
      <c r="B7890" s="330" t="s">
        <v>52246</v>
      </c>
      <c r="C7890" s="330" t="s">
        <v>18805</v>
      </c>
      <c r="D7890" s="330" t="s">
        <v>9496</v>
      </c>
      <c r="E7890" s="330" t="s">
        <v>37248</v>
      </c>
      <c r="F7890" s="331">
        <v>0.21</v>
      </c>
      <c r="G7890" s="332">
        <v>7192</v>
      </c>
      <c r="H7890" s="333">
        <v>8703</v>
      </c>
    </row>
    <row r="7891" spans="1:8">
      <c r="A7891" s="317" t="s">
        <v>41155</v>
      </c>
      <c r="B7891" s="330" t="s">
        <v>52247</v>
      </c>
      <c r="C7891" s="330" t="s">
        <v>18806</v>
      </c>
      <c r="D7891" s="330" t="s">
        <v>18807</v>
      </c>
      <c r="E7891" s="330" t="s">
        <v>37248</v>
      </c>
      <c r="F7891" s="331">
        <v>0.21</v>
      </c>
      <c r="G7891" s="332">
        <v>5971</v>
      </c>
      <c r="H7891" s="333">
        <v>7225</v>
      </c>
    </row>
    <row r="7892" spans="1:8">
      <c r="A7892" s="317" t="s">
        <v>41156</v>
      </c>
      <c r="B7892" s="330" t="s">
        <v>52248</v>
      </c>
      <c r="C7892" s="330" t="s">
        <v>18808</v>
      </c>
      <c r="D7892" s="330" t="s">
        <v>18809</v>
      </c>
      <c r="E7892" s="330" t="s">
        <v>37248</v>
      </c>
      <c r="F7892" s="331">
        <v>0.21</v>
      </c>
      <c r="G7892" s="332">
        <v>1115</v>
      </c>
      <c r="H7892" s="333">
        <v>1350</v>
      </c>
    </row>
    <row r="7893" spans="1:8">
      <c r="A7893" s="317" t="s">
        <v>41157</v>
      </c>
      <c r="B7893" s="330" t="s">
        <v>52249</v>
      </c>
      <c r="C7893" s="330" t="s">
        <v>18810</v>
      </c>
      <c r="D7893" s="330" t="s">
        <v>18811</v>
      </c>
      <c r="E7893" s="330" t="s">
        <v>37248</v>
      </c>
      <c r="F7893" s="331">
        <v>0.21</v>
      </c>
      <c r="G7893" s="332">
        <v>20915</v>
      </c>
      <c r="H7893" s="333">
        <v>25308</v>
      </c>
    </row>
    <row r="7894" spans="1:8">
      <c r="A7894" s="317" t="s">
        <v>41158</v>
      </c>
      <c r="B7894" s="330" t="s">
        <v>52250</v>
      </c>
      <c r="C7894" s="330" t="s">
        <v>18812</v>
      </c>
      <c r="D7894" s="330" t="s">
        <v>18813</v>
      </c>
      <c r="E7894" s="330" t="s">
        <v>4819</v>
      </c>
      <c r="F7894" s="331">
        <v>0.21</v>
      </c>
      <c r="G7894" s="332">
        <v>2581</v>
      </c>
      <c r="H7894" s="333">
        <v>3124</v>
      </c>
    </row>
    <row r="7895" spans="1:8">
      <c r="A7895" s="317" t="s">
        <v>41159</v>
      </c>
      <c r="B7895" s="330" t="s">
        <v>52251</v>
      </c>
      <c r="C7895" s="330" t="s">
        <v>18814</v>
      </c>
      <c r="D7895" s="330" t="s">
        <v>18815</v>
      </c>
      <c r="E7895" s="330" t="s">
        <v>37248</v>
      </c>
      <c r="F7895" s="331">
        <v>0.21</v>
      </c>
      <c r="G7895" s="332">
        <v>15015</v>
      </c>
      <c r="H7895" s="333">
        <v>18169</v>
      </c>
    </row>
    <row r="7896" spans="1:8">
      <c r="A7896" s="317" t="s">
        <v>41160</v>
      </c>
      <c r="B7896" s="330" t="s">
        <v>52252</v>
      </c>
      <c r="C7896" s="330" t="s">
        <v>18816</v>
      </c>
      <c r="D7896" s="330" t="s">
        <v>18817</v>
      </c>
      <c r="E7896" s="330" t="s">
        <v>4819</v>
      </c>
      <c r="F7896" s="331">
        <v>0.21</v>
      </c>
      <c r="G7896" s="332">
        <v>2252</v>
      </c>
      <c r="H7896" s="333">
        <v>2725</v>
      </c>
    </row>
    <row r="7897" spans="1:8">
      <c r="A7897" s="317" t="s">
        <v>41161</v>
      </c>
      <c r="B7897" s="330" t="s">
        <v>52253</v>
      </c>
      <c r="C7897" s="330" t="s">
        <v>18818</v>
      </c>
      <c r="D7897" s="330" t="s">
        <v>18318</v>
      </c>
      <c r="E7897" s="330" t="s">
        <v>37248</v>
      </c>
      <c r="F7897" s="331">
        <v>0.21</v>
      </c>
      <c r="G7897" s="332">
        <v>30726</v>
      </c>
      <c r="H7897" s="333">
        <v>37179</v>
      </c>
    </row>
    <row r="7898" spans="1:8">
      <c r="A7898" s="317" t="s">
        <v>41162</v>
      </c>
      <c r="B7898" s="330" t="s">
        <v>52254</v>
      </c>
      <c r="C7898" s="330" t="s">
        <v>18819</v>
      </c>
      <c r="D7898" s="330" t="s">
        <v>18820</v>
      </c>
      <c r="E7898" s="330" t="s">
        <v>37248</v>
      </c>
      <c r="F7898" s="331">
        <v>0.21</v>
      </c>
      <c r="G7898" s="332">
        <v>53016</v>
      </c>
      <c r="H7898" s="333">
        <v>64150</v>
      </c>
    </row>
    <row r="7899" spans="1:8">
      <c r="A7899" s="317" t="s">
        <v>41163</v>
      </c>
      <c r="B7899" s="330" t="s">
        <v>52255</v>
      </c>
      <c r="C7899" s="330" t="s">
        <v>18821</v>
      </c>
      <c r="D7899" s="330" t="s">
        <v>18822</v>
      </c>
      <c r="E7899" s="330" t="s">
        <v>37248</v>
      </c>
      <c r="F7899" s="331">
        <v>0.21</v>
      </c>
      <c r="G7899" s="332">
        <v>1880</v>
      </c>
      <c r="H7899" s="333">
        <v>2275</v>
      </c>
    </row>
    <row r="7900" spans="1:8">
      <c r="A7900" s="317" t="s">
        <v>41164</v>
      </c>
      <c r="B7900" s="330" t="s">
        <v>52256</v>
      </c>
      <c r="C7900" s="330" t="s">
        <v>18823</v>
      </c>
      <c r="D7900" s="330" t="s">
        <v>18824</v>
      </c>
      <c r="E7900" s="330" t="s">
        <v>4819</v>
      </c>
      <c r="F7900" s="331">
        <v>0.21</v>
      </c>
      <c r="G7900" s="332">
        <v>2612</v>
      </c>
      <c r="H7900" s="333">
        <v>3161</v>
      </c>
    </row>
    <row r="7901" spans="1:8">
      <c r="A7901" s="317" t="s">
        <v>41165</v>
      </c>
      <c r="B7901" s="330" t="s">
        <v>52257</v>
      </c>
      <c r="C7901" s="330" t="s">
        <v>18825</v>
      </c>
      <c r="D7901" s="330" t="s">
        <v>18826</v>
      </c>
      <c r="E7901" s="330" t="s">
        <v>4819</v>
      </c>
      <c r="F7901" s="331">
        <v>0.21</v>
      </c>
      <c r="G7901" s="332">
        <v>15490</v>
      </c>
      <c r="H7901" s="333">
        <v>18743</v>
      </c>
    </row>
    <row r="7902" spans="1:8">
      <c r="A7902" s="317" t="s">
        <v>41166</v>
      </c>
      <c r="B7902" s="330" t="s">
        <v>52258</v>
      </c>
      <c r="C7902" s="330" t="s">
        <v>18827</v>
      </c>
      <c r="D7902" s="330" t="s">
        <v>18828</v>
      </c>
      <c r="E7902" s="330" t="s">
        <v>37248</v>
      </c>
      <c r="F7902" s="331">
        <v>0.21</v>
      </c>
      <c r="G7902" s="332">
        <v>1363</v>
      </c>
      <c r="H7902" s="333">
        <v>1650</v>
      </c>
    </row>
    <row r="7903" spans="1:8">
      <c r="A7903" s="317" t="s">
        <v>41167</v>
      </c>
      <c r="B7903" s="330" t="s">
        <v>52259</v>
      </c>
      <c r="C7903" s="330" t="s">
        <v>18829</v>
      </c>
      <c r="D7903" s="330" t="s">
        <v>18830</v>
      </c>
      <c r="E7903" s="330" t="s">
        <v>37248</v>
      </c>
      <c r="F7903" s="331">
        <v>0.21</v>
      </c>
      <c r="G7903" s="332">
        <v>1092</v>
      </c>
      <c r="H7903" s="333">
        <v>1322</v>
      </c>
    </row>
    <row r="7904" spans="1:8">
      <c r="A7904" s="317" t="s">
        <v>41168</v>
      </c>
      <c r="B7904" s="330" t="s">
        <v>52260</v>
      </c>
      <c r="C7904" s="330" t="s">
        <v>18831</v>
      </c>
      <c r="D7904" s="330" t="s">
        <v>18832</v>
      </c>
      <c r="E7904" s="330" t="s">
        <v>4819</v>
      </c>
      <c r="F7904" s="331">
        <v>0.21</v>
      </c>
      <c r="G7904" s="332">
        <v>3105</v>
      </c>
      <c r="H7904" s="333">
        <v>3758</v>
      </c>
    </row>
    <row r="7905" spans="1:8">
      <c r="A7905" s="317" t="s">
        <v>41169</v>
      </c>
      <c r="B7905" s="330" t="s">
        <v>52261</v>
      </c>
      <c r="C7905" s="330" t="s">
        <v>18833</v>
      </c>
      <c r="D7905" s="330" t="s">
        <v>9480</v>
      </c>
      <c r="E7905" s="330" t="s">
        <v>37248</v>
      </c>
      <c r="F7905" s="331">
        <v>0.21</v>
      </c>
      <c r="G7905" s="332">
        <v>7830</v>
      </c>
      <c r="H7905" s="333">
        <v>9475</v>
      </c>
    </row>
    <row r="7906" spans="1:8">
      <c r="A7906" s="317" t="s">
        <v>41170</v>
      </c>
      <c r="B7906" s="330" t="s">
        <v>52262</v>
      </c>
      <c r="C7906" s="330" t="s">
        <v>18834</v>
      </c>
      <c r="D7906" s="330" t="s">
        <v>4650</v>
      </c>
      <c r="E7906" s="330" t="s">
        <v>37248</v>
      </c>
      <c r="F7906" s="331">
        <v>0.21</v>
      </c>
      <c r="G7906" s="332">
        <v>19073</v>
      </c>
      <c r="H7906" s="333">
        <v>23079</v>
      </c>
    </row>
    <row r="7907" spans="1:8">
      <c r="A7907" s="317" t="s">
        <v>41171</v>
      </c>
      <c r="B7907" s="330" t="s">
        <v>52263</v>
      </c>
      <c r="C7907" s="330" t="s">
        <v>18835</v>
      </c>
      <c r="D7907" s="330" t="s">
        <v>18836</v>
      </c>
      <c r="E7907" s="330" t="s">
        <v>37248</v>
      </c>
      <c r="F7907" s="331">
        <v>0.21</v>
      </c>
      <c r="G7907" s="332">
        <v>2581</v>
      </c>
      <c r="H7907" s="333">
        <v>3124</v>
      </c>
    </row>
    <row r="7908" spans="1:8">
      <c r="A7908" s="317" t="s">
        <v>41172</v>
      </c>
      <c r="B7908" s="330" t="s">
        <v>52264</v>
      </c>
      <c r="C7908" s="330" t="s">
        <v>18837</v>
      </c>
      <c r="D7908" s="330" t="s">
        <v>7745</v>
      </c>
      <c r="E7908" s="330" t="s">
        <v>37248</v>
      </c>
      <c r="F7908" s="331">
        <v>0.21</v>
      </c>
      <c r="G7908" s="332">
        <v>361</v>
      </c>
      <c r="H7908" s="333">
        <v>437</v>
      </c>
    </row>
    <row r="7909" spans="1:8">
      <c r="A7909" s="317" t="s">
        <v>41173</v>
      </c>
      <c r="B7909" s="330" t="s">
        <v>52265</v>
      </c>
      <c r="C7909" s="330" t="s">
        <v>18838</v>
      </c>
      <c r="D7909" s="330" t="s">
        <v>8539</v>
      </c>
      <c r="E7909" s="330" t="s">
        <v>37248</v>
      </c>
      <c r="F7909" s="331">
        <v>0.21</v>
      </c>
      <c r="G7909" s="332">
        <v>452</v>
      </c>
      <c r="H7909" s="333">
        <v>547</v>
      </c>
    </row>
    <row r="7910" spans="1:8">
      <c r="A7910" s="317" t="s">
        <v>41174</v>
      </c>
      <c r="B7910" s="330" t="s">
        <v>52266</v>
      </c>
      <c r="C7910" s="330" t="s">
        <v>18839</v>
      </c>
      <c r="D7910" s="330" t="s">
        <v>18840</v>
      </c>
      <c r="E7910" s="330" t="s">
        <v>37248</v>
      </c>
      <c r="F7910" s="331">
        <v>0.21</v>
      </c>
      <c r="G7910" s="332">
        <v>720</v>
      </c>
      <c r="H7910" s="333">
        <v>872</v>
      </c>
    </row>
    <row r="7911" spans="1:8">
      <c r="A7911" s="317" t="s">
        <v>41175</v>
      </c>
      <c r="B7911" s="330" t="s">
        <v>52267</v>
      </c>
      <c r="C7911" s="330" t="s">
        <v>18841</v>
      </c>
      <c r="D7911" s="330" t="s">
        <v>17910</v>
      </c>
      <c r="E7911" s="330" t="s">
        <v>37248</v>
      </c>
      <c r="F7911" s="331">
        <v>0.21</v>
      </c>
      <c r="G7911" s="332">
        <v>2823</v>
      </c>
      <c r="H7911" s="333">
        <v>3416</v>
      </c>
    </row>
    <row r="7912" spans="1:8">
      <c r="A7912" s="317" t="s">
        <v>41176</v>
      </c>
      <c r="B7912" s="330" t="s">
        <v>52268</v>
      </c>
      <c r="C7912" s="330" t="s">
        <v>18842</v>
      </c>
      <c r="D7912" s="330" t="s">
        <v>18843</v>
      </c>
      <c r="E7912" s="330" t="s">
        <v>37248</v>
      </c>
      <c r="F7912" s="331">
        <v>0.21</v>
      </c>
      <c r="G7912" s="332">
        <v>1373</v>
      </c>
      <c r="H7912" s="333">
        <v>1662</v>
      </c>
    </row>
    <row r="7913" spans="1:8">
      <c r="A7913" s="317" t="s">
        <v>41177</v>
      </c>
      <c r="B7913" s="330" t="s">
        <v>52269</v>
      </c>
      <c r="C7913" s="330" t="s">
        <v>18844</v>
      </c>
      <c r="D7913" s="330" t="s">
        <v>18845</v>
      </c>
      <c r="E7913" s="330" t="s">
        <v>37248</v>
      </c>
      <c r="F7913" s="331">
        <v>0.21</v>
      </c>
      <c r="G7913" s="332">
        <v>2581</v>
      </c>
      <c r="H7913" s="333">
        <v>3124</v>
      </c>
    </row>
    <row r="7914" spans="1:8">
      <c r="A7914" s="317" t="s">
        <v>41178</v>
      </c>
      <c r="B7914" s="330" t="s">
        <v>52270</v>
      </c>
      <c r="C7914" s="330" t="s">
        <v>18846</v>
      </c>
      <c r="D7914" s="330" t="s">
        <v>5557</v>
      </c>
      <c r="E7914" s="330" t="s">
        <v>37248</v>
      </c>
      <c r="F7914" s="331">
        <v>0.21</v>
      </c>
      <c r="G7914" s="332">
        <v>435</v>
      </c>
      <c r="H7914" s="333">
        <v>527</v>
      </c>
    </row>
    <row r="7915" spans="1:8">
      <c r="A7915" s="317" t="s">
        <v>41179</v>
      </c>
      <c r="B7915" s="330" t="s">
        <v>52271</v>
      </c>
      <c r="C7915" s="330" t="s">
        <v>18847</v>
      </c>
      <c r="D7915" s="330" t="s">
        <v>18848</v>
      </c>
      <c r="E7915" s="330" t="s">
        <v>37248</v>
      </c>
      <c r="F7915" s="331">
        <v>0.21</v>
      </c>
      <c r="G7915" s="332">
        <v>1208</v>
      </c>
      <c r="H7915" s="333">
        <v>1462</v>
      </c>
    </row>
    <row r="7916" spans="1:8">
      <c r="A7916" s="317" t="s">
        <v>41180</v>
      </c>
      <c r="B7916" s="330" t="s">
        <v>52272</v>
      </c>
      <c r="C7916" s="330" t="s">
        <v>18849</v>
      </c>
      <c r="D7916" s="330" t="s">
        <v>18850</v>
      </c>
      <c r="E7916" s="330" t="s">
        <v>37248</v>
      </c>
      <c r="F7916" s="331">
        <v>0.21</v>
      </c>
      <c r="G7916" s="332">
        <v>435</v>
      </c>
      <c r="H7916" s="333">
        <v>527</v>
      </c>
    </row>
    <row r="7917" spans="1:8">
      <c r="A7917" s="317" t="s">
        <v>41181</v>
      </c>
      <c r="B7917" s="330" t="s">
        <v>52273</v>
      </c>
      <c r="C7917" s="330" t="s">
        <v>18851</v>
      </c>
      <c r="D7917" s="330" t="s">
        <v>7002</v>
      </c>
      <c r="E7917" s="330" t="s">
        <v>37248</v>
      </c>
      <c r="F7917" s="331">
        <v>0.21</v>
      </c>
      <c r="G7917" s="332">
        <v>435</v>
      </c>
      <c r="H7917" s="333">
        <v>527</v>
      </c>
    </row>
    <row r="7918" spans="1:8">
      <c r="A7918" s="317" t="s">
        <v>41182</v>
      </c>
      <c r="B7918" s="330" t="s">
        <v>52274</v>
      </c>
      <c r="C7918" s="330" t="s">
        <v>18852</v>
      </c>
      <c r="D7918" s="330" t="s">
        <v>6882</v>
      </c>
      <c r="E7918" s="330" t="s">
        <v>37248</v>
      </c>
      <c r="F7918" s="331">
        <v>0.21</v>
      </c>
      <c r="G7918" s="332">
        <v>1505</v>
      </c>
      <c r="H7918" s="333">
        <v>1822</v>
      </c>
    </row>
    <row r="7919" spans="1:8">
      <c r="A7919" s="317" t="s">
        <v>41183</v>
      </c>
      <c r="B7919" s="330" t="s">
        <v>52275</v>
      </c>
      <c r="C7919" s="330" t="s">
        <v>18853</v>
      </c>
      <c r="D7919" s="330" t="s">
        <v>10402</v>
      </c>
      <c r="E7919" s="330" t="s">
        <v>37248</v>
      </c>
      <c r="F7919" s="331">
        <v>0.21</v>
      </c>
      <c r="G7919" s="332">
        <v>8507</v>
      </c>
      <c r="H7919" s="333">
        <v>10294</v>
      </c>
    </row>
    <row r="7920" spans="1:8">
      <c r="A7920" s="317" t="s">
        <v>41184</v>
      </c>
      <c r="B7920" s="330" t="s">
        <v>52276</v>
      </c>
      <c r="C7920" s="330" t="s">
        <v>18854</v>
      </c>
      <c r="D7920" s="330" t="s">
        <v>18855</v>
      </c>
      <c r="E7920" s="330" t="s">
        <v>37248</v>
      </c>
      <c r="F7920" s="331">
        <v>0.21</v>
      </c>
      <c r="G7920" s="332">
        <v>2054</v>
      </c>
      <c r="H7920" s="333">
        <v>2486</v>
      </c>
    </row>
    <row r="7921" spans="1:8">
      <c r="A7921" s="317" t="s">
        <v>41185</v>
      </c>
      <c r="B7921" s="330" t="s">
        <v>52277</v>
      </c>
      <c r="C7921" s="330" t="s">
        <v>18856</v>
      </c>
      <c r="D7921" s="330" t="s">
        <v>18857</v>
      </c>
      <c r="E7921" s="330" t="s">
        <v>37248</v>
      </c>
      <c r="F7921" s="331">
        <v>0.21</v>
      </c>
      <c r="G7921" s="332">
        <v>5242</v>
      </c>
      <c r="H7921" s="333">
        <v>6343</v>
      </c>
    </row>
    <row r="7922" spans="1:8">
      <c r="A7922" s="317" t="s">
        <v>41186</v>
      </c>
      <c r="B7922" s="330" t="s">
        <v>52278</v>
      </c>
      <c r="C7922" s="330" t="s">
        <v>18858</v>
      </c>
      <c r="D7922" s="330" t="s">
        <v>18859</v>
      </c>
      <c r="E7922" s="330" t="s">
        <v>37248</v>
      </c>
      <c r="F7922" s="331">
        <v>0.21</v>
      </c>
      <c r="G7922" s="332">
        <v>339</v>
      </c>
      <c r="H7922" s="333">
        <v>411</v>
      </c>
    </row>
    <row r="7923" spans="1:8">
      <c r="A7923" s="317" t="s">
        <v>41187</v>
      </c>
      <c r="B7923" s="330" t="s">
        <v>52279</v>
      </c>
      <c r="C7923" s="330" t="s">
        <v>18860</v>
      </c>
      <c r="D7923" s="330" t="s">
        <v>18861</v>
      </c>
      <c r="E7923" s="330" t="s">
        <v>4819</v>
      </c>
      <c r="F7923" s="331">
        <v>0.21</v>
      </c>
      <c r="G7923" s="332">
        <v>807</v>
      </c>
      <c r="H7923" s="333">
        <v>977</v>
      </c>
    </row>
    <row r="7924" spans="1:8">
      <c r="A7924" s="317" t="s">
        <v>41188</v>
      </c>
      <c r="B7924" s="330" t="s">
        <v>52280</v>
      </c>
      <c r="C7924" s="330" t="s">
        <v>18862</v>
      </c>
      <c r="D7924" s="330" t="s">
        <v>4650</v>
      </c>
      <c r="E7924" s="330" t="s">
        <v>37248</v>
      </c>
      <c r="F7924" s="331">
        <v>0.21</v>
      </c>
      <c r="G7924" s="332">
        <v>16028</v>
      </c>
      <c r="H7924" s="333">
        <v>19394</v>
      </c>
    </row>
    <row r="7925" spans="1:8">
      <c r="A7925" s="317" t="s">
        <v>41189</v>
      </c>
      <c r="B7925" s="330" t="s">
        <v>52281</v>
      </c>
      <c r="C7925" s="330" t="s">
        <v>18863</v>
      </c>
      <c r="D7925" s="330" t="s">
        <v>18864</v>
      </c>
      <c r="E7925" s="330" t="s">
        <v>37248</v>
      </c>
      <c r="F7925" s="331">
        <v>0.21</v>
      </c>
      <c r="G7925" s="332">
        <v>8008</v>
      </c>
      <c r="H7925" s="333">
        <v>9690</v>
      </c>
    </row>
    <row r="7926" spans="1:8">
      <c r="A7926" s="317" t="s">
        <v>41190</v>
      </c>
      <c r="B7926" s="330" t="s">
        <v>52282</v>
      </c>
      <c r="C7926" s="330" t="s">
        <v>18865</v>
      </c>
      <c r="D7926" s="330" t="s">
        <v>18866</v>
      </c>
      <c r="E7926" s="330" t="s">
        <v>4819</v>
      </c>
      <c r="F7926" s="331">
        <v>0.21</v>
      </c>
      <c r="G7926" s="332">
        <v>117284</v>
      </c>
      <c r="H7926" s="333">
        <v>141914</v>
      </c>
    </row>
    <row r="7927" spans="1:8">
      <c r="A7927" s="317" t="s">
        <v>41191</v>
      </c>
      <c r="B7927" s="330" t="s">
        <v>52283</v>
      </c>
      <c r="C7927" s="330" t="s">
        <v>18867</v>
      </c>
      <c r="D7927" s="330" t="s">
        <v>8571</v>
      </c>
      <c r="E7927" s="330" t="s">
        <v>37248</v>
      </c>
      <c r="F7927" s="331">
        <v>0.21</v>
      </c>
      <c r="G7927" s="332">
        <v>3731</v>
      </c>
      <c r="H7927" s="333">
        <v>4515</v>
      </c>
    </row>
    <row r="7928" spans="1:8">
      <c r="A7928" s="317" t="s">
        <v>41192</v>
      </c>
      <c r="B7928" s="330" t="s">
        <v>52284</v>
      </c>
      <c r="C7928" s="330" t="s">
        <v>18868</v>
      </c>
      <c r="D7928" s="330" t="s">
        <v>18869</v>
      </c>
      <c r="E7928" s="330" t="s">
        <v>37248</v>
      </c>
      <c r="F7928" s="331">
        <v>0.21</v>
      </c>
      <c r="G7928" s="332">
        <v>798</v>
      </c>
      <c r="H7928" s="333">
        <v>966</v>
      </c>
    </row>
    <row r="7929" spans="1:8">
      <c r="A7929" s="317" t="s">
        <v>41193</v>
      </c>
      <c r="B7929" s="330" t="s">
        <v>52285</v>
      </c>
      <c r="C7929" s="330" t="s">
        <v>18870</v>
      </c>
      <c r="D7929" s="330" t="s">
        <v>18871</v>
      </c>
      <c r="E7929" s="330" t="s">
        <v>37248</v>
      </c>
      <c r="F7929" s="331">
        <v>0.21</v>
      </c>
      <c r="G7929" s="332">
        <v>758</v>
      </c>
      <c r="H7929" s="333">
        <v>918</v>
      </c>
    </row>
    <row r="7930" spans="1:8">
      <c r="A7930" s="317" t="s">
        <v>41194</v>
      </c>
      <c r="B7930" s="330" t="s">
        <v>52286</v>
      </c>
      <c r="C7930" s="330" t="s">
        <v>18872</v>
      </c>
      <c r="D7930" s="330" t="s">
        <v>18873</v>
      </c>
      <c r="E7930" s="330" t="s">
        <v>37248</v>
      </c>
      <c r="F7930" s="331">
        <v>0.21</v>
      </c>
      <c r="G7930" s="332">
        <v>21848</v>
      </c>
      <c r="H7930" s="333">
        <v>26437</v>
      </c>
    </row>
    <row r="7931" spans="1:8">
      <c r="A7931" s="317" t="s">
        <v>41195</v>
      </c>
      <c r="B7931" s="330" t="s">
        <v>52287</v>
      </c>
      <c r="C7931" s="330" t="s">
        <v>18874</v>
      </c>
      <c r="D7931" s="330" t="s">
        <v>9501</v>
      </c>
      <c r="E7931" s="330" t="s">
        <v>37248</v>
      </c>
      <c r="F7931" s="331">
        <v>0.21</v>
      </c>
      <c r="G7931" s="332">
        <v>2295</v>
      </c>
      <c r="H7931" s="333">
        <v>2777</v>
      </c>
    </row>
    <row r="7932" spans="1:8">
      <c r="A7932" s="317" t="s">
        <v>41196</v>
      </c>
      <c r="B7932" s="330" t="s">
        <v>52288</v>
      </c>
      <c r="C7932" s="330" t="s">
        <v>18875</v>
      </c>
      <c r="D7932" s="330" t="s">
        <v>9931</v>
      </c>
      <c r="E7932" s="330" t="s">
        <v>37248</v>
      </c>
      <c r="F7932" s="331">
        <v>0.21</v>
      </c>
      <c r="G7932" s="332">
        <v>2295</v>
      </c>
      <c r="H7932" s="333">
        <v>2777</v>
      </c>
    </row>
    <row r="7933" spans="1:8">
      <c r="A7933" s="317" t="s">
        <v>41197</v>
      </c>
      <c r="B7933" s="330" t="s">
        <v>52289</v>
      </c>
      <c r="C7933" s="330" t="s">
        <v>18876</v>
      </c>
      <c r="D7933" s="330" t="s">
        <v>9593</v>
      </c>
      <c r="E7933" s="330" t="s">
        <v>37248</v>
      </c>
      <c r="F7933" s="331">
        <v>0.21</v>
      </c>
      <c r="G7933" s="332">
        <v>2581</v>
      </c>
      <c r="H7933" s="333">
        <v>3124</v>
      </c>
    </row>
    <row r="7934" spans="1:8">
      <c r="A7934" s="317" t="s">
        <v>41198</v>
      </c>
      <c r="B7934" s="330" t="s">
        <v>52290</v>
      </c>
      <c r="C7934" s="330" t="s">
        <v>18877</v>
      </c>
      <c r="D7934" s="330" t="s">
        <v>18878</v>
      </c>
      <c r="E7934" s="330" t="s">
        <v>37248</v>
      </c>
      <c r="F7934" s="331">
        <v>0.21</v>
      </c>
      <c r="G7934" s="332">
        <v>1052</v>
      </c>
      <c r="H7934" s="333">
        <v>1273</v>
      </c>
    </row>
    <row r="7935" spans="1:8">
      <c r="A7935" s="317" t="s">
        <v>41199</v>
      </c>
      <c r="B7935" s="330" t="s">
        <v>52291</v>
      </c>
      <c r="C7935" s="330" t="s">
        <v>18879</v>
      </c>
      <c r="D7935" s="330" t="s">
        <v>7598</v>
      </c>
      <c r="E7935" s="330" t="s">
        <v>37248</v>
      </c>
      <c r="F7935" s="331">
        <v>0.21</v>
      </c>
      <c r="G7935" s="332">
        <v>515</v>
      </c>
      <c r="H7935" s="333">
        <v>624</v>
      </c>
    </row>
    <row r="7936" spans="1:8">
      <c r="A7936" s="317" t="s">
        <v>41200</v>
      </c>
      <c r="B7936" s="330" t="s">
        <v>52292</v>
      </c>
      <c r="C7936" s="330" t="s">
        <v>18880</v>
      </c>
      <c r="D7936" s="330" t="s">
        <v>7505</v>
      </c>
      <c r="E7936" s="330" t="s">
        <v>37248</v>
      </c>
      <c r="F7936" s="331">
        <v>0.21</v>
      </c>
      <c r="G7936" s="332">
        <v>435</v>
      </c>
      <c r="H7936" s="333">
        <v>527</v>
      </c>
    </row>
    <row r="7937" spans="1:8">
      <c r="A7937" s="317" t="s">
        <v>41201</v>
      </c>
      <c r="B7937" s="330" t="s">
        <v>52293</v>
      </c>
      <c r="C7937" s="330" t="s">
        <v>18881</v>
      </c>
      <c r="D7937" s="330" t="s">
        <v>9919</v>
      </c>
      <c r="E7937" s="330" t="s">
        <v>37248</v>
      </c>
      <c r="F7937" s="331">
        <v>0.21</v>
      </c>
      <c r="G7937" s="332">
        <v>515</v>
      </c>
      <c r="H7937" s="333">
        <v>624</v>
      </c>
    </row>
    <row r="7938" spans="1:8">
      <c r="A7938" s="317" t="s">
        <v>41202</v>
      </c>
      <c r="B7938" s="330" t="s">
        <v>52294</v>
      </c>
      <c r="C7938" s="330" t="s">
        <v>18882</v>
      </c>
      <c r="D7938" s="330" t="s">
        <v>12489</v>
      </c>
      <c r="E7938" s="330" t="s">
        <v>37248</v>
      </c>
      <c r="F7938" s="331">
        <v>0.21</v>
      </c>
      <c r="G7938" s="332">
        <v>1052</v>
      </c>
      <c r="H7938" s="333">
        <v>1273</v>
      </c>
    </row>
    <row r="7939" spans="1:8">
      <c r="A7939" s="317" t="s">
        <v>41203</v>
      </c>
      <c r="B7939" s="330" t="s">
        <v>52295</v>
      </c>
      <c r="C7939" s="330" t="s">
        <v>18883</v>
      </c>
      <c r="D7939" s="330" t="s">
        <v>12558</v>
      </c>
      <c r="E7939" s="330" t="s">
        <v>37248</v>
      </c>
      <c r="F7939" s="331">
        <v>0.21</v>
      </c>
      <c r="G7939" s="332">
        <v>339</v>
      </c>
      <c r="H7939" s="333">
        <v>411</v>
      </c>
    </row>
    <row r="7940" spans="1:8">
      <c r="A7940" s="317" t="s">
        <v>41204</v>
      </c>
      <c r="B7940" s="330" t="s">
        <v>52296</v>
      </c>
      <c r="C7940" s="330" t="s">
        <v>18884</v>
      </c>
      <c r="D7940" s="330" t="s">
        <v>18885</v>
      </c>
      <c r="E7940" s="330" t="s">
        <v>37248</v>
      </c>
      <c r="F7940" s="331">
        <v>0.21</v>
      </c>
      <c r="G7940" s="332">
        <v>339</v>
      </c>
      <c r="H7940" s="333">
        <v>411</v>
      </c>
    </row>
    <row r="7941" spans="1:8">
      <c r="A7941" s="317" t="s">
        <v>41205</v>
      </c>
      <c r="B7941" s="330" t="s">
        <v>52297</v>
      </c>
      <c r="C7941" s="330" t="s">
        <v>18886</v>
      </c>
      <c r="D7941" s="330" t="s">
        <v>18887</v>
      </c>
      <c r="E7941" s="330" t="s">
        <v>37248</v>
      </c>
      <c r="F7941" s="331">
        <v>0.21</v>
      </c>
      <c r="G7941" s="332">
        <v>1403</v>
      </c>
      <c r="H7941" s="333">
        <v>1698</v>
      </c>
    </row>
    <row r="7942" spans="1:8">
      <c r="A7942" s="317" t="s">
        <v>41206</v>
      </c>
      <c r="B7942" s="330" t="s">
        <v>52298</v>
      </c>
      <c r="C7942" s="330" t="s">
        <v>18888</v>
      </c>
      <c r="D7942" s="330" t="s">
        <v>12571</v>
      </c>
      <c r="E7942" s="330" t="s">
        <v>37248</v>
      </c>
      <c r="F7942" s="331">
        <v>0.21</v>
      </c>
      <c r="G7942" s="332">
        <v>2295</v>
      </c>
      <c r="H7942" s="333">
        <v>2777</v>
      </c>
    </row>
    <row r="7943" spans="1:8">
      <c r="A7943" s="317" t="s">
        <v>41207</v>
      </c>
      <c r="B7943" s="330" t="s">
        <v>52299</v>
      </c>
      <c r="C7943" s="330" t="s">
        <v>18889</v>
      </c>
      <c r="D7943" s="330" t="s">
        <v>12571</v>
      </c>
      <c r="E7943" s="330" t="s">
        <v>37248</v>
      </c>
      <c r="F7943" s="331">
        <v>0.21</v>
      </c>
      <c r="G7943" s="332">
        <v>2581</v>
      </c>
      <c r="H7943" s="333">
        <v>3124</v>
      </c>
    </row>
    <row r="7944" spans="1:8">
      <c r="A7944" s="317" t="s">
        <v>41208</v>
      </c>
      <c r="B7944" s="330" t="s">
        <v>52300</v>
      </c>
      <c r="C7944" s="330" t="s">
        <v>18890</v>
      </c>
      <c r="D7944" s="330" t="s">
        <v>5504</v>
      </c>
      <c r="E7944" s="330" t="s">
        <v>37248</v>
      </c>
      <c r="F7944" s="331">
        <v>0.21</v>
      </c>
      <c r="G7944" s="332">
        <v>600</v>
      </c>
      <c r="H7944" s="333">
        <v>726</v>
      </c>
    </row>
    <row r="7945" spans="1:8">
      <c r="A7945" s="317" t="s">
        <v>41209</v>
      </c>
      <c r="B7945" s="330" t="s">
        <v>52301</v>
      </c>
      <c r="C7945" s="330" t="s">
        <v>18891</v>
      </c>
      <c r="D7945" s="330" t="s">
        <v>5504</v>
      </c>
      <c r="E7945" s="330" t="s">
        <v>37248</v>
      </c>
      <c r="F7945" s="331">
        <v>0.21</v>
      </c>
      <c r="G7945" s="332">
        <v>764</v>
      </c>
      <c r="H7945" s="333">
        <v>925</v>
      </c>
    </row>
    <row r="7946" spans="1:8">
      <c r="A7946" s="317" t="s">
        <v>41210</v>
      </c>
      <c r="B7946" s="330" t="s">
        <v>52302</v>
      </c>
      <c r="C7946" s="330" t="s">
        <v>18892</v>
      </c>
      <c r="D7946" s="330" t="s">
        <v>18893</v>
      </c>
      <c r="E7946" s="330" t="s">
        <v>37248</v>
      </c>
      <c r="F7946" s="331">
        <v>0.21</v>
      </c>
      <c r="G7946" s="332">
        <v>2692</v>
      </c>
      <c r="H7946" s="333">
        <v>3258</v>
      </c>
    </row>
    <row r="7947" spans="1:8">
      <c r="A7947" s="317" t="s">
        <v>41211</v>
      </c>
      <c r="B7947" s="330" t="s">
        <v>52303</v>
      </c>
      <c r="C7947" s="330" t="s">
        <v>18894</v>
      </c>
      <c r="D7947" s="330" t="s">
        <v>12571</v>
      </c>
      <c r="E7947" s="330" t="s">
        <v>37248</v>
      </c>
      <c r="F7947" s="331">
        <v>0.21</v>
      </c>
      <c r="G7947" s="332">
        <v>2295</v>
      </c>
      <c r="H7947" s="333">
        <v>2777</v>
      </c>
    </row>
    <row r="7948" spans="1:8">
      <c r="A7948" s="317" t="s">
        <v>41212</v>
      </c>
      <c r="B7948" s="330" t="s">
        <v>52304</v>
      </c>
      <c r="C7948" s="330" t="s">
        <v>18895</v>
      </c>
      <c r="D7948" s="330" t="s">
        <v>4909</v>
      </c>
      <c r="E7948" s="330" t="s">
        <v>37248</v>
      </c>
      <c r="F7948" s="331">
        <v>0.21</v>
      </c>
      <c r="G7948" s="332">
        <v>194</v>
      </c>
      <c r="H7948" s="333">
        <v>235</v>
      </c>
    </row>
    <row r="7949" spans="1:8">
      <c r="A7949" s="317" t="s">
        <v>41213</v>
      </c>
      <c r="B7949" s="330" t="s">
        <v>52305</v>
      </c>
      <c r="C7949" s="330" t="s">
        <v>18896</v>
      </c>
      <c r="D7949" s="330" t="s">
        <v>6179</v>
      </c>
      <c r="E7949" s="330" t="s">
        <v>37248</v>
      </c>
      <c r="F7949" s="331">
        <v>0.21</v>
      </c>
      <c r="G7949" s="332">
        <v>361</v>
      </c>
      <c r="H7949" s="333">
        <v>437</v>
      </c>
    </row>
    <row r="7950" spans="1:8">
      <c r="A7950" s="317" t="s">
        <v>41214</v>
      </c>
      <c r="B7950" s="330" t="s">
        <v>52306</v>
      </c>
      <c r="C7950" s="330" t="s">
        <v>18897</v>
      </c>
      <c r="D7950" s="330" t="s">
        <v>18898</v>
      </c>
      <c r="E7950" s="330" t="s">
        <v>37248</v>
      </c>
      <c r="F7950" s="331">
        <v>0.21</v>
      </c>
      <c r="G7950" s="332">
        <v>720</v>
      </c>
      <c r="H7950" s="333">
        <v>872</v>
      </c>
    </row>
    <row r="7951" spans="1:8">
      <c r="A7951" s="317" t="s">
        <v>41215</v>
      </c>
      <c r="B7951" s="330" t="s">
        <v>52307</v>
      </c>
      <c r="C7951" s="330" t="s">
        <v>18899</v>
      </c>
      <c r="D7951" s="330" t="s">
        <v>7729</v>
      </c>
      <c r="E7951" s="330" t="s">
        <v>37248</v>
      </c>
      <c r="F7951" s="331">
        <v>0.21</v>
      </c>
      <c r="G7951" s="332">
        <v>780</v>
      </c>
      <c r="H7951" s="333">
        <v>944</v>
      </c>
    </row>
    <row r="7952" spans="1:8">
      <c r="A7952" s="317" t="s">
        <v>41216</v>
      </c>
      <c r="B7952" s="330" t="s">
        <v>52308</v>
      </c>
      <c r="C7952" s="330" t="s">
        <v>18900</v>
      </c>
      <c r="D7952" s="330" t="s">
        <v>18901</v>
      </c>
      <c r="E7952" s="330" t="s">
        <v>37248</v>
      </c>
      <c r="F7952" s="331">
        <v>0.21</v>
      </c>
      <c r="G7952" s="332">
        <v>361</v>
      </c>
      <c r="H7952" s="333">
        <v>437</v>
      </c>
    </row>
    <row r="7953" spans="1:8">
      <c r="A7953" s="317" t="s">
        <v>41217</v>
      </c>
      <c r="B7953" s="330" t="s">
        <v>52309</v>
      </c>
      <c r="C7953" s="330" t="s">
        <v>18902</v>
      </c>
      <c r="D7953" s="330" t="s">
        <v>6865</v>
      </c>
      <c r="E7953" s="330" t="s">
        <v>37248</v>
      </c>
      <c r="F7953" s="331">
        <v>0.21</v>
      </c>
      <c r="G7953" s="332">
        <v>519</v>
      </c>
      <c r="H7953" s="333">
        <v>628</v>
      </c>
    </row>
    <row r="7954" spans="1:8">
      <c r="A7954" s="317" t="s">
        <v>41218</v>
      </c>
      <c r="B7954" s="330" t="s">
        <v>52310</v>
      </c>
      <c r="C7954" s="330" t="s">
        <v>18903</v>
      </c>
      <c r="D7954" s="330" t="s">
        <v>18781</v>
      </c>
      <c r="E7954" s="330" t="s">
        <v>4819</v>
      </c>
      <c r="F7954" s="331">
        <v>0.21</v>
      </c>
      <c r="G7954" s="332">
        <v>18854</v>
      </c>
      <c r="H7954" s="333">
        <v>22814</v>
      </c>
    </row>
    <row r="7955" spans="1:8">
      <c r="A7955" s="317" t="s">
        <v>41219</v>
      </c>
      <c r="B7955" s="330" t="s">
        <v>52311</v>
      </c>
      <c r="C7955" s="330" t="s">
        <v>18904</v>
      </c>
      <c r="D7955" s="330" t="s">
        <v>18905</v>
      </c>
      <c r="E7955" s="330" t="s">
        <v>4819</v>
      </c>
      <c r="F7955" s="331">
        <v>0.21</v>
      </c>
      <c r="G7955" s="332">
        <v>50711</v>
      </c>
      <c r="H7955" s="333">
        <v>61361</v>
      </c>
    </row>
    <row r="7956" spans="1:8">
      <c r="A7956" s="317" t="s">
        <v>41220</v>
      </c>
      <c r="B7956" s="330" t="s">
        <v>52312</v>
      </c>
      <c r="C7956" s="330" t="s">
        <v>18906</v>
      </c>
      <c r="D7956" s="330" t="s">
        <v>18907</v>
      </c>
      <c r="E7956" s="330" t="s">
        <v>37248</v>
      </c>
      <c r="F7956" s="331">
        <v>0.21</v>
      </c>
      <c r="G7956" s="332">
        <v>47807</v>
      </c>
      <c r="H7956" s="333">
        <v>57847</v>
      </c>
    </row>
    <row r="7957" spans="1:8">
      <c r="A7957" s="317" t="s">
        <v>41221</v>
      </c>
      <c r="B7957" s="330" t="s">
        <v>52313</v>
      </c>
      <c r="C7957" s="330" t="s">
        <v>18908</v>
      </c>
      <c r="D7957" s="330" t="s">
        <v>18909</v>
      </c>
      <c r="E7957" s="330" t="s">
        <v>4819</v>
      </c>
      <c r="F7957" s="331">
        <v>0.21</v>
      </c>
      <c r="G7957" s="332">
        <v>100384</v>
      </c>
      <c r="H7957" s="333">
        <v>121465</v>
      </c>
    </row>
    <row r="7958" spans="1:8">
      <c r="A7958" s="317" t="s">
        <v>41222</v>
      </c>
      <c r="B7958" s="330" t="s">
        <v>52314</v>
      </c>
      <c r="C7958" s="330" t="s">
        <v>18910</v>
      </c>
      <c r="D7958" s="330" t="s">
        <v>18911</v>
      </c>
      <c r="E7958" s="330" t="s">
        <v>4819</v>
      </c>
      <c r="F7958" s="331">
        <v>0.21</v>
      </c>
      <c r="G7958" s="332">
        <v>21006</v>
      </c>
      <c r="H7958" s="333">
        <v>25418</v>
      </c>
    </row>
    <row r="7959" spans="1:8">
      <c r="A7959" s="317" t="s">
        <v>41223</v>
      </c>
      <c r="B7959" s="330" t="s">
        <v>52315</v>
      </c>
      <c r="C7959" s="330" t="s">
        <v>18912</v>
      </c>
      <c r="D7959" s="330" t="s">
        <v>18913</v>
      </c>
      <c r="E7959" s="330" t="s">
        <v>37248</v>
      </c>
      <c r="F7959" s="331">
        <v>0.21</v>
      </c>
      <c r="G7959" s="332">
        <v>21051</v>
      </c>
      <c r="H7959" s="333">
        <v>25472</v>
      </c>
    </row>
    <row r="7960" spans="1:8">
      <c r="A7960" s="317" t="s">
        <v>41224</v>
      </c>
      <c r="B7960" s="330" t="s">
        <v>52316</v>
      </c>
      <c r="C7960" s="330" t="s">
        <v>18914</v>
      </c>
      <c r="D7960" s="330" t="s">
        <v>18915</v>
      </c>
      <c r="E7960" s="330" t="s">
        <v>37248</v>
      </c>
      <c r="F7960" s="331">
        <v>0.21</v>
      </c>
      <c r="G7960" s="332">
        <v>59336</v>
      </c>
      <c r="H7960" s="333">
        <v>71797</v>
      </c>
    </row>
    <row r="7961" spans="1:8">
      <c r="A7961" s="317" t="s">
        <v>41225</v>
      </c>
      <c r="B7961" s="330" t="s">
        <v>52317</v>
      </c>
      <c r="C7961" s="330" t="s">
        <v>18916</v>
      </c>
      <c r="D7961" s="330" t="s">
        <v>18917</v>
      </c>
      <c r="E7961" s="330" t="s">
        <v>4819</v>
      </c>
      <c r="F7961" s="331">
        <v>0.21</v>
      </c>
      <c r="G7961" s="332">
        <v>122448</v>
      </c>
      <c r="H7961" s="333">
        <v>148163</v>
      </c>
    </row>
    <row r="7962" spans="1:8">
      <c r="A7962" s="317" t="s">
        <v>41226</v>
      </c>
      <c r="B7962" s="330" t="s">
        <v>52318</v>
      </c>
      <c r="C7962" s="330" t="s">
        <v>18918</v>
      </c>
      <c r="D7962" s="330" t="s">
        <v>12426</v>
      </c>
      <c r="E7962" s="330" t="s">
        <v>37248</v>
      </c>
      <c r="F7962" s="331">
        <v>0.21</v>
      </c>
      <c r="G7962" s="332">
        <v>470</v>
      </c>
      <c r="H7962" s="333">
        <v>569</v>
      </c>
    </row>
    <row r="7963" spans="1:8">
      <c r="A7963" s="317" t="s">
        <v>41227</v>
      </c>
      <c r="B7963" s="330" t="s">
        <v>52319</v>
      </c>
      <c r="C7963" s="330" t="s">
        <v>18919</v>
      </c>
      <c r="D7963" s="330" t="s">
        <v>7649</v>
      </c>
      <c r="E7963" s="330" t="s">
        <v>37248</v>
      </c>
      <c r="F7963" s="331">
        <v>0.21</v>
      </c>
      <c r="G7963" s="332">
        <v>519</v>
      </c>
      <c r="H7963" s="333">
        <v>628</v>
      </c>
    </row>
    <row r="7964" spans="1:8">
      <c r="A7964" s="317" t="s">
        <v>41228</v>
      </c>
      <c r="B7964" s="330" t="s">
        <v>52320</v>
      </c>
      <c r="C7964" s="330" t="s">
        <v>18920</v>
      </c>
      <c r="D7964" s="330" t="s">
        <v>7649</v>
      </c>
      <c r="E7964" s="330" t="s">
        <v>37248</v>
      </c>
      <c r="F7964" s="331">
        <v>0.21</v>
      </c>
      <c r="G7964" s="332">
        <v>519</v>
      </c>
      <c r="H7964" s="333">
        <v>628</v>
      </c>
    </row>
    <row r="7965" spans="1:8">
      <c r="A7965" s="317" t="s">
        <v>41229</v>
      </c>
      <c r="B7965" s="330" t="s">
        <v>52321</v>
      </c>
      <c r="C7965" s="330" t="s">
        <v>18921</v>
      </c>
      <c r="D7965" s="330" t="s">
        <v>18922</v>
      </c>
      <c r="E7965" s="330" t="s">
        <v>4819</v>
      </c>
      <c r="F7965" s="331">
        <v>0.21</v>
      </c>
      <c r="G7965" s="332">
        <v>73599</v>
      </c>
      <c r="H7965" s="333">
        <v>89055</v>
      </c>
    </row>
    <row r="7966" spans="1:8">
      <c r="A7966" s="317" t="s">
        <v>41230</v>
      </c>
      <c r="B7966" s="330" t="s">
        <v>52322</v>
      </c>
      <c r="C7966" s="330" t="s">
        <v>18923</v>
      </c>
      <c r="D7966" s="330" t="s">
        <v>18924</v>
      </c>
      <c r="E7966" s="330" t="s">
        <v>37248</v>
      </c>
      <c r="F7966" s="331">
        <v>0.21</v>
      </c>
      <c r="G7966" s="332">
        <v>6098</v>
      </c>
      <c r="H7966" s="333">
        <v>7379</v>
      </c>
    </row>
    <row r="7967" spans="1:8">
      <c r="A7967" s="317" t="s">
        <v>41231</v>
      </c>
      <c r="B7967" s="330" t="s">
        <v>52323</v>
      </c>
      <c r="C7967" s="330" t="s">
        <v>18925</v>
      </c>
      <c r="D7967" s="330" t="s">
        <v>18926</v>
      </c>
      <c r="E7967" s="330" t="s">
        <v>37248</v>
      </c>
      <c r="F7967" s="331">
        <v>0.21</v>
      </c>
      <c r="G7967" s="332">
        <v>2377</v>
      </c>
      <c r="H7967" s="333">
        <v>2877</v>
      </c>
    </row>
    <row r="7968" spans="1:8">
      <c r="A7968" s="317" t="s">
        <v>41232</v>
      </c>
      <c r="B7968" s="330" t="s">
        <v>52324</v>
      </c>
      <c r="C7968" s="330" t="s">
        <v>18927</v>
      </c>
      <c r="D7968" s="330" t="s">
        <v>18928</v>
      </c>
      <c r="E7968" s="330" t="s">
        <v>37248</v>
      </c>
      <c r="F7968" s="331">
        <v>0.21</v>
      </c>
      <c r="G7968" s="332">
        <v>1670</v>
      </c>
      <c r="H7968" s="333">
        <v>2021</v>
      </c>
    </row>
    <row r="7969" spans="1:8">
      <c r="A7969" s="317" t="s">
        <v>41233</v>
      </c>
      <c r="B7969" s="330" t="s">
        <v>52325</v>
      </c>
      <c r="C7969" s="330" t="s">
        <v>18929</v>
      </c>
      <c r="D7969" s="330" t="s">
        <v>18930</v>
      </c>
      <c r="E7969" s="330" t="s">
        <v>37248</v>
      </c>
      <c r="F7969" s="331">
        <v>0.21</v>
      </c>
      <c r="G7969" s="332">
        <v>539</v>
      </c>
      <c r="H7969" s="333">
        <v>653</v>
      </c>
    </row>
    <row r="7970" spans="1:8">
      <c r="A7970" s="317" t="s">
        <v>41234</v>
      </c>
      <c r="B7970" s="330" t="s">
        <v>52326</v>
      </c>
      <c r="C7970" s="330" t="s">
        <v>18931</v>
      </c>
      <c r="D7970" s="330" t="s">
        <v>18932</v>
      </c>
      <c r="E7970" s="330" t="s">
        <v>37248</v>
      </c>
      <c r="F7970" s="331">
        <v>0.21</v>
      </c>
      <c r="G7970" s="332">
        <v>649</v>
      </c>
      <c r="H7970" s="333">
        <v>786</v>
      </c>
    </row>
    <row r="7971" spans="1:8">
      <c r="A7971" s="317" t="s">
        <v>41235</v>
      </c>
      <c r="B7971" s="330" t="s">
        <v>52327</v>
      </c>
      <c r="C7971" s="330" t="s">
        <v>18933</v>
      </c>
      <c r="D7971" s="330" t="s">
        <v>18934</v>
      </c>
      <c r="E7971" s="330" t="s">
        <v>4634</v>
      </c>
      <c r="F7971" s="331">
        <v>0.21</v>
      </c>
      <c r="G7971" s="332">
        <v>142</v>
      </c>
      <c r="H7971" s="333">
        <v>172</v>
      </c>
    </row>
    <row r="7972" spans="1:8">
      <c r="A7972" s="317" t="s">
        <v>41236</v>
      </c>
      <c r="B7972" s="330" t="s">
        <v>52328</v>
      </c>
      <c r="C7972" s="330" t="s">
        <v>18935</v>
      </c>
      <c r="D7972" s="330" t="s">
        <v>18936</v>
      </c>
      <c r="E7972" s="330" t="s">
        <v>37248</v>
      </c>
      <c r="F7972" s="331">
        <v>0.21</v>
      </c>
      <c r="G7972" s="332">
        <v>318</v>
      </c>
      <c r="H7972" s="333">
        <v>385</v>
      </c>
    </row>
    <row r="7973" spans="1:8">
      <c r="A7973" s="317" t="s">
        <v>41237</v>
      </c>
      <c r="B7973" s="330" t="s">
        <v>52329</v>
      </c>
      <c r="C7973" s="330" t="s">
        <v>18937</v>
      </c>
      <c r="D7973" s="330" t="s">
        <v>18938</v>
      </c>
      <c r="E7973" s="330" t="s">
        <v>37248</v>
      </c>
      <c r="F7973" s="331">
        <v>0.21</v>
      </c>
      <c r="G7973" s="332">
        <v>8523</v>
      </c>
      <c r="H7973" s="333">
        <v>10313</v>
      </c>
    </row>
    <row r="7974" spans="1:8">
      <c r="A7974" s="317" t="s">
        <v>41238</v>
      </c>
      <c r="B7974" s="330" t="s">
        <v>52330</v>
      </c>
      <c r="C7974" s="330" t="s">
        <v>18939</v>
      </c>
      <c r="D7974" s="330" t="s">
        <v>18940</v>
      </c>
      <c r="E7974" s="330" t="s">
        <v>37248</v>
      </c>
      <c r="F7974" s="331">
        <v>0.21</v>
      </c>
      <c r="G7974" s="332">
        <v>16119</v>
      </c>
      <c r="H7974" s="333">
        <v>19504</v>
      </c>
    </row>
    <row r="7975" spans="1:8">
      <c r="A7975" s="317" t="s">
        <v>41239</v>
      </c>
      <c r="B7975" s="330" t="s">
        <v>52331</v>
      </c>
      <c r="C7975" s="330" t="s">
        <v>18941</v>
      </c>
      <c r="D7975" s="330" t="s">
        <v>18942</v>
      </c>
      <c r="E7975" s="330" t="s">
        <v>37248</v>
      </c>
      <c r="F7975" s="331">
        <v>0.21</v>
      </c>
      <c r="G7975" s="332">
        <v>17933</v>
      </c>
      <c r="H7975" s="333">
        <v>21699</v>
      </c>
    </row>
    <row r="7976" spans="1:8">
      <c r="A7976" s="317" t="s">
        <v>41240</v>
      </c>
      <c r="B7976" s="330" t="s">
        <v>52332</v>
      </c>
      <c r="C7976" s="330" t="s">
        <v>18943</v>
      </c>
      <c r="D7976" s="330" t="s">
        <v>8863</v>
      </c>
      <c r="E7976" s="330" t="s">
        <v>37248</v>
      </c>
      <c r="F7976" s="331">
        <v>0.21</v>
      </c>
      <c r="G7976" s="332">
        <v>383</v>
      </c>
      <c r="H7976" s="333">
        <v>464</v>
      </c>
    </row>
    <row r="7977" spans="1:8">
      <c r="A7977" s="317" t="s">
        <v>41241</v>
      </c>
      <c r="B7977" s="330" t="s">
        <v>52333</v>
      </c>
      <c r="C7977" s="330" t="s">
        <v>18944</v>
      </c>
      <c r="D7977" s="330" t="s">
        <v>18945</v>
      </c>
      <c r="E7977" s="330" t="s">
        <v>4819</v>
      </c>
      <c r="F7977" s="331">
        <v>0.21</v>
      </c>
      <c r="G7977" s="332">
        <v>21663</v>
      </c>
      <c r="H7977" s="333">
        <v>26213</v>
      </c>
    </row>
    <row r="7978" spans="1:8">
      <c r="A7978" s="317" t="s">
        <v>41242</v>
      </c>
      <c r="B7978" s="330" t="s">
        <v>52334</v>
      </c>
      <c r="C7978" s="330" t="s">
        <v>18946</v>
      </c>
      <c r="D7978" s="330" t="s">
        <v>18947</v>
      </c>
      <c r="E7978" s="330" t="s">
        <v>4634</v>
      </c>
      <c r="F7978" s="331">
        <v>0.21</v>
      </c>
      <c r="G7978" s="332">
        <v>490</v>
      </c>
      <c r="H7978" s="333">
        <v>593</v>
      </c>
    </row>
    <row r="7979" spans="1:8">
      <c r="A7979" s="317" t="s">
        <v>41243</v>
      </c>
      <c r="B7979" s="330" t="s">
        <v>52335</v>
      </c>
      <c r="C7979" s="330" t="s">
        <v>18948</v>
      </c>
      <c r="D7979" s="330" t="s">
        <v>18949</v>
      </c>
      <c r="E7979" s="330" t="s">
        <v>4634</v>
      </c>
      <c r="F7979" s="331">
        <v>0.21</v>
      </c>
      <c r="G7979" s="332">
        <v>490</v>
      </c>
      <c r="H7979" s="333">
        <v>593</v>
      </c>
    </row>
    <row r="7980" spans="1:8">
      <c r="A7980" s="317" t="s">
        <v>41244</v>
      </c>
      <c r="B7980" s="330" t="s">
        <v>52336</v>
      </c>
      <c r="C7980" s="330" t="s">
        <v>18950</v>
      </c>
      <c r="D7980" s="330" t="s">
        <v>18951</v>
      </c>
      <c r="E7980" s="330" t="s">
        <v>4634</v>
      </c>
      <c r="F7980" s="331">
        <v>0.21</v>
      </c>
      <c r="G7980" s="332">
        <v>490</v>
      </c>
      <c r="H7980" s="333">
        <v>593</v>
      </c>
    </row>
    <row r="7981" spans="1:8">
      <c r="A7981" s="317" t="s">
        <v>41245</v>
      </c>
      <c r="B7981" s="330" t="s">
        <v>52337</v>
      </c>
      <c r="C7981" s="330" t="s">
        <v>18952</v>
      </c>
      <c r="D7981" s="330" t="s">
        <v>18953</v>
      </c>
      <c r="E7981" s="330" t="s">
        <v>4634</v>
      </c>
      <c r="F7981" s="331">
        <v>0.21</v>
      </c>
      <c r="G7981" s="332">
        <v>490</v>
      </c>
      <c r="H7981" s="333">
        <v>593</v>
      </c>
    </row>
    <row r="7982" spans="1:8">
      <c r="A7982" s="317" t="s">
        <v>41246</v>
      </c>
      <c r="B7982" s="330" t="s">
        <v>52338</v>
      </c>
      <c r="C7982" s="330" t="s">
        <v>18954</v>
      </c>
      <c r="D7982" s="330" t="s">
        <v>10123</v>
      </c>
      <c r="E7982" s="330" t="s">
        <v>4819</v>
      </c>
      <c r="F7982" s="331">
        <v>0.21</v>
      </c>
      <c r="G7982" s="332">
        <v>910</v>
      </c>
      <c r="H7982" s="333">
        <v>1102</v>
      </c>
    </row>
    <row r="7983" spans="1:8">
      <c r="A7983" s="317" t="s">
        <v>41247</v>
      </c>
      <c r="B7983" s="330" t="s">
        <v>52339</v>
      </c>
      <c r="C7983" s="330" t="s">
        <v>18955</v>
      </c>
      <c r="D7983" s="330" t="s">
        <v>18956</v>
      </c>
      <c r="E7983" s="330" t="s">
        <v>37248</v>
      </c>
      <c r="F7983" s="331">
        <v>0.21</v>
      </c>
      <c r="G7983" s="332">
        <v>1815</v>
      </c>
      <c r="H7983" s="333">
        <v>2197</v>
      </c>
    </row>
    <row r="7984" spans="1:8">
      <c r="A7984" s="317" t="s">
        <v>41248</v>
      </c>
      <c r="B7984" s="330" t="s">
        <v>52340</v>
      </c>
      <c r="C7984" s="330" t="s">
        <v>18957</v>
      </c>
      <c r="D7984" s="330" t="s">
        <v>18958</v>
      </c>
      <c r="E7984" s="330" t="s">
        <v>4819</v>
      </c>
      <c r="F7984" s="331">
        <v>0.21</v>
      </c>
      <c r="G7984" s="332">
        <v>8684</v>
      </c>
      <c r="H7984" s="333">
        <v>10508</v>
      </c>
    </row>
    <row r="7985" spans="1:8">
      <c r="A7985" s="317" t="s">
        <v>41249</v>
      </c>
      <c r="B7985" s="330" t="s">
        <v>52341</v>
      </c>
      <c r="C7985" s="330" t="s">
        <v>18959</v>
      </c>
      <c r="D7985" s="330" t="s">
        <v>18960</v>
      </c>
      <c r="E7985" s="330" t="s">
        <v>37248</v>
      </c>
      <c r="F7985" s="331">
        <v>0.21</v>
      </c>
      <c r="G7985" s="332">
        <v>15051</v>
      </c>
      <c r="H7985" s="333">
        <v>18212</v>
      </c>
    </row>
    <row r="7986" spans="1:8">
      <c r="A7986" s="317" t="s">
        <v>41250</v>
      </c>
      <c r="B7986" s="330" t="s">
        <v>52342</v>
      </c>
      <c r="C7986" s="330" t="s">
        <v>18961</v>
      </c>
      <c r="D7986" s="330" t="s">
        <v>18962</v>
      </c>
      <c r="E7986" s="330" t="s">
        <v>4819</v>
      </c>
      <c r="F7986" s="331">
        <v>0.21</v>
      </c>
      <c r="G7986" s="332">
        <v>2792</v>
      </c>
      <c r="H7986" s="333">
        <v>3379</v>
      </c>
    </row>
    <row r="7987" spans="1:8">
      <c r="A7987" s="317" t="s">
        <v>41251</v>
      </c>
      <c r="B7987" s="330" t="s">
        <v>52343</v>
      </c>
      <c r="C7987" s="330" t="s">
        <v>18963</v>
      </c>
      <c r="D7987" s="330" t="s">
        <v>9931</v>
      </c>
      <c r="E7987" s="330" t="s">
        <v>37248</v>
      </c>
      <c r="F7987" s="331">
        <v>0.21</v>
      </c>
      <c r="G7987" s="332">
        <v>675</v>
      </c>
      <c r="H7987" s="333">
        <v>817</v>
      </c>
    </row>
    <row r="7988" spans="1:8">
      <c r="A7988" s="317" t="s">
        <v>41252</v>
      </c>
      <c r="B7988" s="330" t="s">
        <v>52344</v>
      </c>
      <c r="C7988" s="330" t="s">
        <v>18964</v>
      </c>
      <c r="D7988" s="330" t="s">
        <v>15466</v>
      </c>
      <c r="E7988" s="330" t="s">
        <v>37248</v>
      </c>
      <c r="F7988" s="331">
        <v>0.21</v>
      </c>
      <c r="G7988" s="332">
        <v>383</v>
      </c>
      <c r="H7988" s="333">
        <v>464</v>
      </c>
    </row>
    <row r="7989" spans="1:8">
      <c r="A7989" s="317" t="s">
        <v>41253</v>
      </c>
      <c r="B7989" s="330" t="s">
        <v>52345</v>
      </c>
      <c r="C7989" s="330" t="s">
        <v>18965</v>
      </c>
      <c r="D7989" s="330" t="s">
        <v>18966</v>
      </c>
      <c r="E7989" s="330" t="s">
        <v>37248</v>
      </c>
      <c r="F7989" s="331">
        <v>0.21</v>
      </c>
      <c r="G7989" s="332">
        <v>240</v>
      </c>
      <c r="H7989" s="333">
        <v>291</v>
      </c>
    </row>
    <row r="7990" spans="1:8">
      <c r="A7990" s="317" t="s">
        <v>41254</v>
      </c>
      <c r="B7990" s="330" t="s">
        <v>52346</v>
      </c>
      <c r="C7990" s="330" t="s">
        <v>18967</v>
      </c>
      <c r="D7990" s="330" t="s">
        <v>15466</v>
      </c>
      <c r="E7990" s="330" t="s">
        <v>37248</v>
      </c>
      <c r="F7990" s="331">
        <v>0.21</v>
      </c>
      <c r="G7990" s="332">
        <v>501</v>
      </c>
      <c r="H7990" s="333">
        <v>607</v>
      </c>
    </row>
    <row r="7991" spans="1:8">
      <c r="A7991" s="317" t="s">
        <v>41255</v>
      </c>
      <c r="B7991" s="330" t="s">
        <v>52347</v>
      </c>
      <c r="C7991" s="330" t="s">
        <v>18968</v>
      </c>
      <c r="D7991" s="330" t="s">
        <v>15466</v>
      </c>
      <c r="E7991" s="330" t="s">
        <v>37248</v>
      </c>
      <c r="F7991" s="331">
        <v>0.21</v>
      </c>
      <c r="G7991" s="332">
        <v>8838</v>
      </c>
      <c r="H7991" s="333">
        <v>10694</v>
      </c>
    </row>
    <row r="7992" spans="1:8">
      <c r="A7992" s="317" t="s">
        <v>41256</v>
      </c>
      <c r="B7992" s="330" t="s">
        <v>52348</v>
      </c>
      <c r="C7992" s="330" t="s">
        <v>18969</v>
      </c>
      <c r="D7992" s="330" t="s">
        <v>7332</v>
      </c>
      <c r="E7992" s="330" t="s">
        <v>37248</v>
      </c>
      <c r="F7992" s="331">
        <v>0.21</v>
      </c>
      <c r="G7992" s="332">
        <v>7830</v>
      </c>
      <c r="H7992" s="333">
        <v>9475</v>
      </c>
    </row>
    <row r="7993" spans="1:8">
      <c r="A7993" s="317" t="s">
        <v>41257</v>
      </c>
      <c r="B7993" s="330" t="s">
        <v>52349</v>
      </c>
      <c r="C7993" s="330" t="s">
        <v>18970</v>
      </c>
      <c r="D7993" s="330" t="s">
        <v>7581</v>
      </c>
      <c r="E7993" s="330" t="s">
        <v>37248</v>
      </c>
      <c r="F7993" s="331">
        <v>0.21</v>
      </c>
      <c r="G7993" s="332">
        <v>5768</v>
      </c>
      <c r="H7993" s="333">
        <v>6980</v>
      </c>
    </row>
    <row r="7994" spans="1:8">
      <c r="A7994" s="317" t="s">
        <v>41258</v>
      </c>
      <c r="B7994" s="330" t="s">
        <v>52350</v>
      </c>
      <c r="C7994" s="330" t="s">
        <v>18971</v>
      </c>
      <c r="D7994" s="330" t="s">
        <v>18972</v>
      </c>
      <c r="E7994" s="330" t="s">
        <v>4819</v>
      </c>
      <c r="F7994" s="331">
        <v>0.21</v>
      </c>
      <c r="G7994" s="332">
        <v>497</v>
      </c>
      <c r="H7994" s="333">
        <v>602</v>
      </c>
    </row>
    <row r="7995" spans="1:8">
      <c r="A7995" s="317" t="s">
        <v>41259</v>
      </c>
      <c r="B7995" s="330" t="s">
        <v>52351</v>
      </c>
      <c r="C7995" s="330" t="s">
        <v>18973</v>
      </c>
      <c r="D7995" s="330" t="s">
        <v>18974</v>
      </c>
      <c r="E7995" s="330" t="s">
        <v>37248</v>
      </c>
      <c r="F7995" s="331">
        <v>0.21</v>
      </c>
      <c r="G7995" s="332">
        <v>2054</v>
      </c>
      <c r="H7995" s="333">
        <v>2486</v>
      </c>
    </row>
    <row r="7996" spans="1:8">
      <c r="A7996" s="317" t="s">
        <v>41260</v>
      </c>
      <c r="B7996" s="330" t="s">
        <v>52352</v>
      </c>
      <c r="C7996" s="330" t="s">
        <v>18975</v>
      </c>
      <c r="D7996" s="330" t="s">
        <v>18976</v>
      </c>
      <c r="E7996" s="330" t="s">
        <v>37248</v>
      </c>
      <c r="F7996" s="331">
        <v>0.21</v>
      </c>
      <c r="G7996" s="332">
        <v>2823</v>
      </c>
      <c r="H7996" s="333">
        <v>3416</v>
      </c>
    </row>
    <row r="7997" spans="1:8">
      <c r="A7997" s="317" t="s">
        <v>41261</v>
      </c>
      <c r="B7997" s="330" t="s">
        <v>52353</v>
      </c>
      <c r="C7997" s="330" t="s">
        <v>18977</v>
      </c>
      <c r="D7997" s="330" t="s">
        <v>14333</v>
      </c>
      <c r="E7997" s="330" t="s">
        <v>4819</v>
      </c>
      <c r="F7997" s="331">
        <v>0.21</v>
      </c>
      <c r="G7997" s="332">
        <v>3288</v>
      </c>
      <c r="H7997" s="333">
        <v>3979</v>
      </c>
    </row>
    <row r="7998" spans="1:8">
      <c r="A7998" s="317" t="s">
        <v>41262</v>
      </c>
      <c r="B7998" s="330" t="s">
        <v>52354</v>
      </c>
      <c r="C7998" s="330" t="s">
        <v>18978</v>
      </c>
      <c r="D7998" s="330" t="s">
        <v>18979</v>
      </c>
      <c r="E7998" s="330" t="s">
        <v>37248</v>
      </c>
      <c r="F7998" s="331">
        <v>0.21</v>
      </c>
      <c r="G7998" s="332">
        <v>240</v>
      </c>
      <c r="H7998" s="333">
        <v>291</v>
      </c>
    </row>
    <row r="7999" spans="1:8">
      <c r="A7999" s="317" t="s">
        <v>41263</v>
      </c>
      <c r="B7999" s="330" t="s">
        <v>52355</v>
      </c>
      <c r="C7999" s="330" t="s">
        <v>18980</v>
      </c>
      <c r="D7999" s="330" t="s">
        <v>18981</v>
      </c>
      <c r="E7999" s="330" t="s">
        <v>37248</v>
      </c>
      <c r="F7999" s="331">
        <v>0.21</v>
      </c>
      <c r="G7999" s="332">
        <v>885</v>
      </c>
      <c r="H7999" s="333">
        <v>1071</v>
      </c>
    </row>
    <row r="8000" spans="1:8">
      <c r="A8000" s="317" t="s">
        <v>41264</v>
      </c>
      <c r="B8000" s="330" t="s">
        <v>52356</v>
      </c>
      <c r="C8000" s="330" t="s">
        <v>18982</v>
      </c>
      <c r="D8000" s="330" t="s">
        <v>18983</v>
      </c>
      <c r="E8000" s="330" t="s">
        <v>4819</v>
      </c>
      <c r="F8000" s="331">
        <v>0.21</v>
      </c>
      <c r="G8000" s="332">
        <v>4804</v>
      </c>
      <c r="H8000" s="333">
        <v>5813</v>
      </c>
    </row>
    <row r="8001" spans="1:8">
      <c r="A8001" s="317" t="s">
        <v>41265</v>
      </c>
      <c r="B8001" s="330" t="s">
        <v>52357</v>
      </c>
      <c r="C8001" s="330" t="s">
        <v>18984</v>
      </c>
      <c r="D8001" s="330" t="s">
        <v>18985</v>
      </c>
      <c r="E8001" s="330" t="s">
        <v>4634</v>
      </c>
      <c r="F8001" s="331">
        <v>0.21</v>
      </c>
      <c r="G8001" s="332">
        <v>1450</v>
      </c>
      <c r="H8001" s="333">
        <v>1755</v>
      </c>
    </row>
    <row r="8002" spans="1:8">
      <c r="A8002" s="317" t="s">
        <v>41266</v>
      </c>
      <c r="B8002" s="330" t="s">
        <v>52358</v>
      </c>
      <c r="C8002" s="330" t="s">
        <v>18986</v>
      </c>
      <c r="D8002" s="330" t="s">
        <v>18987</v>
      </c>
      <c r="E8002" s="330" t="s">
        <v>4819</v>
      </c>
      <c r="F8002" s="331">
        <v>0.21</v>
      </c>
      <c r="G8002" s="332">
        <v>3506</v>
      </c>
      <c r="H8002" s="333">
        <v>4243</v>
      </c>
    </row>
    <row r="8003" spans="1:8">
      <c r="A8003" s="317" t="s">
        <v>41267</v>
      </c>
      <c r="B8003" s="330" t="s">
        <v>52359</v>
      </c>
      <c r="C8003" s="330" t="s">
        <v>18988</v>
      </c>
      <c r="D8003" s="330" t="s">
        <v>18989</v>
      </c>
      <c r="E8003" s="330" t="s">
        <v>4819</v>
      </c>
      <c r="F8003" s="331">
        <v>0.21</v>
      </c>
      <c r="G8003" s="332">
        <v>994</v>
      </c>
      <c r="H8003" s="333">
        <v>1203</v>
      </c>
    </row>
    <row r="8004" spans="1:8">
      <c r="A8004" s="317" t="s">
        <v>41268</v>
      </c>
      <c r="B8004" s="330" t="s">
        <v>52360</v>
      </c>
      <c r="C8004" s="330" t="s">
        <v>18990</v>
      </c>
      <c r="D8004" s="330" t="s">
        <v>18991</v>
      </c>
      <c r="E8004" s="330" t="s">
        <v>4819</v>
      </c>
      <c r="F8004" s="331">
        <v>0.21</v>
      </c>
      <c r="G8004" s="332">
        <v>7294</v>
      </c>
      <c r="H8004" s="333">
        <v>8826</v>
      </c>
    </row>
    <row r="8005" spans="1:8">
      <c r="A8005" s="317" t="s">
        <v>41269</v>
      </c>
      <c r="B8005" s="330" t="s">
        <v>52361</v>
      </c>
      <c r="C8005" s="330" t="s">
        <v>18992</v>
      </c>
      <c r="D8005" s="330" t="s">
        <v>18993</v>
      </c>
      <c r="E8005" s="330" t="s">
        <v>4819</v>
      </c>
      <c r="F8005" s="331">
        <v>0.21</v>
      </c>
      <c r="G8005" s="332">
        <v>479</v>
      </c>
      <c r="H8005" s="333">
        <v>580</v>
      </c>
    </row>
    <row r="8006" spans="1:8">
      <c r="A8006" s="317" t="s">
        <v>41270</v>
      </c>
      <c r="B8006" s="330" t="s">
        <v>52362</v>
      </c>
      <c r="C8006" s="330" t="s">
        <v>18994</v>
      </c>
      <c r="D8006" s="330" t="s">
        <v>18995</v>
      </c>
      <c r="E8006" s="330" t="s">
        <v>4819</v>
      </c>
      <c r="F8006" s="331">
        <v>0.21</v>
      </c>
      <c r="G8006" s="332">
        <v>479</v>
      </c>
      <c r="H8006" s="333">
        <v>580</v>
      </c>
    </row>
    <row r="8007" spans="1:8">
      <c r="A8007" s="317" t="s">
        <v>41271</v>
      </c>
      <c r="B8007" s="330" t="s">
        <v>52363</v>
      </c>
      <c r="C8007" s="330" t="s">
        <v>18996</v>
      </c>
      <c r="D8007" s="330" t="s">
        <v>18997</v>
      </c>
      <c r="E8007" s="330" t="s">
        <v>4819</v>
      </c>
      <c r="F8007" s="331">
        <v>0.21</v>
      </c>
      <c r="G8007" s="332">
        <v>479</v>
      </c>
      <c r="H8007" s="333">
        <v>580</v>
      </c>
    </row>
    <row r="8008" spans="1:8">
      <c r="A8008" s="317" t="s">
        <v>41272</v>
      </c>
      <c r="B8008" s="330" t="s">
        <v>52364</v>
      </c>
      <c r="C8008" s="330" t="s">
        <v>18998</v>
      </c>
      <c r="D8008" s="330" t="s">
        <v>18999</v>
      </c>
      <c r="E8008" s="330" t="s">
        <v>4819</v>
      </c>
      <c r="F8008" s="331">
        <v>0.21</v>
      </c>
      <c r="G8008" s="332">
        <v>479</v>
      </c>
      <c r="H8008" s="333">
        <v>580</v>
      </c>
    </row>
    <row r="8009" spans="1:8">
      <c r="A8009" s="317" t="s">
        <v>41273</v>
      </c>
      <c r="B8009" s="330" t="s">
        <v>52365</v>
      </c>
      <c r="C8009" s="330" t="s">
        <v>19000</v>
      </c>
      <c r="D8009" s="330" t="s">
        <v>19001</v>
      </c>
      <c r="E8009" s="330" t="s">
        <v>4819</v>
      </c>
      <c r="F8009" s="331">
        <v>0.21</v>
      </c>
      <c r="G8009" s="332">
        <v>17520</v>
      </c>
      <c r="H8009" s="333">
        <v>21200</v>
      </c>
    </row>
    <row r="8010" spans="1:8">
      <c r="A8010" s="317" t="s">
        <v>41274</v>
      </c>
      <c r="B8010" s="330" t="s">
        <v>52366</v>
      </c>
      <c r="C8010" s="330" t="s">
        <v>19002</v>
      </c>
      <c r="D8010" s="330" t="s">
        <v>19003</v>
      </c>
      <c r="E8010" s="330" t="s">
        <v>4819</v>
      </c>
      <c r="F8010" s="331">
        <v>0.21</v>
      </c>
      <c r="G8010" s="332">
        <v>479</v>
      </c>
      <c r="H8010" s="333">
        <v>580</v>
      </c>
    </row>
    <row r="8011" spans="1:8">
      <c r="A8011" s="317" t="s">
        <v>41275</v>
      </c>
      <c r="B8011" s="330" t="s">
        <v>52367</v>
      </c>
      <c r="C8011" s="330" t="s">
        <v>19004</v>
      </c>
      <c r="D8011" s="330" t="s">
        <v>19005</v>
      </c>
      <c r="E8011" s="330" t="s">
        <v>4819</v>
      </c>
      <c r="F8011" s="331">
        <v>0.21</v>
      </c>
      <c r="G8011" s="332">
        <v>16520</v>
      </c>
      <c r="H8011" s="333">
        <v>19990</v>
      </c>
    </row>
    <row r="8012" spans="1:8">
      <c r="A8012" s="317" t="s">
        <v>41276</v>
      </c>
      <c r="B8012" s="330" t="s">
        <v>52368</v>
      </c>
      <c r="C8012" s="330" t="s">
        <v>19006</v>
      </c>
      <c r="D8012" s="330" t="s">
        <v>19007</v>
      </c>
      <c r="E8012" s="330" t="s">
        <v>37248</v>
      </c>
      <c r="F8012" s="331">
        <v>0.21</v>
      </c>
      <c r="G8012" s="332">
        <v>9195</v>
      </c>
      <c r="H8012" s="333">
        <v>11126</v>
      </c>
    </row>
    <row r="8013" spans="1:8">
      <c r="A8013" s="317" t="s">
        <v>41277</v>
      </c>
      <c r="B8013" s="330" t="s">
        <v>52369</v>
      </c>
      <c r="C8013" s="330" t="s">
        <v>19008</v>
      </c>
      <c r="D8013" s="330" t="s">
        <v>19009</v>
      </c>
      <c r="E8013" s="330" t="s">
        <v>37248</v>
      </c>
      <c r="F8013" s="331">
        <v>0.21</v>
      </c>
      <c r="G8013" s="332">
        <v>29841</v>
      </c>
      <c r="H8013" s="333">
        <v>36108</v>
      </c>
    </row>
    <row r="8014" spans="1:8">
      <c r="A8014" s="317" t="s">
        <v>41278</v>
      </c>
      <c r="B8014" s="330" t="s">
        <v>52370</v>
      </c>
      <c r="C8014" s="330" t="s">
        <v>19010</v>
      </c>
      <c r="D8014" s="330" t="s">
        <v>19011</v>
      </c>
      <c r="E8014" s="330" t="s">
        <v>4819</v>
      </c>
      <c r="F8014" s="331">
        <v>0.21</v>
      </c>
      <c r="G8014" s="332">
        <v>1880</v>
      </c>
      <c r="H8014" s="333">
        <v>2275</v>
      </c>
    </row>
    <row r="8015" spans="1:8">
      <c r="A8015" s="317" t="s">
        <v>41279</v>
      </c>
      <c r="B8015" s="330" t="s">
        <v>52371</v>
      </c>
      <c r="C8015" s="330" t="s">
        <v>19012</v>
      </c>
      <c r="D8015" s="330" t="s">
        <v>19013</v>
      </c>
      <c r="E8015" s="330" t="s">
        <v>4819</v>
      </c>
      <c r="F8015" s="331">
        <v>0.21</v>
      </c>
      <c r="G8015" s="332">
        <v>16520</v>
      </c>
      <c r="H8015" s="333">
        <v>19990</v>
      </c>
    </row>
    <row r="8016" spans="1:8">
      <c r="A8016" s="317" t="s">
        <v>41280</v>
      </c>
      <c r="B8016" s="330" t="s">
        <v>52372</v>
      </c>
      <c r="C8016" s="330" t="s">
        <v>19014</v>
      </c>
      <c r="D8016" s="330" t="s">
        <v>19015</v>
      </c>
      <c r="E8016" s="330" t="s">
        <v>4819</v>
      </c>
      <c r="F8016" s="331">
        <v>0.21</v>
      </c>
      <c r="G8016" s="332">
        <v>479</v>
      </c>
      <c r="H8016" s="333">
        <v>580</v>
      </c>
    </row>
    <row r="8017" spans="1:8">
      <c r="A8017" s="317" t="s">
        <v>41281</v>
      </c>
      <c r="B8017" s="330" t="s">
        <v>52373</v>
      </c>
      <c r="C8017" s="330" t="s">
        <v>19016</v>
      </c>
      <c r="D8017" s="330" t="s">
        <v>7653</v>
      </c>
      <c r="E8017" s="330" t="s">
        <v>37248</v>
      </c>
      <c r="F8017" s="331">
        <v>0.21</v>
      </c>
      <c r="G8017" s="332">
        <v>976</v>
      </c>
      <c r="H8017" s="333">
        <v>1181</v>
      </c>
    </row>
    <row r="8018" spans="1:8">
      <c r="A8018" s="317" t="s">
        <v>41282</v>
      </c>
      <c r="B8018" s="330" t="s">
        <v>52374</v>
      </c>
      <c r="C8018" s="330" t="s">
        <v>19017</v>
      </c>
      <c r="D8018" s="330" t="s">
        <v>7653</v>
      </c>
      <c r="E8018" s="330" t="s">
        <v>37248</v>
      </c>
      <c r="F8018" s="331">
        <v>0.21</v>
      </c>
      <c r="G8018" s="332">
        <v>1247</v>
      </c>
      <c r="H8018" s="333">
        <v>1509</v>
      </c>
    </row>
    <row r="8019" spans="1:8">
      <c r="A8019" s="317" t="s">
        <v>41283</v>
      </c>
      <c r="B8019" s="330" t="s">
        <v>52375</v>
      </c>
      <c r="C8019" s="330" t="s">
        <v>19018</v>
      </c>
      <c r="D8019" s="330" t="s">
        <v>19019</v>
      </c>
      <c r="E8019" s="330" t="s">
        <v>37248</v>
      </c>
      <c r="F8019" s="331">
        <v>0.21</v>
      </c>
      <c r="G8019" s="332">
        <v>19142</v>
      </c>
      <c r="H8019" s="333">
        <v>23162</v>
      </c>
    </row>
    <row r="8020" spans="1:8">
      <c r="A8020" s="317" t="s">
        <v>41284</v>
      </c>
      <c r="B8020" s="330" t="s">
        <v>52376</v>
      </c>
      <c r="C8020" s="330" t="s">
        <v>19020</v>
      </c>
      <c r="D8020" s="330" t="s">
        <v>19021</v>
      </c>
      <c r="E8020" s="330" t="s">
        <v>37248</v>
      </c>
      <c r="F8020" s="331">
        <v>0.21</v>
      </c>
      <c r="G8020" s="332">
        <v>194</v>
      </c>
      <c r="H8020" s="333">
        <v>235</v>
      </c>
    </row>
    <row r="8021" spans="1:8">
      <c r="A8021" s="317" t="s">
        <v>41285</v>
      </c>
      <c r="B8021" s="330" t="s">
        <v>52377</v>
      </c>
      <c r="C8021" s="330" t="s">
        <v>19022</v>
      </c>
      <c r="D8021" s="330" t="s">
        <v>19023</v>
      </c>
      <c r="E8021" s="330" t="s">
        <v>37248</v>
      </c>
      <c r="F8021" s="331">
        <v>0.21</v>
      </c>
      <c r="G8021" s="332">
        <v>6107</v>
      </c>
      <c r="H8021" s="333">
        <v>7390</v>
      </c>
    </row>
    <row r="8022" spans="1:8">
      <c r="A8022" s="317" t="s">
        <v>41286</v>
      </c>
      <c r="B8022" s="330" t="s">
        <v>52378</v>
      </c>
      <c r="C8022" s="330" t="s">
        <v>19024</v>
      </c>
      <c r="D8022" s="330" t="s">
        <v>19025</v>
      </c>
      <c r="E8022" s="330" t="s">
        <v>37248</v>
      </c>
      <c r="F8022" s="331">
        <v>0.21</v>
      </c>
      <c r="G8022" s="332">
        <v>25136</v>
      </c>
      <c r="H8022" s="333">
        <v>30415</v>
      </c>
    </row>
    <row r="8023" spans="1:8">
      <c r="A8023" s="317" t="s">
        <v>41287</v>
      </c>
      <c r="B8023" s="330" t="s">
        <v>52379</v>
      </c>
      <c r="C8023" s="330" t="s">
        <v>19026</v>
      </c>
      <c r="D8023" s="330" t="s">
        <v>19027</v>
      </c>
      <c r="E8023" s="330" t="s">
        <v>37248</v>
      </c>
      <c r="F8023" s="331">
        <v>0.21</v>
      </c>
      <c r="G8023" s="332">
        <v>13551</v>
      </c>
      <c r="H8023" s="333">
        <v>16397</v>
      </c>
    </row>
    <row r="8024" spans="1:8">
      <c r="A8024" s="317" t="s">
        <v>41288</v>
      </c>
      <c r="B8024" s="330" t="s">
        <v>52380</v>
      </c>
      <c r="C8024" s="330" t="s">
        <v>19028</v>
      </c>
      <c r="D8024" s="330" t="s">
        <v>13060</v>
      </c>
      <c r="E8024" s="330" t="s">
        <v>37248</v>
      </c>
      <c r="F8024" s="331">
        <v>0.21</v>
      </c>
      <c r="G8024" s="332">
        <v>4882</v>
      </c>
      <c r="H8024" s="333">
        <v>5908</v>
      </c>
    </row>
    <row r="8025" spans="1:8">
      <c r="A8025" s="317" t="s">
        <v>41289</v>
      </c>
      <c r="B8025" s="330" t="s">
        <v>52381</v>
      </c>
      <c r="C8025" s="330" t="s">
        <v>19029</v>
      </c>
      <c r="D8025" s="330" t="s">
        <v>19030</v>
      </c>
      <c r="E8025" s="330" t="s">
        <v>37248</v>
      </c>
      <c r="F8025" s="331">
        <v>0.21</v>
      </c>
      <c r="G8025" s="332">
        <v>10343</v>
      </c>
      <c r="H8025" s="333">
        <v>12516</v>
      </c>
    </row>
    <row r="8026" spans="1:8">
      <c r="A8026" s="317" t="s">
        <v>41290</v>
      </c>
      <c r="B8026" s="330" t="s">
        <v>52382</v>
      </c>
      <c r="C8026" s="330" t="s">
        <v>19031</v>
      </c>
      <c r="D8026" s="330" t="s">
        <v>19032</v>
      </c>
      <c r="E8026" s="330" t="s">
        <v>4819</v>
      </c>
      <c r="F8026" s="331">
        <v>0.21</v>
      </c>
      <c r="G8026" s="332">
        <v>3288</v>
      </c>
      <c r="H8026" s="333">
        <v>3979</v>
      </c>
    </row>
    <row r="8027" spans="1:8">
      <c r="A8027" s="317" t="s">
        <v>41291</v>
      </c>
      <c r="B8027" s="330" t="s">
        <v>52383</v>
      </c>
      <c r="C8027" s="330" t="s">
        <v>19033</v>
      </c>
      <c r="D8027" s="330" t="s">
        <v>6882</v>
      </c>
      <c r="E8027" s="330" t="s">
        <v>37248</v>
      </c>
      <c r="F8027" s="331">
        <v>0.21</v>
      </c>
      <c r="G8027" s="332">
        <v>361</v>
      </c>
      <c r="H8027" s="333">
        <v>437</v>
      </c>
    </row>
    <row r="8028" spans="1:8">
      <c r="A8028" s="317" t="s">
        <v>41292</v>
      </c>
      <c r="B8028" s="330" t="s">
        <v>52384</v>
      </c>
      <c r="C8028" s="330" t="s">
        <v>19034</v>
      </c>
      <c r="D8028" s="330" t="s">
        <v>8414</v>
      </c>
      <c r="E8028" s="330" t="s">
        <v>37248</v>
      </c>
      <c r="F8028" s="331">
        <v>0.21</v>
      </c>
      <c r="G8028" s="332">
        <v>1063</v>
      </c>
      <c r="H8028" s="333">
        <v>1287</v>
      </c>
    </row>
    <row r="8029" spans="1:8">
      <c r="A8029" s="317" t="s">
        <v>41293</v>
      </c>
      <c r="B8029" s="330" t="s">
        <v>52385</v>
      </c>
      <c r="C8029" s="330" t="s">
        <v>19035</v>
      </c>
      <c r="D8029" s="330" t="s">
        <v>19036</v>
      </c>
      <c r="E8029" s="330" t="s">
        <v>4634</v>
      </c>
      <c r="F8029" s="331">
        <v>0.21</v>
      </c>
      <c r="G8029" s="332">
        <v>501</v>
      </c>
      <c r="H8029" s="333">
        <v>607</v>
      </c>
    </row>
    <row r="8030" spans="1:8">
      <c r="A8030" s="317" t="s">
        <v>41294</v>
      </c>
      <c r="B8030" s="330" t="s">
        <v>52386</v>
      </c>
      <c r="C8030" s="330" t="s">
        <v>19037</v>
      </c>
      <c r="D8030" s="330" t="s">
        <v>19038</v>
      </c>
      <c r="E8030" s="330" t="s">
        <v>37248</v>
      </c>
      <c r="F8030" s="331">
        <v>0.21</v>
      </c>
      <c r="G8030" s="332">
        <v>934</v>
      </c>
      <c r="H8030" s="333">
        <v>1131</v>
      </c>
    </row>
    <row r="8031" spans="1:8">
      <c r="A8031" s="317" t="s">
        <v>41295</v>
      </c>
      <c r="B8031" s="330" t="s">
        <v>52387</v>
      </c>
      <c r="C8031" s="330" t="s">
        <v>19039</v>
      </c>
      <c r="D8031" s="330" t="s">
        <v>19040</v>
      </c>
      <c r="E8031" s="330" t="s">
        <v>37248</v>
      </c>
      <c r="F8031" s="331">
        <v>0.21</v>
      </c>
      <c r="G8031" s="332">
        <v>4066</v>
      </c>
      <c r="H8031" s="333">
        <v>4920</v>
      </c>
    </row>
    <row r="8032" spans="1:8">
      <c r="A8032" s="317" t="s">
        <v>41296</v>
      </c>
      <c r="B8032" s="330" t="s">
        <v>52388</v>
      </c>
      <c r="C8032" s="330" t="s">
        <v>19041</v>
      </c>
      <c r="D8032" s="330" t="s">
        <v>19042</v>
      </c>
      <c r="E8032" s="330" t="s">
        <v>37248</v>
      </c>
      <c r="F8032" s="331">
        <v>0.21</v>
      </c>
      <c r="G8032" s="332">
        <v>18934</v>
      </c>
      <c r="H8032" s="333">
        <v>22911</v>
      </c>
    </row>
    <row r="8033" spans="1:8">
      <c r="A8033" s="317" t="s">
        <v>41297</v>
      </c>
      <c r="B8033" s="330" t="s">
        <v>52389</v>
      </c>
      <c r="C8033" s="330" t="s">
        <v>19043</v>
      </c>
      <c r="D8033" s="330" t="s">
        <v>19044</v>
      </c>
      <c r="E8033" s="330" t="s">
        <v>37248</v>
      </c>
      <c r="F8033" s="331">
        <v>0.21</v>
      </c>
      <c r="G8033" s="332">
        <v>5362</v>
      </c>
      <c r="H8033" s="333">
        <v>6489</v>
      </c>
    </row>
    <row r="8034" spans="1:8">
      <c r="A8034" s="317" t="s">
        <v>41298</v>
      </c>
      <c r="B8034" s="330" t="s">
        <v>52390</v>
      </c>
      <c r="C8034" s="330" t="s">
        <v>19045</v>
      </c>
      <c r="D8034" s="330" t="s">
        <v>19046</v>
      </c>
      <c r="E8034" s="330" t="s">
        <v>37248</v>
      </c>
      <c r="F8034" s="331">
        <v>0.21</v>
      </c>
      <c r="G8034" s="332">
        <v>4361</v>
      </c>
      <c r="H8034" s="333">
        <v>5277</v>
      </c>
    </row>
    <row r="8035" spans="1:8">
      <c r="A8035" s="317" t="s">
        <v>41299</v>
      </c>
      <c r="B8035" s="330" t="s">
        <v>52391</v>
      </c>
      <c r="C8035" s="330" t="s">
        <v>19047</v>
      </c>
      <c r="D8035" s="330" t="s">
        <v>19048</v>
      </c>
      <c r="E8035" s="330" t="s">
        <v>37248</v>
      </c>
      <c r="F8035" s="331">
        <v>0.21</v>
      </c>
      <c r="G8035" s="332">
        <v>62233</v>
      </c>
      <c r="H8035" s="333">
        <v>75302</v>
      </c>
    </row>
    <row r="8036" spans="1:8">
      <c r="A8036" s="317" t="s">
        <v>41300</v>
      </c>
      <c r="B8036" s="330" t="s">
        <v>52392</v>
      </c>
      <c r="C8036" s="330" t="s">
        <v>19049</v>
      </c>
      <c r="D8036" s="330" t="s">
        <v>5155</v>
      </c>
      <c r="E8036" s="330" t="s">
        <v>37248</v>
      </c>
      <c r="F8036" s="331">
        <v>0.21</v>
      </c>
      <c r="G8036" s="332">
        <v>16779</v>
      </c>
      <c r="H8036" s="333">
        <v>20303</v>
      </c>
    </row>
    <row r="8037" spans="1:8">
      <c r="A8037" s="317" t="s">
        <v>41301</v>
      </c>
      <c r="B8037" s="330" t="s">
        <v>52393</v>
      </c>
      <c r="C8037" s="330" t="s">
        <v>19050</v>
      </c>
      <c r="D8037" s="330" t="s">
        <v>6205</v>
      </c>
      <c r="E8037" s="330" t="s">
        <v>37248</v>
      </c>
      <c r="F8037" s="331">
        <v>0.21</v>
      </c>
      <c r="G8037" s="332">
        <v>6665</v>
      </c>
      <c r="H8037" s="333">
        <v>8065</v>
      </c>
    </row>
    <row r="8038" spans="1:8">
      <c r="A8038" s="317" t="s">
        <v>41302</v>
      </c>
      <c r="B8038" s="330" t="s">
        <v>52394</v>
      </c>
      <c r="C8038" s="330" t="s">
        <v>19051</v>
      </c>
      <c r="D8038" s="330" t="s">
        <v>6205</v>
      </c>
      <c r="E8038" s="330" t="s">
        <v>4819</v>
      </c>
      <c r="F8038" s="331">
        <v>0.21</v>
      </c>
      <c r="G8038" s="332">
        <v>628</v>
      </c>
      <c r="H8038" s="333">
        <v>760</v>
      </c>
    </row>
    <row r="8039" spans="1:8">
      <c r="A8039" s="317" t="s">
        <v>41303</v>
      </c>
      <c r="B8039" s="330" t="s">
        <v>52395</v>
      </c>
      <c r="C8039" s="330" t="s">
        <v>19052</v>
      </c>
      <c r="D8039" s="330" t="s">
        <v>5557</v>
      </c>
      <c r="E8039" s="330" t="s">
        <v>4819</v>
      </c>
      <c r="F8039" s="331">
        <v>0.21</v>
      </c>
      <c r="G8039" s="332">
        <v>640</v>
      </c>
      <c r="H8039" s="333">
        <v>775</v>
      </c>
    </row>
    <row r="8040" spans="1:8">
      <c r="A8040" s="317" t="s">
        <v>41304</v>
      </c>
      <c r="B8040" s="330" t="s">
        <v>52396</v>
      </c>
      <c r="C8040" s="330" t="s">
        <v>19053</v>
      </c>
      <c r="D8040" s="330" t="s">
        <v>19054</v>
      </c>
      <c r="E8040" s="330" t="s">
        <v>37248</v>
      </c>
      <c r="F8040" s="331">
        <v>0.21</v>
      </c>
      <c r="G8040" s="332">
        <v>27498</v>
      </c>
      <c r="H8040" s="333">
        <v>33273</v>
      </c>
    </row>
    <row r="8041" spans="1:8">
      <c r="A8041" s="317" t="s">
        <v>41305</v>
      </c>
      <c r="B8041" s="330" t="s">
        <v>52397</v>
      </c>
      <c r="C8041" s="330" t="s">
        <v>19055</v>
      </c>
      <c r="D8041" s="330" t="s">
        <v>19056</v>
      </c>
      <c r="E8041" s="330" t="s">
        <v>37248</v>
      </c>
      <c r="F8041" s="331">
        <v>0.21</v>
      </c>
      <c r="G8041" s="332">
        <v>17272</v>
      </c>
      <c r="H8041" s="333">
        <v>20900</v>
      </c>
    </row>
    <row r="8042" spans="1:8">
      <c r="A8042" s="317" t="s">
        <v>41306</v>
      </c>
      <c r="B8042" s="330" t="s">
        <v>52398</v>
      </c>
      <c r="C8042" s="330" t="s">
        <v>19057</v>
      </c>
      <c r="D8042" s="330" t="s">
        <v>8423</v>
      </c>
      <c r="E8042" s="330" t="s">
        <v>37248</v>
      </c>
      <c r="F8042" s="331">
        <v>0.21</v>
      </c>
      <c r="G8042" s="332">
        <v>515</v>
      </c>
      <c r="H8042" s="333">
        <v>624</v>
      </c>
    </row>
    <row r="8043" spans="1:8">
      <c r="A8043" s="317" t="s">
        <v>41307</v>
      </c>
      <c r="B8043" s="330" t="s">
        <v>52399</v>
      </c>
      <c r="C8043" s="330" t="s">
        <v>19058</v>
      </c>
      <c r="D8043" s="330" t="s">
        <v>8375</v>
      </c>
      <c r="E8043" s="330" t="s">
        <v>37248</v>
      </c>
      <c r="F8043" s="331">
        <v>0.21</v>
      </c>
      <c r="G8043" s="332">
        <v>515</v>
      </c>
      <c r="H8043" s="333">
        <v>624</v>
      </c>
    </row>
    <row r="8044" spans="1:8">
      <c r="A8044" s="317" t="s">
        <v>41308</v>
      </c>
      <c r="B8044" s="330" t="s">
        <v>52400</v>
      </c>
      <c r="C8044" s="330" t="s">
        <v>19059</v>
      </c>
      <c r="D8044" s="330" t="s">
        <v>19060</v>
      </c>
      <c r="E8044" s="330" t="s">
        <v>37248</v>
      </c>
      <c r="F8044" s="331">
        <v>0.21</v>
      </c>
      <c r="G8044" s="332">
        <v>1072</v>
      </c>
      <c r="H8044" s="333">
        <v>1298</v>
      </c>
    </row>
    <row r="8045" spans="1:8">
      <c r="A8045" s="317" t="s">
        <v>41309</v>
      </c>
      <c r="B8045" s="330" t="s">
        <v>52401</v>
      </c>
      <c r="C8045" s="330" t="s">
        <v>19061</v>
      </c>
      <c r="D8045" s="330" t="s">
        <v>8006</v>
      </c>
      <c r="E8045" s="330" t="s">
        <v>37248</v>
      </c>
      <c r="F8045" s="331">
        <v>0.21</v>
      </c>
      <c r="G8045" s="332">
        <v>31656</v>
      </c>
      <c r="H8045" s="333">
        <v>38304</v>
      </c>
    </row>
    <row r="8046" spans="1:8">
      <c r="A8046" s="317" t="s">
        <v>41310</v>
      </c>
      <c r="B8046" s="330" t="s">
        <v>52402</v>
      </c>
      <c r="C8046" s="330" t="s">
        <v>19062</v>
      </c>
      <c r="D8046" s="330" t="s">
        <v>5155</v>
      </c>
      <c r="E8046" s="330" t="s">
        <v>4623</v>
      </c>
      <c r="F8046" s="331">
        <v>0.21</v>
      </c>
      <c r="G8046" s="332">
        <v>30472</v>
      </c>
      <c r="H8046" s="333">
        <v>36872</v>
      </c>
    </row>
    <row r="8047" spans="1:8">
      <c r="A8047" s="317" t="s">
        <v>41311</v>
      </c>
      <c r="B8047" s="330" t="s">
        <v>52403</v>
      </c>
      <c r="C8047" s="330" t="s">
        <v>19063</v>
      </c>
      <c r="D8047" s="330" t="s">
        <v>19064</v>
      </c>
      <c r="E8047" s="330" t="s">
        <v>37248</v>
      </c>
      <c r="F8047" s="331">
        <v>0.21</v>
      </c>
      <c r="G8047" s="332">
        <v>4771</v>
      </c>
      <c r="H8047" s="333">
        <v>5773</v>
      </c>
    </row>
    <row r="8048" spans="1:8">
      <c r="A8048" s="317" t="s">
        <v>41312</v>
      </c>
      <c r="B8048" s="330" t="s">
        <v>52404</v>
      </c>
      <c r="C8048" s="330" t="s">
        <v>19065</v>
      </c>
      <c r="D8048" s="330" t="s">
        <v>19066</v>
      </c>
      <c r="E8048" s="330" t="s">
        <v>37248</v>
      </c>
      <c r="F8048" s="331">
        <v>0.21</v>
      </c>
      <c r="G8048" s="332">
        <v>3747</v>
      </c>
      <c r="H8048" s="333">
        <v>4534</v>
      </c>
    </row>
    <row r="8049" spans="1:8">
      <c r="A8049" s="317" t="s">
        <v>41313</v>
      </c>
      <c r="B8049" s="330" t="s">
        <v>52405</v>
      </c>
      <c r="C8049" s="330" t="s">
        <v>19067</v>
      </c>
      <c r="D8049" s="330" t="s">
        <v>19068</v>
      </c>
      <c r="E8049" s="330" t="s">
        <v>37248</v>
      </c>
      <c r="F8049" s="331">
        <v>0.21</v>
      </c>
      <c r="G8049" s="332">
        <v>629</v>
      </c>
      <c r="H8049" s="333">
        <v>762</v>
      </c>
    </row>
    <row r="8050" spans="1:8">
      <c r="A8050" s="317" t="s">
        <v>41314</v>
      </c>
      <c r="B8050" s="330" t="s">
        <v>52406</v>
      </c>
      <c r="C8050" s="330" t="s">
        <v>19069</v>
      </c>
      <c r="D8050" s="330" t="s">
        <v>19070</v>
      </c>
      <c r="E8050" s="330" t="s">
        <v>37248</v>
      </c>
      <c r="F8050" s="331">
        <v>0.21</v>
      </c>
      <c r="G8050" s="332">
        <v>1780</v>
      </c>
      <c r="H8050" s="333">
        <v>2154</v>
      </c>
    </row>
    <row r="8051" spans="1:8">
      <c r="A8051" s="317" t="s">
        <v>41315</v>
      </c>
      <c r="B8051" s="330" t="s">
        <v>52407</v>
      </c>
      <c r="C8051" s="330" t="s">
        <v>19071</v>
      </c>
      <c r="D8051" s="330" t="s">
        <v>19072</v>
      </c>
      <c r="E8051" s="330" t="s">
        <v>4819</v>
      </c>
      <c r="F8051" s="331">
        <v>0.21</v>
      </c>
      <c r="G8051" s="332">
        <v>15684</v>
      </c>
      <c r="H8051" s="333">
        <v>18978</v>
      </c>
    </row>
    <row r="8052" spans="1:8">
      <c r="A8052" s="317" t="s">
        <v>41316</v>
      </c>
      <c r="B8052" s="330" t="s">
        <v>52408</v>
      </c>
      <c r="C8052" s="330" t="s">
        <v>19073</v>
      </c>
      <c r="D8052" s="330" t="s">
        <v>19074</v>
      </c>
      <c r="E8052" s="330" t="s">
        <v>37248</v>
      </c>
      <c r="F8052" s="331">
        <v>0.21</v>
      </c>
      <c r="G8052" s="332">
        <v>1561</v>
      </c>
      <c r="H8052" s="333">
        <v>1889</v>
      </c>
    </row>
    <row r="8053" spans="1:8">
      <c r="A8053" s="317" t="s">
        <v>41317</v>
      </c>
      <c r="B8053" s="330" t="s">
        <v>52409</v>
      </c>
      <c r="C8053" s="330" t="s">
        <v>19075</v>
      </c>
      <c r="D8053" s="330" t="s">
        <v>19076</v>
      </c>
      <c r="E8053" s="330" t="s">
        <v>37248</v>
      </c>
      <c r="F8053" s="331">
        <v>0.21</v>
      </c>
      <c r="G8053" s="332">
        <v>33142</v>
      </c>
      <c r="H8053" s="333">
        <v>40102</v>
      </c>
    </row>
    <row r="8054" spans="1:8">
      <c r="A8054" s="317" t="s">
        <v>41318</v>
      </c>
      <c r="B8054" s="330" t="s">
        <v>52410</v>
      </c>
      <c r="C8054" s="330" t="s">
        <v>19077</v>
      </c>
      <c r="D8054" s="330" t="s">
        <v>19078</v>
      </c>
      <c r="E8054" s="330" t="s">
        <v>37248</v>
      </c>
      <c r="F8054" s="331">
        <v>0.21</v>
      </c>
      <c r="G8054" s="332">
        <v>22822</v>
      </c>
      <c r="H8054" s="333">
        <v>27615</v>
      </c>
    </row>
    <row r="8055" spans="1:8">
      <c r="A8055" s="317" t="s">
        <v>41319</v>
      </c>
      <c r="B8055" s="330" t="s">
        <v>52411</v>
      </c>
      <c r="C8055" s="330" t="s">
        <v>19079</v>
      </c>
      <c r="D8055" s="330" t="s">
        <v>19080</v>
      </c>
      <c r="E8055" s="330" t="s">
        <v>37248</v>
      </c>
      <c r="F8055" s="331">
        <v>0.21</v>
      </c>
      <c r="G8055" s="332">
        <v>16088</v>
      </c>
      <c r="H8055" s="333">
        <v>19467</v>
      </c>
    </row>
    <row r="8056" spans="1:8">
      <c r="A8056" s="317" t="s">
        <v>41320</v>
      </c>
      <c r="B8056" s="330" t="s">
        <v>52412</v>
      </c>
      <c r="C8056" s="330" t="s">
        <v>19081</v>
      </c>
      <c r="D8056" s="330" t="s">
        <v>19082</v>
      </c>
      <c r="E8056" s="330" t="s">
        <v>37248</v>
      </c>
      <c r="F8056" s="331">
        <v>0.21</v>
      </c>
      <c r="G8056" s="332">
        <v>23641</v>
      </c>
      <c r="H8056" s="333">
        <v>28606</v>
      </c>
    </row>
    <row r="8057" spans="1:8">
      <c r="A8057" s="317" t="s">
        <v>41321</v>
      </c>
      <c r="B8057" s="330" t="s">
        <v>52413</v>
      </c>
      <c r="C8057" s="330" t="s">
        <v>19083</v>
      </c>
      <c r="D8057" s="330" t="s">
        <v>19084</v>
      </c>
      <c r="E8057" s="330" t="s">
        <v>4634</v>
      </c>
      <c r="F8057" s="331">
        <v>0.21</v>
      </c>
      <c r="G8057" s="332">
        <v>490</v>
      </c>
      <c r="H8057" s="333">
        <v>593</v>
      </c>
    </row>
    <row r="8058" spans="1:8">
      <c r="A8058" s="317" t="s">
        <v>41322</v>
      </c>
      <c r="B8058" s="330" t="s">
        <v>52414</v>
      </c>
      <c r="C8058" s="330" t="s">
        <v>19085</v>
      </c>
      <c r="D8058" s="330" t="s">
        <v>19086</v>
      </c>
      <c r="E8058" s="330" t="s">
        <v>37248</v>
      </c>
      <c r="F8058" s="331">
        <v>0.21</v>
      </c>
      <c r="G8058" s="332">
        <v>10823</v>
      </c>
      <c r="H8058" s="333">
        <v>13096</v>
      </c>
    </row>
    <row r="8059" spans="1:8">
      <c r="A8059" s="317" t="s">
        <v>41323</v>
      </c>
      <c r="B8059" s="330" t="s">
        <v>52415</v>
      </c>
      <c r="C8059" s="330" t="s">
        <v>19087</v>
      </c>
      <c r="D8059" s="330" t="s">
        <v>19088</v>
      </c>
      <c r="E8059" s="330" t="s">
        <v>37248</v>
      </c>
      <c r="F8059" s="331">
        <v>0.21</v>
      </c>
      <c r="G8059" s="332">
        <v>15657</v>
      </c>
      <c r="H8059" s="333">
        <v>18945</v>
      </c>
    </row>
    <row r="8060" spans="1:8">
      <c r="A8060" s="317" t="s">
        <v>41324</v>
      </c>
      <c r="B8060" s="330" t="s">
        <v>52416</v>
      </c>
      <c r="C8060" s="330" t="s">
        <v>19089</v>
      </c>
      <c r="D8060" s="330" t="s">
        <v>19090</v>
      </c>
      <c r="E8060" s="330" t="s">
        <v>37248</v>
      </c>
      <c r="F8060" s="331">
        <v>0.21</v>
      </c>
      <c r="G8060" s="332">
        <v>19139</v>
      </c>
      <c r="H8060" s="333">
        <v>23159</v>
      </c>
    </row>
    <row r="8061" spans="1:8">
      <c r="A8061" s="317" t="s">
        <v>41325</v>
      </c>
      <c r="B8061" s="330" t="s">
        <v>52417</v>
      </c>
      <c r="C8061" s="330" t="s">
        <v>19091</v>
      </c>
      <c r="D8061" s="330" t="s">
        <v>19092</v>
      </c>
      <c r="E8061" s="330" t="s">
        <v>37248</v>
      </c>
      <c r="F8061" s="331">
        <v>0.21</v>
      </c>
      <c r="G8061" s="332">
        <v>4345</v>
      </c>
      <c r="H8061" s="333">
        <v>5258</v>
      </c>
    </row>
    <row r="8062" spans="1:8">
      <c r="A8062" s="317" t="s">
        <v>41326</v>
      </c>
      <c r="B8062" s="330" t="s">
        <v>52418</v>
      </c>
      <c r="C8062" s="330" t="s">
        <v>19093</v>
      </c>
      <c r="D8062" s="330" t="s">
        <v>19094</v>
      </c>
      <c r="E8062" s="330" t="s">
        <v>37248</v>
      </c>
      <c r="F8062" s="331">
        <v>0.21</v>
      </c>
      <c r="G8062" s="332">
        <v>7917</v>
      </c>
      <c r="H8062" s="333">
        <v>9580</v>
      </c>
    </row>
    <row r="8063" spans="1:8">
      <c r="A8063" s="317" t="s">
        <v>41327</v>
      </c>
      <c r="B8063" s="330" t="s">
        <v>52419</v>
      </c>
      <c r="C8063" s="330" t="s">
        <v>19095</v>
      </c>
      <c r="D8063" s="330" t="s">
        <v>19096</v>
      </c>
      <c r="E8063" s="330" t="s">
        <v>4623</v>
      </c>
      <c r="F8063" s="331">
        <v>0.21</v>
      </c>
      <c r="G8063" s="332">
        <v>13393</v>
      </c>
      <c r="H8063" s="333">
        <v>16206</v>
      </c>
    </row>
    <row r="8064" spans="1:8">
      <c r="A8064" s="317" t="s">
        <v>41328</v>
      </c>
      <c r="B8064" s="330" t="s">
        <v>52420</v>
      </c>
      <c r="C8064" s="330" t="s">
        <v>19097</v>
      </c>
      <c r="D8064" s="330" t="s">
        <v>19096</v>
      </c>
      <c r="E8064" s="330" t="s">
        <v>37248</v>
      </c>
      <c r="F8064" s="331">
        <v>0.21</v>
      </c>
      <c r="G8064" s="332">
        <v>3161</v>
      </c>
      <c r="H8064" s="333">
        <v>3825</v>
      </c>
    </row>
    <row r="8065" spans="1:8">
      <c r="A8065" s="317" t="s">
        <v>41329</v>
      </c>
      <c r="B8065" s="330" t="s">
        <v>52421</v>
      </c>
      <c r="C8065" s="330" t="s">
        <v>19098</v>
      </c>
      <c r="D8065" s="330" t="s">
        <v>19096</v>
      </c>
      <c r="E8065" s="330" t="s">
        <v>37248</v>
      </c>
      <c r="F8065" s="331">
        <v>0.21</v>
      </c>
      <c r="G8065" s="332">
        <v>2328</v>
      </c>
      <c r="H8065" s="333">
        <v>2817</v>
      </c>
    </row>
    <row r="8066" spans="1:8">
      <c r="A8066" s="317" t="s">
        <v>41330</v>
      </c>
      <c r="B8066" s="330" t="s">
        <v>52422</v>
      </c>
      <c r="C8066" s="330" t="s">
        <v>19099</v>
      </c>
      <c r="D8066" s="330" t="s">
        <v>19100</v>
      </c>
      <c r="E8066" s="330" t="s">
        <v>37248</v>
      </c>
      <c r="F8066" s="331">
        <v>0.21</v>
      </c>
      <c r="G8066" s="332">
        <v>2630</v>
      </c>
      <c r="H8066" s="333">
        <v>3183</v>
      </c>
    </row>
    <row r="8067" spans="1:8">
      <c r="A8067" s="317" t="s">
        <v>41331</v>
      </c>
      <c r="B8067" s="330" t="s">
        <v>52423</v>
      </c>
      <c r="C8067" s="330" t="s">
        <v>19101</v>
      </c>
      <c r="D8067" s="330" t="s">
        <v>19102</v>
      </c>
      <c r="E8067" s="330" t="s">
        <v>37248</v>
      </c>
      <c r="F8067" s="331">
        <v>0.21</v>
      </c>
      <c r="G8067" s="332">
        <v>2272</v>
      </c>
      <c r="H8067" s="333">
        <v>2750</v>
      </c>
    </row>
    <row r="8068" spans="1:8">
      <c r="A8068" s="317" t="s">
        <v>41332</v>
      </c>
      <c r="B8068" s="330" t="s">
        <v>52424</v>
      </c>
      <c r="C8068" s="330" t="s">
        <v>19103</v>
      </c>
      <c r="D8068" s="330" t="s">
        <v>19104</v>
      </c>
      <c r="E8068" s="330" t="s">
        <v>37248</v>
      </c>
      <c r="F8068" s="331">
        <v>0.21</v>
      </c>
      <c r="G8068" s="332">
        <v>1753</v>
      </c>
      <c r="H8068" s="333">
        <v>2122</v>
      </c>
    </row>
    <row r="8069" spans="1:8">
      <c r="A8069" s="317" t="s">
        <v>41333</v>
      </c>
      <c r="B8069" s="330" t="s">
        <v>52425</v>
      </c>
      <c r="C8069" s="330" t="s">
        <v>19105</v>
      </c>
      <c r="D8069" s="330" t="s">
        <v>19106</v>
      </c>
      <c r="E8069" s="330" t="s">
        <v>37248</v>
      </c>
      <c r="F8069" s="331">
        <v>0.21</v>
      </c>
      <c r="G8069" s="332">
        <v>2792</v>
      </c>
      <c r="H8069" s="333">
        <v>3379</v>
      </c>
    </row>
    <row r="8070" spans="1:8">
      <c r="A8070" s="317" t="s">
        <v>41334</v>
      </c>
      <c r="B8070" s="330" t="s">
        <v>52426</v>
      </c>
      <c r="C8070" s="330" t="s">
        <v>19107</v>
      </c>
      <c r="D8070" s="330" t="s">
        <v>19108</v>
      </c>
      <c r="E8070" s="330" t="s">
        <v>37248</v>
      </c>
      <c r="F8070" s="331">
        <v>0.21</v>
      </c>
      <c r="G8070" s="332">
        <v>2755</v>
      </c>
      <c r="H8070" s="333">
        <v>3334</v>
      </c>
    </row>
    <row r="8071" spans="1:8">
      <c r="A8071" s="317" t="s">
        <v>41335</v>
      </c>
      <c r="B8071" s="330" t="s">
        <v>52427</v>
      </c>
      <c r="C8071" s="330" t="s">
        <v>19109</v>
      </c>
      <c r="D8071" s="330" t="s">
        <v>19110</v>
      </c>
      <c r="E8071" s="330" t="s">
        <v>4634</v>
      </c>
      <c r="F8071" s="331">
        <v>0.21</v>
      </c>
      <c r="G8071" s="332">
        <v>17371</v>
      </c>
      <c r="H8071" s="333">
        <v>21019</v>
      </c>
    </row>
    <row r="8072" spans="1:8">
      <c r="A8072" s="317" t="s">
        <v>41336</v>
      </c>
      <c r="B8072" s="330" t="s">
        <v>52428</v>
      </c>
      <c r="C8072" s="330" t="s">
        <v>19111</v>
      </c>
      <c r="D8072" s="330" t="s">
        <v>19112</v>
      </c>
      <c r="E8072" s="330" t="s">
        <v>37248</v>
      </c>
      <c r="F8072" s="331">
        <v>0.21</v>
      </c>
      <c r="G8072" s="332">
        <v>1666</v>
      </c>
      <c r="H8072" s="333">
        <v>2016</v>
      </c>
    </row>
    <row r="8073" spans="1:8">
      <c r="A8073" s="317" t="s">
        <v>41337</v>
      </c>
      <c r="B8073" s="330" t="s">
        <v>52429</v>
      </c>
      <c r="C8073" s="330" t="s">
        <v>19113</v>
      </c>
      <c r="D8073" s="330" t="s">
        <v>19114</v>
      </c>
      <c r="E8073" s="330" t="s">
        <v>37248</v>
      </c>
      <c r="F8073" s="331">
        <v>0.21</v>
      </c>
      <c r="G8073" s="332">
        <v>894</v>
      </c>
      <c r="H8073" s="333">
        <v>1082</v>
      </c>
    </row>
    <row r="8074" spans="1:8">
      <c r="A8074" s="317" t="s">
        <v>41338</v>
      </c>
      <c r="B8074" s="330" t="s">
        <v>52430</v>
      </c>
      <c r="C8074" s="330" t="s">
        <v>19115</v>
      </c>
      <c r="D8074" s="330" t="s">
        <v>19116</v>
      </c>
      <c r="E8074" s="330" t="s">
        <v>37248</v>
      </c>
      <c r="F8074" s="331">
        <v>0.21</v>
      </c>
      <c r="G8074" s="332">
        <v>1400</v>
      </c>
      <c r="H8074" s="333">
        <v>1694</v>
      </c>
    </row>
    <row r="8075" spans="1:8">
      <c r="A8075" s="317" t="s">
        <v>41339</v>
      </c>
      <c r="B8075" s="330" t="s">
        <v>52431</v>
      </c>
      <c r="C8075" s="330" t="s">
        <v>19117</v>
      </c>
      <c r="D8075" s="330" t="s">
        <v>19118</v>
      </c>
      <c r="E8075" s="330" t="s">
        <v>37248</v>
      </c>
      <c r="F8075" s="331">
        <v>0.21</v>
      </c>
      <c r="G8075" s="332">
        <v>6002</v>
      </c>
      <c r="H8075" s="333">
        <v>7263</v>
      </c>
    </row>
    <row r="8076" spans="1:8">
      <c r="A8076" s="317" t="s">
        <v>41340</v>
      </c>
      <c r="B8076" s="330" t="s">
        <v>52432</v>
      </c>
      <c r="C8076" s="330" t="s">
        <v>19119</v>
      </c>
      <c r="D8076" s="330" t="s">
        <v>19114</v>
      </c>
      <c r="E8076" s="330" t="s">
        <v>37248</v>
      </c>
      <c r="F8076" s="331">
        <v>0.21</v>
      </c>
      <c r="G8076" s="332">
        <v>441</v>
      </c>
      <c r="H8076" s="333">
        <v>534</v>
      </c>
    </row>
    <row r="8077" spans="1:8">
      <c r="A8077" s="317" t="s">
        <v>41341</v>
      </c>
      <c r="B8077" s="330" t="s">
        <v>52433</v>
      </c>
      <c r="C8077" s="330" t="s">
        <v>19120</v>
      </c>
      <c r="D8077" s="330" t="s">
        <v>19121</v>
      </c>
      <c r="E8077" s="330" t="s">
        <v>37248</v>
      </c>
      <c r="F8077" s="331">
        <v>0.21</v>
      </c>
      <c r="G8077" s="332">
        <v>252</v>
      </c>
      <c r="H8077" s="333">
        <v>305</v>
      </c>
    </row>
    <row r="8078" spans="1:8">
      <c r="A8078" s="317" t="s">
        <v>41342</v>
      </c>
      <c r="B8078" s="330" t="s">
        <v>52434</v>
      </c>
      <c r="C8078" s="330" t="s">
        <v>19122</v>
      </c>
      <c r="D8078" s="330" t="s">
        <v>19123</v>
      </c>
      <c r="E8078" s="330" t="s">
        <v>37248</v>
      </c>
      <c r="F8078" s="331">
        <v>0.21</v>
      </c>
      <c r="G8078" s="332">
        <v>501</v>
      </c>
      <c r="H8078" s="333">
        <v>607</v>
      </c>
    </row>
    <row r="8079" spans="1:8">
      <c r="A8079" s="317" t="s">
        <v>41343</v>
      </c>
      <c r="B8079" s="330" t="s">
        <v>52435</v>
      </c>
      <c r="C8079" s="330" t="s">
        <v>19124</v>
      </c>
      <c r="D8079" s="330" t="s">
        <v>19123</v>
      </c>
      <c r="E8079" s="330" t="s">
        <v>37248</v>
      </c>
      <c r="F8079" s="331">
        <v>0.21</v>
      </c>
      <c r="G8079" s="332">
        <v>501</v>
      </c>
      <c r="H8079" s="333">
        <v>607</v>
      </c>
    </row>
    <row r="8080" spans="1:8">
      <c r="A8080" s="317" t="s">
        <v>41344</v>
      </c>
      <c r="B8080" s="330" t="s">
        <v>52436</v>
      </c>
      <c r="C8080" s="330" t="s">
        <v>19125</v>
      </c>
      <c r="D8080" s="330" t="s">
        <v>19070</v>
      </c>
      <c r="E8080" s="330" t="s">
        <v>37248</v>
      </c>
      <c r="F8080" s="331">
        <v>0.21</v>
      </c>
      <c r="G8080" s="332">
        <v>1936</v>
      </c>
      <c r="H8080" s="333">
        <v>2343</v>
      </c>
    </row>
    <row r="8081" spans="1:8">
      <c r="A8081" s="317" t="s">
        <v>41345</v>
      </c>
      <c r="B8081" s="330" t="s">
        <v>52437</v>
      </c>
      <c r="C8081" s="330" t="s">
        <v>19126</v>
      </c>
      <c r="D8081" s="330" t="s">
        <v>19127</v>
      </c>
      <c r="E8081" s="330" t="s">
        <v>37248</v>
      </c>
      <c r="F8081" s="331">
        <v>0.21</v>
      </c>
      <c r="G8081" s="332">
        <v>8091</v>
      </c>
      <c r="H8081" s="333">
        <v>9791</v>
      </c>
    </row>
    <row r="8082" spans="1:8">
      <c r="A8082" s="317" t="s">
        <v>41346</v>
      </c>
      <c r="B8082" s="330" t="s">
        <v>52438</v>
      </c>
      <c r="C8082" s="330" t="s">
        <v>19128</v>
      </c>
      <c r="D8082" s="330" t="s">
        <v>19129</v>
      </c>
      <c r="E8082" s="330" t="s">
        <v>37248</v>
      </c>
      <c r="F8082" s="331">
        <v>0.21</v>
      </c>
      <c r="G8082" s="332">
        <v>3131</v>
      </c>
      <c r="H8082" s="333">
        <v>3789</v>
      </c>
    </row>
    <row r="8083" spans="1:8">
      <c r="A8083" s="317" t="s">
        <v>41347</v>
      </c>
      <c r="B8083" s="330" t="s">
        <v>52439</v>
      </c>
      <c r="C8083" s="330" t="s">
        <v>19130</v>
      </c>
      <c r="D8083" s="330" t="s">
        <v>8375</v>
      </c>
      <c r="E8083" s="330" t="s">
        <v>37248</v>
      </c>
      <c r="F8083" s="331">
        <v>0.21</v>
      </c>
      <c r="G8083" s="332">
        <v>515</v>
      </c>
      <c r="H8083" s="333">
        <v>624</v>
      </c>
    </row>
    <row r="8084" spans="1:8">
      <c r="A8084" s="317" t="s">
        <v>41348</v>
      </c>
      <c r="B8084" s="330" t="s">
        <v>52440</v>
      </c>
      <c r="C8084" s="330" t="s">
        <v>19131</v>
      </c>
      <c r="D8084" s="330" t="s">
        <v>8375</v>
      </c>
      <c r="E8084" s="330" t="s">
        <v>37248</v>
      </c>
      <c r="F8084" s="331">
        <v>0.21</v>
      </c>
      <c r="G8084" s="332">
        <v>515</v>
      </c>
      <c r="H8084" s="333">
        <v>624</v>
      </c>
    </row>
    <row r="8085" spans="1:8">
      <c r="A8085" s="317" t="s">
        <v>41349</v>
      </c>
      <c r="B8085" s="330" t="s">
        <v>52441</v>
      </c>
      <c r="C8085" s="330" t="s">
        <v>19132</v>
      </c>
      <c r="D8085" s="330" t="s">
        <v>19133</v>
      </c>
      <c r="E8085" s="330" t="s">
        <v>37248</v>
      </c>
      <c r="F8085" s="331">
        <v>0.21</v>
      </c>
      <c r="G8085" s="332">
        <v>1182</v>
      </c>
      <c r="H8085" s="333">
        <v>1431</v>
      </c>
    </row>
    <row r="8086" spans="1:8">
      <c r="A8086" s="317" t="s">
        <v>41350</v>
      </c>
      <c r="B8086" s="330" t="s">
        <v>52442</v>
      </c>
      <c r="C8086" s="330" t="s">
        <v>19134</v>
      </c>
      <c r="D8086" s="330" t="s">
        <v>7510</v>
      </c>
      <c r="E8086" s="330" t="s">
        <v>37248</v>
      </c>
      <c r="F8086" s="331">
        <v>0.21</v>
      </c>
      <c r="G8086" s="332">
        <v>515</v>
      </c>
      <c r="H8086" s="333">
        <v>624</v>
      </c>
    </row>
    <row r="8087" spans="1:8">
      <c r="A8087" s="317" t="s">
        <v>41351</v>
      </c>
      <c r="B8087" s="330" t="s">
        <v>52443</v>
      </c>
      <c r="C8087" s="330" t="s">
        <v>19135</v>
      </c>
      <c r="D8087" s="330" t="s">
        <v>7510</v>
      </c>
      <c r="E8087" s="330" t="s">
        <v>37248</v>
      </c>
      <c r="F8087" s="331">
        <v>0.21</v>
      </c>
      <c r="G8087" s="332">
        <v>515</v>
      </c>
      <c r="H8087" s="333">
        <v>624</v>
      </c>
    </row>
    <row r="8088" spans="1:8">
      <c r="A8088" s="317" t="s">
        <v>41352</v>
      </c>
      <c r="B8088" s="330" t="s">
        <v>52444</v>
      </c>
      <c r="C8088" s="330" t="s">
        <v>19136</v>
      </c>
      <c r="D8088" s="330" t="s">
        <v>19137</v>
      </c>
      <c r="E8088" s="330" t="s">
        <v>4819</v>
      </c>
      <c r="F8088" s="331">
        <v>0.21</v>
      </c>
      <c r="G8088" s="332">
        <v>1403</v>
      </c>
      <c r="H8088" s="333">
        <v>1698</v>
      </c>
    </row>
    <row r="8089" spans="1:8">
      <c r="A8089" s="317" t="s">
        <v>41353</v>
      </c>
      <c r="B8089" s="330" t="s">
        <v>52445</v>
      </c>
      <c r="C8089" s="330" t="s">
        <v>19138</v>
      </c>
      <c r="D8089" s="330" t="s">
        <v>4939</v>
      </c>
      <c r="E8089" s="330" t="s">
        <v>4819</v>
      </c>
      <c r="F8089" s="331">
        <v>0.21</v>
      </c>
      <c r="G8089" s="332">
        <v>4022</v>
      </c>
      <c r="H8089" s="333">
        <v>4867</v>
      </c>
    </row>
    <row r="8090" spans="1:8">
      <c r="A8090" s="317" t="s">
        <v>41354</v>
      </c>
      <c r="B8090" s="330" t="s">
        <v>52446</v>
      </c>
      <c r="C8090" s="330" t="s">
        <v>19139</v>
      </c>
      <c r="D8090" s="330" t="s">
        <v>5155</v>
      </c>
      <c r="E8090" s="330" t="s">
        <v>37248</v>
      </c>
      <c r="F8090" s="331">
        <v>0.21</v>
      </c>
      <c r="G8090" s="332">
        <v>13641</v>
      </c>
      <c r="H8090" s="333">
        <v>16506</v>
      </c>
    </row>
    <row r="8091" spans="1:8">
      <c r="A8091" s="317" t="s">
        <v>41355</v>
      </c>
      <c r="B8091" s="330" t="s">
        <v>52447</v>
      </c>
      <c r="C8091" s="330" t="s">
        <v>19140</v>
      </c>
      <c r="D8091" s="330" t="s">
        <v>5244</v>
      </c>
      <c r="E8091" s="330" t="s">
        <v>37248</v>
      </c>
      <c r="F8091" s="331">
        <v>0.21</v>
      </c>
      <c r="G8091" s="332">
        <v>807</v>
      </c>
      <c r="H8091" s="333">
        <v>977</v>
      </c>
    </row>
    <row r="8092" spans="1:8">
      <c r="A8092" s="317" t="s">
        <v>41356</v>
      </c>
      <c r="B8092" s="330" t="s">
        <v>52448</v>
      </c>
      <c r="C8092" s="330" t="s">
        <v>19141</v>
      </c>
      <c r="D8092" s="330" t="s">
        <v>7418</v>
      </c>
      <c r="E8092" s="330" t="s">
        <v>37248</v>
      </c>
      <c r="F8092" s="331">
        <v>0.21</v>
      </c>
      <c r="G8092" s="332">
        <v>8978</v>
      </c>
      <c r="H8092" s="333">
        <v>10864</v>
      </c>
    </row>
    <row r="8093" spans="1:8">
      <c r="A8093" s="317" t="s">
        <v>41357</v>
      </c>
      <c r="B8093" s="330" t="s">
        <v>52449</v>
      </c>
      <c r="C8093" s="330" t="s">
        <v>19142</v>
      </c>
      <c r="D8093" s="330" t="s">
        <v>19143</v>
      </c>
      <c r="E8093" s="330" t="s">
        <v>37248</v>
      </c>
      <c r="F8093" s="331">
        <v>0.21</v>
      </c>
      <c r="G8093" s="332">
        <v>3595</v>
      </c>
      <c r="H8093" s="333">
        <v>4350</v>
      </c>
    </row>
    <row r="8094" spans="1:8">
      <c r="A8094" s="317" t="s">
        <v>41358</v>
      </c>
      <c r="B8094" s="330" t="s">
        <v>52450</v>
      </c>
      <c r="C8094" s="330" t="s">
        <v>19144</v>
      </c>
      <c r="D8094" s="330" t="s">
        <v>18878</v>
      </c>
      <c r="E8094" s="330" t="s">
        <v>37248</v>
      </c>
      <c r="F8094" s="331">
        <v>0.21</v>
      </c>
      <c r="G8094" s="332">
        <v>13846</v>
      </c>
      <c r="H8094" s="333">
        <v>16754</v>
      </c>
    </row>
    <row r="8095" spans="1:8">
      <c r="A8095" s="317" t="s">
        <v>41359</v>
      </c>
      <c r="B8095" s="330" t="s">
        <v>52451</v>
      </c>
      <c r="C8095" s="330" t="s">
        <v>19145</v>
      </c>
      <c r="D8095" s="330" t="s">
        <v>9501</v>
      </c>
      <c r="E8095" s="330" t="s">
        <v>37248</v>
      </c>
      <c r="F8095" s="331">
        <v>0.21</v>
      </c>
      <c r="G8095" s="332">
        <v>7028</v>
      </c>
      <c r="H8095" s="333">
        <v>8504</v>
      </c>
    </row>
    <row r="8096" spans="1:8">
      <c r="A8096" s="317" t="s">
        <v>41360</v>
      </c>
      <c r="B8096" s="330" t="s">
        <v>52452</v>
      </c>
      <c r="C8096" s="330" t="s">
        <v>19146</v>
      </c>
      <c r="D8096" s="330" t="s">
        <v>19147</v>
      </c>
      <c r="E8096" s="330" t="s">
        <v>37248</v>
      </c>
      <c r="F8096" s="331">
        <v>0.21</v>
      </c>
      <c r="G8096" s="332">
        <v>174</v>
      </c>
      <c r="H8096" s="333">
        <v>211</v>
      </c>
    </row>
    <row r="8097" spans="1:8">
      <c r="A8097" s="317" t="s">
        <v>41361</v>
      </c>
      <c r="B8097" s="330" t="s">
        <v>52453</v>
      </c>
      <c r="C8097" s="330" t="s">
        <v>19148</v>
      </c>
      <c r="D8097" s="330" t="s">
        <v>19149</v>
      </c>
      <c r="E8097" s="330" t="s">
        <v>37248</v>
      </c>
      <c r="F8097" s="331">
        <v>0.21</v>
      </c>
      <c r="G8097" s="332">
        <v>174</v>
      </c>
      <c r="H8097" s="333">
        <v>211</v>
      </c>
    </row>
    <row r="8098" spans="1:8">
      <c r="A8098" s="317" t="s">
        <v>41362</v>
      </c>
      <c r="B8098" s="330" t="s">
        <v>52454</v>
      </c>
      <c r="C8098" s="330" t="s">
        <v>19150</v>
      </c>
      <c r="D8098" s="330" t="s">
        <v>19151</v>
      </c>
      <c r="E8098" s="330" t="s">
        <v>37248</v>
      </c>
      <c r="F8098" s="331">
        <v>0.21</v>
      </c>
      <c r="G8098" s="332">
        <v>2128</v>
      </c>
      <c r="H8098" s="333">
        <v>2575</v>
      </c>
    </row>
    <row r="8099" spans="1:8">
      <c r="A8099" s="317" t="s">
        <v>41363</v>
      </c>
      <c r="B8099" s="330" t="s">
        <v>52455</v>
      </c>
      <c r="C8099" s="330" t="s">
        <v>19152</v>
      </c>
      <c r="D8099" s="330" t="s">
        <v>19153</v>
      </c>
      <c r="E8099" s="330" t="s">
        <v>37248</v>
      </c>
      <c r="F8099" s="331">
        <v>0.21</v>
      </c>
      <c r="G8099" s="332">
        <v>174</v>
      </c>
      <c r="H8099" s="333">
        <v>211</v>
      </c>
    </row>
    <row r="8100" spans="1:8">
      <c r="A8100" s="317" t="s">
        <v>41364</v>
      </c>
      <c r="B8100" s="330" t="s">
        <v>52456</v>
      </c>
      <c r="C8100" s="330" t="s">
        <v>19154</v>
      </c>
      <c r="D8100" s="330" t="s">
        <v>4710</v>
      </c>
      <c r="E8100" s="330" t="s">
        <v>37248</v>
      </c>
      <c r="F8100" s="331">
        <v>0.21</v>
      </c>
      <c r="G8100" s="332">
        <v>34438</v>
      </c>
      <c r="H8100" s="333">
        <v>41670</v>
      </c>
    </row>
    <row r="8101" spans="1:8">
      <c r="A8101" s="317" t="s">
        <v>41365</v>
      </c>
      <c r="B8101" s="330" t="s">
        <v>52457</v>
      </c>
      <c r="C8101" s="330" t="s">
        <v>19155</v>
      </c>
      <c r="D8101" s="330" t="s">
        <v>19156</v>
      </c>
      <c r="E8101" s="330" t="s">
        <v>37248</v>
      </c>
      <c r="F8101" s="331">
        <v>0.21</v>
      </c>
      <c r="G8101" s="332">
        <v>4650</v>
      </c>
      <c r="H8101" s="333">
        <v>5627</v>
      </c>
    </row>
    <row r="8102" spans="1:8">
      <c r="A8102" s="317" t="s">
        <v>41366</v>
      </c>
      <c r="B8102" s="330" t="s">
        <v>52458</v>
      </c>
      <c r="C8102" s="330" t="s">
        <v>19157</v>
      </c>
      <c r="D8102" s="330" t="s">
        <v>19158</v>
      </c>
      <c r="E8102" s="330" t="s">
        <v>4819</v>
      </c>
      <c r="F8102" s="331">
        <v>0.21</v>
      </c>
      <c r="G8102" s="332">
        <v>35877</v>
      </c>
      <c r="H8102" s="333">
        <v>43412</v>
      </c>
    </row>
    <row r="8103" spans="1:8">
      <c r="A8103" s="317" t="s">
        <v>41367</v>
      </c>
      <c r="B8103" s="330" t="s">
        <v>52459</v>
      </c>
      <c r="C8103" s="330" t="s">
        <v>19159</v>
      </c>
      <c r="D8103" s="330" t="s">
        <v>19160</v>
      </c>
      <c r="E8103" s="330" t="s">
        <v>37248</v>
      </c>
      <c r="F8103" s="331">
        <v>0.21</v>
      </c>
      <c r="G8103" s="332">
        <v>2991</v>
      </c>
      <c r="H8103" s="333">
        <v>3620</v>
      </c>
    </row>
    <row r="8104" spans="1:8">
      <c r="A8104" s="317" t="s">
        <v>41368</v>
      </c>
      <c r="B8104" s="330" t="s">
        <v>52460</v>
      </c>
      <c r="C8104" s="330" t="s">
        <v>19161</v>
      </c>
      <c r="D8104" s="330" t="s">
        <v>19162</v>
      </c>
      <c r="E8104" s="330" t="s">
        <v>37248</v>
      </c>
      <c r="F8104" s="331">
        <v>0.21</v>
      </c>
      <c r="G8104" s="332">
        <v>600</v>
      </c>
      <c r="H8104" s="333">
        <v>726</v>
      </c>
    </row>
    <row r="8105" spans="1:8">
      <c r="A8105" s="317" t="s">
        <v>41369</v>
      </c>
      <c r="B8105" s="330" t="s">
        <v>52461</v>
      </c>
      <c r="C8105" s="330" t="s">
        <v>19163</v>
      </c>
      <c r="D8105" s="330" t="s">
        <v>7041</v>
      </c>
      <c r="E8105" s="330" t="s">
        <v>4819</v>
      </c>
      <c r="F8105" s="331">
        <v>0.21</v>
      </c>
      <c r="G8105" s="332">
        <v>11412</v>
      </c>
      <c r="H8105" s="333">
        <v>13809</v>
      </c>
    </row>
    <row r="8106" spans="1:8">
      <c r="A8106" s="317" t="s">
        <v>41370</v>
      </c>
      <c r="B8106" s="330" t="s">
        <v>52462</v>
      </c>
      <c r="C8106" s="330" t="s">
        <v>19164</v>
      </c>
      <c r="D8106" s="330" t="s">
        <v>19165</v>
      </c>
      <c r="E8106" s="330" t="s">
        <v>37248</v>
      </c>
      <c r="F8106" s="331">
        <v>0.21</v>
      </c>
      <c r="G8106" s="332">
        <v>318</v>
      </c>
      <c r="H8106" s="333">
        <v>385</v>
      </c>
    </row>
    <row r="8107" spans="1:8">
      <c r="A8107" s="317" t="s">
        <v>41371</v>
      </c>
      <c r="B8107" s="330" t="s">
        <v>52463</v>
      </c>
      <c r="C8107" s="330" t="s">
        <v>19166</v>
      </c>
      <c r="D8107" s="330" t="s">
        <v>19167</v>
      </c>
      <c r="E8107" s="330" t="s">
        <v>37248</v>
      </c>
      <c r="F8107" s="331">
        <v>0.21</v>
      </c>
      <c r="G8107" s="332">
        <v>397</v>
      </c>
      <c r="H8107" s="333">
        <v>481</v>
      </c>
    </row>
    <row r="8108" spans="1:8">
      <c r="A8108" s="317" t="s">
        <v>41372</v>
      </c>
      <c r="B8108" s="330" t="s">
        <v>52464</v>
      </c>
      <c r="C8108" s="330" t="s">
        <v>19168</v>
      </c>
      <c r="D8108" s="330" t="s">
        <v>19169</v>
      </c>
      <c r="E8108" s="330" t="s">
        <v>4634</v>
      </c>
      <c r="F8108" s="331">
        <v>0.21</v>
      </c>
      <c r="G8108" s="332">
        <v>3406</v>
      </c>
      <c r="H8108" s="333">
        <v>4122</v>
      </c>
    </row>
    <row r="8109" spans="1:8">
      <c r="A8109" s="317" t="s">
        <v>41373</v>
      </c>
      <c r="B8109" s="330" t="s">
        <v>52465</v>
      </c>
      <c r="C8109" s="330" t="s">
        <v>19170</v>
      </c>
      <c r="D8109" s="330" t="s">
        <v>8006</v>
      </c>
      <c r="E8109" s="330" t="s">
        <v>37248</v>
      </c>
      <c r="F8109" s="331">
        <v>0.21</v>
      </c>
      <c r="G8109" s="332">
        <v>15204</v>
      </c>
      <c r="H8109" s="333">
        <v>18397</v>
      </c>
    </row>
    <row r="8110" spans="1:8">
      <c r="A8110" s="317" t="s">
        <v>41374</v>
      </c>
      <c r="B8110" s="330" t="s">
        <v>52466</v>
      </c>
      <c r="C8110" s="330" t="s">
        <v>19171</v>
      </c>
      <c r="D8110" s="330" t="s">
        <v>8379</v>
      </c>
      <c r="E8110" s="330" t="s">
        <v>37248</v>
      </c>
      <c r="F8110" s="331">
        <v>0.21</v>
      </c>
      <c r="G8110" s="332">
        <v>515</v>
      </c>
      <c r="H8110" s="333">
        <v>624</v>
      </c>
    </row>
    <row r="8111" spans="1:8">
      <c r="A8111" s="317" t="s">
        <v>41375</v>
      </c>
      <c r="B8111" s="330" t="s">
        <v>52467</v>
      </c>
      <c r="C8111" s="330" t="s">
        <v>19172</v>
      </c>
      <c r="D8111" s="330" t="s">
        <v>19173</v>
      </c>
      <c r="E8111" s="330" t="s">
        <v>4819</v>
      </c>
      <c r="F8111" s="331">
        <v>0.21</v>
      </c>
      <c r="G8111" s="332">
        <v>6315</v>
      </c>
      <c r="H8111" s="333">
        <v>7642</v>
      </c>
    </row>
    <row r="8112" spans="1:8">
      <c r="A8112" s="317" t="s">
        <v>41376</v>
      </c>
      <c r="B8112" s="330" t="s">
        <v>52468</v>
      </c>
      <c r="C8112" s="330" t="s">
        <v>19174</v>
      </c>
      <c r="D8112" s="330" t="s">
        <v>19175</v>
      </c>
      <c r="E8112" s="330" t="s">
        <v>4819</v>
      </c>
      <c r="F8112" s="331">
        <v>0.21</v>
      </c>
      <c r="G8112" s="332">
        <v>9313</v>
      </c>
      <c r="H8112" s="333">
        <v>11269</v>
      </c>
    </row>
    <row r="8113" spans="1:8">
      <c r="A8113" s="317" t="s">
        <v>41377</v>
      </c>
      <c r="B8113" s="330" t="s">
        <v>52469</v>
      </c>
      <c r="C8113" s="330" t="s">
        <v>19176</v>
      </c>
      <c r="D8113" s="330" t="s">
        <v>19177</v>
      </c>
      <c r="E8113" s="330" t="s">
        <v>37248</v>
      </c>
      <c r="F8113" s="331">
        <v>0.21</v>
      </c>
      <c r="G8113" s="332">
        <v>1753</v>
      </c>
      <c r="H8113" s="333">
        <v>2122</v>
      </c>
    </row>
    <row r="8114" spans="1:8">
      <c r="A8114" s="317" t="s">
        <v>41378</v>
      </c>
      <c r="B8114" s="330" t="s">
        <v>52470</v>
      </c>
      <c r="C8114" s="330" t="s">
        <v>19178</v>
      </c>
      <c r="D8114" s="330" t="s">
        <v>5244</v>
      </c>
      <c r="E8114" s="330" t="s">
        <v>37248</v>
      </c>
      <c r="F8114" s="331">
        <v>0.21</v>
      </c>
      <c r="G8114" s="332">
        <v>600</v>
      </c>
      <c r="H8114" s="333">
        <v>726</v>
      </c>
    </row>
    <row r="8115" spans="1:8">
      <c r="A8115" s="317" t="s">
        <v>41379</v>
      </c>
      <c r="B8115" s="330" t="s">
        <v>52471</v>
      </c>
      <c r="C8115" s="330" t="s">
        <v>19179</v>
      </c>
      <c r="D8115" s="330" t="s">
        <v>19180</v>
      </c>
      <c r="E8115" s="330" t="s">
        <v>4819</v>
      </c>
      <c r="F8115" s="331">
        <v>0.21</v>
      </c>
      <c r="G8115" s="332">
        <v>3288</v>
      </c>
      <c r="H8115" s="333">
        <v>3979</v>
      </c>
    </row>
    <row r="8116" spans="1:8">
      <c r="A8116" s="317" t="s">
        <v>41380</v>
      </c>
      <c r="B8116" s="330" t="s">
        <v>52472</v>
      </c>
      <c r="C8116" s="330" t="s">
        <v>19181</v>
      </c>
      <c r="D8116" s="330" t="s">
        <v>19182</v>
      </c>
      <c r="E8116" s="330" t="s">
        <v>37248</v>
      </c>
      <c r="F8116" s="331">
        <v>0.21</v>
      </c>
      <c r="G8116" s="332">
        <v>807</v>
      </c>
      <c r="H8116" s="333">
        <v>977</v>
      </c>
    </row>
    <row r="8117" spans="1:8">
      <c r="A8117" s="317" t="s">
        <v>41381</v>
      </c>
      <c r="B8117" s="330" t="s">
        <v>52473</v>
      </c>
      <c r="C8117" s="330" t="s">
        <v>19183</v>
      </c>
      <c r="D8117" s="330" t="s">
        <v>19184</v>
      </c>
      <c r="E8117" s="330" t="s">
        <v>4819</v>
      </c>
      <c r="F8117" s="331">
        <v>0.21</v>
      </c>
      <c r="G8117" s="332">
        <v>1802</v>
      </c>
      <c r="H8117" s="333">
        <v>2181</v>
      </c>
    </row>
    <row r="8118" spans="1:8">
      <c r="A8118" s="317" t="s">
        <v>41382</v>
      </c>
      <c r="B8118" s="330" t="s">
        <v>52474</v>
      </c>
      <c r="C8118" s="330" t="s">
        <v>19185</v>
      </c>
      <c r="D8118" s="330" t="s">
        <v>19186</v>
      </c>
      <c r="E8118" s="330" t="s">
        <v>37248</v>
      </c>
      <c r="F8118" s="331">
        <v>0.21</v>
      </c>
      <c r="G8118" s="332">
        <v>1247</v>
      </c>
      <c r="H8118" s="333">
        <v>1509</v>
      </c>
    </row>
    <row r="8119" spans="1:8">
      <c r="A8119" s="317" t="s">
        <v>41383</v>
      </c>
      <c r="B8119" s="330" t="s">
        <v>52475</v>
      </c>
      <c r="C8119" s="330" t="s">
        <v>19187</v>
      </c>
      <c r="D8119" s="330" t="s">
        <v>19188</v>
      </c>
      <c r="E8119" s="330" t="s">
        <v>37248</v>
      </c>
      <c r="F8119" s="331">
        <v>0.21</v>
      </c>
      <c r="G8119" s="332">
        <v>3731</v>
      </c>
      <c r="H8119" s="333">
        <v>4515</v>
      </c>
    </row>
    <row r="8120" spans="1:8">
      <c r="A8120" s="317" t="s">
        <v>41384</v>
      </c>
      <c r="B8120" s="330" t="s">
        <v>52476</v>
      </c>
      <c r="C8120" s="330" t="s">
        <v>19189</v>
      </c>
      <c r="D8120" s="330" t="s">
        <v>19190</v>
      </c>
      <c r="E8120" s="330" t="s">
        <v>37248</v>
      </c>
      <c r="F8120" s="331">
        <v>0.21</v>
      </c>
      <c r="G8120" s="332">
        <v>1753</v>
      </c>
      <c r="H8120" s="333">
        <v>2122</v>
      </c>
    </row>
    <row r="8121" spans="1:8">
      <c r="A8121" s="317" t="s">
        <v>41385</v>
      </c>
      <c r="B8121" s="330" t="s">
        <v>52477</v>
      </c>
      <c r="C8121" s="330" t="s">
        <v>19191</v>
      </c>
      <c r="D8121" s="330" t="s">
        <v>19192</v>
      </c>
      <c r="E8121" s="330" t="s">
        <v>37248</v>
      </c>
      <c r="F8121" s="331">
        <v>0.21</v>
      </c>
      <c r="G8121" s="332">
        <v>13507</v>
      </c>
      <c r="H8121" s="333">
        <v>16344</v>
      </c>
    </row>
    <row r="8122" spans="1:8">
      <c r="A8122" s="317" t="s">
        <v>41386</v>
      </c>
      <c r="B8122" s="330" t="s">
        <v>52478</v>
      </c>
      <c r="C8122" s="330" t="s">
        <v>19193</v>
      </c>
      <c r="D8122" s="330" t="s">
        <v>19194</v>
      </c>
      <c r="E8122" s="330" t="s">
        <v>37248</v>
      </c>
      <c r="F8122" s="331">
        <v>0.21</v>
      </c>
      <c r="G8122" s="332">
        <v>18415</v>
      </c>
      <c r="H8122" s="333">
        <v>22283</v>
      </c>
    </row>
    <row r="8123" spans="1:8">
      <c r="A8123" s="317" t="s">
        <v>41387</v>
      </c>
      <c r="B8123" s="330" t="s">
        <v>52479</v>
      </c>
      <c r="C8123" s="330" t="s">
        <v>19195</v>
      </c>
      <c r="D8123" s="330" t="s">
        <v>18622</v>
      </c>
      <c r="E8123" s="330" t="s">
        <v>37248</v>
      </c>
      <c r="F8123" s="331">
        <v>0.21</v>
      </c>
      <c r="G8123" s="332">
        <v>2826</v>
      </c>
      <c r="H8123" s="333">
        <v>3420</v>
      </c>
    </row>
    <row r="8124" spans="1:8">
      <c r="A8124" s="317" t="s">
        <v>41388</v>
      </c>
      <c r="B8124" s="330" t="s">
        <v>52480</v>
      </c>
      <c r="C8124" s="330" t="s">
        <v>19196</v>
      </c>
      <c r="D8124" s="330" t="s">
        <v>5175</v>
      </c>
      <c r="E8124" s="330" t="s">
        <v>37248</v>
      </c>
      <c r="F8124" s="331">
        <v>0.21</v>
      </c>
      <c r="G8124" s="332">
        <v>35190</v>
      </c>
      <c r="H8124" s="333">
        <v>42580</v>
      </c>
    </row>
    <row r="8125" spans="1:8">
      <c r="A8125" s="317" t="s">
        <v>41389</v>
      </c>
      <c r="B8125" s="330" t="s">
        <v>52481</v>
      </c>
      <c r="C8125" s="330" t="s">
        <v>19197</v>
      </c>
      <c r="D8125" s="330" t="s">
        <v>19198</v>
      </c>
      <c r="E8125" s="330" t="s">
        <v>37248</v>
      </c>
      <c r="F8125" s="331">
        <v>0.21</v>
      </c>
      <c r="G8125" s="332">
        <v>14950</v>
      </c>
      <c r="H8125" s="333">
        <v>18090</v>
      </c>
    </row>
    <row r="8126" spans="1:8">
      <c r="A8126" s="317" t="s">
        <v>41390</v>
      </c>
      <c r="B8126" s="330" t="s">
        <v>52482</v>
      </c>
      <c r="C8126" s="330" t="s">
        <v>19199</v>
      </c>
      <c r="D8126" s="330" t="s">
        <v>19200</v>
      </c>
      <c r="E8126" s="330" t="s">
        <v>4819</v>
      </c>
      <c r="F8126" s="331">
        <v>0.21</v>
      </c>
      <c r="G8126" s="332">
        <v>1559</v>
      </c>
      <c r="H8126" s="333">
        <v>1887</v>
      </c>
    </row>
    <row r="8127" spans="1:8">
      <c r="A8127" s="317" t="s">
        <v>41391</v>
      </c>
      <c r="B8127" s="330" t="s">
        <v>52483</v>
      </c>
      <c r="C8127" s="330" t="s">
        <v>19201</v>
      </c>
      <c r="D8127" s="330" t="s">
        <v>9171</v>
      </c>
      <c r="E8127" s="330" t="s">
        <v>4819</v>
      </c>
      <c r="F8127" s="331">
        <v>0.21</v>
      </c>
      <c r="G8127" s="332">
        <v>64712</v>
      </c>
      <c r="H8127" s="333">
        <v>78302</v>
      </c>
    </row>
    <row r="8128" spans="1:8">
      <c r="A8128" s="317" t="s">
        <v>41392</v>
      </c>
      <c r="B8128" s="330" t="s">
        <v>52484</v>
      </c>
      <c r="C8128" s="330" t="s">
        <v>19202</v>
      </c>
      <c r="D8128" s="330" t="s">
        <v>19203</v>
      </c>
      <c r="E8128" s="330" t="s">
        <v>37248</v>
      </c>
      <c r="F8128" s="331">
        <v>0.21</v>
      </c>
      <c r="G8128" s="332">
        <v>47622</v>
      </c>
      <c r="H8128" s="333">
        <v>57623</v>
      </c>
    </row>
    <row r="8129" spans="1:8">
      <c r="A8129" s="317" t="s">
        <v>41393</v>
      </c>
      <c r="B8129" s="330" t="s">
        <v>52485</v>
      </c>
      <c r="C8129" s="330" t="s">
        <v>19204</v>
      </c>
      <c r="D8129" s="330" t="s">
        <v>19205</v>
      </c>
      <c r="E8129" s="330" t="s">
        <v>37248</v>
      </c>
      <c r="F8129" s="331">
        <v>0.21</v>
      </c>
      <c r="G8129" s="332">
        <v>17536</v>
      </c>
      <c r="H8129" s="333">
        <v>21219</v>
      </c>
    </row>
    <row r="8130" spans="1:8">
      <c r="A8130" s="317" t="s">
        <v>41394</v>
      </c>
      <c r="B8130" s="330" t="s">
        <v>52486</v>
      </c>
      <c r="C8130" s="330" t="s">
        <v>19206</v>
      </c>
      <c r="D8130" s="330" t="s">
        <v>19207</v>
      </c>
      <c r="E8130" s="330" t="s">
        <v>37248</v>
      </c>
      <c r="F8130" s="331">
        <v>0.21</v>
      </c>
      <c r="G8130" s="332">
        <v>2826</v>
      </c>
      <c r="H8130" s="333">
        <v>3420</v>
      </c>
    </row>
    <row r="8131" spans="1:8">
      <c r="A8131" s="317" t="s">
        <v>41395</v>
      </c>
      <c r="B8131" s="330" t="s">
        <v>52487</v>
      </c>
      <c r="C8131" s="330" t="s">
        <v>19208</v>
      </c>
      <c r="D8131" s="330" t="s">
        <v>19209</v>
      </c>
      <c r="E8131" s="330" t="s">
        <v>37248</v>
      </c>
      <c r="F8131" s="331">
        <v>0.21</v>
      </c>
      <c r="G8131" s="332">
        <v>6966</v>
      </c>
      <c r="H8131" s="333">
        <v>8429</v>
      </c>
    </row>
    <row r="8132" spans="1:8">
      <c r="A8132" s="317" t="s">
        <v>41396</v>
      </c>
      <c r="B8132" s="330" t="s">
        <v>52488</v>
      </c>
      <c r="C8132" s="330" t="s">
        <v>19210</v>
      </c>
      <c r="D8132" s="330" t="s">
        <v>18614</v>
      </c>
      <c r="E8132" s="330" t="s">
        <v>37248</v>
      </c>
      <c r="F8132" s="331">
        <v>0.21</v>
      </c>
      <c r="G8132" s="332">
        <v>4236</v>
      </c>
      <c r="H8132" s="333">
        <v>5126</v>
      </c>
    </row>
    <row r="8133" spans="1:8">
      <c r="A8133" s="317" t="s">
        <v>41397</v>
      </c>
      <c r="B8133" s="330" t="s">
        <v>52489</v>
      </c>
      <c r="C8133" s="330" t="s">
        <v>19211</v>
      </c>
      <c r="D8133" s="330" t="s">
        <v>19212</v>
      </c>
      <c r="E8133" s="330" t="s">
        <v>37248</v>
      </c>
      <c r="F8133" s="331">
        <v>0.21</v>
      </c>
      <c r="G8133" s="332">
        <v>2993</v>
      </c>
      <c r="H8133" s="333">
        <v>3622</v>
      </c>
    </row>
    <row r="8134" spans="1:8">
      <c r="A8134" s="317" t="s">
        <v>41398</v>
      </c>
      <c r="B8134" s="330" t="s">
        <v>52490</v>
      </c>
      <c r="C8134" s="330" t="s">
        <v>19213</v>
      </c>
      <c r="D8134" s="330" t="s">
        <v>10700</v>
      </c>
      <c r="E8134" s="330" t="s">
        <v>4634</v>
      </c>
      <c r="F8134" s="331">
        <v>0.21</v>
      </c>
      <c r="G8134" s="332">
        <v>490</v>
      </c>
      <c r="H8134" s="333">
        <v>593</v>
      </c>
    </row>
    <row r="8135" spans="1:8">
      <c r="A8135" s="317" t="s">
        <v>41399</v>
      </c>
      <c r="B8135" s="330" t="s">
        <v>52491</v>
      </c>
      <c r="C8135" s="330" t="s">
        <v>19214</v>
      </c>
      <c r="D8135" s="330" t="s">
        <v>10700</v>
      </c>
      <c r="E8135" s="330" t="s">
        <v>4634</v>
      </c>
      <c r="F8135" s="331">
        <v>0.21</v>
      </c>
      <c r="G8135" s="332">
        <v>490</v>
      </c>
      <c r="H8135" s="333">
        <v>593</v>
      </c>
    </row>
    <row r="8136" spans="1:8">
      <c r="A8136" s="317" t="s">
        <v>41400</v>
      </c>
      <c r="B8136" s="330" t="s">
        <v>52492</v>
      </c>
      <c r="C8136" s="330" t="s">
        <v>19215</v>
      </c>
      <c r="D8136" s="330" t="s">
        <v>10700</v>
      </c>
      <c r="E8136" s="330" t="s">
        <v>4634</v>
      </c>
      <c r="F8136" s="331">
        <v>0.21</v>
      </c>
      <c r="G8136" s="332">
        <v>490</v>
      </c>
      <c r="H8136" s="333">
        <v>593</v>
      </c>
    </row>
    <row r="8137" spans="1:8">
      <c r="A8137" s="317" t="s">
        <v>41401</v>
      </c>
      <c r="B8137" s="330" t="s">
        <v>52493</v>
      </c>
      <c r="C8137" s="330" t="s">
        <v>19216</v>
      </c>
      <c r="D8137" s="330" t="s">
        <v>9505</v>
      </c>
      <c r="E8137" s="330" t="s">
        <v>4819</v>
      </c>
      <c r="F8137" s="331">
        <v>0.21</v>
      </c>
      <c r="G8137" s="332">
        <v>2784</v>
      </c>
      <c r="H8137" s="333">
        <v>3369</v>
      </c>
    </row>
    <row r="8138" spans="1:8">
      <c r="A8138" s="317" t="s">
        <v>41402</v>
      </c>
      <c r="B8138" s="330" t="s">
        <v>52494</v>
      </c>
      <c r="C8138" s="330" t="s">
        <v>19217</v>
      </c>
      <c r="D8138" s="330" t="s">
        <v>19218</v>
      </c>
      <c r="E8138" s="330" t="s">
        <v>37248</v>
      </c>
      <c r="F8138" s="331">
        <v>0.21</v>
      </c>
      <c r="G8138" s="332">
        <v>194</v>
      </c>
      <c r="H8138" s="333">
        <v>235</v>
      </c>
    </row>
    <row r="8139" spans="1:8">
      <c r="A8139" s="317" t="s">
        <v>41403</v>
      </c>
      <c r="B8139" s="330" t="s">
        <v>52495</v>
      </c>
      <c r="C8139" s="330" t="s">
        <v>19219</v>
      </c>
      <c r="D8139" s="330" t="s">
        <v>5573</v>
      </c>
      <c r="E8139" s="330" t="s">
        <v>37248</v>
      </c>
      <c r="F8139" s="331">
        <v>0.21</v>
      </c>
      <c r="G8139" s="332">
        <v>361</v>
      </c>
      <c r="H8139" s="333">
        <v>437</v>
      </c>
    </row>
    <row r="8140" spans="1:8">
      <c r="A8140" s="317" t="s">
        <v>41404</v>
      </c>
      <c r="B8140" s="330" t="s">
        <v>52496</v>
      </c>
      <c r="C8140" s="330" t="s">
        <v>19220</v>
      </c>
      <c r="D8140" s="330" t="s">
        <v>19221</v>
      </c>
      <c r="E8140" s="330" t="s">
        <v>4634</v>
      </c>
      <c r="F8140" s="331">
        <v>0.21</v>
      </c>
      <c r="G8140" s="332">
        <v>490</v>
      </c>
      <c r="H8140" s="333">
        <v>593</v>
      </c>
    </row>
    <row r="8141" spans="1:8">
      <c r="A8141" s="317" t="s">
        <v>41405</v>
      </c>
      <c r="B8141" s="330" t="s">
        <v>52497</v>
      </c>
      <c r="C8141" s="330" t="s">
        <v>19222</v>
      </c>
      <c r="D8141" s="330" t="s">
        <v>8379</v>
      </c>
      <c r="E8141" s="330" t="s">
        <v>37248</v>
      </c>
      <c r="F8141" s="331">
        <v>0.21</v>
      </c>
      <c r="G8141" s="332">
        <v>1329</v>
      </c>
      <c r="H8141" s="333">
        <v>1609</v>
      </c>
    </row>
    <row r="8142" spans="1:8">
      <c r="A8142" s="317" t="s">
        <v>41406</v>
      </c>
      <c r="B8142" s="330" t="s">
        <v>52498</v>
      </c>
      <c r="C8142" s="330" t="s">
        <v>19223</v>
      </c>
      <c r="D8142" s="330" t="s">
        <v>19224</v>
      </c>
      <c r="E8142" s="330" t="s">
        <v>4634</v>
      </c>
      <c r="F8142" s="331">
        <v>0.21</v>
      </c>
      <c r="G8142" s="332">
        <v>490</v>
      </c>
      <c r="H8142" s="333">
        <v>593</v>
      </c>
    </row>
    <row r="8143" spans="1:8">
      <c r="A8143" s="317" t="s">
        <v>41407</v>
      </c>
      <c r="B8143" s="330" t="s">
        <v>52499</v>
      </c>
      <c r="C8143" s="330" t="s">
        <v>19225</v>
      </c>
      <c r="D8143" s="330" t="s">
        <v>8976</v>
      </c>
      <c r="E8143" s="330" t="s">
        <v>37248</v>
      </c>
      <c r="F8143" s="331">
        <v>0.21</v>
      </c>
      <c r="G8143" s="332">
        <v>41427</v>
      </c>
      <c r="H8143" s="333">
        <v>50127</v>
      </c>
    </row>
    <row r="8144" spans="1:8">
      <c r="A8144" s="317" t="s">
        <v>41408</v>
      </c>
      <c r="B8144" s="330" t="s">
        <v>52500</v>
      </c>
      <c r="C8144" s="330" t="s">
        <v>19226</v>
      </c>
      <c r="D8144" s="330" t="s">
        <v>19227</v>
      </c>
      <c r="E8144" s="330" t="s">
        <v>37248</v>
      </c>
      <c r="F8144" s="331">
        <v>0.21</v>
      </c>
      <c r="G8144" s="332">
        <v>807</v>
      </c>
      <c r="H8144" s="333">
        <v>977</v>
      </c>
    </row>
    <row r="8145" spans="1:8">
      <c r="A8145" s="317" t="s">
        <v>41409</v>
      </c>
      <c r="B8145" s="330" t="s">
        <v>52501</v>
      </c>
      <c r="C8145" s="330" t="s">
        <v>19228</v>
      </c>
      <c r="D8145" s="330" t="s">
        <v>19229</v>
      </c>
      <c r="E8145" s="330" t="s">
        <v>37248</v>
      </c>
      <c r="F8145" s="331">
        <v>0.21</v>
      </c>
      <c r="G8145" s="332">
        <v>3232</v>
      </c>
      <c r="H8145" s="333">
        <v>3911</v>
      </c>
    </row>
    <row r="8146" spans="1:8">
      <c r="A8146" s="317" t="s">
        <v>41410</v>
      </c>
      <c r="B8146" s="330" t="s">
        <v>52502</v>
      </c>
      <c r="C8146" s="330" t="s">
        <v>19230</v>
      </c>
      <c r="D8146" s="330" t="s">
        <v>19231</v>
      </c>
      <c r="E8146" s="330" t="s">
        <v>37248</v>
      </c>
      <c r="F8146" s="331">
        <v>0.21</v>
      </c>
      <c r="G8146" s="332">
        <v>10745</v>
      </c>
      <c r="H8146" s="333">
        <v>13002</v>
      </c>
    </row>
    <row r="8147" spans="1:8">
      <c r="A8147" s="317" t="s">
        <v>41411</v>
      </c>
      <c r="B8147" s="330" t="s">
        <v>52503</v>
      </c>
      <c r="C8147" s="330" t="s">
        <v>19232</v>
      </c>
      <c r="D8147" s="330" t="s">
        <v>19233</v>
      </c>
      <c r="E8147" s="330" t="s">
        <v>37248</v>
      </c>
      <c r="F8147" s="331">
        <v>0.21</v>
      </c>
      <c r="G8147" s="332">
        <v>13756</v>
      </c>
      <c r="H8147" s="333">
        <v>16645</v>
      </c>
    </row>
    <row r="8148" spans="1:8">
      <c r="A8148" s="317" t="s">
        <v>41412</v>
      </c>
      <c r="B8148" s="330" t="s">
        <v>52504</v>
      </c>
      <c r="C8148" s="330" t="s">
        <v>19234</v>
      </c>
      <c r="D8148" s="330" t="s">
        <v>19235</v>
      </c>
      <c r="E8148" s="330" t="s">
        <v>4623</v>
      </c>
      <c r="F8148" s="331">
        <v>0.21</v>
      </c>
      <c r="G8148" s="332">
        <v>318</v>
      </c>
      <c r="H8148" s="333">
        <v>385</v>
      </c>
    </row>
    <row r="8149" spans="1:8">
      <c r="A8149" s="317" t="s">
        <v>41413</v>
      </c>
      <c r="B8149" s="330" t="s">
        <v>52505</v>
      </c>
      <c r="C8149" s="330" t="s">
        <v>19236</v>
      </c>
      <c r="D8149" s="330" t="s">
        <v>19237</v>
      </c>
      <c r="E8149" s="330" t="s">
        <v>37248</v>
      </c>
      <c r="F8149" s="331">
        <v>0.21</v>
      </c>
      <c r="G8149" s="332">
        <v>1588</v>
      </c>
      <c r="H8149" s="333">
        <v>1922</v>
      </c>
    </row>
    <row r="8150" spans="1:8">
      <c r="A8150" s="317" t="s">
        <v>41414</v>
      </c>
      <c r="B8150" s="330" t="s">
        <v>52506</v>
      </c>
      <c r="C8150" s="330" t="s">
        <v>19238</v>
      </c>
      <c r="D8150" s="330" t="s">
        <v>19239</v>
      </c>
      <c r="E8150" s="330" t="s">
        <v>37248</v>
      </c>
      <c r="F8150" s="331">
        <v>0.21</v>
      </c>
      <c r="G8150" s="332">
        <v>6460</v>
      </c>
      <c r="H8150" s="333">
        <v>7817</v>
      </c>
    </row>
    <row r="8151" spans="1:8">
      <c r="A8151" s="317" t="s">
        <v>41415</v>
      </c>
      <c r="B8151" s="330" t="s">
        <v>52507</v>
      </c>
      <c r="C8151" s="330" t="s">
        <v>19240</v>
      </c>
      <c r="D8151" s="330" t="s">
        <v>19241</v>
      </c>
      <c r="E8151" s="330" t="s">
        <v>37248</v>
      </c>
      <c r="F8151" s="331">
        <v>0.21</v>
      </c>
      <c r="G8151" s="332">
        <v>10745</v>
      </c>
      <c r="H8151" s="333">
        <v>13002</v>
      </c>
    </row>
    <row r="8152" spans="1:8">
      <c r="A8152" s="317" t="s">
        <v>41416</v>
      </c>
      <c r="B8152" s="330" t="s">
        <v>52508</v>
      </c>
      <c r="C8152" s="330" t="s">
        <v>19242</v>
      </c>
      <c r="D8152" s="330" t="s">
        <v>19243</v>
      </c>
      <c r="E8152" s="330" t="s">
        <v>37248</v>
      </c>
      <c r="F8152" s="331">
        <v>0.21</v>
      </c>
      <c r="G8152" s="332">
        <v>10770</v>
      </c>
      <c r="H8152" s="333">
        <v>13032</v>
      </c>
    </row>
    <row r="8153" spans="1:8">
      <c r="A8153" s="317" t="s">
        <v>41417</v>
      </c>
      <c r="B8153" s="330" t="s">
        <v>52509</v>
      </c>
      <c r="C8153" s="330" t="s">
        <v>19244</v>
      </c>
      <c r="D8153" s="330" t="s">
        <v>9496</v>
      </c>
      <c r="E8153" s="330" t="s">
        <v>37248</v>
      </c>
      <c r="F8153" s="331">
        <v>0.21</v>
      </c>
      <c r="G8153" s="332">
        <v>8333</v>
      </c>
      <c r="H8153" s="333">
        <v>10083</v>
      </c>
    </row>
    <row r="8154" spans="1:8">
      <c r="A8154" s="317" t="s">
        <v>41418</v>
      </c>
      <c r="B8154" s="330" t="s">
        <v>52510</v>
      </c>
      <c r="C8154" s="330" t="s">
        <v>19245</v>
      </c>
      <c r="D8154" s="330" t="s">
        <v>7414</v>
      </c>
      <c r="E8154" s="330" t="s">
        <v>37248</v>
      </c>
      <c r="F8154" s="331">
        <v>0.21</v>
      </c>
      <c r="G8154" s="332">
        <v>807</v>
      </c>
      <c r="H8154" s="333">
        <v>977</v>
      </c>
    </row>
    <row r="8155" spans="1:8">
      <c r="A8155" s="317" t="s">
        <v>41419</v>
      </c>
      <c r="B8155" s="330" t="s">
        <v>52511</v>
      </c>
      <c r="C8155" s="330" t="s">
        <v>19246</v>
      </c>
      <c r="D8155" s="330" t="s">
        <v>19247</v>
      </c>
      <c r="E8155" s="330" t="s">
        <v>37248</v>
      </c>
      <c r="F8155" s="331">
        <v>0.21</v>
      </c>
      <c r="G8155" s="332">
        <v>339</v>
      </c>
      <c r="H8155" s="333">
        <v>411</v>
      </c>
    </row>
    <row r="8156" spans="1:8">
      <c r="A8156" s="317" t="s">
        <v>41420</v>
      </c>
      <c r="B8156" s="330" t="s">
        <v>52512</v>
      </c>
      <c r="C8156" s="330" t="s">
        <v>19248</v>
      </c>
      <c r="D8156" s="330" t="s">
        <v>8006</v>
      </c>
      <c r="E8156" s="330" t="s">
        <v>37248</v>
      </c>
      <c r="F8156" s="331">
        <v>0.21</v>
      </c>
      <c r="G8156" s="332">
        <v>9690</v>
      </c>
      <c r="H8156" s="333">
        <v>11725</v>
      </c>
    </row>
    <row r="8157" spans="1:8">
      <c r="A8157" s="317" t="s">
        <v>41421</v>
      </c>
      <c r="B8157" s="330" t="s">
        <v>52513</v>
      </c>
      <c r="C8157" s="330" t="s">
        <v>19249</v>
      </c>
      <c r="D8157" s="330" t="s">
        <v>19250</v>
      </c>
      <c r="E8157" s="330" t="s">
        <v>37248</v>
      </c>
      <c r="F8157" s="331">
        <v>0.21</v>
      </c>
      <c r="G8157" s="332">
        <v>11573</v>
      </c>
      <c r="H8157" s="333">
        <v>14004</v>
      </c>
    </row>
    <row r="8158" spans="1:8">
      <c r="A8158" s="317" t="s">
        <v>41422</v>
      </c>
      <c r="B8158" s="330" t="s">
        <v>52514</v>
      </c>
      <c r="C8158" s="330" t="s">
        <v>19251</v>
      </c>
      <c r="D8158" s="330" t="s">
        <v>19252</v>
      </c>
      <c r="E8158" s="330" t="s">
        <v>37248</v>
      </c>
      <c r="F8158" s="331">
        <v>0.21</v>
      </c>
      <c r="G8158" s="332">
        <v>5592</v>
      </c>
      <c r="H8158" s="333">
        <v>6767</v>
      </c>
    </row>
    <row r="8159" spans="1:8">
      <c r="A8159" s="317" t="s">
        <v>41423</v>
      </c>
      <c r="B8159" s="330" t="s">
        <v>52515</v>
      </c>
      <c r="C8159" s="330" t="s">
        <v>19253</v>
      </c>
      <c r="D8159" s="330" t="s">
        <v>5127</v>
      </c>
      <c r="E8159" s="330" t="s">
        <v>37248</v>
      </c>
      <c r="F8159" s="331">
        <v>0.21</v>
      </c>
      <c r="G8159" s="332">
        <v>764</v>
      </c>
      <c r="H8159" s="333">
        <v>925</v>
      </c>
    </row>
    <row r="8160" spans="1:8">
      <c r="A8160" s="317" t="s">
        <v>41424</v>
      </c>
      <c r="B8160" s="330" t="s">
        <v>52516</v>
      </c>
      <c r="C8160" s="330" t="s">
        <v>19254</v>
      </c>
      <c r="D8160" s="330" t="s">
        <v>7367</v>
      </c>
      <c r="E8160" s="330" t="s">
        <v>37248</v>
      </c>
      <c r="F8160" s="331">
        <v>0.21</v>
      </c>
      <c r="G8160" s="332">
        <v>9188</v>
      </c>
      <c r="H8160" s="333">
        <v>11118</v>
      </c>
    </row>
    <row r="8161" spans="1:8">
      <c r="A8161" s="317" t="s">
        <v>41425</v>
      </c>
      <c r="B8161" s="330" t="s">
        <v>52517</v>
      </c>
      <c r="C8161" s="330" t="s">
        <v>19255</v>
      </c>
      <c r="D8161" s="330" t="s">
        <v>10700</v>
      </c>
      <c r="E8161" s="330" t="s">
        <v>37248</v>
      </c>
      <c r="F8161" s="331">
        <v>0.21</v>
      </c>
      <c r="G8161" s="332">
        <v>807</v>
      </c>
      <c r="H8161" s="333">
        <v>977</v>
      </c>
    </row>
    <row r="8162" spans="1:8">
      <c r="A8162" s="317" t="s">
        <v>41426</v>
      </c>
      <c r="B8162" s="330" t="s">
        <v>52518</v>
      </c>
      <c r="C8162" s="330" t="s">
        <v>19256</v>
      </c>
      <c r="D8162" s="330" t="s">
        <v>7198</v>
      </c>
      <c r="E8162" s="330" t="s">
        <v>37248</v>
      </c>
      <c r="F8162" s="331">
        <v>0.21</v>
      </c>
      <c r="G8162" s="332">
        <v>46816</v>
      </c>
      <c r="H8162" s="333">
        <v>56648</v>
      </c>
    </row>
    <row r="8163" spans="1:8">
      <c r="A8163" s="317" t="s">
        <v>41427</v>
      </c>
      <c r="B8163" s="330" t="s">
        <v>52519</v>
      </c>
      <c r="C8163" s="330" t="s">
        <v>19257</v>
      </c>
      <c r="D8163" s="330" t="s">
        <v>4710</v>
      </c>
      <c r="E8163" s="330" t="s">
        <v>37248</v>
      </c>
      <c r="F8163" s="331">
        <v>0.21</v>
      </c>
      <c r="G8163" s="332">
        <v>7334</v>
      </c>
      <c r="H8163" s="333">
        <v>8875</v>
      </c>
    </row>
    <row r="8164" spans="1:8">
      <c r="A8164" s="317" t="s">
        <v>41428</v>
      </c>
      <c r="B8164" s="330" t="s">
        <v>52520</v>
      </c>
      <c r="C8164" s="330" t="s">
        <v>19258</v>
      </c>
      <c r="D8164" s="330" t="s">
        <v>19259</v>
      </c>
      <c r="E8164" s="330" t="s">
        <v>37248</v>
      </c>
      <c r="F8164" s="331">
        <v>0.21</v>
      </c>
      <c r="G8164" s="332">
        <v>807</v>
      </c>
      <c r="H8164" s="333">
        <v>977</v>
      </c>
    </row>
    <row r="8165" spans="1:8">
      <c r="A8165" s="317" t="s">
        <v>41429</v>
      </c>
      <c r="B8165" s="330" t="s">
        <v>52521</v>
      </c>
      <c r="C8165" s="330" t="s">
        <v>19260</v>
      </c>
      <c r="D8165" s="330" t="s">
        <v>7482</v>
      </c>
      <c r="E8165" s="330" t="s">
        <v>37248</v>
      </c>
      <c r="F8165" s="331">
        <v>0.21</v>
      </c>
      <c r="G8165" s="332">
        <v>4780</v>
      </c>
      <c r="H8165" s="333">
        <v>5784</v>
      </c>
    </row>
    <row r="8166" spans="1:8">
      <c r="A8166" s="317" t="s">
        <v>41430</v>
      </c>
      <c r="B8166" s="330" t="s">
        <v>52522</v>
      </c>
      <c r="C8166" s="330" t="s">
        <v>19261</v>
      </c>
      <c r="D8166" s="330" t="s">
        <v>7482</v>
      </c>
      <c r="E8166" s="330" t="s">
        <v>37248</v>
      </c>
      <c r="F8166" s="331">
        <v>0.21</v>
      </c>
      <c r="G8166" s="332">
        <v>5362</v>
      </c>
      <c r="H8166" s="333">
        <v>6489</v>
      </c>
    </row>
    <row r="8167" spans="1:8">
      <c r="A8167" s="317" t="s">
        <v>41431</v>
      </c>
      <c r="B8167" s="330" t="s">
        <v>52523</v>
      </c>
      <c r="C8167" s="330" t="s">
        <v>19262</v>
      </c>
      <c r="D8167" s="330" t="s">
        <v>19263</v>
      </c>
      <c r="E8167" s="330" t="s">
        <v>37248</v>
      </c>
      <c r="F8167" s="331">
        <v>0.21</v>
      </c>
      <c r="G8167" s="332">
        <v>976</v>
      </c>
      <c r="H8167" s="333">
        <v>1181</v>
      </c>
    </row>
    <row r="8168" spans="1:8">
      <c r="A8168" s="317" t="s">
        <v>41432</v>
      </c>
      <c r="B8168" s="330" t="s">
        <v>52524</v>
      </c>
      <c r="C8168" s="330" t="s">
        <v>19264</v>
      </c>
      <c r="D8168" s="330" t="s">
        <v>19265</v>
      </c>
      <c r="E8168" s="330" t="s">
        <v>37248</v>
      </c>
      <c r="F8168" s="331">
        <v>0.21</v>
      </c>
      <c r="G8168" s="332">
        <v>6002</v>
      </c>
      <c r="H8168" s="333">
        <v>7263</v>
      </c>
    </row>
    <row r="8169" spans="1:8">
      <c r="A8169" s="317" t="s">
        <v>41433</v>
      </c>
      <c r="B8169" s="330" t="s">
        <v>52525</v>
      </c>
      <c r="C8169" s="330" t="s">
        <v>19266</v>
      </c>
      <c r="D8169" s="330" t="s">
        <v>19267</v>
      </c>
      <c r="E8169" s="330" t="s">
        <v>37248</v>
      </c>
      <c r="F8169" s="331">
        <v>0.21</v>
      </c>
      <c r="G8169" s="332">
        <v>6023</v>
      </c>
      <c r="H8169" s="333">
        <v>7288</v>
      </c>
    </row>
    <row r="8170" spans="1:8">
      <c r="A8170" s="317" t="s">
        <v>41434</v>
      </c>
      <c r="B8170" s="330" t="s">
        <v>52526</v>
      </c>
      <c r="C8170" s="330" t="s">
        <v>19268</v>
      </c>
      <c r="D8170" s="330" t="s">
        <v>7198</v>
      </c>
      <c r="E8170" s="330" t="s">
        <v>37248</v>
      </c>
      <c r="F8170" s="331">
        <v>0.21</v>
      </c>
      <c r="G8170" s="332">
        <v>29017</v>
      </c>
      <c r="H8170" s="333">
        <v>35111</v>
      </c>
    </row>
    <row r="8171" spans="1:8">
      <c r="A8171" s="317" t="s">
        <v>41435</v>
      </c>
      <c r="B8171" s="330" t="s">
        <v>52527</v>
      </c>
      <c r="C8171" s="330" t="s">
        <v>19269</v>
      </c>
      <c r="D8171" s="330" t="s">
        <v>7322</v>
      </c>
      <c r="E8171" s="330" t="s">
        <v>37248</v>
      </c>
      <c r="F8171" s="331">
        <v>0.21</v>
      </c>
      <c r="G8171" s="332">
        <v>20826</v>
      </c>
      <c r="H8171" s="333">
        <v>25200</v>
      </c>
    </row>
    <row r="8172" spans="1:8">
      <c r="A8172" s="317" t="s">
        <v>41436</v>
      </c>
      <c r="B8172" s="330" t="s">
        <v>52528</v>
      </c>
      <c r="C8172" s="330" t="s">
        <v>19270</v>
      </c>
      <c r="D8172" s="330" t="s">
        <v>19271</v>
      </c>
      <c r="E8172" s="330" t="s">
        <v>37248</v>
      </c>
      <c r="F8172" s="331">
        <v>0.21</v>
      </c>
      <c r="G8172" s="332">
        <v>1247</v>
      </c>
      <c r="H8172" s="333">
        <v>1509</v>
      </c>
    </row>
    <row r="8173" spans="1:8">
      <c r="A8173" s="317" t="s">
        <v>41437</v>
      </c>
      <c r="B8173" s="330" t="s">
        <v>52529</v>
      </c>
      <c r="C8173" s="330" t="s">
        <v>19272</v>
      </c>
      <c r="D8173" s="330" t="s">
        <v>19273</v>
      </c>
      <c r="E8173" s="330" t="s">
        <v>37248</v>
      </c>
      <c r="F8173" s="331">
        <v>0.21</v>
      </c>
      <c r="G8173" s="332">
        <v>8048</v>
      </c>
      <c r="H8173" s="333">
        <v>9739</v>
      </c>
    </row>
    <row r="8174" spans="1:8">
      <c r="A8174" s="317" t="s">
        <v>41438</v>
      </c>
      <c r="B8174" s="330" t="s">
        <v>52530</v>
      </c>
      <c r="C8174" s="330" t="s">
        <v>19274</v>
      </c>
      <c r="D8174" s="330" t="s">
        <v>19275</v>
      </c>
      <c r="E8174" s="330" t="s">
        <v>37248</v>
      </c>
      <c r="F8174" s="331">
        <v>0.21</v>
      </c>
      <c r="G8174" s="332">
        <v>7678</v>
      </c>
      <c r="H8174" s="333">
        <v>9291</v>
      </c>
    </row>
    <row r="8175" spans="1:8">
      <c r="A8175" s="317" t="s">
        <v>41439</v>
      </c>
      <c r="B8175" s="330" t="s">
        <v>52531</v>
      </c>
      <c r="C8175" s="330" t="s">
        <v>19276</v>
      </c>
      <c r="D8175" s="330" t="s">
        <v>19277</v>
      </c>
      <c r="E8175" s="330" t="s">
        <v>37248</v>
      </c>
      <c r="F8175" s="331">
        <v>0.21</v>
      </c>
      <c r="G8175" s="332">
        <v>8354</v>
      </c>
      <c r="H8175" s="333">
        <v>10109</v>
      </c>
    </row>
    <row r="8176" spans="1:8">
      <c r="A8176" s="317" t="s">
        <v>41440</v>
      </c>
      <c r="B8176" s="330" t="s">
        <v>52532</v>
      </c>
      <c r="C8176" s="330" t="s">
        <v>19278</v>
      </c>
      <c r="D8176" s="330" t="s">
        <v>19279</v>
      </c>
      <c r="E8176" s="330" t="s">
        <v>37248</v>
      </c>
      <c r="F8176" s="331">
        <v>0.21</v>
      </c>
      <c r="G8176" s="332">
        <v>1247</v>
      </c>
      <c r="H8176" s="333">
        <v>1509</v>
      </c>
    </row>
    <row r="8177" spans="1:8">
      <c r="A8177" s="317" t="s">
        <v>41441</v>
      </c>
      <c r="B8177" s="330" t="s">
        <v>52533</v>
      </c>
      <c r="C8177" s="330" t="s">
        <v>19280</v>
      </c>
      <c r="D8177" s="330" t="s">
        <v>19281</v>
      </c>
      <c r="E8177" s="330" t="s">
        <v>37248</v>
      </c>
      <c r="F8177" s="331">
        <v>0.21</v>
      </c>
      <c r="G8177" s="332">
        <v>1247</v>
      </c>
      <c r="H8177" s="333">
        <v>1509</v>
      </c>
    </row>
    <row r="8178" spans="1:8">
      <c r="A8178" s="317" t="s">
        <v>41442</v>
      </c>
      <c r="B8178" s="330" t="s">
        <v>52534</v>
      </c>
      <c r="C8178" s="330" t="s">
        <v>19282</v>
      </c>
      <c r="D8178" s="330" t="s">
        <v>19283</v>
      </c>
      <c r="E8178" s="330" t="s">
        <v>37248</v>
      </c>
      <c r="F8178" s="331">
        <v>0.21</v>
      </c>
      <c r="G8178" s="332">
        <v>3421</v>
      </c>
      <c r="H8178" s="333">
        <v>4140</v>
      </c>
    </row>
    <row r="8179" spans="1:8">
      <c r="A8179" s="317" t="s">
        <v>41443</v>
      </c>
      <c r="B8179" s="330" t="s">
        <v>52535</v>
      </c>
      <c r="C8179" s="330" t="s">
        <v>19284</v>
      </c>
      <c r="D8179" s="330" t="s">
        <v>4762</v>
      </c>
      <c r="E8179" s="330" t="s">
        <v>37248</v>
      </c>
      <c r="F8179" s="331">
        <v>0.21</v>
      </c>
      <c r="G8179" s="332">
        <v>7002</v>
      </c>
      <c r="H8179" s="333">
        <v>8473</v>
      </c>
    </row>
    <row r="8180" spans="1:8">
      <c r="A8180" s="317" t="s">
        <v>41444</v>
      </c>
      <c r="B8180" s="330" t="s">
        <v>52536</v>
      </c>
      <c r="C8180" s="330" t="s">
        <v>19285</v>
      </c>
      <c r="D8180" s="330" t="s">
        <v>9823</v>
      </c>
      <c r="E8180" s="330" t="s">
        <v>37248</v>
      </c>
      <c r="F8180" s="331">
        <v>0.21</v>
      </c>
      <c r="G8180" s="332">
        <v>3625</v>
      </c>
      <c r="H8180" s="333">
        <v>4387</v>
      </c>
    </row>
    <row r="8181" spans="1:8">
      <c r="A8181" s="317" t="s">
        <v>41445</v>
      </c>
      <c r="B8181" s="330" t="s">
        <v>52537</v>
      </c>
      <c r="C8181" s="330" t="s">
        <v>19286</v>
      </c>
      <c r="D8181" s="330" t="s">
        <v>8423</v>
      </c>
      <c r="E8181" s="330" t="s">
        <v>37248</v>
      </c>
      <c r="F8181" s="331">
        <v>0.21</v>
      </c>
      <c r="G8181" s="332">
        <v>515</v>
      </c>
      <c r="H8181" s="333">
        <v>624</v>
      </c>
    </row>
    <row r="8182" spans="1:8">
      <c r="A8182" s="317" t="s">
        <v>41446</v>
      </c>
      <c r="B8182" s="330" t="s">
        <v>52538</v>
      </c>
      <c r="C8182" s="330" t="s">
        <v>19287</v>
      </c>
      <c r="D8182" s="330" t="s">
        <v>8379</v>
      </c>
      <c r="E8182" s="330" t="s">
        <v>37248</v>
      </c>
      <c r="F8182" s="331">
        <v>0.21</v>
      </c>
      <c r="G8182" s="332">
        <v>515</v>
      </c>
      <c r="H8182" s="333">
        <v>624</v>
      </c>
    </row>
    <row r="8183" spans="1:8">
      <c r="A8183" s="317" t="s">
        <v>41447</v>
      </c>
      <c r="B8183" s="330" t="s">
        <v>52539</v>
      </c>
      <c r="C8183" s="330" t="s">
        <v>19288</v>
      </c>
      <c r="D8183" s="330" t="s">
        <v>7442</v>
      </c>
      <c r="E8183" s="330" t="s">
        <v>37248</v>
      </c>
      <c r="F8183" s="331">
        <v>0.21</v>
      </c>
      <c r="G8183" s="332">
        <v>194</v>
      </c>
      <c r="H8183" s="333">
        <v>235</v>
      </c>
    </row>
    <row r="8184" spans="1:8">
      <c r="A8184" s="317" t="s">
        <v>41448</v>
      </c>
      <c r="B8184" s="330" t="s">
        <v>52540</v>
      </c>
      <c r="C8184" s="330" t="s">
        <v>19289</v>
      </c>
      <c r="D8184" s="330" t="s">
        <v>19290</v>
      </c>
      <c r="E8184" s="330" t="s">
        <v>37248</v>
      </c>
      <c r="F8184" s="331">
        <v>0.21</v>
      </c>
      <c r="G8184" s="332">
        <v>240</v>
      </c>
      <c r="H8184" s="333">
        <v>291</v>
      </c>
    </row>
    <row r="8185" spans="1:8">
      <c r="A8185" s="317" t="s">
        <v>41449</v>
      </c>
      <c r="B8185" s="330" t="s">
        <v>52541</v>
      </c>
      <c r="C8185" s="330" t="s">
        <v>19291</v>
      </c>
      <c r="D8185" s="330" t="s">
        <v>19292</v>
      </c>
      <c r="E8185" s="330" t="s">
        <v>37248</v>
      </c>
      <c r="F8185" s="331">
        <v>0.21</v>
      </c>
      <c r="G8185" s="332">
        <v>30242</v>
      </c>
      <c r="H8185" s="333">
        <v>36593</v>
      </c>
    </row>
    <row r="8186" spans="1:8">
      <c r="A8186" s="317" t="s">
        <v>41450</v>
      </c>
      <c r="B8186" s="330" t="s">
        <v>52542</v>
      </c>
      <c r="C8186" s="330" t="s">
        <v>19293</v>
      </c>
      <c r="D8186" s="330" t="s">
        <v>17252</v>
      </c>
      <c r="E8186" s="330" t="s">
        <v>37248</v>
      </c>
      <c r="F8186" s="331">
        <v>0.21</v>
      </c>
      <c r="G8186" s="332">
        <v>17738</v>
      </c>
      <c r="H8186" s="333">
        <v>21463</v>
      </c>
    </row>
    <row r="8187" spans="1:8">
      <c r="A8187" s="317" t="s">
        <v>41451</v>
      </c>
      <c r="B8187" s="330" t="s">
        <v>52543</v>
      </c>
      <c r="C8187" s="330" t="s">
        <v>19294</v>
      </c>
      <c r="D8187" s="330" t="s">
        <v>19295</v>
      </c>
      <c r="E8187" s="330" t="s">
        <v>37248</v>
      </c>
      <c r="F8187" s="331">
        <v>0.21</v>
      </c>
      <c r="G8187" s="332">
        <v>23954</v>
      </c>
      <c r="H8187" s="333">
        <v>28985</v>
      </c>
    </row>
    <row r="8188" spans="1:8">
      <c r="A8188" s="317" t="s">
        <v>41452</v>
      </c>
      <c r="B8188" s="330" t="s">
        <v>52544</v>
      </c>
      <c r="C8188" s="330" t="s">
        <v>19296</v>
      </c>
      <c r="D8188" s="330" t="s">
        <v>4762</v>
      </c>
      <c r="E8188" s="330" t="s">
        <v>37248</v>
      </c>
      <c r="F8188" s="331">
        <v>0.21</v>
      </c>
      <c r="G8188" s="332">
        <v>7002</v>
      </c>
      <c r="H8188" s="333">
        <v>8473</v>
      </c>
    </row>
    <row r="8189" spans="1:8">
      <c r="A8189" s="317" t="s">
        <v>41453</v>
      </c>
      <c r="B8189" s="330" t="s">
        <v>52545</v>
      </c>
      <c r="C8189" s="330" t="s">
        <v>19297</v>
      </c>
      <c r="D8189" s="330" t="s">
        <v>19298</v>
      </c>
      <c r="E8189" s="330" t="s">
        <v>37248</v>
      </c>
      <c r="F8189" s="331">
        <v>0.21</v>
      </c>
      <c r="G8189" s="332">
        <v>1247</v>
      </c>
      <c r="H8189" s="333">
        <v>1509</v>
      </c>
    </row>
    <row r="8190" spans="1:8">
      <c r="A8190" s="317" t="s">
        <v>41454</v>
      </c>
      <c r="B8190" s="330" t="s">
        <v>52546</v>
      </c>
      <c r="C8190" s="330" t="s">
        <v>19299</v>
      </c>
      <c r="D8190" s="330" t="s">
        <v>19300</v>
      </c>
      <c r="E8190" s="330" t="s">
        <v>37248</v>
      </c>
      <c r="F8190" s="331">
        <v>0.21</v>
      </c>
      <c r="G8190" s="332">
        <v>1247</v>
      </c>
      <c r="H8190" s="333">
        <v>1509</v>
      </c>
    </row>
    <row r="8191" spans="1:8">
      <c r="A8191" s="317" t="s">
        <v>41455</v>
      </c>
      <c r="B8191" s="330" t="s">
        <v>52547</v>
      </c>
      <c r="C8191" s="330" t="s">
        <v>19301</v>
      </c>
      <c r="D8191" s="330" t="s">
        <v>8031</v>
      </c>
      <c r="E8191" s="330" t="s">
        <v>37248</v>
      </c>
      <c r="F8191" s="331">
        <v>0.21</v>
      </c>
      <c r="G8191" s="332">
        <v>1247</v>
      </c>
      <c r="H8191" s="333">
        <v>1509</v>
      </c>
    </row>
    <row r="8192" spans="1:8">
      <c r="A8192" s="317" t="s">
        <v>41456</v>
      </c>
      <c r="B8192" s="330" t="s">
        <v>52548</v>
      </c>
      <c r="C8192" s="330" t="s">
        <v>19302</v>
      </c>
      <c r="D8192" s="330" t="s">
        <v>8060</v>
      </c>
      <c r="E8192" s="330" t="s">
        <v>37248</v>
      </c>
      <c r="F8192" s="331">
        <v>0.21</v>
      </c>
      <c r="G8192" s="332">
        <v>296</v>
      </c>
      <c r="H8192" s="333">
        <v>359</v>
      </c>
    </row>
    <row r="8193" spans="1:8">
      <c r="A8193" s="317" t="s">
        <v>41457</v>
      </c>
      <c r="B8193" s="330" t="s">
        <v>52549</v>
      </c>
      <c r="C8193" s="330" t="s">
        <v>19303</v>
      </c>
      <c r="D8193" s="330" t="s">
        <v>19304</v>
      </c>
      <c r="E8193" s="330" t="s">
        <v>37248</v>
      </c>
      <c r="F8193" s="331">
        <v>0.21</v>
      </c>
      <c r="G8193" s="332">
        <v>1247</v>
      </c>
      <c r="H8193" s="333">
        <v>1509</v>
      </c>
    </row>
    <row r="8194" spans="1:8">
      <c r="A8194" s="317" t="s">
        <v>41458</v>
      </c>
      <c r="B8194" s="330" t="s">
        <v>52550</v>
      </c>
      <c r="C8194" s="330" t="s">
        <v>19305</v>
      </c>
      <c r="D8194" s="330" t="s">
        <v>19306</v>
      </c>
      <c r="E8194" s="330" t="s">
        <v>37248</v>
      </c>
      <c r="F8194" s="331">
        <v>0.21</v>
      </c>
      <c r="G8194" s="332">
        <v>1247</v>
      </c>
      <c r="H8194" s="333">
        <v>1509</v>
      </c>
    </row>
    <row r="8195" spans="1:8">
      <c r="A8195" s="317" t="s">
        <v>41459</v>
      </c>
      <c r="B8195" s="330" t="s">
        <v>52551</v>
      </c>
      <c r="C8195" s="330" t="s">
        <v>19307</v>
      </c>
      <c r="D8195" s="330" t="s">
        <v>19308</v>
      </c>
      <c r="E8195" s="330" t="s">
        <v>37248</v>
      </c>
      <c r="F8195" s="331">
        <v>0.21</v>
      </c>
      <c r="G8195" s="332">
        <v>314</v>
      </c>
      <c r="H8195" s="333">
        <v>380</v>
      </c>
    </row>
    <row r="8196" spans="1:8">
      <c r="A8196" s="317" t="s">
        <v>41460</v>
      </c>
      <c r="B8196" s="330" t="s">
        <v>52552</v>
      </c>
      <c r="C8196" s="330" t="s">
        <v>19309</v>
      </c>
      <c r="D8196" s="330" t="s">
        <v>9496</v>
      </c>
      <c r="E8196" s="330" t="s">
        <v>37248</v>
      </c>
      <c r="F8196" s="331">
        <v>0.21</v>
      </c>
      <c r="G8196" s="332">
        <v>3912</v>
      </c>
      <c r="H8196" s="333">
        <v>4734</v>
      </c>
    </row>
    <row r="8197" spans="1:8">
      <c r="A8197" s="317" t="s">
        <v>41461</v>
      </c>
      <c r="B8197" s="330" t="s">
        <v>52553</v>
      </c>
      <c r="C8197" s="330" t="s">
        <v>19310</v>
      </c>
      <c r="D8197" s="330" t="s">
        <v>19311</v>
      </c>
      <c r="E8197" s="330" t="s">
        <v>37248</v>
      </c>
      <c r="F8197" s="331">
        <v>0.21</v>
      </c>
      <c r="G8197" s="332">
        <v>7954</v>
      </c>
      <c r="H8197" s="333">
        <v>9625</v>
      </c>
    </row>
    <row r="8198" spans="1:8">
      <c r="A8198" s="317" t="s">
        <v>41462</v>
      </c>
      <c r="B8198" s="330" t="s">
        <v>52554</v>
      </c>
      <c r="C8198" s="330" t="s">
        <v>19312</v>
      </c>
      <c r="D8198" s="330" t="s">
        <v>14777</v>
      </c>
      <c r="E8198" s="330" t="s">
        <v>37248</v>
      </c>
      <c r="F8198" s="331">
        <v>0.21</v>
      </c>
      <c r="G8198" s="332">
        <v>807</v>
      </c>
      <c r="H8198" s="333">
        <v>977</v>
      </c>
    </row>
    <row r="8199" spans="1:8">
      <c r="A8199" s="317" t="s">
        <v>41463</v>
      </c>
      <c r="B8199" s="330" t="s">
        <v>52555</v>
      </c>
      <c r="C8199" s="330" t="s">
        <v>19313</v>
      </c>
      <c r="D8199" s="330" t="s">
        <v>6378</v>
      </c>
      <c r="E8199" s="330" t="s">
        <v>37248</v>
      </c>
      <c r="F8199" s="331">
        <v>0.21</v>
      </c>
      <c r="G8199" s="332">
        <v>475</v>
      </c>
      <c r="H8199" s="333">
        <v>575</v>
      </c>
    </row>
    <row r="8200" spans="1:8">
      <c r="A8200" s="317" t="s">
        <v>41464</v>
      </c>
      <c r="B8200" s="330" t="s">
        <v>52556</v>
      </c>
      <c r="C8200" s="330" t="s">
        <v>19314</v>
      </c>
      <c r="D8200" s="330" t="s">
        <v>19315</v>
      </c>
      <c r="E8200" s="330" t="s">
        <v>37248</v>
      </c>
      <c r="F8200" s="331">
        <v>0.21</v>
      </c>
      <c r="G8200" s="332">
        <v>1487</v>
      </c>
      <c r="H8200" s="333">
        <v>1800</v>
      </c>
    </row>
    <row r="8201" spans="1:8">
      <c r="A8201" s="317" t="s">
        <v>41465</v>
      </c>
      <c r="B8201" s="330" t="s">
        <v>52557</v>
      </c>
      <c r="C8201" s="330" t="s">
        <v>19316</v>
      </c>
      <c r="D8201" s="330" t="s">
        <v>10123</v>
      </c>
      <c r="E8201" s="330" t="s">
        <v>37248</v>
      </c>
      <c r="F8201" s="331">
        <v>0.21</v>
      </c>
      <c r="G8201" s="332">
        <v>1740</v>
      </c>
      <c r="H8201" s="333">
        <v>2106</v>
      </c>
    </row>
    <row r="8202" spans="1:8">
      <c r="A8202" s="317" t="s">
        <v>41466</v>
      </c>
      <c r="B8202" s="330" t="s">
        <v>52558</v>
      </c>
      <c r="C8202" s="330" t="s">
        <v>19317</v>
      </c>
      <c r="D8202" s="330" t="s">
        <v>19318</v>
      </c>
      <c r="E8202" s="330" t="s">
        <v>37248</v>
      </c>
      <c r="F8202" s="331">
        <v>0.21</v>
      </c>
      <c r="G8202" s="332">
        <v>3306</v>
      </c>
      <c r="H8202" s="333">
        <v>4001</v>
      </c>
    </row>
    <row r="8203" spans="1:8">
      <c r="A8203" s="317" t="s">
        <v>41467</v>
      </c>
      <c r="B8203" s="330" t="s">
        <v>52559</v>
      </c>
      <c r="C8203" s="330" t="s">
        <v>19319</v>
      </c>
      <c r="D8203" s="330" t="s">
        <v>19320</v>
      </c>
      <c r="E8203" s="330" t="s">
        <v>37248</v>
      </c>
      <c r="F8203" s="331">
        <v>0.21</v>
      </c>
      <c r="G8203" s="332">
        <v>35839</v>
      </c>
      <c r="H8203" s="333">
        <v>43366</v>
      </c>
    </row>
    <row r="8204" spans="1:8">
      <c r="A8204" s="317" t="s">
        <v>41468</v>
      </c>
      <c r="B8204" s="330" t="s">
        <v>52560</v>
      </c>
      <c r="C8204" s="330" t="s">
        <v>19321</v>
      </c>
      <c r="D8204" s="330" t="s">
        <v>19322</v>
      </c>
      <c r="E8204" s="330" t="s">
        <v>37248</v>
      </c>
      <c r="F8204" s="331">
        <v>0.21</v>
      </c>
      <c r="G8204" s="332">
        <v>11599</v>
      </c>
      <c r="H8204" s="333">
        <v>14035</v>
      </c>
    </row>
    <row r="8205" spans="1:8">
      <c r="A8205" s="317" t="s">
        <v>41469</v>
      </c>
      <c r="B8205" s="330" t="s">
        <v>52561</v>
      </c>
      <c r="C8205" s="330" t="s">
        <v>19323</v>
      </c>
      <c r="D8205" s="330" t="s">
        <v>8379</v>
      </c>
      <c r="E8205" s="330" t="s">
        <v>37248</v>
      </c>
      <c r="F8205" s="331">
        <v>0.21</v>
      </c>
      <c r="G8205" s="332">
        <v>807</v>
      </c>
      <c r="H8205" s="333">
        <v>977</v>
      </c>
    </row>
    <row r="8206" spans="1:8">
      <c r="A8206" s="317" t="s">
        <v>41470</v>
      </c>
      <c r="B8206" s="330" t="s">
        <v>52562</v>
      </c>
      <c r="C8206" s="330" t="s">
        <v>19324</v>
      </c>
      <c r="D8206" s="330" t="s">
        <v>8060</v>
      </c>
      <c r="E8206" s="330" t="s">
        <v>37248</v>
      </c>
      <c r="F8206" s="331">
        <v>0.21</v>
      </c>
      <c r="G8206" s="332">
        <v>2156</v>
      </c>
      <c r="H8206" s="333">
        <v>2609</v>
      </c>
    </row>
    <row r="8207" spans="1:8">
      <c r="A8207" s="317" t="s">
        <v>41471</v>
      </c>
      <c r="B8207" s="330" t="s">
        <v>52563</v>
      </c>
      <c r="C8207" s="330" t="s">
        <v>19325</v>
      </c>
      <c r="D8207" s="330" t="s">
        <v>8541</v>
      </c>
      <c r="E8207" s="330" t="s">
        <v>37248</v>
      </c>
      <c r="F8207" s="331">
        <v>0.21</v>
      </c>
      <c r="G8207" s="332">
        <v>600</v>
      </c>
      <c r="H8207" s="333">
        <v>726</v>
      </c>
    </row>
    <row r="8208" spans="1:8">
      <c r="A8208" s="317" t="s">
        <v>41472</v>
      </c>
      <c r="B8208" s="330" t="s">
        <v>52564</v>
      </c>
      <c r="C8208" s="330" t="s">
        <v>19326</v>
      </c>
      <c r="D8208" s="330" t="s">
        <v>6740</v>
      </c>
      <c r="E8208" s="330" t="s">
        <v>37248</v>
      </c>
      <c r="F8208" s="331">
        <v>0.21</v>
      </c>
      <c r="G8208" s="332">
        <v>1387</v>
      </c>
      <c r="H8208" s="333">
        <v>1679</v>
      </c>
    </row>
    <row r="8209" spans="1:8">
      <c r="A8209" s="317" t="s">
        <v>41473</v>
      </c>
      <c r="B8209" s="330" t="s">
        <v>52565</v>
      </c>
      <c r="C8209" s="330" t="s">
        <v>19327</v>
      </c>
      <c r="D8209" s="330" t="s">
        <v>7651</v>
      </c>
      <c r="E8209" s="330" t="s">
        <v>37248</v>
      </c>
      <c r="F8209" s="331">
        <v>0.21</v>
      </c>
      <c r="G8209" s="332">
        <v>30809</v>
      </c>
      <c r="H8209" s="333">
        <v>37279</v>
      </c>
    </row>
    <row r="8210" spans="1:8">
      <c r="A8210" s="317" t="s">
        <v>41474</v>
      </c>
      <c r="B8210" s="330" t="s">
        <v>52566</v>
      </c>
      <c r="C8210" s="330" t="s">
        <v>19328</v>
      </c>
      <c r="D8210" s="330" t="s">
        <v>19329</v>
      </c>
      <c r="E8210" s="330" t="s">
        <v>37248</v>
      </c>
      <c r="F8210" s="331">
        <v>0.21</v>
      </c>
      <c r="G8210" s="332">
        <v>689</v>
      </c>
      <c r="H8210" s="333">
        <v>834</v>
      </c>
    </row>
    <row r="8211" spans="1:8">
      <c r="A8211" s="317" t="s">
        <v>41475</v>
      </c>
      <c r="B8211" s="330" t="s">
        <v>52567</v>
      </c>
      <c r="C8211" s="330" t="s">
        <v>19330</v>
      </c>
      <c r="D8211" s="330" t="s">
        <v>7539</v>
      </c>
      <c r="E8211" s="330" t="s">
        <v>37248</v>
      </c>
      <c r="F8211" s="331">
        <v>0.21</v>
      </c>
      <c r="G8211" s="332">
        <v>3694</v>
      </c>
      <c r="H8211" s="333">
        <v>4470</v>
      </c>
    </row>
    <row r="8212" spans="1:8">
      <c r="A8212" s="317" t="s">
        <v>41476</v>
      </c>
      <c r="B8212" s="330" t="s">
        <v>52568</v>
      </c>
      <c r="C8212" s="330" t="s">
        <v>19331</v>
      </c>
      <c r="D8212" s="330" t="s">
        <v>10405</v>
      </c>
      <c r="E8212" s="330" t="s">
        <v>4819</v>
      </c>
      <c r="F8212" s="331">
        <v>0.21</v>
      </c>
      <c r="G8212" s="332">
        <v>5242</v>
      </c>
      <c r="H8212" s="333">
        <v>6343</v>
      </c>
    </row>
    <row r="8213" spans="1:8">
      <c r="A8213" s="317" t="s">
        <v>41477</v>
      </c>
      <c r="B8213" s="330" t="s">
        <v>52569</v>
      </c>
      <c r="C8213" s="330" t="s">
        <v>19332</v>
      </c>
      <c r="D8213" s="330" t="s">
        <v>19333</v>
      </c>
      <c r="E8213" s="330" t="s">
        <v>37248</v>
      </c>
      <c r="F8213" s="331">
        <v>0.21</v>
      </c>
      <c r="G8213" s="332">
        <v>934</v>
      </c>
      <c r="H8213" s="333">
        <v>1131</v>
      </c>
    </row>
    <row r="8214" spans="1:8">
      <c r="A8214" s="317" t="s">
        <v>41478</v>
      </c>
      <c r="B8214" s="330" t="s">
        <v>52570</v>
      </c>
      <c r="C8214" s="330" t="s">
        <v>19334</v>
      </c>
      <c r="D8214" s="330" t="s">
        <v>5392</v>
      </c>
      <c r="E8214" s="330" t="s">
        <v>4819</v>
      </c>
      <c r="F8214" s="331">
        <v>0.21</v>
      </c>
      <c r="G8214" s="332">
        <v>3992</v>
      </c>
      <c r="H8214" s="333">
        <v>4831</v>
      </c>
    </row>
    <row r="8215" spans="1:8">
      <c r="A8215" s="317" t="s">
        <v>41479</v>
      </c>
      <c r="B8215" s="330" t="s">
        <v>52571</v>
      </c>
      <c r="C8215" s="330" t="s">
        <v>19335</v>
      </c>
      <c r="D8215" s="330" t="s">
        <v>10408</v>
      </c>
      <c r="E8215" s="330" t="s">
        <v>37248</v>
      </c>
      <c r="F8215" s="331">
        <v>0.21</v>
      </c>
      <c r="G8215" s="332">
        <v>2295</v>
      </c>
      <c r="H8215" s="333">
        <v>2777</v>
      </c>
    </row>
    <row r="8216" spans="1:8">
      <c r="A8216" s="317" t="s">
        <v>41480</v>
      </c>
      <c r="B8216" s="330" t="s">
        <v>52572</v>
      </c>
      <c r="C8216" s="330" t="s">
        <v>19336</v>
      </c>
      <c r="D8216" s="330" t="s">
        <v>8440</v>
      </c>
      <c r="E8216" s="330" t="s">
        <v>4819</v>
      </c>
      <c r="F8216" s="331">
        <v>0.21</v>
      </c>
      <c r="G8216" s="332">
        <v>807</v>
      </c>
      <c r="H8216" s="333">
        <v>977</v>
      </c>
    </row>
    <row r="8217" spans="1:8">
      <c r="A8217" s="317" t="s">
        <v>41481</v>
      </c>
      <c r="B8217" s="330" t="s">
        <v>52573</v>
      </c>
      <c r="C8217" s="330" t="s">
        <v>19337</v>
      </c>
      <c r="D8217" s="330" t="s">
        <v>8396</v>
      </c>
      <c r="E8217" s="330" t="s">
        <v>4819</v>
      </c>
      <c r="F8217" s="331">
        <v>0.21</v>
      </c>
      <c r="G8217" s="332">
        <v>570</v>
      </c>
      <c r="H8217" s="333">
        <v>690</v>
      </c>
    </row>
    <row r="8218" spans="1:8">
      <c r="A8218" s="317" t="s">
        <v>41482</v>
      </c>
      <c r="B8218" s="330" t="s">
        <v>52574</v>
      </c>
      <c r="C8218" s="330" t="s">
        <v>19338</v>
      </c>
      <c r="D8218" s="330" t="s">
        <v>8379</v>
      </c>
      <c r="E8218" s="330" t="s">
        <v>4819</v>
      </c>
      <c r="F8218" s="331">
        <v>0.21</v>
      </c>
      <c r="G8218" s="332">
        <v>807</v>
      </c>
      <c r="H8218" s="333">
        <v>977</v>
      </c>
    </row>
    <row r="8219" spans="1:8">
      <c r="A8219" s="317" t="s">
        <v>41483</v>
      </c>
      <c r="B8219" s="330" t="s">
        <v>52575</v>
      </c>
      <c r="C8219" s="330" t="s">
        <v>19339</v>
      </c>
      <c r="D8219" s="330" t="s">
        <v>8379</v>
      </c>
      <c r="E8219" s="330" t="s">
        <v>4819</v>
      </c>
      <c r="F8219" s="331">
        <v>0.21</v>
      </c>
      <c r="G8219" s="332">
        <v>807</v>
      </c>
      <c r="H8219" s="333">
        <v>977</v>
      </c>
    </row>
    <row r="8220" spans="1:8">
      <c r="A8220" s="317" t="s">
        <v>41484</v>
      </c>
      <c r="B8220" s="330" t="s">
        <v>52576</v>
      </c>
      <c r="C8220" s="330" t="s">
        <v>19340</v>
      </c>
      <c r="D8220" s="330" t="s">
        <v>9487</v>
      </c>
      <c r="E8220" s="330" t="s">
        <v>37248</v>
      </c>
      <c r="F8220" s="331">
        <v>0.21</v>
      </c>
      <c r="G8220" s="332">
        <v>6627</v>
      </c>
      <c r="H8220" s="333">
        <v>8019</v>
      </c>
    </row>
    <row r="8221" spans="1:8">
      <c r="A8221" s="317" t="s">
        <v>41485</v>
      </c>
      <c r="B8221" s="330" t="s">
        <v>52577</v>
      </c>
      <c r="C8221" s="330" t="s">
        <v>19341</v>
      </c>
      <c r="D8221" s="330" t="s">
        <v>8976</v>
      </c>
      <c r="E8221" s="330" t="s">
        <v>37248</v>
      </c>
      <c r="F8221" s="331">
        <v>0.21</v>
      </c>
      <c r="G8221" s="332">
        <v>18247</v>
      </c>
      <c r="H8221" s="333">
        <v>22079</v>
      </c>
    </row>
    <row r="8222" spans="1:8">
      <c r="A8222" s="317" t="s">
        <v>41486</v>
      </c>
      <c r="B8222" s="330" t="s">
        <v>52578</v>
      </c>
      <c r="C8222" s="330" t="s">
        <v>19342</v>
      </c>
      <c r="D8222" s="330" t="s">
        <v>19265</v>
      </c>
      <c r="E8222" s="330" t="s">
        <v>37248</v>
      </c>
      <c r="F8222" s="331">
        <v>0.21</v>
      </c>
      <c r="G8222" s="332">
        <v>6627</v>
      </c>
      <c r="H8222" s="333">
        <v>8019</v>
      </c>
    </row>
    <row r="8223" spans="1:8">
      <c r="A8223" s="317" t="s">
        <v>41487</v>
      </c>
      <c r="B8223" s="330" t="s">
        <v>52579</v>
      </c>
      <c r="C8223" s="330" t="s">
        <v>19343</v>
      </c>
      <c r="D8223" s="330" t="s">
        <v>7239</v>
      </c>
      <c r="E8223" s="330" t="s">
        <v>37248</v>
      </c>
      <c r="F8223" s="331">
        <v>0.21</v>
      </c>
      <c r="G8223" s="332">
        <v>21932</v>
      </c>
      <c r="H8223" s="333">
        <v>26538</v>
      </c>
    </row>
    <row r="8224" spans="1:8">
      <c r="A8224" s="317" t="s">
        <v>41488</v>
      </c>
      <c r="B8224" s="330" t="s">
        <v>52580</v>
      </c>
      <c r="C8224" s="330" t="s">
        <v>19344</v>
      </c>
      <c r="D8224" s="330" t="s">
        <v>8062</v>
      </c>
      <c r="E8224" s="330" t="s">
        <v>37248</v>
      </c>
      <c r="F8224" s="331">
        <v>0.21</v>
      </c>
      <c r="G8224" s="332">
        <v>14064</v>
      </c>
      <c r="H8224" s="333">
        <v>17018</v>
      </c>
    </row>
    <row r="8225" spans="1:8">
      <c r="A8225" s="317" t="s">
        <v>41489</v>
      </c>
      <c r="B8225" s="330" t="s">
        <v>52581</v>
      </c>
      <c r="C8225" s="330" t="s">
        <v>19345</v>
      </c>
      <c r="D8225" s="330" t="s">
        <v>9896</v>
      </c>
      <c r="E8225" s="330" t="s">
        <v>37248</v>
      </c>
      <c r="F8225" s="331">
        <v>0.21</v>
      </c>
      <c r="G8225" s="332">
        <v>8385</v>
      </c>
      <c r="H8225" s="333">
        <v>10146</v>
      </c>
    </row>
    <row r="8226" spans="1:8">
      <c r="A8226" s="317" t="s">
        <v>41490</v>
      </c>
      <c r="B8226" s="330" t="s">
        <v>52582</v>
      </c>
      <c r="C8226" s="330" t="s">
        <v>19346</v>
      </c>
      <c r="D8226" s="330" t="s">
        <v>19347</v>
      </c>
      <c r="E8226" s="330" t="s">
        <v>37248</v>
      </c>
      <c r="F8226" s="331">
        <v>0.21</v>
      </c>
      <c r="G8226" s="332">
        <v>1117</v>
      </c>
      <c r="H8226" s="333">
        <v>1352</v>
      </c>
    </row>
    <row r="8227" spans="1:8">
      <c r="A8227" s="317" t="s">
        <v>41491</v>
      </c>
      <c r="B8227" s="330" t="s">
        <v>52583</v>
      </c>
      <c r="C8227" s="330" t="s">
        <v>19348</v>
      </c>
      <c r="D8227" s="330" t="s">
        <v>19349</v>
      </c>
      <c r="E8227" s="330" t="s">
        <v>37248</v>
      </c>
      <c r="F8227" s="331">
        <v>0.21</v>
      </c>
      <c r="G8227" s="332">
        <v>7107</v>
      </c>
      <c r="H8227" s="333">
        <v>8600</v>
      </c>
    </row>
    <row r="8228" spans="1:8">
      <c r="A8228" s="317" t="s">
        <v>41492</v>
      </c>
      <c r="B8228" s="330" t="s">
        <v>52584</v>
      </c>
      <c r="C8228" s="330" t="s">
        <v>19350</v>
      </c>
      <c r="D8228" s="330" t="s">
        <v>19351</v>
      </c>
      <c r="E8228" s="330" t="s">
        <v>4819</v>
      </c>
      <c r="F8228" s="331">
        <v>0.21</v>
      </c>
      <c r="G8228" s="332">
        <v>7051</v>
      </c>
      <c r="H8228" s="333">
        <v>8532</v>
      </c>
    </row>
    <row r="8229" spans="1:8">
      <c r="A8229" s="317" t="s">
        <v>41493</v>
      </c>
      <c r="B8229" s="330" t="s">
        <v>52585</v>
      </c>
      <c r="C8229" s="330" t="s">
        <v>19352</v>
      </c>
      <c r="D8229" s="330" t="s">
        <v>9269</v>
      </c>
      <c r="E8229" s="330" t="s">
        <v>37248</v>
      </c>
      <c r="F8229" s="331">
        <v>0.21</v>
      </c>
      <c r="G8229" s="332">
        <v>2661</v>
      </c>
      <c r="H8229" s="333">
        <v>3220</v>
      </c>
    </row>
    <row r="8230" spans="1:8">
      <c r="A8230" s="317" t="s">
        <v>41494</v>
      </c>
      <c r="B8230" s="330" t="s">
        <v>52586</v>
      </c>
      <c r="C8230" s="330" t="s">
        <v>19353</v>
      </c>
      <c r="D8230" s="330" t="s">
        <v>19354</v>
      </c>
      <c r="E8230" s="330" t="s">
        <v>37248</v>
      </c>
      <c r="F8230" s="331">
        <v>0.21</v>
      </c>
      <c r="G8230" s="332">
        <v>34077</v>
      </c>
      <c r="H8230" s="333">
        <v>41234</v>
      </c>
    </row>
    <row r="8231" spans="1:8">
      <c r="A8231" s="317" t="s">
        <v>41495</v>
      </c>
      <c r="B8231" s="330" t="s">
        <v>52587</v>
      </c>
      <c r="C8231" s="330" t="s">
        <v>19355</v>
      </c>
      <c r="D8231" s="330" t="s">
        <v>8006</v>
      </c>
      <c r="E8231" s="330" t="s">
        <v>37248</v>
      </c>
      <c r="F8231" s="331">
        <v>0.21</v>
      </c>
      <c r="G8231" s="332">
        <v>5715</v>
      </c>
      <c r="H8231" s="333">
        <v>6916</v>
      </c>
    </row>
    <row r="8232" spans="1:8">
      <c r="A8232" s="317" t="s">
        <v>41496</v>
      </c>
      <c r="B8232" s="330" t="s">
        <v>52588</v>
      </c>
      <c r="C8232" s="330" t="s">
        <v>19356</v>
      </c>
      <c r="D8232" s="330" t="s">
        <v>7843</v>
      </c>
      <c r="E8232" s="330" t="s">
        <v>37248</v>
      </c>
      <c r="F8232" s="331">
        <v>0.21</v>
      </c>
      <c r="G8232" s="332">
        <v>10953</v>
      </c>
      <c r="H8232" s="333">
        <v>13254</v>
      </c>
    </row>
    <row r="8233" spans="1:8">
      <c r="A8233" s="317" t="s">
        <v>41497</v>
      </c>
      <c r="B8233" s="330" t="s">
        <v>52589</v>
      </c>
      <c r="C8233" s="330" t="s">
        <v>19357</v>
      </c>
      <c r="D8233" s="330" t="s">
        <v>7367</v>
      </c>
      <c r="E8233" s="330" t="s">
        <v>37248</v>
      </c>
      <c r="F8233" s="331">
        <v>0.21</v>
      </c>
      <c r="G8233" s="332">
        <v>12800</v>
      </c>
      <c r="H8233" s="333">
        <v>15488</v>
      </c>
    </row>
    <row r="8234" spans="1:8">
      <c r="A8234" s="317" t="s">
        <v>41498</v>
      </c>
      <c r="B8234" s="330" t="s">
        <v>52590</v>
      </c>
      <c r="C8234" s="330" t="s">
        <v>19358</v>
      </c>
      <c r="D8234" s="330" t="s">
        <v>6109</v>
      </c>
      <c r="E8234" s="330" t="s">
        <v>37248</v>
      </c>
      <c r="F8234" s="331">
        <v>0.21</v>
      </c>
      <c r="G8234" s="332">
        <v>475</v>
      </c>
      <c r="H8234" s="333">
        <v>575</v>
      </c>
    </row>
    <row r="8235" spans="1:8">
      <c r="A8235" s="317" t="s">
        <v>41499</v>
      </c>
      <c r="B8235" s="330" t="s">
        <v>52591</v>
      </c>
      <c r="C8235" s="330" t="s">
        <v>19359</v>
      </c>
      <c r="D8235" s="330" t="s">
        <v>4818</v>
      </c>
      <c r="E8235" s="330" t="s">
        <v>37248</v>
      </c>
      <c r="F8235" s="331">
        <v>0.21</v>
      </c>
      <c r="G8235" s="332">
        <v>475</v>
      </c>
      <c r="H8235" s="333">
        <v>575</v>
      </c>
    </row>
    <row r="8236" spans="1:8">
      <c r="A8236" s="317" t="s">
        <v>41500</v>
      </c>
      <c r="B8236" s="330" t="s">
        <v>52592</v>
      </c>
      <c r="C8236" s="330" t="s">
        <v>19360</v>
      </c>
      <c r="D8236" s="330" t="s">
        <v>19361</v>
      </c>
      <c r="E8236" s="330" t="s">
        <v>37248</v>
      </c>
      <c r="F8236" s="331">
        <v>0.21</v>
      </c>
      <c r="G8236" s="332">
        <v>475</v>
      </c>
      <c r="H8236" s="333">
        <v>575</v>
      </c>
    </row>
    <row r="8237" spans="1:8">
      <c r="A8237" s="317" t="s">
        <v>41501</v>
      </c>
      <c r="B8237" s="330" t="s">
        <v>52593</v>
      </c>
      <c r="C8237" s="330" t="s">
        <v>19362</v>
      </c>
      <c r="D8237" s="330" t="s">
        <v>7843</v>
      </c>
      <c r="E8237" s="330" t="s">
        <v>37248</v>
      </c>
      <c r="F8237" s="331">
        <v>0.21</v>
      </c>
      <c r="G8237" s="332">
        <v>19142</v>
      </c>
      <c r="H8237" s="333">
        <v>23162</v>
      </c>
    </row>
    <row r="8238" spans="1:8">
      <c r="A8238" s="317" t="s">
        <v>41502</v>
      </c>
      <c r="B8238" s="330" t="s">
        <v>52594</v>
      </c>
      <c r="C8238" s="330" t="s">
        <v>19363</v>
      </c>
      <c r="D8238" s="330" t="s">
        <v>19364</v>
      </c>
      <c r="E8238" s="330" t="s">
        <v>37248</v>
      </c>
      <c r="F8238" s="331">
        <v>0.21</v>
      </c>
      <c r="G8238" s="332">
        <v>19744</v>
      </c>
      <c r="H8238" s="333">
        <v>23891</v>
      </c>
    </row>
    <row r="8239" spans="1:8">
      <c r="A8239" s="317" t="s">
        <v>41503</v>
      </c>
      <c r="B8239" s="330" t="s">
        <v>52595</v>
      </c>
      <c r="C8239" s="330" t="s">
        <v>19365</v>
      </c>
      <c r="D8239" s="330" t="s">
        <v>13573</v>
      </c>
      <c r="E8239" s="330" t="s">
        <v>37248</v>
      </c>
      <c r="F8239" s="331">
        <v>0.21</v>
      </c>
      <c r="G8239" s="332">
        <v>1684</v>
      </c>
      <c r="H8239" s="333">
        <v>2038</v>
      </c>
    </row>
    <row r="8240" spans="1:8">
      <c r="A8240" s="317" t="s">
        <v>41504</v>
      </c>
      <c r="B8240" s="330" t="s">
        <v>52596</v>
      </c>
      <c r="C8240" s="330" t="s">
        <v>19366</v>
      </c>
      <c r="D8240" s="330" t="s">
        <v>7626</v>
      </c>
      <c r="E8240" s="330" t="s">
        <v>37248</v>
      </c>
      <c r="F8240" s="331">
        <v>0.21</v>
      </c>
      <c r="G8240" s="332">
        <v>7472</v>
      </c>
      <c r="H8240" s="333">
        <v>9042</v>
      </c>
    </row>
    <row r="8241" spans="1:8">
      <c r="A8241" s="317" t="s">
        <v>41505</v>
      </c>
      <c r="B8241" s="330" t="s">
        <v>52597</v>
      </c>
      <c r="C8241" s="330" t="s">
        <v>19367</v>
      </c>
      <c r="D8241" s="330" t="s">
        <v>19368</v>
      </c>
      <c r="E8241" s="330" t="s">
        <v>37248</v>
      </c>
      <c r="F8241" s="331">
        <v>0.21</v>
      </c>
      <c r="G8241" s="332">
        <v>2476</v>
      </c>
      <c r="H8241" s="333">
        <v>2996</v>
      </c>
    </row>
    <row r="8242" spans="1:8">
      <c r="A8242" s="317" t="s">
        <v>41506</v>
      </c>
      <c r="B8242" s="330" t="s">
        <v>52598</v>
      </c>
      <c r="C8242" s="330" t="s">
        <v>19369</v>
      </c>
      <c r="D8242" s="330" t="s">
        <v>10986</v>
      </c>
      <c r="E8242" s="330" t="s">
        <v>37248</v>
      </c>
      <c r="F8242" s="331">
        <v>0.21</v>
      </c>
      <c r="G8242" s="332">
        <v>37340</v>
      </c>
      <c r="H8242" s="333">
        <v>45182</v>
      </c>
    </row>
    <row r="8243" spans="1:8">
      <c r="A8243" s="317" t="s">
        <v>41507</v>
      </c>
      <c r="B8243" s="330" t="s">
        <v>52599</v>
      </c>
      <c r="C8243" s="330" t="s">
        <v>19370</v>
      </c>
      <c r="D8243" s="330" t="s">
        <v>19371</v>
      </c>
      <c r="E8243" s="330" t="s">
        <v>37248</v>
      </c>
      <c r="F8243" s="331">
        <v>0.21</v>
      </c>
      <c r="G8243" s="332">
        <v>1740</v>
      </c>
      <c r="H8243" s="333">
        <v>2106</v>
      </c>
    </row>
    <row r="8244" spans="1:8">
      <c r="A8244" s="317" t="s">
        <v>41508</v>
      </c>
      <c r="B8244" s="330" t="s">
        <v>52600</v>
      </c>
      <c r="C8244" s="330" t="s">
        <v>19372</v>
      </c>
      <c r="D8244" s="330" t="s">
        <v>9505</v>
      </c>
      <c r="E8244" s="330" t="s">
        <v>37248</v>
      </c>
      <c r="F8244" s="331">
        <v>0.21</v>
      </c>
      <c r="G8244" s="332">
        <v>2652</v>
      </c>
      <c r="H8244" s="333">
        <v>3209</v>
      </c>
    </row>
    <row r="8245" spans="1:8">
      <c r="A8245" s="317" t="s">
        <v>41509</v>
      </c>
      <c r="B8245" s="330" t="s">
        <v>52601</v>
      </c>
      <c r="C8245" s="330" t="s">
        <v>19373</v>
      </c>
      <c r="D8245" s="330" t="s">
        <v>19311</v>
      </c>
      <c r="E8245" s="330" t="s">
        <v>37248</v>
      </c>
      <c r="F8245" s="331">
        <v>0.21</v>
      </c>
      <c r="G8245" s="332">
        <v>4780</v>
      </c>
      <c r="H8245" s="333">
        <v>5784</v>
      </c>
    </row>
    <row r="8246" spans="1:8">
      <c r="A8246" s="317" t="s">
        <v>41510</v>
      </c>
      <c r="B8246" s="330" t="s">
        <v>52602</v>
      </c>
      <c r="C8246" s="330" t="s">
        <v>19374</v>
      </c>
      <c r="D8246" s="330" t="s">
        <v>19375</v>
      </c>
      <c r="E8246" s="330" t="s">
        <v>37248</v>
      </c>
      <c r="F8246" s="331">
        <v>0.21</v>
      </c>
      <c r="G8246" s="332">
        <v>646</v>
      </c>
      <c r="H8246" s="333">
        <v>782</v>
      </c>
    </row>
    <row r="8247" spans="1:8">
      <c r="A8247" s="317" t="s">
        <v>41511</v>
      </c>
      <c r="B8247" s="330" t="s">
        <v>52603</v>
      </c>
      <c r="C8247" s="330" t="s">
        <v>19376</v>
      </c>
      <c r="D8247" s="330" t="s">
        <v>19377</v>
      </c>
      <c r="E8247" s="330" t="s">
        <v>37248</v>
      </c>
      <c r="F8247" s="331">
        <v>0.21</v>
      </c>
      <c r="G8247" s="332">
        <v>8864</v>
      </c>
      <c r="H8247" s="333">
        <v>10726</v>
      </c>
    </row>
    <row r="8248" spans="1:8">
      <c r="A8248" s="317" t="s">
        <v>41512</v>
      </c>
      <c r="B8248" s="330" t="s">
        <v>52604</v>
      </c>
      <c r="C8248" s="330" t="s">
        <v>19378</v>
      </c>
      <c r="D8248" s="330" t="s">
        <v>19379</v>
      </c>
      <c r="E8248" s="330" t="s">
        <v>37248</v>
      </c>
      <c r="F8248" s="331">
        <v>0.21</v>
      </c>
      <c r="G8248" s="332">
        <v>1019</v>
      </c>
      <c r="H8248" s="333">
        <v>1233</v>
      </c>
    </row>
    <row r="8249" spans="1:8">
      <c r="A8249" s="317" t="s">
        <v>41513</v>
      </c>
      <c r="B8249" s="330" t="s">
        <v>52605</v>
      </c>
      <c r="C8249" s="330" t="s">
        <v>19380</v>
      </c>
      <c r="D8249" s="330" t="s">
        <v>19381</v>
      </c>
      <c r="E8249" s="330" t="s">
        <v>37248</v>
      </c>
      <c r="F8249" s="331">
        <v>0.21</v>
      </c>
      <c r="G8249" s="332">
        <v>1182</v>
      </c>
      <c r="H8249" s="333">
        <v>1431</v>
      </c>
    </row>
    <row r="8250" spans="1:8">
      <c r="A8250" s="317" t="s">
        <v>41514</v>
      </c>
      <c r="B8250" s="330" t="s">
        <v>52606</v>
      </c>
      <c r="C8250" s="330" t="s">
        <v>19382</v>
      </c>
      <c r="D8250" s="330" t="s">
        <v>13722</v>
      </c>
      <c r="E8250" s="330" t="s">
        <v>37248</v>
      </c>
      <c r="F8250" s="331">
        <v>0.21</v>
      </c>
      <c r="G8250" s="332">
        <v>1983</v>
      </c>
      <c r="H8250" s="333">
        <v>2400</v>
      </c>
    </row>
    <row r="8251" spans="1:8">
      <c r="A8251" s="317" t="s">
        <v>41515</v>
      </c>
      <c r="B8251" s="330" t="s">
        <v>52607</v>
      </c>
      <c r="C8251" s="330" t="s">
        <v>19383</v>
      </c>
      <c r="D8251" s="330" t="s">
        <v>19381</v>
      </c>
      <c r="E8251" s="330" t="s">
        <v>37248</v>
      </c>
      <c r="F8251" s="331">
        <v>0.21</v>
      </c>
      <c r="G8251" s="332">
        <v>1019</v>
      </c>
      <c r="H8251" s="333">
        <v>1233</v>
      </c>
    </row>
    <row r="8252" spans="1:8">
      <c r="A8252" s="317" t="s">
        <v>41516</v>
      </c>
      <c r="B8252" s="330" t="s">
        <v>52608</v>
      </c>
      <c r="C8252" s="330" t="s">
        <v>19384</v>
      </c>
      <c r="D8252" s="330" t="s">
        <v>19385</v>
      </c>
      <c r="E8252" s="330" t="s">
        <v>37248</v>
      </c>
      <c r="F8252" s="331">
        <v>0.21</v>
      </c>
      <c r="G8252" s="332">
        <v>1019</v>
      </c>
      <c r="H8252" s="333">
        <v>1233</v>
      </c>
    </row>
    <row r="8253" spans="1:8">
      <c r="A8253" s="317" t="s">
        <v>41517</v>
      </c>
      <c r="B8253" s="330" t="s">
        <v>52609</v>
      </c>
      <c r="C8253" s="330" t="s">
        <v>19386</v>
      </c>
      <c r="D8253" s="330" t="s">
        <v>19387</v>
      </c>
      <c r="E8253" s="330" t="s">
        <v>37248</v>
      </c>
      <c r="F8253" s="331">
        <v>0.21</v>
      </c>
      <c r="G8253" s="332">
        <v>1117</v>
      </c>
      <c r="H8253" s="333">
        <v>1352</v>
      </c>
    </row>
    <row r="8254" spans="1:8">
      <c r="A8254" s="317" t="s">
        <v>41518</v>
      </c>
      <c r="B8254" s="330" t="s">
        <v>52610</v>
      </c>
      <c r="C8254" s="330" t="s">
        <v>19388</v>
      </c>
      <c r="D8254" s="330" t="s">
        <v>7809</v>
      </c>
      <c r="E8254" s="330" t="s">
        <v>37248</v>
      </c>
      <c r="F8254" s="331">
        <v>0.21</v>
      </c>
      <c r="G8254" s="332">
        <v>383</v>
      </c>
      <c r="H8254" s="333">
        <v>464</v>
      </c>
    </row>
    <row r="8255" spans="1:8">
      <c r="A8255" s="317" t="s">
        <v>41519</v>
      </c>
      <c r="B8255" s="330" t="s">
        <v>52611</v>
      </c>
      <c r="C8255" s="330" t="s">
        <v>19389</v>
      </c>
      <c r="D8255" s="330" t="s">
        <v>19390</v>
      </c>
      <c r="E8255" s="330" t="s">
        <v>37248</v>
      </c>
      <c r="F8255" s="331">
        <v>0.21</v>
      </c>
      <c r="G8255" s="332">
        <v>890</v>
      </c>
      <c r="H8255" s="333">
        <v>1077</v>
      </c>
    </row>
    <row r="8256" spans="1:8">
      <c r="A8256" s="317" t="s">
        <v>41520</v>
      </c>
      <c r="B8256" s="330" t="s">
        <v>52612</v>
      </c>
      <c r="C8256" s="330" t="s">
        <v>19391</v>
      </c>
      <c r="D8256" s="330" t="s">
        <v>19392</v>
      </c>
      <c r="E8256" s="330" t="s">
        <v>37248</v>
      </c>
      <c r="F8256" s="331">
        <v>0.21</v>
      </c>
      <c r="G8256" s="332">
        <v>383</v>
      </c>
      <c r="H8256" s="333">
        <v>464</v>
      </c>
    </row>
    <row r="8257" spans="1:8">
      <c r="A8257" s="317" t="s">
        <v>41521</v>
      </c>
      <c r="B8257" s="330" t="s">
        <v>52613</v>
      </c>
      <c r="C8257" s="330" t="s">
        <v>19393</v>
      </c>
      <c r="D8257" s="330" t="s">
        <v>19394</v>
      </c>
      <c r="E8257" s="330" t="s">
        <v>37248</v>
      </c>
      <c r="F8257" s="331">
        <v>0.21</v>
      </c>
      <c r="G8257" s="332">
        <v>646</v>
      </c>
      <c r="H8257" s="333">
        <v>782</v>
      </c>
    </row>
    <row r="8258" spans="1:8">
      <c r="A8258" s="317" t="s">
        <v>41522</v>
      </c>
      <c r="B8258" s="330" t="s">
        <v>52614</v>
      </c>
      <c r="C8258" s="330" t="s">
        <v>19395</v>
      </c>
      <c r="D8258" s="330" t="s">
        <v>8159</v>
      </c>
      <c r="E8258" s="330" t="s">
        <v>37248</v>
      </c>
      <c r="F8258" s="331">
        <v>0.21</v>
      </c>
      <c r="G8258" s="332">
        <v>383</v>
      </c>
      <c r="H8258" s="333">
        <v>464</v>
      </c>
    </row>
    <row r="8259" spans="1:8">
      <c r="A8259" s="317" t="s">
        <v>41523</v>
      </c>
      <c r="B8259" s="330" t="s">
        <v>52615</v>
      </c>
      <c r="C8259" s="330" t="s">
        <v>19396</v>
      </c>
      <c r="D8259" s="330" t="s">
        <v>19397</v>
      </c>
      <c r="E8259" s="330" t="s">
        <v>37248</v>
      </c>
      <c r="F8259" s="331">
        <v>0.21</v>
      </c>
      <c r="G8259" s="332">
        <v>383</v>
      </c>
      <c r="H8259" s="333">
        <v>464</v>
      </c>
    </row>
    <row r="8260" spans="1:8">
      <c r="A8260" s="317" t="s">
        <v>41524</v>
      </c>
      <c r="B8260" s="330" t="s">
        <v>52616</v>
      </c>
      <c r="C8260" s="330" t="s">
        <v>19398</v>
      </c>
      <c r="D8260" s="330" t="s">
        <v>8159</v>
      </c>
      <c r="E8260" s="330" t="s">
        <v>37248</v>
      </c>
      <c r="F8260" s="331">
        <v>0.21</v>
      </c>
      <c r="G8260" s="332">
        <v>383</v>
      </c>
      <c r="H8260" s="333">
        <v>464</v>
      </c>
    </row>
    <row r="8261" spans="1:8">
      <c r="A8261" s="317" t="s">
        <v>41525</v>
      </c>
      <c r="B8261" s="330" t="s">
        <v>52617</v>
      </c>
      <c r="C8261" s="330" t="s">
        <v>19399</v>
      </c>
      <c r="D8261" s="330" t="s">
        <v>19400</v>
      </c>
      <c r="E8261" s="330" t="s">
        <v>37248</v>
      </c>
      <c r="F8261" s="331">
        <v>0.21</v>
      </c>
      <c r="G8261" s="332">
        <v>1579</v>
      </c>
      <c r="H8261" s="333">
        <v>1911</v>
      </c>
    </row>
    <row r="8262" spans="1:8">
      <c r="A8262" s="317" t="s">
        <v>41526</v>
      </c>
      <c r="B8262" s="330" t="s">
        <v>52618</v>
      </c>
      <c r="C8262" s="330" t="s">
        <v>19401</v>
      </c>
      <c r="D8262" s="330" t="s">
        <v>7416</v>
      </c>
      <c r="E8262" s="330" t="s">
        <v>4634</v>
      </c>
      <c r="F8262" s="331">
        <v>0.21</v>
      </c>
      <c r="G8262" s="332">
        <v>356</v>
      </c>
      <c r="H8262" s="333">
        <v>431</v>
      </c>
    </row>
    <row r="8263" spans="1:8">
      <c r="A8263" s="317" t="s">
        <v>41527</v>
      </c>
      <c r="B8263" s="330" t="s">
        <v>52619</v>
      </c>
      <c r="C8263" s="330" t="s">
        <v>19402</v>
      </c>
      <c r="D8263" s="330" t="s">
        <v>19403</v>
      </c>
      <c r="E8263" s="330" t="s">
        <v>37248</v>
      </c>
      <c r="F8263" s="331">
        <v>0.21</v>
      </c>
      <c r="G8263" s="332">
        <v>1579</v>
      </c>
      <c r="H8263" s="333">
        <v>1911</v>
      </c>
    </row>
    <row r="8264" spans="1:8">
      <c r="A8264" s="317" t="s">
        <v>41528</v>
      </c>
      <c r="B8264" s="330" t="s">
        <v>52620</v>
      </c>
      <c r="C8264" s="330" t="s">
        <v>19404</v>
      </c>
      <c r="D8264" s="330" t="s">
        <v>19405</v>
      </c>
      <c r="E8264" s="330" t="s">
        <v>37248</v>
      </c>
      <c r="F8264" s="331">
        <v>0.21</v>
      </c>
      <c r="G8264" s="332">
        <v>858</v>
      </c>
      <c r="H8264" s="333">
        <v>1039</v>
      </c>
    </row>
    <row r="8265" spans="1:8">
      <c r="A8265" s="317" t="s">
        <v>41529</v>
      </c>
      <c r="B8265" s="330" t="s">
        <v>52621</v>
      </c>
      <c r="C8265" s="330" t="s">
        <v>19406</v>
      </c>
      <c r="D8265" s="330" t="s">
        <v>6938</v>
      </c>
      <c r="E8265" s="330" t="s">
        <v>37248</v>
      </c>
      <c r="F8265" s="331">
        <v>0.21</v>
      </c>
      <c r="G8265" s="332">
        <v>12001</v>
      </c>
      <c r="H8265" s="333">
        <v>14522</v>
      </c>
    </row>
    <row r="8266" spans="1:8">
      <c r="A8266" s="317" t="s">
        <v>41530</v>
      </c>
      <c r="B8266" s="330" t="s">
        <v>52622</v>
      </c>
      <c r="C8266" s="330" t="s">
        <v>19407</v>
      </c>
      <c r="D8266" s="330" t="s">
        <v>7809</v>
      </c>
      <c r="E8266" s="330" t="s">
        <v>37248</v>
      </c>
      <c r="F8266" s="331">
        <v>0.21</v>
      </c>
      <c r="G8266" s="332">
        <v>383</v>
      </c>
      <c r="H8266" s="333">
        <v>464</v>
      </c>
    </row>
    <row r="8267" spans="1:8">
      <c r="A8267" s="317" t="s">
        <v>41531</v>
      </c>
      <c r="B8267" s="330" t="s">
        <v>52623</v>
      </c>
      <c r="C8267" s="330" t="s">
        <v>19408</v>
      </c>
      <c r="D8267" s="330" t="s">
        <v>19409</v>
      </c>
      <c r="E8267" s="330" t="s">
        <v>37248</v>
      </c>
      <c r="F8267" s="331">
        <v>0.21</v>
      </c>
      <c r="G8267" s="332">
        <v>646</v>
      </c>
      <c r="H8267" s="333">
        <v>782</v>
      </c>
    </row>
    <row r="8268" spans="1:8">
      <c r="A8268" s="317" t="s">
        <v>41532</v>
      </c>
      <c r="B8268" s="330" t="s">
        <v>52624</v>
      </c>
      <c r="C8268" s="330" t="s">
        <v>19410</v>
      </c>
      <c r="D8268" s="330" t="s">
        <v>19411</v>
      </c>
      <c r="E8268" s="330" t="s">
        <v>37248</v>
      </c>
      <c r="F8268" s="331">
        <v>0.21</v>
      </c>
      <c r="G8268" s="332">
        <v>1856</v>
      </c>
      <c r="H8268" s="333">
        <v>2246</v>
      </c>
    </row>
    <row r="8269" spans="1:8">
      <c r="A8269" s="317" t="s">
        <v>41533</v>
      </c>
      <c r="B8269" s="330" t="s">
        <v>52625</v>
      </c>
      <c r="C8269" s="330" t="s">
        <v>19412</v>
      </c>
      <c r="D8269" s="330" t="s">
        <v>19413</v>
      </c>
      <c r="E8269" s="330" t="s">
        <v>37248</v>
      </c>
      <c r="F8269" s="331">
        <v>0.21</v>
      </c>
      <c r="G8269" s="332">
        <v>646</v>
      </c>
      <c r="H8269" s="333">
        <v>782</v>
      </c>
    </row>
    <row r="8270" spans="1:8">
      <c r="A8270" s="317" t="s">
        <v>41534</v>
      </c>
      <c r="B8270" s="330" t="s">
        <v>52626</v>
      </c>
      <c r="C8270" s="330" t="s">
        <v>19414</v>
      </c>
      <c r="D8270" s="330" t="s">
        <v>19415</v>
      </c>
      <c r="E8270" s="330" t="s">
        <v>37248</v>
      </c>
      <c r="F8270" s="331">
        <v>0.21</v>
      </c>
      <c r="G8270" s="332">
        <v>6159</v>
      </c>
      <c r="H8270" s="333">
        <v>7453</v>
      </c>
    </row>
    <row r="8271" spans="1:8">
      <c r="A8271" s="317" t="s">
        <v>41535</v>
      </c>
      <c r="B8271" s="330" t="s">
        <v>52627</v>
      </c>
      <c r="C8271" s="330" t="s">
        <v>19416</v>
      </c>
      <c r="D8271" s="330" t="s">
        <v>5073</v>
      </c>
      <c r="E8271" s="330" t="s">
        <v>37248</v>
      </c>
      <c r="F8271" s="331">
        <v>0.21</v>
      </c>
      <c r="G8271" s="332">
        <v>15905</v>
      </c>
      <c r="H8271" s="333">
        <v>19246</v>
      </c>
    </row>
    <row r="8272" spans="1:8">
      <c r="A8272" s="317" t="s">
        <v>41536</v>
      </c>
      <c r="B8272" s="330" t="s">
        <v>52628</v>
      </c>
      <c r="C8272" s="330" t="s">
        <v>19417</v>
      </c>
      <c r="D8272" s="330" t="s">
        <v>8698</v>
      </c>
      <c r="E8272" s="330" t="s">
        <v>37248</v>
      </c>
      <c r="F8272" s="331">
        <v>0.21</v>
      </c>
      <c r="G8272" s="332">
        <v>4414</v>
      </c>
      <c r="H8272" s="333">
        <v>5341</v>
      </c>
    </row>
    <row r="8273" spans="1:8">
      <c r="A8273" s="317" t="s">
        <v>41537</v>
      </c>
      <c r="B8273" s="330" t="s">
        <v>52629</v>
      </c>
      <c r="C8273" s="330" t="s">
        <v>19418</v>
      </c>
      <c r="D8273" s="330" t="s">
        <v>19419</v>
      </c>
      <c r="E8273" s="330" t="s">
        <v>37248</v>
      </c>
      <c r="F8273" s="331">
        <v>0.21</v>
      </c>
      <c r="G8273" s="332">
        <v>8864</v>
      </c>
      <c r="H8273" s="333">
        <v>10726</v>
      </c>
    </row>
    <row r="8274" spans="1:8">
      <c r="A8274" s="317" t="s">
        <v>41538</v>
      </c>
      <c r="B8274" s="330" t="s">
        <v>52630</v>
      </c>
      <c r="C8274" s="330" t="s">
        <v>19420</v>
      </c>
      <c r="D8274" s="330" t="s">
        <v>19421</v>
      </c>
      <c r="E8274" s="330" t="s">
        <v>37248</v>
      </c>
      <c r="F8274" s="331">
        <v>0.21</v>
      </c>
      <c r="G8274" s="332">
        <v>1117</v>
      </c>
      <c r="H8274" s="333">
        <v>1352</v>
      </c>
    </row>
    <row r="8275" spans="1:8">
      <c r="A8275" s="317" t="s">
        <v>41539</v>
      </c>
      <c r="B8275" s="330" t="s">
        <v>52631</v>
      </c>
      <c r="C8275" s="330" t="s">
        <v>19422</v>
      </c>
      <c r="D8275" s="330" t="s">
        <v>19315</v>
      </c>
      <c r="E8275" s="330" t="s">
        <v>37248</v>
      </c>
      <c r="F8275" s="331">
        <v>0.21</v>
      </c>
      <c r="G8275" s="332">
        <v>5108</v>
      </c>
      <c r="H8275" s="333">
        <v>6181</v>
      </c>
    </row>
    <row r="8276" spans="1:8">
      <c r="A8276" s="317" t="s">
        <v>41540</v>
      </c>
      <c r="B8276" s="330" t="s">
        <v>52632</v>
      </c>
      <c r="C8276" s="330" t="s">
        <v>19423</v>
      </c>
      <c r="D8276" s="330" t="s">
        <v>19424</v>
      </c>
      <c r="E8276" s="330" t="s">
        <v>37248</v>
      </c>
      <c r="F8276" s="331">
        <v>0.21</v>
      </c>
      <c r="G8276" s="332">
        <v>2895</v>
      </c>
      <c r="H8276" s="333">
        <v>3503</v>
      </c>
    </row>
    <row r="8277" spans="1:8">
      <c r="A8277" s="317" t="s">
        <v>41541</v>
      </c>
      <c r="B8277" s="330" t="s">
        <v>52633</v>
      </c>
      <c r="C8277" s="330" t="s">
        <v>19425</v>
      </c>
      <c r="D8277" s="330" t="s">
        <v>8407</v>
      </c>
      <c r="E8277" s="330" t="s">
        <v>37248</v>
      </c>
      <c r="F8277" s="331">
        <v>0.21</v>
      </c>
      <c r="G8277" s="332">
        <v>814</v>
      </c>
      <c r="H8277" s="333">
        <v>985</v>
      </c>
    </row>
    <row r="8278" spans="1:8">
      <c r="A8278" s="317" t="s">
        <v>41542</v>
      </c>
      <c r="B8278" s="330" t="s">
        <v>52634</v>
      </c>
      <c r="C8278" s="330" t="s">
        <v>19426</v>
      </c>
      <c r="D8278" s="330" t="s">
        <v>19427</v>
      </c>
      <c r="E8278" s="330" t="s">
        <v>37248</v>
      </c>
      <c r="F8278" s="331">
        <v>0.21</v>
      </c>
      <c r="G8278" s="332">
        <v>1117</v>
      </c>
      <c r="H8278" s="333">
        <v>1352</v>
      </c>
    </row>
    <row r="8279" spans="1:8">
      <c r="A8279" s="317" t="s">
        <v>41543</v>
      </c>
      <c r="B8279" s="330" t="s">
        <v>52635</v>
      </c>
      <c r="C8279" s="330" t="s">
        <v>19428</v>
      </c>
      <c r="D8279" s="330" t="s">
        <v>19429</v>
      </c>
      <c r="E8279" s="330" t="s">
        <v>37248</v>
      </c>
      <c r="F8279" s="331">
        <v>0.21</v>
      </c>
      <c r="G8279" s="332">
        <v>475</v>
      </c>
      <c r="H8279" s="333">
        <v>575</v>
      </c>
    </row>
    <row r="8280" spans="1:8">
      <c r="A8280" s="317" t="s">
        <v>41544</v>
      </c>
      <c r="B8280" s="330" t="s">
        <v>52636</v>
      </c>
      <c r="C8280" s="330" t="s">
        <v>19430</v>
      </c>
      <c r="D8280" s="330" t="s">
        <v>19431</v>
      </c>
      <c r="E8280" s="330" t="s">
        <v>37248</v>
      </c>
      <c r="F8280" s="331">
        <v>0.21</v>
      </c>
      <c r="G8280" s="332">
        <v>3694</v>
      </c>
      <c r="H8280" s="333">
        <v>4470</v>
      </c>
    </row>
    <row r="8281" spans="1:8">
      <c r="A8281" s="317" t="s">
        <v>41545</v>
      </c>
      <c r="B8281" s="330" t="s">
        <v>52637</v>
      </c>
      <c r="C8281" s="330" t="s">
        <v>19432</v>
      </c>
      <c r="D8281" s="330" t="s">
        <v>8006</v>
      </c>
      <c r="E8281" s="330" t="s">
        <v>37248</v>
      </c>
      <c r="F8281" s="331">
        <v>0.21</v>
      </c>
      <c r="G8281" s="332">
        <v>28890</v>
      </c>
      <c r="H8281" s="333">
        <v>34957</v>
      </c>
    </row>
    <row r="8282" spans="1:8">
      <c r="A8282" s="317" t="s">
        <v>41546</v>
      </c>
      <c r="B8282" s="330" t="s">
        <v>52638</v>
      </c>
      <c r="C8282" s="330" t="s">
        <v>19433</v>
      </c>
      <c r="D8282" s="330" t="s">
        <v>5441</v>
      </c>
      <c r="E8282" s="330" t="s">
        <v>37248</v>
      </c>
      <c r="F8282" s="331">
        <v>0.21</v>
      </c>
      <c r="G8282" s="332">
        <v>6159</v>
      </c>
      <c r="H8282" s="333">
        <v>7453</v>
      </c>
    </row>
    <row r="8283" spans="1:8">
      <c r="A8283" s="317" t="s">
        <v>41547</v>
      </c>
      <c r="B8283" s="330" t="s">
        <v>52639</v>
      </c>
      <c r="C8283" s="330" t="s">
        <v>19434</v>
      </c>
      <c r="D8283" s="330" t="s">
        <v>7418</v>
      </c>
      <c r="E8283" s="330" t="s">
        <v>37248</v>
      </c>
      <c r="F8283" s="331">
        <v>0.21</v>
      </c>
      <c r="G8283" s="332">
        <v>39107</v>
      </c>
      <c r="H8283" s="333">
        <v>47320</v>
      </c>
    </row>
    <row r="8284" spans="1:8">
      <c r="A8284" s="317" t="s">
        <v>41548</v>
      </c>
      <c r="B8284" s="330" t="s">
        <v>52640</v>
      </c>
      <c r="C8284" s="330" t="s">
        <v>19435</v>
      </c>
      <c r="D8284" s="330" t="s">
        <v>8060</v>
      </c>
      <c r="E8284" s="330" t="s">
        <v>37248</v>
      </c>
      <c r="F8284" s="331">
        <v>0.21</v>
      </c>
      <c r="G8284" s="332">
        <v>383</v>
      </c>
      <c r="H8284" s="333">
        <v>464</v>
      </c>
    </row>
    <row r="8285" spans="1:8">
      <c r="A8285" s="317" t="s">
        <v>41549</v>
      </c>
      <c r="B8285" s="330" t="s">
        <v>52641</v>
      </c>
      <c r="C8285" s="330" t="s">
        <v>19436</v>
      </c>
      <c r="D8285" s="330" t="s">
        <v>4710</v>
      </c>
      <c r="E8285" s="330" t="s">
        <v>37248</v>
      </c>
      <c r="F8285" s="331">
        <v>0.21</v>
      </c>
      <c r="G8285" s="332">
        <v>976</v>
      </c>
      <c r="H8285" s="333">
        <v>1181</v>
      </c>
    </row>
    <row r="8286" spans="1:8">
      <c r="A8286" s="317" t="s">
        <v>41550</v>
      </c>
      <c r="B8286" s="330" t="s">
        <v>52642</v>
      </c>
      <c r="C8286" s="330" t="s">
        <v>19437</v>
      </c>
      <c r="D8286" s="330" t="s">
        <v>8162</v>
      </c>
      <c r="E8286" s="330" t="s">
        <v>37248</v>
      </c>
      <c r="F8286" s="331">
        <v>0.21</v>
      </c>
      <c r="G8286" s="332">
        <v>976</v>
      </c>
      <c r="H8286" s="333">
        <v>1181</v>
      </c>
    </row>
    <row r="8287" spans="1:8">
      <c r="A8287" s="317" t="s">
        <v>41551</v>
      </c>
      <c r="B8287" s="330" t="s">
        <v>52643</v>
      </c>
      <c r="C8287" s="330" t="s">
        <v>19438</v>
      </c>
      <c r="D8287" s="330" t="s">
        <v>10322</v>
      </c>
      <c r="E8287" s="330" t="s">
        <v>37248</v>
      </c>
      <c r="F8287" s="331">
        <v>0.21</v>
      </c>
      <c r="G8287" s="332">
        <v>2529</v>
      </c>
      <c r="H8287" s="333">
        <v>3061</v>
      </c>
    </row>
    <row r="8288" spans="1:8">
      <c r="A8288" s="317" t="s">
        <v>41552</v>
      </c>
      <c r="B8288" s="330" t="s">
        <v>52644</v>
      </c>
      <c r="C8288" s="330" t="s">
        <v>19439</v>
      </c>
      <c r="D8288" s="330" t="s">
        <v>7858</v>
      </c>
      <c r="E8288" s="330" t="s">
        <v>37248</v>
      </c>
      <c r="F8288" s="331">
        <v>0.21</v>
      </c>
      <c r="G8288" s="332">
        <v>1505</v>
      </c>
      <c r="H8288" s="333">
        <v>1822</v>
      </c>
    </row>
    <row r="8289" spans="1:8">
      <c r="A8289" s="317" t="s">
        <v>41553</v>
      </c>
      <c r="B8289" s="330" t="s">
        <v>52645</v>
      </c>
      <c r="C8289" s="330" t="s">
        <v>19440</v>
      </c>
      <c r="D8289" s="330" t="s">
        <v>19441</v>
      </c>
      <c r="E8289" s="330" t="s">
        <v>37248</v>
      </c>
      <c r="F8289" s="331">
        <v>0.21</v>
      </c>
      <c r="G8289" s="332">
        <v>976</v>
      </c>
      <c r="H8289" s="333">
        <v>1181</v>
      </c>
    </row>
    <row r="8290" spans="1:8">
      <c r="A8290" s="317" t="s">
        <v>41554</v>
      </c>
      <c r="B8290" s="330" t="s">
        <v>52646</v>
      </c>
      <c r="C8290" s="330" t="s">
        <v>19442</v>
      </c>
      <c r="D8290" s="330" t="s">
        <v>19441</v>
      </c>
      <c r="E8290" s="330" t="s">
        <v>37248</v>
      </c>
      <c r="F8290" s="331">
        <v>0.21</v>
      </c>
      <c r="G8290" s="332">
        <v>976</v>
      </c>
      <c r="H8290" s="333">
        <v>1181</v>
      </c>
    </row>
    <row r="8291" spans="1:8">
      <c r="A8291" s="317" t="s">
        <v>41555</v>
      </c>
      <c r="B8291" s="330" t="s">
        <v>52647</v>
      </c>
      <c r="C8291" s="330" t="s">
        <v>19443</v>
      </c>
      <c r="D8291" s="330" t="s">
        <v>8853</v>
      </c>
      <c r="E8291" s="330" t="s">
        <v>37248</v>
      </c>
      <c r="F8291" s="331">
        <v>0.21</v>
      </c>
      <c r="G8291" s="332">
        <v>976</v>
      </c>
      <c r="H8291" s="333">
        <v>1181</v>
      </c>
    </row>
    <row r="8292" spans="1:8">
      <c r="A8292" s="317" t="s">
        <v>41556</v>
      </c>
      <c r="B8292" s="330" t="s">
        <v>52648</v>
      </c>
      <c r="C8292" s="330" t="s">
        <v>19444</v>
      </c>
      <c r="D8292" s="330" t="s">
        <v>6933</v>
      </c>
      <c r="E8292" s="330" t="s">
        <v>4819</v>
      </c>
      <c r="F8292" s="331">
        <v>0.21</v>
      </c>
      <c r="G8292" s="332">
        <v>1115</v>
      </c>
      <c r="H8292" s="333">
        <v>1350</v>
      </c>
    </row>
    <row r="8293" spans="1:8">
      <c r="A8293" s="317" t="s">
        <v>41557</v>
      </c>
      <c r="B8293" s="330" t="s">
        <v>52649</v>
      </c>
      <c r="C8293" s="330" t="s">
        <v>19445</v>
      </c>
      <c r="D8293" s="330" t="s">
        <v>19446</v>
      </c>
      <c r="E8293" s="330" t="s">
        <v>4634</v>
      </c>
      <c r="F8293" s="331">
        <v>0.21</v>
      </c>
      <c r="G8293" s="332">
        <v>490</v>
      </c>
      <c r="H8293" s="333">
        <v>593</v>
      </c>
    </row>
    <row r="8294" spans="1:8">
      <c r="A8294" s="317" t="s">
        <v>41558</v>
      </c>
      <c r="B8294" s="330" t="s">
        <v>52650</v>
      </c>
      <c r="C8294" s="330" t="s">
        <v>19447</v>
      </c>
      <c r="D8294" s="330" t="s">
        <v>19448</v>
      </c>
      <c r="E8294" s="330" t="s">
        <v>4634</v>
      </c>
      <c r="F8294" s="331">
        <v>0.21</v>
      </c>
      <c r="G8294" s="332">
        <v>490</v>
      </c>
      <c r="H8294" s="333">
        <v>593</v>
      </c>
    </row>
    <row r="8295" spans="1:8">
      <c r="A8295" s="317" t="s">
        <v>41559</v>
      </c>
      <c r="B8295" s="330" t="s">
        <v>52651</v>
      </c>
      <c r="C8295" s="330" t="s">
        <v>19449</v>
      </c>
      <c r="D8295" s="330" t="s">
        <v>12578</v>
      </c>
      <c r="E8295" s="330" t="s">
        <v>37248</v>
      </c>
      <c r="F8295" s="331">
        <v>0.21</v>
      </c>
      <c r="G8295" s="332">
        <v>890</v>
      </c>
      <c r="H8295" s="333">
        <v>1077</v>
      </c>
    </row>
    <row r="8296" spans="1:8">
      <c r="A8296" s="317" t="s">
        <v>41560</v>
      </c>
      <c r="B8296" s="330" t="s">
        <v>52652</v>
      </c>
      <c r="C8296" s="330" t="s">
        <v>19450</v>
      </c>
      <c r="D8296" s="330" t="s">
        <v>19451</v>
      </c>
      <c r="E8296" s="330" t="s">
        <v>4634</v>
      </c>
      <c r="F8296" s="331">
        <v>0.21</v>
      </c>
      <c r="G8296" s="332">
        <v>506</v>
      </c>
      <c r="H8296" s="333">
        <v>613</v>
      </c>
    </row>
    <row r="8297" spans="1:8">
      <c r="A8297" s="317" t="s">
        <v>41561</v>
      </c>
      <c r="B8297" s="330" t="s">
        <v>52653</v>
      </c>
      <c r="C8297" s="330" t="s">
        <v>19452</v>
      </c>
      <c r="D8297" s="330" t="s">
        <v>19453</v>
      </c>
      <c r="E8297" s="330" t="s">
        <v>4819</v>
      </c>
      <c r="F8297" s="331">
        <v>0.21</v>
      </c>
      <c r="G8297" s="332">
        <v>5819</v>
      </c>
      <c r="H8297" s="333">
        <v>7041</v>
      </c>
    </row>
    <row r="8298" spans="1:8">
      <c r="A8298" s="317" t="s">
        <v>41562</v>
      </c>
      <c r="B8298" s="330" t="s">
        <v>52654</v>
      </c>
      <c r="C8298" s="330" t="s">
        <v>19454</v>
      </c>
      <c r="D8298" s="330" t="s">
        <v>19455</v>
      </c>
      <c r="E8298" s="330" t="s">
        <v>4819</v>
      </c>
      <c r="F8298" s="331">
        <v>0.21</v>
      </c>
      <c r="G8298" s="332">
        <v>7332</v>
      </c>
      <c r="H8298" s="333">
        <v>8872</v>
      </c>
    </row>
    <row r="8299" spans="1:8">
      <c r="A8299" s="317" t="s">
        <v>41563</v>
      </c>
      <c r="B8299" s="330" t="s">
        <v>52655</v>
      </c>
      <c r="C8299" s="330" t="s">
        <v>19456</v>
      </c>
      <c r="D8299" s="330" t="s">
        <v>19457</v>
      </c>
      <c r="E8299" s="330" t="s">
        <v>37248</v>
      </c>
      <c r="F8299" s="331">
        <v>0.21</v>
      </c>
      <c r="G8299" s="332">
        <v>35206</v>
      </c>
      <c r="H8299" s="333">
        <v>42600</v>
      </c>
    </row>
    <row r="8300" spans="1:8">
      <c r="A8300" s="317" t="s">
        <v>41564</v>
      </c>
      <c r="B8300" s="330" t="s">
        <v>52656</v>
      </c>
      <c r="C8300" s="330" t="s">
        <v>19458</v>
      </c>
      <c r="D8300" s="330" t="s">
        <v>19459</v>
      </c>
      <c r="E8300" s="330" t="s">
        <v>4634</v>
      </c>
      <c r="F8300" s="331">
        <v>0.21</v>
      </c>
      <c r="G8300" s="332">
        <v>285</v>
      </c>
      <c r="H8300" s="333">
        <v>345</v>
      </c>
    </row>
    <row r="8301" spans="1:8">
      <c r="A8301" s="317" t="s">
        <v>41565</v>
      </c>
      <c r="B8301" s="330" t="s">
        <v>52657</v>
      </c>
      <c r="C8301" s="330" t="s">
        <v>19460</v>
      </c>
      <c r="D8301" s="330" t="s">
        <v>19461</v>
      </c>
      <c r="E8301" s="330" t="s">
        <v>4623</v>
      </c>
      <c r="F8301" s="331">
        <v>0.21</v>
      </c>
      <c r="G8301" s="332">
        <v>2081</v>
      </c>
      <c r="H8301" s="333">
        <v>2519</v>
      </c>
    </row>
    <row r="8302" spans="1:8">
      <c r="A8302" s="317" t="s">
        <v>41566</v>
      </c>
      <c r="B8302" s="330" t="s">
        <v>52658</v>
      </c>
      <c r="C8302" s="330" t="s">
        <v>19462</v>
      </c>
      <c r="D8302" s="330" t="s">
        <v>19463</v>
      </c>
      <c r="E8302" s="330" t="s">
        <v>37248</v>
      </c>
      <c r="F8302" s="331">
        <v>0.21</v>
      </c>
      <c r="G8302" s="332">
        <v>10404</v>
      </c>
      <c r="H8302" s="333">
        <v>12589</v>
      </c>
    </row>
    <row r="8303" spans="1:8">
      <c r="A8303" s="317" t="s">
        <v>41567</v>
      </c>
      <c r="B8303" s="330" t="s">
        <v>52659</v>
      </c>
      <c r="C8303" s="330" t="s">
        <v>19464</v>
      </c>
      <c r="D8303" s="330" t="s">
        <v>19465</v>
      </c>
      <c r="E8303" s="330" t="s">
        <v>4634</v>
      </c>
      <c r="F8303" s="331">
        <v>0.21</v>
      </c>
      <c r="G8303" s="332">
        <v>245</v>
      </c>
      <c r="H8303" s="333">
        <v>297</v>
      </c>
    </row>
    <row r="8304" spans="1:8">
      <c r="A8304" s="317" t="s">
        <v>41568</v>
      </c>
      <c r="B8304" s="330" t="s">
        <v>52660</v>
      </c>
      <c r="C8304" s="330" t="s">
        <v>19466</v>
      </c>
      <c r="D8304" s="330" t="s">
        <v>19467</v>
      </c>
      <c r="E8304" s="330" t="s">
        <v>4634</v>
      </c>
      <c r="F8304" s="331">
        <v>0.21</v>
      </c>
      <c r="G8304" s="332">
        <v>245</v>
      </c>
      <c r="H8304" s="333">
        <v>297</v>
      </c>
    </row>
    <row r="8305" spans="1:8">
      <c r="A8305" s="317" t="s">
        <v>41569</v>
      </c>
      <c r="B8305" s="330" t="s">
        <v>52661</v>
      </c>
      <c r="C8305" s="330" t="s">
        <v>19468</v>
      </c>
      <c r="D8305" s="330" t="s">
        <v>19469</v>
      </c>
      <c r="E8305" s="330" t="s">
        <v>4634</v>
      </c>
      <c r="F8305" s="331">
        <v>0.21</v>
      </c>
      <c r="G8305" s="332">
        <v>285</v>
      </c>
      <c r="H8305" s="333">
        <v>345</v>
      </c>
    </row>
    <row r="8306" spans="1:8">
      <c r="A8306" s="317" t="s">
        <v>41570</v>
      </c>
      <c r="B8306" s="330" t="s">
        <v>52662</v>
      </c>
      <c r="C8306" s="330" t="s">
        <v>19470</v>
      </c>
      <c r="D8306" s="330" t="s">
        <v>19471</v>
      </c>
      <c r="E8306" s="330" t="s">
        <v>4819</v>
      </c>
      <c r="F8306" s="331">
        <v>0.21</v>
      </c>
      <c r="G8306" s="332">
        <v>15949</v>
      </c>
      <c r="H8306" s="333">
        <v>19299</v>
      </c>
    </row>
    <row r="8307" spans="1:8">
      <c r="A8307" s="317" t="s">
        <v>41571</v>
      </c>
      <c r="B8307" s="330" t="s">
        <v>52663</v>
      </c>
      <c r="C8307" s="330" t="s">
        <v>19472</v>
      </c>
      <c r="D8307" s="330" t="s">
        <v>19473</v>
      </c>
      <c r="E8307" s="330" t="s">
        <v>4819</v>
      </c>
      <c r="F8307" s="331">
        <v>0.21</v>
      </c>
      <c r="G8307" s="332">
        <v>70947</v>
      </c>
      <c r="H8307" s="333">
        <v>85846</v>
      </c>
    </row>
    <row r="8308" spans="1:8">
      <c r="A8308" s="317" t="s">
        <v>41572</v>
      </c>
      <c r="B8308" s="330" t="s">
        <v>52664</v>
      </c>
      <c r="C8308" s="330" t="s">
        <v>19474</v>
      </c>
      <c r="D8308" s="330" t="s">
        <v>19475</v>
      </c>
      <c r="E8308" s="330" t="s">
        <v>37248</v>
      </c>
      <c r="F8308" s="331">
        <v>0.21</v>
      </c>
      <c r="G8308" s="332">
        <v>4035</v>
      </c>
      <c r="H8308" s="333">
        <v>4883</v>
      </c>
    </row>
    <row r="8309" spans="1:8">
      <c r="A8309" s="317" t="s">
        <v>41573</v>
      </c>
      <c r="B8309" s="330" t="s">
        <v>52665</v>
      </c>
      <c r="C8309" s="330" t="s">
        <v>19476</v>
      </c>
      <c r="D8309" s="330" t="s">
        <v>19477</v>
      </c>
      <c r="E8309" s="330" t="s">
        <v>37248</v>
      </c>
      <c r="F8309" s="331">
        <v>0.21</v>
      </c>
      <c r="G8309" s="332">
        <v>4035</v>
      </c>
      <c r="H8309" s="333">
        <v>4883</v>
      </c>
    </row>
    <row r="8310" spans="1:8">
      <c r="A8310" s="317" t="s">
        <v>41574</v>
      </c>
      <c r="B8310" s="330" t="s">
        <v>52666</v>
      </c>
      <c r="C8310" s="330" t="s">
        <v>19478</v>
      </c>
      <c r="D8310" s="330" t="s">
        <v>19479</v>
      </c>
      <c r="E8310" s="330" t="s">
        <v>37248</v>
      </c>
      <c r="F8310" s="331">
        <v>0.21</v>
      </c>
      <c r="G8310" s="332">
        <v>14301</v>
      </c>
      <c r="H8310" s="333">
        <v>17305</v>
      </c>
    </row>
    <row r="8311" spans="1:8">
      <c r="A8311" s="317" t="s">
        <v>41575</v>
      </c>
      <c r="B8311" s="330" t="s">
        <v>52667</v>
      </c>
      <c r="C8311" s="330" t="s">
        <v>19480</v>
      </c>
      <c r="D8311" s="330" t="s">
        <v>19481</v>
      </c>
      <c r="E8311" s="330" t="s">
        <v>37248</v>
      </c>
      <c r="F8311" s="331">
        <v>0.21</v>
      </c>
      <c r="G8311" s="332">
        <v>1911</v>
      </c>
      <c r="H8311" s="333">
        <v>2313</v>
      </c>
    </row>
    <row r="8312" spans="1:8">
      <c r="A8312" s="317" t="s">
        <v>41576</v>
      </c>
      <c r="B8312" s="330" t="s">
        <v>52668</v>
      </c>
      <c r="C8312" s="330" t="s">
        <v>19482</v>
      </c>
      <c r="D8312" s="330" t="s">
        <v>19483</v>
      </c>
      <c r="E8312" s="330" t="s">
        <v>4819</v>
      </c>
      <c r="F8312" s="331">
        <v>0.21</v>
      </c>
      <c r="G8312" s="332">
        <v>8008</v>
      </c>
      <c r="H8312" s="333">
        <v>9690</v>
      </c>
    </row>
    <row r="8313" spans="1:8">
      <c r="A8313" s="317" t="s">
        <v>41577</v>
      </c>
      <c r="B8313" s="330" t="s">
        <v>52669</v>
      </c>
      <c r="C8313" s="330" t="s">
        <v>19484</v>
      </c>
      <c r="D8313" s="330" t="s">
        <v>19485</v>
      </c>
      <c r="E8313" s="330" t="s">
        <v>4634</v>
      </c>
      <c r="F8313" s="331">
        <v>0.21</v>
      </c>
      <c r="G8313" s="332">
        <v>613</v>
      </c>
      <c r="H8313" s="333">
        <v>742</v>
      </c>
    </row>
    <row r="8314" spans="1:8">
      <c r="A8314" s="317" t="s">
        <v>41578</v>
      </c>
      <c r="B8314" s="330" t="s">
        <v>52670</v>
      </c>
      <c r="C8314" s="330" t="s">
        <v>19486</v>
      </c>
      <c r="D8314" s="330" t="s">
        <v>19471</v>
      </c>
      <c r="E8314" s="330" t="s">
        <v>4634</v>
      </c>
      <c r="F8314" s="331">
        <v>0.21</v>
      </c>
      <c r="G8314" s="332">
        <v>2246</v>
      </c>
      <c r="H8314" s="333">
        <v>2718</v>
      </c>
    </row>
    <row r="8315" spans="1:8">
      <c r="A8315" s="317" t="s">
        <v>41579</v>
      </c>
      <c r="B8315" s="330" t="s">
        <v>52671</v>
      </c>
      <c r="C8315" s="330" t="s">
        <v>19487</v>
      </c>
      <c r="D8315" s="330" t="s">
        <v>19488</v>
      </c>
      <c r="E8315" s="330" t="s">
        <v>4819</v>
      </c>
      <c r="F8315" s="331">
        <v>0.21</v>
      </c>
      <c r="G8315" s="332">
        <v>14056</v>
      </c>
      <c r="H8315" s="333">
        <v>17008</v>
      </c>
    </row>
    <row r="8316" spans="1:8">
      <c r="A8316" s="317" t="s">
        <v>41580</v>
      </c>
      <c r="B8316" s="330" t="s">
        <v>52672</v>
      </c>
      <c r="C8316" s="330" t="s">
        <v>19489</v>
      </c>
      <c r="D8316" s="330" t="s">
        <v>19490</v>
      </c>
      <c r="E8316" s="330" t="s">
        <v>4819</v>
      </c>
      <c r="F8316" s="331">
        <v>0.21</v>
      </c>
      <c r="G8316" s="332">
        <v>1610</v>
      </c>
      <c r="H8316" s="333">
        <v>1949</v>
      </c>
    </row>
    <row r="8317" spans="1:8">
      <c r="A8317" s="317" t="s">
        <v>41581</v>
      </c>
      <c r="B8317" s="330" t="s">
        <v>52673</v>
      </c>
      <c r="C8317" s="330" t="s">
        <v>19491</v>
      </c>
      <c r="D8317" s="330" t="s">
        <v>19492</v>
      </c>
      <c r="E8317" s="330" t="s">
        <v>4634</v>
      </c>
      <c r="F8317" s="331">
        <v>0.21</v>
      </c>
      <c r="G8317" s="332">
        <v>506</v>
      </c>
      <c r="H8317" s="333">
        <v>613</v>
      </c>
    </row>
    <row r="8318" spans="1:8">
      <c r="A8318" s="317" t="s">
        <v>41582</v>
      </c>
      <c r="B8318" s="330" t="s">
        <v>52674</v>
      </c>
      <c r="C8318" s="330" t="s">
        <v>19493</v>
      </c>
      <c r="D8318" s="330" t="s">
        <v>19494</v>
      </c>
      <c r="E8318" s="330" t="s">
        <v>37248</v>
      </c>
      <c r="F8318" s="331">
        <v>0.21</v>
      </c>
      <c r="G8318" s="332">
        <v>19396</v>
      </c>
      <c r="H8318" s="333">
        <v>23470</v>
      </c>
    </row>
    <row r="8319" spans="1:8">
      <c r="A8319" s="317" t="s">
        <v>41583</v>
      </c>
      <c r="B8319" s="330" t="s">
        <v>52675</v>
      </c>
      <c r="C8319" s="330" t="s">
        <v>19495</v>
      </c>
      <c r="D8319" s="330" t="s">
        <v>19496</v>
      </c>
      <c r="E8319" s="330" t="s">
        <v>4634</v>
      </c>
      <c r="F8319" s="331">
        <v>0.21</v>
      </c>
      <c r="G8319" s="332">
        <v>392</v>
      </c>
      <c r="H8319" s="333">
        <v>475</v>
      </c>
    </row>
    <row r="8320" spans="1:8">
      <c r="A8320" s="317" t="s">
        <v>41584</v>
      </c>
      <c r="B8320" s="330" t="s">
        <v>52676</v>
      </c>
      <c r="C8320" s="330" t="s">
        <v>19497</v>
      </c>
      <c r="D8320" s="330" t="s">
        <v>19498</v>
      </c>
      <c r="E8320" s="330" t="s">
        <v>4634</v>
      </c>
      <c r="F8320" s="331">
        <v>0.21</v>
      </c>
      <c r="G8320" s="332">
        <v>245</v>
      </c>
      <c r="H8320" s="333">
        <v>297</v>
      </c>
    </row>
    <row r="8321" spans="1:8">
      <c r="A8321" s="317" t="s">
        <v>41585</v>
      </c>
      <c r="B8321" s="330" t="s">
        <v>52677</v>
      </c>
      <c r="C8321" s="330" t="s">
        <v>19499</v>
      </c>
      <c r="D8321" s="330" t="s">
        <v>19500</v>
      </c>
      <c r="E8321" s="330" t="s">
        <v>4634</v>
      </c>
      <c r="F8321" s="331">
        <v>0.21</v>
      </c>
      <c r="G8321" s="332">
        <v>245</v>
      </c>
      <c r="H8321" s="333">
        <v>297</v>
      </c>
    </row>
    <row r="8322" spans="1:8">
      <c r="A8322" s="317" t="s">
        <v>41586</v>
      </c>
      <c r="B8322" s="330" t="s">
        <v>52678</v>
      </c>
      <c r="C8322" s="330" t="s">
        <v>19501</v>
      </c>
      <c r="D8322" s="330" t="s">
        <v>5744</v>
      </c>
      <c r="E8322" s="330" t="s">
        <v>4819</v>
      </c>
      <c r="F8322" s="331">
        <v>0.21</v>
      </c>
      <c r="G8322" s="332">
        <v>1896</v>
      </c>
      <c r="H8322" s="333">
        <v>2295</v>
      </c>
    </row>
    <row r="8323" spans="1:8">
      <c r="A8323" s="317" t="s">
        <v>41587</v>
      </c>
      <c r="B8323" s="330" t="s">
        <v>52679</v>
      </c>
      <c r="C8323" s="330" t="s">
        <v>19502</v>
      </c>
      <c r="D8323" s="330" t="s">
        <v>19503</v>
      </c>
      <c r="E8323" s="330" t="s">
        <v>4819</v>
      </c>
      <c r="F8323" s="331">
        <v>0.21</v>
      </c>
      <c r="G8323" s="332">
        <v>41864</v>
      </c>
      <c r="H8323" s="333">
        <v>50656</v>
      </c>
    </row>
    <row r="8324" spans="1:8">
      <c r="A8324" s="317" t="s">
        <v>41588</v>
      </c>
      <c r="B8324" s="330" t="s">
        <v>52680</v>
      </c>
      <c r="C8324" s="330" t="s">
        <v>19504</v>
      </c>
      <c r="D8324" s="330" t="s">
        <v>19500</v>
      </c>
      <c r="E8324" s="330" t="s">
        <v>4634</v>
      </c>
      <c r="F8324" s="331">
        <v>0.21</v>
      </c>
      <c r="G8324" s="332">
        <v>245</v>
      </c>
      <c r="H8324" s="333">
        <v>297</v>
      </c>
    </row>
    <row r="8325" spans="1:8">
      <c r="A8325" s="317" t="s">
        <v>41589</v>
      </c>
      <c r="B8325" s="330" t="s">
        <v>52681</v>
      </c>
      <c r="C8325" s="330" t="s">
        <v>19505</v>
      </c>
      <c r="D8325" s="330" t="s">
        <v>19506</v>
      </c>
      <c r="E8325" s="330" t="s">
        <v>4634</v>
      </c>
      <c r="F8325" s="331">
        <v>0.21</v>
      </c>
      <c r="G8325" s="332">
        <v>245</v>
      </c>
      <c r="H8325" s="333">
        <v>297</v>
      </c>
    </row>
    <row r="8326" spans="1:8">
      <c r="A8326" s="317" t="s">
        <v>41590</v>
      </c>
      <c r="B8326" s="330" t="s">
        <v>52682</v>
      </c>
      <c r="C8326" s="330" t="s">
        <v>19507</v>
      </c>
      <c r="D8326" s="330" t="s">
        <v>19508</v>
      </c>
      <c r="E8326" s="330" t="s">
        <v>4634</v>
      </c>
      <c r="F8326" s="331">
        <v>0.21</v>
      </c>
      <c r="G8326" s="332">
        <v>245</v>
      </c>
      <c r="H8326" s="333">
        <v>297</v>
      </c>
    </row>
    <row r="8327" spans="1:8">
      <c r="A8327" s="317" t="s">
        <v>41591</v>
      </c>
      <c r="B8327" s="330" t="s">
        <v>52683</v>
      </c>
      <c r="C8327" s="330" t="s">
        <v>19509</v>
      </c>
      <c r="D8327" s="330" t="s">
        <v>19510</v>
      </c>
      <c r="E8327" s="330" t="s">
        <v>4634</v>
      </c>
      <c r="F8327" s="331">
        <v>0.21</v>
      </c>
      <c r="G8327" s="332">
        <v>245</v>
      </c>
      <c r="H8327" s="333">
        <v>297</v>
      </c>
    </row>
    <row r="8328" spans="1:8">
      <c r="A8328" s="317" t="s">
        <v>41592</v>
      </c>
      <c r="B8328" s="330" t="s">
        <v>52684</v>
      </c>
      <c r="C8328" s="330" t="s">
        <v>19511</v>
      </c>
      <c r="D8328" s="330" t="s">
        <v>19512</v>
      </c>
      <c r="E8328" s="330" t="s">
        <v>4819</v>
      </c>
      <c r="F8328" s="331">
        <v>0.21</v>
      </c>
      <c r="G8328" s="332">
        <v>1579</v>
      </c>
      <c r="H8328" s="333">
        <v>1911</v>
      </c>
    </row>
    <row r="8329" spans="1:8">
      <c r="A8329" s="317" t="s">
        <v>41593</v>
      </c>
      <c r="B8329" s="330" t="s">
        <v>52685</v>
      </c>
      <c r="C8329" s="330" t="s">
        <v>19513</v>
      </c>
      <c r="D8329" s="330" t="s">
        <v>19514</v>
      </c>
      <c r="E8329" s="330" t="s">
        <v>37248</v>
      </c>
      <c r="F8329" s="331">
        <v>0.21</v>
      </c>
      <c r="G8329" s="332">
        <v>6612</v>
      </c>
      <c r="H8329" s="333">
        <v>8001</v>
      </c>
    </row>
    <row r="8330" spans="1:8">
      <c r="A8330" s="317" t="s">
        <v>41594</v>
      </c>
      <c r="B8330" s="330" t="s">
        <v>52686</v>
      </c>
      <c r="C8330" s="330" t="s">
        <v>19515</v>
      </c>
      <c r="D8330" s="330" t="s">
        <v>19516</v>
      </c>
      <c r="E8330" s="330" t="s">
        <v>4634</v>
      </c>
      <c r="F8330" s="331">
        <v>0.21</v>
      </c>
      <c r="G8330" s="332">
        <v>245</v>
      </c>
      <c r="H8330" s="333">
        <v>297</v>
      </c>
    </row>
    <row r="8331" spans="1:8">
      <c r="A8331" s="317" t="s">
        <v>41595</v>
      </c>
      <c r="B8331" s="330" t="s">
        <v>52687</v>
      </c>
      <c r="C8331" s="330" t="s">
        <v>19517</v>
      </c>
      <c r="D8331" s="330" t="s">
        <v>19518</v>
      </c>
      <c r="E8331" s="330" t="s">
        <v>4634</v>
      </c>
      <c r="F8331" s="331">
        <v>0.21</v>
      </c>
      <c r="G8331" s="332">
        <v>245</v>
      </c>
      <c r="H8331" s="333">
        <v>297</v>
      </c>
    </row>
    <row r="8332" spans="1:8">
      <c r="A8332" s="317" t="s">
        <v>41596</v>
      </c>
      <c r="B8332" s="330" t="s">
        <v>52688</v>
      </c>
      <c r="C8332" s="330" t="s">
        <v>19519</v>
      </c>
      <c r="D8332" s="330" t="s">
        <v>19520</v>
      </c>
      <c r="E8332" s="330" t="s">
        <v>4634</v>
      </c>
      <c r="F8332" s="331">
        <v>0.21</v>
      </c>
      <c r="G8332" s="332">
        <v>1179</v>
      </c>
      <c r="H8332" s="333">
        <v>1427</v>
      </c>
    </row>
    <row r="8333" spans="1:8">
      <c r="A8333" s="317" t="s">
        <v>41597</v>
      </c>
      <c r="B8333" s="330" t="s">
        <v>52689</v>
      </c>
      <c r="C8333" s="330" t="s">
        <v>19521</v>
      </c>
      <c r="D8333" s="330" t="s">
        <v>19518</v>
      </c>
      <c r="E8333" s="330" t="s">
        <v>4634</v>
      </c>
      <c r="F8333" s="331">
        <v>0.21</v>
      </c>
      <c r="G8333" s="332">
        <v>245</v>
      </c>
      <c r="H8333" s="333">
        <v>297</v>
      </c>
    </row>
    <row r="8334" spans="1:8">
      <c r="A8334" s="317" t="s">
        <v>41598</v>
      </c>
      <c r="B8334" s="330" t="s">
        <v>52690</v>
      </c>
      <c r="C8334" s="330" t="s">
        <v>19522</v>
      </c>
      <c r="D8334" s="330" t="s">
        <v>19523</v>
      </c>
      <c r="E8334" s="330" t="s">
        <v>4634</v>
      </c>
      <c r="F8334" s="331">
        <v>0.21</v>
      </c>
      <c r="G8334" s="332">
        <v>613</v>
      </c>
      <c r="H8334" s="333">
        <v>742</v>
      </c>
    </row>
    <row r="8335" spans="1:8">
      <c r="A8335" s="317" t="s">
        <v>41599</v>
      </c>
      <c r="B8335" s="330" t="s">
        <v>52691</v>
      </c>
      <c r="C8335" s="330" t="s">
        <v>19524</v>
      </c>
      <c r="D8335" s="330" t="s">
        <v>19525</v>
      </c>
      <c r="E8335" s="330" t="s">
        <v>4634</v>
      </c>
      <c r="F8335" s="331">
        <v>0.21</v>
      </c>
      <c r="G8335" s="332">
        <v>245</v>
      </c>
      <c r="H8335" s="333">
        <v>297</v>
      </c>
    </row>
    <row r="8336" spans="1:8">
      <c r="A8336" s="317" t="s">
        <v>41600</v>
      </c>
      <c r="B8336" s="330" t="s">
        <v>52692</v>
      </c>
      <c r="C8336" s="330" t="s">
        <v>19526</v>
      </c>
      <c r="D8336" s="330" t="s">
        <v>19527</v>
      </c>
      <c r="E8336" s="330" t="s">
        <v>4634</v>
      </c>
      <c r="F8336" s="331">
        <v>0.21</v>
      </c>
      <c r="G8336" s="332">
        <v>8670</v>
      </c>
      <c r="H8336" s="333">
        <v>10491</v>
      </c>
    </row>
    <row r="8337" spans="1:8">
      <c r="A8337" s="317" t="s">
        <v>41601</v>
      </c>
      <c r="B8337" s="330" t="s">
        <v>52693</v>
      </c>
      <c r="C8337" s="330" t="s">
        <v>19528</v>
      </c>
      <c r="D8337" s="330" t="s">
        <v>19508</v>
      </c>
      <c r="E8337" s="330" t="s">
        <v>4634</v>
      </c>
      <c r="F8337" s="331">
        <v>0.21</v>
      </c>
      <c r="G8337" s="332">
        <v>1541</v>
      </c>
      <c r="H8337" s="333">
        <v>1865</v>
      </c>
    </row>
    <row r="8338" spans="1:8">
      <c r="A8338" s="317" t="s">
        <v>41602</v>
      </c>
      <c r="B8338" s="330" t="s">
        <v>52694</v>
      </c>
      <c r="C8338" s="330" t="s">
        <v>19529</v>
      </c>
      <c r="D8338" s="330" t="s">
        <v>19518</v>
      </c>
      <c r="E8338" s="330" t="s">
        <v>4634</v>
      </c>
      <c r="F8338" s="331">
        <v>0.21</v>
      </c>
      <c r="G8338" s="332">
        <v>245</v>
      </c>
      <c r="H8338" s="333">
        <v>297</v>
      </c>
    </row>
    <row r="8339" spans="1:8">
      <c r="A8339" s="317" t="s">
        <v>41603</v>
      </c>
      <c r="B8339" s="330" t="s">
        <v>52695</v>
      </c>
      <c r="C8339" s="330" t="s">
        <v>19530</v>
      </c>
      <c r="D8339" s="330" t="s">
        <v>19531</v>
      </c>
      <c r="E8339" s="330" t="s">
        <v>37248</v>
      </c>
      <c r="F8339" s="331">
        <v>0.21</v>
      </c>
      <c r="G8339" s="332">
        <v>16556</v>
      </c>
      <c r="H8339" s="333">
        <v>20033</v>
      </c>
    </row>
    <row r="8340" spans="1:8">
      <c r="A8340" s="317" t="s">
        <v>41604</v>
      </c>
      <c r="B8340" s="330" t="s">
        <v>52696</v>
      </c>
      <c r="C8340" s="330" t="s">
        <v>19532</v>
      </c>
      <c r="D8340" s="330" t="s">
        <v>19533</v>
      </c>
      <c r="E8340" s="330" t="s">
        <v>4819</v>
      </c>
      <c r="F8340" s="331">
        <v>0.21</v>
      </c>
      <c r="G8340" s="332">
        <v>2054</v>
      </c>
      <c r="H8340" s="333">
        <v>2486</v>
      </c>
    </row>
    <row r="8341" spans="1:8">
      <c r="A8341" s="317" t="s">
        <v>41605</v>
      </c>
      <c r="B8341" s="330" t="s">
        <v>52697</v>
      </c>
      <c r="C8341" s="330" t="s">
        <v>19534</v>
      </c>
      <c r="D8341" s="330" t="s">
        <v>19535</v>
      </c>
      <c r="E8341" s="330" t="s">
        <v>4634</v>
      </c>
      <c r="F8341" s="331">
        <v>0.21</v>
      </c>
      <c r="G8341" s="332">
        <v>19644</v>
      </c>
      <c r="H8341" s="333">
        <v>23770</v>
      </c>
    </row>
    <row r="8342" spans="1:8">
      <c r="A8342" s="317" t="s">
        <v>41606</v>
      </c>
      <c r="B8342" s="330" t="s">
        <v>52698</v>
      </c>
      <c r="C8342" s="330" t="s">
        <v>19536</v>
      </c>
      <c r="D8342" s="330" t="s">
        <v>19537</v>
      </c>
      <c r="E8342" s="330" t="s">
        <v>37248</v>
      </c>
      <c r="F8342" s="331">
        <v>0.21</v>
      </c>
      <c r="G8342" s="332">
        <v>20397</v>
      </c>
      <c r="H8342" s="333">
        <v>24681</v>
      </c>
    </row>
    <row r="8343" spans="1:8">
      <c r="A8343" s="317" t="s">
        <v>41607</v>
      </c>
      <c r="B8343" s="330" t="s">
        <v>52699</v>
      </c>
      <c r="C8343" s="330" t="s">
        <v>19538</v>
      </c>
      <c r="D8343" s="330" t="s">
        <v>19539</v>
      </c>
      <c r="E8343" s="330" t="s">
        <v>4819</v>
      </c>
      <c r="F8343" s="331">
        <v>0.21</v>
      </c>
      <c r="G8343" s="332">
        <v>23021</v>
      </c>
      <c r="H8343" s="333">
        <v>27856</v>
      </c>
    </row>
    <row r="8344" spans="1:8">
      <c r="A8344" s="317" t="s">
        <v>41608</v>
      </c>
      <c r="B8344" s="330" t="s">
        <v>52700</v>
      </c>
      <c r="C8344" s="330" t="s">
        <v>19540</v>
      </c>
      <c r="D8344" s="330" t="s">
        <v>19541</v>
      </c>
      <c r="E8344" s="330" t="s">
        <v>4819</v>
      </c>
      <c r="F8344" s="331">
        <v>0.21</v>
      </c>
      <c r="G8344" s="332">
        <v>2478</v>
      </c>
      <c r="H8344" s="333">
        <v>2999</v>
      </c>
    </row>
    <row r="8345" spans="1:8">
      <c r="A8345" s="317" t="s">
        <v>41609</v>
      </c>
      <c r="B8345" s="330" t="s">
        <v>52701</v>
      </c>
      <c r="C8345" s="330" t="s">
        <v>19542</v>
      </c>
      <c r="D8345" s="330" t="s">
        <v>19543</v>
      </c>
      <c r="E8345" s="330" t="s">
        <v>37248</v>
      </c>
      <c r="F8345" s="331">
        <v>0.21</v>
      </c>
      <c r="G8345" s="332">
        <v>11267</v>
      </c>
      <c r="H8345" s="333">
        <v>13634</v>
      </c>
    </row>
    <row r="8346" spans="1:8">
      <c r="A8346" s="317" t="s">
        <v>41610</v>
      </c>
      <c r="B8346" s="330" t="s">
        <v>52702</v>
      </c>
      <c r="C8346" s="330" t="s">
        <v>19544</v>
      </c>
      <c r="D8346" s="330" t="s">
        <v>19545</v>
      </c>
      <c r="E8346" s="330" t="s">
        <v>4634</v>
      </c>
      <c r="F8346" s="331">
        <v>0.21</v>
      </c>
      <c r="G8346" s="332">
        <v>174</v>
      </c>
      <c r="H8346" s="333">
        <v>211</v>
      </c>
    </row>
    <row r="8347" spans="1:8">
      <c r="A8347" s="317" t="s">
        <v>41611</v>
      </c>
      <c r="B8347" s="330" t="s">
        <v>52703</v>
      </c>
      <c r="C8347" s="330" t="s">
        <v>19546</v>
      </c>
      <c r="D8347" s="330" t="s">
        <v>19547</v>
      </c>
      <c r="E8347" s="330" t="s">
        <v>37248</v>
      </c>
      <c r="F8347" s="331">
        <v>0.21</v>
      </c>
      <c r="G8347" s="332">
        <v>34884</v>
      </c>
      <c r="H8347" s="333">
        <v>42210</v>
      </c>
    </row>
    <row r="8348" spans="1:8">
      <c r="A8348" s="317" t="s">
        <v>41612</v>
      </c>
      <c r="B8348" s="330" t="s">
        <v>52704</v>
      </c>
      <c r="C8348" s="330" t="s">
        <v>19548</v>
      </c>
      <c r="D8348" s="330" t="s">
        <v>19549</v>
      </c>
      <c r="E8348" s="330" t="s">
        <v>37248</v>
      </c>
      <c r="F8348" s="331">
        <v>0.21</v>
      </c>
      <c r="G8348" s="332">
        <v>3131</v>
      </c>
      <c r="H8348" s="333">
        <v>3789</v>
      </c>
    </row>
    <row r="8349" spans="1:8">
      <c r="A8349" s="317" t="s">
        <v>41613</v>
      </c>
      <c r="B8349" s="330" t="s">
        <v>52705</v>
      </c>
      <c r="C8349" s="330" t="s">
        <v>19550</v>
      </c>
      <c r="D8349" s="330" t="s">
        <v>19551</v>
      </c>
      <c r="E8349" s="330" t="s">
        <v>4634</v>
      </c>
      <c r="F8349" s="331">
        <v>0.21</v>
      </c>
      <c r="G8349" s="332">
        <v>1347</v>
      </c>
      <c r="H8349" s="333">
        <v>1630</v>
      </c>
    </row>
    <row r="8350" spans="1:8">
      <c r="A8350" s="317" t="s">
        <v>41614</v>
      </c>
      <c r="B8350" s="330" t="s">
        <v>52706</v>
      </c>
      <c r="C8350" s="330" t="s">
        <v>19552</v>
      </c>
      <c r="D8350" s="330" t="s">
        <v>19553</v>
      </c>
      <c r="E8350" s="330" t="s">
        <v>4634</v>
      </c>
      <c r="F8350" s="331">
        <v>0.21</v>
      </c>
      <c r="G8350" s="332">
        <v>499</v>
      </c>
      <c r="H8350" s="333">
        <v>604</v>
      </c>
    </row>
    <row r="8351" spans="1:8">
      <c r="A8351" s="317" t="s">
        <v>41615</v>
      </c>
      <c r="B8351" s="330" t="s">
        <v>52707</v>
      </c>
      <c r="C8351" s="330" t="s">
        <v>19554</v>
      </c>
      <c r="D8351" s="330" t="s">
        <v>19555</v>
      </c>
      <c r="E8351" s="330" t="s">
        <v>4634</v>
      </c>
      <c r="F8351" s="331">
        <v>0.21</v>
      </c>
      <c r="G8351" s="332">
        <v>28897</v>
      </c>
      <c r="H8351" s="333">
        <v>34966</v>
      </c>
    </row>
    <row r="8352" spans="1:8">
      <c r="A8352" s="317" t="s">
        <v>41616</v>
      </c>
      <c r="B8352" s="330" t="s">
        <v>52708</v>
      </c>
      <c r="C8352" s="330" t="s">
        <v>19556</v>
      </c>
      <c r="D8352" s="330" t="s">
        <v>19557</v>
      </c>
      <c r="E8352" s="330" t="s">
        <v>4819</v>
      </c>
      <c r="F8352" s="331">
        <v>0.21</v>
      </c>
      <c r="G8352" s="332">
        <v>479</v>
      </c>
      <c r="H8352" s="333">
        <v>580</v>
      </c>
    </row>
    <row r="8353" spans="1:8">
      <c r="A8353" s="317" t="s">
        <v>41617</v>
      </c>
      <c r="B8353" s="330" t="s">
        <v>52709</v>
      </c>
      <c r="C8353" s="330" t="s">
        <v>19558</v>
      </c>
      <c r="D8353" s="330" t="s">
        <v>19559</v>
      </c>
      <c r="E8353" s="330" t="s">
        <v>37248</v>
      </c>
      <c r="F8353" s="331">
        <v>0.21</v>
      </c>
      <c r="G8353" s="332">
        <v>2612</v>
      </c>
      <c r="H8353" s="333">
        <v>3161</v>
      </c>
    </row>
    <row r="8354" spans="1:8">
      <c r="A8354" s="317" t="s">
        <v>41618</v>
      </c>
      <c r="B8354" s="330" t="s">
        <v>52710</v>
      </c>
      <c r="C8354" s="330" t="s">
        <v>19560</v>
      </c>
      <c r="D8354" s="330" t="s">
        <v>19557</v>
      </c>
      <c r="E8354" s="330" t="s">
        <v>4819</v>
      </c>
      <c r="F8354" s="331">
        <v>0.21</v>
      </c>
      <c r="G8354" s="332">
        <v>479</v>
      </c>
      <c r="H8354" s="333">
        <v>580</v>
      </c>
    </row>
    <row r="8355" spans="1:8">
      <c r="A8355" s="317" t="s">
        <v>41619</v>
      </c>
      <c r="B8355" s="330" t="s">
        <v>52711</v>
      </c>
      <c r="C8355" s="330" t="s">
        <v>19561</v>
      </c>
      <c r="D8355" s="330" t="s">
        <v>19559</v>
      </c>
      <c r="E8355" s="330" t="s">
        <v>37248</v>
      </c>
      <c r="F8355" s="331">
        <v>0.21</v>
      </c>
      <c r="G8355" s="332">
        <v>479</v>
      </c>
      <c r="H8355" s="333">
        <v>580</v>
      </c>
    </row>
    <row r="8356" spans="1:8">
      <c r="A8356" s="317" t="s">
        <v>41620</v>
      </c>
      <c r="B8356" s="330" t="s">
        <v>52712</v>
      </c>
      <c r="C8356" s="330" t="s">
        <v>19562</v>
      </c>
      <c r="D8356" s="330" t="s">
        <v>19563</v>
      </c>
      <c r="E8356" s="330" t="s">
        <v>37248</v>
      </c>
      <c r="F8356" s="331">
        <v>0.21</v>
      </c>
      <c r="G8356" s="332">
        <v>1701</v>
      </c>
      <c r="H8356" s="333">
        <v>2059</v>
      </c>
    </row>
    <row r="8357" spans="1:8">
      <c r="A8357" s="317" t="s">
        <v>41621</v>
      </c>
      <c r="B8357" s="330" t="s">
        <v>52713</v>
      </c>
      <c r="C8357" s="330" t="s">
        <v>19564</v>
      </c>
      <c r="D8357" s="330" t="s">
        <v>7653</v>
      </c>
      <c r="E8357" s="330" t="s">
        <v>37248</v>
      </c>
      <c r="F8357" s="331">
        <v>0.21</v>
      </c>
      <c r="G8357" s="332">
        <v>1936</v>
      </c>
      <c r="H8357" s="333">
        <v>2343</v>
      </c>
    </row>
    <row r="8358" spans="1:8">
      <c r="A8358" s="317" t="s">
        <v>41622</v>
      </c>
      <c r="B8358" s="330" t="s">
        <v>52714</v>
      </c>
      <c r="C8358" s="330" t="s">
        <v>19565</v>
      </c>
      <c r="D8358" s="330" t="s">
        <v>19566</v>
      </c>
      <c r="E8358" s="330" t="s">
        <v>4819</v>
      </c>
      <c r="F8358" s="331">
        <v>0.21</v>
      </c>
      <c r="G8358" s="332">
        <v>4729</v>
      </c>
      <c r="H8358" s="333">
        <v>5723</v>
      </c>
    </row>
    <row r="8359" spans="1:8">
      <c r="A8359" s="317" t="s">
        <v>41623</v>
      </c>
      <c r="B8359" s="330" t="s">
        <v>52715</v>
      </c>
      <c r="C8359" s="330" t="s">
        <v>19567</v>
      </c>
      <c r="D8359" s="330" t="s">
        <v>19568</v>
      </c>
      <c r="E8359" s="330" t="s">
        <v>4819</v>
      </c>
      <c r="F8359" s="331">
        <v>0.21</v>
      </c>
      <c r="G8359" s="332">
        <v>1701</v>
      </c>
      <c r="H8359" s="333">
        <v>2059</v>
      </c>
    </row>
    <row r="8360" spans="1:8">
      <c r="A8360" s="317" t="s">
        <v>41624</v>
      </c>
      <c r="B8360" s="330" t="s">
        <v>52716</v>
      </c>
      <c r="C8360" s="330" t="s">
        <v>19569</v>
      </c>
      <c r="D8360" s="330" t="s">
        <v>19570</v>
      </c>
      <c r="E8360" s="330" t="s">
        <v>4819</v>
      </c>
      <c r="F8360" s="331">
        <v>0.21</v>
      </c>
      <c r="G8360" s="332">
        <v>5619</v>
      </c>
      <c r="H8360" s="333">
        <v>6799</v>
      </c>
    </row>
    <row r="8361" spans="1:8">
      <c r="A8361" s="317" t="s">
        <v>41625</v>
      </c>
      <c r="B8361" s="330" t="s">
        <v>52717</v>
      </c>
      <c r="C8361" s="330" t="s">
        <v>19571</v>
      </c>
      <c r="D8361" s="330" t="s">
        <v>19572</v>
      </c>
      <c r="E8361" s="330" t="s">
        <v>4819</v>
      </c>
      <c r="F8361" s="331">
        <v>0.21</v>
      </c>
      <c r="G8361" s="332">
        <v>1072</v>
      </c>
      <c r="H8361" s="333">
        <v>1298</v>
      </c>
    </row>
    <row r="8362" spans="1:8">
      <c r="A8362" s="317" t="s">
        <v>41626</v>
      </c>
      <c r="B8362" s="330" t="s">
        <v>52718</v>
      </c>
      <c r="C8362" s="330" t="s">
        <v>19573</v>
      </c>
      <c r="D8362" s="330" t="s">
        <v>19574</v>
      </c>
      <c r="E8362" s="330" t="s">
        <v>4819</v>
      </c>
      <c r="F8362" s="331">
        <v>0.21</v>
      </c>
      <c r="G8362" s="332">
        <v>1701</v>
      </c>
      <c r="H8362" s="333">
        <v>2059</v>
      </c>
    </row>
    <row r="8363" spans="1:8">
      <c r="A8363" s="317" t="s">
        <v>41627</v>
      </c>
      <c r="B8363" s="330" t="s">
        <v>52719</v>
      </c>
      <c r="C8363" s="330" t="s">
        <v>19575</v>
      </c>
      <c r="D8363" s="330" t="s">
        <v>19572</v>
      </c>
      <c r="E8363" s="330" t="s">
        <v>4819</v>
      </c>
      <c r="F8363" s="331">
        <v>0.21</v>
      </c>
      <c r="G8363" s="332">
        <v>3738</v>
      </c>
      <c r="H8363" s="333">
        <v>4523</v>
      </c>
    </row>
    <row r="8364" spans="1:8">
      <c r="A8364" s="317" t="s">
        <v>41628</v>
      </c>
      <c r="B8364" s="330" t="s">
        <v>52720</v>
      </c>
      <c r="C8364" s="330" t="s">
        <v>19576</v>
      </c>
      <c r="D8364" s="330" t="s">
        <v>19577</v>
      </c>
      <c r="E8364" s="330" t="s">
        <v>37248</v>
      </c>
      <c r="F8364" s="331">
        <v>0.21</v>
      </c>
      <c r="G8364" s="332">
        <v>77652</v>
      </c>
      <c r="H8364" s="333">
        <v>93959</v>
      </c>
    </row>
    <row r="8365" spans="1:8">
      <c r="A8365" s="317" t="s">
        <v>41629</v>
      </c>
      <c r="B8365" s="330" t="s">
        <v>52721</v>
      </c>
      <c r="C8365" s="330" t="s">
        <v>19578</v>
      </c>
      <c r="D8365" s="330" t="s">
        <v>19579</v>
      </c>
      <c r="E8365" s="330" t="s">
        <v>37248</v>
      </c>
      <c r="F8365" s="331">
        <v>0.21</v>
      </c>
      <c r="G8365" s="332">
        <v>111442</v>
      </c>
      <c r="H8365" s="333">
        <v>134845</v>
      </c>
    </row>
    <row r="8366" spans="1:8">
      <c r="A8366" s="317" t="s">
        <v>41630</v>
      </c>
      <c r="B8366" s="330" t="s">
        <v>52722</v>
      </c>
      <c r="C8366" s="330" t="s">
        <v>19580</v>
      </c>
      <c r="D8366" s="330" t="s">
        <v>19566</v>
      </c>
      <c r="E8366" s="330" t="s">
        <v>37248</v>
      </c>
      <c r="F8366" s="331">
        <v>0.21</v>
      </c>
      <c r="G8366" s="332">
        <v>30893</v>
      </c>
      <c r="H8366" s="333">
        <v>37381</v>
      </c>
    </row>
    <row r="8367" spans="1:8">
      <c r="A8367" s="317" t="s">
        <v>41631</v>
      </c>
      <c r="B8367" s="330" t="s">
        <v>52723</v>
      </c>
      <c r="C8367" s="330" t="s">
        <v>19581</v>
      </c>
      <c r="D8367" s="330" t="s">
        <v>19582</v>
      </c>
      <c r="E8367" s="330" t="s">
        <v>4819</v>
      </c>
      <c r="F8367" s="331">
        <v>0.21</v>
      </c>
      <c r="G8367" s="332">
        <v>24757</v>
      </c>
      <c r="H8367" s="333">
        <v>29956</v>
      </c>
    </row>
    <row r="8368" spans="1:8">
      <c r="A8368" s="317" t="s">
        <v>41632</v>
      </c>
      <c r="B8368" s="330" t="s">
        <v>52724</v>
      </c>
      <c r="C8368" s="330" t="s">
        <v>19583</v>
      </c>
      <c r="D8368" s="330" t="s">
        <v>19584</v>
      </c>
      <c r="E8368" s="330" t="s">
        <v>4819</v>
      </c>
      <c r="F8368" s="331">
        <v>0.21</v>
      </c>
      <c r="G8368" s="332">
        <v>4729</v>
      </c>
      <c r="H8368" s="333">
        <v>5723</v>
      </c>
    </row>
    <row r="8369" spans="1:8">
      <c r="A8369" s="317" t="s">
        <v>41633</v>
      </c>
      <c r="B8369" s="330" t="s">
        <v>52725</v>
      </c>
      <c r="C8369" s="330" t="s">
        <v>19585</v>
      </c>
      <c r="D8369" s="330" t="s">
        <v>19586</v>
      </c>
      <c r="E8369" s="330" t="s">
        <v>4819</v>
      </c>
      <c r="F8369" s="331">
        <v>0.21</v>
      </c>
      <c r="G8369" s="332">
        <v>1072</v>
      </c>
      <c r="H8369" s="333">
        <v>1298</v>
      </c>
    </row>
    <row r="8370" spans="1:8">
      <c r="A8370" s="317" t="s">
        <v>41634</v>
      </c>
      <c r="B8370" s="330" t="s">
        <v>52726</v>
      </c>
      <c r="C8370" s="330" t="s">
        <v>19587</v>
      </c>
      <c r="D8370" s="330" t="s">
        <v>19584</v>
      </c>
      <c r="E8370" s="330" t="s">
        <v>4819</v>
      </c>
      <c r="F8370" s="331">
        <v>0.21</v>
      </c>
      <c r="G8370" s="332">
        <v>1701</v>
      </c>
      <c r="H8370" s="333">
        <v>2059</v>
      </c>
    </row>
    <row r="8371" spans="1:8">
      <c r="A8371" s="317" t="s">
        <v>41635</v>
      </c>
      <c r="B8371" s="330" t="s">
        <v>52727</v>
      </c>
      <c r="C8371" s="330" t="s">
        <v>19588</v>
      </c>
      <c r="D8371" s="330" t="s">
        <v>19589</v>
      </c>
      <c r="E8371" s="330" t="s">
        <v>4819</v>
      </c>
      <c r="F8371" s="331">
        <v>0.21</v>
      </c>
      <c r="G8371" s="332">
        <v>1701</v>
      </c>
      <c r="H8371" s="333">
        <v>2059</v>
      </c>
    </row>
    <row r="8372" spans="1:8">
      <c r="A8372" s="317" t="s">
        <v>41636</v>
      </c>
      <c r="B8372" s="330" t="s">
        <v>52728</v>
      </c>
      <c r="C8372" s="330" t="s">
        <v>19590</v>
      </c>
      <c r="D8372" s="330" t="s">
        <v>19589</v>
      </c>
      <c r="E8372" s="330" t="s">
        <v>4634</v>
      </c>
      <c r="F8372" s="331">
        <v>0.21</v>
      </c>
      <c r="G8372" s="332">
        <v>303</v>
      </c>
      <c r="H8372" s="333">
        <v>367</v>
      </c>
    </row>
    <row r="8373" spans="1:8">
      <c r="A8373" s="317" t="s">
        <v>41637</v>
      </c>
      <c r="B8373" s="330" t="s">
        <v>52729</v>
      </c>
      <c r="C8373" s="330" t="s">
        <v>19591</v>
      </c>
      <c r="D8373" s="330" t="s">
        <v>19592</v>
      </c>
      <c r="E8373" s="330" t="s">
        <v>4819</v>
      </c>
      <c r="F8373" s="331">
        <v>0.21</v>
      </c>
      <c r="G8373" s="332">
        <v>2581</v>
      </c>
      <c r="H8373" s="333">
        <v>3124</v>
      </c>
    </row>
    <row r="8374" spans="1:8">
      <c r="A8374" s="317" t="s">
        <v>41638</v>
      </c>
      <c r="B8374" s="330" t="s">
        <v>52730</v>
      </c>
      <c r="C8374" s="330" t="s">
        <v>19593</v>
      </c>
      <c r="D8374" s="330" t="s">
        <v>19594</v>
      </c>
      <c r="E8374" s="330" t="s">
        <v>4819</v>
      </c>
      <c r="F8374" s="331">
        <v>0.21</v>
      </c>
      <c r="G8374" s="332">
        <v>1072</v>
      </c>
      <c r="H8374" s="333">
        <v>1298</v>
      </c>
    </row>
    <row r="8375" spans="1:8">
      <c r="A8375" s="317" t="s">
        <v>41639</v>
      </c>
      <c r="B8375" s="330" t="s">
        <v>52731</v>
      </c>
      <c r="C8375" s="330" t="s">
        <v>19595</v>
      </c>
      <c r="D8375" s="330" t="s">
        <v>19594</v>
      </c>
      <c r="E8375" s="330" t="s">
        <v>4819</v>
      </c>
      <c r="F8375" s="331">
        <v>0.21</v>
      </c>
      <c r="G8375" s="332">
        <v>1072</v>
      </c>
      <c r="H8375" s="333">
        <v>1298</v>
      </c>
    </row>
    <row r="8376" spans="1:8">
      <c r="A8376" s="317" t="s">
        <v>41640</v>
      </c>
      <c r="B8376" s="330" t="s">
        <v>52732</v>
      </c>
      <c r="C8376" s="330" t="s">
        <v>19596</v>
      </c>
      <c r="D8376" s="330" t="s">
        <v>19597</v>
      </c>
      <c r="E8376" s="330" t="s">
        <v>4819</v>
      </c>
      <c r="F8376" s="331">
        <v>0.21</v>
      </c>
      <c r="G8376" s="332">
        <v>4729</v>
      </c>
      <c r="H8376" s="333">
        <v>5723</v>
      </c>
    </row>
    <row r="8377" spans="1:8">
      <c r="A8377" s="317" t="s">
        <v>41641</v>
      </c>
      <c r="B8377" s="330" t="s">
        <v>52733</v>
      </c>
      <c r="C8377" s="330" t="s">
        <v>19598</v>
      </c>
      <c r="D8377" s="330" t="s">
        <v>19599</v>
      </c>
      <c r="E8377" s="330" t="s">
        <v>4819</v>
      </c>
      <c r="F8377" s="331">
        <v>0.21</v>
      </c>
      <c r="G8377" s="332">
        <v>3731</v>
      </c>
      <c r="H8377" s="333">
        <v>4515</v>
      </c>
    </row>
    <row r="8378" spans="1:8">
      <c r="A8378" s="317" t="s">
        <v>41642</v>
      </c>
      <c r="B8378" s="330" t="s">
        <v>52734</v>
      </c>
      <c r="C8378" s="330" t="s">
        <v>19600</v>
      </c>
      <c r="D8378" s="330" t="s">
        <v>19597</v>
      </c>
      <c r="E8378" s="330" t="s">
        <v>4634</v>
      </c>
      <c r="F8378" s="331">
        <v>0.21</v>
      </c>
      <c r="G8378" s="332">
        <v>455</v>
      </c>
      <c r="H8378" s="333">
        <v>551</v>
      </c>
    </row>
    <row r="8379" spans="1:8">
      <c r="A8379" s="317" t="s">
        <v>41643</v>
      </c>
      <c r="B8379" s="330" t="s">
        <v>52735</v>
      </c>
      <c r="C8379" s="330" t="s">
        <v>19601</v>
      </c>
      <c r="D8379" s="330" t="s">
        <v>19602</v>
      </c>
      <c r="E8379" s="330" t="s">
        <v>37248</v>
      </c>
      <c r="F8379" s="331">
        <v>0.21</v>
      </c>
      <c r="G8379" s="332">
        <v>6953</v>
      </c>
      <c r="H8379" s="333">
        <v>8414</v>
      </c>
    </row>
    <row r="8380" spans="1:8">
      <c r="A8380" s="317" t="s">
        <v>41644</v>
      </c>
      <c r="B8380" s="330" t="s">
        <v>52736</v>
      </c>
      <c r="C8380" s="330" t="s">
        <v>19603</v>
      </c>
      <c r="D8380" s="330" t="s">
        <v>19604</v>
      </c>
      <c r="E8380" s="330" t="s">
        <v>4634</v>
      </c>
      <c r="F8380" s="331">
        <v>0.21</v>
      </c>
      <c r="G8380" s="332">
        <v>22211</v>
      </c>
      <c r="H8380" s="333">
        <v>26876</v>
      </c>
    </row>
    <row r="8381" spans="1:8">
      <c r="A8381" s="317" t="s">
        <v>41645</v>
      </c>
      <c r="B8381" s="330" t="s">
        <v>52737</v>
      </c>
      <c r="C8381" s="330" t="s">
        <v>19605</v>
      </c>
      <c r="D8381" s="330" t="s">
        <v>19606</v>
      </c>
      <c r="E8381" s="330" t="s">
        <v>4634</v>
      </c>
      <c r="F8381" s="331">
        <v>0.21</v>
      </c>
      <c r="G8381" s="332">
        <v>673</v>
      </c>
      <c r="H8381" s="333">
        <v>815</v>
      </c>
    </row>
    <row r="8382" spans="1:8">
      <c r="A8382" s="317" t="s">
        <v>41646</v>
      </c>
      <c r="B8382" s="330" t="s">
        <v>52738</v>
      </c>
      <c r="C8382" s="330" t="s">
        <v>19607</v>
      </c>
      <c r="D8382" s="330" t="s">
        <v>19608</v>
      </c>
      <c r="E8382" s="330" t="s">
        <v>4634</v>
      </c>
      <c r="F8382" s="331">
        <v>0.21</v>
      </c>
      <c r="G8382" s="332">
        <v>131</v>
      </c>
      <c r="H8382" s="333">
        <v>159</v>
      </c>
    </row>
    <row r="8383" spans="1:8">
      <c r="A8383" s="317" t="s">
        <v>41647</v>
      </c>
      <c r="B8383" s="330" t="s">
        <v>52739</v>
      </c>
      <c r="C8383" s="330" t="s">
        <v>19609</v>
      </c>
      <c r="D8383" s="330" t="s">
        <v>19610</v>
      </c>
      <c r="E8383" s="330" t="s">
        <v>4819</v>
      </c>
      <c r="F8383" s="331">
        <v>0.21</v>
      </c>
      <c r="G8383" s="332">
        <v>1373</v>
      </c>
      <c r="H8383" s="333">
        <v>1662</v>
      </c>
    </row>
    <row r="8384" spans="1:8">
      <c r="A8384" s="317" t="s">
        <v>41648</v>
      </c>
      <c r="B8384" s="330" t="s">
        <v>52740</v>
      </c>
      <c r="C8384" s="330" t="s">
        <v>19611</v>
      </c>
      <c r="D8384" s="330" t="s">
        <v>19612</v>
      </c>
      <c r="E8384" s="330" t="s">
        <v>37248</v>
      </c>
      <c r="F8384" s="331">
        <v>0.21</v>
      </c>
      <c r="G8384" s="332">
        <v>240</v>
      </c>
      <c r="H8384" s="333">
        <v>291</v>
      </c>
    </row>
    <row r="8385" spans="1:8">
      <c r="A8385" s="317" t="s">
        <v>41649</v>
      </c>
      <c r="B8385" s="330" t="s">
        <v>52741</v>
      </c>
      <c r="C8385" s="330" t="s">
        <v>19613</v>
      </c>
      <c r="D8385" s="330" t="s">
        <v>19614</v>
      </c>
      <c r="E8385" s="330" t="s">
        <v>37248</v>
      </c>
      <c r="F8385" s="331">
        <v>0.21</v>
      </c>
      <c r="G8385" s="332">
        <v>4541</v>
      </c>
      <c r="H8385" s="333">
        <v>5495</v>
      </c>
    </row>
    <row r="8386" spans="1:8">
      <c r="A8386" s="317" t="s">
        <v>41650</v>
      </c>
      <c r="B8386" s="330" t="s">
        <v>52742</v>
      </c>
      <c r="C8386" s="330" t="s">
        <v>19615</v>
      </c>
      <c r="D8386" s="330" t="s">
        <v>19612</v>
      </c>
      <c r="E8386" s="330" t="s">
        <v>37248</v>
      </c>
      <c r="F8386" s="331">
        <v>0.21</v>
      </c>
      <c r="G8386" s="332">
        <v>452</v>
      </c>
      <c r="H8386" s="333">
        <v>547</v>
      </c>
    </row>
    <row r="8387" spans="1:8">
      <c r="A8387" s="317" t="s">
        <v>41651</v>
      </c>
      <c r="B8387" s="330" t="s">
        <v>52743</v>
      </c>
      <c r="C8387" s="330" t="s">
        <v>19616</v>
      </c>
      <c r="D8387" s="330" t="s">
        <v>19617</v>
      </c>
      <c r="E8387" s="330" t="s">
        <v>4634</v>
      </c>
      <c r="F8387" s="331">
        <v>0.21</v>
      </c>
      <c r="G8387" s="332">
        <v>194</v>
      </c>
      <c r="H8387" s="333">
        <v>235</v>
      </c>
    </row>
    <row r="8388" spans="1:8">
      <c r="A8388" s="317" t="s">
        <v>41652</v>
      </c>
      <c r="B8388" s="330" t="s">
        <v>52744</v>
      </c>
      <c r="C8388" s="330" t="s">
        <v>19618</v>
      </c>
      <c r="D8388" s="330" t="s">
        <v>19619</v>
      </c>
      <c r="E8388" s="330" t="s">
        <v>4634</v>
      </c>
      <c r="F8388" s="331">
        <v>0.21</v>
      </c>
      <c r="G8388" s="332">
        <v>2438</v>
      </c>
      <c r="H8388" s="333">
        <v>2950</v>
      </c>
    </row>
    <row r="8389" spans="1:8">
      <c r="A8389" s="317" t="s">
        <v>41653</v>
      </c>
      <c r="B8389" s="330" t="s">
        <v>52745</v>
      </c>
      <c r="C8389" s="330" t="s">
        <v>19620</v>
      </c>
      <c r="D8389" s="330" t="s">
        <v>19621</v>
      </c>
      <c r="E8389" s="330" t="s">
        <v>4819</v>
      </c>
      <c r="F8389" s="331">
        <v>0.21</v>
      </c>
      <c r="G8389" s="332">
        <v>1273</v>
      </c>
      <c r="H8389" s="333">
        <v>1541</v>
      </c>
    </row>
    <row r="8390" spans="1:8">
      <c r="A8390" s="317" t="s">
        <v>41654</v>
      </c>
      <c r="B8390" s="330" t="s">
        <v>52746</v>
      </c>
      <c r="C8390" s="330" t="s">
        <v>19622</v>
      </c>
      <c r="D8390" s="330" t="s">
        <v>19623</v>
      </c>
      <c r="E8390" s="330" t="s">
        <v>4634</v>
      </c>
      <c r="F8390" s="331">
        <v>0.21</v>
      </c>
      <c r="G8390" s="332">
        <v>131</v>
      </c>
      <c r="H8390" s="333">
        <v>159</v>
      </c>
    </row>
    <row r="8391" spans="1:8">
      <c r="A8391" s="317" t="s">
        <v>41655</v>
      </c>
      <c r="B8391" s="330" t="s">
        <v>52747</v>
      </c>
      <c r="C8391" s="330" t="s">
        <v>19624</v>
      </c>
      <c r="D8391" s="330" t="s">
        <v>19625</v>
      </c>
      <c r="E8391" s="330" t="s">
        <v>4634</v>
      </c>
      <c r="F8391" s="331">
        <v>0.21</v>
      </c>
      <c r="G8391" s="332">
        <v>131</v>
      </c>
      <c r="H8391" s="333">
        <v>159</v>
      </c>
    </row>
    <row r="8392" spans="1:8">
      <c r="A8392" s="317" t="s">
        <v>41656</v>
      </c>
      <c r="B8392" s="330" t="s">
        <v>52748</v>
      </c>
      <c r="C8392" s="330" t="s">
        <v>19626</v>
      </c>
      <c r="D8392" s="330" t="s">
        <v>19627</v>
      </c>
      <c r="E8392" s="330" t="s">
        <v>37248</v>
      </c>
      <c r="F8392" s="331">
        <v>0.21</v>
      </c>
      <c r="G8392" s="332">
        <v>3031</v>
      </c>
      <c r="H8392" s="333">
        <v>3668</v>
      </c>
    </row>
    <row r="8393" spans="1:8">
      <c r="A8393" s="317" t="s">
        <v>41657</v>
      </c>
      <c r="B8393" s="330" t="s">
        <v>52749</v>
      </c>
      <c r="C8393" s="330" t="s">
        <v>19628</v>
      </c>
      <c r="D8393" s="330" t="s">
        <v>19629</v>
      </c>
      <c r="E8393" s="330" t="s">
        <v>4634</v>
      </c>
      <c r="F8393" s="331">
        <v>0.21</v>
      </c>
      <c r="G8393" s="332">
        <v>1188</v>
      </c>
      <c r="H8393" s="333">
        <v>1438</v>
      </c>
    </row>
    <row r="8394" spans="1:8">
      <c r="A8394" s="317" t="s">
        <v>41658</v>
      </c>
      <c r="B8394" s="330" t="s">
        <v>52750</v>
      </c>
      <c r="C8394" s="330" t="s">
        <v>19630</v>
      </c>
      <c r="D8394" s="330" t="s">
        <v>19631</v>
      </c>
      <c r="E8394" s="330" t="s">
        <v>4634</v>
      </c>
      <c r="F8394" s="331">
        <v>0.21</v>
      </c>
      <c r="G8394" s="332">
        <v>131</v>
      </c>
      <c r="H8394" s="333">
        <v>159</v>
      </c>
    </row>
    <row r="8395" spans="1:8">
      <c r="A8395" s="317" t="s">
        <v>41659</v>
      </c>
      <c r="B8395" s="330" t="s">
        <v>52751</v>
      </c>
      <c r="C8395" s="330" t="s">
        <v>19632</v>
      </c>
      <c r="D8395" s="330" t="s">
        <v>19633</v>
      </c>
      <c r="E8395" s="330" t="s">
        <v>4634</v>
      </c>
      <c r="F8395" s="331">
        <v>0.21</v>
      </c>
      <c r="G8395" s="332">
        <v>131</v>
      </c>
      <c r="H8395" s="333">
        <v>159</v>
      </c>
    </row>
    <row r="8396" spans="1:8">
      <c r="A8396" s="317" t="s">
        <v>41660</v>
      </c>
      <c r="B8396" s="330" t="s">
        <v>52752</v>
      </c>
      <c r="C8396" s="330" t="s">
        <v>19634</v>
      </c>
      <c r="D8396" s="330" t="s">
        <v>19635</v>
      </c>
      <c r="E8396" s="330" t="s">
        <v>4634</v>
      </c>
      <c r="F8396" s="331">
        <v>0.21</v>
      </c>
      <c r="G8396" s="332">
        <v>131</v>
      </c>
      <c r="H8396" s="333">
        <v>159</v>
      </c>
    </row>
    <row r="8397" spans="1:8">
      <c r="A8397" s="317" t="s">
        <v>41661</v>
      </c>
      <c r="B8397" s="330" t="s">
        <v>52753</v>
      </c>
      <c r="C8397" s="330" t="s">
        <v>19636</v>
      </c>
      <c r="D8397" s="330" t="s">
        <v>19635</v>
      </c>
      <c r="E8397" s="330" t="s">
        <v>4634</v>
      </c>
      <c r="F8397" s="331">
        <v>0.21</v>
      </c>
      <c r="G8397" s="332">
        <v>131</v>
      </c>
      <c r="H8397" s="333">
        <v>159</v>
      </c>
    </row>
    <row r="8398" spans="1:8">
      <c r="A8398" s="317" t="s">
        <v>41662</v>
      </c>
      <c r="B8398" s="330" t="s">
        <v>52754</v>
      </c>
      <c r="C8398" s="330" t="s">
        <v>19637</v>
      </c>
      <c r="D8398" s="330" t="s">
        <v>19638</v>
      </c>
      <c r="E8398" s="330" t="s">
        <v>4819</v>
      </c>
      <c r="F8398" s="331">
        <v>0.21</v>
      </c>
      <c r="G8398" s="332">
        <v>3171</v>
      </c>
      <c r="H8398" s="333">
        <v>3837</v>
      </c>
    </row>
    <row r="8399" spans="1:8">
      <c r="A8399" s="317" t="s">
        <v>41663</v>
      </c>
      <c r="B8399" s="330" t="s">
        <v>52755</v>
      </c>
      <c r="C8399" s="330" t="s">
        <v>19639</v>
      </c>
      <c r="D8399" s="330" t="s">
        <v>19640</v>
      </c>
      <c r="E8399" s="330" t="s">
        <v>4634</v>
      </c>
      <c r="F8399" s="331">
        <v>0.21</v>
      </c>
      <c r="G8399" s="332">
        <v>702</v>
      </c>
      <c r="H8399" s="333">
        <v>850</v>
      </c>
    </row>
    <row r="8400" spans="1:8">
      <c r="A8400" s="317" t="s">
        <v>41664</v>
      </c>
      <c r="B8400" s="330" t="s">
        <v>52756</v>
      </c>
      <c r="C8400" s="330" t="s">
        <v>19641</v>
      </c>
      <c r="D8400" s="330" t="s">
        <v>19642</v>
      </c>
      <c r="E8400" s="330" t="s">
        <v>4819</v>
      </c>
      <c r="F8400" s="331">
        <v>0.21</v>
      </c>
      <c r="G8400" s="332">
        <v>8048</v>
      </c>
      <c r="H8400" s="333">
        <v>9739</v>
      </c>
    </row>
    <row r="8401" spans="1:8">
      <c r="A8401" s="317" t="s">
        <v>41665</v>
      </c>
      <c r="B8401" s="330" t="s">
        <v>52757</v>
      </c>
      <c r="C8401" s="330" t="s">
        <v>19643</v>
      </c>
      <c r="D8401" s="330" t="s">
        <v>19644</v>
      </c>
      <c r="E8401" s="330" t="s">
        <v>4634</v>
      </c>
      <c r="F8401" s="331">
        <v>0.21</v>
      </c>
      <c r="G8401" s="332">
        <v>863</v>
      </c>
      <c r="H8401" s="333">
        <v>1045</v>
      </c>
    </row>
    <row r="8402" spans="1:8">
      <c r="A8402" s="317" t="s">
        <v>41666</v>
      </c>
      <c r="B8402" s="330" t="s">
        <v>52758</v>
      </c>
      <c r="C8402" s="330" t="s">
        <v>19645</v>
      </c>
      <c r="D8402" s="330" t="s">
        <v>19631</v>
      </c>
      <c r="E8402" s="330" t="s">
        <v>4634</v>
      </c>
      <c r="F8402" s="331">
        <v>0.21</v>
      </c>
      <c r="G8402" s="332">
        <v>131</v>
      </c>
      <c r="H8402" s="333">
        <v>159</v>
      </c>
    </row>
    <row r="8403" spans="1:8">
      <c r="A8403" s="317" t="s">
        <v>41667</v>
      </c>
      <c r="B8403" s="330" t="s">
        <v>52759</v>
      </c>
      <c r="C8403" s="330" t="s">
        <v>19646</v>
      </c>
      <c r="D8403" s="330" t="s">
        <v>19647</v>
      </c>
      <c r="E8403" s="330" t="s">
        <v>4634</v>
      </c>
      <c r="F8403" s="331">
        <v>0.21</v>
      </c>
      <c r="G8403" s="332">
        <v>2034</v>
      </c>
      <c r="H8403" s="333">
        <v>2462</v>
      </c>
    </row>
    <row r="8404" spans="1:8">
      <c r="A8404" s="317" t="s">
        <v>41668</v>
      </c>
      <c r="B8404" s="330" t="s">
        <v>52760</v>
      </c>
      <c r="C8404" s="330" t="s">
        <v>19648</v>
      </c>
      <c r="D8404" s="330" t="s">
        <v>19610</v>
      </c>
      <c r="E8404" s="330" t="s">
        <v>4634</v>
      </c>
      <c r="F8404" s="331">
        <v>0.21</v>
      </c>
      <c r="G8404" s="332">
        <v>863</v>
      </c>
      <c r="H8404" s="333">
        <v>1045</v>
      </c>
    </row>
    <row r="8405" spans="1:8">
      <c r="A8405" s="317" t="s">
        <v>41669</v>
      </c>
      <c r="B8405" s="330" t="s">
        <v>52761</v>
      </c>
      <c r="C8405" s="330" t="s">
        <v>19649</v>
      </c>
      <c r="D8405" s="330" t="s">
        <v>19625</v>
      </c>
      <c r="E8405" s="330" t="s">
        <v>4634</v>
      </c>
      <c r="F8405" s="331">
        <v>0.21</v>
      </c>
      <c r="G8405" s="332">
        <v>131</v>
      </c>
      <c r="H8405" s="333">
        <v>159</v>
      </c>
    </row>
    <row r="8406" spans="1:8">
      <c r="A8406" s="317" t="s">
        <v>41670</v>
      </c>
      <c r="B8406" s="330" t="s">
        <v>52762</v>
      </c>
      <c r="C8406" s="330" t="s">
        <v>19650</v>
      </c>
      <c r="D8406" s="330" t="s">
        <v>19651</v>
      </c>
      <c r="E8406" s="330" t="s">
        <v>4634</v>
      </c>
      <c r="F8406" s="331">
        <v>0.21</v>
      </c>
      <c r="G8406" s="332">
        <v>280</v>
      </c>
      <c r="H8406" s="333">
        <v>339</v>
      </c>
    </row>
    <row r="8407" spans="1:8">
      <c r="A8407" s="317" t="s">
        <v>41671</v>
      </c>
      <c r="B8407" s="330" t="s">
        <v>52763</v>
      </c>
      <c r="C8407" s="330" t="s">
        <v>19652</v>
      </c>
      <c r="D8407" s="330" t="s">
        <v>19631</v>
      </c>
      <c r="E8407" s="330" t="s">
        <v>4819</v>
      </c>
      <c r="F8407" s="331">
        <v>0.21</v>
      </c>
      <c r="G8407" s="332">
        <v>919</v>
      </c>
      <c r="H8407" s="333">
        <v>1112</v>
      </c>
    </row>
    <row r="8408" spans="1:8">
      <c r="A8408" s="317" t="s">
        <v>41672</v>
      </c>
      <c r="B8408" s="330" t="s">
        <v>52764</v>
      </c>
      <c r="C8408" s="330" t="s">
        <v>19653</v>
      </c>
      <c r="D8408" s="330" t="s">
        <v>19654</v>
      </c>
      <c r="E8408" s="330" t="s">
        <v>4634</v>
      </c>
      <c r="F8408" s="331">
        <v>0.21</v>
      </c>
      <c r="G8408" s="332">
        <v>194</v>
      </c>
      <c r="H8408" s="333">
        <v>235</v>
      </c>
    </row>
    <row r="8409" spans="1:8">
      <c r="A8409" s="317" t="s">
        <v>41673</v>
      </c>
      <c r="B8409" s="330" t="s">
        <v>52765</v>
      </c>
      <c r="C8409" s="330" t="s">
        <v>19655</v>
      </c>
      <c r="D8409" s="330" t="s">
        <v>19656</v>
      </c>
      <c r="E8409" s="330" t="s">
        <v>4634</v>
      </c>
      <c r="F8409" s="331">
        <v>0.21</v>
      </c>
      <c r="G8409" s="332">
        <v>194</v>
      </c>
      <c r="H8409" s="333">
        <v>235</v>
      </c>
    </row>
    <row r="8410" spans="1:8">
      <c r="A8410" s="317" t="s">
        <v>41674</v>
      </c>
      <c r="B8410" s="330" t="s">
        <v>52766</v>
      </c>
      <c r="C8410" s="330" t="s">
        <v>19657</v>
      </c>
      <c r="D8410" s="330" t="s">
        <v>19658</v>
      </c>
      <c r="E8410" s="330" t="s">
        <v>4634</v>
      </c>
      <c r="F8410" s="331">
        <v>0.21</v>
      </c>
      <c r="G8410" s="332">
        <v>194</v>
      </c>
      <c r="H8410" s="333">
        <v>235</v>
      </c>
    </row>
    <row r="8411" spans="1:8">
      <c r="A8411" s="317" t="s">
        <v>41675</v>
      </c>
      <c r="B8411" s="330" t="s">
        <v>52767</v>
      </c>
      <c r="C8411" s="330" t="s">
        <v>19659</v>
      </c>
      <c r="D8411" s="330" t="s">
        <v>19660</v>
      </c>
      <c r="E8411" s="330" t="s">
        <v>37248</v>
      </c>
      <c r="F8411" s="331">
        <v>0.21</v>
      </c>
      <c r="G8411" s="332">
        <v>671</v>
      </c>
      <c r="H8411" s="333">
        <v>812</v>
      </c>
    </row>
    <row r="8412" spans="1:8">
      <c r="A8412" s="317" t="s">
        <v>41676</v>
      </c>
      <c r="B8412" s="330" t="s">
        <v>52768</v>
      </c>
      <c r="C8412" s="330" t="s">
        <v>19661</v>
      </c>
      <c r="D8412" s="330" t="s">
        <v>19662</v>
      </c>
      <c r="E8412" s="330" t="s">
        <v>4634</v>
      </c>
      <c r="F8412" s="331">
        <v>0.21</v>
      </c>
      <c r="G8412" s="332">
        <v>3294</v>
      </c>
      <c r="H8412" s="333">
        <v>3986</v>
      </c>
    </row>
    <row r="8413" spans="1:8">
      <c r="A8413" s="317" t="s">
        <v>41677</v>
      </c>
      <c r="B8413" s="330" t="s">
        <v>52769</v>
      </c>
      <c r="C8413" s="330" t="s">
        <v>19663</v>
      </c>
      <c r="D8413" s="330" t="s">
        <v>19662</v>
      </c>
      <c r="E8413" s="330" t="s">
        <v>4634</v>
      </c>
      <c r="F8413" s="331">
        <v>0.21</v>
      </c>
      <c r="G8413" s="332">
        <v>3294</v>
      </c>
      <c r="H8413" s="333">
        <v>3986</v>
      </c>
    </row>
    <row r="8414" spans="1:8">
      <c r="A8414" s="317" t="s">
        <v>41678</v>
      </c>
      <c r="B8414" s="330" t="s">
        <v>52770</v>
      </c>
      <c r="C8414" s="330" t="s">
        <v>19664</v>
      </c>
      <c r="D8414" s="330" t="s">
        <v>19665</v>
      </c>
      <c r="E8414" s="330" t="s">
        <v>4634</v>
      </c>
      <c r="F8414" s="331">
        <v>0.21</v>
      </c>
      <c r="G8414" s="332">
        <v>403</v>
      </c>
      <c r="H8414" s="333">
        <v>488</v>
      </c>
    </row>
    <row r="8415" spans="1:8">
      <c r="A8415" s="317" t="s">
        <v>41679</v>
      </c>
      <c r="B8415" s="330" t="s">
        <v>52771</v>
      </c>
      <c r="C8415" s="330" t="s">
        <v>19666</v>
      </c>
      <c r="D8415" s="330" t="s">
        <v>19610</v>
      </c>
      <c r="E8415" s="330" t="s">
        <v>37248</v>
      </c>
      <c r="F8415" s="331">
        <v>0.21</v>
      </c>
      <c r="G8415" s="332">
        <v>553</v>
      </c>
      <c r="H8415" s="333">
        <v>670</v>
      </c>
    </row>
    <row r="8416" spans="1:8">
      <c r="A8416" s="317" t="s">
        <v>41680</v>
      </c>
      <c r="B8416" s="330" t="s">
        <v>52772</v>
      </c>
      <c r="C8416" s="330" t="s">
        <v>19667</v>
      </c>
      <c r="D8416" s="330" t="s">
        <v>19610</v>
      </c>
      <c r="E8416" s="330" t="s">
        <v>37248</v>
      </c>
      <c r="F8416" s="331">
        <v>0.21</v>
      </c>
      <c r="G8416" s="332">
        <v>452</v>
      </c>
      <c r="H8416" s="333">
        <v>547</v>
      </c>
    </row>
    <row r="8417" spans="1:8">
      <c r="A8417" s="317" t="s">
        <v>41681</v>
      </c>
      <c r="B8417" s="330" t="s">
        <v>52773</v>
      </c>
      <c r="C8417" s="330" t="s">
        <v>19668</v>
      </c>
      <c r="D8417" s="330" t="s">
        <v>19625</v>
      </c>
      <c r="E8417" s="330" t="s">
        <v>4634</v>
      </c>
      <c r="F8417" s="331">
        <v>0.21</v>
      </c>
      <c r="G8417" s="332">
        <v>256</v>
      </c>
      <c r="H8417" s="333">
        <v>310</v>
      </c>
    </row>
    <row r="8418" spans="1:8">
      <c r="A8418" s="317" t="s">
        <v>41682</v>
      </c>
      <c r="B8418" s="330" t="s">
        <v>52774</v>
      </c>
      <c r="C8418" s="330" t="s">
        <v>19669</v>
      </c>
      <c r="D8418" s="330" t="s">
        <v>19623</v>
      </c>
      <c r="E8418" s="330" t="s">
        <v>4634</v>
      </c>
      <c r="F8418" s="331">
        <v>0.21</v>
      </c>
      <c r="G8418" s="332">
        <v>256</v>
      </c>
      <c r="H8418" s="333">
        <v>310</v>
      </c>
    </row>
    <row r="8419" spans="1:8">
      <c r="A8419" s="317" t="s">
        <v>41683</v>
      </c>
      <c r="B8419" s="330" t="s">
        <v>52775</v>
      </c>
      <c r="C8419" s="330" t="s">
        <v>19670</v>
      </c>
      <c r="D8419" s="330" t="s">
        <v>19671</v>
      </c>
      <c r="E8419" s="330" t="s">
        <v>4634</v>
      </c>
      <c r="F8419" s="331">
        <v>0.21</v>
      </c>
      <c r="G8419" s="332">
        <v>1179</v>
      </c>
      <c r="H8419" s="333">
        <v>1427</v>
      </c>
    </row>
    <row r="8420" spans="1:8">
      <c r="A8420" s="317" t="s">
        <v>41684</v>
      </c>
      <c r="B8420" s="330" t="s">
        <v>52776</v>
      </c>
      <c r="C8420" s="330" t="s">
        <v>19672</v>
      </c>
      <c r="D8420" s="330" t="s">
        <v>19673</v>
      </c>
      <c r="E8420" s="330" t="s">
        <v>4634</v>
      </c>
      <c r="F8420" s="331">
        <v>0.21</v>
      </c>
      <c r="G8420" s="332">
        <v>194</v>
      </c>
      <c r="H8420" s="333">
        <v>235</v>
      </c>
    </row>
    <row r="8421" spans="1:8">
      <c r="A8421" s="317" t="s">
        <v>41685</v>
      </c>
      <c r="B8421" s="330" t="s">
        <v>52777</v>
      </c>
      <c r="C8421" s="330" t="s">
        <v>19674</v>
      </c>
      <c r="D8421" s="330" t="s">
        <v>19675</v>
      </c>
      <c r="E8421" s="330" t="s">
        <v>4634</v>
      </c>
      <c r="F8421" s="331">
        <v>0.21</v>
      </c>
      <c r="G8421" s="332">
        <v>2875</v>
      </c>
      <c r="H8421" s="333">
        <v>3479</v>
      </c>
    </row>
    <row r="8422" spans="1:8">
      <c r="A8422" s="317" t="s">
        <v>41686</v>
      </c>
      <c r="B8422" s="330" t="s">
        <v>52778</v>
      </c>
      <c r="C8422" s="330" t="s">
        <v>19676</v>
      </c>
      <c r="D8422" s="330" t="s">
        <v>19677</v>
      </c>
      <c r="E8422" s="330" t="s">
        <v>4634</v>
      </c>
      <c r="F8422" s="331">
        <v>0.21</v>
      </c>
      <c r="G8422" s="332">
        <v>2038</v>
      </c>
      <c r="H8422" s="333">
        <v>2466</v>
      </c>
    </row>
    <row r="8423" spans="1:8">
      <c r="A8423" s="317" t="s">
        <v>41687</v>
      </c>
      <c r="B8423" s="330" t="s">
        <v>52779</v>
      </c>
      <c r="C8423" s="330" t="s">
        <v>19678</v>
      </c>
      <c r="D8423" s="330" t="s">
        <v>19623</v>
      </c>
      <c r="E8423" s="330" t="s">
        <v>4634</v>
      </c>
      <c r="F8423" s="331">
        <v>0.21</v>
      </c>
      <c r="G8423" s="332">
        <v>194</v>
      </c>
      <c r="H8423" s="333">
        <v>235</v>
      </c>
    </row>
    <row r="8424" spans="1:8">
      <c r="A8424" s="317" t="s">
        <v>41688</v>
      </c>
      <c r="B8424" s="330" t="s">
        <v>52780</v>
      </c>
      <c r="C8424" s="330" t="s">
        <v>19679</v>
      </c>
      <c r="D8424" s="330" t="s">
        <v>19680</v>
      </c>
      <c r="E8424" s="330" t="s">
        <v>4634</v>
      </c>
      <c r="F8424" s="331">
        <v>0.21</v>
      </c>
      <c r="G8424" s="332">
        <v>194</v>
      </c>
      <c r="H8424" s="333">
        <v>235</v>
      </c>
    </row>
    <row r="8425" spans="1:8">
      <c r="A8425" s="317" t="s">
        <v>41689</v>
      </c>
      <c r="B8425" s="330" t="s">
        <v>52781</v>
      </c>
      <c r="C8425" s="330" t="s">
        <v>19681</v>
      </c>
      <c r="D8425" s="330" t="s">
        <v>19673</v>
      </c>
      <c r="E8425" s="330" t="s">
        <v>4634</v>
      </c>
      <c r="F8425" s="331">
        <v>0.21</v>
      </c>
      <c r="G8425" s="332">
        <v>194</v>
      </c>
      <c r="H8425" s="333">
        <v>235</v>
      </c>
    </row>
    <row r="8426" spans="1:8">
      <c r="A8426" s="317" t="s">
        <v>41690</v>
      </c>
      <c r="B8426" s="330" t="s">
        <v>52782</v>
      </c>
      <c r="C8426" s="330" t="s">
        <v>19682</v>
      </c>
      <c r="D8426" s="330" t="s">
        <v>19642</v>
      </c>
      <c r="E8426" s="330" t="s">
        <v>4819</v>
      </c>
      <c r="F8426" s="331">
        <v>0.21</v>
      </c>
      <c r="G8426" s="332">
        <v>1610</v>
      </c>
      <c r="H8426" s="333">
        <v>1949</v>
      </c>
    </row>
    <row r="8427" spans="1:8">
      <c r="A8427" s="317" t="s">
        <v>41691</v>
      </c>
      <c r="B8427" s="330" t="s">
        <v>52783</v>
      </c>
      <c r="C8427" s="330" t="s">
        <v>19683</v>
      </c>
      <c r="D8427" s="330" t="s">
        <v>19610</v>
      </c>
      <c r="E8427" s="330" t="s">
        <v>4623</v>
      </c>
      <c r="F8427" s="331">
        <v>0.21</v>
      </c>
      <c r="G8427" s="332">
        <v>794</v>
      </c>
      <c r="H8427" s="333">
        <v>961</v>
      </c>
    </row>
    <row r="8428" spans="1:8">
      <c r="A8428" s="317" t="s">
        <v>41692</v>
      </c>
      <c r="B8428" s="330" t="s">
        <v>52784</v>
      </c>
      <c r="C8428" s="330" t="s">
        <v>19684</v>
      </c>
      <c r="D8428" s="330" t="s">
        <v>19610</v>
      </c>
      <c r="E8428" s="330" t="s">
        <v>37248</v>
      </c>
      <c r="F8428" s="331">
        <v>0.21</v>
      </c>
      <c r="G8428" s="332">
        <v>1530</v>
      </c>
      <c r="H8428" s="333">
        <v>1852</v>
      </c>
    </row>
    <row r="8429" spans="1:8">
      <c r="A8429" s="317" t="s">
        <v>41693</v>
      </c>
      <c r="B8429" s="330" t="s">
        <v>52785</v>
      </c>
      <c r="C8429" s="330" t="s">
        <v>19685</v>
      </c>
      <c r="D8429" s="330" t="s">
        <v>19673</v>
      </c>
      <c r="E8429" s="330" t="s">
        <v>4634</v>
      </c>
      <c r="F8429" s="331">
        <v>0.21</v>
      </c>
      <c r="G8429" s="332">
        <v>131</v>
      </c>
      <c r="H8429" s="333">
        <v>159</v>
      </c>
    </row>
    <row r="8430" spans="1:8">
      <c r="A8430" s="317" t="s">
        <v>41694</v>
      </c>
      <c r="B8430" s="330" t="s">
        <v>52786</v>
      </c>
      <c r="C8430" s="330" t="s">
        <v>19686</v>
      </c>
      <c r="D8430" s="330" t="s">
        <v>19623</v>
      </c>
      <c r="E8430" s="330" t="s">
        <v>4634</v>
      </c>
      <c r="F8430" s="331">
        <v>0.21</v>
      </c>
      <c r="G8430" s="332">
        <v>84</v>
      </c>
      <c r="H8430" s="333">
        <v>102</v>
      </c>
    </row>
    <row r="8431" spans="1:8">
      <c r="A8431" s="317" t="s">
        <v>41695</v>
      </c>
      <c r="B8431" s="330" t="s">
        <v>52787</v>
      </c>
      <c r="C8431" s="330" t="s">
        <v>19687</v>
      </c>
      <c r="D8431" s="330" t="s">
        <v>19688</v>
      </c>
      <c r="E8431" s="330" t="s">
        <v>4634</v>
      </c>
      <c r="F8431" s="331">
        <v>0.21</v>
      </c>
      <c r="G8431" s="332">
        <v>403</v>
      </c>
      <c r="H8431" s="333">
        <v>488</v>
      </c>
    </row>
    <row r="8432" spans="1:8">
      <c r="A8432" s="317" t="s">
        <v>41696</v>
      </c>
      <c r="B8432" s="330" t="s">
        <v>52788</v>
      </c>
      <c r="C8432" s="330" t="s">
        <v>19689</v>
      </c>
      <c r="D8432" s="330" t="s">
        <v>19610</v>
      </c>
      <c r="E8432" s="330" t="s">
        <v>4634</v>
      </c>
      <c r="F8432" s="331">
        <v>0.21</v>
      </c>
      <c r="G8432" s="332">
        <v>532</v>
      </c>
      <c r="H8432" s="333">
        <v>644</v>
      </c>
    </row>
    <row r="8433" spans="1:8">
      <c r="A8433" s="317" t="s">
        <v>41697</v>
      </c>
      <c r="B8433" s="330" t="s">
        <v>52789</v>
      </c>
      <c r="C8433" s="330" t="s">
        <v>19690</v>
      </c>
      <c r="D8433" s="330" t="s">
        <v>19691</v>
      </c>
      <c r="E8433" s="330" t="s">
        <v>37248</v>
      </c>
      <c r="F8433" s="331">
        <v>0.21</v>
      </c>
      <c r="G8433" s="332">
        <v>3731</v>
      </c>
      <c r="H8433" s="333">
        <v>4515</v>
      </c>
    </row>
    <row r="8434" spans="1:8">
      <c r="A8434" s="317" t="s">
        <v>41698</v>
      </c>
      <c r="B8434" s="330" t="s">
        <v>52790</v>
      </c>
      <c r="C8434" s="330" t="s">
        <v>19692</v>
      </c>
      <c r="D8434" s="330" t="s">
        <v>19693</v>
      </c>
      <c r="E8434" s="330" t="s">
        <v>4634</v>
      </c>
      <c r="F8434" s="331">
        <v>0.21</v>
      </c>
      <c r="G8434" s="332">
        <v>285</v>
      </c>
      <c r="H8434" s="333">
        <v>345</v>
      </c>
    </row>
    <row r="8435" spans="1:8">
      <c r="A8435" s="317" t="s">
        <v>41699</v>
      </c>
      <c r="B8435" s="330" t="s">
        <v>52791</v>
      </c>
      <c r="C8435" s="330" t="s">
        <v>19694</v>
      </c>
      <c r="D8435" s="330" t="s">
        <v>19695</v>
      </c>
      <c r="E8435" s="330" t="s">
        <v>4634</v>
      </c>
      <c r="F8435" s="331">
        <v>0.21</v>
      </c>
      <c r="G8435" s="332">
        <v>194</v>
      </c>
      <c r="H8435" s="333">
        <v>235</v>
      </c>
    </row>
    <row r="8436" spans="1:8">
      <c r="A8436" s="317" t="s">
        <v>41700</v>
      </c>
      <c r="B8436" s="330" t="s">
        <v>52792</v>
      </c>
      <c r="C8436" s="330" t="s">
        <v>19696</v>
      </c>
      <c r="D8436" s="330" t="s">
        <v>19610</v>
      </c>
      <c r="E8436" s="330" t="s">
        <v>4634</v>
      </c>
      <c r="F8436" s="331">
        <v>0.21</v>
      </c>
      <c r="G8436" s="332">
        <v>794</v>
      </c>
      <c r="H8436" s="333">
        <v>961</v>
      </c>
    </row>
    <row r="8437" spans="1:8">
      <c r="A8437" s="317" t="s">
        <v>41701</v>
      </c>
      <c r="B8437" s="330" t="s">
        <v>52793</v>
      </c>
      <c r="C8437" s="330" t="s">
        <v>19697</v>
      </c>
      <c r="D8437" s="330" t="s">
        <v>19698</v>
      </c>
      <c r="E8437" s="330" t="s">
        <v>4634</v>
      </c>
      <c r="F8437" s="331">
        <v>0.21</v>
      </c>
      <c r="G8437" s="332">
        <v>854</v>
      </c>
      <c r="H8437" s="333">
        <v>1034</v>
      </c>
    </row>
    <row r="8438" spans="1:8">
      <c r="A8438" s="317" t="s">
        <v>41702</v>
      </c>
      <c r="B8438" s="330" t="s">
        <v>52794</v>
      </c>
      <c r="C8438" s="330" t="s">
        <v>19699</v>
      </c>
      <c r="D8438" s="330" t="s">
        <v>19700</v>
      </c>
      <c r="E8438" s="330" t="s">
        <v>4634</v>
      </c>
      <c r="F8438" s="331">
        <v>0.21</v>
      </c>
      <c r="G8438" s="332">
        <v>37793</v>
      </c>
      <c r="H8438" s="333">
        <v>45730</v>
      </c>
    </row>
    <row r="8439" spans="1:8">
      <c r="A8439" s="317" t="s">
        <v>41703</v>
      </c>
      <c r="B8439" s="330" t="s">
        <v>52795</v>
      </c>
      <c r="C8439" s="330" t="s">
        <v>19701</v>
      </c>
      <c r="D8439" s="330" t="s">
        <v>19702</v>
      </c>
      <c r="E8439" s="330" t="s">
        <v>37248</v>
      </c>
      <c r="F8439" s="331">
        <v>0.21</v>
      </c>
      <c r="G8439" s="332">
        <v>26668</v>
      </c>
      <c r="H8439" s="333">
        <v>32269</v>
      </c>
    </row>
    <row r="8440" spans="1:8">
      <c r="A8440" s="317" t="s">
        <v>41704</v>
      </c>
      <c r="B8440" s="330" t="s">
        <v>52796</v>
      </c>
      <c r="C8440" s="330" t="s">
        <v>19703</v>
      </c>
      <c r="D8440" s="330" t="s">
        <v>19704</v>
      </c>
      <c r="E8440" s="330" t="s">
        <v>37248</v>
      </c>
      <c r="F8440" s="331">
        <v>0.21</v>
      </c>
      <c r="G8440" s="332">
        <v>5422</v>
      </c>
      <c r="H8440" s="333">
        <v>6561</v>
      </c>
    </row>
    <row r="8441" spans="1:8">
      <c r="A8441" s="317" t="s">
        <v>41705</v>
      </c>
      <c r="B8441" s="330" t="s">
        <v>52797</v>
      </c>
      <c r="C8441" s="330" t="s">
        <v>19705</v>
      </c>
      <c r="D8441" s="330" t="s">
        <v>19706</v>
      </c>
      <c r="E8441" s="330" t="s">
        <v>4634</v>
      </c>
      <c r="F8441" s="331">
        <v>0.21</v>
      </c>
      <c r="G8441" s="332">
        <v>432</v>
      </c>
      <c r="H8441" s="333">
        <v>523</v>
      </c>
    </row>
    <row r="8442" spans="1:8">
      <c r="A8442" s="317" t="s">
        <v>41706</v>
      </c>
      <c r="B8442" s="330" t="s">
        <v>52798</v>
      </c>
      <c r="C8442" s="330" t="s">
        <v>19707</v>
      </c>
      <c r="D8442" s="330" t="s">
        <v>19708</v>
      </c>
      <c r="E8442" s="330" t="s">
        <v>4634</v>
      </c>
      <c r="F8442" s="331">
        <v>0.21</v>
      </c>
      <c r="G8442" s="332">
        <v>3111</v>
      </c>
      <c r="H8442" s="333">
        <v>3765</v>
      </c>
    </row>
    <row r="8443" spans="1:8">
      <c r="A8443" s="317" t="s">
        <v>41707</v>
      </c>
      <c r="B8443" s="330" t="s">
        <v>52799</v>
      </c>
      <c r="C8443" s="330" t="s">
        <v>19709</v>
      </c>
      <c r="D8443" s="330" t="s">
        <v>19710</v>
      </c>
      <c r="E8443" s="330" t="s">
        <v>4634</v>
      </c>
      <c r="F8443" s="331">
        <v>0.21</v>
      </c>
      <c r="G8443" s="332">
        <v>4568</v>
      </c>
      <c r="H8443" s="333">
        <v>5528</v>
      </c>
    </row>
    <row r="8444" spans="1:8">
      <c r="A8444" s="317" t="s">
        <v>41708</v>
      </c>
      <c r="B8444" s="330" t="s">
        <v>52800</v>
      </c>
      <c r="C8444" s="330" t="s">
        <v>19711</v>
      </c>
      <c r="D8444" s="330" t="s">
        <v>19712</v>
      </c>
      <c r="E8444" s="330" t="s">
        <v>4819</v>
      </c>
      <c r="F8444" s="331">
        <v>0.21</v>
      </c>
      <c r="G8444" s="332">
        <v>3752</v>
      </c>
      <c r="H8444" s="333">
        <v>4540</v>
      </c>
    </row>
    <row r="8445" spans="1:8">
      <c r="A8445" s="317" t="s">
        <v>41709</v>
      </c>
      <c r="B8445" s="330" t="s">
        <v>52801</v>
      </c>
      <c r="C8445" s="330" t="s">
        <v>19713</v>
      </c>
      <c r="D8445" s="330" t="s">
        <v>19714</v>
      </c>
      <c r="E8445" s="330" t="s">
        <v>4819</v>
      </c>
      <c r="F8445" s="331">
        <v>0.21</v>
      </c>
      <c r="G8445" s="332">
        <v>1701</v>
      </c>
      <c r="H8445" s="333">
        <v>2059</v>
      </c>
    </row>
    <row r="8446" spans="1:8">
      <c r="A8446" s="317" t="s">
        <v>41710</v>
      </c>
      <c r="B8446" s="330" t="s">
        <v>52802</v>
      </c>
      <c r="C8446" s="330" t="s">
        <v>19715</v>
      </c>
      <c r="D8446" s="330" t="s">
        <v>19716</v>
      </c>
      <c r="E8446" s="330" t="s">
        <v>4634</v>
      </c>
      <c r="F8446" s="331">
        <v>0.21</v>
      </c>
      <c r="G8446" s="332">
        <v>245</v>
      </c>
      <c r="H8446" s="333">
        <v>297</v>
      </c>
    </row>
    <row r="8447" spans="1:8">
      <c r="A8447" s="317" t="s">
        <v>41711</v>
      </c>
      <c r="B8447" s="330" t="s">
        <v>52803</v>
      </c>
      <c r="C8447" s="330" t="s">
        <v>19717</v>
      </c>
      <c r="D8447" s="330" t="s">
        <v>19718</v>
      </c>
      <c r="E8447" s="330" t="s">
        <v>4634</v>
      </c>
      <c r="F8447" s="331">
        <v>0.21</v>
      </c>
      <c r="G8447" s="332">
        <v>1731</v>
      </c>
      <c r="H8447" s="333">
        <v>2095</v>
      </c>
    </row>
    <row r="8448" spans="1:8">
      <c r="A8448" s="317" t="s">
        <v>41712</v>
      </c>
      <c r="B8448" s="330" t="s">
        <v>52804</v>
      </c>
      <c r="C8448" s="330" t="s">
        <v>19719</v>
      </c>
      <c r="D8448" s="330" t="s">
        <v>19720</v>
      </c>
      <c r="E8448" s="330" t="s">
        <v>4634</v>
      </c>
      <c r="F8448" s="331">
        <v>0.21</v>
      </c>
      <c r="G8448" s="332">
        <v>245</v>
      </c>
      <c r="H8448" s="333">
        <v>297</v>
      </c>
    </row>
    <row r="8449" spans="1:8">
      <c r="A8449" s="317" t="s">
        <v>41713</v>
      </c>
      <c r="B8449" s="330" t="s">
        <v>52805</v>
      </c>
      <c r="C8449" s="330" t="s">
        <v>19721</v>
      </c>
      <c r="D8449" s="330" t="s">
        <v>19722</v>
      </c>
      <c r="E8449" s="330" t="s">
        <v>4634</v>
      </c>
      <c r="F8449" s="331">
        <v>0.21</v>
      </c>
      <c r="G8449" s="332">
        <v>280</v>
      </c>
      <c r="H8449" s="333">
        <v>339</v>
      </c>
    </row>
    <row r="8450" spans="1:8">
      <c r="A8450" s="317" t="s">
        <v>41714</v>
      </c>
      <c r="B8450" s="330" t="s">
        <v>52806</v>
      </c>
      <c r="C8450" s="330" t="s">
        <v>19723</v>
      </c>
      <c r="D8450" s="330" t="s">
        <v>19724</v>
      </c>
      <c r="E8450" s="330" t="s">
        <v>37248</v>
      </c>
      <c r="F8450" s="331">
        <v>0.21</v>
      </c>
      <c r="G8450" s="332">
        <v>7709</v>
      </c>
      <c r="H8450" s="333">
        <v>9328</v>
      </c>
    </row>
    <row r="8451" spans="1:8">
      <c r="A8451" s="317" t="s">
        <v>41715</v>
      </c>
      <c r="B8451" s="330" t="s">
        <v>52807</v>
      </c>
      <c r="C8451" s="330" t="s">
        <v>19725</v>
      </c>
      <c r="D8451" s="330" t="s">
        <v>19726</v>
      </c>
      <c r="E8451" s="330" t="s">
        <v>4634</v>
      </c>
      <c r="F8451" s="331">
        <v>0.21</v>
      </c>
      <c r="G8451" s="332">
        <v>280</v>
      </c>
      <c r="H8451" s="333">
        <v>339</v>
      </c>
    </row>
    <row r="8452" spans="1:8">
      <c r="A8452" s="317" t="s">
        <v>41716</v>
      </c>
      <c r="B8452" s="330" t="s">
        <v>52808</v>
      </c>
      <c r="C8452" s="330" t="s">
        <v>19727</v>
      </c>
      <c r="D8452" s="330" t="s">
        <v>19728</v>
      </c>
      <c r="E8452" s="330" t="s">
        <v>4634</v>
      </c>
      <c r="F8452" s="331">
        <v>0.21</v>
      </c>
      <c r="G8452" s="332">
        <v>245</v>
      </c>
      <c r="H8452" s="333">
        <v>297</v>
      </c>
    </row>
    <row r="8453" spans="1:8">
      <c r="A8453" s="317" t="s">
        <v>41717</v>
      </c>
      <c r="B8453" s="330" t="s">
        <v>52809</v>
      </c>
      <c r="C8453" s="330" t="s">
        <v>19729</v>
      </c>
      <c r="D8453" s="330" t="s">
        <v>19730</v>
      </c>
      <c r="E8453" s="330" t="s">
        <v>37248</v>
      </c>
      <c r="F8453" s="331">
        <v>0.21</v>
      </c>
      <c r="G8453" s="332">
        <v>1980</v>
      </c>
      <c r="H8453" s="333">
        <v>2396</v>
      </c>
    </row>
    <row r="8454" spans="1:8">
      <c r="A8454" s="317" t="s">
        <v>41718</v>
      </c>
      <c r="B8454" s="330" t="s">
        <v>52810</v>
      </c>
      <c r="C8454" s="330" t="s">
        <v>19731</v>
      </c>
      <c r="D8454" s="330" t="s">
        <v>19732</v>
      </c>
      <c r="E8454" s="330" t="s">
        <v>4634</v>
      </c>
      <c r="F8454" s="331">
        <v>0.21</v>
      </c>
      <c r="G8454" s="332">
        <v>309</v>
      </c>
      <c r="H8454" s="333">
        <v>374</v>
      </c>
    </row>
    <row r="8455" spans="1:8">
      <c r="A8455" s="317" t="s">
        <v>41719</v>
      </c>
      <c r="B8455" s="330" t="s">
        <v>52811</v>
      </c>
      <c r="C8455" s="330" t="s">
        <v>19733</v>
      </c>
      <c r="D8455" s="330" t="s">
        <v>19734</v>
      </c>
      <c r="E8455" s="330" t="s">
        <v>37248</v>
      </c>
      <c r="F8455" s="331">
        <v>0.21</v>
      </c>
      <c r="G8455" s="332">
        <v>1815</v>
      </c>
      <c r="H8455" s="333">
        <v>2197</v>
      </c>
    </row>
    <row r="8456" spans="1:8">
      <c r="A8456" s="317" t="s">
        <v>41720</v>
      </c>
      <c r="B8456" s="330" t="s">
        <v>52812</v>
      </c>
      <c r="C8456" s="330" t="s">
        <v>19735</v>
      </c>
      <c r="D8456" s="330" t="s">
        <v>19736</v>
      </c>
      <c r="E8456" s="330" t="s">
        <v>4634</v>
      </c>
      <c r="F8456" s="331">
        <v>0.21</v>
      </c>
      <c r="G8456" s="332">
        <v>245</v>
      </c>
      <c r="H8456" s="333">
        <v>297</v>
      </c>
    </row>
    <row r="8457" spans="1:8">
      <c r="A8457" s="317" t="s">
        <v>41721</v>
      </c>
      <c r="B8457" s="330" t="s">
        <v>52813</v>
      </c>
      <c r="C8457" s="330" t="s">
        <v>19737</v>
      </c>
      <c r="D8457" s="330" t="s">
        <v>19738</v>
      </c>
      <c r="E8457" s="330" t="s">
        <v>4819</v>
      </c>
      <c r="F8457" s="331">
        <v>0.21</v>
      </c>
      <c r="G8457" s="332">
        <v>1682</v>
      </c>
      <c r="H8457" s="333">
        <v>2036</v>
      </c>
    </row>
    <row r="8458" spans="1:8">
      <c r="A8458" s="317" t="s">
        <v>41722</v>
      </c>
      <c r="B8458" s="330" t="s">
        <v>52814</v>
      </c>
      <c r="C8458" s="330" t="s">
        <v>19739</v>
      </c>
      <c r="D8458" s="330" t="s">
        <v>19740</v>
      </c>
      <c r="E8458" s="330" t="s">
        <v>4819</v>
      </c>
      <c r="F8458" s="331">
        <v>0.21</v>
      </c>
      <c r="G8458" s="332">
        <v>4950</v>
      </c>
      <c r="H8458" s="333">
        <v>5990</v>
      </c>
    </row>
    <row r="8459" spans="1:8">
      <c r="A8459" s="317" t="s">
        <v>41723</v>
      </c>
      <c r="B8459" s="330" t="s">
        <v>52815</v>
      </c>
      <c r="C8459" s="330" t="s">
        <v>19741</v>
      </c>
      <c r="D8459" s="330" t="s">
        <v>19742</v>
      </c>
      <c r="E8459" s="330" t="s">
        <v>4634</v>
      </c>
      <c r="F8459" s="331">
        <v>0.21</v>
      </c>
      <c r="G8459" s="332">
        <v>1837</v>
      </c>
      <c r="H8459" s="333">
        <v>2223</v>
      </c>
    </row>
    <row r="8460" spans="1:8">
      <c r="A8460" s="317" t="s">
        <v>41724</v>
      </c>
      <c r="B8460" s="330" t="s">
        <v>52816</v>
      </c>
      <c r="C8460" s="330" t="s">
        <v>19743</v>
      </c>
      <c r="D8460" s="330" t="s">
        <v>19744</v>
      </c>
      <c r="E8460" s="330" t="s">
        <v>4819</v>
      </c>
      <c r="F8460" s="331">
        <v>0.21</v>
      </c>
      <c r="G8460" s="332">
        <v>10683</v>
      </c>
      <c r="H8460" s="333">
        <v>12927</v>
      </c>
    </row>
    <row r="8461" spans="1:8">
      <c r="A8461" s="317" t="s">
        <v>41725</v>
      </c>
      <c r="B8461" s="330" t="s">
        <v>52817</v>
      </c>
      <c r="C8461" s="330" t="s">
        <v>19745</v>
      </c>
      <c r="D8461" s="330" t="s">
        <v>19746</v>
      </c>
      <c r="E8461" s="330" t="s">
        <v>4634</v>
      </c>
      <c r="F8461" s="331">
        <v>0.21</v>
      </c>
      <c r="G8461" s="332">
        <v>673</v>
      </c>
      <c r="H8461" s="333">
        <v>815</v>
      </c>
    </row>
    <row r="8462" spans="1:8">
      <c r="A8462" s="317" t="s">
        <v>41726</v>
      </c>
      <c r="B8462" s="330" t="s">
        <v>52818</v>
      </c>
      <c r="C8462" s="330" t="s">
        <v>19747</v>
      </c>
      <c r="D8462" s="330" t="s">
        <v>19748</v>
      </c>
      <c r="E8462" s="330" t="s">
        <v>4634</v>
      </c>
      <c r="F8462" s="331">
        <v>0.21</v>
      </c>
      <c r="G8462" s="332">
        <v>3176</v>
      </c>
      <c r="H8462" s="333">
        <v>3843</v>
      </c>
    </row>
    <row r="8463" spans="1:8">
      <c r="A8463" s="317" t="s">
        <v>41727</v>
      </c>
      <c r="B8463" s="330" t="s">
        <v>52819</v>
      </c>
      <c r="C8463" s="330" t="s">
        <v>19749</v>
      </c>
      <c r="D8463" s="330" t="s">
        <v>19750</v>
      </c>
      <c r="E8463" s="330" t="s">
        <v>4634</v>
      </c>
      <c r="F8463" s="331">
        <v>0.21</v>
      </c>
      <c r="G8463" s="332">
        <v>3223</v>
      </c>
      <c r="H8463" s="333">
        <v>3900</v>
      </c>
    </row>
    <row r="8464" spans="1:8">
      <c r="A8464" s="317" t="s">
        <v>41728</v>
      </c>
      <c r="B8464" s="330" t="s">
        <v>52820</v>
      </c>
      <c r="C8464" s="330" t="s">
        <v>19751</v>
      </c>
      <c r="D8464" s="330" t="s">
        <v>19752</v>
      </c>
      <c r="E8464" s="330" t="s">
        <v>37248</v>
      </c>
      <c r="F8464" s="331">
        <v>0.21</v>
      </c>
      <c r="G8464" s="332">
        <v>28100</v>
      </c>
      <c r="H8464" s="333">
        <v>34001</v>
      </c>
    </row>
    <row r="8465" spans="1:8">
      <c r="A8465" s="317" t="s">
        <v>41729</v>
      </c>
      <c r="B8465" s="330" t="s">
        <v>52821</v>
      </c>
      <c r="C8465" s="330" t="s">
        <v>19753</v>
      </c>
      <c r="D8465" s="330" t="s">
        <v>19754</v>
      </c>
      <c r="E8465" s="330" t="s">
        <v>37248</v>
      </c>
      <c r="F8465" s="331">
        <v>0.21</v>
      </c>
      <c r="G8465" s="332">
        <v>22285</v>
      </c>
      <c r="H8465" s="333">
        <v>26965</v>
      </c>
    </row>
    <row r="8466" spans="1:8">
      <c r="A8466" s="317" t="s">
        <v>41730</v>
      </c>
      <c r="B8466" s="330" t="s">
        <v>52822</v>
      </c>
      <c r="C8466" s="330" t="s">
        <v>19755</v>
      </c>
      <c r="D8466" s="330" t="s">
        <v>19756</v>
      </c>
      <c r="E8466" s="330" t="s">
        <v>4819</v>
      </c>
      <c r="F8466" s="331">
        <v>0.21</v>
      </c>
      <c r="G8466" s="332">
        <v>2755</v>
      </c>
      <c r="H8466" s="333">
        <v>3334</v>
      </c>
    </row>
    <row r="8467" spans="1:8">
      <c r="A8467" s="317" t="s">
        <v>41731</v>
      </c>
      <c r="B8467" s="330" t="s">
        <v>52823</v>
      </c>
      <c r="C8467" s="330" t="s">
        <v>19757</v>
      </c>
      <c r="D8467" s="330" t="s">
        <v>9643</v>
      </c>
      <c r="E8467" s="330" t="s">
        <v>4634</v>
      </c>
      <c r="F8467" s="331">
        <v>0.21</v>
      </c>
      <c r="G8467" s="332">
        <v>1423</v>
      </c>
      <c r="H8467" s="333">
        <v>1722</v>
      </c>
    </row>
    <row r="8468" spans="1:8">
      <c r="A8468" s="317" t="s">
        <v>41732</v>
      </c>
      <c r="B8468" s="330" t="s">
        <v>52824</v>
      </c>
      <c r="C8468" s="330" t="s">
        <v>19758</v>
      </c>
      <c r="D8468" s="330" t="s">
        <v>19759</v>
      </c>
      <c r="E8468" s="330" t="s">
        <v>4819</v>
      </c>
      <c r="F8468" s="331">
        <v>0.21</v>
      </c>
      <c r="G8468" s="332">
        <v>1072</v>
      </c>
      <c r="H8468" s="333">
        <v>1298</v>
      </c>
    </row>
    <row r="8469" spans="1:8">
      <c r="A8469" s="317" t="s">
        <v>41733</v>
      </c>
      <c r="B8469" s="330" t="s">
        <v>52825</v>
      </c>
      <c r="C8469" s="330" t="s">
        <v>19760</v>
      </c>
      <c r="D8469" s="330" t="s">
        <v>19761</v>
      </c>
      <c r="E8469" s="330" t="s">
        <v>4634</v>
      </c>
      <c r="F8469" s="331">
        <v>0.21</v>
      </c>
      <c r="G8469" s="332">
        <v>481</v>
      </c>
      <c r="H8469" s="333">
        <v>583</v>
      </c>
    </row>
    <row r="8470" spans="1:8">
      <c r="A8470" s="317" t="s">
        <v>41734</v>
      </c>
      <c r="B8470" s="330" t="s">
        <v>52826</v>
      </c>
      <c r="C8470" s="330" t="s">
        <v>19762</v>
      </c>
      <c r="D8470" s="330" t="s">
        <v>19763</v>
      </c>
      <c r="E8470" s="330" t="s">
        <v>4819</v>
      </c>
      <c r="F8470" s="331">
        <v>0.21</v>
      </c>
      <c r="G8470" s="332">
        <v>16694</v>
      </c>
      <c r="H8470" s="333">
        <v>20200</v>
      </c>
    </row>
    <row r="8471" spans="1:8">
      <c r="A8471" s="317" t="s">
        <v>41735</v>
      </c>
      <c r="B8471" s="330" t="s">
        <v>52827</v>
      </c>
      <c r="C8471" s="330" t="s">
        <v>19764</v>
      </c>
      <c r="D8471" s="330" t="s">
        <v>19761</v>
      </c>
      <c r="E8471" s="330" t="s">
        <v>4634</v>
      </c>
      <c r="F8471" s="331">
        <v>0.21</v>
      </c>
      <c r="G8471" s="332">
        <v>481</v>
      </c>
      <c r="H8471" s="333">
        <v>583</v>
      </c>
    </row>
    <row r="8472" spans="1:8">
      <c r="A8472" s="317" t="s">
        <v>41736</v>
      </c>
      <c r="B8472" s="330" t="s">
        <v>52828</v>
      </c>
      <c r="C8472" s="330" t="s">
        <v>19765</v>
      </c>
      <c r="D8472" s="330" t="s">
        <v>19594</v>
      </c>
      <c r="E8472" s="330" t="s">
        <v>4819</v>
      </c>
      <c r="F8472" s="331">
        <v>0.21</v>
      </c>
      <c r="G8472" s="332">
        <v>42875</v>
      </c>
      <c r="H8472" s="333">
        <v>51879</v>
      </c>
    </row>
    <row r="8473" spans="1:8">
      <c r="A8473" s="317" t="s">
        <v>41737</v>
      </c>
      <c r="B8473" s="330" t="s">
        <v>52829</v>
      </c>
      <c r="C8473" s="330" t="s">
        <v>19766</v>
      </c>
      <c r="D8473" s="330" t="s">
        <v>19767</v>
      </c>
      <c r="E8473" s="330" t="s">
        <v>4634</v>
      </c>
      <c r="F8473" s="331">
        <v>0.21</v>
      </c>
      <c r="G8473" s="332">
        <v>2409</v>
      </c>
      <c r="H8473" s="333">
        <v>2915</v>
      </c>
    </row>
    <row r="8474" spans="1:8">
      <c r="A8474" s="317" t="s">
        <v>41738</v>
      </c>
      <c r="B8474" s="330" t="s">
        <v>52830</v>
      </c>
      <c r="C8474" s="330" t="s">
        <v>19768</v>
      </c>
      <c r="D8474" s="330" t="s">
        <v>19597</v>
      </c>
      <c r="E8474" s="330" t="s">
        <v>4634</v>
      </c>
      <c r="F8474" s="331">
        <v>0.21</v>
      </c>
      <c r="G8474" s="332">
        <v>30494</v>
      </c>
      <c r="H8474" s="333">
        <v>36898</v>
      </c>
    </row>
    <row r="8475" spans="1:8">
      <c r="A8475" s="317" t="s">
        <v>41739</v>
      </c>
      <c r="B8475" s="330" t="s">
        <v>52831</v>
      </c>
      <c r="C8475" s="330" t="s">
        <v>19769</v>
      </c>
      <c r="D8475" s="330" t="s">
        <v>19770</v>
      </c>
      <c r="E8475" s="330" t="s">
        <v>4819</v>
      </c>
      <c r="F8475" s="331">
        <v>0.21</v>
      </c>
      <c r="G8475" s="332">
        <v>67001</v>
      </c>
      <c r="H8475" s="333">
        <v>81072</v>
      </c>
    </row>
    <row r="8476" spans="1:8">
      <c r="A8476" s="317" t="s">
        <v>41740</v>
      </c>
      <c r="B8476" s="330" t="s">
        <v>52832</v>
      </c>
      <c r="C8476" s="330" t="s">
        <v>19771</v>
      </c>
      <c r="D8476" s="330" t="s">
        <v>19767</v>
      </c>
      <c r="E8476" s="330" t="s">
        <v>4634</v>
      </c>
      <c r="F8476" s="331">
        <v>0.21</v>
      </c>
      <c r="G8476" s="332">
        <v>1927</v>
      </c>
      <c r="H8476" s="333">
        <v>2332</v>
      </c>
    </row>
    <row r="8477" spans="1:8">
      <c r="A8477" s="317" t="s">
        <v>41741</v>
      </c>
      <c r="B8477" s="330" t="s">
        <v>52833</v>
      </c>
      <c r="C8477" s="330" t="s">
        <v>19772</v>
      </c>
      <c r="D8477" s="330" t="s">
        <v>19773</v>
      </c>
      <c r="E8477" s="330" t="s">
        <v>4819</v>
      </c>
      <c r="F8477" s="331">
        <v>0.21</v>
      </c>
      <c r="G8477" s="332">
        <v>21685</v>
      </c>
      <c r="H8477" s="333">
        <v>26239</v>
      </c>
    </row>
    <row r="8478" spans="1:8">
      <c r="A8478" s="317" t="s">
        <v>41742</v>
      </c>
      <c r="B8478" s="330" t="s">
        <v>52834</v>
      </c>
      <c r="C8478" s="330" t="s">
        <v>19774</v>
      </c>
      <c r="D8478" s="330" t="s">
        <v>19775</v>
      </c>
      <c r="E8478" s="330" t="s">
        <v>4819</v>
      </c>
      <c r="F8478" s="331">
        <v>0.21</v>
      </c>
      <c r="G8478" s="332">
        <v>8039</v>
      </c>
      <c r="H8478" s="333">
        <v>9728</v>
      </c>
    </row>
    <row r="8479" spans="1:8">
      <c r="A8479" s="317" t="s">
        <v>41743</v>
      </c>
      <c r="B8479" s="330" t="s">
        <v>52835</v>
      </c>
      <c r="C8479" s="330" t="s">
        <v>19776</v>
      </c>
      <c r="D8479" s="330" t="s">
        <v>19777</v>
      </c>
      <c r="E8479" s="330" t="s">
        <v>4819</v>
      </c>
      <c r="F8479" s="331">
        <v>0.21</v>
      </c>
      <c r="G8479" s="332">
        <v>18769</v>
      </c>
      <c r="H8479" s="333">
        <v>22711</v>
      </c>
    </row>
    <row r="8480" spans="1:8">
      <c r="A8480" s="317" t="s">
        <v>41744</v>
      </c>
      <c r="B8480" s="330" t="s">
        <v>52836</v>
      </c>
      <c r="C8480" s="330" t="s">
        <v>19778</v>
      </c>
      <c r="D8480" s="330" t="s">
        <v>19779</v>
      </c>
      <c r="E8480" s="330" t="s">
        <v>4634</v>
      </c>
      <c r="F8480" s="331">
        <v>0.21</v>
      </c>
      <c r="G8480" s="332">
        <v>22323</v>
      </c>
      <c r="H8480" s="333">
        <v>27011</v>
      </c>
    </row>
    <row r="8481" spans="1:8">
      <c r="A8481" s="317" t="s">
        <v>41745</v>
      </c>
      <c r="B8481" s="330" t="s">
        <v>52837</v>
      </c>
      <c r="C8481" s="330" t="s">
        <v>19780</v>
      </c>
      <c r="D8481" s="330" t="s">
        <v>19781</v>
      </c>
      <c r="E8481" s="330" t="s">
        <v>4634</v>
      </c>
      <c r="F8481" s="331">
        <v>0.21</v>
      </c>
      <c r="G8481" s="332">
        <v>15352</v>
      </c>
      <c r="H8481" s="333">
        <v>18576</v>
      </c>
    </row>
    <row r="8482" spans="1:8">
      <c r="A8482" s="317" t="s">
        <v>41746</v>
      </c>
      <c r="B8482" s="330" t="s">
        <v>52838</v>
      </c>
      <c r="C8482" s="330" t="s">
        <v>19782</v>
      </c>
      <c r="D8482" s="330" t="s">
        <v>19783</v>
      </c>
      <c r="E8482" s="330" t="s">
        <v>4819</v>
      </c>
      <c r="F8482" s="331">
        <v>0.21</v>
      </c>
      <c r="G8482" s="332">
        <v>10785</v>
      </c>
      <c r="H8482" s="333">
        <v>13050</v>
      </c>
    </row>
    <row r="8483" spans="1:8">
      <c r="A8483" s="317" t="s">
        <v>41747</v>
      </c>
      <c r="B8483" s="330" t="s">
        <v>52839</v>
      </c>
      <c r="C8483" s="330" t="s">
        <v>19784</v>
      </c>
      <c r="D8483" s="330" t="s">
        <v>19785</v>
      </c>
      <c r="E8483" s="330" t="s">
        <v>4634</v>
      </c>
      <c r="F8483" s="331">
        <v>0.21</v>
      </c>
      <c r="G8483" s="332">
        <v>38241</v>
      </c>
      <c r="H8483" s="333">
        <v>46272</v>
      </c>
    </row>
    <row r="8484" spans="1:8">
      <c r="A8484" s="317" t="s">
        <v>41748</v>
      </c>
      <c r="B8484" s="330" t="s">
        <v>52840</v>
      </c>
      <c r="C8484" s="330" t="s">
        <v>19786</v>
      </c>
      <c r="D8484" s="330" t="s">
        <v>19787</v>
      </c>
      <c r="E8484" s="330" t="s">
        <v>37248</v>
      </c>
      <c r="F8484" s="331">
        <v>0.21</v>
      </c>
      <c r="G8484" s="332">
        <v>947</v>
      </c>
      <c r="H8484" s="333">
        <v>1146</v>
      </c>
    </row>
    <row r="8485" spans="1:8">
      <c r="A8485" s="317" t="s">
        <v>41749</v>
      </c>
      <c r="B8485" s="330" t="s">
        <v>52841</v>
      </c>
      <c r="C8485" s="330" t="s">
        <v>19788</v>
      </c>
      <c r="D8485" s="330" t="s">
        <v>19789</v>
      </c>
      <c r="E8485" s="330" t="s">
        <v>37248</v>
      </c>
      <c r="F8485" s="331">
        <v>0.21</v>
      </c>
      <c r="G8485" s="332">
        <v>23641</v>
      </c>
      <c r="H8485" s="333">
        <v>28606</v>
      </c>
    </row>
    <row r="8486" spans="1:8">
      <c r="A8486" s="317" t="s">
        <v>41750</v>
      </c>
      <c r="B8486" s="330" t="s">
        <v>52842</v>
      </c>
      <c r="C8486" s="330" t="s">
        <v>19790</v>
      </c>
      <c r="D8486" s="330" t="s">
        <v>7235</v>
      </c>
      <c r="E8486" s="330" t="s">
        <v>37248</v>
      </c>
      <c r="F8486" s="331">
        <v>0.21</v>
      </c>
      <c r="G8486" s="332">
        <v>305</v>
      </c>
      <c r="H8486" s="333">
        <v>370</v>
      </c>
    </row>
    <row r="8487" spans="1:8">
      <c r="A8487" s="317" t="s">
        <v>41751</v>
      </c>
      <c r="B8487" s="330" t="s">
        <v>52843</v>
      </c>
      <c r="C8487" s="330" t="s">
        <v>19791</v>
      </c>
      <c r="D8487" s="330" t="s">
        <v>5822</v>
      </c>
      <c r="E8487" s="330" t="s">
        <v>37248</v>
      </c>
      <c r="F8487" s="331">
        <v>0.21</v>
      </c>
      <c r="G8487" s="332">
        <v>5715</v>
      </c>
      <c r="H8487" s="333">
        <v>6916</v>
      </c>
    </row>
    <row r="8488" spans="1:8">
      <c r="A8488" s="317" t="s">
        <v>41752</v>
      </c>
      <c r="B8488" s="330" t="s">
        <v>52844</v>
      </c>
      <c r="C8488" s="330" t="s">
        <v>19792</v>
      </c>
      <c r="D8488" s="330" t="s">
        <v>5822</v>
      </c>
      <c r="E8488" s="330" t="s">
        <v>37248</v>
      </c>
      <c r="F8488" s="331">
        <v>0.21</v>
      </c>
      <c r="G8488" s="332">
        <v>7472</v>
      </c>
      <c r="H8488" s="333">
        <v>9042</v>
      </c>
    </row>
    <row r="8489" spans="1:8">
      <c r="A8489" s="317" t="s">
        <v>41753</v>
      </c>
      <c r="B8489" s="330" t="s">
        <v>52845</v>
      </c>
      <c r="C8489" s="330" t="s">
        <v>19793</v>
      </c>
      <c r="D8489" s="330" t="s">
        <v>15407</v>
      </c>
      <c r="E8489" s="330" t="s">
        <v>37248</v>
      </c>
      <c r="F8489" s="331">
        <v>0.21</v>
      </c>
      <c r="G8489" s="332">
        <v>305</v>
      </c>
      <c r="H8489" s="333">
        <v>370</v>
      </c>
    </row>
    <row r="8490" spans="1:8">
      <c r="A8490" s="317" t="s">
        <v>41754</v>
      </c>
      <c r="B8490" s="330" t="s">
        <v>52846</v>
      </c>
      <c r="C8490" s="330" t="s">
        <v>19794</v>
      </c>
      <c r="D8490" s="330" t="s">
        <v>8219</v>
      </c>
      <c r="E8490" s="330" t="s">
        <v>37248</v>
      </c>
      <c r="F8490" s="331">
        <v>0.21</v>
      </c>
      <c r="G8490" s="332">
        <v>1360</v>
      </c>
      <c r="H8490" s="333">
        <v>1646</v>
      </c>
    </row>
    <row r="8491" spans="1:8">
      <c r="A8491" s="317" t="s">
        <v>41755</v>
      </c>
      <c r="B8491" s="330" t="s">
        <v>52847</v>
      </c>
      <c r="C8491" s="330" t="s">
        <v>19795</v>
      </c>
      <c r="D8491" s="330" t="s">
        <v>7235</v>
      </c>
      <c r="E8491" s="330" t="s">
        <v>37248</v>
      </c>
      <c r="F8491" s="331">
        <v>0.21</v>
      </c>
      <c r="G8491" s="332">
        <v>305</v>
      </c>
      <c r="H8491" s="333">
        <v>370</v>
      </c>
    </row>
    <row r="8492" spans="1:8">
      <c r="A8492" s="317" t="s">
        <v>41756</v>
      </c>
      <c r="B8492" s="330" t="s">
        <v>52848</v>
      </c>
      <c r="C8492" s="330" t="s">
        <v>19796</v>
      </c>
      <c r="D8492" s="330" t="s">
        <v>19797</v>
      </c>
      <c r="E8492" s="330" t="s">
        <v>37248</v>
      </c>
      <c r="F8492" s="331">
        <v>0.21</v>
      </c>
      <c r="G8492" s="332">
        <v>1853</v>
      </c>
      <c r="H8492" s="333">
        <v>2243</v>
      </c>
    </row>
    <row r="8493" spans="1:8">
      <c r="A8493" s="317" t="s">
        <v>41757</v>
      </c>
      <c r="B8493" s="330" t="s">
        <v>52849</v>
      </c>
      <c r="C8493" s="330" t="s">
        <v>19798</v>
      </c>
      <c r="D8493" s="330" t="s">
        <v>19799</v>
      </c>
      <c r="E8493" s="330" t="s">
        <v>37248</v>
      </c>
      <c r="F8493" s="331">
        <v>0.21</v>
      </c>
      <c r="G8493" s="332">
        <v>9453</v>
      </c>
      <c r="H8493" s="333">
        <v>11439</v>
      </c>
    </row>
    <row r="8494" spans="1:8">
      <c r="A8494" s="317" t="s">
        <v>41758</v>
      </c>
      <c r="B8494" s="330" t="s">
        <v>52850</v>
      </c>
      <c r="C8494" s="330" t="s">
        <v>19800</v>
      </c>
      <c r="D8494" s="330" t="s">
        <v>19801</v>
      </c>
      <c r="E8494" s="330" t="s">
        <v>37248</v>
      </c>
      <c r="F8494" s="331">
        <v>0.21</v>
      </c>
      <c r="G8494" s="332">
        <v>1853</v>
      </c>
      <c r="H8494" s="333">
        <v>2243</v>
      </c>
    </row>
    <row r="8495" spans="1:8">
      <c r="A8495" s="317" t="s">
        <v>41759</v>
      </c>
      <c r="B8495" s="330" t="s">
        <v>52851</v>
      </c>
      <c r="C8495" s="330" t="s">
        <v>19802</v>
      </c>
      <c r="D8495" s="330" t="s">
        <v>7989</v>
      </c>
      <c r="E8495" s="330" t="s">
        <v>37248</v>
      </c>
      <c r="F8495" s="331">
        <v>0.21</v>
      </c>
      <c r="G8495" s="332">
        <v>10953</v>
      </c>
      <c r="H8495" s="333">
        <v>13254</v>
      </c>
    </row>
    <row r="8496" spans="1:8">
      <c r="A8496" s="317" t="s">
        <v>41760</v>
      </c>
      <c r="B8496" s="330" t="s">
        <v>52852</v>
      </c>
      <c r="C8496" s="330" t="s">
        <v>19803</v>
      </c>
      <c r="D8496" s="330" t="s">
        <v>19804</v>
      </c>
      <c r="E8496" s="330" t="s">
        <v>4634</v>
      </c>
      <c r="F8496" s="331">
        <v>0.21</v>
      </c>
      <c r="G8496" s="332">
        <v>2063</v>
      </c>
      <c r="H8496" s="333">
        <v>2497</v>
      </c>
    </row>
    <row r="8497" spans="1:8">
      <c r="A8497" s="317" t="s">
        <v>41761</v>
      </c>
      <c r="B8497" s="330" t="s">
        <v>52853</v>
      </c>
      <c r="C8497" s="330" t="s">
        <v>19805</v>
      </c>
      <c r="D8497" s="330" t="s">
        <v>19806</v>
      </c>
      <c r="E8497" s="330" t="s">
        <v>4819</v>
      </c>
      <c r="F8497" s="331">
        <v>0.21</v>
      </c>
      <c r="G8497" s="332">
        <v>1648</v>
      </c>
      <c r="H8497" s="333">
        <v>1995</v>
      </c>
    </row>
    <row r="8498" spans="1:8">
      <c r="A8498" s="317" t="s">
        <v>41762</v>
      </c>
      <c r="B8498" s="330" t="s">
        <v>52854</v>
      </c>
      <c r="C8498" s="330" t="s">
        <v>19807</v>
      </c>
      <c r="D8498" s="330" t="s">
        <v>19808</v>
      </c>
      <c r="E8498" s="330" t="s">
        <v>37248</v>
      </c>
      <c r="F8498" s="331">
        <v>0.21</v>
      </c>
      <c r="G8498" s="332">
        <v>41235</v>
      </c>
      <c r="H8498" s="333">
        <v>49895</v>
      </c>
    </row>
    <row r="8499" spans="1:8">
      <c r="A8499" s="317" t="s">
        <v>41763</v>
      </c>
      <c r="B8499" s="330" t="s">
        <v>52855</v>
      </c>
      <c r="C8499" s="330" t="s">
        <v>19809</v>
      </c>
      <c r="D8499" s="330" t="s">
        <v>19810</v>
      </c>
      <c r="E8499" s="330" t="s">
        <v>4819</v>
      </c>
      <c r="F8499" s="331">
        <v>0.21</v>
      </c>
      <c r="G8499" s="332">
        <v>2032</v>
      </c>
      <c r="H8499" s="333">
        <v>2459</v>
      </c>
    </row>
    <row r="8500" spans="1:8">
      <c r="A8500" s="317" t="s">
        <v>41764</v>
      </c>
      <c r="B8500" s="330" t="s">
        <v>52856</v>
      </c>
      <c r="C8500" s="330" t="s">
        <v>19811</v>
      </c>
      <c r="D8500" s="330" t="s">
        <v>19812</v>
      </c>
      <c r="E8500" s="330" t="s">
        <v>4634</v>
      </c>
      <c r="F8500" s="331">
        <v>0.21</v>
      </c>
      <c r="G8500" s="332">
        <v>34141</v>
      </c>
      <c r="H8500" s="333">
        <v>41311</v>
      </c>
    </row>
    <row r="8501" spans="1:8">
      <c r="A8501" s="317" t="s">
        <v>41765</v>
      </c>
      <c r="B8501" s="330" t="s">
        <v>52857</v>
      </c>
      <c r="C8501" s="330" t="s">
        <v>19813</v>
      </c>
      <c r="D8501" s="330" t="s">
        <v>19814</v>
      </c>
      <c r="E8501" s="330" t="s">
        <v>4819</v>
      </c>
      <c r="F8501" s="331">
        <v>0.21</v>
      </c>
      <c r="G8501" s="332">
        <v>55231</v>
      </c>
      <c r="H8501" s="333">
        <v>66830</v>
      </c>
    </row>
    <row r="8502" spans="1:8">
      <c r="A8502" s="317" t="s">
        <v>41766</v>
      </c>
      <c r="B8502" s="330" t="s">
        <v>52858</v>
      </c>
      <c r="C8502" s="330" t="s">
        <v>19815</v>
      </c>
      <c r="D8502" s="330" t="s">
        <v>19816</v>
      </c>
      <c r="E8502" s="330" t="s">
        <v>4634</v>
      </c>
      <c r="F8502" s="331">
        <v>0.21</v>
      </c>
      <c r="G8502" s="332">
        <v>42596</v>
      </c>
      <c r="H8502" s="333">
        <v>51542</v>
      </c>
    </row>
    <row r="8503" spans="1:8">
      <c r="A8503" s="317" t="s">
        <v>41767</v>
      </c>
      <c r="B8503" s="330" t="s">
        <v>52859</v>
      </c>
      <c r="C8503" s="330" t="s">
        <v>19817</v>
      </c>
      <c r="D8503" s="330" t="s">
        <v>19818</v>
      </c>
      <c r="E8503" s="330" t="s">
        <v>4819</v>
      </c>
      <c r="F8503" s="331">
        <v>0.21</v>
      </c>
      <c r="G8503" s="332">
        <v>1610</v>
      </c>
      <c r="H8503" s="333">
        <v>1949</v>
      </c>
    </row>
    <row r="8504" spans="1:8">
      <c r="A8504" s="317" t="s">
        <v>41768</v>
      </c>
      <c r="B8504" s="330" t="s">
        <v>52860</v>
      </c>
      <c r="C8504" s="330" t="s">
        <v>19819</v>
      </c>
      <c r="D8504" s="330" t="s">
        <v>19820</v>
      </c>
      <c r="E8504" s="330" t="s">
        <v>4634</v>
      </c>
      <c r="F8504" s="331">
        <v>0.21</v>
      </c>
      <c r="G8504" s="332">
        <v>285</v>
      </c>
      <c r="H8504" s="333">
        <v>345</v>
      </c>
    </row>
    <row r="8505" spans="1:8">
      <c r="A8505" s="317" t="s">
        <v>41769</v>
      </c>
      <c r="B8505" s="330" t="s">
        <v>52861</v>
      </c>
      <c r="C8505" s="330" t="s">
        <v>19821</v>
      </c>
      <c r="D8505" s="330" t="s">
        <v>19822</v>
      </c>
      <c r="E8505" s="330" t="s">
        <v>4634</v>
      </c>
      <c r="F8505" s="331">
        <v>0.21</v>
      </c>
      <c r="G8505" s="332">
        <v>314</v>
      </c>
      <c r="H8505" s="333">
        <v>380</v>
      </c>
    </row>
    <row r="8506" spans="1:8">
      <c r="A8506" s="317" t="s">
        <v>41770</v>
      </c>
      <c r="B8506" s="330" t="s">
        <v>52862</v>
      </c>
      <c r="C8506" s="330" t="s">
        <v>19823</v>
      </c>
      <c r="D8506" s="330" t="s">
        <v>19824</v>
      </c>
      <c r="E8506" s="330" t="s">
        <v>37248</v>
      </c>
      <c r="F8506" s="331">
        <v>0.21</v>
      </c>
      <c r="G8506" s="332">
        <v>40521</v>
      </c>
      <c r="H8506" s="333">
        <v>49031</v>
      </c>
    </row>
    <row r="8507" spans="1:8">
      <c r="A8507" s="317" t="s">
        <v>41771</v>
      </c>
      <c r="B8507" s="330" t="s">
        <v>52863</v>
      </c>
      <c r="C8507" s="330" t="s">
        <v>19825</v>
      </c>
      <c r="D8507" s="330" t="s">
        <v>19826</v>
      </c>
      <c r="E8507" s="330" t="s">
        <v>37248</v>
      </c>
      <c r="F8507" s="331">
        <v>0.21</v>
      </c>
      <c r="G8507" s="332">
        <v>12385</v>
      </c>
      <c r="H8507" s="333">
        <v>14986</v>
      </c>
    </row>
    <row r="8508" spans="1:8">
      <c r="A8508" s="317" t="s">
        <v>41772</v>
      </c>
      <c r="B8508" s="330" t="s">
        <v>52864</v>
      </c>
      <c r="C8508" s="330" t="s">
        <v>19827</v>
      </c>
      <c r="D8508" s="330" t="s">
        <v>19828</v>
      </c>
      <c r="E8508" s="330" t="s">
        <v>4634</v>
      </c>
      <c r="F8508" s="331">
        <v>0.21</v>
      </c>
      <c r="G8508" s="332">
        <v>2270</v>
      </c>
      <c r="H8508" s="333">
        <v>2747</v>
      </c>
    </row>
    <row r="8509" spans="1:8">
      <c r="A8509" s="317" t="s">
        <v>41773</v>
      </c>
      <c r="B8509" s="330" t="s">
        <v>52865</v>
      </c>
      <c r="C8509" s="330" t="s">
        <v>19829</v>
      </c>
      <c r="D8509" s="330" t="s">
        <v>19830</v>
      </c>
      <c r="E8509" s="330" t="s">
        <v>4634</v>
      </c>
      <c r="F8509" s="331">
        <v>0.21</v>
      </c>
      <c r="G8509" s="332">
        <v>21616</v>
      </c>
      <c r="H8509" s="333">
        <v>26156</v>
      </c>
    </row>
    <row r="8510" spans="1:8">
      <c r="A8510" s="317" t="s">
        <v>41774</v>
      </c>
      <c r="B8510" s="330" t="s">
        <v>52866</v>
      </c>
      <c r="C8510" s="330" t="s">
        <v>19831</v>
      </c>
      <c r="D8510" s="330" t="s">
        <v>19832</v>
      </c>
      <c r="E8510" s="330" t="s">
        <v>4623</v>
      </c>
      <c r="F8510" s="331">
        <v>0.21</v>
      </c>
      <c r="G8510" s="332">
        <v>18193</v>
      </c>
      <c r="H8510" s="333">
        <v>22014</v>
      </c>
    </row>
    <row r="8511" spans="1:8">
      <c r="A8511" s="317" t="s">
        <v>41775</v>
      </c>
      <c r="B8511" s="330" t="s">
        <v>52867</v>
      </c>
      <c r="C8511" s="330" t="s">
        <v>19833</v>
      </c>
      <c r="D8511" s="330" t="s">
        <v>19834</v>
      </c>
      <c r="E8511" s="330" t="s">
        <v>37248</v>
      </c>
      <c r="F8511" s="331">
        <v>0.21</v>
      </c>
      <c r="G8511" s="332">
        <v>48173</v>
      </c>
      <c r="H8511" s="333">
        <v>58290</v>
      </c>
    </row>
    <row r="8512" spans="1:8">
      <c r="A8512" s="317" t="s">
        <v>41776</v>
      </c>
      <c r="B8512" s="330" t="s">
        <v>52868</v>
      </c>
      <c r="C8512" s="330" t="s">
        <v>19835</v>
      </c>
      <c r="D8512" s="330" t="s">
        <v>19836</v>
      </c>
      <c r="E8512" s="330" t="s">
        <v>4819</v>
      </c>
      <c r="F8512" s="331">
        <v>0.21</v>
      </c>
      <c r="G8512" s="332">
        <v>8777</v>
      </c>
      <c r="H8512" s="333">
        <v>10621</v>
      </c>
    </row>
    <row r="8513" spans="1:8">
      <c r="A8513" s="317" t="s">
        <v>41777</v>
      </c>
      <c r="B8513" s="330" t="s">
        <v>52869</v>
      </c>
      <c r="C8513" s="330" t="s">
        <v>19837</v>
      </c>
      <c r="D8513" s="330" t="s">
        <v>19838</v>
      </c>
      <c r="E8513" s="330" t="s">
        <v>4634</v>
      </c>
      <c r="F8513" s="331">
        <v>0.21</v>
      </c>
      <c r="G8513" s="332">
        <v>280</v>
      </c>
      <c r="H8513" s="333">
        <v>339</v>
      </c>
    </row>
    <row r="8514" spans="1:8">
      <c r="A8514" s="317" t="s">
        <v>41778</v>
      </c>
      <c r="B8514" s="330" t="s">
        <v>52870</v>
      </c>
      <c r="C8514" s="330" t="s">
        <v>19839</v>
      </c>
      <c r="D8514" s="330" t="s">
        <v>19840</v>
      </c>
      <c r="E8514" s="330" t="s">
        <v>37248</v>
      </c>
      <c r="F8514" s="331">
        <v>0.21</v>
      </c>
      <c r="G8514" s="332">
        <v>46999</v>
      </c>
      <c r="H8514" s="333">
        <v>56869</v>
      </c>
    </row>
    <row r="8515" spans="1:8">
      <c r="A8515" s="317" t="s">
        <v>41779</v>
      </c>
      <c r="B8515" s="330" t="s">
        <v>52871</v>
      </c>
      <c r="C8515" s="330" t="s">
        <v>19841</v>
      </c>
      <c r="D8515" s="330" t="s">
        <v>19842</v>
      </c>
      <c r="E8515" s="330" t="s">
        <v>37248</v>
      </c>
      <c r="F8515" s="331">
        <v>0.21</v>
      </c>
      <c r="G8515" s="332">
        <v>19093</v>
      </c>
      <c r="H8515" s="333">
        <v>23103</v>
      </c>
    </row>
    <row r="8516" spans="1:8">
      <c r="A8516" s="317" t="s">
        <v>41780</v>
      </c>
      <c r="B8516" s="330" t="s">
        <v>52872</v>
      </c>
      <c r="C8516" s="330" t="s">
        <v>19843</v>
      </c>
      <c r="D8516" s="330" t="s">
        <v>19844</v>
      </c>
      <c r="E8516" s="330" t="s">
        <v>37248</v>
      </c>
      <c r="F8516" s="331">
        <v>0.21</v>
      </c>
      <c r="G8516" s="332">
        <v>37929</v>
      </c>
      <c r="H8516" s="333">
        <v>45895</v>
      </c>
    </row>
    <row r="8517" spans="1:8">
      <c r="A8517" s="317" t="s">
        <v>41781</v>
      </c>
      <c r="B8517" s="330" t="s">
        <v>52873</v>
      </c>
      <c r="C8517" s="330" t="s">
        <v>19845</v>
      </c>
      <c r="D8517" s="330" t="s">
        <v>13566</v>
      </c>
      <c r="E8517" s="330" t="s">
        <v>37248</v>
      </c>
      <c r="F8517" s="331">
        <v>0.21</v>
      </c>
      <c r="G8517" s="332">
        <v>292</v>
      </c>
      <c r="H8517" s="333">
        <v>354</v>
      </c>
    </row>
    <row r="8518" spans="1:8">
      <c r="A8518" s="317" t="s">
        <v>41782</v>
      </c>
      <c r="B8518" s="330" t="s">
        <v>52874</v>
      </c>
      <c r="C8518" s="330" t="s">
        <v>19846</v>
      </c>
      <c r="D8518" s="330" t="s">
        <v>19847</v>
      </c>
      <c r="E8518" s="330" t="s">
        <v>37248</v>
      </c>
      <c r="F8518" s="331">
        <v>0.21</v>
      </c>
      <c r="G8518" s="332">
        <v>292</v>
      </c>
      <c r="H8518" s="333">
        <v>354</v>
      </c>
    </row>
    <row r="8519" spans="1:8">
      <c r="A8519" s="317" t="s">
        <v>41783</v>
      </c>
      <c r="B8519" s="330" t="s">
        <v>52875</v>
      </c>
      <c r="C8519" s="330" t="s">
        <v>19848</v>
      </c>
      <c r="D8519" s="330" t="s">
        <v>7626</v>
      </c>
      <c r="E8519" s="330" t="s">
        <v>37248</v>
      </c>
      <c r="F8519" s="331">
        <v>0.21</v>
      </c>
      <c r="G8519" s="332">
        <v>22756</v>
      </c>
      <c r="H8519" s="333">
        <v>27535</v>
      </c>
    </row>
    <row r="8520" spans="1:8">
      <c r="A8520" s="317" t="s">
        <v>41784</v>
      </c>
      <c r="B8520" s="330" t="s">
        <v>52876</v>
      </c>
      <c r="C8520" s="330" t="s">
        <v>19849</v>
      </c>
      <c r="D8520" s="330" t="s">
        <v>19850</v>
      </c>
      <c r="E8520" s="330" t="s">
        <v>4819</v>
      </c>
      <c r="F8520" s="331">
        <v>0.21</v>
      </c>
      <c r="G8520" s="332">
        <v>25917</v>
      </c>
      <c r="H8520" s="333">
        <v>31360</v>
      </c>
    </row>
    <row r="8521" spans="1:8">
      <c r="A8521" s="317" t="s">
        <v>41785</v>
      </c>
      <c r="B8521" s="330" t="s">
        <v>52877</v>
      </c>
      <c r="C8521" s="330" t="s">
        <v>19851</v>
      </c>
      <c r="D8521" s="330" t="s">
        <v>19852</v>
      </c>
      <c r="E8521" s="330" t="s">
        <v>4819</v>
      </c>
      <c r="F8521" s="331">
        <v>0.21</v>
      </c>
      <c r="G8521" s="332">
        <v>30233</v>
      </c>
      <c r="H8521" s="333">
        <v>36582</v>
      </c>
    </row>
    <row r="8522" spans="1:8">
      <c r="A8522" s="317" t="s">
        <v>41786</v>
      </c>
      <c r="B8522" s="330" t="s">
        <v>52878</v>
      </c>
      <c r="C8522" s="330" t="s">
        <v>19853</v>
      </c>
      <c r="D8522" s="330" t="s">
        <v>19854</v>
      </c>
      <c r="E8522" s="330" t="s">
        <v>4819</v>
      </c>
      <c r="F8522" s="331">
        <v>0.21</v>
      </c>
      <c r="G8522" s="332">
        <v>6631</v>
      </c>
      <c r="H8522" s="333">
        <v>8024</v>
      </c>
    </row>
    <row r="8523" spans="1:8">
      <c r="A8523" s="317" t="s">
        <v>41787</v>
      </c>
      <c r="B8523" s="330" t="s">
        <v>52879</v>
      </c>
      <c r="C8523" s="330" t="s">
        <v>19855</v>
      </c>
      <c r="D8523" s="330" t="s">
        <v>19787</v>
      </c>
      <c r="E8523" s="330" t="s">
        <v>37248</v>
      </c>
      <c r="F8523" s="331">
        <v>0.21</v>
      </c>
      <c r="G8523" s="332">
        <v>1224</v>
      </c>
      <c r="H8523" s="333">
        <v>1482</v>
      </c>
    </row>
    <row r="8524" spans="1:8">
      <c r="A8524" s="317" t="s">
        <v>41788</v>
      </c>
      <c r="B8524" s="330" t="s">
        <v>52880</v>
      </c>
      <c r="C8524" s="330" t="s">
        <v>19856</v>
      </c>
      <c r="D8524" s="330" t="s">
        <v>19857</v>
      </c>
      <c r="E8524" s="330" t="s">
        <v>4819</v>
      </c>
      <c r="F8524" s="331">
        <v>0.21</v>
      </c>
      <c r="G8524" s="332">
        <v>5480</v>
      </c>
      <c r="H8524" s="333">
        <v>6631</v>
      </c>
    </row>
    <row r="8525" spans="1:8">
      <c r="A8525" s="317" t="s">
        <v>41789</v>
      </c>
      <c r="B8525" s="330" t="s">
        <v>52881</v>
      </c>
      <c r="C8525" s="330" t="s">
        <v>19858</v>
      </c>
      <c r="D8525" s="330" t="s">
        <v>19859</v>
      </c>
      <c r="E8525" s="330" t="s">
        <v>37248</v>
      </c>
      <c r="F8525" s="331">
        <v>0.21</v>
      </c>
      <c r="G8525" s="332">
        <v>10190</v>
      </c>
      <c r="H8525" s="333">
        <v>12330</v>
      </c>
    </row>
    <row r="8526" spans="1:8">
      <c r="A8526" s="317" t="s">
        <v>41790</v>
      </c>
      <c r="B8526" s="330" t="s">
        <v>52882</v>
      </c>
      <c r="C8526" s="330" t="s">
        <v>19860</v>
      </c>
      <c r="D8526" s="330" t="s">
        <v>19861</v>
      </c>
      <c r="E8526" s="330" t="s">
        <v>4634</v>
      </c>
      <c r="F8526" s="331">
        <v>0.21</v>
      </c>
      <c r="G8526" s="332">
        <v>919</v>
      </c>
      <c r="H8526" s="333">
        <v>1112</v>
      </c>
    </row>
    <row r="8527" spans="1:8">
      <c r="A8527" s="317" t="s">
        <v>41791</v>
      </c>
      <c r="B8527" s="330" t="s">
        <v>52883</v>
      </c>
      <c r="C8527" s="330" t="s">
        <v>19862</v>
      </c>
      <c r="D8527" s="330" t="s">
        <v>19863</v>
      </c>
      <c r="E8527" s="330" t="s">
        <v>4819</v>
      </c>
      <c r="F8527" s="331">
        <v>0.21</v>
      </c>
      <c r="G8527" s="332">
        <v>4376</v>
      </c>
      <c r="H8527" s="333">
        <v>5295</v>
      </c>
    </row>
    <row r="8528" spans="1:8">
      <c r="A8528" s="317" t="s">
        <v>41792</v>
      </c>
      <c r="B8528" s="330" t="s">
        <v>52884</v>
      </c>
      <c r="C8528" s="330" t="s">
        <v>19864</v>
      </c>
      <c r="D8528" s="330" t="s">
        <v>19865</v>
      </c>
      <c r="E8528" s="330" t="s">
        <v>4819</v>
      </c>
      <c r="F8528" s="331">
        <v>0.21</v>
      </c>
      <c r="G8528" s="332">
        <v>5028</v>
      </c>
      <c r="H8528" s="333">
        <v>6084</v>
      </c>
    </row>
    <row r="8529" spans="1:8">
      <c r="A8529" s="317" t="s">
        <v>41793</v>
      </c>
      <c r="B8529" s="330" t="s">
        <v>52885</v>
      </c>
      <c r="C8529" s="330" t="s">
        <v>19866</v>
      </c>
      <c r="D8529" s="330" t="s">
        <v>19867</v>
      </c>
      <c r="E8529" s="330" t="s">
        <v>4819</v>
      </c>
      <c r="F8529" s="331">
        <v>0.21</v>
      </c>
      <c r="G8529" s="332">
        <v>910</v>
      </c>
      <c r="H8529" s="333">
        <v>1102</v>
      </c>
    </row>
    <row r="8530" spans="1:8">
      <c r="A8530" s="317" t="s">
        <v>41794</v>
      </c>
      <c r="B8530" s="330" t="s">
        <v>52886</v>
      </c>
      <c r="C8530" s="330" t="s">
        <v>19868</v>
      </c>
      <c r="D8530" s="330" t="s">
        <v>19869</v>
      </c>
      <c r="E8530" s="330" t="s">
        <v>4819</v>
      </c>
      <c r="F8530" s="331">
        <v>0.21</v>
      </c>
      <c r="G8530" s="332">
        <v>3560</v>
      </c>
      <c r="H8530" s="333">
        <v>4308</v>
      </c>
    </row>
    <row r="8531" spans="1:8">
      <c r="A8531" s="317" t="s">
        <v>41795</v>
      </c>
      <c r="B8531" s="330" t="s">
        <v>52887</v>
      </c>
      <c r="C8531" s="330" t="s">
        <v>19870</v>
      </c>
      <c r="D8531" s="330" t="s">
        <v>19871</v>
      </c>
      <c r="E8531" s="330" t="s">
        <v>4819</v>
      </c>
      <c r="F8531" s="331">
        <v>0.21</v>
      </c>
      <c r="G8531" s="332">
        <v>60542</v>
      </c>
      <c r="H8531" s="333">
        <v>73256</v>
      </c>
    </row>
    <row r="8532" spans="1:8">
      <c r="A8532" s="317" t="s">
        <v>41796</v>
      </c>
      <c r="B8532" s="330" t="s">
        <v>52888</v>
      </c>
      <c r="C8532" s="330" t="s">
        <v>19872</v>
      </c>
      <c r="D8532" s="330" t="s">
        <v>19873</v>
      </c>
      <c r="E8532" s="330" t="s">
        <v>4819</v>
      </c>
      <c r="F8532" s="331">
        <v>0.21</v>
      </c>
      <c r="G8532" s="332">
        <v>2237</v>
      </c>
      <c r="H8532" s="333">
        <v>2707</v>
      </c>
    </row>
    <row r="8533" spans="1:8">
      <c r="A8533" s="317" t="s">
        <v>41797</v>
      </c>
      <c r="B8533" s="330" t="s">
        <v>52889</v>
      </c>
      <c r="C8533" s="330" t="s">
        <v>19874</v>
      </c>
      <c r="D8533" s="330" t="s">
        <v>19875</v>
      </c>
      <c r="E8533" s="330" t="s">
        <v>4819</v>
      </c>
      <c r="F8533" s="331">
        <v>0.21</v>
      </c>
      <c r="G8533" s="332">
        <v>2451</v>
      </c>
      <c r="H8533" s="333">
        <v>2966</v>
      </c>
    </row>
    <row r="8534" spans="1:8">
      <c r="A8534" s="317" t="s">
        <v>41798</v>
      </c>
      <c r="B8534" s="330" t="s">
        <v>52890</v>
      </c>
      <c r="C8534" s="330" t="s">
        <v>19876</v>
      </c>
      <c r="D8534" s="330" t="s">
        <v>19877</v>
      </c>
      <c r="E8534" s="330" t="s">
        <v>4819</v>
      </c>
      <c r="F8534" s="331">
        <v>0.21</v>
      </c>
      <c r="G8534" s="332">
        <v>1421</v>
      </c>
      <c r="H8534" s="333">
        <v>1720</v>
      </c>
    </row>
    <row r="8535" spans="1:8">
      <c r="A8535" s="317" t="s">
        <v>41799</v>
      </c>
      <c r="B8535" s="330" t="s">
        <v>52891</v>
      </c>
      <c r="C8535" s="330" t="s">
        <v>19878</v>
      </c>
      <c r="D8535" s="330" t="s">
        <v>19879</v>
      </c>
      <c r="E8535" s="330" t="s">
        <v>4819</v>
      </c>
      <c r="F8535" s="331">
        <v>0.21</v>
      </c>
      <c r="G8535" s="332">
        <v>2237</v>
      </c>
      <c r="H8535" s="333">
        <v>2707</v>
      </c>
    </row>
    <row r="8536" spans="1:8">
      <c r="A8536" s="317" t="s">
        <v>41800</v>
      </c>
      <c r="B8536" s="330" t="s">
        <v>52892</v>
      </c>
      <c r="C8536" s="330" t="s">
        <v>19880</v>
      </c>
      <c r="D8536" s="330" t="s">
        <v>19881</v>
      </c>
      <c r="E8536" s="330" t="s">
        <v>4819</v>
      </c>
      <c r="F8536" s="331">
        <v>0.21</v>
      </c>
      <c r="G8536" s="332">
        <v>1835</v>
      </c>
      <c r="H8536" s="333">
        <v>2221</v>
      </c>
    </row>
    <row r="8537" spans="1:8">
      <c r="A8537" s="317" t="s">
        <v>41801</v>
      </c>
      <c r="B8537" s="330" t="s">
        <v>52893</v>
      </c>
      <c r="C8537" s="330" t="s">
        <v>19882</v>
      </c>
      <c r="D8537" s="330" t="s">
        <v>19883</v>
      </c>
      <c r="E8537" s="330" t="s">
        <v>4819</v>
      </c>
      <c r="F8537" s="331">
        <v>0.21</v>
      </c>
      <c r="G8537" s="332">
        <v>16755</v>
      </c>
      <c r="H8537" s="333">
        <v>20274</v>
      </c>
    </row>
    <row r="8538" spans="1:8">
      <c r="A8538" s="317" t="s">
        <v>41802</v>
      </c>
      <c r="B8538" s="330" t="s">
        <v>52894</v>
      </c>
      <c r="C8538" s="330" t="s">
        <v>19884</v>
      </c>
      <c r="D8538" s="330" t="s">
        <v>19885</v>
      </c>
      <c r="E8538" s="330" t="s">
        <v>4634</v>
      </c>
      <c r="F8538" s="331">
        <v>0.21</v>
      </c>
      <c r="G8538" s="332">
        <v>2246</v>
      </c>
      <c r="H8538" s="333">
        <v>2718</v>
      </c>
    </row>
    <row r="8539" spans="1:8">
      <c r="A8539" s="317" t="s">
        <v>41803</v>
      </c>
      <c r="B8539" s="330" t="s">
        <v>52895</v>
      </c>
      <c r="C8539" s="330" t="s">
        <v>19886</v>
      </c>
      <c r="D8539" s="330" t="s">
        <v>19887</v>
      </c>
      <c r="E8539" s="330" t="s">
        <v>4819</v>
      </c>
      <c r="F8539" s="331">
        <v>0.21</v>
      </c>
      <c r="G8539" s="332">
        <v>1835</v>
      </c>
      <c r="H8539" s="333">
        <v>2221</v>
      </c>
    </row>
    <row r="8540" spans="1:8">
      <c r="A8540" s="317" t="s">
        <v>41804</v>
      </c>
      <c r="B8540" s="330" t="s">
        <v>52896</v>
      </c>
      <c r="C8540" s="330" t="s">
        <v>19888</v>
      </c>
      <c r="D8540" s="330" t="s">
        <v>19889</v>
      </c>
      <c r="E8540" s="330" t="s">
        <v>4819</v>
      </c>
      <c r="F8540" s="331">
        <v>0.21</v>
      </c>
      <c r="G8540" s="332">
        <v>4851</v>
      </c>
      <c r="H8540" s="333">
        <v>5870</v>
      </c>
    </row>
    <row r="8541" spans="1:8">
      <c r="A8541" s="317" t="s">
        <v>41805</v>
      </c>
      <c r="B8541" s="330" t="s">
        <v>52897</v>
      </c>
      <c r="C8541" s="330" t="s">
        <v>19890</v>
      </c>
      <c r="D8541" s="330" t="s">
        <v>19891</v>
      </c>
      <c r="E8541" s="330" t="s">
        <v>4819</v>
      </c>
      <c r="F8541" s="331">
        <v>0.21</v>
      </c>
      <c r="G8541" s="332">
        <v>9114</v>
      </c>
      <c r="H8541" s="333">
        <v>11028</v>
      </c>
    </row>
    <row r="8542" spans="1:8">
      <c r="A8542" s="317" t="s">
        <v>41806</v>
      </c>
      <c r="B8542" s="330" t="s">
        <v>52898</v>
      </c>
      <c r="C8542" s="330" t="s">
        <v>19892</v>
      </c>
      <c r="D8542" s="330" t="s">
        <v>7653</v>
      </c>
      <c r="E8542" s="330" t="s">
        <v>37248</v>
      </c>
      <c r="F8542" s="331">
        <v>0.21</v>
      </c>
      <c r="G8542" s="332">
        <v>194</v>
      </c>
      <c r="H8542" s="333">
        <v>235</v>
      </c>
    </row>
    <row r="8543" spans="1:8">
      <c r="A8543" s="317" t="s">
        <v>41807</v>
      </c>
      <c r="B8543" s="330" t="s">
        <v>52899</v>
      </c>
      <c r="C8543" s="330" t="s">
        <v>19893</v>
      </c>
      <c r="D8543" s="330" t="s">
        <v>12706</v>
      </c>
      <c r="E8543" s="330" t="s">
        <v>37248</v>
      </c>
      <c r="F8543" s="331">
        <v>0.21</v>
      </c>
      <c r="G8543" s="332">
        <v>174</v>
      </c>
      <c r="H8543" s="333">
        <v>211</v>
      </c>
    </row>
    <row r="8544" spans="1:8">
      <c r="A8544" s="317" t="s">
        <v>41808</v>
      </c>
      <c r="B8544" s="330" t="s">
        <v>52900</v>
      </c>
      <c r="C8544" s="330" t="s">
        <v>19894</v>
      </c>
      <c r="D8544" s="330" t="s">
        <v>19895</v>
      </c>
      <c r="E8544" s="330" t="s">
        <v>4819</v>
      </c>
      <c r="F8544" s="331">
        <v>0.21</v>
      </c>
      <c r="G8544" s="332">
        <v>118243</v>
      </c>
      <c r="H8544" s="333">
        <v>143075</v>
      </c>
    </row>
    <row r="8545" spans="1:8">
      <c r="A8545" s="317" t="s">
        <v>41809</v>
      </c>
      <c r="B8545" s="330" t="s">
        <v>52901</v>
      </c>
      <c r="C8545" s="330" t="s">
        <v>19896</v>
      </c>
      <c r="D8545" s="330" t="s">
        <v>19897</v>
      </c>
      <c r="E8545" s="330" t="s">
        <v>37248</v>
      </c>
      <c r="F8545" s="331">
        <v>0.21</v>
      </c>
      <c r="G8545" s="332">
        <v>1505</v>
      </c>
      <c r="H8545" s="333">
        <v>1822</v>
      </c>
    </row>
    <row r="8546" spans="1:8">
      <c r="A8546" s="317" t="s">
        <v>41810</v>
      </c>
      <c r="B8546" s="330" t="s">
        <v>52902</v>
      </c>
      <c r="C8546" s="330" t="s">
        <v>19898</v>
      </c>
      <c r="D8546" s="330" t="s">
        <v>19899</v>
      </c>
      <c r="E8546" s="330" t="s">
        <v>37248</v>
      </c>
      <c r="F8546" s="331">
        <v>0.21</v>
      </c>
      <c r="G8546" s="332">
        <v>29718</v>
      </c>
      <c r="H8546" s="333">
        <v>35959</v>
      </c>
    </row>
    <row r="8547" spans="1:8">
      <c r="A8547" s="317" t="s">
        <v>41811</v>
      </c>
      <c r="B8547" s="330" t="s">
        <v>52903</v>
      </c>
      <c r="C8547" s="330" t="s">
        <v>19900</v>
      </c>
      <c r="D8547" s="330" t="s">
        <v>19901</v>
      </c>
      <c r="E8547" s="330" t="s">
        <v>4819</v>
      </c>
      <c r="F8547" s="331">
        <v>0.21</v>
      </c>
      <c r="G8547" s="332">
        <v>17730</v>
      </c>
      <c r="H8547" s="333">
        <v>21454</v>
      </c>
    </row>
    <row r="8548" spans="1:8">
      <c r="A8548" s="317" t="s">
        <v>41812</v>
      </c>
      <c r="B8548" s="330" t="s">
        <v>52904</v>
      </c>
      <c r="C8548" s="330" t="s">
        <v>19902</v>
      </c>
      <c r="D8548" s="330" t="s">
        <v>19903</v>
      </c>
      <c r="E8548" s="330" t="s">
        <v>37248</v>
      </c>
      <c r="F8548" s="331">
        <v>0.21</v>
      </c>
      <c r="G8548" s="332">
        <v>6234</v>
      </c>
      <c r="H8548" s="333">
        <v>7544</v>
      </c>
    </row>
    <row r="8549" spans="1:8">
      <c r="A8549" s="317" t="s">
        <v>41813</v>
      </c>
      <c r="B8549" s="330" t="s">
        <v>52905</v>
      </c>
      <c r="C8549" s="330" t="s">
        <v>19904</v>
      </c>
      <c r="D8549" s="330" t="s">
        <v>19905</v>
      </c>
      <c r="E8549" s="330" t="s">
        <v>4819</v>
      </c>
      <c r="F8549" s="331">
        <v>0.21</v>
      </c>
      <c r="G8549" s="332">
        <v>12853</v>
      </c>
      <c r="H8549" s="333">
        <v>15553</v>
      </c>
    </row>
    <row r="8550" spans="1:8">
      <c r="A8550" s="317" t="s">
        <v>41814</v>
      </c>
      <c r="B8550" s="330" t="s">
        <v>52906</v>
      </c>
      <c r="C8550" s="330" t="s">
        <v>19906</v>
      </c>
      <c r="D8550" s="330" t="s">
        <v>19907</v>
      </c>
      <c r="E8550" s="330" t="s">
        <v>37248</v>
      </c>
      <c r="F8550" s="331">
        <v>0.21</v>
      </c>
      <c r="G8550" s="332">
        <v>519</v>
      </c>
      <c r="H8550" s="333">
        <v>628</v>
      </c>
    </row>
    <row r="8551" spans="1:8">
      <c r="A8551" s="317" t="s">
        <v>41815</v>
      </c>
      <c r="B8551" s="330" t="s">
        <v>52907</v>
      </c>
      <c r="C8551" s="330" t="s">
        <v>19908</v>
      </c>
      <c r="D8551" s="330" t="s">
        <v>19909</v>
      </c>
      <c r="E8551" s="330" t="s">
        <v>4819</v>
      </c>
      <c r="F8551" s="331">
        <v>0.21</v>
      </c>
      <c r="G8551" s="332">
        <v>339</v>
      </c>
      <c r="H8551" s="333">
        <v>411</v>
      </c>
    </row>
    <row r="8552" spans="1:8">
      <c r="A8552" s="317" t="s">
        <v>41816</v>
      </c>
      <c r="B8552" s="330" t="s">
        <v>52908</v>
      </c>
      <c r="C8552" s="330" t="s">
        <v>19910</v>
      </c>
      <c r="D8552" s="330" t="s">
        <v>19911</v>
      </c>
      <c r="E8552" s="330" t="s">
        <v>37248</v>
      </c>
      <c r="F8552" s="331">
        <v>0.21</v>
      </c>
      <c r="G8552" s="332">
        <v>1373</v>
      </c>
      <c r="H8552" s="333">
        <v>1662</v>
      </c>
    </row>
    <row r="8553" spans="1:8">
      <c r="A8553" s="317" t="s">
        <v>41817</v>
      </c>
      <c r="B8553" s="330" t="s">
        <v>52909</v>
      </c>
      <c r="C8553" s="330" t="s">
        <v>19912</v>
      </c>
      <c r="D8553" s="330" t="s">
        <v>19913</v>
      </c>
      <c r="E8553" s="330" t="s">
        <v>4819</v>
      </c>
      <c r="F8553" s="331">
        <v>0.21</v>
      </c>
      <c r="G8553" s="332">
        <v>34387</v>
      </c>
      <c r="H8553" s="333">
        <v>41609</v>
      </c>
    </row>
    <row r="8554" spans="1:8">
      <c r="A8554" s="317" t="s">
        <v>41818</v>
      </c>
      <c r="B8554" s="330" t="s">
        <v>52910</v>
      </c>
      <c r="C8554" s="330" t="s">
        <v>19914</v>
      </c>
      <c r="D8554" s="330" t="s">
        <v>19913</v>
      </c>
      <c r="E8554" s="330" t="s">
        <v>37248</v>
      </c>
      <c r="F8554" s="331">
        <v>0.21</v>
      </c>
      <c r="G8554" s="332">
        <v>84387</v>
      </c>
      <c r="H8554" s="333">
        <v>102109</v>
      </c>
    </row>
    <row r="8555" spans="1:8">
      <c r="A8555" s="317" t="s">
        <v>41819</v>
      </c>
      <c r="B8555" s="330" t="s">
        <v>52911</v>
      </c>
      <c r="C8555" s="330" t="s">
        <v>19915</v>
      </c>
      <c r="D8555" s="330" t="s">
        <v>19916</v>
      </c>
      <c r="E8555" s="330" t="s">
        <v>4819</v>
      </c>
      <c r="F8555" s="331">
        <v>0.21</v>
      </c>
      <c r="G8555" s="332">
        <v>2094</v>
      </c>
      <c r="H8555" s="333">
        <v>2534</v>
      </c>
    </row>
    <row r="8556" spans="1:8">
      <c r="A8556" s="317" t="s">
        <v>41820</v>
      </c>
      <c r="B8556" s="330" t="s">
        <v>52912</v>
      </c>
      <c r="C8556" s="330" t="s">
        <v>19917</v>
      </c>
      <c r="D8556" s="330" t="s">
        <v>19918</v>
      </c>
      <c r="E8556" s="330" t="s">
        <v>4819</v>
      </c>
      <c r="F8556" s="331">
        <v>0.21</v>
      </c>
      <c r="G8556" s="332">
        <v>2094</v>
      </c>
      <c r="H8556" s="333">
        <v>2534</v>
      </c>
    </row>
    <row r="8557" spans="1:8">
      <c r="A8557" s="317" t="s">
        <v>41821</v>
      </c>
      <c r="B8557" s="330" t="s">
        <v>52913</v>
      </c>
      <c r="C8557" s="330" t="s">
        <v>19919</v>
      </c>
      <c r="D8557" s="330" t="s">
        <v>19920</v>
      </c>
      <c r="E8557" s="330" t="s">
        <v>4819</v>
      </c>
      <c r="F8557" s="331">
        <v>0.21</v>
      </c>
      <c r="G8557" s="332">
        <v>2094</v>
      </c>
      <c r="H8557" s="333">
        <v>2534</v>
      </c>
    </row>
    <row r="8558" spans="1:8">
      <c r="A8558" s="317" t="s">
        <v>41822</v>
      </c>
      <c r="B8558" s="330" t="s">
        <v>52914</v>
      </c>
      <c r="C8558" s="330" t="s">
        <v>19921</v>
      </c>
      <c r="D8558" s="330" t="s">
        <v>19922</v>
      </c>
      <c r="E8558" s="330" t="s">
        <v>4819</v>
      </c>
      <c r="F8558" s="331">
        <v>0.21</v>
      </c>
      <c r="G8558" s="332">
        <v>5663</v>
      </c>
      <c r="H8558" s="333">
        <v>6853</v>
      </c>
    </row>
    <row r="8559" spans="1:8">
      <c r="A8559" s="317" t="s">
        <v>41823</v>
      </c>
      <c r="B8559" s="330" t="s">
        <v>52915</v>
      </c>
      <c r="C8559" s="330" t="s">
        <v>19923</v>
      </c>
      <c r="D8559" s="330" t="s">
        <v>19924</v>
      </c>
      <c r="E8559" s="330" t="s">
        <v>4819</v>
      </c>
      <c r="F8559" s="331">
        <v>0.21</v>
      </c>
      <c r="G8559" s="332">
        <v>156214</v>
      </c>
      <c r="H8559" s="333">
        <v>189019</v>
      </c>
    </row>
    <row r="8560" spans="1:8">
      <c r="A8560" s="317" t="s">
        <v>41824</v>
      </c>
      <c r="B8560" s="330" t="s">
        <v>52916</v>
      </c>
      <c r="C8560" s="330" t="s">
        <v>19925</v>
      </c>
      <c r="D8560" s="330" t="s">
        <v>19926</v>
      </c>
      <c r="E8560" s="330" t="s">
        <v>4819</v>
      </c>
      <c r="F8560" s="331">
        <v>0.21</v>
      </c>
      <c r="G8560" s="332">
        <v>2094</v>
      </c>
      <c r="H8560" s="333">
        <v>2534</v>
      </c>
    </row>
    <row r="8561" spans="1:8">
      <c r="A8561" s="317" t="s">
        <v>41825</v>
      </c>
      <c r="B8561" s="330" t="s">
        <v>52917</v>
      </c>
      <c r="C8561" s="330" t="s">
        <v>19927</v>
      </c>
      <c r="D8561" s="330" t="s">
        <v>19907</v>
      </c>
      <c r="E8561" s="330" t="s">
        <v>4819</v>
      </c>
      <c r="F8561" s="331">
        <v>0.21</v>
      </c>
      <c r="G8561" s="332">
        <v>2094</v>
      </c>
      <c r="H8561" s="333">
        <v>2534</v>
      </c>
    </row>
    <row r="8562" spans="1:8">
      <c r="A8562" s="317" t="s">
        <v>41826</v>
      </c>
      <c r="B8562" s="330" t="s">
        <v>52918</v>
      </c>
      <c r="C8562" s="330" t="s">
        <v>19928</v>
      </c>
      <c r="D8562" s="330" t="s">
        <v>19920</v>
      </c>
      <c r="E8562" s="330" t="s">
        <v>4819</v>
      </c>
      <c r="F8562" s="331">
        <v>0.21</v>
      </c>
      <c r="G8562" s="332">
        <v>3366</v>
      </c>
      <c r="H8562" s="333">
        <v>4073</v>
      </c>
    </row>
    <row r="8563" spans="1:8">
      <c r="A8563" s="317" t="s">
        <v>41827</v>
      </c>
      <c r="B8563" s="330" t="s">
        <v>52919</v>
      </c>
      <c r="C8563" s="330" t="s">
        <v>19929</v>
      </c>
      <c r="D8563" s="330" t="s">
        <v>19930</v>
      </c>
      <c r="E8563" s="330" t="s">
        <v>4819</v>
      </c>
      <c r="F8563" s="331">
        <v>0.21</v>
      </c>
      <c r="G8563" s="332">
        <v>2094</v>
      </c>
      <c r="H8563" s="333">
        <v>2534</v>
      </c>
    </row>
    <row r="8564" spans="1:8">
      <c r="A8564" s="317" t="s">
        <v>41828</v>
      </c>
      <c r="B8564" s="330" t="s">
        <v>52920</v>
      </c>
      <c r="C8564" s="330" t="s">
        <v>19931</v>
      </c>
      <c r="D8564" s="330" t="s">
        <v>19932</v>
      </c>
      <c r="E8564" s="330" t="s">
        <v>4819</v>
      </c>
      <c r="F8564" s="331">
        <v>0.21</v>
      </c>
      <c r="G8564" s="332">
        <v>12800</v>
      </c>
      <c r="H8564" s="333">
        <v>15488</v>
      </c>
    </row>
    <row r="8565" spans="1:8">
      <c r="A8565" s="317" t="s">
        <v>41829</v>
      </c>
      <c r="B8565" s="330" t="s">
        <v>52921</v>
      </c>
      <c r="C8565" s="330" t="s">
        <v>19933</v>
      </c>
      <c r="D8565" s="330" t="s">
        <v>19920</v>
      </c>
      <c r="E8565" s="330" t="s">
        <v>4819</v>
      </c>
      <c r="F8565" s="331">
        <v>0.21</v>
      </c>
      <c r="G8565" s="332">
        <v>2094</v>
      </c>
      <c r="H8565" s="333">
        <v>2534</v>
      </c>
    </row>
    <row r="8566" spans="1:8">
      <c r="A8566" s="317" t="s">
        <v>41830</v>
      </c>
      <c r="B8566" s="330" t="s">
        <v>52922</v>
      </c>
      <c r="C8566" s="330" t="s">
        <v>19934</v>
      </c>
      <c r="D8566" s="330" t="s">
        <v>19935</v>
      </c>
      <c r="E8566" s="330" t="s">
        <v>4819</v>
      </c>
      <c r="F8566" s="331">
        <v>0.21</v>
      </c>
      <c r="G8566" s="332">
        <v>2094</v>
      </c>
      <c r="H8566" s="333">
        <v>2534</v>
      </c>
    </row>
    <row r="8567" spans="1:8">
      <c r="A8567" s="317" t="s">
        <v>41831</v>
      </c>
      <c r="B8567" s="330" t="s">
        <v>52923</v>
      </c>
      <c r="C8567" s="330" t="s">
        <v>19936</v>
      </c>
      <c r="D8567" s="330" t="s">
        <v>19937</v>
      </c>
      <c r="E8567" s="330" t="s">
        <v>4819</v>
      </c>
      <c r="F8567" s="331">
        <v>0.21</v>
      </c>
      <c r="G8567" s="332">
        <v>6739</v>
      </c>
      <c r="H8567" s="333">
        <v>8155</v>
      </c>
    </row>
    <row r="8568" spans="1:8">
      <c r="A8568" s="317" t="s">
        <v>41832</v>
      </c>
      <c r="B8568" s="330" t="s">
        <v>52924</v>
      </c>
      <c r="C8568" s="330" t="s">
        <v>19938</v>
      </c>
      <c r="D8568" s="330" t="s">
        <v>19939</v>
      </c>
      <c r="E8568" s="330" t="s">
        <v>4819</v>
      </c>
      <c r="F8568" s="331">
        <v>0.21</v>
      </c>
      <c r="G8568" s="332">
        <v>3366</v>
      </c>
      <c r="H8568" s="333">
        <v>4073</v>
      </c>
    </row>
    <row r="8569" spans="1:8">
      <c r="A8569" s="317" t="s">
        <v>41833</v>
      </c>
      <c r="B8569" s="330" t="s">
        <v>52925</v>
      </c>
      <c r="C8569" s="330" t="s">
        <v>19940</v>
      </c>
      <c r="D8569" s="330" t="s">
        <v>19941</v>
      </c>
      <c r="E8569" s="330" t="s">
        <v>4819</v>
      </c>
      <c r="F8569" s="331">
        <v>0.21</v>
      </c>
      <c r="G8569" s="332">
        <v>3366</v>
      </c>
      <c r="H8569" s="333">
        <v>4073</v>
      </c>
    </row>
    <row r="8570" spans="1:8">
      <c r="A8570" s="317" t="s">
        <v>41834</v>
      </c>
      <c r="B8570" s="330" t="s">
        <v>52926</v>
      </c>
      <c r="C8570" s="330" t="s">
        <v>19942</v>
      </c>
      <c r="D8570" s="330" t="s">
        <v>19943</v>
      </c>
      <c r="E8570" s="330" t="s">
        <v>4819</v>
      </c>
      <c r="F8570" s="331">
        <v>0.21</v>
      </c>
      <c r="G8570" s="332">
        <v>2094</v>
      </c>
      <c r="H8570" s="333">
        <v>2534</v>
      </c>
    </row>
    <row r="8571" spans="1:8">
      <c r="A8571" s="317" t="s">
        <v>41835</v>
      </c>
      <c r="B8571" s="330" t="s">
        <v>52927</v>
      </c>
      <c r="C8571" s="330" t="s">
        <v>19944</v>
      </c>
      <c r="D8571" s="330" t="s">
        <v>19941</v>
      </c>
      <c r="E8571" s="330" t="s">
        <v>4819</v>
      </c>
      <c r="F8571" s="331">
        <v>0.21</v>
      </c>
      <c r="G8571" s="332">
        <v>2094</v>
      </c>
      <c r="H8571" s="333">
        <v>2534</v>
      </c>
    </row>
    <row r="8572" spans="1:8">
      <c r="A8572" s="317" t="s">
        <v>41836</v>
      </c>
      <c r="B8572" s="330" t="s">
        <v>52928</v>
      </c>
      <c r="C8572" s="330" t="s">
        <v>19945</v>
      </c>
      <c r="D8572" s="330" t="s">
        <v>19918</v>
      </c>
      <c r="E8572" s="330" t="s">
        <v>4819</v>
      </c>
      <c r="F8572" s="331">
        <v>0.21</v>
      </c>
      <c r="G8572" s="332">
        <v>3366</v>
      </c>
      <c r="H8572" s="333">
        <v>4073</v>
      </c>
    </row>
    <row r="8573" spans="1:8">
      <c r="A8573" s="317" t="s">
        <v>41837</v>
      </c>
      <c r="B8573" s="330" t="s">
        <v>52929</v>
      </c>
      <c r="C8573" s="330" t="s">
        <v>19946</v>
      </c>
      <c r="D8573" s="330" t="s">
        <v>19947</v>
      </c>
      <c r="E8573" s="330" t="s">
        <v>4819</v>
      </c>
      <c r="F8573" s="331">
        <v>0.21</v>
      </c>
      <c r="G8573" s="332">
        <v>4427</v>
      </c>
      <c r="H8573" s="333">
        <v>5357</v>
      </c>
    </row>
    <row r="8574" spans="1:8">
      <c r="A8574" s="317" t="s">
        <v>41838</v>
      </c>
      <c r="B8574" s="330" t="s">
        <v>52930</v>
      </c>
      <c r="C8574" s="330" t="s">
        <v>19948</v>
      </c>
      <c r="D8574" s="330" t="s">
        <v>19935</v>
      </c>
      <c r="E8574" s="330" t="s">
        <v>4819</v>
      </c>
      <c r="F8574" s="331">
        <v>0.21</v>
      </c>
      <c r="G8574" s="332">
        <v>2094</v>
      </c>
      <c r="H8574" s="333">
        <v>2534</v>
      </c>
    </row>
    <row r="8575" spans="1:8">
      <c r="A8575" s="317" t="s">
        <v>41839</v>
      </c>
      <c r="B8575" s="330" t="s">
        <v>52931</v>
      </c>
      <c r="C8575" s="330" t="s">
        <v>19949</v>
      </c>
      <c r="D8575" s="330" t="s">
        <v>19950</v>
      </c>
      <c r="E8575" s="330" t="s">
        <v>4819</v>
      </c>
      <c r="F8575" s="331">
        <v>0.21</v>
      </c>
      <c r="G8575" s="332">
        <v>8284</v>
      </c>
      <c r="H8575" s="333">
        <v>10024</v>
      </c>
    </row>
    <row r="8576" spans="1:8">
      <c r="A8576" s="317" t="s">
        <v>41840</v>
      </c>
      <c r="B8576" s="330" t="s">
        <v>52932</v>
      </c>
      <c r="C8576" s="330" t="s">
        <v>19951</v>
      </c>
      <c r="D8576" s="330" t="s">
        <v>19952</v>
      </c>
      <c r="E8576" s="330" t="s">
        <v>4819</v>
      </c>
      <c r="F8576" s="331">
        <v>0.21</v>
      </c>
      <c r="G8576" s="332">
        <v>2094</v>
      </c>
      <c r="H8576" s="333">
        <v>2534</v>
      </c>
    </row>
    <row r="8577" spans="1:8">
      <c r="A8577" s="317" t="s">
        <v>41841</v>
      </c>
      <c r="B8577" s="330" t="s">
        <v>52933</v>
      </c>
      <c r="C8577" s="330" t="s">
        <v>19953</v>
      </c>
      <c r="D8577" s="330" t="s">
        <v>19954</v>
      </c>
      <c r="E8577" s="330" t="s">
        <v>4819</v>
      </c>
      <c r="F8577" s="331">
        <v>0.21</v>
      </c>
      <c r="G8577" s="332">
        <v>2380</v>
      </c>
      <c r="H8577" s="333">
        <v>2880</v>
      </c>
    </row>
    <row r="8578" spans="1:8">
      <c r="A8578" s="317" t="s">
        <v>41842</v>
      </c>
      <c r="B8578" s="330" t="s">
        <v>52934</v>
      </c>
      <c r="C8578" s="330" t="s">
        <v>19955</v>
      </c>
      <c r="D8578" s="330" t="s">
        <v>19956</v>
      </c>
      <c r="E8578" s="330" t="s">
        <v>4819</v>
      </c>
      <c r="F8578" s="331">
        <v>0.21</v>
      </c>
      <c r="G8578" s="332">
        <v>35884</v>
      </c>
      <c r="H8578" s="333">
        <v>43420</v>
      </c>
    </row>
    <row r="8579" spans="1:8">
      <c r="A8579" s="317" t="s">
        <v>41843</v>
      </c>
      <c r="B8579" s="330" t="s">
        <v>52935</v>
      </c>
      <c r="C8579" s="330" t="s">
        <v>19957</v>
      </c>
      <c r="D8579" s="330" t="s">
        <v>19950</v>
      </c>
      <c r="E8579" s="330" t="s">
        <v>4819</v>
      </c>
      <c r="F8579" s="331">
        <v>0.21</v>
      </c>
      <c r="G8579" s="332">
        <v>3366</v>
      </c>
      <c r="H8579" s="333">
        <v>4073</v>
      </c>
    </row>
    <row r="8580" spans="1:8">
      <c r="A8580" s="317" t="s">
        <v>41844</v>
      </c>
      <c r="B8580" s="330" t="s">
        <v>52936</v>
      </c>
      <c r="C8580" s="330" t="s">
        <v>19958</v>
      </c>
      <c r="D8580" s="330" t="s">
        <v>19954</v>
      </c>
      <c r="E8580" s="330" t="s">
        <v>4819</v>
      </c>
      <c r="F8580" s="331">
        <v>0.21</v>
      </c>
      <c r="G8580" s="332">
        <v>3366</v>
      </c>
      <c r="H8580" s="333">
        <v>4073</v>
      </c>
    </row>
    <row r="8581" spans="1:8">
      <c r="A8581" s="317" t="s">
        <v>41845</v>
      </c>
      <c r="B8581" s="330" t="s">
        <v>52937</v>
      </c>
      <c r="C8581" s="330" t="s">
        <v>19959</v>
      </c>
      <c r="D8581" s="330" t="s">
        <v>19960</v>
      </c>
      <c r="E8581" s="330" t="s">
        <v>4819</v>
      </c>
      <c r="F8581" s="331">
        <v>0.21</v>
      </c>
      <c r="G8581" s="332">
        <v>1942</v>
      </c>
      <c r="H8581" s="333">
        <v>2350</v>
      </c>
    </row>
    <row r="8582" spans="1:8">
      <c r="A8582" s="317" t="s">
        <v>41846</v>
      </c>
      <c r="B8582" s="330" t="s">
        <v>52938</v>
      </c>
      <c r="C8582" s="330" t="s">
        <v>19961</v>
      </c>
      <c r="D8582" s="330" t="s">
        <v>19962</v>
      </c>
      <c r="E8582" s="330" t="s">
        <v>4819</v>
      </c>
      <c r="F8582" s="331">
        <v>0.21</v>
      </c>
      <c r="G8582" s="332">
        <v>11620</v>
      </c>
      <c r="H8582" s="333">
        <v>14061</v>
      </c>
    </row>
    <row r="8583" spans="1:8">
      <c r="A8583" s="317" t="s">
        <v>41847</v>
      </c>
      <c r="B8583" s="330" t="s">
        <v>52939</v>
      </c>
      <c r="C8583" s="330" t="s">
        <v>19963</v>
      </c>
      <c r="D8583" s="330" t="s">
        <v>19960</v>
      </c>
      <c r="E8583" s="330" t="s">
        <v>4819</v>
      </c>
      <c r="F8583" s="331">
        <v>0.21</v>
      </c>
      <c r="G8583" s="332">
        <v>3818</v>
      </c>
      <c r="H8583" s="333">
        <v>4620</v>
      </c>
    </row>
    <row r="8584" spans="1:8">
      <c r="A8584" s="317" t="s">
        <v>41848</v>
      </c>
      <c r="B8584" s="330" t="s">
        <v>52940</v>
      </c>
      <c r="C8584" s="330" t="s">
        <v>19964</v>
      </c>
      <c r="D8584" s="330" t="s">
        <v>19920</v>
      </c>
      <c r="E8584" s="330" t="s">
        <v>4819</v>
      </c>
      <c r="F8584" s="331">
        <v>0.21</v>
      </c>
      <c r="G8584" s="332">
        <v>2190</v>
      </c>
      <c r="H8584" s="333">
        <v>2650</v>
      </c>
    </row>
    <row r="8585" spans="1:8">
      <c r="A8585" s="317" t="s">
        <v>41849</v>
      </c>
      <c r="B8585" s="330" t="s">
        <v>52941</v>
      </c>
      <c r="C8585" s="330" t="s">
        <v>19965</v>
      </c>
      <c r="D8585" s="330" t="s">
        <v>19926</v>
      </c>
      <c r="E8585" s="330" t="s">
        <v>4819</v>
      </c>
      <c r="F8585" s="331">
        <v>0.21</v>
      </c>
      <c r="G8585" s="332">
        <v>2380</v>
      </c>
      <c r="H8585" s="333">
        <v>2880</v>
      </c>
    </row>
    <row r="8586" spans="1:8">
      <c r="A8586" s="317" t="s">
        <v>41850</v>
      </c>
      <c r="B8586" s="330" t="s">
        <v>52942</v>
      </c>
      <c r="C8586" s="330" t="s">
        <v>19966</v>
      </c>
      <c r="D8586" s="330" t="s">
        <v>19954</v>
      </c>
      <c r="E8586" s="330" t="s">
        <v>4819</v>
      </c>
      <c r="F8586" s="331">
        <v>0.21</v>
      </c>
      <c r="G8586" s="332">
        <v>2380</v>
      </c>
      <c r="H8586" s="333">
        <v>2880</v>
      </c>
    </row>
    <row r="8587" spans="1:8">
      <c r="A8587" s="317" t="s">
        <v>41851</v>
      </c>
      <c r="B8587" s="330" t="s">
        <v>52943</v>
      </c>
      <c r="C8587" s="330" t="s">
        <v>19967</v>
      </c>
      <c r="D8587" s="330" t="s">
        <v>19968</v>
      </c>
      <c r="E8587" s="330" t="s">
        <v>4819</v>
      </c>
      <c r="F8587" s="331">
        <v>0.21</v>
      </c>
      <c r="G8587" s="332">
        <v>81887</v>
      </c>
      <c r="H8587" s="333">
        <v>99084</v>
      </c>
    </row>
    <row r="8588" spans="1:8">
      <c r="A8588" s="317" t="s">
        <v>41852</v>
      </c>
      <c r="B8588" s="330" t="s">
        <v>52944</v>
      </c>
      <c r="C8588" s="330" t="s">
        <v>19969</v>
      </c>
      <c r="D8588" s="330" t="s">
        <v>19920</v>
      </c>
      <c r="E8588" s="330" t="s">
        <v>4819</v>
      </c>
      <c r="F8588" s="331">
        <v>0.21</v>
      </c>
      <c r="G8588" s="332">
        <v>2094</v>
      </c>
      <c r="H8588" s="333">
        <v>2534</v>
      </c>
    </row>
    <row r="8589" spans="1:8">
      <c r="A8589" s="317" t="s">
        <v>41853</v>
      </c>
      <c r="B8589" s="330" t="s">
        <v>52945</v>
      </c>
      <c r="C8589" s="330" t="s">
        <v>19970</v>
      </c>
      <c r="D8589" s="330" t="s">
        <v>19935</v>
      </c>
      <c r="E8589" s="330" t="s">
        <v>4819</v>
      </c>
      <c r="F8589" s="331">
        <v>0.21</v>
      </c>
      <c r="G8589" s="332">
        <v>2094</v>
      </c>
      <c r="H8589" s="333">
        <v>2534</v>
      </c>
    </row>
    <row r="8590" spans="1:8">
      <c r="A8590" s="317" t="s">
        <v>41854</v>
      </c>
      <c r="B8590" s="330" t="s">
        <v>52946</v>
      </c>
      <c r="C8590" s="330" t="s">
        <v>19971</v>
      </c>
      <c r="D8590" s="330" t="s">
        <v>19972</v>
      </c>
      <c r="E8590" s="330" t="s">
        <v>4819</v>
      </c>
      <c r="F8590" s="331">
        <v>0.21</v>
      </c>
      <c r="G8590" s="332">
        <v>4427</v>
      </c>
      <c r="H8590" s="333">
        <v>5357</v>
      </c>
    </row>
    <row r="8591" spans="1:8">
      <c r="A8591" s="317" t="s">
        <v>41855</v>
      </c>
      <c r="B8591" s="330" t="s">
        <v>52947</v>
      </c>
      <c r="C8591" s="330" t="s">
        <v>19973</v>
      </c>
      <c r="D8591" s="330" t="s">
        <v>19974</v>
      </c>
      <c r="E8591" s="330" t="s">
        <v>4819</v>
      </c>
      <c r="F8591" s="331">
        <v>0.21</v>
      </c>
      <c r="G8591" s="332">
        <v>4427</v>
      </c>
      <c r="H8591" s="333">
        <v>5357</v>
      </c>
    </row>
    <row r="8592" spans="1:8">
      <c r="A8592" s="317" t="s">
        <v>41856</v>
      </c>
      <c r="B8592" s="330" t="s">
        <v>52948</v>
      </c>
      <c r="C8592" s="330" t="s">
        <v>19975</v>
      </c>
      <c r="D8592" s="330" t="s">
        <v>19976</v>
      </c>
      <c r="E8592" s="330" t="s">
        <v>4819</v>
      </c>
      <c r="F8592" s="331">
        <v>0.21</v>
      </c>
      <c r="G8592" s="332">
        <v>4427</v>
      </c>
      <c r="H8592" s="333">
        <v>5357</v>
      </c>
    </row>
    <row r="8593" spans="1:8">
      <c r="A8593" s="317" t="s">
        <v>41857</v>
      </c>
      <c r="B8593" s="330" t="s">
        <v>52949</v>
      </c>
      <c r="C8593" s="330" t="s">
        <v>19977</v>
      </c>
      <c r="D8593" s="330" t="s">
        <v>19978</v>
      </c>
      <c r="E8593" s="330" t="s">
        <v>4819</v>
      </c>
      <c r="F8593" s="331">
        <v>0.21</v>
      </c>
      <c r="G8593" s="332">
        <v>195187</v>
      </c>
      <c r="H8593" s="333">
        <v>236177</v>
      </c>
    </row>
    <row r="8594" spans="1:8">
      <c r="A8594" s="317" t="s">
        <v>41858</v>
      </c>
      <c r="B8594" s="330" t="s">
        <v>52950</v>
      </c>
      <c r="C8594" s="330" t="s">
        <v>19979</v>
      </c>
      <c r="D8594" s="330" t="s">
        <v>19920</v>
      </c>
      <c r="E8594" s="330" t="s">
        <v>4819</v>
      </c>
      <c r="F8594" s="331">
        <v>0.21</v>
      </c>
      <c r="G8594" s="332">
        <v>2094</v>
      </c>
      <c r="H8594" s="333">
        <v>2534</v>
      </c>
    </row>
    <row r="8595" spans="1:8">
      <c r="A8595" s="317" t="s">
        <v>41859</v>
      </c>
      <c r="B8595" s="330" t="s">
        <v>52951</v>
      </c>
      <c r="C8595" s="330" t="s">
        <v>19980</v>
      </c>
      <c r="D8595" s="330" t="s">
        <v>19907</v>
      </c>
      <c r="E8595" s="330" t="s">
        <v>4819</v>
      </c>
      <c r="F8595" s="331">
        <v>0.21</v>
      </c>
      <c r="G8595" s="332">
        <v>2094</v>
      </c>
      <c r="H8595" s="333">
        <v>2534</v>
      </c>
    </row>
    <row r="8596" spans="1:8">
      <c r="A8596" s="317" t="s">
        <v>41860</v>
      </c>
      <c r="B8596" s="330" t="s">
        <v>52952</v>
      </c>
      <c r="C8596" s="330" t="s">
        <v>19981</v>
      </c>
      <c r="D8596" s="330" t="s">
        <v>19926</v>
      </c>
      <c r="E8596" s="330" t="s">
        <v>4819</v>
      </c>
      <c r="F8596" s="331">
        <v>0.21</v>
      </c>
      <c r="G8596" s="332">
        <v>2272</v>
      </c>
      <c r="H8596" s="333">
        <v>2750</v>
      </c>
    </row>
    <row r="8597" spans="1:8">
      <c r="A8597" s="317" t="s">
        <v>41861</v>
      </c>
      <c r="B8597" s="330" t="s">
        <v>52953</v>
      </c>
      <c r="C8597" s="330" t="s">
        <v>19982</v>
      </c>
      <c r="D8597" s="330" t="s">
        <v>19983</v>
      </c>
      <c r="E8597" s="330" t="s">
        <v>4819</v>
      </c>
      <c r="F8597" s="331">
        <v>0.21</v>
      </c>
      <c r="G8597" s="332">
        <v>3593</v>
      </c>
      <c r="H8597" s="333">
        <v>4348</v>
      </c>
    </row>
    <row r="8598" spans="1:8">
      <c r="A8598" s="317" t="s">
        <v>41862</v>
      </c>
      <c r="B8598" s="330" t="s">
        <v>52954</v>
      </c>
      <c r="C8598" s="330" t="s">
        <v>19984</v>
      </c>
      <c r="D8598" s="330" t="s">
        <v>19985</v>
      </c>
      <c r="E8598" s="330" t="s">
        <v>4819</v>
      </c>
      <c r="F8598" s="331">
        <v>0.21</v>
      </c>
      <c r="G8598" s="332">
        <v>2190</v>
      </c>
      <c r="H8598" s="333">
        <v>2650</v>
      </c>
    </row>
    <row r="8599" spans="1:8">
      <c r="A8599" s="317" t="s">
        <v>41863</v>
      </c>
      <c r="B8599" s="330" t="s">
        <v>52955</v>
      </c>
      <c r="C8599" s="330" t="s">
        <v>19986</v>
      </c>
      <c r="D8599" s="330" t="s">
        <v>19947</v>
      </c>
      <c r="E8599" s="330" t="s">
        <v>4819</v>
      </c>
      <c r="F8599" s="331">
        <v>0.21</v>
      </c>
      <c r="G8599" s="332">
        <v>7267</v>
      </c>
      <c r="H8599" s="333">
        <v>8794</v>
      </c>
    </row>
    <row r="8600" spans="1:8">
      <c r="A8600" s="317" t="s">
        <v>41864</v>
      </c>
      <c r="B8600" s="330" t="s">
        <v>52956</v>
      </c>
      <c r="C8600" s="330" t="s">
        <v>19987</v>
      </c>
      <c r="D8600" s="330" t="s">
        <v>19909</v>
      </c>
      <c r="E8600" s="330" t="s">
        <v>4819</v>
      </c>
      <c r="F8600" s="331">
        <v>0.21</v>
      </c>
      <c r="G8600" s="332">
        <v>5663</v>
      </c>
      <c r="H8600" s="333">
        <v>6853</v>
      </c>
    </row>
    <row r="8601" spans="1:8">
      <c r="A8601" s="317" t="s">
        <v>41865</v>
      </c>
      <c r="B8601" s="330" t="s">
        <v>52957</v>
      </c>
      <c r="C8601" s="330" t="s">
        <v>19988</v>
      </c>
      <c r="D8601" s="330" t="s">
        <v>19989</v>
      </c>
      <c r="E8601" s="330" t="s">
        <v>4819</v>
      </c>
      <c r="F8601" s="331">
        <v>0.21</v>
      </c>
      <c r="G8601" s="332">
        <v>7638</v>
      </c>
      <c r="H8601" s="333">
        <v>9242</v>
      </c>
    </row>
    <row r="8602" spans="1:8">
      <c r="A8602" s="317" t="s">
        <v>41866</v>
      </c>
      <c r="B8602" s="330" t="s">
        <v>52958</v>
      </c>
      <c r="C8602" s="330" t="s">
        <v>19990</v>
      </c>
      <c r="D8602" s="330" t="s">
        <v>19991</v>
      </c>
      <c r="E8602" s="330" t="s">
        <v>4819</v>
      </c>
      <c r="F8602" s="331">
        <v>0.21</v>
      </c>
      <c r="G8602" s="332">
        <v>3366</v>
      </c>
      <c r="H8602" s="333">
        <v>4073</v>
      </c>
    </row>
    <row r="8603" spans="1:8">
      <c r="A8603" s="317" t="s">
        <v>41867</v>
      </c>
      <c r="B8603" s="330" t="s">
        <v>52959</v>
      </c>
      <c r="C8603" s="330" t="s">
        <v>19992</v>
      </c>
      <c r="D8603" s="330" t="s">
        <v>19926</v>
      </c>
      <c r="E8603" s="330" t="s">
        <v>4819</v>
      </c>
      <c r="F8603" s="331">
        <v>0.21</v>
      </c>
      <c r="G8603" s="332">
        <v>2094</v>
      </c>
      <c r="H8603" s="333">
        <v>2534</v>
      </c>
    </row>
    <row r="8604" spans="1:8">
      <c r="A8604" s="317" t="s">
        <v>41868</v>
      </c>
      <c r="B8604" s="330" t="s">
        <v>52960</v>
      </c>
      <c r="C8604" s="330" t="s">
        <v>19993</v>
      </c>
      <c r="D8604" s="330" t="s">
        <v>19994</v>
      </c>
      <c r="E8604" s="330" t="s">
        <v>4819</v>
      </c>
      <c r="F8604" s="331">
        <v>0.21</v>
      </c>
      <c r="G8604" s="332">
        <v>3366</v>
      </c>
      <c r="H8604" s="333">
        <v>4073</v>
      </c>
    </row>
    <row r="8605" spans="1:8">
      <c r="A8605" s="317" t="s">
        <v>41869</v>
      </c>
      <c r="B8605" s="330" t="s">
        <v>52961</v>
      </c>
      <c r="C8605" s="330" t="s">
        <v>19995</v>
      </c>
      <c r="D8605" s="330" t="s">
        <v>19996</v>
      </c>
      <c r="E8605" s="330" t="s">
        <v>4819</v>
      </c>
      <c r="F8605" s="331">
        <v>0.21</v>
      </c>
      <c r="G8605" s="332">
        <v>29419</v>
      </c>
      <c r="H8605" s="333">
        <v>35597</v>
      </c>
    </row>
    <row r="8606" spans="1:8">
      <c r="A8606" s="317" t="s">
        <v>41870</v>
      </c>
      <c r="B8606" s="330" t="s">
        <v>52962</v>
      </c>
      <c r="C8606" s="330" t="s">
        <v>19997</v>
      </c>
      <c r="D8606" s="330" t="s">
        <v>19926</v>
      </c>
      <c r="E8606" s="330" t="s">
        <v>4819</v>
      </c>
      <c r="F8606" s="331">
        <v>0.21</v>
      </c>
      <c r="G8606" s="332">
        <v>2094</v>
      </c>
      <c r="H8606" s="333">
        <v>2534</v>
      </c>
    </row>
    <row r="8607" spans="1:8">
      <c r="A8607" s="317" t="s">
        <v>41871</v>
      </c>
      <c r="B8607" s="330" t="s">
        <v>52963</v>
      </c>
      <c r="C8607" s="330" t="s">
        <v>19998</v>
      </c>
      <c r="D8607" s="330" t="s">
        <v>19999</v>
      </c>
      <c r="E8607" s="330" t="s">
        <v>4819</v>
      </c>
      <c r="F8607" s="331">
        <v>0.21</v>
      </c>
      <c r="G8607" s="332">
        <v>2094</v>
      </c>
      <c r="H8607" s="333">
        <v>2534</v>
      </c>
    </row>
    <row r="8608" spans="1:8">
      <c r="A8608" s="317" t="s">
        <v>41872</v>
      </c>
      <c r="B8608" s="330" t="s">
        <v>52964</v>
      </c>
      <c r="C8608" s="330" t="s">
        <v>20000</v>
      </c>
      <c r="D8608" s="330" t="s">
        <v>20001</v>
      </c>
      <c r="E8608" s="330" t="s">
        <v>4819</v>
      </c>
      <c r="F8608" s="331">
        <v>0.21</v>
      </c>
      <c r="G8608" s="332">
        <v>2094</v>
      </c>
      <c r="H8608" s="333">
        <v>2534</v>
      </c>
    </row>
    <row r="8609" spans="1:8">
      <c r="A8609" s="317" t="s">
        <v>41873</v>
      </c>
      <c r="B8609" s="330" t="s">
        <v>52965</v>
      </c>
      <c r="C8609" s="330" t="s">
        <v>20002</v>
      </c>
      <c r="D8609" s="330" t="s">
        <v>20003</v>
      </c>
      <c r="E8609" s="330" t="s">
        <v>4819</v>
      </c>
      <c r="F8609" s="331">
        <v>0.21</v>
      </c>
      <c r="G8609" s="332">
        <v>4427</v>
      </c>
      <c r="H8609" s="333">
        <v>5357</v>
      </c>
    </row>
    <row r="8610" spans="1:8">
      <c r="A8610" s="317" t="s">
        <v>41874</v>
      </c>
      <c r="B8610" s="330" t="s">
        <v>52966</v>
      </c>
      <c r="C8610" s="330" t="s">
        <v>20004</v>
      </c>
      <c r="D8610" s="330" t="s">
        <v>20005</v>
      </c>
      <c r="E8610" s="330" t="s">
        <v>4819</v>
      </c>
      <c r="F8610" s="331">
        <v>0.21</v>
      </c>
      <c r="G8610" s="332">
        <v>117186</v>
      </c>
      <c r="H8610" s="333">
        <v>141796</v>
      </c>
    </row>
    <row r="8611" spans="1:8">
      <c r="A8611" s="317" t="s">
        <v>41875</v>
      </c>
      <c r="B8611" s="330" t="s">
        <v>52967</v>
      </c>
      <c r="C8611" s="330" t="s">
        <v>20006</v>
      </c>
      <c r="D8611" s="330" t="s">
        <v>19960</v>
      </c>
      <c r="E8611" s="330" t="s">
        <v>4819</v>
      </c>
      <c r="F8611" s="331">
        <v>0.21</v>
      </c>
      <c r="G8611" s="332">
        <v>2094</v>
      </c>
      <c r="H8611" s="333">
        <v>2534</v>
      </c>
    </row>
    <row r="8612" spans="1:8">
      <c r="A8612" s="317" t="s">
        <v>41876</v>
      </c>
      <c r="B8612" s="330" t="s">
        <v>52968</v>
      </c>
      <c r="C8612" s="330" t="s">
        <v>20007</v>
      </c>
      <c r="D8612" s="330" t="s">
        <v>19976</v>
      </c>
      <c r="E8612" s="330" t="s">
        <v>4819</v>
      </c>
      <c r="F8612" s="331">
        <v>0.21</v>
      </c>
      <c r="G8612" s="332">
        <v>2094</v>
      </c>
      <c r="H8612" s="333">
        <v>2534</v>
      </c>
    </row>
    <row r="8613" spans="1:8">
      <c r="A8613" s="317" t="s">
        <v>41877</v>
      </c>
      <c r="B8613" s="330" t="s">
        <v>52969</v>
      </c>
      <c r="C8613" s="330" t="s">
        <v>20008</v>
      </c>
      <c r="D8613" s="330" t="s">
        <v>20009</v>
      </c>
      <c r="E8613" s="330" t="s">
        <v>4819</v>
      </c>
      <c r="F8613" s="331">
        <v>0.21</v>
      </c>
      <c r="G8613" s="332">
        <v>2094</v>
      </c>
      <c r="H8613" s="333">
        <v>2534</v>
      </c>
    </row>
    <row r="8614" spans="1:8">
      <c r="A8614" s="317" t="s">
        <v>41878</v>
      </c>
      <c r="B8614" s="330" t="s">
        <v>52970</v>
      </c>
      <c r="C8614" s="330" t="s">
        <v>20010</v>
      </c>
      <c r="D8614" s="330" t="s">
        <v>19918</v>
      </c>
      <c r="E8614" s="330" t="s">
        <v>4819</v>
      </c>
      <c r="F8614" s="331">
        <v>0.21</v>
      </c>
      <c r="G8614" s="332">
        <v>2094</v>
      </c>
      <c r="H8614" s="333">
        <v>2534</v>
      </c>
    </row>
    <row r="8615" spans="1:8">
      <c r="A8615" s="317" t="s">
        <v>41879</v>
      </c>
      <c r="B8615" s="330" t="s">
        <v>52971</v>
      </c>
      <c r="C8615" s="330" t="s">
        <v>20011</v>
      </c>
      <c r="D8615" s="330" t="s">
        <v>19941</v>
      </c>
      <c r="E8615" s="330" t="s">
        <v>4819</v>
      </c>
      <c r="F8615" s="331">
        <v>0.21</v>
      </c>
      <c r="G8615" s="332">
        <v>2094</v>
      </c>
      <c r="H8615" s="333">
        <v>2534</v>
      </c>
    </row>
    <row r="8616" spans="1:8">
      <c r="A8616" s="317" t="s">
        <v>41880</v>
      </c>
      <c r="B8616" s="330" t="s">
        <v>52972</v>
      </c>
      <c r="C8616" s="330" t="s">
        <v>20012</v>
      </c>
      <c r="D8616" s="330" t="s">
        <v>19976</v>
      </c>
      <c r="E8616" s="330" t="s">
        <v>4819</v>
      </c>
      <c r="F8616" s="331">
        <v>0.21</v>
      </c>
      <c r="G8616" s="332">
        <v>2094</v>
      </c>
      <c r="H8616" s="333">
        <v>2534</v>
      </c>
    </row>
    <row r="8617" spans="1:8">
      <c r="A8617" s="317" t="s">
        <v>41881</v>
      </c>
      <c r="B8617" s="330" t="s">
        <v>52973</v>
      </c>
      <c r="C8617" s="330" t="s">
        <v>20013</v>
      </c>
      <c r="D8617" s="330" t="s">
        <v>20014</v>
      </c>
      <c r="E8617" s="330" t="s">
        <v>4819</v>
      </c>
      <c r="F8617" s="331">
        <v>0.21</v>
      </c>
      <c r="G8617" s="332">
        <v>3506</v>
      </c>
      <c r="H8617" s="333">
        <v>4243</v>
      </c>
    </row>
    <row r="8618" spans="1:8">
      <c r="A8618" s="317" t="s">
        <v>41882</v>
      </c>
      <c r="B8618" s="330" t="s">
        <v>52974</v>
      </c>
      <c r="C8618" s="330" t="s">
        <v>20015</v>
      </c>
      <c r="D8618" s="330" t="s">
        <v>20016</v>
      </c>
      <c r="E8618" s="330" t="s">
        <v>4819</v>
      </c>
      <c r="F8618" s="331">
        <v>0.21</v>
      </c>
      <c r="G8618" s="332">
        <v>5028</v>
      </c>
      <c r="H8618" s="333">
        <v>6084</v>
      </c>
    </row>
    <row r="8619" spans="1:8">
      <c r="A8619" s="317" t="s">
        <v>41883</v>
      </c>
      <c r="B8619" s="330" t="s">
        <v>52975</v>
      </c>
      <c r="C8619" s="330" t="s">
        <v>20017</v>
      </c>
      <c r="D8619" s="330" t="s">
        <v>19926</v>
      </c>
      <c r="E8619" s="330" t="s">
        <v>4819</v>
      </c>
      <c r="F8619" s="331">
        <v>0.21</v>
      </c>
      <c r="G8619" s="332">
        <v>7267</v>
      </c>
      <c r="H8619" s="333">
        <v>8794</v>
      </c>
    </row>
    <row r="8620" spans="1:8">
      <c r="A8620" s="317" t="s">
        <v>41884</v>
      </c>
      <c r="B8620" s="330" t="s">
        <v>52976</v>
      </c>
      <c r="C8620" s="330" t="s">
        <v>20018</v>
      </c>
      <c r="D8620" s="330" t="s">
        <v>20019</v>
      </c>
      <c r="E8620" s="330" t="s">
        <v>4819</v>
      </c>
      <c r="F8620" s="331">
        <v>0.21</v>
      </c>
      <c r="G8620" s="332">
        <v>22863</v>
      </c>
      <c r="H8620" s="333">
        <v>27665</v>
      </c>
    </row>
    <row r="8621" spans="1:8">
      <c r="A8621" s="317" t="s">
        <v>41885</v>
      </c>
      <c r="B8621" s="330" t="s">
        <v>52977</v>
      </c>
      <c r="C8621" s="330" t="s">
        <v>20020</v>
      </c>
      <c r="D8621" s="330" t="s">
        <v>20021</v>
      </c>
      <c r="E8621" s="330" t="s">
        <v>4819</v>
      </c>
      <c r="F8621" s="331">
        <v>0.21</v>
      </c>
      <c r="G8621" s="332">
        <v>4427</v>
      </c>
      <c r="H8621" s="333">
        <v>5357</v>
      </c>
    </row>
    <row r="8622" spans="1:8">
      <c r="A8622" s="317" t="s">
        <v>41886</v>
      </c>
      <c r="B8622" s="330" t="s">
        <v>52978</v>
      </c>
      <c r="C8622" s="330" t="s">
        <v>20022</v>
      </c>
      <c r="D8622" s="330" t="s">
        <v>19926</v>
      </c>
      <c r="E8622" s="330" t="s">
        <v>4819</v>
      </c>
      <c r="F8622" s="331">
        <v>0.21</v>
      </c>
      <c r="G8622" s="332">
        <v>2094</v>
      </c>
      <c r="H8622" s="333">
        <v>2534</v>
      </c>
    </row>
    <row r="8623" spans="1:8">
      <c r="A8623" s="317" t="s">
        <v>41887</v>
      </c>
      <c r="B8623" s="330" t="s">
        <v>52979</v>
      </c>
      <c r="C8623" s="330" t="s">
        <v>20023</v>
      </c>
      <c r="D8623" s="330" t="s">
        <v>20024</v>
      </c>
      <c r="E8623" s="330" t="s">
        <v>4819</v>
      </c>
      <c r="F8623" s="331">
        <v>0.21</v>
      </c>
      <c r="G8623" s="332">
        <v>2094</v>
      </c>
      <c r="H8623" s="333">
        <v>2534</v>
      </c>
    </row>
    <row r="8624" spans="1:8">
      <c r="A8624" s="317" t="s">
        <v>41888</v>
      </c>
      <c r="B8624" s="330" t="s">
        <v>52980</v>
      </c>
      <c r="C8624" s="330" t="s">
        <v>20025</v>
      </c>
      <c r="D8624" s="330" t="s">
        <v>19926</v>
      </c>
      <c r="E8624" s="330" t="s">
        <v>4634</v>
      </c>
      <c r="F8624" s="331">
        <v>0.21</v>
      </c>
      <c r="G8624" s="332">
        <v>1931</v>
      </c>
      <c r="H8624" s="333">
        <v>2337</v>
      </c>
    </row>
    <row r="8625" spans="1:8">
      <c r="A8625" s="317" t="s">
        <v>41889</v>
      </c>
      <c r="B8625" s="330" t="s">
        <v>52981</v>
      </c>
      <c r="C8625" s="330" t="s">
        <v>20026</v>
      </c>
      <c r="D8625" s="330" t="s">
        <v>19920</v>
      </c>
      <c r="E8625" s="330" t="s">
        <v>4819</v>
      </c>
      <c r="F8625" s="331">
        <v>0.21</v>
      </c>
      <c r="G8625" s="332">
        <v>2380</v>
      </c>
      <c r="H8625" s="333">
        <v>2880</v>
      </c>
    </row>
    <row r="8626" spans="1:8">
      <c r="A8626" s="317" t="s">
        <v>41890</v>
      </c>
      <c r="B8626" s="330" t="s">
        <v>52982</v>
      </c>
      <c r="C8626" s="330" t="s">
        <v>20027</v>
      </c>
      <c r="D8626" s="330" t="s">
        <v>19926</v>
      </c>
      <c r="E8626" s="330" t="s">
        <v>4819</v>
      </c>
      <c r="F8626" s="331">
        <v>0.21</v>
      </c>
      <c r="G8626" s="332">
        <v>7267</v>
      </c>
      <c r="H8626" s="333">
        <v>8794</v>
      </c>
    </row>
    <row r="8627" spans="1:8">
      <c r="A8627" s="317" t="s">
        <v>41891</v>
      </c>
      <c r="B8627" s="330" t="s">
        <v>52983</v>
      </c>
      <c r="C8627" s="330" t="s">
        <v>20028</v>
      </c>
      <c r="D8627" s="330" t="s">
        <v>19918</v>
      </c>
      <c r="E8627" s="330" t="s">
        <v>4819</v>
      </c>
      <c r="F8627" s="331">
        <v>0.21</v>
      </c>
      <c r="G8627" s="332">
        <v>2094</v>
      </c>
      <c r="H8627" s="333">
        <v>2534</v>
      </c>
    </row>
    <row r="8628" spans="1:8">
      <c r="A8628" s="317" t="s">
        <v>41892</v>
      </c>
      <c r="B8628" s="330" t="s">
        <v>52984</v>
      </c>
      <c r="C8628" s="330" t="s">
        <v>20029</v>
      </c>
      <c r="D8628" s="330" t="s">
        <v>20030</v>
      </c>
      <c r="E8628" s="330" t="s">
        <v>4819</v>
      </c>
      <c r="F8628" s="331">
        <v>0.21</v>
      </c>
      <c r="G8628" s="332">
        <v>2094</v>
      </c>
      <c r="H8628" s="333">
        <v>2534</v>
      </c>
    </row>
    <row r="8629" spans="1:8">
      <c r="A8629" s="317" t="s">
        <v>41893</v>
      </c>
      <c r="B8629" s="330" t="s">
        <v>52985</v>
      </c>
      <c r="C8629" s="330" t="s">
        <v>20031</v>
      </c>
      <c r="D8629" s="330" t="s">
        <v>19952</v>
      </c>
      <c r="E8629" s="330" t="s">
        <v>4819</v>
      </c>
      <c r="F8629" s="331">
        <v>0.21</v>
      </c>
      <c r="G8629" s="332">
        <v>2094</v>
      </c>
      <c r="H8629" s="333">
        <v>2534</v>
      </c>
    </row>
    <row r="8630" spans="1:8">
      <c r="A8630" s="317" t="s">
        <v>41894</v>
      </c>
      <c r="B8630" s="330" t="s">
        <v>52986</v>
      </c>
      <c r="C8630" s="330" t="s">
        <v>20032</v>
      </c>
      <c r="D8630" s="330" t="s">
        <v>20033</v>
      </c>
      <c r="E8630" s="330" t="s">
        <v>4819</v>
      </c>
      <c r="F8630" s="331">
        <v>0.21</v>
      </c>
      <c r="G8630" s="332">
        <v>7267</v>
      </c>
      <c r="H8630" s="333">
        <v>8794</v>
      </c>
    </row>
    <row r="8631" spans="1:8">
      <c r="A8631" s="317" t="s">
        <v>41895</v>
      </c>
      <c r="B8631" s="330" t="s">
        <v>52987</v>
      </c>
      <c r="C8631" s="330" t="s">
        <v>20034</v>
      </c>
      <c r="D8631" s="330" t="s">
        <v>19954</v>
      </c>
      <c r="E8631" s="330" t="s">
        <v>4819</v>
      </c>
      <c r="F8631" s="331">
        <v>0.21</v>
      </c>
      <c r="G8631" s="332">
        <v>2094</v>
      </c>
      <c r="H8631" s="333">
        <v>2534</v>
      </c>
    </row>
    <row r="8632" spans="1:8">
      <c r="A8632" s="317" t="s">
        <v>41896</v>
      </c>
      <c r="B8632" s="330" t="s">
        <v>52988</v>
      </c>
      <c r="C8632" s="330" t="s">
        <v>20035</v>
      </c>
      <c r="D8632" s="330" t="s">
        <v>20030</v>
      </c>
      <c r="E8632" s="330" t="s">
        <v>4819</v>
      </c>
      <c r="F8632" s="331">
        <v>0.21</v>
      </c>
      <c r="G8632" s="332">
        <v>18309</v>
      </c>
      <c r="H8632" s="333">
        <v>22154</v>
      </c>
    </row>
    <row r="8633" spans="1:8">
      <c r="A8633" s="317" t="s">
        <v>41897</v>
      </c>
      <c r="B8633" s="330" t="s">
        <v>52989</v>
      </c>
      <c r="C8633" s="330" t="s">
        <v>20036</v>
      </c>
      <c r="D8633" s="330" t="s">
        <v>20037</v>
      </c>
      <c r="E8633" s="330" t="s">
        <v>4819</v>
      </c>
      <c r="F8633" s="331">
        <v>0.21</v>
      </c>
      <c r="G8633" s="332">
        <v>3366</v>
      </c>
      <c r="H8633" s="333">
        <v>4073</v>
      </c>
    </row>
    <row r="8634" spans="1:8">
      <c r="A8634" s="317" t="s">
        <v>41898</v>
      </c>
      <c r="B8634" s="330" t="s">
        <v>52990</v>
      </c>
      <c r="C8634" s="330" t="s">
        <v>20038</v>
      </c>
      <c r="D8634" s="330" t="s">
        <v>20039</v>
      </c>
      <c r="E8634" s="330" t="s">
        <v>4819</v>
      </c>
      <c r="F8634" s="331">
        <v>0.21</v>
      </c>
      <c r="G8634" s="332">
        <v>2094</v>
      </c>
      <c r="H8634" s="333">
        <v>2534</v>
      </c>
    </row>
    <row r="8635" spans="1:8">
      <c r="A8635" s="317" t="s">
        <v>41899</v>
      </c>
      <c r="B8635" s="330" t="s">
        <v>52991</v>
      </c>
      <c r="C8635" s="330" t="s">
        <v>20040</v>
      </c>
      <c r="D8635" s="330" t="s">
        <v>20041</v>
      </c>
      <c r="E8635" s="330" t="s">
        <v>4819</v>
      </c>
      <c r="F8635" s="331">
        <v>0.21</v>
      </c>
      <c r="G8635" s="332">
        <v>8253</v>
      </c>
      <c r="H8635" s="333">
        <v>9987</v>
      </c>
    </row>
    <row r="8636" spans="1:8">
      <c r="A8636" s="317" t="s">
        <v>41900</v>
      </c>
      <c r="B8636" s="330" t="s">
        <v>52992</v>
      </c>
      <c r="C8636" s="330" t="s">
        <v>20042</v>
      </c>
      <c r="D8636" s="330" t="s">
        <v>19907</v>
      </c>
      <c r="E8636" s="330" t="s">
        <v>4819</v>
      </c>
      <c r="F8636" s="331">
        <v>0.21</v>
      </c>
      <c r="G8636" s="332">
        <v>2380</v>
      </c>
      <c r="H8636" s="333">
        <v>2880</v>
      </c>
    </row>
    <row r="8637" spans="1:8">
      <c r="A8637" s="317" t="s">
        <v>41901</v>
      </c>
      <c r="B8637" s="330" t="s">
        <v>52993</v>
      </c>
      <c r="C8637" s="330" t="s">
        <v>20043</v>
      </c>
      <c r="D8637" s="330" t="s">
        <v>19922</v>
      </c>
      <c r="E8637" s="330" t="s">
        <v>4819</v>
      </c>
      <c r="F8637" s="331">
        <v>0.21</v>
      </c>
      <c r="G8637" s="332">
        <v>2380</v>
      </c>
      <c r="H8637" s="333">
        <v>2880</v>
      </c>
    </row>
    <row r="8638" spans="1:8">
      <c r="A8638" s="317" t="s">
        <v>41902</v>
      </c>
      <c r="B8638" s="330" t="s">
        <v>52994</v>
      </c>
      <c r="C8638" s="330" t="s">
        <v>20044</v>
      </c>
      <c r="D8638" s="330" t="s">
        <v>20045</v>
      </c>
      <c r="E8638" s="330" t="s">
        <v>4819</v>
      </c>
      <c r="F8638" s="331">
        <v>0.21</v>
      </c>
      <c r="G8638" s="332">
        <v>2380</v>
      </c>
      <c r="H8638" s="333">
        <v>2880</v>
      </c>
    </row>
    <row r="8639" spans="1:8">
      <c r="A8639" s="317" t="s">
        <v>41903</v>
      </c>
      <c r="B8639" s="330" t="s">
        <v>52995</v>
      </c>
      <c r="C8639" s="330" t="s">
        <v>20046</v>
      </c>
      <c r="D8639" s="330" t="s">
        <v>20047</v>
      </c>
      <c r="E8639" s="330" t="s">
        <v>37248</v>
      </c>
      <c r="F8639" s="331">
        <v>0.21</v>
      </c>
      <c r="G8639" s="332">
        <v>919</v>
      </c>
      <c r="H8639" s="333">
        <v>1112</v>
      </c>
    </row>
    <row r="8640" spans="1:8">
      <c r="A8640" s="317" t="s">
        <v>41904</v>
      </c>
      <c r="B8640" s="330" t="s">
        <v>52996</v>
      </c>
      <c r="C8640" s="330" t="s">
        <v>20048</v>
      </c>
      <c r="D8640" s="330" t="s">
        <v>20049</v>
      </c>
      <c r="E8640" s="330" t="s">
        <v>4819</v>
      </c>
      <c r="F8640" s="331">
        <v>0.21</v>
      </c>
      <c r="G8640" s="332">
        <v>3484</v>
      </c>
      <c r="H8640" s="333">
        <v>4216</v>
      </c>
    </row>
    <row r="8641" spans="1:8">
      <c r="A8641" s="317" t="s">
        <v>41905</v>
      </c>
      <c r="B8641" s="330" t="s">
        <v>52997</v>
      </c>
      <c r="C8641" s="330" t="s">
        <v>20050</v>
      </c>
      <c r="D8641" s="330" t="s">
        <v>20051</v>
      </c>
      <c r="E8641" s="330" t="s">
        <v>4819</v>
      </c>
      <c r="F8641" s="331">
        <v>0.21</v>
      </c>
      <c r="G8641" s="332">
        <v>3818</v>
      </c>
      <c r="H8641" s="333">
        <v>4620</v>
      </c>
    </row>
    <row r="8642" spans="1:8">
      <c r="A8642" s="317" t="s">
        <v>41906</v>
      </c>
      <c r="B8642" s="330" t="s">
        <v>52998</v>
      </c>
      <c r="C8642" s="330" t="s">
        <v>20052</v>
      </c>
      <c r="D8642" s="330" t="s">
        <v>20053</v>
      </c>
      <c r="E8642" s="330" t="s">
        <v>4819</v>
      </c>
      <c r="F8642" s="331">
        <v>0.21</v>
      </c>
      <c r="G8642" s="332">
        <v>5028</v>
      </c>
      <c r="H8642" s="333">
        <v>6084</v>
      </c>
    </row>
    <row r="8643" spans="1:8">
      <c r="A8643" s="317" t="s">
        <v>41907</v>
      </c>
      <c r="B8643" s="330" t="s">
        <v>52999</v>
      </c>
      <c r="C8643" s="330" t="s">
        <v>20054</v>
      </c>
      <c r="D8643" s="330" t="s">
        <v>20030</v>
      </c>
      <c r="E8643" s="330" t="s">
        <v>4819</v>
      </c>
      <c r="F8643" s="331">
        <v>0.21</v>
      </c>
      <c r="G8643" s="332">
        <v>2380</v>
      </c>
      <c r="H8643" s="333">
        <v>2880</v>
      </c>
    </row>
    <row r="8644" spans="1:8">
      <c r="A8644" s="317" t="s">
        <v>41908</v>
      </c>
      <c r="B8644" s="330" t="s">
        <v>53000</v>
      </c>
      <c r="C8644" s="330" t="s">
        <v>20055</v>
      </c>
      <c r="D8644" s="330" t="s">
        <v>20056</v>
      </c>
      <c r="E8644" s="330" t="s">
        <v>4819</v>
      </c>
      <c r="F8644" s="331">
        <v>0.21</v>
      </c>
      <c r="G8644" s="332">
        <v>3366</v>
      </c>
      <c r="H8644" s="333">
        <v>4073</v>
      </c>
    </row>
    <row r="8645" spans="1:8">
      <c r="A8645" s="317" t="s">
        <v>41909</v>
      </c>
      <c r="B8645" s="330" t="s">
        <v>53001</v>
      </c>
      <c r="C8645" s="330" t="s">
        <v>20057</v>
      </c>
      <c r="D8645" s="330" t="s">
        <v>19960</v>
      </c>
      <c r="E8645" s="330" t="s">
        <v>4819</v>
      </c>
      <c r="F8645" s="331">
        <v>0.21</v>
      </c>
      <c r="G8645" s="332">
        <v>2094</v>
      </c>
      <c r="H8645" s="333">
        <v>2534</v>
      </c>
    </row>
    <row r="8646" spans="1:8">
      <c r="A8646" s="317" t="s">
        <v>41910</v>
      </c>
      <c r="B8646" s="330" t="s">
        <v>53002</v>
      </c>
      <c r="C8646" s="330" t="s">
        <v>20058</v>
      </c>
      <c r="D8646" s="330" t="s">
        <v>20059</v>
      </c>
      <c r="E8646" s="330" t="s">
        <v>4819</v>
      </c>
      <c r="F8646" s="331">
        <v>0.21</v>
      </c>
      <c r="G8646" s="332">
        <v>2150</v>
      </c>
      <c r="H8646" s="333">
        <v>2602</v>
      </c>
    </row>
    <row r="8647" spans="1:8">
      <c r="A8647" s="317" t="s">
        <v>41911</v>
      </c>
      <c r="B8647" s="330" t="s">
        <v>53003</v>
      </c>
      <c r="C8647" s="330" t="s">
        <v>20060</v>
      </c>
      <c r="D8647" s="330" t="s">
        <v>19989</v>
      </c>
      <c r="E8647" s="330" t="s">
        <v>4819</v>
      </c>
      <c r="F8647" s="331">
        <v>0.21</v>
      </c>
      <c r="G8647" s="332">
        <v>9353</v>
      </c>
      <c r="H8647" s="333">
        <v>11318</v>
      </c>
    </row>
    <row r="8648" spans="1:8">
      <c r="A8648" s="317" t="s">
        <v>41912</v>
      </c>
      <c r="B8648" s="330" t="s">
        <v>53004</v>
      </c>
      <c r="C8648" s="330" t="s">
        <v>20061</v>
      </c>
      <c r="D8648" s="330" t="s">
        <v>20062</v>
      </c>
      <c r="E8648" s="330" t="s">
        <v>4819</v>
      </c>
      <c r="F8648" s="331">
        <v>0.21</v>
      </c>
      <c r="G8648" s="332">
        <v>2094</v>
      </c>
      <c r="H8648" s="333">
        <v>2534</v>
      </c>
    </row>
    <row r="8649" spans="1:8">
      <c r="A8649" s="317" t="s">
        <v>41913</v>
      </c>
      <c r="B8649" s="330" t="s">
        <v>53005</v>
      </c>
      <c r="C8649" s="330" t="s">
        <v>20063</v>
      </c>
      <c r="D8649" s="330" t="s">
        <v>19907</v>
      </c>
      <c r="E8649" s="330" t="s">
        <v>4819</v>
      </c>
      <c r="F8649" s="331">
        <v>0.21</v>
      </c>
      <c r="G8649" s="332">
        <v>2094</v>
      </c>
      <c r="H8649" s="333">
        <v>2534</v>
      </c>
    </row>
    <row r="8650" spans="1:8">
      <c r="A8650" s="317" t="s">
        <v>41914</v>
      </c>
      <c r="B8650" s="330" t="s">
        <v>53006</v>
      </c>
      <c r="C8650" s="330" t="s">
        <v>20064</v>
      </c>
      <c r="D8650" s="330" t="s">
        <v>19926</v>
      </c>
      <c r="E8650" s="330" t="s">
        <v>4819</v>
      </c>
      <c r="F8650" s="331">
        <v>0.21</v>
      </c>
      <c r="G8650" s="332">
        <v>2094</v>
      </c>
      <c r="H8650" s="333">
        <v>2534</v>
      </c>
    </row>
    <row r="8651" spans="1:8">
      <c r="A8651" s="317" t="s">
        <v>41915</v>
      </c>
      <c r="B8651" s="330" t="s">
        <v>53007</v>
      </c>
      <c r="C8651" s="330" t="s">
        <v>20065</v>
      </c>
      <c r="D8651" s="330" t="s">
        <v>20066</v>
      </c>
      <c r="E8651" s="330" t="s">
        <v>4819</v>
      </c>
      <c r="F8651" s="331">
        <v>0.21</v>
      </c>
      <c r="G8651" s="332">
        <v>2094</v>
      </c>
      <c r="H8651" s="333">
        <v>2534</v>
      </c>
    </row>
    <row r="8652" spans="1:8">
      <c r="A8652" s="317" t="s">
        <v>41916</v>
      </c>
      <c r="B8652" s="330" t="s">
        <v>53008</v>
      </c>
      <c r="C8652" s="330" t="s">
        <v>20067</v>
      </c>
      <c r="D8652" s="330" t="s">
        <v>19920</v>
      </c>
      <c r="E8652" s="330" t="s">
        <v>4819</v>
      </c>
      <c r="F8652" s="331">
        <v>0.21</v>
      </c>
      <c r="G8652" s="332">
        <v>2094</v>
      </c>
      <c r="H8652" s="333">
        <v>2534</v>
      </c>
    </row>
    <row r="8653" spans="1:8">
      <c r="A8653" s="317" t="s">
        <v>41917</v>
      </c>
      <c r="B8653" s="330" t="s">
        <v>53009</v>
      </c>
      <c r="C8653" s="330" t="s">
        <v>20068</v>
      </c>
      <c r="D8653" s="330" t="s">
        <v>20069</v>
      </c>
      <c r="E8653" s="330" t="s">
        <v>4819</v>
      </c>
      <c r="F8653" s="331">
        <v>0.21</v>
      </c>
      <c r="G8653" s="332">
        <v>6451</v>
      </c>
      <c r="H8653" s="333">
        <v>7806</v>
      </c>
    </row>
    <row r="8654" spans="1:8">
      <c r="A8654" s="317" t="s">
        <v>41918</v>
      </c>
      <c r="B8654" s="330" t="s">
        <v>53010</v>
      </c>
      <c r="C8654" s="330" t="s">
        <v>20070</v>
      </c>
      <c r="D8654" s="330" t="s">
        <v>20071</v>
      </c>
      <c r="E8654" s="330" t="s">
        <v>4819</v>
      </c>
      <c r="F8654" s="331">
        <v>0.21</v>
      </c>
      <c r="G8654" s="332">
        <v>1701</v>
      </c>
      <c r="H8654" s="333">
        <v>2059</v>
      </c>
    </row>
    <row r="8655" spans="1:8">
      <c r="A8655" s="317" t="s">
        <v>41919</v>
      </c>
      <c r="B8655" s="330" t="s">
        <v>53011</v>
      </c>
      <c r="C8655" s="330" t="s">
        <v>20072</v>
      </c>
      <c r="D8655" s="330" t="s">
        <v>19941</v>
      </c>
      <c r="E8655" s="330" t="s">
        <v>4819</v>
      </c>
      <c r="F8655" s="331">
        <v>0.21</v>
      </c>
      <c r="G8655" s="332">
        <v>2094</v>
      </c>
      <c r="H8655" s="333">
        <v>2534</v>
      </c>
    </row>
    <row r="8656" spans="1:8">
      <c r="A8656" s="317" t="s">
        <v>41920</v>
      </c>
      <c r="B8656" s="330" t="s">
        <v>53012</v>
      </c>
      <c r="C8656" s="330" t="s">
        <v>20073</v>
      </c>
      <c r="D8656" s="330" t="s">
        <v>20074</v>
      </c>
      <c r="E8656" s="330" t="s">
        <v>4819</v>
      </c>
      <c r="F8656" s="331">
        <v>0.21</v>
      </c>
      <c r="G8656" s="332">
        <v>4427</v>
      </c>
      <c r="H8656" s="333">
        <v>5357</v>
      </c>
    </row>
    <row r="8657" spans="1:8">
      <c r="A8657" s="317" t="s">
        <v>41921</v>
      </c>
      <c r="B8657" s="330" t="s">
        <v>53013</v>
      </c>
      <c r="C8657" s="330" t="s">
        <v>20075</v>
      </c>
      <c r="D8657" s="330" t="s">
        <v>20076</v>
      </c>
      <c r="E8657" s="330" t="s">
        <v>4819</v>
      </c>
      <c r="F8657" s="331">
        <v>0.21</v>
      </c>
      <c r="G8657" s="332">
        <v>25084</v>
      </c>
      <c r="H8657" s="333">
        <v>30352</v>
      </c>
    </row>
    <row r="8658" spans="1:8">
      <c r="A8658" s="317" t="s">
        <v>41922</v>
      </c>
      <c r="B8658" s="330" t="s">
        <v>53014</v>
      </c>
      <c r="C8658" s="330" t="s">
        <v>20077</v>
      </c>
      <c r="D8658" s="330" t="s">
        <v>20078</v>
      </c>
      <c r="E8658" s="330" t="s">
        <v>4819</v>
      </c>
      <c r="F8658" s="331">
        <v>0.21</v>
      </c>
      <c r="G8658" s="332">
        <v>7267</v>
      </c>
      <c r="H8658" s="333">
        <v>8794</v>
      </c>
    </row>
    <row r="8659" spans="1:8">
      <c r="A8659" s="317" t="s">
        <v>41923</v>
      </c>
      <c r="B8659" s="330" t="s">
        <v>53015</v>
      </c>
      <c r="C8659" s="330" t="s">
        <v>20079</v>
      </c>
      <c r="D8659" s="330" t="s">
        <v>20080</v>
      </c>
      <c r="E8659" s="330" t="s">
        <v>4819</v>
      </c>
      <c r="F8659" s="331">
        <v>0.21</v>
      </c>
      <c r="G8659" s="332">
        <v>12853</v>
      </c>
      <c r="H8659" s="333">
        <v>15553</v>
      </c>
    </row>
    <row r="8660" spans="1:8">
      <c r="A8660" s="317" t="s">
        <v>41924</v>
      </c>
      <c r="B8660" s="330" t="s">
        <v>53016</v>
      </c>
      <c r="C8660" s="330" t="s">
        <v>20081</v>
      </c>
      <c r="D8660" s="330" t="s">
        <v>20082</v>
      </c>
      <c r="E8660" s="330" t="s">
        <v>4819</v>
      </c>
      <c r="F8660" s="331">
        <v>0.21</v>
      </c>
      <c r="G8660" s="332">
        <v>3366</v>
      </c>
      <c r="H8660" s="333">
        <v>4073</v>
      </c>
    </row>
    <row r="8661" spans="1:8">
      <c r="A8661" s="317" t="s">
        <v>41925</v>
      </c>
      <c r="B8661" s="330" t="s">
        <v>53017</v>
      </c>
      <c r="C8661" s="330" t="s">
        <v>20083</v>
      </c>
      <c r="D8661" s="330" t="s">
        <v>20084</v>
      </c>
      <c r="E8661" s="330" t="s">
        <v>37248</v>
      </c>
      <c r="F8661" s="331">
        <v>0.21</v>
      </c>
      <c r="G8661" s="332">
        <v>164329</v>
      </c>
      <c r="H8661" s="333">
        <v>198839</v>
      </c>
    </row>
    <row r="8662" spans="1:8">
      <c r="A8662" s="317" t="s">
        <v>41926</v>
      </c>
      <c r="B8662" s="330" t="s">
        <v>53018</v>
      </c>
      <c r="C8662" s="330" t="s">
        <v>20085</v>
      </c>
      <c r="D8662" s="330" t="s">
        <v>20086</v>
      </c>
      <c r="E8662" s="330" t="s">
        <v>37248</v>
      </c>
      <c r="F8662" s="331">
        <v>0.21</v>
      </c>
      <c r="G8662" s="332">
        <v>10709</v>
      </c>
      <c r="H8662" s="333">
        <v>12958</v>
      </c>
    </row>
    <row r="8663" spans="1:8">
      <c r="A8663" s="317" t="s">
        <v>41927</v>
      </c>
      <c r="B8663" s="330" t="s">
        <v>53019</v>
      </c>
      <c r="C8663" s="330" t="s">
        <v>20087</v>
      </c>
      <c r="D8663" s="330" t="s">
        <v>19954</v>
      </c>
      <c r="E8663" s="330" t="s">
        <v>4819</v>
      </c>
      <c r="F8663" s="331">
        <v>0.21</v>
      </c>
      <c r="G8663" s="332">
        <v>2094</v>
      </c>
      <c r="H8663" s="333">
        <v>2534</v>
      </c>
    </row>
    <row r="8664" spans="1:8">
      <c r="A8664" s="317" t="s">
        <v>41928</v>
      </c>
      <c r="B8664" s="330" t="s">
        <v>53020</v>
      </c>
      <c r="C8664" s="330" t="s">
        <v>20088</v>
      </c>
      <c r="D8664" s="330" t="s">
        <v>20089</v>
      </c>
      <c r="E8664" s="330" t="s">
        <v>4819</v>
      </c>
      <c r="F8664" s="331">
        <v>0.21</v>
      </c>
      <c r="G8664" s="332">
        <v>91892</v>
      </c>
      <c r="H8664" s="333">
        <v>111190</v>
      </c>
    </row>
    <row r="8665" spans="1:8">
      <c r="A8665" s="317" t="s">
        <v>41929</v>
      </c>
      <c r="B8665" s="330" t="s">
        <v>53021</v>
      </c>
      <c r="C8665" s="330" t="s">
        <v>20090</v>
      </c>
      <c r="D8665" s="330" t="s">
        <v>20091</v>
      </c>
      <c r="E8665" s="330" t="s">
        <v>4634</v>
      </c>
      <c r="F8665" s="331">
        <v>0.21</v>
      </c>
      <c r="G8665" s="332">
        <v>3941</v>
      </c>
      <c r="H8665" s="333">
        <v>4769</v>
      </c>
    </row>
    <row r="8666" spans="1:8">
      <c r="A8666" s="317" t="s">
        <v>41930</v>
      </c>
      <c r="B8666" s="330" t="s">
        <v>53022</v>
      </c>
      <c r="C8666" s="330" t="s">
        <v>20092</v>
      </c>
      <c r="D8666" s="330" t="s">
        <v>5244</v>
      </c>
      <c r="E8666" s="330" t="s">
        <v>4819</v>
      </c>
      <c r="F8666" s="331">
        <v>0.21</v>
      </c>
      <c r="G8666" s="332">
        <v>2900</v>
      </c>
      <c r="H8666" s="333">
        <v>3509</v>
      </c>
    </row>
    <row r="8667" spans="1:8">
      <c r="A8667" s="317" t="s">
        <v>41931</v>
      </c>
      <c r="B8667" s="330" t="s">
        <v>53023</v>
      </c>
      <c r="C8667" s="330" t="s">
        <v>20093</v>
      </c>
      <c r="D8667" s="330" t="s">
        <v>20094</v>
      </c>
      <c r="E8667" s="330" t="s">
        <v>37248</v>
      </c>
      <c r="F8667" s="331">
        <v>0.21</v>
      </c>
      <c r="G8667" s="332">
        <v>675</v>
      </c>
      <c r="H8667" s="333">
        <v>817</v>
      </c>
    </row>
    <row r="8668" spans="1:8">
      <c r="A8668" s="317" t="s">
        <v>41932</v>
      </c>
      <c r="B8668" s="330" t="s">
        <v>53024</v>
      </c>
      <c r="C8668" s="330" t="s">
        <v>20095</v>
      </c>
      <c r="D8668" s="330" t="s">
        <v>7961</v>
      </c>
      <c r="E8668" s="330" t="s">
        <v>4819</v>
      </c>
      <c r="F8668" s="331">
        <v>0.21</v>
      </c>
      <c r="G8668" s="332">
        <v>3310</v>
      </c>
      <c r="H8668" s="333">
        <v>4006</v>
      </c>
    </row>
    <row r="8669" spans="1:8">
      <c r="A8669" s="317" t="s">
        <v>41933</v>
      </c>
      <c r="B8669" s="330" t="s">
        <v>53025</v>
      </c>
      <c r="C8669" s="330" t="s">
        <v>20096</v>
      </c>
      <c r="D8669" s="330" t="s">
        <v>20097</v>
      </c>
      <c r="E8669" s="330" t="s">
        <v>4819</v>
      </c>
      <c r="F8669" s="331">
        <v>0.21</v>
      </c>
      <c r="G8669" s="332">
        <v>2755</v>
      </c>
      <c r="H8669" s="333">
        <v>3334</v>
      </c>
    </row>
    <row r="8670" spans="1:8">
      <c r="A8670" s="317" t="s">
        <v>41934</v>
      </c>
      <c r="B8670" s="330" t="s">
        <v>53026</v>
      </c>
      <c r="C8670" s="330" t="s">
        <v>20098</v>
      </c>
      <c r="D8670" s="330" t="s">
        <v>7416</v>
      </c>
      <c r="E8670" s="330" t="s">
        <v>4819</v>
      </c>
      <c r="F8670" s="331">
        <v>0.21</v>
      </c>
      <c r="G8670" s="332">
        <v>919</v>
      </c>
      <c r="H8670" s="333">
        <v>1112</v>
      </c>
    </row>
    <row r="8671" spans="1:8">
      <c r="A8671" s="317" t="s">
        <v>41935</v>
      </c>
      <c r="B8671" s="330" t="s">
        <v>53027</v>
      </c>
      <c r="C8671" s="330" t="s">
        <v>20099</v>
      </c>
      <c r="D8671" s="330" t="s">
        <v>20100</v>
      </c>
      <c r="E8671" s="330" t="s">
        <v>4819</v>
      </c>
      <c r="F8671" s="331">
        <v>0.21</v>
      </c>
      <c r="G8671" s="332">
        <v>919</v>
      </c>
      <c r="H8671" s="333">
        <v>1112</v>
      </c>
    </row>
    <row r="8672" spans="1:8">
      <c r="A8672" s="317" t="s">
        <v>41936</v>
      </c>
      <c r="B8672" s="330" t="s">
        <v>53028</v>
      </c>
      <c r="C8672" s="330" t="s">
        <v>20101</v>
      </c>
      <c r="D8672" s="330" t="s">
        <v>20102</v>
      </c>
      <c r="E8672" s="330" t="s">
        <v>4819</v>
      </c>
      <c r="F8672" s="331">
        <v>0.21</v>
      </c>
      <c r="G8672" s="332">
        <v>919</v>
      </c>
      <c r="H8672" s="333">
        <v>1112</v>
      </c>
    </row>
    <row r="8673" spans="1:8">
      <c r="A8673" s="317" t="s">
        <v>41937</v>
      </c>
      <c r="B8673" s="330" t="s">
        <v>53029</v>
      </c>
      <c r="C8673" s="330" t="s">
        <v>20103</v>
      </c>
      <c r="D8673" s="330" t="s">
        <v>20104</v>
      </c>
      <c r="E8673" s="330" t="s">
        <v>4819</v>
      </c>
      <c r="F8673" s="331">
        <v>0.21</v>
      </c>
      <c r="G8673" s="332">
        <v>23641</v>
      </c>
      <c r="H8673" s="333">
        <v>28606</v>
      </c>
    </row>
    <row r="8674" spans="1:8">
      <c r="A8674" s="317" t="s">
        <v>41938</v>
      </c>
      <c r="B8674" s="330" t="s">
        <v>53030</v>
      </c>
      <c r="C8674" s="330" t="s">
        <v>20105</v>
      </c>
      <c r="D8674" s="330" t="s">
        <v>20106</v>
      </c>
      <c r="E8674" s="330" t="s">
        <v>37248</v>
      </c>
      <c r="F8674" s="331">
        <v>0.21</v>
      </c>
      <c r="G8674" s="332">
        <v>4345</v>
      </c>
      <c r="H8674" s="333">
        <v>5258</v>
      </c>
    </row>
    <row r="8675" spans="1:8">
      <c r="A8675" s="317" t="s">
        <v>41939</v>
      </c>
      <c r="B8675" s="330" t="s">
        <v>53031</v>
      </c>
      <c r="C8675" s="330" t="s">
        <v>20107</v>
      </c>
      <c r="D8675" s="330" t="s">
        <v>20108</v>
      </c>
      <c r="E8675" s="330" t="s">
        <v>4634</v>
      </c>
      <c r="F8675" s="331">
        <v>0.21</v>
      </c>
      <c r="G8675" s="332">
        <v>12329</v>
      </c>
      <c r="H8675" s="333">
        <v>14919</v>
      </c>
    </row>
    <row r="8676" spans="1:8">
      <c r="A8676" s="317" t="s">
        <v>41940</v>
      </c>
      <c r="B8676" s="330" t="s">
        <v>53032</v>
      </c>
      <c r="C8676" s="330" t="s">
        <v>20109</v>
      </c>
      <c r="D8676" s="330" t="s">
        <v>20110</v>
      </c>
      <c r="E8676" s="330" t="s">
        <v>37248</v>
      </c>
      <c r="F8676" s="331">
        <v>0.21</v>
      </c>
      <c r="G8676" s="332">
        <v>1530</v>
      </c>
      <c r="H8676" s="333">
        <v>1852</v>
      </c>
    </row>
    <row r="8677" spans="1:8">
      <c r="A8677" s="317" t="s">
        <v>41941</v>
      </c>
      <c r="B8677" s="330" t="s">
        <v>53033</v>
      </c>
      <c r="C8677" s="330" t="s">
        <v>20111</v>
      </c>
      <c r="D8677" s="330" t="s">
        <v>20112</v>
      </c>
      <c r="E8677" s="330" t="s">
        <v>4819</v>
      </c>
      <c r="F8677" s="331">
        <v>0.21</v>
      </c>
      <c r="G8677" s="332">
        <v>1530</v>
      </c>
      <c r="H8677" s="333">
        <v>1852</v>
      </c>
    </row>
    <row r="8678" spans="1:8">
      <c r="A8678" s="317" t="s">
        <v>41942</v>
      </c>
      <c r="B8678" s="330" t="s">
        <v>53034</v>
      </c>
      <c r="C8678" s="330" t="s">
        <v>20113</v>
      </c>
      <c r="D8678" s="330" t="s">
        <v>20114</v>
      </c>
      <c r="E8678" s="330" t="s">
        <v>4634</v>
      </c>
      <c r="F8678" s="331">
        <v>0.21</v>
      </c>
      <c r="G8678" s="332">
        <v>37367</v>
      </c>
      <c r="H8678" s="333">
        <v>45215</v>
      </c>
    </row>
    <row r="8679" spans="1:8">
      <c r="A8679" s="317" t="s">
        <v>41943</v>
      </c>
      <c r="B8679" s="330" t="s">
        <v>53035</v>
      </c>
      <c r="C8679" s="330" t="s">
        <v>20115</v>
      </c>
      <c r="D8679" s="330" t="s">
        <v>20116</v>
      </c>
      <c r="E8679" s="330" t="s">
        <v>4819</v>
      </c>
      <c r="F8679" s="331">
        <v>0.21</v>
      </c>
      <c r="G8679" s="332">
        <v>1052</v>
      </c>
      <c r="H8679" s="333">
        <v>1273</v>
      </c>
    </row>
    <row r="8680" spans="1:8">
      <c r="A8680" s="317" t="s">
        <v>41944</v>
      </c>
      <c r="B8680" s="330" t="s">
        <v>53036</v>
      </c>
      <c r="C8680" s="330" t="s">
        <v>20117</v>
      </c>
      <c r="D8680" s="330" t="s">
        <v>20118</v>
      </c>
      <c r="E8680" s="330" t="s">
        <v>4819</v>
      </c>
      <c r="F8680" s="331">
        <v>0.21</v>
      </c>
      <c r="G8680" s="332">
        <v>919</v>
      </c>
      <c r="H8680" s="333">
        <v>1112</v>
      </c>
    </row>
    <row r="8681" spans="1:8">
      <c r="A8681" s="317" t="s">
        <v>41945</v>
      </c>
      <c r="B8681" s="330" t="s">
        <v>53037</v>
      </c>
      <c r="C8681" s="330" t="s">
        <v>20119</v>
      </c>
      <c r="D8681" s="330" t="s">
        <v>20120</v>
      </c>
      <c r="E8681" s="330" t="s">
        <v>37248</v>
      </c>
      <c r="F8681" s="331">
        <v>0.21</v>
      </c>
      <c r="G8681" s="332">
        <v>2328</v>
      </c>
      <c r="H8681" s="333">
        <v>2817</v>
      </c>
    </row>
    <row r="8682" spans="1:8">
      <c r="A8682" s="317" t="s">
        <v>41946</v>
      </c>
      <c r="B8682" s="330" t="s">
        <v>53038</v>
      </c>
      <c r="C8682" s="330" t="s">
        <v>20121</v>
      </c>
      <c r="D8682" s="330" t="s">
        <v>20122</v>
      </c>
      <c r="E8682" s="330" t="s">
        <v>37248</v>
      </c>
      <c r="F8682" s="331">
        <v>0.21</v>
      </c>
      <c r="G8682" s="332">
        <v>23641</v>
      </c>
      <c r="H8682" s="333">
        <v>28606</v>
      </c>
    </row>
    <row r="8683" spans="1:8">
      <c r="A8683" s="317" t="s">
        <v>41947</v>
      </c>
      <c r="B8683" s="330" t="s">
        <v>53039</v>
      </c>
      <c r="C8683" s="330" t="s">
        <v>20123</v>
      </c>
      <c r="D8683" s="330" t="s">
        <v>20124</v>
      </c>
      <c r="E8683" s="330" t="s">
        <v>37248</v>
      </c>
      <c r="F8683" s="331">
        <v>0.21</v>
      </c>
      <c r="G8683" s="332">
        <v>82167</v>
      </c>
      <c r="H8683" s="333">
        <v>99423</v>
      </c>
    </row>
    <row r="8684" spans="1:8">
      <c r="A8684" s="317" t="s">
        <v>41948</v>
      </c>
      <c r="B8684" s="330" t="s">
        <v>53040</v>
      </c>
      <c r="C8684" s="330" t="s">
        <v>20125</v>
      </c>
      <c r="D8684" s="330" t="s">
        <v>20126</v>
      </c>
      <c r="E8684" s="330" t="s">
        <v>37248</v>
      </c>
      <c r="F8684" s="331">
        <v>0.21</v>
      </c>
      <c r="G8684" s="332">
        <v>7995</v>
      </c>
      <c r="H8684" s="333">
        <v>9674</v>
      </c>
    </row>
    <row r="8685" spans="1:8">
      <c r="A8685" s="317" t="s">
        <v>41949</v>
      </c>
      <c r="B8685" s="330" t="s">
        <v>53041</v>
      </c>
      <c r="C8685" s="330" t="s">
        <v>20127</v>
      </c>
      <c r="D8685" s="330" t="s">
        <v>20112</v>
      </c>
      <c r="E8685" s="330" t="s">
        <v>4819</v>
      </c>
      <c r="F8685" s="331">
        <v>0.21</v>
      </c>
      <c r="G8685" s="332">
        <v>919</v>
      </c>
      <c r="H8685" s="333">
        <v>1112</v>
      </c>
    </row>
    <row r="8686" spans="1:8">
      <c r="A8686" s="317" t="s">
        <v>41950</v>
      </c>
      <c r="B8686" s="330" t="s">
        <v>53042</v>
      </c>
      <c r="C8686" s="330" t="s">
        <v>20128</v>
      </c>
      <c r="D8686" s="330" t="s">
        <v>20129</v>
      </c>
      <c r="E8686" s="330" t="s">
        <v>4819</v>
      </c>
      <c r="F8686" s="331">
        <v>0.21</v>
      </c>
      <c r="G8686" s="332">
        <v>12962</v>
      </c>
      <c r="H8686" s="333">
        <v>15685</v>
      </c>
    </row>
    <row r="8687" spans="1:8">
      <c r="A8687" s="317" t="s">
        <v>41951</v>
      </c>
      <c r="B8687" s="330" t="s">
        <v>53043</v>
      </c>
      <c r="C8687" s="330" t="s">
        <v>20130</v>
      </c>
      <c r="D8687" s="330" t="s">
        <v>6413</v>
      </c>
      <c r="E8687" s="330" t="s">
        <v>4819</v>
      </c>
      <c r="F8687" s="331">
        <v>0.21</v>
      </c>
      <c r="G8687" s="332">
        <v>2328</v>
      </c>
      <c r="H8687" s="333">
        <v>2817</v>
      </c>
    </row>
    <row r="8688" spans="1:8">
      <c r="A8688" s="317" t="s">
        <v>41952</v>
      </c>
      <c r="B8688" s="330" t="s">
        <v>53044</v>
      </c>
      <c r="C8688" s="330" t="s">
        <v>20131</v>
      </c>
      <c r="D8688" s="330" t="s">
        <v>20132</v>
      </c>
      <c r="E8688" s="330" t="s">
        <v>37248</v>
      </c>
      <c r="F8688" s="331">
        <v>0.21</v>
      </c>
      <c r="G8688" s="332">
        <v>25945</v>
      </c>
      <c r="H8688" s="333">
        <v>31394</v>
      </c>
    </row>
    <row r="8689" spans="1:8">
      <c r="A8689" s="317" t="s">
        <v>41953</v>
      </c>
      <c r="B8689" s="330" t="s">
        <v>53045</v>
      </c>
      <c r="C8689" s="330" t="s">
        <v>20133</v>
      </c>
      <c r="D8689" s="330" t="s">
        <v>20134</v>
      </c>
      <c r="E8689" s="330" t="s">
        <v>4819</v>
      </c>
      <c r="F8689" s="331">
        <v>0.21</v>
      </c>
      <c r="G8689" s="332">
        <v>3774</v>
      </c>
      <c r="H8689" s="333">
        <v>4567</v>
      </c>
    </row>
    <row r="8690" spans="1:8">
      <c r="A8690" s="317" t="s">
        <v>41954</v>
      </c>
      <c r="B8690" s="330" t="s">
        <v>53046</v>
      </c>
      <c r="C8690" s="330" t="s">
        <v>20135</v>
      </c>
      <c r="D8690" s="330" t="s">
        <v>20136</v>
      </c>
      <c r="E8690" s="330" t="s">
        <v>4819</v>
      </c>
      <c r="F8690" s="331">
        <v>0.21</v>
      </c>
      <c r="G8690" s="332">
        <v>3825</v>
      </c>
      <c r="H8690" s="333">
        <v>4629</v>
      </c>
    </row>
    <row r="8691" spans="1:8">
      <c r="A8691" s="317" t="s">
        <v>41955</v>
      </c>
      <c r="B8691" s="330" t="s">
        <v>53047</v>
      </c>
      <c r="C8691" s="330" t="s">
        <v>20137</v>
      </c>
      <c r="D8691" s="330" t="s">
        <v>20138</v>
      </c>
      <c r="E8691" s="330" t="s">
        <v>37248</v>
      </c>
      <c r="F8691" s="331">
        <v>0.21</v>
      </c>
      <c r="G8691" s="332">
        <v>3825</v>
      </c>
      <c r="H8691" s="333">
        <v>4629</v>
      </c>
    </row>
    <row r="8692" spans="1:8">
      <c r="A8692" s="317" t="s">
        <v>41956</v>
      </c>
      <c r="B8692" s="330" t="s">
        <v>53048</v>
      </c>
      <c r="C8692" s="330" t="s">
        <v>20139</v>
      </c>
      <c r="D8692" s="330" t="s">
        <v>20138</v>
      </c>
      <c r="E8692" s="330" t="s">
        <v>37248</v>
      </c>
      <c r="F8692" s="331">
        <v>0.21</v>
      </c>
      <c r="G8692" s="332">
        <v>3825</v>
      </c>
      <c r="H8692" s="333">
        <v>4629</v>
      </c>
    </row>
    <row r="8693" spans="1:8">
      <c r="A8693" s="317" t="s">
        <v>41957</v>
      </c>
      <c r="B8693" s="330" t="s">
        <v>53049</v>
      </c>
      <c r="C8693" s="330" t="s">
        <v>20140</v>
      </c>
      <c r="D8693" s="330" t="s">
        <v>20141</v>
      </c>
      <c r="E8693" s="330" t="s">
        <v>37248</v>
      </c>
      <c r="F8693" s="331">
        <v>0.21</v>
      </c>
      <c r="G8693" s="332">
        <v>45826</v>
      </c>
      <c r="H8693" s="333">
        <v>55450</v>
      </c>
    </row>
    <row r="8694" spans="1:8">
      <c r="A8694" s="317" t="s">
        <v>41958</v>
      </c>
      <c r="B8694" s="330" t="s">
        <v>53050</v>
      </c>
      <c r="C8694" s="330" t="s">
        <v>20142</v>
      </c>
      <c r="D8694" s="330" t="s">
        <v>20143</v>
      </c>
      <c r="E8694" s="330" t="s">
        <v>37248</v>
      </c>
      <c r="F8694" s="331">
        <v>0.21</v>
      </c>
      <c r="G8694" s="332">
        <v>18118</v>
      </c>
      <c r="H8694" s="333">
        <v>21923</v>
      </c>
    </row>
    <row r="8695" spans="1:8">
      <c r="A8695" s="317" t="s">
        <v>41959</v>
      </c>
      <c r="B8695" s="330" t="s">
        <v>53051</v>
      </c>
      <c r="C8695" s="330" t="s">
        <v>20144</v>
      </c>
      <c r="D8695" s="330" t="s">
        <v>20145</v>
      </c>
      <c r="E8695" s="330" t="s">
        <v>37248</v>
      </c>
      <c r="F8695" s="331">
        <v>0.21</v>
      </c>
      <c r="G8695" s="332">
        <v>5362</v>
      </c>
      <c r="H8695" s="333">
        <v>6489</v>
      </c>
    </row>
    <row r="8696" spans="1:8">
      <c r="A8696" s="317" t="s">
        <v>41960</v>
      </c>
      <c r="B8696" s="330" t="s">
        <v>53052</v>
      </c>
      <c r="C8696" s="330" t="s">
        <v>20146</v>
      </c>
      <c r="D8696" s="330" t="s">
        <v>20147</v>
      </c>
      <c r="E8696" s="330" t="s">
        <v>4819</v>
      </c>
      <c r="F8696" s="331">
        <v>0.21</v>
      </c>
      <c r="G8696" s="332">
        <v>9554</v>
      </c>
      <c r="H8696" s="333">
        <v>11561</v>
      </c>
    </row>
    <row r="8697" spans="1:8">
      <c r="A8697" s="317" t="s">
        <v>41961</v>
      </c>
      <c r="B8697" s="330" t="s">
        <v>53053</v>
      </c>
      <c r="C8697" s="330" t="s">
        <v>20148</v>
      </c>
      <c r="D8697" s="330" t="s">
        <v>20149</v>
      </c>
      <c r="E8697" s="330" t="s">
        <v>37248</v>
      </c>
      <c r="F8697" s="331">
        <v>0.21</v>
      </c>
      <c r="G8697" s="332">
        <v>2647</v>
      </c>
      <c r="H8697" s="333">
        <v>3203</v>
      </c>
    </row>
    <row r="8698" spans="1:8">
      <c r="A8698" s="317" t="s">
        <v>41962</v>
      </c>
      <c r="B8698" s="330" t="s">
        <v>53054</v>
      </c>
      <c r="C8698" s="330" t="s">
        <v>20150</v>
      </c>
      <c r="D8698" s="330" t="s">
        <v>20151</v>
      </c>
      <c r="E8698" s="330" t="s">
        <v>37248</v>
      </c>
      <c r="F8698" s="331">
        <v>0.21</v>
      </c>
      <c r="G8698" s="332">
        <v>2059</v>
      </c>
      <c r="H8698" s="333">
        <v>2492</v>
      </c>
    </row>
    <row r="8699" spans="1:8">
      <c r="A8699" s="317" t="s">
        <v>41963</v>
      </c>
      <c r="B8699" s="330" t="s">
        <v>53055</v>
      </c>
      <c r="C8699" s="330" t="s">
        <v>20152</v>
      </c>
      <c r="D8699" s="330" t="s">
        <v>20153</v>
      </c>
      <c r="E8699" s="330" t="s">
        <v>4819</v>
      </c>
      <c r="F8699" s="331">
        <v>0.21</v>
      </c>
      <c r="G8699" s="332">
        <v>30496</v>
      </c>
      <c r="H8699" s="333">
        <v>36901</v>
      </c>
    </row>
    <row r="8700" spans="1:8">
      <c r="A8700" s="317" t="s">
        <v>41964</v>
      </c>
      <c r="B8700" s="330" t="s">
        <v>53056</v>
      </c>
      <c r="C8700" s="330" t="s">
        <v>20154</v>
      </c>
      <c r="D8700" s="330" t="s">
        <v>20155</v>
      </c>
      <c r="E8700" s="330" t="s">
        <v>37248</v>
      </c>
      <c r="F8700" s="331">
        <v>0.21</v>
      </c>
      <c r="G8700" s="332">
        <v>8913</v>
      </c>
      <c r="H8700" s="333">
        <v>10785</v>
      </c>
    </row>
    <row r="8701" spans="1:8">
      <c r="A8701" s="317" t="s">
        <v>41965</v>
      </c>
      <c r="B8701" s="330" t="s">
        <v>53057</v>
      </c>
      <c r="C8701" s="330" t="s">
        <v>20156</v>
      </c>
      <c r="D8701" s="330" t="s">
        <v>19918</v>
      </c>
      <c r="E8701" s="330" t="s">
        <v>4819</v>
      </c>
      <c r="F8701" s="331">
        <v>0.21</v>
      </c>
      <c r="G8701" s="332">
        <v>2094</v>
      </c>
      <c r="H8701" s="333">
        <v>2534</v>
      </c>
    </row>
    <row r="8702" spans="1:8">
      <c r="A8702" s="317" t="s">
        <v>41966</v>
      </c>
      <c r="B8702" s="330" t="s">
        <v>53058</v>
      </c>
      <c r="C8702" s="330" t="s">
        <v>20157</v>
      </c>
      <c r="D8702" s="330" t="s">
        <v>20158</v>
      </c>
      <c r="E8702" s="330" t="s">
        <v>37248</v>
      </c>
      <c r="F8702" s="331">
        <v>0.21</v>
      </c>
      <c r="G8702" s="332">
        <v>5920</v>
      </c>
      <c r="H8702" s="333">
        <v>7164</v>
      </c>
    </row>
    <row r="8703" spans="1:8">
      <c r="A8703" s="317" t="s">
        <v>41967</v>
      </c>
      <c r="B8703" s="330" t="s">
        <v>53059</v>
      </c>
      <c r="C8703" s="330" t="s">
        <v>20159</v>
      </c>
      <c r="D8703" s="330" t="s">
        <v>20160</v>
      </c>
      <c r="E8703" s="330" t="s">
        <v>37248</v>
      </c>
      <c r="F8703" s="331">
        <v>0.21</v>
      </c>
      <c r="G8703" s="332">
        <v>5117</v>
      </c>
      <c r="H8703" s="333">
        <v>6192</v>
      </c>
    </row>
    <row r="8704" spans="1:8">
      <c r="A8704" s="317" t="s">
        <v>41968</v>
      </c>
      <c r="B8704" s="330" t="s">
        <v>53060</v>
      </c>
      <c r="C8704" s="330" t="s">
        <v>20161</v>
      </c>
      <c r="D8704" s="330" t="s">
        <v>20162</v>
      </c>
      <c r="E8704" s="330" t="s">
        <v>4819</v>
      </c>
      <c r="F8704" s="331">
        <v>0.21</v>
      </c>
      <c r="G8704" s="332">
        <v>2478</v>
      </c>
      <c r="H8704" s="333">
        <v>2999</v>
      </c>
    </row>
    <row r="8705" spans="1:8">
      <c r="A8705" s="317" t="s">
        <v>41969</v>
      </c>
      <c r="B8705" s="330" t="s">
        <v>53061</v>
      </c>
      <c r="C8705" s="330" t="s">
        <v>20163</v>
      </c>
      <c r="D8705" s="330" t="s">
        <v>20164</v>
      </c>
      <c r="E8705" s="330" t="s">
        <v>4819</v>
      </c>
      <c r="F8705" s="331">
        <v>0.21</v>
      </c>
      <c r="G8705" s="332">
        <v>2237</v>
      </c>
      <c r="H8705" s="333">
        <v>2707</v>
      </c>
    </row>
    <row r="8706" spans="1:8">
      <c r="A8706" s="317" t="s">
        <v>41970</v>
      </c>
      <c r="B8706" s="330" t="s">
        <v>53062</v>
      </c>
      <c r="C8706" s="330" t="s">
        <v>20165</v>
      </c>
      <c r="D8706" s="330" t="s">
        <v>20166</v>
      </c>
      <c r="E8706" s="330" t="s">
        <v>4819</v>
      </c>
      <c r="F8706" s="331">
        <v>0.21</v>
      </c>
      <c r="G8706" s="332">
        <v>42000</v>
      </c>
      <c r="H8706" s="333">
        <v>50820</v>
      </c>
    </row>
    <row r="8707" spans="1:8">
      <c r="A8707" s="317" t="s">
        <v>41971</v>
      </c>
      <c r="B8707" s="330" t="s">
        <v>53063</v>
      </c>
      <c r="C8707" s="330" t="s">
        <v>20167</v>
      </c>
      <c r="D8707" s="330" t="s">
        <v>20168</v>
      </c>
      <c r="E8707" s="330" t="s">
        <v>4819</v>
      </c>
      <c r="F8707" s="331">
        <v>0.21</v>
      </c>
      <c r="G8707" s="332">
        <v>2513</v>
      </c>
      <c r="H8707" s="333">
        <v>3041</v>
      </c>
    </row>
    <row r="8708" spans="1:8">
      <c r="A8708" s="317" t="s">
        <v>41972</v>
      </c>
      <c r="B8708" s="330" t="s">
        <v>53064</v>
      </c>
      <c r="C8708" s="330" t="s">
        <v>20169</v>
      </c>
      <c r="D8708" s="330" t="s">
        <v>20170</v>
      </c>
      <c r="E8708" s="330" t="s">
        <v>4819</v>
      </c>
      <c r="F8708" s="331">
        <v>0.21</v>
      </c>
      <c r="G8708" s="332">
        <v>265</v>
      </c>
      <c r="H8708" s="333">
        <v>321</v>
      </c>
    </row>
    <row r="8709" spans="1:8">
      <c r="A8709" s="317" t="s">
        <v>41973</v>
      </c>
      <c r="B8709" s="330" t="s">
        <v>53065</v>
      </c>
      <c r="C8709" s="330" t="s">
        <v>20171</v>
      </c>
      <c r="D8709" s="330" t="s">
        <v>20172</v>
      </c>
      <c r="E8709" s="330" t="s">
        <v>4819</v>
      </c>
      <c r="F8709" s="331">
        <v>0.21</v>
      </c>
      <c r="G8709" s="332">
        <v>5278</v>
      </c>
      <c r="H8709" s="333">
        <v>6387</v>
      </c>
    </row>
    <row r="8710" spans="1:8">
      <c r="A8710" s="317" t="s">
        <v>41974</v>
      </c>
      <c r="B8710" s="330" t="s">
        <v>53066</v>
      </c>
      <c r="C8710" s="330" t="s">
        <v>20173</v>
      </c>
      <c r="D8710" s="330" t="s">
        <v>20174</v>
      </c>
      <c r="E8710" s="330" t="s">
        <v>4819</v>
      </c>
      <c r="F8710" s="331">
        <v>0.21</v>
      </c>
      <c r="G8710" s="332">
        <v>14707</v>
      </c>
      <c r="H8710" s="333">
        <v>17796</v>
      </c>
    </row>
    <row r="8711" spans="1:8">
      <c r="A8711" s="317" t="s">
        <v>41975</v>
      </c>
      <c r="B8711" s="330" t="s">
        <v>53067</v>
      </c>
      <c r="C8711" s="330" t="s">
        <v>20175</v>
      </c>
      <c r="D8711" s="330" t="s">
        <v>20168</v>
      </c>
      <c r="E8711" s="330" t="s">
        <v>4819</v>
      </c>
      <c r="F8711" s="331">
        <v>0.21</v>
      </c>
      <c r="G8711" s="332">
        <v>1641</v>
      </c>
      <c r="H8711" s="333">
        <v>1986</v>
      </c>
    </row>
    <row r="8712" spans="1:8">
      <c r="A8712" s="317" t="s">
        <v>41976</v>
      </c>
      <c r="B8712" s="330" t="s">
        <v>53068</v>
      </c>
      <c r="C8712" s="330" t="s">
        <v>20176</v>
      </c>
      <c r="D8712" s="330" t="s">
        <v>20177</v>
      </c>
      <c r="E8712" s="330" t="s">
        <v>4819</v>
      </c>
      <c r="F8712" s="331">
        <v>0.21</v>
      </c>
      <c r="G8712" s="332">
        <v>265</v>
      </c>
      <c r="H8712" s="333">
        <v>321</v>
      </c>
    </row>
    <row r="8713" spans="1:8">
      <c r="A8713" s="317" t="s">
        <v>41977</v>
      </c>
      <c r="B8713" s="330" t="s">
        <v>53069</v>
      </c>
      <c r="C8713" s="330" t="s">
        <v>20178</v>
      </c>
      <c r="D8713" s="330" t="s">
        <v>20179</v>
      </c>
      <c r="E8713" s="330" t="s">
        <v>4819</v>
      </c>
      <c r="F8713" s="331">
        <v>0.21</v>
      </c>
      <c r="G8713" s="332">
        <v>243</v>
      </c>
      <c r="H8713" s="333">
        <v>295</v>
      </c>
    </row>
    <row r="8714" spans="1:8">
      <c r="A8714" s="317" t="s">
        <v>41978</v>
      </c>
      <c r="B8714" s="330" t="s">
        <v>53070</v>
      </c>
      <c r="C8714" s="330" t="s">
        <v>20180</v>
      </c>
      <c r="D8714" s="330" t="s">
        <v>20181</v>
      </c>
      <c r="E8714" s="330" t="s">
        <v>4819</v>
      </c>
      <c r="F8714" s="331">
        <v>0.21</v>
      </c>
      <c r="G8714" s="332">
        <v>2513</v>
      </c>
      <c r="H8714" s="333">
        <v>3041</v>
      </c>
    </row>
    <row r="8715" spans="1:8">
      <c r="A8715" s="317" t="s">
        <v>41979</v>
      </c>
      <c r="B8715" s="330" t="s">
        <v>53071</v>
      </c>
      <c r="C8715" s="330" t="s">
        <v>20182</v>
      </c>
      <c r="D8715" s="330" t="s">
        <v>20183</v>
      </c>
      <c r="E8715" s="330" t="s">
        <v>4819</v>
      </c>
      <c r="F8715" s="331">
        <v>0.21</v>
      </c>
      <c r="G8715" s="332">
        <v>2630</v>
      </c>
      <c r="H8715" s="333">
        <v>3183</v>
      </c>
    </row>
    <row r="8716" spans="1:8">
      <c r="A8716" s="317" t="s">
        <v>41980</v>
      </c>
      <c r="B8716" s="330" t="s">
        <v>53072</v>
      </c>
      <c r="C8716" s="330" t="s">
        <v>20184</v>
      </c>
      <c r="D8716" s="330" t="s">
        <v>20185</v>
      </c>
      <c r="E8716" s="330" t="s">
        <v>4819</v>
      </c>
      <c r="F8716" s="331">
        <v>0.21</v>
      </c>
      <c r="G8716" s="332">
        <v>1400</v>
      </c>
      <c r="H8716" s="333">
        <v>1694</v>
      </c>
    </row>
    <row r="8717" spans="1:8">
      <c r="A8717" s="317" t="s">
        <v>41981</v>
      </c>
      <c r="B8717" s="330" t="s">
        <v>53073</v>
      </c>
      <c r="C8717" s="330" t="s">
        <v>20186</v>
      </c>
      <c r="D8717" s="330" t="s">
        <v>20174</v>
      </c>
      <c r="E8717" s="330" t="s">
        <v>4819</v>
      </c>
      <c r="F8717" s="331">
        <v>0.21</v>
      </c>
      <c r="G8717" s="332">
        <v>14707</v>
      </c>
      <c r="H8717" s="333">
        <v>17796</v>
      </c>
    </row>
    <row r="8718" spans="1:8">
      <c r="A8718" s="317" t="s">
        <v>41982</v>
      </c>
      <c r="B8718" s="330" t="s">
        <v>53074</v>
      </c>
      <c r="C8718" s="330" t="s">
        <v>20187</v>
      </c>
      <c r="D8718" s="330" t="s">
        <v>20188</v>
      </c>
      <c r="E8718" s="330" t="s">
        <v>4819</v>
      </c>
      <c r="F8718" s="331">
        <v>0.21</v>
      </c>
      <c r="G8718" s="332">
        <v>532</v>
      </c>
      <c r="H8718" s="333">
        <v>644</v>
      </c>
    </row>
    <row r="8719" spans="1:8">
      <c r="A8719" s="317" t="s">
        <v>41983</v>
      </c>
      <c r="B8719" s="330" t="s">
        <v>53075</v>
      </c>
      <c r="C8719" s="330" t="s">
        <v>20189</v>
      </c>
      <c r="D8719" s="330" t="s">
        <v>20190</v>
      </c>
      <c r="E8719" s="330" t="s">
        <v>4819</v>
      </c>
      <c r="F8719" s="331">
        <v>0.21</v>
      </c>
      <c r="G8719" s="332">
        <v>265</v>
      </c>
      <c r="H8719" s="333">
        <v>321</v>
      </c>
    </row>
    <row r="8720" spans="1:8">
      <c r="A8720" s="317" t="s">
        <v>41984</v>
      </c>
      <c r="B8720" s="330" t="s">
        <v>53076</v>
      </c>
      <c r="C8720" s="330" t="s">
        <v>20191</v>
      </c>
      <c r="D8720" s="330" t="s">
        <v>20192</v>
      </c>
      <c r="E8720" s="330" t="s">
        <v>4819</v>
      </c>
      <c r="F8720" s="331">
        <v>0.21</v>
      </c>
      <c r="G8720" s="332">
        <v>2185</v>
      </c>
      <c r="H8720" s="333">
        <v>2644</v>
      </c>
    </row>
    <row r="8721" spans="1:8">
      <c r="A8721" s="317" t="s">
        <v>41985</v>
      </c>
      <c r="B8721" s="330" t="s">
        <v>53077</v>
      </c>
      <c r="C8721" s="330" t="s">
        <v>20193</v>
      </c>
      <c r="D8721" s="330" t="s">
        <v>20194</v>
      </c>
      <c r="E8721" s="330" t="s">
        <v>4819</v>
      </c>
      <c r="F8721" s="331">
        <v>0.21</v>
      </c>
      <c r="G8721" s="332">
        <v>50401</v>
      </c>
      <c r="H8721" s="333">
        <v>60986</v>
      </c>
    </row>
    <row r="8722" spans="1:8">
      <c r="A8722" s="317" t="s">
        <v>41986</v>
      </c>
      <c r="B8722" s="330" t="s">
        <v>53078</v>
      </c>
      <c r="C8722" s="330" t="s">
        <v>20195</v>
      </c>
      <c r="D8722" s="330" t="s">
        <v>20196</v>
      </c>
      <c r="E8722" s="330" t="s">
        <v>4819</v>
      </c>
      <c r="F8722" s="331">
        <v>0.21</v>
      </c>
      <c r="G8722" s="332">
        <v>48610</v>
      </c>
      <c r="H8722" s="333">
        <v>58819</v>
      </c>
    </row>
    <row r="8723" spans="1:8">
      <c r="A8723" s="317" t="s">
        <v>41987</v>
      </c>
      <c r="B8723" s="330" t="s">
        <v>53079</v>
      </c>
      <c r="C8723" s="330" t="s">
        <v>20197</v>
      </c>
      <c r="D8723" s="330" t="s">
        <v>20198</v>
      </c>
      <c r="E8723" s="330" t="s">
        <v>4819</v>
      </c>
      <c r="F8723" s="331">
        <v>0.21</v>
      </c>
      <c r="G8723" s="332">
        <v>23733</v>
      </c>
      <c r="H8723" s="333">
        <v>28717</v>
      </c>
    </row>
    <row r="8724" spans="1:8">
      <c r="A8724" s="317" t="s">
        <v>41988</v>
      </c>
      <c r="B8724" s="330" t="s">
        <v>53080</v>
      </c>
      <c r="C8724" s="330" t="s">
        <v>20199</v>
      </c>
      <c r="D8724" s="330" t="s">
        <v>20200</v>
      </c>
      <c r="E8724" s="330" t="s">
        <v>4819</v>
      </c>
      <c r="F8724" s="331">
        <v>0.21</v>
      </c>
      <c r="G8724" s="332">
        <v>36211</v>
      </c>
      <c r="H8724" s="333">
        <v>43816</v>
      </c>
    </row>
    <row r="8725" spans="1:8">
      <c r="A8725" s="317" t="s">
        <v>41989</v>
      </c>
      <c r="B8725" s="330" t="s">
        <v>53081</v>
      </c>
      <c r="C8725" s="330" t="s">
        <v>20201</v>
      </c>
      <c r="D8725" s="330" t="s">
        <v>20174</v>
      </c>
      <c r="E8725" s="330" t="s">
        <v>4819</v>
      </c>
      <c r="F8725" s="331">
        <v>0.21</v>
      </c>
      <c r="G8725" s="332">
        <v>14707</v>
      </c>
      <c r="H8725" s="333">
        <v>17796</v>
      </c>
    </row>
    <row r="8726" spans="1:8">
      <c r="A8726" s="317" t="s">
        <v>41990</v>
      </c>
      <c r="B8726" s="330" t="s">
        <v>53082</v>
      </c>
      <c r="C8726" s="330" t="s">
        <v>20202</v>
      </c>
      <c r="D8726" s="330" t="s">
        <v>20170</v>
      </c>
      <c r="E8726" s="330" t="s">
        <v>4819</v>
      </c>
      <c r="F8726" s="331">
        <v>0.21</v>
      </c>
      <c r="G8726" s="332">
        <v>265</v>
      </c>
      <c r="H8726" s="333">
        <v>321</v>
      </c>
    </row>
    <row r="8727" spans="1:8">
      <c r="A8727" s="317" t="s">
        <v>41991</v>
      </c>
      <c r="B8727" s="330" t="s">
        <v>53083</v>
      </c>
      <c r="C8727" s="330" t="s">
        <v>20203</v>
      </c>
      <c r="D8727" s="330" t="s">
        <v>20204</v>
      </c>
      <c r="E8727" s="330" t="s">
        <v>4819</v>
      </c>
      <c r="F8727" s="331">
        <v>0.21</v>
      </c>
      <c r="G8727" s="332">
        <v>3263</v>
      </c>
      <c r="H8727" s="333">
        <v>3949</v>
      </c>
    </row>
    <row r="8728" spans="1:8">
      <c r="A8728" s="317" t="s">
        <v>41992</v>
      </c>
      <c r="B8728" s="330" t="s">
        <v>53084</v>
      </c>
      <c r="C8728" s="330" t="s">
        <v>20205</v>
      </c>
      <c r="D8728" s="330" t="s">
        <v>20188</v>
      </c>
      <c r="E8728" s="330" t="s">
        <v>4819</v>
      </c>
      <c r="F8728" s="331">
        <v>0.21</v>
      </c>
      <c r="G8728" s="332">
        <v>240</v>
      </c>
      <c r="H8728" s="333">
        <v>291</v>
      </c>
    </row>
    <row r="8729" spans="1:8">
      <c r="A8729" s="317" t="s">
        <v>41993</v>
      </c>
      <c r="B8729" s="330" t="s">
        <v>53085</v>
      </c>
      <c r="C8729" s="330" t="s">
        <v>20206</v>
      </c>
      <c r="D8729" s="330" t="s">
        <v>20168</v>
      </c>
      <c r="E8729" s="330" t="s">
        <v>4819</v>
      </c>
      <c r="F8729" s="331">
        <v>0.21</v>
      </c>
      <c r="G8729" s="332">
        <v>2185</v>
      </c>
      <c r="H8729" s="333">
        <v>2644</v>
      </c>
    </row>
    <row r="8730" spans="1:8">
      <c r="A8730" s="317" t="s">
        <v>41994</v>
      </c>
      <c r="B8730" s="330" t="s">
        <v>53086</v>
      </c>
      <c r="C8730" s="330" t="s">
        <v>20207</v>
      </c>
      <c r="D8730" s="330" t="s">
        <v>20185</v>
      </c>
      <c r="E8730" s="330" t="s">
        <v>4819</v>
      </c>
      <c r="F8730" s="331">
        <v>0.21</v>
      </c>
      <c r="G8730" s="332">
        <v>1126</v>
      </c>
      <c r="H8730" s="333">
        <v>1363</v>
      </c>
    </row>
    <row r="8731" spans="1:8">
      <c r="A8731" s="317" t="s">
        <v>41995</v>
      </c>
      <c r="B8731" s="330" t="s">
        <v>53087</v>
      </c>
      <c r="C8731" s="330" t="s">
        <v>20208</v>
      </c>
      <c r="D8731" s="330" t="s">
        <v>20209</v>
      </c>
      <c r="E8731" s="330" t="s">
        <v>4819</v>
      </c>
      <c r="F8731" s="331">
        <v>0.21</v>
      </c>
      <c r="G8731" s="332">
        <v>16221</v>
      </c>
      <c r="H8731" s="333">
        <v>19628</v>
      </c>
    </row>
    <row r="8732" spans="1:8">
      <c r="A8732" s="317" t="s">
        <v>41996</v>
      </c>
      <c r="B8732" s="330" t="s">
        <v>53088</v>
      </c>
      <c r="C8732" s="330" t="s">
        <v>20210</v>
      </c>
      <c r="D8732" s="330" t="s">
        <v>20211</v>
      </c>
      <c r="E8732" s="330" t="s">
        <v>4819</v>
      </c>
      <c r="F8732" s="331">
        <v>0.21</v>
      </c>
      <c r="G8732" s="332">
        <v>265</v>
      </c>
      <c r="H8732" s="333">
        <v>321</v>
      </c>
    </row>
    <row r="8733" spans="1:8">
      <c r="A8733" s="317" t="s">
        <v>41997</v>
      </c>
      <c r="B8733" s="330" t="s">
        <v>53089</v>
      </c>
      <c r="C8733" s="330" t="s">
        <v>20212</v>
      </c>
      <c r="D8733" s="330" t="s">
        <v>20213</v>
      </c>
      <c r="E8733" s="330" t="s">
        <v>4819</v>
      </c>
      <c r="F8733" s="331">
        <v>0.21</v>
      </c>
      <c r="G8733" s="332">
        <v>814</v>
      </c>
      <c r="H8733" s="333">
        <v>985</v>
      </c>
    </row>
    <row r="8734" spans="1:8">
      <c r="A8734" s="317" t="s">
        <v>41998</v>
      </c>
      <c r="B8734" s="330" t="s">
        <v>53090</v>
      </c>
      <c r="C8734" s="330" t="s">
        <v>20214</v>
      </c>
      <c r="D8734" s="330" t="s">
        <v>20215</v>
      </c>
      <c r="E8734" s="330" t="s">
        <v>4819</v>
      </c>
      <c r="F8734" s="331">
        <v>0.21</v>
      </c>
      <c r="G8734" s="332">
        <v>9864</v>
      </c>
      <c r="H8734" s="333">
        <v>11936</v>
      </c>
    </row>
    <row r="8735" spans="1:8">
      <c r="A8735" s="317" t="s">
        <v>41999</v>
      </c>
      <c r="B8735" s="330" t="s">
        <v>53091</v>
      </c>
      <c r="C8735" s="330" t="s">
        <v>20216</v>
      </c>
      <c r="D8735" s="330" t="s">
        <v>20217</v>
      </c>
      <c r="E8735" s="330" t="s">
        <v>4819</v>
      </c>
      <c r="F8735" s="331">
        <v>0.21</v>
      </c>
      <c r="G8735" s="332">
        <v>243</v>
      </c>
      <c r="H8735" s="333">
        <v>295</v>
      </c>
    </row>
    <row r="8736" spans="1:8">
      <c r="A8736" s="317" t="s">
        <v>42000</v>
      </c>
      <c r="B8736" s="330" t="s">
        <v>53092</v>
      </c>
      <c r="C8736" s="330" t="s">
        <v>20218</v>
      </c>
      <c r="D8736" s="330" t="s">
        <v>20219</v>
      </c>
      <c r="E8736" s="330" t="s">
        <v>4819</v>
      </c>
      <c r="F8736" s="331">
        <v>0.21</v>
      </c>
      <c r="G8736" s="332">
        <v>397</v>
      </c>
      <c r="H8736" s="333">
        <v>481</v>
      </c>
    </row>
    <row r="8737" spans="1:8">
      <c r="A8737" s="317" t="s">
        <v>42001</v>
      </c>
      <c r="B8737" s="330" t="s">
        <v>53093</v>
      </c>
      <c r="C8737" s="330" t="s">
        <v>20220</v>
      </c>
      <c r="D8737" s="330" t="s">
        <v>20168</v>
      </c>
      <c r="E8737" s="330" t="s">
        <v>4819</v>
      </c>
      <c r="F8737" s="331">
        <v>0.21</v>
      </c>
      <c r="G8737" s="332">
        <v>532</v>
      </c>
      <c r="H8737" s="333">
        <v>644</v>
      </c>
    </row>
    <row r="8738" spans="1:8">
      <c r="A8738" s="317" t="s">
        <v>42002</v>
      </c>
      <c r="B8738" s="330" t="s">
        <v>53094</v>
      </c>
      <c r="C8738" s="330" t="s">
        <v>20221</v>
      </c>
      <c r="D8738" s="330" t="s">
        <v>20222</v>
      </c>
      <c r="E8738" s="330" t="s">
        <v>4819</v>
      </c>
      <c r="F8738" s="331">
        <v>0.21</v>
      </c>
      <c r="G8738" s="332">
        <v>653</v>
      </c>
      <c r="H8738" s="333">
        <v>791</v>
      </c>
    </row>
    <row r="8739" spans="1:8">
      <c r="A8739" s="317" t="s">
        <v>42003</v>
      </c>
      <c r="B8739" s="330" t="s">
        <v>53095</v>
      </c>
      <c r="C8739" s="330" t="s">
        <v>20223</v>
      </c>
      <c r="D8739" s="330" t="s">
        <v>20168</v>
      </c>
      <c r="E8739" s="330" t="s">
        <v>4819</v>
      </c>
      <c r="F8739" s="331">
        <v>0.21</v>
      </c>
      <c r="G8739" s="332">
        <v>2185</v>
      </c>
      <c r="H8739" s="333">
        <v>2644</v>
      </c>
    </row>
    <row r="8740" spans="1:8">
      <c r="A8740" s="317" t="s">
        <v>42004</v>
      </c>
      <c r="B8740" s="330" t="s">
        <v>53096</v>
      </c>
      <c r="C8740" s="330" t="s">
        <v>20224</v>
      </c>
      <c r="D8740" s="330" t="s">
        <v>20225</v>
      </c>
      <c r="E8740" s="330" t="s">
        <v>4819</v>
      </c>
      <c r="F8740" s="331">
        <v>0.21</v>
      </c>
      <c r="G8740" s="332">
        <v>1641</v>
      </c>
      <c r="H8740" s="333">
        <v>1986</v>
      </c>
    </row>
    <row r="8741" spans="1:8">
      <c r="A8741" s="317" t="s">
        <v>42005</v>
      </c>
      <c r="B8741" s="330" t="s">
        <v>53097</v>
      </c>
      <c r="C8741" s="330" t="s">
        <v>20226</v>
      </c>
      <c r="D8741" s="330" t="s">
        <v>20172</v>
      </c>
      <c r="E8741" s="330" t="s">
        <v>4819</v>
      </c>
      <c r="F8741" s="331">
        <v>0.21</v>
      </c>
      <c r="G8741" s="332">
        <v>4593</v>
      </c>
      <c r="H8741" s="333">
        <v>5558</v>
      </c>
    </row>
    <row r="8742" spans="1:8">
      <c r="A8742" s="317" t="s">
        <v>42006</v>
      </c>
      <c r="B8742" s="330" t="s">
        <v>53098</v>
      </c>
      <c r="C8742" s="330" t="s">
        <v>20227</v>
      </c>
      <c r="D8742" s="330" t="s">
        <v>20170</v>
      </c>
      <c r="E8742" s="330" t="s">
        <v>4819</v>
      </c>
      <c r="F8742" s="331">
        <v>0.21</v>
      </c>
      <c r="G8742" s="332">
        <v>265</v>
      </c>
      <c r="H8742" s="333">
        <v>321</v>
      </c>
    </row>
    <row r="8743" spans="1:8">
      <c r="A8743" s="317" t="s">
        <v>42007</v>
      </c>
      <c r="B8743" s="330" t="s">
        <v>53099</v>
      </c>
      <c r="C8743" s="330" t="s">
        <v>20228</v>
      </c>
      <c r="D8743" s="330" t="s">
        <v>20229</v>
      </c>
      <c r="E8743" s="330" t="s">
        <v>4819</v>
      </c>
      <c r="F8743" s="331">
        <v>0.21</v>
      </c>
      <c r="G8743" s="332">
        <v>4407</v>
      </c>
      <c r="H8743" s="333">
        <v>5333</v>
      </c>
    </row>
    <row r="8744" spans="1:8">
      <c r="A8744" s="317" t="s">
        <v>42008</v>
      </c>
      <c r="B8744" s="330" t="s">
        <v>53100</v>
      </c>
      <c r="C8744" s="330" t="s">
        <v>20230</v>
      </c>
      <c r="D8744" s="330" t="s">
        <v>20172</v>
      </c>
      <c r="E8744" s="330" t="s">
        <v>4819</v>
      </c>
      <c r="F8744" s="331">
        <v>0.21</v>
      </c>
      <c r="G8744" s="332">
        <v>5278</v>
      </c>
      <c r="H8744" s="333">
        <v>6387</v>
      </c>
    </row>
    <row r="8745" spans="1:8">
      <c r="A8745" s="317" t="s">
        <v>42009</v>
      </c>
      <c r="B8745" s="330" t="s">
        <v>53101</v>
      </c>
      <c r="C8745" s="330" t="s">
        <v>20231</v>
      </c>
      <c r="D8745" s="330" t="s">
        <v>20170</v>
      </c>
      <c r="E8745" s="330" t="s">
        <v>4819</v>
      </c>
      <c r="F8745" s="331">
        <v>0.21</v>
      </c>
      <c r="G8745" s="332">
        <v>265</v>
      </c>
      <c r="H8745" s="333">
        <v>321</v>
      </c>
    </row>
    <row r="8746" spans="1:8">
      <c r="A8746" s="317" t="s">
        <v>42010</v>
      </c>
      <c r="B8746" s="330" t="s">
        <v>53102</v>
      </c>
      <c r="C8746" s="330" t="s">
        <v>20232</v>
      </c>
      <c r="D8746" s="330" t="s">
        <v>20233</v>
      </c>
      <c r="E8746" s="330" t="s">
        <v>4819</v>
      </c>
      <c r="F8746" s="331">
        <v>0.21</v>
      </c>
      <c r="G8746" s="332">
        <v>417</v>
      </c>
      <c r="H8746" s="333">
        <v>505</v>
      </c>
    </row>
    <row r="8747" spans="1:8">
      <c r="A8747" s="317" t="s">
        <v>42011</v>
      </c>
      <c r="B8747" s="330" t="s">
        <v>53103</v>
      </c>
      <c r="C8747" s="330" t="s">
        <v>20234</v>
      </c>
      <c r="D8747" s="330" t="s">
        <v>20235</v>
      </c>
      <c r="E8747" s="330" t="s">
        <v>4819</v>
      </c>
      <c r="F8747" s="331">
        <v>0.21</v>
      </c>
      <c r="G8747" s="332">
        <v>1704</v>
      </c>
      <c r="H8747" s="333">
        <v>2062</v>
      </c>
    </row>
    <row r="8748" spans="1:8">
      <c r="A8748" s="317" t="s">
        <v>42012</v>
      </c>
      <c r="B8748" s="330" t="s">
        <v>53104</v>
      </c>
      <c r="C8748" s="330" t="s">
        <v>20236</v>
      </c>
      <c r="D8748" s="330" t="s">
        <v>20237</v>
      </c>
      <c r="E8748" s="330" t="s">
        <v>4819</v>
      </c>
      <c r="F8748" s="331">
        <v>0.21</v>
      </c>
      <c r="G8748" s="332">
        <v>8581</v>
      </c>
      <c r="H8748" s="333">
        <v>10384</v>
      </c>
    </row>
    <row r="8749" spans="1:8">
      <c r="A8749" s="317" t="s">
        <v>42013</v>
      </c>
      <c r="B8749" s="330" t="s">
        <v>53105</v>
      </c>
      <c r="C8749" s="330" t="s">
        <v>20238</v>
      </c>
      <c r="D8749" s="330" t="s">
        <v>20188</v>
      </c>
      <c r="E8749" s="330" t="s">
        <v>4819</v>
      </c>
      <c r="F8749" s="331">
        <v>0.21</v>
      </c>
      <c r="G8749" s="332">
        <v>2185</v>
      </c>
      <c r="H8749" s="333">
        <v>2644</v>
      </c>
    </row>
    <row r="8750" spans="1:8">
      <c r="A8750" s="317" t="s">
        <v>42014</v>
      </c>
      <c r="B8750" s="330" t="s">
        <v>53106</v>
      </c>
      <c r="C8750" s="330" t="s">
        <v>20239</v>
      </c>
      <c r="D8750" s="330" t="s">
        <v>20240</v>
      </c>
      <c r="E8750" s="330" t="s">
        <v>4819</v>
      </c>
      <c r="F8750" s="331">
        <v>0.21</v>
      </c>
      <c r="G8750" s="332">
        <v>4332</v>
      </c>
      <c r="H8750" s="333">
        <v>5242</v>
      </c>
    </row>
    <row r="8751" spans="1:8">
      <c r="A8751" s="317" t="s">
        <v>42015</v>
      </c>
      <c r="B8751" s="330" t="s">
        <v>53107</v>
      </c>
      <c r="C8751" s="330" t="s">
        <v>20241</v>
      </c>
      <c r="D8751" s="330" t="s">
        <v>20242</v>
      </c>
      <c r="E8751" s="330" t="s">
        <v>4819</v>
      </c>
      <c r="F8751" s="331">
        <v>0.21</v>
      </c>
      <c r="G8751" s="332">
        <v>1856</v>
      </c>
      <c r="H8751" s="333">
        <v>2246</v>
      </c>
    </row>
    <row r="8752" spans="1:8">
      <c r="A8752" s="317" t="s">
        <v>42016</v>
      </c>
      <c r="B8752" s="330" t="s">
        <v>53108</v>
      </c>
      <c r="C8752" s="330" t="s">
        <v>20243</v>
      </c>
      <c r="D8752" s="330" t="s">
        <v>20240</v>
      </c>
      <c r="E8752" s="330" t="s">
        <v>4819</v>
      </c>
      <c r="F8752" s="331">
        <v>0.21</v>
      </c>
      <c r="G8752" s="332">
        <v>7202</v>
      </c>
      <c r="H8752" s="333">
        <v>8715</v>
      </c>
    </row>
    <row r="8753" spans="1:8">
      <c r="A8753" s="317" t="s">
        <v>42017</v>
      </c>
      <c r="B8753" s="330" t="s">
        <v>53109</v>
      </c>
      <c r="C8753" s="330" t="s">
        <v>20244</v>
      </c>
      <c r="D8753" s="330" t="s">
        <v>20170</v>
      </c>
      <c r="E8753" s="330" t="s">
        <v>4819</v>
      </c>
      <c r="F8753" s="331">
        <v>0.21</v>
      </c>
      <c r="G8753" s="332">
        <v>265</v>
      </c>
      <c r="H8753" s="333">
        <v>321</v>
      </c>
    </row>
    <row r="8754" spans="1:8">
      <c r="A8754" s="317" t="s">
        <v>42018</v>
      </c>
      <c r="B8754" s="330" t="s">
        <v>53110</v>
      </c>
      <c r="C8754" s="330" t="s">
        <v>20245</v>
      </c>
      <c r="D8754" s="330" t="s">
        <v>20190</v>
      </c>
      <c r="E8754" s="330" t="s">
        <v>4819</v>
      </c>
      <c r="F8754" s="331">
        <v>0.21</v>
      </c>
      <c r="G8754" s="332">
        <v>265</v>
      </c>
      <c r="H8754" s="333">
        <v>321</v>
      </c>
    </row>
    <row r="8755" spans="1:8">
      <c r="A8755" s="317" t="s">
        <v>42019</v>
      </c>
      <c r="B8755" s="330" t="s">
        <v>53111</v>
      </c>
      <c r="C8755" s="330" t="s">
        <v>20246</v>
      </c>
      <c r="D8755" s="330" t="s">
        <v>20174</v>
      </c>
      <c r="E8755" s="330" t="s">
        <v>4819</v>
      </c>
      <c r="F8755" s="331">
        <v>0.21</v>
      </c>
      <c r="G8755" s="332">
        <v>32125</v>
      </c>
      <c r="H8755" s="333">
        <v>38872</v>
      </c>
    </row>
    <row r="8756" spans="1:8">
      <c r="A8756" s="317" t="s">
        <v>42020</v>
      </c>
      <c r="B8756" s="330" t="s">
        <v>53112</v>
      </c>
      <c r="C8756" s="330" t="s">
        <v>20247</v>
      </c>
      <c r="D8756" s="330" t="s">
        <v>20168</v>
      </c>
      <c r="E8756" s="330" t="s">
        <v>4819</v>
      </c>
      <c r="F8756" s="331">
        <v>0.21</v>
      </c>
      <c r="G8756" s="332">
        <v>23733</v>
      </c>
      <c r="H8756" s="333">
        <v>28717</v>
      </c>
    </row>
    <row r="8757" spans="1:8">
      <c r="A8757" s="317" t="s">
        <v>42021</v>
      </c>
      <c r="B8757" s="330" t="s">
        <v>53113</v>
      </c>
      <c r="C8757" s="330" t="s">
        <v>20248</v>
      </c>
      <c r="D8757" s="330" t="s">
        <v>20168</v>
      </c>
      <c r="E8757" s="330" t="s">
        <v>4819</v>
      </c>
      <c r="F8757" s="331">
        <v>0.21</v>
      </c>
      <c r="G8757" s="332">
        <v>3205</v>
      </c>
      <c r="H8757" s="333">
        <v>3879</v>
      </c>
    </row>
    <row r="8758" spans="1:8">
      <c r="A8758" s="317" t="s">
        <v>42022</v>
      </c>
      <c r="B8758" s="330" t="s">
        <v>53114</v>
      </c>
      <c r="C8758" s="330" t="s">
        <v>20249</v>
      </c>
      <c r="D8758" s="330" t="s">
        <v>20250</v>
      </c>
      <c r="E8758" s="330" t="s">
        <v>4819</v>
      </c>
      <c r="F8758" s="331">
        <v>0.21</v>
      </c>
      <c r="G8758" s="332">
        <v>10444</v>
      </c>
      <c r="H8758" s="333">
        <v>12638</v>
      </c>
    </row>
    <row r="8759" spans="1:8">
      <c r="A8759" s="317" t="s">
        <v>42023</v>
      </c>
      <c r="B8759" s="330" t="s">
        <v>53115</v>
      </c>
      <c r="C8759" s="330" t="s">
        <v>20251</v>
      </c>
      <c r="D8759" s="330" t="s">
        <v>20252</v>
      </c>
      <c r="E8759" s="330" t="s">
        <v>4819</v>
      </c>
      <c r="F8759" s="331">
        <v>0.21</v>
      </c>
      <c r="G8759" s="332">
        <v>31324</v>
      </c>
      <c r="H8759" s="333">
        <v>37903</v>
      </c>
    </row>
    <row r="8760" spans="1:8">
      <c r="A8760" s="317" t="s">
        <v>42024</v>
      </c>
      <c r="B8760" s="330" t="s">
        <v>53116</v>
      </c>
      <c r="C8760" s="330" t="s">
        <v>20253</v>
      </c>
      <c r="D8760" s="330" t="s">
        <v>20166</v>
      </c>
      <c r="E8760" s="330" t="s">
        <v>4819</v>
      </c>
      <c r="F8760" s="331">
        <v>0.21</v>
      </c>
      <c r="G8760" s="332">
        <v>16076</v>
      </c>
      <c r="H8760" s="333">
        <v>19452</v>
      </c>
    </row>
    <row r="8761" spans="1:8">
      <c r="A8761" s="317" t="s">
        <v>42025</v>
      </c>
      <c r="B8761" s="330" t="s">
        <v>53117</v>
      </c>
      <c r="C8761" s="330" t="s">
        <v>20254</v>
      </c>
      <c r="D8761" s="330" t="s">
        <v>9487</v>
      </c>
      <c r="E8761" s="330" t="s">
        <v>4819</v>
      </c>
      <c r="F8761" s="331">
        <v>0.21</v>
      </c>
      <c r="G8761" s="332">
        <v>38213</v>
      </c>
      <c r="H8761" s="333">
        <v>46238</v>
      </c>
    </row>
    <row r="8762" spans="1:8">
      <c r="A8762" s="317" t="s">
        <v>42026</v>
      </c>
      <c r="B8762" s="330" t="s">
        <v>53118</v>
      </c>
      <c r="C8762" s="330" t="s">
        <v>20255</v>
      </c>
      <c r="D8762" s="330" t="s">
        <v>20256</v>
      </c>
      <c r="E8762" s="330" t="s">
        <v>4819</v>
      </c>
      <c r="F8762" s="331">
        <v>0.21</v>
      </c>
      <c r="G8762" s="332">
        <v>43508</v>
      </c>
      <c r="H8762" s="333">
        <v>52645</v>
      </c>
    </row>
    <row r="8763" spans="1:8">
      <c r="A8763" s="317" t="s">
        <v>42027</v>
      </c>
      <c r="B8763" s="330" t="s">
        <v>53119</v>
      </c>
      <c r="C8763" s="330" t="s">
        <v>20257</v>
      </c>
      <c r="D8763" s="330" t="s">
        <v>20258</v>
      </c>
      <c r="E8763" s="330" t="s">
        <v>37248</v>
      </c>
      <c r="F8763" s="331">
        <v>0.21</v>
      </c>
      <c r="G8763" s="332">
        <v>23300</v>
      </c>
      <c r="H8763" s="333">
        <v>28193</v>
      </c>
    </row>
    <row r="8764" spans="1:8">
      <c r="A8764" s="317" t="s">
        <v>42028</v>
      </c>
      <c r="B8764" s="330" t="s">
        <v>53120</v>
      </c>
      <c r="C8764" s="330" t="s">
        <v>20259</v>
      </c>
      <c r="D8764" s="330" t="s">
        <v>20260</v>
      </c>
      <c r="E8764" s="330" t="s">
        <v>4819</v>
      </c>
      <c r="F8764" s="331">
        <v>0.21</v>
      </c>
      <c r="G8764" s="332">
        <v>2094</v>
      </c>
      <c r="H8764" s="333">
        <v>2534</v>
      </c>
    </row>
    <row r="8765" spans="1:8">
      <c r="A8765" s="317" t="s">
        <v>42029</v>
      </c>
      <c r="B8765" s="330" t="s">
        <v>53121</v>
      </c>
      <c r="C8765" s="330" t="s">
        <v>20261</v>
      </c>
      <c r="D8765" s="330" t="s">
        <v>20262</v>
      </c>
      <c r="E8765" s="330" t="s">
        <v>4819</v>
      </c>
      <c r="F8765" s="331">
        <v>0.21</v>
      </c>
      <c r="G8765" s="332">
        <v>4427</v>
      </c>
      <c r="H8765" s="333">
        <v>5357</v>
      </c>
    </row>
    <row r="8766" spans="1:8">
      <c r="A8766" s="317" t="s">
        <v>42030</v>
      </c>
      <c r="B8766" s="330" t="s">
        <v>53122</v>
      </c>
      <c r="C8766" s="330" t="s">
        <v>20263</v>
      </c>
      <c r="D8766" s="330" t="s">
        <v>20262</v>
      </c>
      <c r="E8766" s="330" t="s">
        <v>4819</v>
      </c>
      <c r="F8766" s="331">
        <v>0.21</v>
      </c>
      <c r="G8766" s="332">
        <v>4925</v>
      </c>
      <c r="H8766" s="333">
        <v>5960</v>
      </c>
    </row>
    <row r="8767" spans="1:8">
      <c r="A8767" s="317" t="s">
        <v>42031</v>
      </c>
      <c r="B8767" s="330" t="s">
        <v>53123</v>
      </c>
      <c r="C8767" s="330" t="s">
        <v>20264</v>
      </c>
      <c r="D8767" s="330" t="s">
        <v>20265</v>
      </c>
      <c r="E8767" s="330" t="s">
        <v>4819</v>
      </c>
      <c r="F8767" s="331">
        <v>0.21</v>
      </c>
      <c r="G8767" s="332">
        <v>3366</v>
      </c>
      <c r="H8767" s="333">
        <v>4073</v>
      </c>
    </row>
    <row r="8768" spans="1:8">
      <c r="A8768" s="317" t="s">
        <v>42032</v>
      </c>
      <c r="B8768" s="330" t="s">
        <v>53124</v>
      </c>
      <c r="C8768" s="330" t="s">
        <v>20266</v>
      </c>
      <c r="D8768" s="330" t="s">
        <v>20267</v>
      </c>
      <c r="E8768" s="330" t="s">
        <v>4819</v>
      </c>
      <c r="F8768" s="331">
        <v>0.21</v>
      </c>
      <c r="G8768" s="332">
        <v>2094</v>
      </c>
      <c r="H8768" s="333">
        <v>2534</v>
      </c>
    </row>
    <row r="8769" spans="1:8">
      <c r="A8769" s="317" t="s">
        <v>42033</v>
      </c>
      <c r="B8769" s="330" t="s">
        <v>53125</v>
      </c>
      <c r="C8769" s="330" t="s">
        <v>20268</v>
      </c>
      <c r="D8769" s="330" t="s">
        <v>20269</v>
      </c>
      <c r="E8769" s="330" t="s">
        <v>4819</v>
      </c>
      <c r="F8769" s="331">
        <v>0.21</v>
      </c>
      <c r="G8769" s="332">
        <v>2094</v>
      </c>
      <c r="H8769" s="333">
        <v>2534</v>
      </c>
    </row>
    <row r="8770" spans="1:8">
      <c r="A8770" s="317" t="s">
        <v>42034</v>
      </c>
      <c r="B8770" s="330" t="s">
        <v>53126</v>
      </c>
      <c r="C8770" s="330" t="s">
        <v>20270</v>
      </c>
      <c r="D8770" s="330" t="s">
        <v>20271</v>
      </c>
      <c r="E8770" s="330" t="s">
        <v>4819</v>
      </c>
      <c r="F8770" s="331">
        <v>0.21</v>
      </c>
      <c r="G8770" s="332">
        <v>11267</v>
      </c>
      <c r="H8770" s="333">
        <v>13634</v>
      </c>
    </row>
    <row r="8771" spans="1:8">
      <c r="A8771" s="317" t="s">
        <v>42035</v>
      </c>
      <c r="B8771" s="330" t="s">
        <v>53127</v>
      </c>
      <c r="C8771" s="330" t="s">
        <v>20272</v>
      </c>
      <c r="D8771" s="330" t="s">
        <v>20273</v>
      </c>
      <c r="E8771" s="330" t="s">
        <v>4819</v>
      </c>
      <c r="F8771" s="331">
        <v>0.21</v>
      </c>
      <c r="G8771" s="332">
        <v>2094</v>
      </c>
      <c r="H8771" s="333">
        <v>2534</v>
      </c>
    </row>
    <row r="8772" spans="1:8">
      <c r="A8772" s="317" t="s">
        <v>42036</v>
      </c>
      <c r="B8772" s="330" t="s">
        <v>53128</v>
      </c>
      <c r="C8772" s="330" t="s">
        <v>20274</v>
      </c>
      <c r="D8772" s="330" t="s">
        <v>20275</v>
      </c>
      <c r="E8772" s="330" t="s">
        <v>4819</v>
      </c>
      <c r="F8772" s="331">
        <v>0.21</v>
      </c>
      <c r="G8772" s="332">
        <v>2094</v>
      </c>
      <c r="H8772" s="333">
        <v>2534</v>
      </c>
    </row>
    <row r="8773" spans="1:8">
      <c r="A8773" s="317" t="s">
        <v>42037</v>
      </c>
      <c r="B8773" s="330" t="s">
        <v>53129</v>
      </c>
      <c r="C8773" s="330" t="s">
        <v>20276</v>
      </c>
      <c r="D8773" s="330" t="s">
        <v>20277</v>
      </c>
      <c r="E8773" s="330" t="s">
        <v>4819</v>
      </c>
      <c r="F8773" s="331">
        <v>0.21</v>
      </c>
      <c r="G8773" s="332">
        <v>4427</v>
      </c>
      <c r="H8773" s="333">
        <v>5357</v>
      </c>
    </row>
    <row r="8774" spans="1:8">
      <c r="A8774" s="317" t="s">
        <v>42038</v>
      </c>
      <c r="B8774" s="330" t="s">
        <v>53130</v>
      </c>
      <c r="C8774" s="330" t="s">
        <v>20278</v>
      </c>
      <c r="D8774" s="330" t="s">
        <v>20279</v>
      </c>
      <c r="E8774" s="330" t="s">
        <v>4819</v>
      </c>
      <c r="F8774" s="331">
        <v>0.21</v>
      </c>
      <c r="G8774" s="332">
        <v>3366</v>
      </c>
      <c r="H8774" s="333">
        <v>4073</v>
      </c>
    </row>
    <row r="8775" spans="1:8">
      <c r="A8775" s="317" t="s">
        <v>42039</v>
      </c>
      <c r="B8775" s="330" t="s">
        <v>53131</v>
      </c>
      <c r="C8775" s="330" t="s">
        <v>20280</v>
      </c>
      <c r="D8775" s="330" t="s">
        <v>20281</v>
      </c>
      <c r="E8775" s="330" t="s">
        <v>4819</v>
      </c>
      <c r="F8775" s="331">
        <v>0.21</v>
      </c>
      <c r="G8775" s="332">
        <v>14600</v>
      </c>
      <c r="H8775" s="333">
        <v>17666</v>
      </c>
    </row>
    <row r="8776" spans="1:8">
      <c r="A8776" s="317" t="s">
        <v>42040</v>
      </c>
      <c r="B8776" s="330" t="s">
        <v>53132</v>
      </c>
      <c r="C8776" s="330" t="s">
        <v>20282</v>
      </c>
      <c r="D8776" s="330" t="s">
        <v>20283</v>
      </c>
      <c r="E8776" s="330" t="s">
        <v>4819</v>
      </c>
      <c r="F8776" s="331">
        <v>0.21</v>
      </c>
      <c r="G8776" s="332">
        <v>2094</v>
      </c>
      <c r="H8776" s="333">
        <v>2534</v>
      </c>
    </row>
    <row r="8777" spans="1:8">
      <c r="A8777" s="317" t="s">
        <v>42041</v>
      </c>
      <c r="B8777" s="330" t="s">
        <v>53133</v>
      </c>
      <c r="C8777" s="330" t="s">
        <v>20284</v>
      </c>
      <c r="D8777" s="330" t="s">
        <v>20285</v>
      </c>
      <c r="E8777" s="330" t="s">
        <v>4819</v>
      </c>
      <c r="F8777" s="331">
        <v>0.21</v>
      </c>
      <c r="G8777" s="332">
        <v>3366</v>
      </c>
      <c r="H8777" s="333">
        <v>4073</v>
      </c>
    </row>
    <row r="8778" spans="1:8">
      <c r="A8778" s="317" t="s">
        <v>42042</v>
      </c>
      <c r="B8778" s="330" t="s">
        <v>53134</v>
      </c>
      <c r="C8778" s="330" t="s">
        <v>20286</v>
      </c>
      <c r="D8778" s="330" t="s">
        <v>20279</v>
      </c>
      <c r="E8778" s="330" t="s">
        <v>4819</v>
      </c>
      <c r="F8778" s="331">
        <v>0.21</v>
      </c>
      <c r="G8778" s="332">
        <v>2094</v>
      </c>
      <c r="H8778" s="333">
        <v>2534</v>
      </c>
    </row>
    <row r="8779" spans="1:8">
      <c r="A8779" s="317" t="s">
        <v>42043</v>
      </c>
      <c r="B8779" s="330" t="s">
        <v>53135</v>
      </c>
      <c r="C8779" s="330" t="s">
        <v>20287</v>
      </c>
      <c r="D8779" s="330" t="s">
        <v>20288</v>
      </c>
      <c r="E8779" s="330" t="s">
        <v>4819</v>
      </c>
      <c r="F8779" s="331">
        <v>0.21</v>
      </c>
      <c r="G8779" s="332">
        <v>23300</v>
      </c>
      <c r="H8779" s="333">
        <v>28193</v>
      </c>
    </row>
    <row r="8780" spans="1:8">
      <c r="A8780" s="317" t="s">
        <v>42044</v>
      </c>
      <c r="B8780" s="330" t="s">
        <v>53136</v>
      </c>
      <c r="C8780" s="330" t="s">
        <v>20289</v>
      </c>
      <c r="D8780" s="330" t="s">
        <v>20290</v>
      </c>
      <c r="E8780" s="330" t="s">
        <v>4819</v>
      </c>
      <c r="F8780" s="331">
        <v>0.21</v>
      </c>
      <c r="G8780" s="332">
        <v>2094</v>
      </c>
      <c r="H8780" s="333">
        <v>2534</v>
      </c>
    </row>
    <row r="8781" spans="1:8">
      <c r="A8781" s="317" t="s">
        <v>42045</v>
      </c>
      <c r="B8781" s="330" t="s">
        <v>53137</v>
      </c>
      <c r="C8781" s="330" t="s">
        <v>20291</v>
      </c>
      <c r="D8781" s="330" t="s">
        <v>20265</v>
      </c>
      <c r="E8781" s="330" t="s">
        <v>4819</v>
      </c>
      <c r="F8781" s="331">
        <v>0.21</v>
      </c>
      <c r="G8781" s="332">
        <v>2094</v>
      </c>
      <c r="H8781" s="333">
        <v>2534</v>
      </c>
    </row>
    <row r="8782" spans="1:8">
      <c r="A8782" s="317" t="s">
        <v>42046</v>
      </c>
      <c r="B8782" s="330" t="s">
        <v>53138</v>
      </c>
      <c r="C8782" s="330" t="s">
        <v>20292</v>
      </c>
      <c r="D8782" s="330" t="s">
        <v>20265</v>
      </c>
      <c r="E8782" s="330" t="s">
        <v>4819</v>
      </c>
      <c r="F8782" s="331">
        <v>0.21</v>
      </c>
      <c r="G8782" s="332">
        <v>2094</v>
      </c>
      <c r="H8782" s="333">
        <v>2534</v>
      </c>
    </row>
    <row r="8783" spans="1:8">
      <c r="A8783" s="317" t="s">
        <v>42047</v>
      </c>
      <c r="B8783" s="330" t="s">
        <v>53139</v>
      </c>
      <c r="C8783" s="330" t="s">
        <v>20293</v>
      </c>
      <c r="D8783" s="330" t="s">
        <v>20294</v>
      </c>
      <c r="E8783" s="330" t="s">
        <v>4819</v>
      </c>
      <c r="F8783" s="331">
        <v>0.21</v>
      </c>
      <c r="G8783" s="332">
        <v>17014</v>
      </c>
      <c r="H8783" s="333">
        <v>20587</v>
      </c>
    </row>
    <row r="8784" spans="1:8">
      <c r="A8784" s="317" t="s">
        <v>42048</v>
      </c>
      <c r="B8784" s="330" t="s">
        <v>53140</v>
      </c>
      <c r="C8784" s="330" t="s">
        <v>20295</v>
      </c>
      <c r="D8784" s="330" t="s">
        <v>20296</v>
      </c>
      <c r="E8784" s="330" t="s">
        <v>4819</v>
      </c>
      <c r="F8784" s="331">
        <v>0.21</v>
      </c>
      <c r="G8784" s="332">
        <v>11267</v>
      </c>
      <c r="H8784" s="333">
        <v>13634</v>
      </c>
    </row>
    <row r="8785" spans="1:8">
      <c r="A8785" s="317" t="s">
        <v>42049</v>
      </c>
      <c r="B8785" s="330" t="s">
        <v>53141</v>
      </c>
      <c r="C8785" s="330" t="s">
        <v>20297</v>
      </c>
      <c r="D8785" s="330" t="s">
        <v>20298</v>
      </c>
      <c r="E8785" s="330" t="s">
        <v>4819</v>
      </c>
      <c r="F8785" s="331">
        <v>0.21</v>
      </c>
      <c r="G8785" s="332">
        <v>106488</v>
      </c>
      <c r="H8785" s="333">
        <v>128851</v>
      </c>
    </row>
    <row r="8786" spans="1:8">
      <c r="A8786" s="317" t="s">
        <v>42050</v>
      </c>
      <c r="B8786" s="330" t="s">
        <v>53142</v>
      </c>
      <c r="C8786" s="330" t="s">
        <v>20299</v>
      </c>
      <c r="D8786" s="330" t="s">
        <v>20300</v>
      </c>
      <c r="E8786" s="330" t="s">
        <v>37248</v>
      </c>
      <c r="F8786" s="331">
        <v>0.21</v>
      </c>
      <c r="G8786" s="332">
        <v>8253</v>
      </c>
      <c r="H8786" s="333">
        <v>9987</v>
      </c>
    </row>
    <row r="8787" spans="1:8">
      <c r="A8787" s="317" t="s">
        <v>42051</v>
      </c>
      <c r="B8787" s="330" t="s">
        <v>53143</v>
      </c>
      <c r="C8787" s="330" t="s">
        <v>20301</v>
      </c>
      <c r="D8787" s="330" t="s">
        <v>20302</v>
      </c>
      <c r="E8787" s="330" t="s">
        <v>4819</v>
      </c>
      <c r="F8787" s="331">
        <v>0.21</v>
      </c>
      <c r="G8787" s="332">
        <v>44816</v>
      </c>
      <c r="H8787" s="333">
        <v>54228</v>
      </c>
    </row>
    <row r="8788" spans="1:8">
      <c r="A8788" s="317" t="s">
        <v>42052</v>
      </c>
      <c r="B8788" s="330" t="s">
        <v>53144</v>
      </c>
      <c r="C8788" s="330" t="s">
        <v>20303</v>
      </c>
      <c r="D8788" s="330" t="s">
        <v>20304</v>
      </c>
      <c r="E8788" s="330" t="s">
        <v>4819</v>
      </c>
      <c r="F8788" s="331">
        <v>0.21</v>
      </c>
      <c r="G8788" s="332">
        <v>27873</v>
      </c>
      <c r="H8788" s="333">
        <v>33727</v>
      </c>
    </row>
    <row r="8789" spans="1:8">
      <c r="A8789" s="317" t="s">
        <v>42053</v>
      </c>
      <c r="B8789" s="330" t="s">
        <v>53145</v>
      </c>
      <c r="C8789" s="330" t="s">
        <v>20305</v>
      </c>
      <c r="D8789" s="330" t="s">
        <v>20306</v>
      </c>
      <c r="E8789" s="330" t="s">
        <v>4819</v>
      </c>
      <c r="F8789" s="331">
        <v>0.21</v>
      </c>
      <c r="G8789" s="332">
        <v>10225</v>
      </c>
      <c r="H8789" s="333">
        <v>12373</v>
      </c>
    </row>
    <row r="8790" spans="1:8">
      <c r="A8790" s="317" t="s">
        <v>42054</v>
      </c>
      <c r="B8790" s="330" t="s">
        <v>53146</v>
      </c>
      <c r="C8790" s="330" t="s">
        <v>20307</v>
      </c>
      <c r="D8790" s="330" t="s">
        <v>20308</v>
      </c>
      <c r="E8790" s="330" t="s">
        <v>4819</v>
      </c>
      <c r="F8790" s="331">
        <v>0.21</v>
      </c>
      <c r="G8790" s="332">
        <v>4162</v>
      </c>
      <c r="H8790" s="333">
        <v>5037</v>
      </c>
    </row>
    <row r="8791" spans="1:8">
      <c r="A8791" s="317" t="s">
        <v>42055</v>
      </c>
      <c r="B8791" s="330" t="s">
        <v>53147</v>
      </c>
      <c r="C8791" s="330" t="s">
        <v>20309</v>
      </c>
      <c r="D8791" s="330" t="s">
        <v>20310</v>
      </c>
      <c r="E8791" s="330" t="s">
        <v>4819</v>
      </c>
      <c r="F8791" s="331">
        <v>0.21</v>
      </c>
      <c r="G8791" s="332">
        <v>1521</v>
      </c>
      <c r="H8791" s="333">
        <v>1841</v>
      </c>
    </row>
    <row r="8792" spans="1:8">
      <c r="A8792" s="317" t="s">
        <v>42056</v>
      </c>
      <c r="B8792" s="330" t="s">
        <v>53148</v>
      </c>
      <c r="C8792" s="330" t="s">
        <v>20311</v>
      </c>
      <c r="D8792" s="330" t="s">
        <v>20312</v>
      </c>
      <c r="E8792" s="330" t="s">
        <v>4819</v>
      </c>
      <c r="F8792" s="331">
        <v>0.21</v>
      </c>
      <c r="G8792" s="332">
        <v>243</v>
      </c>
      <c r="H8792" s="333">
        <v>295</v>
      </c>
    </row>
    <row r="8793" spans="1:8">
      <c r="A8793" s="317" t="s">
        <v>42057</v>
      </c>
      <c r="B8793" s="330" t="s">
        <v>53149</v>
      </c>
      <c r="C8793" s="330" t="s">
        <v>20313</v>
      </c>
      <c r="D8793" s="330" t="s">
        <v>20314</v>
      </c>
      <c r="E8793" s="330" t="s">
        <v>4819</v>
      </c>
      <c r="F8793" s="331">
        <v>0.21</v>
      </c>
      <c r="G8793" s="332">
        <v>243</v>
      </c>
      <c r="H8793" s="333">
        <v>295</v>
      </c>
    </row>
    <row r="8794" spans="1:8">
      <c r="A8794" s="317" t="s">
        <v>42058</v>
      </c>
      <c r="B8794" s="330" t="s">
        <v>53150</v>
      </c>
      <c r="C8794" s="330" t="s">
        <v>20315</v>
      </c>
      <c r="D8794" s="330" t="s">
        <v>20316</v>
      </c>
      <c r="E8794" s="330" t="s">
        <v>4819</v>
      </c>
      <c r="F8794" s="331">
        <v>0.21</v>
      </c>
      <c r="G8794" s="332">
        <v>10281</v>
      </c>
      <c r="H8794" s="333">
        <v>12441</v>
      </c>
    </row>
    <row r="8795" spans="1:8">
      <c r="A8795" s="317" t="s">
        <v>42059</v>
      </c>
      <c r="B8795" s="330" t="s">
        <v>53151</v>
      </c>
      <c r="C8795" s="330" t="s">
        <v>20317</v>
      </c>
      <c r="D8795" s="330" t="s">
        <v>20318</v>
      </c>
      <c r="E8795" s="330" t="s">
        <v>4819</v>
      </c>
      <c r="F8795" s="331">
        <v>0.21</v>
      </c>
      <c r="G8795" s="332">
        <v>144</v>
      </c>
      <c r="H8795" s="333">
        <v>175</v>
      </c>
    </row>
    <row r="8796" spans="1:8">
      <c r="A8796" s="317" t="s">
        <v>42060</v>
      </c>
      <c r="B8796" s="330" t="s">
        <v>53152</v>
      </c>
      <c r="C8796" s="330" t="s">
        <v>20319</v>
      </c>
      <c r="D8796" s="330" t="s">
        <v>20320</v>
      </c>
      <c r="E8796" s="330" t="s">
        <v>37248</v>
      </c>
      <c r="F8796" s="331">
        <v>0.21</v>
      </c>
      <c r="G8796" s="332">
        <v>213</v>
      </c>
      <c r="H8796" s="333">
        <v>258</v>
      </c>
    </row>
    <row r="8797" spans="1:8">
      <c r="A8797" s="317" t="s">
        <v>42061</v>
      </c>
      <c r="B8797" s="330" t="s">
        <v>53153</v>
      </c>
      <c r="C8797" s="330" t="s">
        <v>20321</v>
      </c>
      <c r="D8797" s="330" t="s">
        <v>6740</v>
      </c>
      <c r="E8797" s="330" t="s">
        <v>37248</v>
      </c>
      <c r="F8797" s="331">
        <v>0.21</v>
      </c>
      <c r="G8797" s="332">
        <v>445</v>
      </c>
      <c r="H8797" s="333">
        <v>539</v>
      </c>
    </row>
    <row r="8798" spans="1:8">
      <c r="A8798" s="317" t="s">
        <v>42062</v>
      </c>
      <c r="B8798" s="330" t="s">
        <v>53154</v>
      </c>
      <c r="C8798" s="330" t="s">
        <v>20322</v>
      </c>
      <c r="D8798" s="330" t="s">
        <v>20323</v>
      </c>
      <c r="E8798" s="330" t="s">
        <v>37248</v>
      </c>
      <c r="F8798" s="331">
        <v>0.21</v>
      </c>
      <c r="G8798" s="332">
        <v>397</v>
      </c>
      <c r="H8798" s="333">
        <v>481</v>
      </c>
    </row>
    <row r="8799" spans="1:8">
      <c r="A8799" s="317" t="s">
        <v>42063</v>
      </c>
      <c r="B8799" s="330" t="s">
        <v>53155</v>
      </c>
      <c r="C8799" s="330" t="s">
        <v>20324</v>
      </c>
      <c r="D8799" s="330" t="s">
        <v>6740</v>
      </c>
      <c r="E8799" s="330" t="s">
        <v>37248</v>
      </c>
      <c r="F8799" s="331">
        <v>0.21</v>
      </c>
      <c r="G8799" s="332">
        <v>397</v>
      </c>
      <c r="H8799" s="333">
        <v>481</v>
      </c>
    </row>
    <row r="8800" spans="1:8">
      <c r="A8800" s="317" t="s">
        <v>42064</v>
      </c>
      <c r="B8800" s="330" t="s">
        <v>53156</v>
      </c>
      <c r="C8800" s="330" t="s">
        <v>20325</v>
      </c>
      <c r="D8800" s="330" t="s">
        <v>6740</v>
      </c>
      <c r="E8800" s="330" t="s">
        <v>37248</v>
      </c>
      <c r="F8800" s="331">
        <v>0.21</v>
      </c>
      <c r="G8800" s="332">
        <v>492</v>
      </c>
      <c r="H8800" s="333">
        <v>596</v>
      </c>
    </row>
    <row r="8801" spans="1:8">
      <c r="A8801" s="317" t="s">
        <v>42065</v>
      </c>
      <c r="B8801" s="330" t="s">
        <v>53157</v>
      </c>
      <c r="C8801" s="330" t="s">
        <v>20326</v>
      </c>
      <c r="D8801" s="330" t="s">
        <v>20327</v>
      </c>
      <c r="E8801" s="330" t="s">
        <v>37248</v>
      </c>
      <c r="F8801" s="331">
        <v>0.21</v>
      </c>
      <c r="G8801" s="332">
        <v>305</v>
      </c>
      <c r="H8801" s="333">
        <v>370</v>
      </c>
    </row>
    <row r="8802" spans="1:8">
      <c r="A8802" s="317" t="s">
        <v>42066</v>
      </c>
      <c r="B8802" s="330" t="s">
        <v>53158</v>
      </c>
      <c r="C8802" s="330" t="s">
        <v>20328</v>
      </c>
      <c r="D8802" s="330" t="s">
        <v>6179</v>
      </c>
      <c r="E8802" s="330" t="s">
        <v>37248</v>
      </c>
      <c r="F8802" s="331">
        <v>0.21</v>
      </c>
      <c r="G8802" s="332">
        <v>216</v>
      </c>
      <c r="H8802" s="333">
        <v>262</v>
      </c>
    </row>
    <row r="8803" spans="1:8">
      <c r="A8803" s="317" t="s">
        <v>42067</v>
      </c>
      <c r="B8803" s="330" t="s">
        <v>53159</v>
      </c>
      <c r="C8803" s="330" t="s">
        <v>20329</v>
      </c>
      <c r="D8803" s="330" t="s">
        <v>10441</v>
      </c>
      <c r="E8803" s="330" t="s">
        <v>37248</v>
      </c>
      <c r="F8803" s="331">
        <v>0.21</v>
      </c>
      <c r="G8803" s="332">
        <v>1300</v>
      </c>
      <c r="H8803" s="333">
        <v>1573</v>
      </c>
    </row>
    <row r="8804" spans="1:8">
      <c r="A8804" s="317" t="s">
        <v>42068</v>
      </c>
      <c r="B8804" s="330" t="s">
        <v>53160</v>
      </c>
      <c r="C8804" s="330" t="s">
        <v>20330</v>
      </c>
      <c r="D8804" s="330" t="s">
        <v>20331</v>
      </c>
      <c r="E8804" s="330" t="s">
        <v>4819</v>
      </c>
      <c r="F8804" s="331">
        <v>0.21</v>
      </c>
      <c r="G8804" s="332">
        <v>243</v>
      </c>
      <c r="H8804" s="333">
        <v>295</v>
      </c>
    </row>
    <row r="8805" spans="1:8">
      <c r="A8805" s="317" t="s">
        <v>42069</v>
      </c>
      <c r="B8805" s="330" t="s">
        <v>53161</v>
      </c>
      <c r="C8805" s="330" t="s">
        <v>20332</v>
      </c>
      <c r="D8805" s="330" t="s">
        <v>20333</v>
      </c>
      <c r="E8805" s="330" t="s">
        <v>4819</v>
      </c>
      <c r="F8805" s="331">
        <v>0.21</v>
      </c>
      <c r="G8805" s="332">
        <v>10444</v>
      </c>
      <c r="H8805" s="333">
        <v>12638</v>
      </c>
    </row>
    <row r="8806" spans="1:8">
      <c r="A8806" s="317" t="s">
        <v>42070</v>
      </c>
      <c r="B8806" s="330" t="s">
        <v>53162</v>
      </c>
      <c r="C8806" s="330" t="s">
        <v>20334</v>
      </c>
      <c r="D8806" s="330" t="s">
        <v>20335</v>
      </c>
      <c r="E8806" s="330" t="s">
        <v>4819</v>
      </c>
      <c r="F8806" s="331">
        <v>0.21</v>
      </c>
      <c r="G8806" s="332">
        <v>1102</v>
      </c>
      <c r="H8806" s="333">
        <v>1334</v>
      </c>
    </row>
    <row r="8807" spans="1:8">
      <c r="A8807" s="317" t="s">
        <v>42071</v>
      </c>
      <c r="B8807" s="330" t="s">
        <v>53163</v>
      </c>
      <c r="C8807" s="330" t="s">
        <v>20336</v>
      </c>
      <c r="D8807" s="330" t="s">
        <v>20331</v>
      </c>
      <c r="E8807" s="330" t="s">
        <v>4819</v>
      </c>
      <c r="F8807" s="331">
        <v>0.21</v>
      </c>
      <c r="G8807" s="332">
        <v>243</v>
      </c>
      <c r="H8807" s="333">
        <v>295</v>
      </c>
    </row>
    <row r="8808" spans="1:8">
      <c r="A8808" s="317" t="s">
        <v>42072</v>
      </c>
      <c r="B8808" s="330" t="s">
        <v>53164</v>
      </c>
      <c r="C8808" s="330" t="s">
        <v>20337</v>
      </c>
      <c r="D8808" s="330" t="s">
        <v>20338</v>
      </c>
      <c r="E8808" s="330" t="s">
        <v>37248</v>
      </c>
      <c r="F8808" s="331">
        <v>0.21</v>
      </c>
      <c r="G8808" s="332">
        <v>1115</v>
      </c>
      <c r="H8808" s="333">
        <v>1350</v>
      </c>
    </row>
    <row r="8809" spans="1:8">
      <c r="A8809" s="317" t="s">
        <v>42073</v>
      </c>
      <c r="B8809" s="330" t="s">
        <v>53165</v>
      </c>
      <c r="C8809" s="330" t="s">
        <v>20339</v>
      </c>
      <c r="D8809" s="330" t="s">
        <v>20340</v>
      </c>
      <c r="E8809" s="330" t="s">
        <v>4819</v>
      </c>
      <c r="F8809" s="331">
        <v>0.21</v>
      </c>
      <c r="G8809" s="332">
        <v>9951</v>
      </c>
      <c r="H8809" s="333">
        <v>12041</v>
      </c>
    </row>
    <row r="8810" spans="1:8">
      <c r="A8810" s="317" t="s">
        <v>42074</v>
      </c>
      <c r="B8810" s="330" t="s">
        <v>53166</v>
      </c>
      <c r="C8810" s="330" t="s">
        <v>20341</v>
      </c>
      <c r="D8810" s="330" t="s">
        <v>20342</v>
      </c>
      <c r="E8810" s="330" t="s">
        <v>4819</v>
      </c>
      <c r="F8810" s="331">
        <v>0.21</v>
      </c>
      <c r="G8810" s="332">
        <v>1983</v>
      </c>
      <c r="H8810" s="333">
        <v>2400</v>
      </c>
    </row>
    <row r="8811" spans="1:8">
      <c r="A8811" s="317" t="s">
        <v>42075</v>
      </c>
      <c r="B8811" s="330" t="s">
        <v>53167</v>
      </c>
      <c r="C8811" s="330" t="s">
        <v>20343</v>
      </c>
      <c r="D8811" s="330" t="s">
        <v>20342</v>
      </c>
      <c r="E8811" s="330" t="s">
        <v>4819</v>
      </c>
      <c r="F8811" s="331">
        <v>0.21</v>
      </c>
      <c r="G8811" s="332">
        <v>4593</v>
      </c>
      <c r="H8811" s="333">
        <v>5558</v>
      </c>
    </row>
    <row r="8812" spans="1:8">
      <c r="A8812" s="317" t="s">
        <v>42076</v>
      </c>
      <c r="B8812" s="330" t="s">
        <v>53168</v>
      </c>
      <c r="C8812" s="330" t="s">
        <v>20344</v>
      </c>
      <c r="D8812" s="330" t="s">
        <v>20342</v>
      </c>
      <c r="E8812" s="330" t="s">
        <v>4819</v>
      </c>
      <c r="F8812" s="331">
        <v>0.21</v>
      </c>
      <c r="G8812" s="332">
        <v>3341</v>
      </c>
      <c r="H8812" s="333">
        <v>4043</v>
      </c>
    </row>
    <row r="8813" spans="1:8">
      <c r="A8813" s="317" t="s">
        <v>42077</v>
      </c>
      <c r="B8813" s="330" t="s">
        <v>53169</v>
      </c>
      <c r="C8813" s="330" t="s">
        <v>20345</v>
      </c>
      <c r="D8813" s="330" t="s">
        <v>20342</v>
      </c>
      <c r="E8813" s="330" t="s">
        <v>4819</v>
      </c>
      <c r="F8813" s="331">
        <v>0.21</v>
      </c>
      <c r="G8813" s="332">
        <v>3341</v>
      </c>
      <c r="H8813" s="333">
        <v>4043</v>
      </c>
    </row>
    <row r="8814" spans="1:8">
      <c r="A8814" s="317" t="s">
        <v>42078</v>
      </c>
      <c r="B8814" s="330" t="s">
        <v>53170</v>
      </c>
      <c r="C8814" s="330" t="s">
        <v>20346</v>
      </c>
      <c r="D8814" s="330" t="s">
        <v>20342</v>
      </c>
      <c r="E8814" s="330" t="s">
        <v>4819</v>
      </c>
      <c r="F8814" s="331">
        <v>0.21</v>
      </c>
      <c r="G8814" s="332">
        <v>3341</v>
      </c>
      <c r="H8814" s="333">
        <v>4043</v>
      </c>
    </row>
    <row r="8815" spans="1:8">
      <c r="A8815" s="317" t="s">
        <v>42079</v>
      </c>
      <c r="B8815" s="330" t="s">
        <v>53171</v>
      </c>
      <c r="C8815" s="330" t="s">
        <v>20347</v>
      </c>
      <c r="D8815" s="330" t="s">
        <v>20342</v>
      </c>
      <c r="E8815" s="330" t="s">
        <v>4819</v>
      </c>
      <c r="F8815" s="331">
        <v>0.21</v>
      </c>
      <c r="G8815" s="332">
        <v>3341</v>
      </c>
      <c r="H8815" s="333">
        <v>4043</v>
      </c>
    </row>
    <row r="8816" spans="1:8">
      <c r="A8816" s="317" t="s">
        <v>42080</v>
      </c>
      <c r="B8816" s="330" t="s">
        <v>53172</v>
      </c>
      <c r="C8816" s="330" t="s">
        <v>20348</v>
      </c>
      <c r="D8816" s="330" t="s">
        <v>20349</v>
      </c>
      <c r="E8816" s="330" t="s">
        <v>4819</v>
      </c>
      <c r="F8816" s="331">
        <v>0.21</v>
      </c>
      <c r="G8816" s="332">
        <v>85503</v>
      </c>
      <c r="H8816" s="333">
        <v>103459</v>
      </c>
    </row>
    <row r="8817" spans="1:8">
      <c r="A8817" s="317" t="s">
        <v>42081</v>
      </c>
      <c r="B8817" s="330" t="s">
        <v>53173</v>
      </c>
      <c r="C8817" s="330" t="s">
        <v>20350</v>
      </c>
      <c r="D8817" s="330" t="s">
        <v>20351</v>
      </c>
      <c r="E8817" s="330" t="s">
        <v>4819</v>
      </c>
      <c r="F8817" s="331">
        <v>0.21</v>
      </c>
      <c r="G8817" s="332">
        <v>265</v>
      </c>
      <c r="H8817" s="333">
        <v>321</v>
      </c>
    </row>
    <row r="8818" spans="1:8">
      <c r="A8818" s="317" t="s">
        <v>42082</v>
      </c>
      <c r="B8818" s="330" t="s">
        <v>53174</v>
      </c>
      <c r="C8818" s="330" t="s">
        <v>20352</v>
      </c>
      <c r="D8818" s="330" t="s">
        <v>20170</v>
      </c>
      <c r="E8818" s="330" t="s">
        <v>4819</v>
      </c>
      <c r="F8818" s="331">
        <v>0.21</v>
      </c>
      <c r="G8818" s="332">
        <v>265</v>
      </c>
      <c r="H8818" s="333">
        <v>321</v>
      </c>
    </row>
    <row r="8819" spans="1:8">
      <c r="A8819" s="317" t="s">
        <v>42083</v>
      </c>
      <c r="B8819" s="330" t="s">
        <v>53175</v>
      </c>
      <c r="C8819" s="330" t="s">
        <v>20353</v>
      </c>
      <c r="D8819" s="330" t="s">
        <v>9292</v>
      </c>
      <c r="E8819" s="330" t="s">
        <v>37248</v>
      </c>
      <c r="F8819" s="331">
        <v>0.21</v>
      </c>
      <c r="G8819" s="332">
        <v>12349</v>
      </c>
      <c r="H8819" s="333">
        <v>14943</v>
      </c>
    </row>
    <row r="8820" spans="1:8">
      <c r="A8820" s="317" t="s">
        <v>42084</v>
      </c>
      <c r="B8820" s="330" t="s">
        <v>53176</v>
      </c>
      <c r="C8820" s="330" t="s">
        <v>20354</v>
      </c>
      <c r="D8820" s="330" t="s">
        <v>20355</v>
      </c>
      <c r="E8820" s="330" t="s">
        <v>4819</v>
      </c>
      <c r="F8820" s="331">
        <v>0.21</v>
      </c>
      <c r="G8820" s="332">
        <v>2094</v>
      </c>
      <c r="H8820" s="333">
        <v>2534</v>
      </c>
    </row>
    <row r="8821" spans="1:8">
      <c r="A8821" s="317" t="s">
        <v>42085</v>
      </c>
      <c r="B8821" s="330" t="s">
        <v>53177</v>
      </c>
      <c r="C8821" s="330" t="s">
        <v>20356</v>
      </c>
      <c r="D8821" s="330" t="s">
        <v>20357</v>
      </c>
      <c r="E8821" s="330" t="s">
        <v>37248</v>
      </c>
      <c r="F8821" s="331">
        <v>0.21</v>
      </c>
      <c r="G8821" s="332">
        <v>6107</v>
      </c>
      <c r="H8821" s="333">
        <v>7390</v>
      </c>
    </row>
    <row r="8822" spans="1:8">
      <c r="A8822" s="317" t="s">
        <v>42086</v>
      </c>
      <c r="B8822" s="330" t="s">
        <v>53178</v>
      </c>
      <c r="C8822" s="330" t="s">
        <v>20358</v>
      </c>
      <c r="D8822" s="330" t="s">
        <v>20359</v>
      </c>
      <c r="E8822" s="330" t="s">
        <v>37248</v>
      </c>
      <c r="F8822" s="331">
        <v>0.21</v>
      </c>
      <c r="G8822" s="332">
        <v>3468</v>
      </c>
      <c r="H8822" s="333">
        <v>4197</v>
      </c>
    </row>
    <row r="8823" spans="1:8">
      <c r="A8823" s="317" t="s">
        <v>42087</v>
      </c>
      <c r="B8823" s="330" t="s">
        <v>53179</v>
      </c>
      <c r="C8823" s="330" t="s">
        <v>20360</v>
      </c>
      <c r="D8823" s="330" t="s">
        <v>20361</v>
      </c>
      <c r="E8823" s="330" t="s">
        <v>37248</v>
      </c>
      <c r="F8823" s="331">
        <v>0.21</v>
      </c>
      <c r="G8823" s="332">
        <v>2295</v>
      </c>
      <c r="H8823" s="333">
        <v>2777</v>
      </c>
    </row>
    <row r="8824" spans="1:8">
      <c r="A8824" s="317" t="s">
        <v>42088</v>
      </c>
      <c r="B8824" s="330" t="s">
        <v>53180</v>
      </c>
      <c r="C8824" s="330" t="s">
        <v>20362</v>
      </c>
      <c r="D8824" s="330" t="s">
        <v>20363</v>
      </c>
      <c r="E8824" s="330" t="s">
        <v>37248</v>
      </c>
      <c r="F8824" s="331">
        <v>0.21</v>
      </c>
      <c r="G8824" s="332">
        <v>2442</v>
      </c>
      <c r="H8824" s="333">
        <v>2955</v>
      </c>
    </row>
    <row r="8825" spans="1:8">
      <c r="A8825" s="317" t="s">
        <v>42089</v>
      </c>
      <c r="B8825" s="330" t="s">
        <v>53181</v>
      </c>
      <c r="C8825" s="330" t="s">
        <v>20364</v>
      </c>
      <c r="D8825" s="330" t="s">
        <v>20365</v>
      </c>
      <c r="E8825" s="330" t="s">
        <v>37248</v>
      </c>
      <c r="F8825" s="331">
        <v>0.21</v>
      </c>
      <c r="G8825" s="332">
        <v>67261</v>
      </c>
      <c r="H8825" s="333">
        <v>81386</v>
      </c>
    </row>
    <row r="8826" spans="1:8">
      <c r="A8826" s="317" t="s">
        <v>42090</v>
      </c>
      <c r="B8826" s="330" t="s">
        <v>53182</v>
      </c>
      <c r="C8826" s="330" t="s">
        <v>20366</v>
      </c>
      <c r="D8826" s="330" t="s">
        <v>20367</v>
      </c>
      <c r="E8826" s="330" t="s">
        <v>4819</v>
      </c>
      <c r="F8826" s="331">
        <v>0.21</v>
      </c>
      <c r="G8826" s="332">
        <v>2054</v>
      </c>
      <c r="H8826" s="333">
        <v>2486</v>
      </c>
    </row>
    <row r="8827" spans="1:8">
      <c r="A8827" s="317" t="s">
        <v>42091</v>
      </c>
      <c r="B8827" s="330" t="s">
        <v>53183</v>
      </c>
      <c r="C8827" s="330" t="s">
        <v>20368</v>
      </c>
      <c r="D8827" s="330" t="s">
        <v>20369</v>
      </c>
      <c r="E8827" s="330" t="s">
        <v>4819</v>
      </c>
      <c r="F8827" s="331">
        <v>0.21</v>
      </c>
      <c r="G8827" s="332">
        <v>2478</v>
      </c>
      <c r="H8827" s="333">
        <v>2999</v>
      </c>
    </row>
    <row r="8828" spans="1:8">
      <c r="A8828" s="317" t="s">
        <v>42092</v>
      </c>
      <c r="B8828" s="330" t="s">
        <v>53184</v>
      </c>
      <c r="C8828" s="330" t="s">
        <v>20370</v>
      </c>
      <c r="D8828" s="330" t="s">
        <v>20371</v>
      </c>
      <c r="E8828" s="330" t="s">
        <v>37248</v>
      </c>
      <c r="F8828" s="331">
        <v>0.21</v>
      </c>
      <c r="G8828" s="332">
        <v>138</v>
      </c>
      <c r="H8828" s="333">
        <v>167</v>
      </c>
    </row>
    <row r="8829" spans="1:8">
      <c r="A8829" s="317" t="s">
        <v>42093</v>
      </c>
      <c r="B8829" s="330" t="s">
        <v>53185</v>
      </c>
      <c r="C8829" s="330" t="s">
        <v>20372</v>
      </c>
      <c r="D8829" s="330" t="s">
        <v>20373</v>
      </c>
      <c r="E8829" s="330" t="s">
        <v>4819</v>
      </c>
      <c r="F8829" s="331">
        <v>0.21</v>
      </c>
      <c r="G8829" s="332">
        <v>14707</v>
      </c>
      <c r="H8829" s="333">
        <v>17796</v>
      </c>
    </row>
    <row r="8830" spans="1:8">
      <c r="A8830" s="317" t="s">
        <v>42094</v>
      </c>
      <c r="B8830" s="330" t="s">
        <v>53186</v>
      </c>
      <c r="C8830" s="330" t="s">
        <v>20374</v>
      </c>
      <c r="D8830" s="330" t="s">
        <v>9501</v>
      </c>
      <c r="E8830" s="330" t="s">
        <v>37248</v>
      </c>
      <c r="F8830" s="331">
        <v>0.21</v>
      </c>
      <c r="G8830" s="332">
        <v>9322</v>
      </c>
      <c r="H8830" s="333">
        <v>11280</v>
      </c>
    </row>
    <row r="8831" spans="1:8">
      <c r="A8831" s="317" t="s">
        <v>42095</v>
      </c>
      <c r="B8831" s="330" t="s">
        <v>53187</v>
      </c>
      <c r="C8831" s="330" t="s">
        <v>20375</v>
      </c>
      <c r="D8831" s="330" t="s">
        <v>10402</v>
      </c>
      <c r="E8831" s="330" t="s">
        <v>37248</v>
      </c>
      <c r="F8831" s="331">
        <v>0.21</v>
      </c>
      <c r="G8831" s="332">
        <v>10377</v>
      </c>
      <c r="H8831" s="333">
        <v>12557</v>
      </c>
    </row>
    <row r="8832" spans="1:8">
      <c r="A8832" s="317" t="s">
        <v>42096</v>
      </c>
      <c r="B8832" s="330" t="s">
        <v>53188</v>
      </c>
      <c r="C8832" s="330" t="s">
        <v>20376</v>
      </c>
      <c r="D8832" s="330" t="s">
        <v>10123</v>
      </c>
      <c r="E8832" s="330" t="s">
        <v>37248</v>
      </c>
      <c r="F8832" s="331">
        <v>0.21</v>
      </c>
      <c r="G8832" s="332">
        <v>2094</v>
      </c>
      <c r="H8832" s="333">
        <v>2534</v>
      </c>
    </row>
    <row r="8833" spans="1:8">
      <c r="A8833" s="317" t="s">
        <v>42097</v>
      </c>
      <c r="B8833" s="330" t="s">
        <v>53189</v>
      </c>
      <c r="C8833" s="330" t="s">
        <v>20377</v>
      </c>
      <c r="D8833" s="330" t="s">
        <v>12616</v>
      </c>
      <c r="E8833" s="330" t="s">
        <v>37248</v>
      </c>
      <c r="F8833" s="331">
        <v>0.21</v>
      </c>
      <c r="G8833" s="332">
        <v>240</v>
      </c>
      <c r="H8833" s="333">
        <v>291</v>
      </c>
    </row>
    <row r="8834" spans="1:8">
      <c r="A8834" s="317" t="s">
        <v>42098</v>
      </c>
      <c r="B8834" s="330" t="s">
        <v>53190</v>
      </c>
      <c r="C8834" s="330" t="s">
        <v>20378</v>
      </c>
      <c r="D8834" s="330" t="s">
        <v>20379</v>
      </c>
      <c r="E8834" s="330" t="s">
        <v>37248</v>
      </c>
      <c r="F8834" s="331">
        <v>0.21</v>
      </c>
      <c r="G8834" s="332">
        <v>1052</v>
      </c>
      <c r="H8834" s="333">
        <v>1273</v>
      </c>
    </row>
    <row r="8835" spans="1:8">
      <c r="A8835" s="317" t="s">
        <v>42099</v>
      </c>
      <c r="B8835" s="330" t="s">
        <v>53191</v>
      </c>
      <c r="C8835" s="330" t="s">
        <v>20380</v>
      </c>
      <c r="D8835" s="330" t="s">
        <v>20379</v>
      </c>
      <c r="E8835" s="330" t="s">
        <v>37248</v>
      </c>
      <c r="F8835" s="331">
        <v>0.21</v>
      </c>
      <c r="G8835" s="332">
        <v>1208</v>
      </c>
      <c r="H8835" s="333">
        <v>1462</v>
      </c>
    </row>
    <row r="8836" spans="1:8">
      <c r="A8836" s="317" t="s">
        <v>42100</v>
      </c>
      <c r="B8836" s="330" t="s">
        <v>53192</v>
      </c>
      <c r="C8836" s="330" t="s">
        <v>20381</v>
      </c>
      <c r="D8836" s="330" t="s">
        <v>20382</v>
      </c>
      <c r="E8836" s="330" t="s">
        <v>37248</v>
      </c>
      <c r="F8836" s="331">
        <v>0.21</v>
      </c>
      <c r="G8836" s="332">
        <v>240</v>
      </c>
      <c r="H8836" s="333">
        <v>291</v>
      </c>
    </row>
    <row r="8837" spans="1:8">
      <c r="A8837" s="317" t="s">
        <v>42101</v>
      </c>
      <c r="B8837" s="330" t="s">
        <v>53193</v>
      </c>
      <c r="C8837" s="330" t="s">
        <v>20383</v>
      </c>
      <c r="D8837" s="330" t="s">
        <v>7745</v>
      </c>
      <c r="E8837" s="330" t="s">
        <v>37248</v>
      </c>
      <c r="F8837" s="331">
        <v>0.21</v>
      </c>
      <c r="G8837" s="332">
        <v>361</v>
      </c>
      <c r="H8837" s="333">
        <v>437</v>
      </c>
    </row>
    <row r="8838" spans="1:8">
      <c r="A8838" s="317" t="s">
        <v>42102</v>
      </c>
      <c r="B8838" s="330" t="s">
        <v>53194</v>
      </c>
      <c r="C8838" s="330" t="s">
        <v>20384</v>
      </c>
      <c r="D8838" s="330" t="s">
        <v>20385</v>
      </c>
      <c r="E8838" s="330" t="s">
        <v>37248</v>
      </c>
      <c r="F8838" s="331">
        <v>0.21</v>
      </c>
      <c r="G8838" s="332">
        <v>519</v>
      </c>
      <c r="H8838" s="333">
        <v>628</v>
      </c>
    </row>
    <row r="8839" spans="1:8">
      <c r="A8839" s="317" t="s">
        <v>42103</v>
      </c>
      <c r="B8839" s="330" t="s">
        <v>53195</v>
      </c>
      <c r="C8839" s="330" t="s">
        <v>20386</v>
      </c>
      <c r="D8839" s="330" t="s">
        <v>7031</v>
      </c>
      <c r="E8839" s="330" t="s">
        <v>37248</v>
      </c>
      <c r="F8839" s="331">
        <v>0.21</v>
      </c>
      <c r="G8839" s="332">
        <v>519</v>
      </c>
      <c r="H8839" s="333">
        <v>628</v>
      </c>
    </row>
    <row r="8840" spans="1:8">
      <c r="A8840" s="317" t="s">
        <v>42104</v>
      </c>
      <c r="B8840" s="330" t="s">
        <v>53196</v>
      </c>
      <c r="C8840" s="330" t="s">
        <v>20387</v>
      </c>
      <c r="D8840" s="330" t="s">
        <v>7651</v>
      </c>
      <c r="E8840" s="330" t="s">
        <v>37248</v>
      </c>
      <c r="F8840" s="331">
        <v>0.21</v>
      </c>
      <c r="G8840" s="332">
        <v>20826</v>
      </c>
      <c r="H8840" s="333">
        <v>25200</v>
      </c>
    </row>
    <row r="8841" spans="1:8">
      <c r="A8841" s="317" t="s">
        <v>42105</v>
      </c>
      <c r="B8841" s="330" t="s">
        <v>53197</v>
      </c>
      <c r="C8841" s="330" t="s">
        <v>20388</v>
      </c>
      <c r="D8841" s="330" t="s">
        <v>7564</v>
      </c>
      <c r="E8841" s="330" t="s">
        <v>37248</v>
      </c>
      <c r="F8841" s="331">
        <v>0.21</v>
      </c>
      <c r="G8841" s="332">
        <v>2581</v>
      </c>
      <c r="H8841" s="333">
        <v>3124</v>
      </c>
    </row>
    <row r="8842" spans="1:8">
      <c r="A8842" s="317" t="s">
        <v>42106</v>
      </c>
      <c r="B8842" s="330" t="s">
        <v>53198</v>
      </c>
      <c r="C8842" s="330" t="s">
        <v>20389</v>
      </c>
      <c r="D8842" s="330" t="s">
        <v>20390</v>
      </c>
      <c r="E8842" s="330" t="s">
        <v>37248</v>
      </c>
      <c r="F8842" s="331">
        <v>0.21</v>
      </c>
      <c r="G8842" s="332">
        <v>2054</v>
      </c>
      <c r="H8842" s="333">
        <v>2486</v>
      </c>
    </row>
    <row r="8843" spans="1:8">
      <c r="A8843" s="317" t="s">
        <v>42107</v>
      </c>
      <c r="B8843" s="330" t="s">
        <v>53199</v>
      </c>
      <c r="C8843" s="330" t="s">
        <v>20391</v>
      </c>
      <c r="D8843" s="330" t="s">
        <v>7564</v>
      </c>
      <c r="E8843" s="330" t="s">
        <v>37248</v>
      </c>
      <c r="F8843" s="331">
        <v>0.21</v>
      </c>
      <c r="G8843" s="332">
        <v>2295</v>
      </c>
      <c r="H8843" s="333">
        <v>2777</v>
      </c>
    </row>
    <row r="8844" spans="1:8">
      <c r="A8844" s="317" t="s">
        <v>42108</v>
      </c>
      <c r="B8844" s="330" t="s">
        <v>53200</v>
      </c>
      <c r="C8844" s="330" t="s">
        <v>20392</v>
      </c>
      <c r="D8844" s="330" t="s">
        <v>20393</v>
      </c>
      <c r="E8844" s="330" t="s">
        <v>4819</v>
      </c>
      <c r="F8844" s="331">
        <v>0.21</v>
      </c>
      <c r="G8844" s="332">
        <v>754</v>
      </c>
      <c r="H8844" s="333">
        <v>913</v>
      </c>
    </row>
    <row r="8845" spans="1:8">
      <c r="A8845" s="317" t="s">
        <v>42109</v>
      </c>
      <c r="B8845" s="330" t="s">
        <v>53201</v>
      </c>
      <c r="C8845" s="330" t="s">
        <v>20394</v>
      </c>
      <c r="D8845" s="330" t="s">
        <v>12232</v>
      </c>
      <c r="E8845" s="330" t="s">
        <v>37248</v>
      </c>
      <c r="F8845" s="331">
        <v>0.21</v>
      </c>
      <c r="G8845" s="332">
        <v>1579</v>
      </c>
      <c r="H8845" s="333">
        <v>1911</v>
      </c>
    </row>
    <row r="8846" spans="1:8">
      <c r="A8846" s="317" t="s">
        <v>42110</v>
      </c>
      <c r="B8846" s="330" t="s">
        <v>53202</v>
      </c>
      <c r="C8846" s="330" t="s">
        <v>20395</v>
      </c>
      <c r="D8846" s="330" t="s">
        <v>8375</v>
      </c>
      <c r="E8846" s="330" t="s">
        <v>37248</v>
      </c>
      <c r="F8846" s="331">
        <v>0.21</v>
      </c>
      <c r="G8846" s="332">
        <v>194</v>
      </c>
      <c r="H8846" s="333">
        <v>235</v>
      </c>
    </row>
    <row r="8847" spans="1:8">
      <c r="A8847" s="317" t="s">
        <v>42111</v>
      </c>
      <c r="B8847" s="330" t="s">
        <v>53203</v>
      </c>
      <c r="C8847" s="330" t="s">
        <v>20396</v>
      </c>
      <c r="D8847" s="330" t="s">
        <v>20397</v>
      </c>
      <c r="E8847" s="330" t="s">
        <v>37248</v>
      </c>
      <c r="F8847" s="331">
        <v>0.21</v>
      </c>
      <c r="G8847" s="332">
        <v>2581</v>
      </c>
      <c r="H8847" s="333">
        <v>3124</v>
      </c>
    </row>
    <row r="8848" spans="1:8">
      <c r="A8848" s="317" t="s">
        <v>42112</v>
      </c>
      <c r="B8848" s="330" t="s">
        <v>53204</v>
      </c>
      <c r="C8848" s="330" t="s">
        <v>20398</v>
      </c>
      <c r="D8848" s="330" t="s">
        <v>20399</v>
      </c>
      <c r="E8848" s="330" t="s">
        <v>4819</v>
      </c>
      <c r="F8848" s="331">
        <v>0.21</v>
      </c>
      <c r="G8848" s="332">
        <v>59777</v>
      </c>
      <c r="H8848" s="333">
        <v>72331</v>
      </c>
    </row>
    <row r="8849" spans="1:8">
      <c r="A8849" s="317" t="s">
        <v>42113</v>
      </c>
      <c r="B8849" s="330" t="s">
        <v>53205</v>
      </c>
      <c r="C8849" s="330" t="s">
        <v>20400</v>
      </c>
      <c r="D8849" s="330" t="s">
        <v>20401</v>
      </c>
      <c r="E8849" s="330" t="s">
        <v>4819</v>
      </c>
      <c r="F8849" s="331">
        <v>0.21</v>
      </c>
      <c r="G8849" s="332">
        <v>240</v>
      </c>
      <c r="H8849" s="333">
        <v>291</v>
      </c>
    </row>
    <row r="8850" spans="1:8">
      <c r="A8850" s="317" t="s">
        <v>42114</v>
      </c>
      <c r="B8850" s="330" t="s">
        <v>53206</v>
      </c>
      <c r="C8850" s="330" t="s">
        <v>20402</v>
      </c>
      <c r="D8850" s="330" t="s">
        <v>20401</v>
      </c>
      <c r="E8850" s="330" t="s">
        <v>4819</v>
      </c>
      <c r="F8850" s="331">
        <v>0.21</v>
      </c>
      <c r="G8850" s="332">
        <v>240</v>
      </c>
      <c r="H8850" s="333">
        <v>291</v>
      </c>
    </row>
    <row r="8851" spans="1:8">
      <c r="A8851" s="317" t="s">
        <v>42115</v>
      </c>
      <c r="B8851" s="330" t="s">
        <v>53207</v>
      </c>
      <c r="C8851" s="330" t="s">
        <v>20403</v>
      </c>
      <c r="D8851" s="330" t="s">
        <v>20404</v>
      </c>
      <c r="E8851" s="330" t="s">
        <v>4819</v>
      </c>
      <c r="F8851" s="331">
        <v>0.21</v>
      </c>
      <c r="G8851" s="332">
        <v>3024</v>
      </c>
      <c r="H8851" s="333">
        <v>3660</v>
      </c>
    </row>
    <row r="8852" spans="1:8">
      <c r="A8852" s="317" t="s">
        <v>42116</v>
      </c>
      <c r="B8852" s="330" t="s">
        <v>53208</v>
      </c>
      <c r="C8852" s="330" t="s">
        <v>20405</v>
      </c>
      <c r="D8852" s="330" t="s">
        <v>20406</v>
      </c>
      <c r="E8852" s="330" t="s">
        <v>4819</v>
      </c>
      <c r="F8852" s="331">
        <v>0.21</v>
      </c>
      <c r="G8852" s="332">
        <v>653</v>
      </c>
      <c r="H8852" s="333">
        <v>791</v>
      </c>
    </row>
    <row r="8853" spans="1:8">
      <c r="A8853" s="317" t="s">
        <v>42117</v>
      </c>
      <c r="B8853" s="330" t="s">
        <v>53209</v>
      </c>
      <c r="C8853" s="330" t="s">
        <v>20407</v>
      </c>
      <c r="D8853" s="330" t="s">
        <v>20408</v>
      </c>
      <c r="E8853" s="330" t="s">
        <v>4819</v>
      </c>
      <c r="F8853" s="331">
        <v>0.21</v>
      </c>
      <c r="G8853" s="332">
        <v>1295</v>
      </c>
      <c r="H8853" s="333">
        <v>1567</v>
      </c>
    </row>
    <row r="8854" spans="1:8">
      <c r="A8854" s="317" t="s">
        <v>42118</v>
      </c>
      <c r="B8854" s="330" t="s">
        <v>53210</v>
      </c>
      <c r="C8854" s="330" t="s">
        <v>20409</v>
      </c>
      <c r="D8854" s="330" t="s">
        <v>20408</v>
      </c>
      <c r="E8854" s="330" t="s">
        <v>4819</v>
      </c>
      <c r="F8854" s="331">
        <v>0.21</v>
      </c>
      <c r="G8854" s="332">
        <v>1295</v>
      </c>
      <c r="H8854" s="333">
        <v>1567</v>
      </c>
    </row>
    <row r="8855" spans="1:8">
      <c r="A8855" s="317" t="s">
        <v>42119</v>
      </c>
      <c r="B8855" s="330" t="s">
        <v>53211</v>
      </c>
      <c r="C8855" s="330" t="s">
        <v>20410</v>
      </c>
      <c r="D8855" s="330" t="s">
        <v>20411</v>
      </c>
      <c r="E8855" s="330" t="s">
        <v>4819</v>
      </c>
      <c r="F8855" s="331">
        <v>0.21</v>
      </c>
      <c r="G8855" s="332">
        <v>36211</v>
      </c>
      <c r="H8855" s="333">
        <v>43816</v>
      </c>
    </row>
    <row r="8856" spans="1:8">
      <c r="A8856" s="317" t="s">
        <v>42120</v>
      </c>
      <c r="B8856" s="330" t="s">
        <v>53212</v>
      </c>
      <c r="C8856" s="330" t="s">
        <v>20412</v>
      </c>
      <c r="D8856" s="330" t="s">
        <v>20413</v>
      </c>
      <c r="E8856" s="330" t="s">
        <v>4819</v>
      </c>
      <c r="F8856" s="331">
        <v>0.21</v>
      </c>
      <c r="G8856" s="332">
        <v>32125</v>
      </c>
      <c r="H8856" s="333">
        <v>38872</v>
      </c>
    </row>
    <row r="8857" spans="1:8">
      <c r="A8857" s="317" t="s">
        <v>42121</v>
      </c>
      <c r="B8857" s="330" t="s">
        <v>53213</v>
      </c>
      <c r="C8857" s="330" t="s">
        <v>20414</v>
      </c>
      <c r="D8857" s="330" t="s">
        <v>20408</v>
      </c>
      <c r="E8857" s="330" t="s">
        <v>4819</v>
      </c>
      <c r="F8857" s="331">
        <v>0.21</v>
      </c>
      <c r="G8857" s="332">
        <v>3205</v>
      </c>
      <c r="H8857" s="333">
        <v>3879</v>
      </c>
    </row>
    <row r="8858" spans="1:8">
      <c r="A8858" s="317" t="s">
        <v>42122</v>
      </c>
      <c r="B8858" s="330" t="s">
        <v>53214</v>
      </c>
      <c r="C8858" s="330" t="s">
        <v>20415</v>
      </c>
      <c r="D8858" s="330" t="s">
        <v>20404</v>
      </c>
      <c r="E8858" s="330" t="s">
        <v>4819</v>
      </c>
      <c r="F8858" s="331">
        <v>0.21</v>
      </c>
      <c r="G8858" s="332">
        <v>5362</v>
      </c>
      <c r="H8858" s="333">
        <v>6489</v>
      </c>
    </row>
    <row r="8859" spans="1:8">
      <c r="A8859" s="317" t="s">
        <v>42123</v>
      </c>
      <c r="B8859" s="330" t="s">
        <v>53215</v>
      </c>
      <c r="C8859" s="330" t="s">
        <v>20416</v>
      </c>
      <c r="D8859" s="330" t="s">
        <v>20417</v>
      </c>
      <c r="E8859" s="330" t="s">
        <v>4819</v>
      </c>
      <c r="F8859" s="331">
        <v>0.21</v>
      </c>
      <c r="G8859" s="332">
        <v>4095</v>
      </c>
      <c r="H8859" s="333">
        <v>4955</v>
      </c>
    </row>
    <row r="8860" spans="1:8">
      <c r="A8860" s="317" t="s">
        <v>42124</v>
      </c>
      <c r="B8860" s="330" t="s">
        <v>53216</v>
      </c>
      <c r="C8860" s="330" t="s">
        <v>20418</v>
      </c>
      <c r="D8860" s="330" t="s">
        <v>20417</v>
      </c>
      <c r="E8860" s="330" t="s">
        <v>4819</v>
      </c>
      <c r="F8860" s="331">
        <v>0.21</v>
      </c>
      <c r="G8860" s="332">
        <v>4095</v>
      </c>
      <c r="H8860" s="333">
        <v>4955</v>
      </c>
    </row>
    <row r="8861" spans="1:8">
      <c r="A8861" s="317" t="s">
        <v>42125</v>
      </c>
      <c r="B8861" s="330" t="s">
        <v>53217</v>
      </c>
      <c r="C8861" s="330" t="s">
        <v>20419</v>
      </c>
      <c r="D8861" s="330" t="s">
        <v>20420</v>
      </c>
      <c r="E8861" s="330" t="s">
        <v>4819</v>
      </c>
      <c r="F8861" s="331">
        <v>0.21</v>
      </c>
      <c r="G8861" s="332">
        <v>243</v>
      </c>
      <c r="H8861" s="333">
        <v>295</v>
      </c>
    </row>
    <row r="8862" spans="1:8">
      <c r="A8862" s="317" t="s">
        <v>42126</v>
      </c>
      <c r="B8862" s="330" t="s">
        <v>53218</v>
      </c>
      <c r="C8862" s="330" t="s">
        <v>20421</v>
      </c>
      <c r="D8862" s="330" t="s">
        <v>20422</v>
      </c>
      <c r="E8862" s="330" t="s">
        <v>4819</v>
      </c>
      <c r="F8862" s="331">
        <v>0.21</v>
      </c>
      <c r="G8862" s="332">
        <v>68167</v>
      </c>
      <c r="H8862" s="333">
        <v>82483</v>
      </c>
    </row>
    <row r="8863" spans="1:8">
      <c r="A8863" s="317" t="s">
        <v>42127</v>
      </c>
      <c r="B8863" s="330" t="s">
        <v>53219</v>
      </c>
      <c r="C8863" s="330" t="s">
        <v>20423</v>
      </c>
      <c r="D8863" s="330" t="s">
        <v>20404</v>
      </c>
      <c r="E8863" s="330" t="s">
        <v>4819</v>
      </c>
      <c r="F8863" s="331">
        <v>0.21</v>
      </c>
      <c r="G8863" s="332">
        <v>327015</v>
      </c>
      <c r="H8863" s="333">
        <v>395689</v>
      </c>
    </row>
    <row r="8864" spans="1:8">
      <c r="A8864" s="317" t="s">
        <v>42128</v>
      </c>
      <c r="B8864" s="330" t="s">
        <v>53220</v>
      </c>
      <c r="C8864" s="330" t="s">
        <v>20424</v>
      </c>
      <c r="D8864" s="330" t="s">
        <v>20425</v>
      </c>
      <c r="E8864" s="330" t="s">
        <v>4819</v>
      </c>
      <c r="F8864" s="331">
        <v>0.21</v>
      </c>
      <c r="G8864" s="332">
        <v>934</v>
      </c>
      <c r="H8864" s="333">
        <v>1131</v>
      </c>
    </row>
    <row r="8865" spans="1:8">
      <c r="A8865" s="317" t="s">
        <v>42129</v>
      </c>
      <c r="B8865" s="330" t="s">
        <v>53221</v>
      </c>
      <c r="C8865" s="330" t="s">
        <v>20426</v>
      </c>
      <c r="D8865" s="330" t="s">
        <v>20427</v>
      </c>
      <c r="E8865" s="330" t="s">
        <v>4819</v>
      </c>
      <c r="F8865" s="331">
        <v>0.21</v>
      </c>
      <c r="G8865" s="332">
        <v>5840</v>
      </c>
      <c r="H8865" s="333">
        <v>7067</v>
      </c>
    </row>
    <row r="8866" spans="1:8">
      <c r="A8866" s="317" t="s">
        <v>42130</v>
      </c>
      <c r="B8866" s="330" t="s">
        <v>53222</v>
      </c>
      <c r="C8866" s="330" t="s">
        <v>20428</v>
      </c>
      <c r="D8866" s="330" t="s">
        <v>20429</v>
      </c>
      <c r="E8866" s="330" t="s">
        <v>4819</v>
      </c>
      <c r="F8866" s="331">
        <v>0.21</v>
      </c>
      <c r="G8866" s="332">
        <v>6212</v>
      </c>
      <c r="H8866" s="333">
        <v>7517</v>
      </c>
    </row>
    <row r="8867" spans="1:8">
      <c r="A8867" s="317" t="s">
        <v>42131</v>
      </c>
      <c r="B8867" s="330" t="s">
        <v>53223</v>
      </c>
      <c r="C8867" s="330" t="s">
        <v>20430</v>
      </c>
      <c r="D8867" s="330" t="s">
        <v>20429</v>
      </c>
      <c r="E8867" s="330" t="s">
        <v>4819</v>
      </c>
      <c r="F8867" s="331">
        <v>0.21</v>
      </c>
      <c r="G8867" s="332">
        <v>8423</v>
      </c>
      <c r="H8867" s="333">
        <v>10192</v>
      </c>
    </row>
    <row r="8868" spans="1:8">
      <c r="A8868" s="317" t="s">
        <v>42132</v>
      </c>
      <c r="B8868" s="330" t="s">
        <v>53224</v>
      </c>
      <c r="C8868" s="330" t="s">
        <v>20431</v>
      </c>
      <c r="D8868" s="330" t="s">
        <v>20404</v>
      </c>
      <c r="E8868" s="330" t="s">
        <v>4819</v>
      </c>
      <c r="F8868" s="331">
        <v>0.21</v>
      </c>
      <c r="G8868" s="332">
        <v>10444</v>
      </c>
      <c r="H8868" s="333">
        <v>12638</v>
      </c>
    </row>
    <row r="8869" spans="1:8">
      <c r="A8869" s="317" t="s">
        <v>42133</v>
      </c>
      <c r="B8869" s="330" t="s">
        <v>53225</v>
      </c>
      <c r="C8869" s="330" t="s">
        <v>20432</v>
      </c>
      <c r="D8869" s="330" t="s">
        <v>20433</v>
      </c>
      <c r="E8869" s="330" t="s">
        <v>4819</v>
      </c>
      <c r="F8869" s="331">
        <v>0.21</v>
      </c>
      <c r="G8869" s="332">
        <v>11626</v>
      </c>
      <c r="H8869" s="333">
        <v>14068</v>
      </c>
    </row>
    <row r="8870" spans="1:8">
      <c r="A8870" s="317" t="s">
        <v>42134</v>
      </c>
      <c r="B8870" s="330" t="s">
        <v>53226</v>
      </c>
      <c r="C8870" s="330" t="s">
        <v>20434</v>
      </c>
      <c r="D8870" s="330" t="s">
        <v>20435</v>
      </c>
      <c r="E8870" s="330" t="s">
        <v>4819</v>
      </c>
      <c r="F8870" s="331">
        <v>0.21</v>
      </c>
      <c r="G8870" s="332">
        <v>243</v>
      </c>
      <c r="H8870" s="333">
        <v>295</v>
      </c>
    </row>
    <row r="8871" spans="1:8">
      <c r="A8871" s="317" t="s">
        <v>42135</v>
      </c>
      <c r="B8871" s="330" t="s">
        <v>53227</v>
      </c>
      <c r="C8871" s="330" t="s">
        <v>20436</v>
      </c>
      <c r="D8871" s="330" t="s">
        <v>20437</v>
      </c>
      <c r="E8871" s="330" t="s">
        <v>4819</v>
      </c>
      <c r="F8871" s="331">
        <v>0.21</v>
      </c>
      <c r="G8871" s="332">
        <v>553</v>
      </c>
      <c r="H8871" s="333">
        <v>670</v>
      </c>
    </row>
    <row r="8872" spans="1:8">
      <c r="A8872" s="317" t="s">
        <v>42136</v>
      </c>
      <c r="B8872" s="330" t="s">
        <v>53228</v>
      </c>
      <c r="C8872" s="330" t="s">
        <v>20438</v>
      </c>
      <c r="D8872" s="330" t="s">
        <v>20439</v>
      </c>
      <c r="E8872" s="330" t="s">
        <v>4819</v>
      </c>
      <c r="F8872" s="331">
        <v>0.21</v>
      </c>
      <c r="G8872" s="332">
        <v>1353</v>
      </c>
      <c r="H8872" s="333">
        <v>1638</v>
      </c>
    </row>
    <row r="8873" spans="1:8">
      <c r="A8873" s="317" t="s">
        <v>42137</v>
      </c>
      <c r="B8873" s="330" t="s">
        <v>53229</v>
      </c>
      <c r="C8873" s="330" t="s">
        <v>20440</v>
      </c>
      <c r="D8873" s="330" t="s">
        <v>20439</v>
      </c>
      <c r="E8873" s="330" t="s">
        <v>4819</v>
      </c>
      <c r="F8873" s="331">
        <v>0.21</v>
      </c>
      <c r="G8873" s="332">
        <v>8789</v>
      </c>
      <c r="H8873" s="333">
        <v>10635</v>
      </c>
    </row>
    <row r="8874" spans="1:8">
      <c r="A8874" s="317" t="s">
        <v>42138</v>
      </c>
      <c r="B8874" s="330" t="s">
        <v>53230</v>
      </c>
      <c r="C8874" s="330" t="s">
        <v>20441</v>
      </c>
      <c r="D8874" s="330" t="s">
        <v>20437</v>
      </c>
      <c r="E8874" s="330" t="s">
        <v>4819</v>
      </c>
      <c r="F8874" s="331">
        <v>0.21</v>
      </c>
      <c r="G8874" s="332">
        <v>947</v>
      </c>
      <c r="H8874" s="333">
        <v>1146</v>
      </c>
    </row>
    <row r="8875" spans="1:8">
      <c r="A8875" s="317" t="s">
        <v>42139</v>
      </c>
      <c r="B8875" s="330" t="s">
        <v>53231</v>
      </c>
      <c r="C8875" s="330" t="s">
        <v>20442</v>
      </c>
      <c r="D8875" s="330" t="s">
        <v>20437</v>
      </c>
      <c r="E8875" s="330" t="s">
        <v>4819</v>
      </c>
      <c r="F8875" s="331">
        <v>0.21</v>
      </c>
      <c r="G8875" s="332">
        <v>1704</v>
      </c>
      <c r="H8875" s="333">
        <v>2062</v>
      </c>
    </row>
    <row r="8876" spans="1:8">
      <c r="A8876" s="317" t="s">
        <v>42140</v>
      </c>
      <c r="B8876" s="330" t="s">
        <v>53232</v>
      </c>
      <c r="C8876" s="330" t="s">
        <v>20443</v>
      </c>
      <c r="D8876" s="330" t="s">
        <v>20437</v>
      </c>
      <c r="E8876" s="330" t="s">
        <v>4819</v>
      </c>
      <c r="F8876" s="331">
        <v>0.21</v>
      </c>
      <c r="G8876" s="332">
        <v>1102</v>
      </c>
      <c r="H8876" s="333">
        <v>1334</v>
      </c>
    </row>
    <row r="8877" spans="1:8">
      <c r="A8877" s="317" t="s">
        <v>42141</v>
      </c>
      <c r="B8877" s="330" t="s">
        <v>53233</v>
      </c>
      <c r="C8877" s="330" t="s">
        <v>20444</v>
      </c>
      <c r="D8877" s="330" t="s">
        <v>20437</v>
      </c>
      <c r="E8877" s="330" t="s">
        <v>4819</v>
      </c>
      <c r="F8877" s="331">
        <v>0.21</v>
      </c>
      <c r="G8877" s="332">
        <v>1353</v>
      </c>
      <c r="H8877" s="333">
        <v>1638</v>
      </c>
    </row>
    <row r="8878" spans="1:8">
      <c r="A8878" s="317" t="s">
        <v>42142</v>
      </c>
      <c r="B8878" s="330" t="s">
        <v>53234</v>
      </c>
      <c r="C8878" s="330" t="s">
        <v>20445</v>
      </c>
      <c r="D8878" s="330" t="s">
        <v>20437</v>
      </c>
      <c r="E8878" s="330" t="s">
        <v>4819</v>
      </c>
      <c r="F8878" s="331">
        <v>0.21</v>
      </c>
      <c r="G8878" s="332">
        <v>947</v>
      </c>
      <c r="H8878" s="333">
        <v>1146</v>
      </c>
    </row>
    <row r="8879" spans="1:8">
      <c r="A8879" s="317" t="s">
        <v>42143</v>
      </c>
      <c r="B8879" s="330" t="s">
        <v>53235</v>
      </c>
      <c r="C8879" s="330" t="s">
        <v>20446</v>
      </c>
      <c r="D8879" s="330" t="s">
        <v>20437</v>
      </c>
      <c r="E8879" s="330" t="s">
        <v>4819</v>
      </c>
      <c r="F8879" s="331">
        <v>0.21</v>
      </c>
      <c r="G8879" s="332">
        <v>653</v>
      </c>
      <c r="H8879" s="333">
        <v>791</v>
      </c>
    </row>
    <row r="8880" spans="1:8">
      <c r="A8880" s="317" t="s">
        <v>42144</v>
      </c>
      <c r="B8880" s="330" t="s">
        <v>53236</v>
      </c>
      <c r="C8880" s="330" t="s">
        <v>20447</v>
      </c>
      <c r="D8880" s="330" t="s">
        <v>20437</v>
      </c>
      <c r="E8880" s="330" t="s">
        <v>4819</v>
      </c>
      <c r="F8880" s="331">
        <v>0.21</v>
      </c>
      <c r="G8880" s="332">
        <v>553</v>
      </c>
      <c r="H8880" s="333">
        <v>670</v>
      </c>
    </row>
    <row r="8881" spans="1:8">
      <c r="A8881" s="317" t="s">
        <v>42145</v>
      </c>
      <c r="B8881" s="330" t="s">
        <v>53237</v>
      </c>
      <c r="C8881" s="330" t="s">
        <v>20448</v>
      </c>
      <c r="D8881" s="330" t="s">
        <v>20437</v>
      </c>
      <c r="E8881" s="330" t="s">
        <v>4819</v>
      </c>
      <c r="F8881" s="331">
        <v>0.21</v>
      </c>
      <c r="G8881" s="332">
        <v>417</v>
      </c>
      <c r="H8881" s="333">
        <v>505</v>
      </c>
    </row>
    <row r="8882" spans="1:8">
      <c r="A8882" s="317" t="s">
        <v>42146</v>
      </c>
      <c r="B8882" s="330" t="s">
        <v>53238</v>
      </c>
      <c r="C8882" s="330" t="s">
        <v>20449</v>
      </c>
      <c r="D8882" s="330" t="s">
        <v>20437</v>
      </c>
      <c r="E8882" s="330" t="s">
        <v>4819</v>
      </c>
      <c r="F8882" s="331">
        <v>0.21</v>
      </c>
      <c r="G8882" s="332">
        <v>417</v>
      </c>
      <c r="H8882" s="333">
        <v>505</v>
      </c>
    </row>
    <row r="8883" spans="1:8">
      <c r="A8883" s="317" t="s">
        <v>42147</v>
      </c>
      <c r="B8883" s="330" t="s">
        <v>53239</v>
      </c>
      <c r="C8883" s="330" t="s">
        <v>20450</v>
      </c>
      <c r="D8883" s="330" t="s">
        <v>20437</v>
      </c>
      <c r="E8883" s="330" t="s">
        <v>4819</v>
      </c>
      <c r="F8883" s="331">
        <v>0.21</v>
      </c>
      <c r="G8883" s="332">
        <v>764</v>
      </c>
      <c r="H8883" s="333">
        <v>925</v>
      </c>
    </row>
    <row r="8884" spans="1:8">
      <c r="A8884" s="317" t="s">
        <v>42148</v>
      </c>
      <c r="B8884" s="330" t="s">
        <v>53240</v>
      </c>
      <c r="C8884" s="330" t="s">
        <v>20451</v>
      </c>
      <c r="D8884" s="330" t="s">
        <v>20452</v>
      </c>
      <c r="E8884" s="330" t="s">
        <v>4634</v>
      </c>
      <c r="F8884" s="331">
        <v>0.21</v>
      </c>
      <c r="G8884" s="332">
        <v>9467</v>
      </c>
      <c r="H8884" s="333">
        <v>11456</v>
      </c>
    </row>
    <row r="8885" spans="1:8">
      <c r="A8885" s="317" t="s">
        <v>42149</v>
      </c>
      <c r="B8885" s="330" t="s">
        <v>53241</v>
      </c>
      <c r="C8885" s="330" t="s">
        <v>20453</v>
      </c>
      <c r="D8885" s="330" t="s">
        <v>20454</v>
      </c>
      <c r="E8885" s="330" t="s">
        <v>4819</v>
      </c>
      <c r="F8885" s="331">
        <v>0.21</v>
      </c>
      <c r="G8885" s="332">
        <v>397</v>
      </c>
      <c r="H8885" s="333">
        <v>481</v>
      </c>
    </row>
    <row r="8886" spans="1:8">
      <c r="A8886" s="317" t="s">
        <v>42150</v>
      </c>
      <c r="B8886" s="330" t="s">
        <v>53242</v>
      </c>
      <c r="C8886" s="330" t="s">
        <v>20455</v>
      </c>
      <c r="D8886" s="330" t="s">
        <v>20456</v>
      </c>
      <c r="E8886" s="330" t="s">
        <v>4634</v>
      </c>
      <c r="F8886" s="331">
        <v>0.21</v>
      </c>
      <c r="G8886" s="332">
        <v>13545</v>
      </c>
      <c r="H8886" s="333">
        <v>16390</v>
      </c>
    </row>
    <row r="8887" spans="1:8">
      <c r="A8887" s="317" t="s">
        <v>42151</v>
      </c>
      <c r="B8887" s="330" t="s">
        <v>53243</v>
      </c>
      <c r="C8887" s="330" t="s">
        <v>20457</v>
      </c>
      <c r="D8887" s="330" t="s">
        <v>20433</v>
      </c>
      <c r="E8887" s="330" t="s">
        <v>4819</v>
      </c>
      <c r="F8887" s="331">
        <v>0.21</v>
      </c>
      <c r="G8887" s="332">
        <v>13902</v>
      </c>
      <c r="H8887" s="333">
        <v>16822</v>
      </c>
    </row>
    <row r="8888" spans="1:8">
      <c r="A8888" s="317" t="s">
        <v>42152</v>
      </c>
      <c r="B8888" s="330" t="s">
        <v>53244</v>
      </c>
      <c r="C8888" s="330" t="s">
        <v>20458</v>
      </c>
      <c r="D8888" s="330" t="s">
        <v>20411</v>
      </c>
      <c r="E8888" s="330" t="s">
        <v>4819</v>
      </c>
      <c r="F8888" s="331">
        <v>0.21</v>
      </c>
      <c r="G8888" s="332">
        <v>141566</v>
      </c>
      <c r="H8888" s="333">
        <v>171295</v>
      </c>
    </row>
    <row r="8889" spans="1:8">
      <c r="A8889" s="317" t="s">
        <v>42153</v>
      </c>
      <c r="B8889" s="330" t="s">
        <v>53245</v>
      </c>
      <c r="C8889" s="330" t="s">
        <v>20459</v>
      </c>
      <c r="D8889" s="330" t="s">
        <v>20413</v>
      </c>
      <c r="E8889" s="330" t="s">
        <v>4819</v>
      </c>
      <c r="F8889" s="331">
        <v>0.21</v>
      </c>
      <c r="G8889" s="332">
        <v>5753</v>
      </c>
      <c r="H8889" s="333">
        <v>6962</v>
      </c>
    </row>
    <row r="8890" spans="1:8">
      <c r="A8890" s="317" t="s">
        <v>42154</v>
      </c>
      <c r="B8890" s="330" t="s">
        <v>53246</v>
      </c>
      <c r="C8890" s="330" t="s">
        <v>20460</v>
      </c>
      <c r="D8890" s="330" t="s">
        <v>20404</v>
      </c>
      <c r="E8890" s="330" t="s">
        <v>4819</v>
      </c>
      <c r="F8890" s="331">
        <v>0.21</v>
      </c>
      <c r="G8890" s="332">
        <v>3399</v>
      </c>
      <c r="H8890" s="333">
        <v>4113</v>
      </c>
    </row>
    <row r="8891" spans="1:8">
      <c r="A8891" s="317" t="s">
        <v>42155</v>
      </c>
      <c r="B8891" s="330" t="s">
        <v>53247</v>
      </c>
      <c r="C8891" s="330" t="s">
        <v>20461</v>
      </c>
      <c r="D8891" s="330" t="s">
        <v>20411</v>
      </c>
      <c r="E8891" s="330" t="s">
        <v>4819</v>
      </c>
      <c r="F8891" s="331">
        <v>0.21</v>
      </c>
      <c r="G8891" s="332">
        <v>10408</v>
      </c>
      <c r="H8891" s="333">
        <v>12594</v>
      </c>
    </row>
    <row r="8892" spans="1:8">
      <c r="A8892" s="317" t="s">
        <v>42156</v>
      </c>
      <c r="B8892" s="330" t="s">
        <v>53248</v>
      </c>
      <c r="C8892" s="330" t="s">
        <v>20462</v>
      </c>
      <c r="D8892" s="330" t="s">
        <v>20463</v>
      </c>
      <c r="E8892" s="330" t="s">
        <v>4819</v>
      </c>
      <c r="F8892" s="331">
        <v>0.21</v>
      </c>
      <c r="G8892" s="332">
        <v>31324</v>
      </c>
      <c r="H8892" s="333">
        <v>37903</v>
      </c>
    </row>
    <row r="8893" spans="1:8">
      <c r="A8893" s="317" t="s">
        <v>42157</v>
      </c>
      <c r="B8893" s="330" t="s">
        <v>53249</v>
      </c>
      <c r="C8893" s="330" t="s">
        <v>20464</v>
      </c>
      <c r="D8893" s="330" t="s">
        <v>20413</v>
      </c>
      <c r="E8893" s="330" t="s">
        <v>4819</v>
      </c>
      <c r="F8893" s="331">
        <v>0.21</v>
      </c>
      <c r="G8893" s="332">
        <v>6540</v>
      </c>
      <c r="H8893" s="333">
        <v>7914</v>
      </c>
    </row>
    <row r="8894" spans="1:8">
      <c r="A8894" s="317" t="s">
        <v>42158</v>
      </c>
      <c r="B8894" s="330" t="s">
        <v>53250</v>
      </c>
      <c r="C8894" s="330" t="s">
        <v>20465</v>
      </c>
      <c r="D8894" s="330" t="s">
        <v>20466</v>
      </c>
      <c r="E8894" s="330" t="s">
        <v>4819</v>
      </c>
      <c r="F8894" s="331">
        <v>0.21</v>
      </c>
      <c r="G8894" s="332">
        <v>13067</v>
      </c>
      <c r="H8894" s="333">
        <v>15812</v>
      </c>
    </row>
    <row r="8895" spans="1:8">
      <c r="A8895" s="317" t="s">
        <v>42159</v>
      </c>
      <c r="B8895" s="330" t="s">
        <v>53251</v>
      </c>
      <c r="C8895" s="330" t="s">
        <v>20467</v>
      </c>
      <c r="D8895" s="330" t="s">
        <v>20466</v>
      </c>
      <c r="E8895" s="330" t="s">
        <v>4819</v>
      </c>
      <c r="F8895" s="331">
        <v>0.21</v>
      </c>
      <c r="G8895" s="332">
        <v>14707</v>
      </c>
      <c r="H8895" s="333">
        <v>17796</v>
      </c>
    </row>
    <row r="8896" spans="1:8">
      <c r="A8896" s="317" t="s">
        <v>42160</v>
      </c>
      <c r="B8896" s="330" t="s">
        <v>53252</v>
      </c>
      <c r="C8896" s="330" t="s">
        <v>20468</v>
      </c>
      <c r="D8896" s="330" t="s">
        <v>20463</v>
      </c>
      <c r="E8896" s="330" t="s">
        <v>4819</v>
      </c>
      <c r="F8896" s="331">
        <v>0.21</v>
      </c>
      <c r="G8896" s="332">
        <v>20957</v>
      </c>
      <c r="H8896" s="333">
        <v>25358</v>
      </c>
    </row>
    <row r="8897" spans="1:8">
      <c r="A8897" s="317" t="s">
        <v>42161</v>
      </c>
      <c r="B8897" s="330" t="s">
        <v>53253</v>
      </c>
      <c r="C8897" s="330" t="s">
        <v>20469</v>
      </c>
      <c r="D8897" s="330" t="s">
        <v>20470</v>
      </c>
      <c r="E8897" s="330" t="s">
        <v>4819</v>
      </c>
      <c r="F8897" s="331">
        <v>0.21</v>
      </c>
      <c r="G8897" s="332">
        <v>1431</v>
      </c>
      <c r="H8897" s="333">
        <v>1732</v>
      </c>
    </row>
    <row r="8898" spans="1:8">
      <c r="A8898" s="317" t="s">
        <v>42162</v>
      </c>
      <c r="B8898" s="330" t="s">
        <v>53254</v>
      </c>
      <c r="C8898" s="330" t="s">
        <v>20471</v>
      </c>
      <c r="D8898" s="330" t="s">
        <v>20472</v>
      </c>
      <c r="E8898" s="330" t="s">
        <v>4819</v>
      </c>
      <c r="F8898" s="331">
        <v>0.21</v>
      </c>
      <c r="G8898" s="332">
        <v>6540</v>
      </c>
      <c r="H8898" s="333">
        <v>7914</v>
      </c>
    </row>
    <row r="8899" spans="1:8">
      <c r="A8899" s="317" t="s">
        <v>42163</v>
      </c>
      <c r="B8899" s="330" t="s">
        <v>53255</v>
      </c>
      <c r="C8899" s="330" t="s">
        <v>20473</v>
      </c>
      <c r="D8899" s="330" t="s">
        <v>20474</v>
      </c>
      <c r="E8899" s="330" t="s">
        <v>37248</v>
      </c>
      <c r="F8899" s="331">
        <v>0.21</v>
      </c>
      <c r="G8899" s="332">
        <v>934</v>
      </c>
      <c r="H8899" s="333">
        <v>1131</v>
      </c>
    </row>
    <row r="8900" spans="1:8">
      <c r="A8900" s="317" t="s">
        <v>42164</v>
      </c>
      <c r="B8900" s="330" t="s">
        <v>53256</v>
      </c>
      <c r="C8900" s="330" t="s">
        <v>20475</v>
      </c>
      <c r="D8900" s="330" t="s">
        <v>20476</v>
      </c>
      <c r="E8900" s="330" t="s">
        <v>37248</v>
      </c>
      <c r="F8900" s="331">
        <v>0.21</v>
      </c>
      <c r="G8900" s="332">
        <v>3174</v>
      </c>
      <c r="H8900" s="333">
        <v>3841</v>
      </c>
    </row>
    <row r="8901" spans="1:8">
      <c r="A8901" s="317" t="s">
        <v>42165</v>
      </c>
      <c r="B8901" s="330" t="s">
        <v>53257</v>
      </c>
      <c r="C8901" s="330" t="s">
        <v>20477</v>
      </c>
      <c r="D8901" s="330" t="s">
        <v>20478</v>
      </c>
      <c r="E8901" s="330" t="s">
        <v>37248</v>
      </c>
      <c r="F8901" s="331">
        <v>0.21</v>
      </c>
      <c r="G8901" s="332">
        <v>4376</v>
      </c>
      <c r="H8901" s="333">
        <v>5295</v>
      </c>
    </row>
    <row r="8902" spans="1:8">
      <c r="A8902" s="317" t="s">
        <v>42166</v>
      </c>
      <c r="B8902" s="330" t="s">
        <v>53258</v>
      </c>
      <c r="C8902" s="330" t="s">
        <v>20479</v>
      </c>
      <c r="D8902" s="330" t="s">
        <v>20480</v>
      </c>
      <c r="E8902" s="330" t="s">
        <v>4819</v>
      </c>
      <c r="F8902" s="331">
        <v>0.21</v>
      </c>
      <c r="G8902" s="332">
        <v>18209</v>
      </c>
      <c r="H8902" s="333">
        <v>22033</v>
      </c>
    </row>
    <row r="8903" spans="1:8">
      <c r="A8903" s="317" t="s">
        <v>42167</v>
      </c>
      <c r="B8903" s="330" t="s">
        <v>53259</v>
      </c>
      <c r="C8903" s="330" t="s">
        <v>20481</v>
      </c>
      <c r="D8903" s="330" t="s">
        <v>20480</v>
      </c>
      <c r="E8903" s="330" t="s">
        <v>4819</v>
      </c>
      <c r="F8903" s="331">
        <v>0.21</v>
      </c>
      <c r="G8903" s="332">
        <v>18209</v>
      </c>
      <c r="H8903" s="333">
        <v>22033</v>
      </c>
    </row>
    <row r="8904" spans="1:8">
      <c r="A8904" s="317" t="s">
        <v>42168</v>
      </c>
      <c r="B8904" s="330" t="s">
        <v>53260</v>
      </c>
      <c r="C8904" s="330" t="s">
        <v>20482</v>
      </c>
      <c r="D8904" s="330" t="s">
        <v>20483</v>
      </c>
      <c r="E8904" s="330" t="s">
        <v>4819</v>
      </c>
      <c r="F8904" s="331">
        <v>0.21</v>
      </c>
      <c r="G8904" s="332">
        <v>1835</v>
      </c>
      <c r="H8904" s="333">
        <v>2221</v>
      </c>
    </row>
    <row r="8905" spans="1:8">
      <c r="A8905" s="317" t="s">
        <v>42169</v>
      </c>
      <c r="B8905" s="330" t="s">
        <v>53261</v>
      </c>
      <c r="C8905" s="330" t="s">
        <v>20484</v>
      </c>
      <c r="D8905" s="330" t="s">
        <v>20485</v>
      </c>
      <c r="E8905" s="330" t="s">
        <v>4819</v>
      </c>
      <c r="F8905" s="331">
        <v>0.21</v>
      </c>
      <c r="G8905" s="332">
        <v>15325</v>
      </c>
      <c r="H8905" s="333">
        <v>18544</v>
      </c>
    </row>
    <row r="8906" spans="1:8">
      <c r="A8906" s="317" t="s">
        <v>42170</v>
      </c>
      <c r="B8906" s="330" t="s">
        <v>53262</v>
      </c>
      <c r="C8906" s="330" t="s">
        <v>20486</v>
      </c>
      <c r="D8906" s="330" t="s">
        <v>20480</v>
      </c>
      <c r="E8906" s="330" t="s">
        <v>4819</v>
      </c>
      <c r="F8906" s="331">
        <v>0.21</v>
      </c>
      <c r="G8906" s="332">
        <v>9864</v>
      </c>
      <c r="H8906" s="333">
        <v>11936</v>
      </c>
    </row>
    <row r="8907" spans="1:8">
      <c r="A8907" s="317" t="s">
        <v>42171</v>
      </c>
      <c r="B8907" s="330" t="s">
        <v>53263</v>
      </c>
      <c r="C8907" s="330" t="s">
        <v>20487</v>
      </c>
      <c r="D8907" s="330" t="s">
        <v>20488</v>
      </c>
      <c r="E8907" s="330" t="s">
        <v>37248</v>
      </c>
      <c r="F8907" s="331">
        <v>0.21</v>
      </c>
      <c r="G8907" s="332">
        <v>14461</v>
      </c>
      <c r="H8907" s="333">
        <v>17498</v>
      </c>
    </row>
    <row r="8908" spans="1:8">
      <c r="A8908" s="317" t="s">
        <v>42172</v>
      </c>
      <c r="B8908" s="330" t="s">
        <v>53264</v>
      </c>
      <c r="C8908" s="330" t="s">
        <v>20489</v>
      </c>
      <c r="D8908" s="330" t="s">
        <v>20490</v>
      </c>
      <c r="E8908" s="330" t="s">
        <v>4819</v>
      </c>
      <c r="F8908" s="331">
        <v>0.21</v>
      </c>
      <c r="G8908" s="332">
        <v>57395</v>
      </c>
      <c r="H8908" s="333">
        <v>69448</v>
      </c>
    </row>
    <row r="8909" spans="1:8">
      <c r="A8909" s="317" t="s">
        <v>42173</v>
      </c>
      <c r="B8909" s="330" t="s">
        <v>53265</v>
      </c>
      <c r="C8909" s="330" t="s">
        <v>20491</v>
      </c>
      <c r="D8909" s="330" t="s">
        <v>10700</v>
      </c>
      <c r="E8909" s="330" t="s">
        <v>4819</v>
      </c>
      <c r="F8909" s="331">
        <v>0.21</v>
      </c>
      <c r="G8909" s="332">
        <v>780</v>
      </c>
      <c r="H8909" s="333">
        <v>944</v>
      </c>
    </row>
    <row r="8910" spans="1:8">
      <c r="A8910" s="317" t="s">
        <v>42174</v>
      </c>
      <c r="B8910" s="330" t="s">
        <v>53266</v>
      </c>
      <c r="C8910" s="330" t="s">
        <v>20492</v>
      </c>
      <c r="D8910" s="330" t="s">
        <v>20493</v>
      </c>
      <c r="E8910" s="330" t="s">
        <v>37248</v>
      </c>
      <c r="F8910" s="331">
        <v>0.21</v>
      </c>
      <c r="G8910" s="332">
        <v>34558</v>
      </c>
      <c r="H8910" s="333">
        <v>41816</v>
      </c>
    </row>
    <row r="8911" spans="1:8">
      <c r="A8911" s="317" t="s">
        <v>42175</v>
      </c>
      <c r="B8911" s="330" t="s">
        <v>53267</v>
      </c>
      <c r="C8911" s="330" t="s">
        <v>20494</v>
      </c>
      <c r="D8911" s="330" t="s">
        <v>20495</v>
      </c>
      <c r="E8911" s="330" t="s">
        <v>37248</v>
      </c>
      <c r="F8911" s="331">
        <v>0.21</v>
      </c>
      <c r="G8911" s="332">
        <v>2529</v>
      </c>
      <c r="H8911" s="333">
        <v>3061</v>
      </c>
    </row>
    <row r="8912" spans="1:8">
      <c r="A8912" s="317" t="s">
        <v>42176</v>
      </c>
      <c r="B8912" s="330" t="s">
        <v>53268</v>
      </c>
      <c r="C8912" s="330" t="s">
        <v>20496</v>
      </c>
      <c r="D8912" s="330" t="s">
        <v>20497</v>
      </c>
      <c r="E8912" s="330" t="s">
        <v>37248</v>
      </c>
      <c r="F8912" s="331">
        <v>0.21</v>
      </c>
      <c r="G8912" s="332">
        <v>1295</v>
      </c>
      <c r="H8912" s="333">
        <v>1567</v>
      </c>
    </row>
    <row r="8913" spans="1:8">
      <c r="A8913" s="317" t="s">
        <v>42177</v>
      </c>
      <c r="B8913" s="330" t="s">
        <v>53269</v>
      </c>
      <c r="C8913" s="330" t="s">
        <v>20498</v>
      </c>
      <c r="D8913" s="330" t="s">
        <v>10495</v>
      </c>
      <c r="E8913" s="330" t="s">
        <v>4634</v>
      </c>
      <c r="F8913" s="331">
        <v>0.21</v>
      </c>
      <c r="G8913" s="332">
        <v>490</v>
      </c>
      <c r="H8913" s="333">
        <v>593</v>
      </c>
    </row>
    <row r="8914" spans="1:8">
      <c r="A8914" s="317" t="s">
        <v>42178</v>
      </c>
      <c r="B8914" s="330" t="s">
        <v>53270</v>
      </c>
      <c r="C8914" s="330" t="s">
        <v>20499</v>
      </c>
      <c r="D8914" s="330" t="s">
        <v>20500</v>
      </c>
      <c r="E8914" s="330" t="s">
        <v>4819</v>
      </c>
      <c r="F8914" s="331">
        <v>0.21</v>
      </c>
      <c r="G8914" s="332">
        <v>9697</v>
      </c>
      <c r="H8914" s="333">
        <v>11734</v>
      </c>
    </row>
    <row r="8915" spans="1:8">
      <c r="A8915" s="317" t="s">
        <v>42179</v>
      </c>
      <c r="B8915" s="330" t="s">
        <v>53271</v>
      </c>
      <c r="C8915" s="330" t="s">
        <v>20501</v>
      </c>
      <c r="D8915" s="330" t="s">
        <v>20502</v>
      </c>
      <c r="E8915" s="330" t="s">
        <v>37248</v>
      </c>
      <c r="F8915" s="331">
        <v>0.21</v>
      </c>
      <c r="G8915" s="332">
        <v>11635</v>
      </c>
      <c r="H8915" s="333">
        <v>14079</v>
      </c>
    </row>
    <row r="8916" spans="1:8">
      <c r="A8916" s="317" t="s">
        <v>42180</v>
      </c>
      <c r="B8916" s="330" t="s">
        <v>53272</v>
      </c>
      <c r="C8916" s="330" t="s">
        <v>20503</v>
      </c>
      <c r="D8916" s="330" t="s">
        <v>20504</v>
      </c>
      <c r="E8916" s="330" t="s">
        <v>4819</v>
      </c>
      <c r="F8916" s="331">
        <v>0.21</v>
      </c>
      <c r="G8916" s="332">
        <v>292</v>
      </c>
      <c r="H8916" s="333">
        <v>354</v>
      </c>
    </row>
    <row r="8917" spans="1:8">
      <c r="A8917" s="317" t="s">
        <v>42181</v>
      </c>
      <c r="B8917" s="330" t="s">
        <v>53273</v>
      </c>
      <c r="C8917" s="330" t="s">
        <v>20505</v>
      </c>
      <c r="D8917" s="330" t="s">
        <v>20506</v>
      </c>
      <c r="E8917" s="330" t="s">
        <v>4819</v>
      </c>
      <c r="F8917" s="331">
        <v>0.21</v>
      </c>
      <c r="G8917" s="332">
        <v>579</v>
      </c>
      <c r="H8917" s="333">
        <v>701</v>
      </c>
    </row>
    <row r="8918" spans="1:8">
      <c r="A8918" s="317" t="s">
        <v>42182</v>
      </c>
      <c r="B8918" s="330" t="s">
        <v>53274</v>
      </c>
      <c r="C8918" s="330" t="s">
        <v>20507</v>
      </c>
      <c r="D8918" s="330" t="s">
        <v>20508</v>
      </c>
      <c r="E8918" s="330" t="s">
        <v>4819</v>
      </c>
      <c r="F8918" s="331">
        <v>0.21</v>
      </c>
      <c r="G8918" s="332">
        <v>265</v>
      </c>
      <c r="H8918" s="333">
        <v>321</v>
      </c>
    </row>
    <row r="8919" spans="1:8">
      <c r="A8919" s="317" t="s">
        <v>42183</v>
      </c>
      <c r="B8919" s="330" t="s">
        <v>53275</v>
      </c>
      <c r="C8919" s="330" t="s">
        <v>20509</v>
      </c>
      <c r="D8919" s="330" t="s">
        <v>20510</v>
      </c>
      <c r="E8919" s="330" t="s">
        <v>4819</v>
      </c>
      <c r="F8919" s="331">
        <v>0.21</v>
      </c>
      <c r="G8919" s="332">
        <v>265</v>
      </c>
      <c r="H8919" s="333">
        <v>321</v>
      </c>
    </row>
    <row r="8920" spans="1:8">
      <c r="A8920" s="317" t="s">
        <v>42184</v>
      </c>
      <c r="B8920" s="330" t="s">
        <v>53276</v>
      </c>
      <c r="C8920" s="330" t="s">
        <v>20511</v>
      </c>
      <c r="D8920" s="330" t="s">
        <v>20504</v>
      </c>
      <c r="E8920" s="330" t="s">
        <v>4819</v>
      </c>
      <c r="F8920" s="331">
        <v>0.21</v>
      </c>
      <c r="G8920" s="332">
        <v>292</v>
      </c>
      <c r="H8920" s="333">
        <v>354</v>
      </c>
    </row>
    <row r="8921" spans="1:8">
      <c r="A8921" s="317" t="s">
        <v>42185</v>
      </c>
      <c r="B8921" s="330" t="s">
        <v>53277</v>
      </c>
      <c r="C8921" s="330" t="s">
        <v>20512</v>
      </c>
      <c r="D8921" s="330" t="s">
        <v>20513</v>
      </c>
      <c r="E8921" s="330" t="s">
        <v>37248</v>
      </c>
      <c r="F8921" s="331">
        <v>0.21</v>
      </c>
      <c r="G8921" s="332">
        <v>292</v>
      </c>
      <c r="H8921" s="333">
        <v>354</v>
      </c>
    </row>
    <row r="8922" spans="1:8">
      <c r="A8922" s="317" t="s">
        <v>42186</v>
      </c>
      <c r="B8922" s="330" t="s">
        <v>53278</v>
      </c>
      <c r="C8922" s="330" t="s">
        <v>20514</v>
      </c>
      <c r="D8922" s="330" t="s">
        <v>20513</v>
      </c>
      <c r="E8922" s="330" t="s">
        <v>37248</v>
      </c>
      <c r="F8922" s="331">
        <v>0.21</v>
      </c>
      <c r="G8922" s="332">
        <v>292</v>
      </c>
      <c r="H8922" s="333">
        <v>354</v>
      </c>
    </row>
    <row r="8923" spans="1:8">
      <c r="A8923" s="317" t="s">
        <v>42187</v>
      </c>
      <c r="B8923" s="330" t="s">
        <v>53279</v>
      </c>
      <c r="C8923" s="330" t="s">
        <v>20515</v>
      </c>
      <c r="D8923" s="330" t="s">
        <v>20516</v>
      </c>
      <c r="E8923" s="330" t="s">
        <v>37248</v>
      </c>
      <c r="F8923" s="331">
        <v>0.21</v>
      </c>
      <c r="G8923" s="332">
        <v>265</v>
      </c>
      <c r="H8923" s="333">
        <v>321</v>
      </c>
    </row>
    <row r="8924" spans="1:8">
      <c r="A8924" s="317" t="s">
        <v>42188</v>
      </c>
      <c r="B8924" s="330" t="s">
        <v>53280</v>
      </c>
      <c r="C8924" s="330" t="s">
        <v>20517</v>
      </c>
      <c r="D8924" s="330" t="s">
        <v>20518</v>
      </c>
      <c r="E8924" s="330" t="s">
        <v>37248</v>
      </c>
      <c r="F8924" s="331">
        <v>0.21</v>
      </c>
      <c r="G8924" s="332">
        <v>435</v>
      </c>
      <c r="H8924" s="333">
        <v>527</v>
      </c>
    </row>
    <row r="8925" spans="1:8">
      <c r="A8925" s="317" t="s">
        <v>42189</v>
      </c>
      <c r="B8925" s="330" t="s">
        <v>53281</v>
      </c>
      <c r="C8925" s="330" t="s">
        <v>20519</v>
      </c>
      <c r="D8925" s="330" t="s">
        <v>20520</v>
      </c>
      <c r="E8925" s="330" t="s">
        <v>4819</v>
      </c>
      <c r="F8925" s="331">
        <v>0.21</v>
      </c>
      <c r="G8925" s="332">
        <v>265</v>
      </c>
      <c r="H8925" s="333">
        <v>321</v>
      </c>
    </row>
    <row r="8926" spans="1:8">
      <c r="A8926" s="317" t="s">
        <v>42190</v>
      </c>
      <c r="B8926" s="330" t="s">
        <v>53282</v>
      </c>
      <c r="C8926" s="330" t="s">
        <v>20521</v>
      </c>
      <c r="D8926" s="330" t="s">
        <v>20522</v>
      </c>
      <c r="E8926" s="330" t="s">
        <v>4819</v>
      </c>
      <c r="F8926" s="331">
        <v>0.21</v>
      </c>
      <c r="G8926" s="332">
        <v>292</v>
      </c>
      <c r="H8926" s="333">
        <v>354</v>
      </c>
    </row>
    <row r="8927" spans="1:8">
      <c r="A8927" s="317" t="s">
        <v>42191</v>
      </c>
      <c r="B8927" s="330" t="s">
        <v>53283</v>
      </c>
      <c r="C8927" s="330" t="s">
        <v>20523</v>
      </c>
      <c r="D8927" s="330" t="s">
        <v>20524</v>
      </c>
      <c r="E8927" s="330" t="s">
        <v>4819</v>
      </c>
      <c r="F8927" s="331">
        <v>0.21</v>
      </c>
      <c r="G8927" s="332">
        <v>292</v>
      </c>
      <c r="H8927" s="333">
        <v>354</v>
      </c>
    </row>
    <row r="8928" spans="1:8">
      <c r="A8928" s="317" t="s">
        <v>42192</v>
      </c>
      <c r="B8928" s="330" t="s">
        <v>53284</v>
      </c>
      <c r="C8928" s="330" t="s">
        <v>20525</v>
      </c>
      <c r="D8928" s="330" t="s">
        <v>20526</v>
      </c>
      <c r="E8928" s="330" t="s">
        <v>37248</v>
      </c>
      <c r="F8928" s="331">
        <v>0.21</v>
      </c>
      <c r="G8928" s="332">
        <v>265</v>
      </c>
      <c r="H8928" s="333">
        <v>321</v>
      </c>
    </row>
    <row r="8929" spans="1:8">
      <c r="A8929" s="317" t="s">
        <v>42193</v>
      </c>
      <c r="B8929" s="330" t="s">
        <v>53285</v>
      </c>
      <c r="C8929" s="330" t="s">
        <v>20527</v>
      </c>
      <c r="D8929" s="330" t="s">
        <v>20528</v>
      </c>
      <c r="E8929" s="330" t="s">
        <v>4819</v>
      </c>
      <c r="F8929" s="331">
        <v>0.21</v>
      </c>
      <c r="G8929" s="332">
        <v>2844</v>
      </c>
      <c r="H8929" s="333">
        <v>3442</v>
      </c>
    </row>
    <row r="8930" spans="1:8">
      <c r="A8930" s="317" t="s">
        <v>42194</v>
      </c>
      <c r="B8930" s="330" t="s">
        <v>53286</v>
      </c>
      <c r="C8930" s="330" t="s">
        <v>20529</v>
      </c>
      <c r="D8930" s="330" t="s">
        <v>20530</v>
      </c>
      <c r="E8930" s="330" t="s">
        <v>37248</v>
      </c>
      <c r="F8930" s="331">
        <v>0.21</v>
      </c>
      <c r="G8930" s="332">
        <v>5021</v>
      </c>
      <c r="H8930" s="333">
        <v>6076</v>
      </c>
    </row>
    <row r="8931" spans="1:8">
      <c r="A8931" s="317" t="s">
        <v>42195</v>
      </c>
      <c r="B8931" s="330" t="s">
        <v>53287</v>
      </c>
      <c r="C8931" s="330" t="s">
        <v>20531</v>
      </c>
      <c r="D8931" s="330" t="s">
        <v>20532</v>
      </c>
      <c r="E8931" s="330" t="s">
        <v>4819</v>
      </c>
      <c r="F8931" s="331">
        <v>0.21</v>
      </c>
      <c r="G8931" s="332">
        <v>292</v>
      </c>
      <c r="H8931" s="333">
        <v>354</v>
      </c>
    </row>
    <row r="8932" spans="1:8">
      <c r="A8932" s="317" t="s">
        <v>42196</v>
      </c>
      <c r="B8932" s="330" t="s">
        <v>53288</v>
      </c>
      <c r="C8932" s="330" t="s">
        <v>20533</v>
      </c>
      <c r="D8932" s="330" t="s">
        <v>20524</v>
      </c>
      <c r="E8932" s="330" t="s">
        <v>4819</v>
      </c>
      <c r="F8932" s="331">
        <v>0.21</v>
      </c>
      <c r="G8932" s="332">
        <v>292</v>
      </c>
      <c r="H8932" s="333">
        <v>354</v>
      </c>
    </row>
    <row r="8933" spans="1:8">
      <c r="A8933" s="317" t="s">
        <v>42197</v>
      </c>
      <c r="B8933" s="330" t="s">
        <v>53289</v>
      </c>
      <c r="C8933" s="330" t="s">
        <v>20534</v>
      </c>
      <c r="D8933" s="330" t="s">
        <v>20535</v>
      </c>
      <c r="E8933" s="330" t="s">
        <v>4819</v>
      </c>
      <c r="F8933" s="331">
        <v>0.21</v>
      </c>
      <c r="G8933" s="332">
        <v>1626</v>
      </c>
      <c r="H8933" s="333">
        <v>1968</v>
      </c>
    </row>
    <row r="8934" spans="1:8">
      <c r="A8934" s="317" t="s">
        <v>42198</v>
      </c>
      <c r="B8934" s="330" t="s">
        <v>53290</v>
      </c>
      <c r="C8934" s="330" t="s">
        <v>20536</v>
      </c>
      <c r="D8934" s="330" t="s">
        <v>20537</v>
      </c>
      <c r="E8934" s="330" t="s">
        <v>4819</v>
      </c>
      <c r="F8934" s="331">
        <v>0.21</v>
      </c>
      <c r="G8934" s="332">
        <v>292</v>
      </c>
      <c r="H8934" s="333">
        <v>354</v>
      </c>
    </row>
    <row r="8935" spans="1:8">
      <c r="A8935" s="317" t="s">
        <v>42199</v>
      </c>
      <c r="B8935" s="330" t="s">
        <v>53291</v>
      </c>
      <c r="C8935" s="330" t="s">
        <v>20538</v>
      </c>
      <c r="D8935" s="330" t="s">
        <v>20508</v>
      </c>
      <c r="E8935" s="330" t="s">
        <v>37248</v>
      </c>
      <c r="F8935" s="331">
        <v>0.21</v>
      </c>
      <c r="G8935" s="332">
        <v>292</v>
      </c>
      <c r="H8935" s="333">
        <v>354</v>
      </c>
    </row>
    <row r="8936" spans="1:8">
      <c r="A8936" s="317" t="s">
        <v>42200</v>
      </c>
      <c r="B8936" s="330" t="s">
        <v>53292</v>
      </c>
      <c r="C8936" s="330" t="s">
        <v>20539</v>
      </c>
      <c r="D8936" s="330" t="s">
        <v>20526</v>
      </c>
      <c r="E8936" s="330" t="s">
        <v>37248</v>
      </c>
      <c r="F8936" s="331">
        <v>0.21</v>
      </c>
      <c r="G8936" s="332">
        <v>292</v>
      </c>
      <c r="H8936" s="333">
        <v>354</v>
      </c>
    </row>
    <row r="8937" spans="1:8">
      <c r="A8937" s="317" t="s">
        <v>42201</v>
      </c>
      <c r="B8937" s="330" t="s">
        <v>53293</v>
      </c>
      <c r="C8937" s="330" t="s">
        <v>20540</v>
      </c>
      <c r="D8937" s="330" t="s">
        <v>20541</v>
      </c>
      <c r="E8937" s="330" t="s">
        <v>37248</v>
      </c>
      <c r="F8937" s="331">
        <v>0.21</v>
      </c>
      <c r="G8937" s="332">
        <v>2529</v>
      </c>
      <c r="H8937" s="333">
        <v>3061</v>
      </c>
    </row>
    <row r="8938" spans="1:8">
      <c r="A8938" s="317" t="s">
        <v>42202</v>
      </c>
      <c r="B8938" s="330" t="s">
        <v>53294</v>
      </c>
      <c r="C8938" s="330" t="s">
        <v>20542</v>
      </c>
      <c r="D8938" s="330" t="s">
        <v>20526</v>
      </c>
      <c r="E8938" s="330" t="s">
        <v>37248</v>
      </c>
      <c r="F8938" s="331">
        <v>0.21</v>
      </c>
      <c r="G8938" s="332">
        <v>292</v>
      </c>
      <c r="H8938" s="333">
        <v>354</v>
      </c>
    </row>
    <row r="8939" spans="1:8">
      <c r="A8939" s="317" t="s">
        <v>42203</v>
      </c>
      <c r="B8939" s="330" t="s">
        <v>53295</v>
      </c>
      <c r="C8939" s="330" t="s">
        <v>20543</v>
      </c>
      <c r="D8939" s="330" t="s">
        <v>20544</v>
      </c>
      <c r="E8939" s="330" t="s">
        <v>37248</v>
      </c>
      <c r="F8939" s="331">
        <v>0.21</v>
      </c>
      <c r="G8939" s="332">
        <v>934</v>
      </c>
      <c r="H8939" s="333">
        <v>1131</v>
      </c>
    </row>
    <row r="8940" spans="1:8">
      <c r="A8940" s="317" t="s">
        <v>42204</v>
      </c>
      <c r="B8940" s="330" t="s">
        <v>53296</v>
      </c>
      <c r="C8940" s="330" t="s">
        <v>20545</v>
      </c>
      <c r="D8940" s="330" t="s">
        <v>20546</v>
      </c>
      <c r="E8940" s="330" t="s">
        <v>37248</v>
      </c>
      <c r="F8940" s="331">
        <v>0.21</v>
      </c>
      <c r="G8940" s="332">
        <v>292</v>
      </c>
      <c r="H8940" s="333">
        <v>354</v>
      </c>
    </row>
    <row r="8941" spans="1:8">
      <c r="A8941" s="317" t="s">
        <v>42205</v>
      </c>
      <c r="B8941" s="330" t="s">
        <v>53297</v>
      </c>
      <c r="C8941" s="330" t="s">
        <v>20547</v>
      </c>
      <c r="D8941" s="330" t="s">
        <v>10495</v>
      </c>
      <c r="E8941" s="330" t="s">
        <v>4634</v>
      </c>
      <c r="F8941" s="331">
        <v>0.21</v>
      </c>
      <c r="G8941" s="332">
        <v>490</v>
      </c>
      <c r="H8941" s="333">
        <v>593</v>
      </c>
    </row>
    <row r="8942" spans="1:8">
      <c r="A8942" s="317" t="s">
        <v>42206</v>
      </c>
      <c r="B8942" s="330" t="s">
        <v>53298</v>
      </c>
      <c r="C8942" s="330" t="s">
        <v>20548</v>
      </c>
      <c r="D8942" s="330" t="s">
        <v>20549</v>
      </c>
      <c r="E8942" s="330" t="s">
        <v>37248</v>
      </c>
      <c r="F8942" s="331">
        <v>0.21</v>
      </c>
      <c r="G8942" s="332">
        <v>934</v>
      </c>
      <c r="H8942" s="333">
        <v>1131</v>
      </c>
    </row>
    <row r="8943" spans="1:8">
      <c r="A8943" s="317" t="s">
        <v>42207</v>
      </c>
      <c r="B8943" s="330" t="s">
        <v>53299</v>
      </c>
      <c r="C8943" s="330" t="s">
        <v>20550</v>
      </c>
      <c r="D8943" s="330" t="s">
        <v>20551</v>
      </c>
      <c r="E8943" s="330" t="s">
        <v>4819</v>
      </c>
      <c r="F8943" s="331">
        <v>0.21</v>
      </c>
      <c r="G8943" s="332">
        <v>1469</v>
      </c>
      <c r="H8943" s="333">
        <v>1778</v>
      </c>
    </row>
    <row r="8944" spans="1:8">
      <c r="A8944" s="317" t="s">
        <v>42208</v>
      </c>
      <c r="B8944" s="330" t="s">
        <v>53300</v>
      </c>
      <c r="C8944" s="330" t="s">
        <v>20552</v>
      </c>
      <c r="D8944" s="330" t="s">
        <v>20551</v>
      </c>
      <c r="E8944" s="330" t="s">
        <v>37248</v>
      </c>
      <c r="F8944" s="331">
        <v>0.21</v>
      </c>
      <c r="G8944" s="332">
        <v>1853</v>
      </c>
      <c r="H8944" s="333">
        <v>2243</v>
      </c>
    </row>
    <row r="8945" spans="1:8">
      <c r="A8945" s="317" t="s">
        <v>42209</v>
      </c>
      <c r="B8945" s="330" t="s">
        <v>53301</v>
      </c>
      <c r="C8945" s="330" t="s">
        <v>20553</v>
      </c>
      <c r="D8945" s="330" t="s">
        <v>20554</v>
      </c>
      <c r="E8945" s="330" t="s">
        <v>4819</v>
      </c>
      <c r="F8945" s="331">
        <v>0.21</v>
      </c>
      <c r="G8945" s="332">
        <v>7740</v>
      </c>
      <c r="H8945" s="333">
        <v>9366</v>
      </c>
    </row>
    <row r="8946" spans="1:8">
      <c r="A8946" s="317" t="s">
        <v>42210</v>
      </c>
      <c r="B8946" s="330" t="s">
        <v>53302</v>
      </c>
      <c r="C8946" s="330" t="s">
        <v>20555</v>
      </c>
      <c r="D8946" s="330" t="s">
        <v>20556</v>
      </c>
      <c r="E8946" s="330" t="s">
        <v>37248</v>
      </c>
      <c r="F8946" s="331">
        <v>0.21</v>
      </c>
      <c r="G8946" s="332">
        <v>579</v>
      </c>
      <c r="H8946" s="333">
        <v>701</v>
      </c>
    </row>
    <row r="8947" spans="1:8">
      <c r="A8947" s="317" t="s">
        <v>42211</v>
      </c>
      <c r="B8947" s="330" t="s">
        <v>53303</v>
      </c>
      <c r="C8947" s="330" t="s">
        <v>20557</v>
      </c>
      <c r="D8947" s="330" t="s">
        <v>20556</v>
      </c>
      <c r="E8947" s="330" t="s">
        <v>37248</v>
      </c>
      <c r="F8947" s="331">
        <v>0.21</v>
      </c>
      <c r="G8947" s="332">
        <v>435</v>
      </c>
      <c r="H8947" s="333">
        <v>527</v>
      </c>
    </row>
    <row r="8948" spans="1:8">
      <c r="A8948" s="317" t="s">
        <v>42212</v>
      </c>
      <c r="B8948" s="330" t="s">
        <v>53304</v>
      </c>
      <c r="C8948" s="330" t="s">
        <v>20558</v>
      </c>
      <c r="D8948" s="330" t="s">
        <v>20556</v>
      </c>
      <c r="E8948" s="330" t="s">
        <v>37248</v>
      </c>
      <c r="F8948" s="331">
        <v>0.21</v>
      </c>
      <c r="G8948" s="332">
        <v>296</v>
      </c>
      <c r="H8948" s="333">
        <v>359</v>
      </c>
    </row>
    <row r="8949" spans="1:8">
      <c r="A8949" s="317" t="s">
        <v>42213</v>
      </c>
      <c r="B8949" s="330" t="s">
        <v>53305</v>
      </c>
      <c r="C8949" s="330" t="s">
        <v>20559</v>
      </c>
      <c r="D8949" s="330" t="s">
        <v>20560</v>
      </c>
      <c r="E8949" s="330" t="s">
        <v>37248</v>
      </c>
      <c r="F8949" s="331">
        <v>0.21</v>
      </c>
      <c r="G8949" s="332">
        <v>435</v>
      </c>
      <c r="H8949" s="333">
        <v>527</v>
      </c>
    </row>
    <row r="8950" spans="1:8">
      <c r="A8950" s="317" t="s">
        <v>42214</v>
      </c>
      <c r="B8950" s="330" t="s">
        <v>53306</v>
      </c>
      <c r="C8950" s="330" t="s">
        <v>20561</v>
      </c>
      <c r="D8950" s="330" t="s">
        <v>20562</v>
      </c>
      <c r="E8950" s="330" t="s">
        <v>37248</v>
      </c>
      <c r="F8950" s="331">
        <v>0.21</v>
      </c>
      <c r="G8950" s="332">
        <v>435</v>
      </c>
      <c r="H8950" s="333">
        <v>527</v>
      </c>
    </row>
    <row r="8951" spans="1:8">
      <c r="A8951" s="317" t="s">
        <v>42215</v>
      </c>
      <c r="B8951" s="330" t="s">
        <v>53307</v>
      </c>
      <c r="C8951" s="330" t="s">
        <v>20563</v>
      </c>
      <c r="D8951" s="330" t="s">
        <v>20560</v>
      </c>
      <c r="E8951" s="330" t="s">
        <v>37248</v>
      </c>
      <c r="F8951" s="331">
        <v>0.21</v>
      </c>
      <c r="G8951" s="332">
        <v>435</v>
      </c>
      <c r="H8951" s="333">
        <v>527</v>
      </c>
    </row>
    <row r="8952" spans="1:8">
      <c r="A8952" s="317" t="s">
        <v>42216</v>
      </c>
      <c r="B8952" s="330" t="s">
        <v>53308</v>
      </c>
      <c r="C8952" s="330" t="s">
        <v>20564</v>
      </c>
      <c r="D8952" s="330" t="s">
        <v>20565</v>
      </c>
      <c r="E8952" s="330" t="s">
        <v>37248</v>
      </c>
      <c r="F8952" s="331">
        <v>0.21</v>
      </c>
      <c r="G8952" s="332">
        <v>658</v>
      </c>
      <c r="H8952" s="333">
        <v>797</v>
      </c>
    </row>
    <row r="8953" spans="1:8">
      <c r="A8953" s="317" t="s">
        <v>42217</v>
      </c>
      <c r="B8953" s="330" t="s">
        <v>53309</v>
      </c>
      <c r="C8953" s="330" t="s">
        <v>20566</v>
      </c>
      <c r="D8953" s="330" t="s">
        <v>20567</v>
      </c>
      <c r="E8953" s="330" t="s">
        <v>37248</v>
      </c>
      <c r="F8953" s="331">
        <v>0.21</v>
      </c>
      <c r="G8953" s="332">
        <v>3934</v>
      </c>
      <c r="H8953" s="333">
        <v>4761</v>
      </c>
    </row>
    <row r="8954" spans="1:8">
      <c r="A8954" s="317" t="s">
        <v>42218</v>
      </c>
      <c r="B8954" s="330" t="s">
        <v>53310</v>
      </c>
      <c r="C8954" s="330" t="s">
        <v>20568</v>
      </c>
      <c r="D8954" s="330" t="s">
        <v>20569</v>
      </c>
      <c r="E8954" s="330" t="s">
        <v>37248</v>
      </c>
      <c r="F8954" s="331">
        <v>0.21</v>
      </c>
      <c r="G8954" s="332">
        <v>1052</v>
      </c>
      <c r="H8954" s="333">
        <v>1273</v>
      </c>
    </row>
    <row r="8955" spans="1:8">
      <c r="A8955" s="317" t="s">
        <v>42219</v>
      </c>
      <c r="B8955" s="330" t="s">
        <v>53311</v>
      </c>
      <c r="C8955" s="330" t="s">
        <v>20570</v>
      </c>
      <c r="D8955" s="330" t="s">
        <v>20571</v>
      </c>
      <c r="E8955" s="330" t="s">
        <v>37248</v>
      </c>
      <c r="F8955" s="331">
        <v>0.21</v>
      </c>
      <c r="G8955" s="332">
        <v>339</v>
      </c>
      <c r="H8955" s="333">
        <v>411</v>
      </c>
    </row>
    <row r="8956" spans="1:8">
      <c r="A8956" s="317" t="s">
        <v>42220</v>
      </c>
      <c r="B8956" s="330" t="s">
        <v>53312</v>
      </c>
      <c r="C8956" s="330" t="s">
        <v>20572</v>
      </c>
      <c r="D8956" s="330" t="s">
        <v>20573</v>
      </c>
      <c r="E8956" s="330" t="s">
        <v>37248</v>
      </c>
      <c r="F8956" s="331">
        <v>0.21</v>
      </c>
      <c r="G8956" s="332">
        <v>4606</v>
      </c>
      <c r="H8956" s="333">
        <v>5574</v>
      </c>
    </row>
    <row r="8957" spans="1:8">
      <c r="A8957" s="317" t="s">
        <v>42221</v>
      </c>
      <c r="B8957" s="330" t="s">
        <v>53313</v>
      </c>
      <c r="C8957" s="330" t="s">
        <v>20574</v>
      </c>
      <c r="D8957" s="330" t="s">
        <v>9487</v>
      </c>
      <c r="E8957" s="330" t="s">
        <v>37248</v>
      </c>
      <c r="F8957" s="331">
        <v>0.21</v>
      </c>
      <c r="G8957" s="332">
        <v>16273</v>
      </c>
      <c r="H8957" s="333">
        <v>19691</v>
      </c>
    </row>
    <row r="8958" spans="1:8">
      <c r="A8958" s="317" t="s">
        <v>42222</v>
      </c>
      <c r="B8958" s="330" t="s">
        <v>53314</v>
      </c>
      <c r="C8958" s="330" t="s">
        <v>20575</v>
      </c>
      <c r="D8958" s="330" t="s">
        <v>9505</v>
      </c>
      <c r="E8958" s="330" t="s">
        <v>4819</v>
      </c>
      <c r="F8958" s="331">
        <v>0.21</v>
      </c>
      <c r="G8958" s="332">
        <v>13685</v>
      </c>
      <c r="H8958" s="333">
        <v>16559</v>
      </c>
    </row>
    <row r="8959" spans="1:8">
      <c r="A8959" s="317" t="s">
        <v>42223</v>
      </c>
      <c r="B8959" s="330" t="s">
        <v>53315</v>
      </c>
      <c r="C8959" s="330" t="s">
        <v>20576</v>
      </c>
      <c r="D8959" s="330" t="s">
        <v>20577</v>
      </c>
      <c r="E8959" s="330" t="s">
        <v>37248</v>
      </c>
      <c r="F8959" s="331">
        <v>0.21</v>
      </c>
      <c r="G8959" s="332">
        <v>591</v>
      </c>
      <c r="H8959" s="333">
        <v>716</v>
      </c>
    </row>
    <row r="8960" spans="1:8">
      <c r="A8960" s="317" t="s">
        <v>42224</v>
      </c>
      <c r="B8960" s="330" t="s">
        <v>53316</v>
      </c>
      <c r="C8960" s="330" t="s">
        <v>20578</v>
      </c>
      <c r="D8960" s="330" t="s">
        <v>20579</v>
      </c>
      <c r="E8960" s="330" t="s">
        <v>4634</v>
      </c>
      <c r="F8960" s="331">
        <v>0.21</v>
      </c>
      <c r="G8960" s="332">
        <v>490</v>
      </c>
      <c r="H8960" s="333">
        <v>593</v>
      </c>
    </row>
    <row r="8961" spans="1:8">
      <c r="A8961" s="317" t="s">
        <v>42225</v>
      </c>
      <c r="B8961" s="330" t="s">
        <v>53317</v>
      </c>
      <c r="C8961" s="330" t="s">
        <v>20580</v>
      </c>
      <c r="D8961" s="330" t="s">
        <v>20581</v>
      </c>
      <c r="E8961" s="330" t="s">
        <v>37248</v>
      </c>
      <c r="F8961" s="331">
        <v>0.21</v>
      </c>
      <c r="G8961" s="332">
        <v>339</v>
      </c>
      <c r="H8961" s="333">
        <v>411</v>
      </c>
    </row>
    <row r="8962" spans="1:8">
      <c r="A8962" s="317" t="s">
        <v>42226</v>
      </c>
      <c r="B8962" s="330" t="s">
        <v>53318</v>
      </c>
      <c r="C8962" s="330" t="s">
        <v>20582</v>
      </c>
      <c r="D8962" s="330" t="s">
        <v>20581</v>
      </c>
      <c r="E8962" s="330" t="s">
        <v>37248</v>
      </c>
      <c r="F8962" s="331">
        <v>0.21</v>
      </c>
      <c r="G8962" s="332">
        <v>339</v>
      </c>
      <c r="H8962" s="333">
        <v>411</v>
      </c>
    </row>
    <row r="8963" spans="1:8">
      <c r="A8963" s="317" t="s">
        <v>42227</v>
      </c>
      <c r="B8963" s="330" t="s">
        <v>53319</v>
      </c>
      <c r="C8963" s="330" t="s">
        <v>20583</v>
      </c>
      <c r="D8963" s="330" t="s">
        <v>20584</v>
      </c>
      <c r="E8963" s="330" t="s">
        <v>37248</v>
      </c>
      <c r="F8963" s="331">
        <v>0.21</v>
      </c>
      <c r="G8963" s="332">
        <v>314</v>
      </c>
      <c r="H8963" s="333">
        <v>380</v>
      </c>
    </row>
    <row r="8964" spans="1:8">
      <c r="A8964" s="317" t="s">
        <v>42228</v>
      </c>
      <c r="B8964" s="330" t="s">
        <v>53320</v>
      </c>
      <c r="C8964" s="330" t="s">
        <v>20585</v>
      </c>
      <c r="D8964" s="330" t="s">
        <v>20586</v>
      </c>
      <c r="E8964" s="330" t="s">
        <v>4634</v>
      </c>
      <c r="F8964" s="331">
        <v>0.21</v>
      </c>
      <c r="G8964" s="332">
        <v>312</v>
      </c>
      <c r="H8964" s="333">
        <v>378</v>
      </c>
    </row>
    <row r="8965" spans="1:8">
      <c r="A8965" s="317" t="s">
        <v>42229</v>
      </c>
      <c r="B8965" s="330" t="s">
        <v>53321</v>
      </c>
      <c r="C8965" s="330" t="s">
        <v>20587</v>
      </c>
      <c r="D8965" s="330" t="s">
        <v>20588</v>
      </c>
      <c r="E8965" s="330" t="s">
        <v>37248</v>
      </c>
      <c r="F8965" s="331">
        <v>0.21</v>
      </c>
      <c r="G8965" s="332">
        <v>1052</v>
      </c>
      <c r="H8965" s="333">
        <v>1273</v>
      </c>
    </row>
    <row r="8966" spans="1:8">
      <c r="A8966" s="317" t="s">
        <v>42230</v>
      </c>
      <c r="B8966" s="330" t="s">
        <v>53322</v>
      </c>
      <c r="C8966" s="330" t="s">
        <v>20589</v>
      </c>
      <c r="D8966" s="330" t="s">
        <v>7414</v>
      </c>
      <c r="E8966" s="330" t="s">
        <v>4634</v>
      </c>
      <c r="F8966" s="331">
        <v>0.21</v>
      </c>
      <c r="G8966" s="332">
        <v>490</v>
      </c>
      <c r="H8966" s="333">
        <v>593</v>
      </c>
    </row>
    <row r="8967" spans="1:8">
      <c r="A8967" s="317" t="s">
        <v>42231</v>
      </c>
      <c r="B8967" s="330" t="s">
        <v>53323</v>
      </c>
      <c r="C8967" s="330" t="s">
        <v>20590</v>
      </c>
      <c r="D8967" s="330" t="s">
        <v>20591</v>
      </c>
      <c r="E8967" s="330" t="s">
        <v>37248</v>
      </c>
      <c r="F8967" s="331">
        <v>0.21</v>
      </c>
      <c r="G8967" s="332">
        <v>292</v>
      </c>
      <c r="H8967" s="333">
        <v>354</v>
      </c>
    </row>
    <row r="8968" spans="1:8">
      <c r="A8968" s="317" t="s">
        <v>42232</v>
      </c>
      <c r="B8968" s="330" t="s">
        <v>53324</v>
      </c>
      <c r="C8968" s="330" t="s">
        <v>20592</v>
      </c>
      <c r="D8968" s="330" t="s">
        <v>20593</v>
      </c>
      <c r="E8968" s="330" t="s">
        <v>37248</v>
      </c>
      <c r="F8968" s="331">
        <v>0.21</v>
      </c>
      <c r="G8968" s="332">
        <v>2873</v>
      </c>
      <c r="H8968" s="333">
        <v>3477</v>
      </c>
    </row>
    <row r="8969" spans="1:8">
      <c r="A8969" s="317" t="s">
        <v>42233</v>
      </c>
      <c r="B8969" s="330" t="s">
        <v>53325</v>
      </c>
      <c r="C8969" s="330" t="s">
        <v>20594</v>
      </c>
      <c r="D8969" s="330" t="s">
        <v>20595</v>
      </c>
      <c r="E8969" s="330" t="s">
        <v>37248</v>
      </c>
      <c r="F8969" s="331">
        <v>0.21</v>
      </c>
      <c r="G8969" s="332">
        <v>5059</v>
      </c>
      <c r="H8969" s="333">
        <v>6122</v>
      </c>
    </row>
    <row r="8970" spans="1:8">
      <c r="A8970" s="317" t="s">
        <v>42234</v>
      </c>
      <c r="B8970" s="330" t="s">
        <v>53326</v>
      </c>
      <c r="C8970" s="330" t="s">
        <v>20596</v>
      </c>
      <c r="D8970" s="330" t="s">
        <v>20597</v>
      </c>
      <c r="E8970" s="330" t="s">
        <v>37248</v>
      </c>
      <c r="F8970" s="331">
        <v>0.21</v>
      </c>
      <c r="G8970" s="332">
        <v>7192</v>
      </c>
      <c r="H8970" s="333">
        <v>8703</v>
      </c>
    </row>
    <row r="8971" spans="1:8">
      <c r="A8971" s="317" t="s">
        <v>42235</v>
      </c>
      <c r="B8971" s="330" t="s">
        <v>53327</v>
      </c>
      <c r="C8971" s="330" t="s">
        <v>20598</v>
      </c>
      <c r="D8971" s="330" t="s">
        <v>20599</v>
      </c>
      <c r="E8971" s="330" t="s">
        <v>37248</v>
      </c>
      <c r="F8971" s="331">
        <v>0.21</v>
      </c>
      <c r="G8971" s="332">
        <v>12045</v>
      </c>
      <c r="H8971" s="333">
        <v>14575</v>
      </c>
    </row>
    <row r="8972" spans="1:8">
      <c r="A8972" s="317" t="s">
        <v>42236</v>
      </c>
      <c r="B8972" s="330" t="s">
        <v>53328</v>
      </c>
      <c r="C8972" s="330" t="s">
        <v>20600</v>
      </c>
      <c r="D8972" s="330" t="s">
        <v>20601</v>
      </c>
      <c r="E8972" s="330" t="s">
        <v>37248</v>
      </c>
      <c r="F8972" s="331">
        <v>0.21</v>
      </c>
      <c r="G8972" s="332">
        <v>1295</v>
      </c>
      <c r="H8972" s="333">
        <v>1567</v>
      </c>
    </row>
    <row r="8973" spans="1:8">
      <c r="A8973" s="317" t="s">
        <v>42237</v>
      </c>
      <c r="B8973" s="330" t="s">
        <v>53329</v>
      </c>
      <c r="C8973" s="330" t="s">
        <v>20602</v>
      </c>
      <c r="D8973" s="330" t="s">
        <v>20603</v>
      </c>
      <c r="E8973" s="330" t="s">
        <v>4819</v>
      </c>
      <c r="F8973" s="331">
        <v>0.21</v>
      </c>
      <c r="G8973" s="332">
        <v>290</v>
      </c>
      <c r="H8973" s="333">
        <v>351</v>
      </c>
    </row>
    <row r="8974" spans="1:8">
      <c r="A8974" s="317" t="s">
        <v>42238</v>
      </c>
      <c r="B8974" s="330" t="s">
        <v>53330</v>
      </c>
      <c r="C8974" s="330" t="s">
        <v>20604</v>
      </c>
      <c r="D8974" s="330" t="s">
        <v>20605</v>
      </c>
      <c r="E8974" s="330" t="s">
        <v>4819</v>
      </c>
      <c r="F8974" s="331">
        <v>0.21</v>
      </c>
      <c r="G8974" s="332">
        <v>292</v>
      </c>
      <c r="H8974" s="333">
        <v>354</v>
      </c>
    </row>
    <row r="8975" spans="1:8">
      <c r="A8975" s="317" t="s">
        <v>42239</v>
      </c>
      <c r="B8975" s="330" t="s">
        <v>53331</v>
      </c>
      <c r="C8975" s="330" t="s">
        <v>20606</v>
      </c>
      <c r="D8975" s="330" t="s">
        <v>20607</v>
      </c>
      <c r="E8975" s="330" t="s">
        <v>37248</v>
      </c>
      <c r="F8975" s="331">
        <v>0.21</v>
      </c>
      <c r="G8975" s="332">
        <v>1862</v>
      </c>
      <c r="H8975" s="333">
        <v>2254</v>
      </c>
    </row>
    <row r="8976" spans="1:8">
      <c r="A8976" s="317" t="s">
        <v>42240</v>
      </c>
      <c r="B8976" s="330" t="s">
        <v>53332</v>
      </c>
      <c r="C8976" s="330" t="s">
        <v>20608</v>
      </c>
      <c r="D8976" s="330" t="s">
        <v>20609</v>
      </c>
      <c r="E8976" s="330" t="s">
        <v>37248</v>
      </c>
      <c r="F8976" s="331">
        <v>0.21</v>
      </c>
      <c r="G8976" s="332">
        <v>435</v>
      </c>
      <c r="H8976" s="333">
        <v>527</v>
      </c>
    </row>
    <row r="8977" spans="1:8">
      <c r="A8977" s="317" t="s">
        <v>42241</v>
      </c>
      <c r="B8977" s="330" t="s">
        <v>53333</v>
      </c>
      <c r="C8977" s="330" t="s">
        <v>20610</v>
      </c>
      <c r="D8977" s="330" t="s">
        <v>20611</v>
      </c>
      <c r="E8977" s="330" t="s">
        <v>37248</v>
      </c>
      <c r="F8977" s="331">
        <v>0.21</v>
      </c>
      <c r="G8977" s="332">
        <v>3687</v>
      </c>
      <c r="H8977" s="333">
        <v>4462</v>
      </c>
    </row>
    <row r="8978" spans="1:8">
      <c r="A8978" s="317" t="s">
        <v>42242</v>
      </c>
      <c r="B8978" s="330" t="s">
        <v>53334</v>
      </c>
      <c r="C8978" s="330" t="s">
        <v>20612</v>
      </c>
      <c r="D8978" s="330" t="s">
        <v>20611</v>
      </c>
      <c r="E8978" s="330" t="s">
        <v>37248</v>
      </c>
      <c r="F8978" s="331">
        <v>0.21</v>
      </c>
      <c r="G8978" s="332">
        <v>2185</v>
      </c>
      <c r="H8978" s="333">
        <v>2644</v>
      </c>
    </row>
    <row r="8979" spans="1:8">
      <c r="A8979" s="317" t="s">
        <v>42243</v>
      </c>
      <c r="B8979" s="330" t="s">
        <v>53335</v>
      </c>
      <c r="C8979" s="330" t="s">
        <v>20613</v>
      </c>
      <c r="D8979" s="330" t="s">
        <v>20614</v>
      </c>
      <c r="E8979" s="330" t="s">
        <v>37248</v>
      </c>
      <c r="F8979" s="331">
        <v>0.21</v>
      </c>
      <c r="G8979" s="332">
        <v>671</v>
      </c>
      <c r="H8979" s="333">
        <v>812</v>
      </c>
    </row>
    <row r="8980" spans="1:8">
      <c r="A8980" s="317" t="s">
        <v>42244</v>
      </c>
      <c r="B8980" s="330" t="s">
        <v>53336</v>
      </c>
      <c r="C8980" s="330" t="s">
        <v>20615</v>
      </c>
      <c r="D8980" s="330" t="s">
        <v>20616</v>
      </c>
      <c r="E8980" s="330" t="s">
        <v>37248</v>
      </c>
      <c r="F8980" s="331">
        <v>0.21</v>
      </c>
      <c r="G8980" s="332">
        <v>292</v>
      </c>
      <c r="H8980" s="333">
        <v>354</v>
      </c>
    </row>
    <row r="8981" spans="1:8">
      <c r="A8981" s="317" t="s">
        <v>42245</v>
      </c>
      <c r="B8981" s="330" t="s">
        <v>53337</v>
      </c>
      <c r="C8981" s="330" t="s">
        <v>20617</v>
      </c>
      <c r="D8981" s="330" t="s">
        <v>20618</v>
      </c>
      <c r="E8981" s="330" t="s">
        <v>4819</v>
      </c>
      <c r="F8981" s="331">
        <v>0.21</v>
      </c>
      <c r="G8981" s="332">
        <v>492</v>
      </c>
      <c r="H8981" s="333">
        <v>596</v>
      </c>
    </row>
    <row r="8982" spans="1:8">
      <c r="A8982" s="317" t="s">
        <v>42246</v>
      </c>
      <c r="B8982" s="330" t="s">
        <v>53338</v>
      </c>
      <c r="C8982" s="330" t="s">
        <v>20619</v>
      </c>
      <c r="D8982" s="330" t="s">
        <v>20620</v>
      </c>
      <c r="E8982" s="330" t="s">
        <v>37248</v>
      </c>
      <c r="F8982" s="331">
        <v>0.21</v>
      </c>
      <c r="G8982" s="332">
        <v>334</v>
      </c>
      <c r="H8982" s="333">
        <v>405</v>
      </c>
    </row>
    <row r="8983" spans="1:8">
      <c r="A8983" s="317" t="s">
        <v>42247</v>
      </c>
      <c r="B8983" s="330" t="s">
        <v>53339</v>
      </c>
      <c r="C8983" s="330" t="s">
        <v>20621</v>
      </c>
      <c r="D8983" s="330" t="s">
        <v>20622</v>
      </c>
      <c r="E8983" s="330" t="s">
        <v>37248</v>
      </c>
      <c r="F8983" s="331">
        <v>0.21</v>
      </c>
      <c r="G8983" s="332">
        <v>292</v>
      </c>
      <c r="H8983" s="333">
        <v>354</v>
      </c>
    </row>
    <row r="8984" spans="1:8">
      <c r="A8984" s="317" t="s">
        <v>42248</v>
      </c>
      <c r="B8984" s="330" t="s">
        <v>53340</v>
      </c>
      <c r="C8984" s="330" t="s">
        <v>20623</v>
      </c>
      <c r="D8984" s="330" t="s">
        <v>20624</v>
      </c>
      <c r="E8984" s="330" t="s">
        <v>37248</v>
      </c>
      <c r="F8984" s="331">
        <v>0.21</v>
      </c>
      <c r="G8984" s="332">
        <v>292</v>
      </c>
      <c r="H8984" s="333">
        <v>354</v>
      </c>
    </row>
    <row r="8985" spans="1:8">
      <c r="A8985" s="317" t="s">
        <v>42249</v>
      </c>
      <c r="B8985" s="330" t="s">
        <v>53341</v>
      </c>
      <c r="C8985" s="330" t="s">
        <v>20625</v>
      </c>
      <c r="D8985" s="330" t="s">
        <v>20626</v>
      </c>
      <c r="E8985" s="330" t="s">
        <v>37248</v>
      </c>
      <c r="F8985" s="331">
        <v>0.21</v>
      </c>
      <c r="G8985" s="332">
        <v>1081</v>
      </c>
      <c r="H8985" s="333">
        <v>1309</v>
      </c>
    </row>
    <row r="8986" spans="1:8">
      <c r="A8986" s="317" t="s">
        <v>42250</v>
      </c>
      <c r="B8986" s="330" t="s">
        <v>53342</v>
      </c>
      <c r="C8986" s="330" t="s">
        <v>20627</v>
      </c>
      <c r="D8986" s="330" t="s">
        <v>20628</v>
      </c>
      <c r="E8986" s="330" t="s">
        <v>37248</v>
      </c>
      <c r="F8986" s="331">
        <v>0.21</v>
      </c>
      <c r="G8986" s="332">
        <v>1122</v>
      </c>
      <c r="H8986" s="333">
        <v>1358</v>
      </c>
    </row>
    <row r="8987" spans="1:8">
      <c r="A8987" s="317" t="s">
        <v>42251</v>
      </c>
      <c r="B8987" s="330" t="s">
        <v>53343</v>
      </c>
      <c r="C8987" s="330" t="s">
        <v>20629</v>
      </c>
      <c r="D8987" s="330" t="s">
        <v>20630</v>
      </c>
      <c r="E8987" s="330" t="s">
        <v>37248</v>
      </c>
      <c r="F8987" s="331">
        <v>0.21</v>
      </c>
      <c r="G8987" s="332">
        <v>785</v>
      </c>
      <c r="H8987" s="333">
        <v>950</v>
      </c>
    </row>
    <row r="8988" spans="1:8">
      <c r="A8988" s="317" t="s">
        <v>42252</v>
      </c>
      <c r="B8988" s="330" t="s">
        <v>53344</v>
      </c>
      <c r="C8988" s="330" t="s">
        <v>20631</v>
      </c>
      <c r="D8988" s="330" t="s">
        <v>20632</v>
      </c>
      <c r="E8988" s="330" t="s">
        <v>37248</v>
      </c>
      <c r="F8988" s="331">
        <v>0.21</v>
      </c>
      <c r="G8988" s="332">
        <v>292</v>
      </c>
      <c r="H8988" s="333">
        <v>354</v>
      </c>
    </row>
    <row r="8989" spans="1:8">
      <c r="A8989" s="317" t="s">
        <v>42253</v>
      </c>
      <c r="B8989" s="330" t="s">
        <v>53345</v>
      </c>
      <c r="C8989" s="330" t="s">
        <v>20633</v>
      </c>
      <c r="D8989" s="330" t="s">
        <v>20634</v>
      </c>
      <c r="E8989" s="330" t="s">
        <v>4819</v>
      </c>
      <c r="F8989" s="331">
        <v>0.21</v>
      </c>
      <c r="G8989" s="332">
        <v>292</v>
      </c>
      <c r="H8989" s="333">
        <v>354</v>
      </c>
    </row>
    <row r="8990" spans="1:8">
      <c r="A8990" s="317" t="s">
        <v>42254</v>
      </c>
      <c r="B8990" s="330" t="s">
        <v>53346</v>
      </c>
      <c r="C8990" s="330" t="s">
        <v>20635</v>
      </c>
      <c r="D8990" s="330" t="s">
        <v>20636</v>
      </c>
      <c r="E8990" s="330" t="s">
        <v>4819</v>
      </c>
      <c r="F8990" s="331">
        <v>0.21</v>
      </c>
      <c r="G8990" s="332">
        <v>292</v>
      </c>
      <c r="H8990" s="333">
        <v>354</v>
      </c>
    </row>
    <row r="8991" spans="1:8">
      <c r="A8991" s="317" t="s">
        <v>42255</v>
      </c>
      <c r="B8991" s="330" t="s">
        <v>53347</v>
      </c>
      <c r="C8991" s="330" t="s">
        <v>20637</v>
      </c>
      <c r="D8991" s="330" t="s">
        <v>20638</v>
      </c>
      <c r="E8991" s="330" t="s">
        <v>37248</v>
      </c>
      <c r="F8991" s="331">
        <v>0.21</v>
      </c>
      <c r="G8991" s="332">
        <v>1072</v>
      </c>
      <c r="H8991" s="333">
        <v>1298</v>
      </c>
    </row>
    <row r="8992" spans="1:8">
      <c r="A8992" s="317" t="s">
        <v>42256</v>
      </c>
      <c r="B8992" s="330" t="s">
        <v>53348</v>
      </c>
      <c r="C8992" s="330" t="s">
        <v>20639</v>
      </c>
      <c r="D8992" s="330" t="s">
        <v>20640</v>
      </c>
      <c r="E8992" s="330" t="s">
        <v>37248</v>
      </c>
      <c r="F8992" s="331">
        <v>0.21</v>
      </c>
      <c r="G8992" s="332">
        <v>1072</v>
      </c>
      <c r="H8992" s="333">
        <v>1298</v>
      </c>
    </row>
    <row r="8993" spans="1:8">
      <c r="A8993" s="317" t="s">
        <v>42257</v>
      </c>
      <c r="B8993" s="330" t="s">
        <v>53349</v>
      </c>
      <c r="C8993" s="330" t="s">
        <v>20641</v>
      </c>
      <c r="D8993" s="330" t="s">
        <v>20636</v>
      </c>
      <c r="E8993" s="330" t="s">
        <v>37248</v>
      </c>
      <c r="F8993" s="331">
        <v>0.21</v>
      </c>
      <c r="G8993" s="332">
        <v>292</v>
      </c>
      <c r="H8993" s="333">
        <v>354</v>
      </c>
    </row>
    <row r="8994" spans="1:8">
      <c r="A8994" s="317" t="s">
        <v>42258</v>
      </c>
      <c r="B8994" s="330" t="s">
        <v>53350</v>
      </c>
      <c r="C8994" s="330" t="s">
        <v>20642</v>
      </c>
      <c r="D8994" s="330" t="s">
        <v>20643</v>
      </c>
      <c r="E8994" s="330" t="s">
        <v>4819</v>
      </c>
      <c r="F8994" s="331">
        <v>0.21</v>
      </c>
      <c r="G8994" s="332">
        <v>292</v>
      </c>
      <c r="H8994" s="333">
        <v>354</v>
      </c>
    </row>
    <row r="8995" spans="1:8">
      <c r="A8995" s="317" t="s">
        <v>42259</v>
      </c>
      <c r="B8995" s="330" t="s">
        <v>53351</v>
      </c>
      <c r="C8995" s="330" t="s">
        <v>20644</v>
      </c>
      <c r="D8995" s="330" t="s">
        <v>20645</v>
      </c>
      <c r="E8995" s="330" t="s">
        <v>37248</v>
      </c>
      <c r="F8995" s="331">
        <v>0.21</v>
      </c>
      <c r="G8995" s="332">
        <v>292</v>
      </c>
      <c r="H8995" s="333">
        <v>354</v>
      </c>
    </row>
    <row r="8996" spans="1:8">
      <c r="A8996" s="317" t="s">
        <v>42260</v>
      </c>
      <c r="B8996" s="330" t="s">
        <v>53352</v>
      </c>
      <c r="C8996" s="330" t="s">
        <v>20646</v>
      </c>
      <c r="D8996" s="330" t="s">
        <v>20636</v>
      </c>
      <c r="E8996" s="330" t="s">
        <v>37248</v>
      </c>
      <c r="F8996" s="331">
        <v>0.21</v>
      </c>
      <c r="G8996" s="332">
        <v>292</v>
      </c>
      <c r="H8996" s="333">
        <v>354</v>
      </c>
    </row>
    <row r="8997" spans="1:8">
      <c r="A8997" s="317" t="s">
        <v>42261</v>
      </c>
      <c r="B8997" s="330" t="s">
        <v>53353</v>
      </c>
      <c r="C8997" s="330" t="s">
        <v>20647</v>
      </c>
      <c r="D8997" s="330" t="s">
        <v>20648</v>
      </c>
      <c r="E8997" s="330" t="s">
        <v>37248</v>
      </c>
      <c r="F8997" s="331">
        <v>0.21</v>
      </c>
      <c r="G8997" s="332">
        <v>292</v>
      </c>
      <c r="H8997" s="333">
        <v>354</v>
      </c>
    </row>
    <row r="8998" spans="1:8">
      <c r="A8998" s="317" t="s">
        <v>42262</v>
      </c>
      <c r="B8998" s="330" t="s">
        <v>53354</v>
      </c>
      <c r="C8998" s="330" t="s">
        <v>20649</v>
      </c>
      <c r="D8998" s="330" t="s">
        <v>5469</v>
      </c>
      <c r="E8998" s="330" t="s">
        <v>37248</v>
      </c>
      <c r="F8998" s="331">
        <v>0.21</v>
      </c>
      <c r="G8998" s="332">
        <v>283</v>
      </c>
      <c r="H8998" s="333">
        <v>343</v>
      </c>
    </row>
    <row r="8999" spans="1:8">
      <c r="A8999" s="317" t="s">
        <v>42263</v>
      </c>
      <c r="B8999" s="330" t="s">
        <v>53355</v>
      </c>
      <c r="C8999" s="330" t="s">
        <v>20650</v>
      </c>
      <c r="D8999" s="330" t="s">
        <v>20651</v>
      </c>
      <c r="E8999" s="330" t="s">
        <v>37248</v>
      </c>
      <c r="F8999" s="331">
        <v>0.21</v>
      </c>
      <c r="G8999" s="332">
        <v>283</v>
      </c>
      <c r="H8999" s="333">
        <v>343</v>
      </c>
    </row>
    <row r="9000" spans="1:8">
      <c r="A9000" s="317" t="s">
        <v>42264</v>
      </c>
      <c r="B9000" s="330" t="s">
        <v>53356</v>
      </c>
      <c r="C9000" s="330" t="s">
        <v>20652</v>
      </c>
      <c r="D9000" s="330" t="s">
        <v>20593</v>
      </c>
      <c r="E9000" s="330" t="s">
        <v>37248</v>
      </c>
      <c r="F9000" s="331">
        <v>0.21</v>
      </c>
      <c r="G9000" s="332">
        <v>758</v>
      </c>
      <c r="H9000" s="333">
        <v>918</v>
      </c>
    </row>
    <row r="9001" spans="1:8">
      <c r="A9001" s="317" t="s">
        <v>42265</v>
      </c>
      <c r="B9001" s="330" t="s">
        <v>53357</v>
      </c>
      <c r="C9001" s="330" t="s">
        <v>20653</v>
      </c>
      <c r="D9001" s="330" t="s">
        <v>20654</v>
      </c>
      <c r="E9001" s="330" t="s">
        <v>37248</v>
      </c>
      <c r="F9001" s="331">
        <v>0.21</v>
      </c>
      <c r="G9001" s="332">
        <v>934</v>
      </c>
      <c r="H9001" s="333">
        <v>1131</v>
      </c>
    </row>
    <row r="9002" spans="1:8">
      <c r="A9002" s="317" t="s">
        <v>42266</v>
      </c>
      <c r="B9002" s="330" t="s">
        <v>53358</v>
      </c>
      <c r="C9002" s="330" t="s">
        <v>20655</v>
      </c>
      <c r="D9002" s="330" t="s">
        <v>20656</v>
      </c>
      <c r="E9002" s="330" t="s">
        <v>37248</v>
      </c>
      <c r="F9002" s="331">
        <v>0.21</v>
      </c>
      <c r="G9002" s="332">
        <v>283</v>
      </c>
      <c r="H9002" s="333">
        <v>343</v>
      </c>
    </row>
    <row r="9003" spans="1:8">
      <c r="A9003" s="317" t="s">
        <v>42267</v>
      </c>
      <c r="B9003" s="330" t="s">
        <v>53359</v>
      </c>
      <c r="C9003" s="330" t="s">
        <v>20657</v>
      </c>
      <c r="D9003" s="330" t="s">
        <v>20658</v>
      </c>
      <c r="E9003" s="330" t="s">
        <v>37248</v>
      </c>
      <c r="F9003" s="331">
        <v>0.21</v>
      </c>
      <c r="G9003" s="332">
        <v>283</v>
      </c>
      <c r="H9003" s="333">
        <v>343</v>
      </c>
    </row>
    <row r="9004" spans="1:8">
      <c r="A9004" s="317" t="s">
        <v>42268</v>
      </c>
      <c r="B9004" s="330" t="s">
        <v>53360</v>
      </c>
      <c r="C9004" s="330" t="s">
        <v>20659</v>
      </c>
      <c r="D9004" s="330" t="s">
        <v>20554</v>
      </c>
      <c r="E9004" s="330" t="s">
        <v>37248</v>
      </c>
      <c r="F9004" s="331">
        <v>0.21</v>
      </c>
      <c r="G9004" s="332">
        <v>2944</v>
      </c>
      <c r="H9004" s="333">
        <v>3563</v>
      </c>
    </row>
    <row r="9005" spans="1:8">
      <c r="A9005" s="317" t="s">
        <v>42269</v>
      </c>
      <c r="B9005" s="330" t="s">
        <v>53361</v>
      </c>
      <c r="C9005" s="330" t="s">
        <v>20660</v>
      </c>
      <c r="D9005" s="330" t="s">
        <v>20661</v>
      </c>
      <c r="E9005" s="330" t="s">
        <v>37248</v>
      </c>
      <c r="F9005" s="331">
        <v>0.21</v>
      </c>
      <c r="G9005" s="332">
        <v>890</v>
      </c>
      <c r="H9005" s="333">
        <v>1077</v>
      </c>
    </row>
    <row r="9006" spans="1:8">
      <c r="A9006" s="317" t="s">
        <v>42270</v>
      </c>
      <c r="B9006" s="330" t="s">
        <v>53362</v>
      </c>
      <c r="C9006" s="330" t="s">
        <v>20662</v>
      </c>
      <c r="D9006" s="330" t="s">
        <v>20663</v>
      </c>
      <c r="E9006" s="330" t="s">
        <v>37248</v>
      </c>
      <c r="F9006" s="331">
        <v>0.21</v>
      </c>
      <c r="G9006" s="332">
        <v>292</v>
      </c>
      <c r="H9006" s="333">
        <v>354</v>
      </c>
    </row>
    <row r="9007" spans="1:8">
      <c r="A9007" s="317" t="s">
        <v>42271</v>
      </c>
      <c r="B9007" s="330" t="s">
        <v>53363</v>
      </c>
      <c r="C9007" s="330" t="s">
        <v>20664</v>
      </c>
      <c r="D9007" s="330" t="s">
        <v>20658</v>
      </c>
      <c r="E9007" s="330" t="s">
        <v>37248</v>
      </c>
      <c r="F9007" s="331">
        <v>0.21</v>
      </c>
      <c r="G9007" s="332">
        <v>292</v>
      </c>
      <c r="H9007" s="333">
        <v>354</v>
      </c>
    </row>
    <row r="9008" spans="1:8">
      <c r="A9008" s="317" t="s">
        <v>42272</v>
      </c>
      <c r="B9008" s="330" t="s">
        <v>53364</v>
      </c>
      <c r="C9008" s="330" t="s">
        <v>20665</v>
      </c>
      <c r="D9008" s="330" t="s">
        <v>20636</v>
      </c>
      <c r="E9008" s="330" t="s">
        <v>37248</v>
      </c>
      <c r="F9008" s="331">
        <v>0.21</v>
      </c>
      <c r="G9008" s="332">
        <v>292</v>
      </c>
      <c r="H9008" s="333">
        <v>354</v>
      </c>
    </row>
    <row r="9009" spans="1:8">
      <c r="A9009" s="317" t="s">
        <v>42273</v>
      </c>
      <c r="B9009" s="330" t="s">
        <v>53365</v>
      </c>
      <c r="C9009" s="330" t="s">
        <v>20666</v>
      </c>
      <c r="D9009" s="330" t="s">
        <v>20667</v>
      </c>
      <c r="E9009" s="330" t="s">
        <v>37248</v>
      </c>
      <c r="F9009" s="331">
        <v>0.21</v>
      </c>
      <c r="G9009" s="332">
        <v>435</v>
      </c>
      <c r="H9009" s="333">
        <v>527</v>
      </c>
    </row>
    <row r="9010" spans="1:8">
      <c r="A9010" s="317" t="s">
        <v>42274</v>
      </c>
      <c r="B9010" s="330" t="s">
        <v>53366</v>
      </c>
      <c r="C9010" s="330" t="s">
        <v>20668</v>
      </c>
      <c r="D9010" s="330" t="s">
        <v>20669</v>
      </c>
      <c r="E9010" s="330" t="s">
        <v>37248</v>
      </c>
      <c r="F9010" s="331">
        <v>0.21</v>
      </c>
      <c r="G9010" s="332">
        <v>8445</v>
      </c>
      <c r="H9010" s="333">
        <v>10219</v>
      </c>
    </row>
    <row r="9011" spans="1:8">
      <c r="A9011" s="317" t="s">
        <v>42275</v>
      </c>
      <c r="B9011" s="330" t="s">
        <v>53367</v>
      </c>
      <c r="C9011" s="330" t="s">
        <v>20670</v>
      </c>
      <c r="D9011" s="330" t="s">
        <v>20671</v>
      </c>
      <c r="E9011" s="330" t="s">
        <v>37248</v>
      </c>
      <c r="F9011" s="331">
        <v>0.21</v>
      </c>
      <c r="G9011" s="332">
        <v>243</v>
      </c>
      <c r="H9011" s="333">
        <v>295</v>
      </c>
    </row>
    <row r="9012" spans="1:8">
      <c r="A9012" s="317" t="s">
        <v>42276</v>
      </c>
      <c r="B9012" s="330" t="s">
        <v>53368</v>
      </c>
      <c r="C9012" s="330" t="s">
        <v>20672</v>
      </c>
      <c r="D9012" s="330" t="s">
        <v>20673</v>
      </c>
      <c r="E9012" s="330" t="s">
        <v>4819</v>
      </c>
      <c r="F9012" s="331">
        <v>0.21</v>
      </c>
      <c r="G9012" s="332">
        <v>265</v>
      </c>
      <c r="H9012" s="333">
        <v>321</v>
      </c>
    </row>
    <row r="9013" spans="1:8">
      <c r="A9013" s="317" t="s">
        <v>42277</v>
      </c>
      <c r="B9013" s="330" t="s">
        <v>53369</v>
      </c>
      <c r="C9013" s="330" t="s">
        <v>20674</v>
      </c>
      <c r="D9013" s="330" t="s">
        <v>20675</v>
      </c>
      <c r="E9013" s="330" t="s">
        <v>37248</v>
      </c>
      <c r="F9013" s="331">
        <v>0.21</v>
      </c>
      <c r="G9013" s="332">
        <v>553</v>
      </c>
      <c r="H9013" s="333">
        <v>670</v>
      </c>
    </row>
    <row r="9014" spans="1:8">
      <c r="A9014" s="317" t="s">
        <v>42278</v>
      </c>
      <c r="B9014" s="330" t="s">
        <v>53370</v>
      </c>
      <c r="C9014" s="330" t="s">
        <v>20676</v>
      </c>
      <c r="D9014" s="330" t="s">
        <v>20677</v>
      </c>
      <c r="E9014" s="330" t="s">
        <v>37248</v>
      </c>
      <c r="F9014" s="331">
        <v>0.21</v>
      </c>
      <c r="G9014" s="332">
        <v>2185</v>
      </c>
      <c r="H9014" s="333">
        <v>2644</v>
      </c>
    </row>
    <row r="9015" spans="1:8">
      <c r="A9015" s="317" t="s">
        <v>42279</v>
      </c>
      <c r="B9015" s="330" t="s">
        <v>53371</v>
      </c>
      <c r="C9015" s="330" t="s">
        <v>20678</v>
      </c>
      <c r="D9015" s="330" t="s">
        <v>20679</v>
      </c>
      <c r="E9015" s="330" t="s">
        <v>4819</v>
      </c>
      <c r="F9015" s="331">
        <v>0.21</v>
      </c>
      <c r="G9015" s="332">
        <v>243</v>
      </c>
      <c r="H9015" s="333">
        <v>295</v>
      </c>
    </row>
    <row r="9016" spans="1:8">
      <c r="A9016" s="317" t="s">
        <v>42280</v>
      </c>
      <c r="B9016" s="330" t="s">
        <v>53372</v>
      </c>
      <c r="C9016" s="330" t="s">
        <v>20680</v>
      </c>
      <c r="D9016" s="330" t="s">
        <v>20681</v>
      </c>
      <c r="E9016" s="330" t="s">
        <v>4819</v>
      </c>
      <c r="F9016" s="331">
        <v>0.21</v>
      </c>
      <c r="G9016" s="332">
        <v>532</v>
      </c>
      <c r="H9016" s="333">
        <v>644</v>
      </c>
    </row>
    <row r="9017" spans="1:8">
      <c r="A9017" s="317" t="s">
        <v>42281</v>
      </c>
      <c r="B9017" s="330" t="s">
        <v>53373</v>
      </c>
      <c r="C9017" s="330" t="s">
        <v>20682</v>
      </c>
      <c r="D9017" s="330" t="s">
        <v>20671</v>
      </c>
      <c r="E9017" s="330" t="s">
        <v>37248</v>
      </c>
      <c r="F9017" s="331">
        <v>0.21</v>
      </c>
      <c r="G9017" s="332">
        <v>243</v>
      </c>
      <c r="H9017" s="333">
        <v>295</v>
      </c>
    </row>
    <row r="9018" spans="1:8">
      <c r="A9018" s="317" t="s">
        <v>42282</v>
      </c>
      <c r="B9018" s="330" t="s">
        <v>53374</v>
      </c>
      <c r="C9018" s="330" t="s">
        <v>20683</v>
      </c>
      <c r="D9018" s="330" t="s">
        <v>20684</v>
      </c>
      <c r="E9018" s="330" t="s">
        <v>37248</v>
      </c>
      <c r="F9018" s="331">
        <v>0.21</v>
      </c>
      <c r="G9018" s="332">
        <v>3205</v>
      </c>
      <c r="H9018" s="333">
        <v>3879</v>
      </c>
    </row>
    <row r="9019" spans="1:8">
      <c r="A9019" s="317" t="s">
        <v>42283</v>
      </c>
      <c r="B9019" s="330" t="s">
        <v>53375</v>
      </c>
      <c r="C9019" s="330" t="s">
        <v>20685</v>
      </c>
      <c r="D9019" s="330" t="s">
        <v>20686</v>
      </c>
      <c r="E9019" s="330" t="s">
        <v>37248</v>
      </c>
      <c r="F9019" s="331">
        <v>0.21</v>
      </c>
      <c r="G9019" s="332">
        <v>3205</v>
      </c>
      <c r="H9019" s="333">
        <v>3879</v>
      </c>
    </row>
    <row r="9020" spans="1:8">
      <c r="A9020" s="317" t="s">
        <v>42284</v>
      </c>
      <c r="B9020" s="330" t="s">
        <v>53376</v>
      </c>
      <c r="C9020" s="330" t="s">
        <v>20687</v>
      </c>
      <c r="D9020" s="330" t="s">
        <v>20686</v>
      </c>
      <c r="E9020" s="330" t="s">
        <v>37248</v>
      </c>
      <c r="F9020" s="331">
        <v>0.21</v>
      </c>
      <c r="G9020" s="332">
        <v>3205</v>
      </c>
      <c r="H9020" s="333">
        <v>3879</v>
      </c>
    </row>
    <row r="9021" spans="1:8">
      <c r="A9021" s="317" t="s">
        <v>42285</v>
      </c>
      <c r="B9021" s="330" t="s">
        <v>53377</v>
      </c>
      <c r="C9021" s="330" t="s">
        <v>20688</v>
      </c>
      <c r="D9021" s="330" t="s">
        <v>20689</v>
      </c>
      <c r="E9021" s="330" t="s">
        <v>37248</v>
      </c>
      <c r="F9021" s="331">
        <v>0.21</v>
      </c>
      <c r="G9021" s="332">
        <v>243</v>
      </c>
      <c r="H9021" s="333">
        <v>295</v>
      </c>
    </row>
    <row r="9022" spans="1:8">
      <c r="A9022" s="317" t="s">
        <v>42286</v>
      </c>
      <c r="B9022" s="330" t="s">
        <v>53378</v>
      </c>
      <c r="C9022" s="330" t="s">
        <v>20690</v>
      </c>
      <c r="D9022" s="330" t="s">
        <v>20689</v>
      </c>
      <c r="E9022" s="330" t="s">
        <v>37248</v>
      </c>
      <c r="F9022" s="331">
        <v>0.21</v>
      </c>
      <c r="G9022" s="332">
        <v>243</v>
      </c>
      <c r="H9022" s="333">
        <v>295</v>
      </c>
    </row>
    <row r="9023" spans="1:8">
      <c r="A9023" s="317" t="s">
        <v>42287</v>
      </c>
      <c r="B9023" s="330" t="s">
        <v>53379</v>
      </c>
      <c r="C9023" s="330" t="s">
        <v>20691</v>
      </c>
      <c r="D9023" s="330" t="s">
        <v>20686</v>
      </c>
      <c r="E9023" s="330" t="s">
        <v>37248</v>
      </c>
      <c r="F9023" s="331">
        <v>0.21</v>
      </c>
      <c r="G9023" s="332">
        <v>5061</v>
      </c>
      <c r="H9023" s="333">
        <v>6124</v>
      </c>
    </row>
    <row r="9024" spans="1:8">
      <c r="A9024" s="317" t="s">
        <v>42288</v>
      </c>
      <c r="B9024" s="330" t="s">
        <v>53380</v>
      </c>
      <c r="C9024" s="330" t="s">
        <v>20692</v>
      </c>
      <c r="D9024" s="330" t="s">
        <v>20693</v>
      </c>
      <c r="E9024" s="330" t="s">
        <v>4819</v>
      </c>
      <c r="F9024" s="331">
        <v>0.21</v>
      </c>
      <c r="G9024" s="332">
        <v>243</v>
      </c>
      <c r="H9024" s="333">
        <v>295</v>
      </c>
    </row>
    <row r="9025" spans="1:8">
      <c r="A9025" s="317" t="s">
        <v>42289</v>
      </c>
      <c r="B9025" s="330" t="s">
        <v>53381</v>
      </c>
      <c r="C9025" s="330" t="s">
        <v>20694</v>
      </c>
      <c r="D9025" s="330" t="s">
        <v>20695</v>
      </c>
      <c r="E9025" s="330" t="s">
        <v>4819</v>
      </c>
      <c r="F9025" s="331">
        <v>0.21</v>
      </c>
      <c r="G9025" s="332">
        <v>736</v>
      </c>
      <c r="H9025" s="333">
        <v>891</v>
      </c>
    </row>
    <row r="9026" spans="1:8">
      <c r="A9026" s="317" t="s">
        <v>42290</v>
      </c>
      <c r="B9026" s="330" t="s">
        <v>53382</v>
      </c>
      <c r="C9026" s="330" t="s">
        <v>20696</v>
      </c>
      <c r="D9026" s="330" t="s">
        <v>20697</v>
      </c>
      <c r="E9026" s="330" t="s">
        <v>37248</v>
      </c>
      <c r="F9026" s="331">
        <v>0.21</v>
      </c>
      <c r="G9026" s="332">
        <v>25421</v>
      </c>
      <c r="H9026" s="333">
        <v>30760</v>
      </c>
    </row>
    <row r="9027" spans="1:8">
      <c r="A9027" s="317" t="s">
        <v>42291</v>
      </c>
      <c r="B9027" s="330" t="s">
        <v>53383</v>
      </c>
      <c r="C9027" s="330" t="s">
        <v>20698</v>
      </c>
      <c r="D9027" s="330" t="s">
        <v>20699</v>
      </c>
      <c r="E9027" s="330" t="s">
        <v>4819</v>
      </c>
      <c r="F9027" s="331">
        <v>0.21</v>
      </c>
      <c r="G9027" s="332">
        <v>243</v>
      </c>
      <c r="H9027" s="333">
        <v>295</v>
      </c>
    </row>
    <row r="9028" spans="1:8">
      <c r="A9028" s="317" t="s">
        <v>42292</v>
      </c>
      <c r="B9028" s="330" t="s">
        <v>53384</v>
      </c>
      <c r="C9028" s="330" t="s">
        <v>20700</v>
      </c>
      <c r="D9028" s="330" t="s">
        <v>20701</v>
      </c>
      <c r="E9028" s="330" t="s">
        <v>4819</v>
      </c>
      <c r="F9028" s="331">
        <v>0.21</v>
      </c>
      <c r="G9028" s="332">
        <v>397</v>
      </c>
      <c r="H9028" s="333">
        <v>481</v>
      </c>
    </row>
    <row r="9029" spans="1:8">
      <c r="A9029" s="317" t="s">
        <v>42293</v>
      </c>
      <c r="B9029" s="330" t="s">
        <v>53385</v>
      </c>
      <c r="C9029" s="330" t="s">
        <v>20702</v>
      </c>
      <c r="D9029" s="330" t="s">
        <v>20673</v>
      </c>
      <c r="E9029" s="330" t="s">
        <v>4819</v>
      </c>
      <c r="F9029" s="331">
        <v>0.21</v>
      </c>
      <c r="G9029" s="332">
        <v>265</v>
      </c>
      <c r="H9029" s="333">
        <v>321</v>
      </c>
    </row>
    <row r="9030" spans="1:8">
      <c r="A9030" s="317" t="s">
        <v>42294</v>
      </c>
      <c r="B9030" s="330" t="s">
        <v>53386</v>
      </c>
      <c r="C9030" s="330" t="s">
        <v>20703</v>
      </c>
      <c r="D9030" s="330" t="s">
        <v>20704</v>
      </c>
      <c r="E9030" s="330" t="s">
        <v>4819</v>
      </c>
      <c r="F9030" s="331">
        <v>0.21</v>
      </c>
      <c r="G9030" s="332">
        <v>243</v>
      </c>
      <c r="H9030" s="333">
        <v>295</v>
      </c>
    </row>
    <row r="9031" spans="1:8">
      <c r="A9031" s="317" t="s">
        <v>42295</v>
      </c>
      <c r="B9031" s="330" t="s">
        <v>53387</v>
      </c>
      <c r="C9031" s="330" t="s">
        <v>20705</v>
      </c>
      <c r="D9031" s="330" t="s">
        <v>20673</v>
      </c>
      <c r="E9031" s="330" t="s">
        <v>4819</v>
      </c>
      <c r="F9031" s="331">
        <v>0.21</v>
      </c>
      <c r="G9031" s="332">
        <v>265</v>
      </c>
      <c r="H9031" s="333">
        <v>321</v>
      </c>
    </row>
    <row r="9032" spans="1:8">
      <c r="A9032" s="317" t="s">
        <v>42296</v>
      </c>
      <c r="B9032" s="330" t="s">
        <v>53388</v>
      </c>
      <c r="C9032" s="330" t="s">
        <v>20706</v>
      </c>
      <c r="D9032" s="330" t="s">
        <v>20707</v>
      </c>
      <c r="E9032" s="330" t="s">
        <v>37248</v>
      </c>
      <c r="F9032" s="331">
        <v>0.21</v>
      </c>
      <c r="G9032" s="332">
        <v>2534</v>
      </c>
      <c r="H9032" s="333">
        <v>3067</v>
      </c>
    </row>
    <row r="9033" spans="1:8">
      <c r="A9033" s="317" t="s">
        <v>42297</v>
      </c>
      <c r="B9033" s="330" t="s">
        <v>53389</v>
      </c>
      <c r="C9033" s="330" t="s">
        <v>20708</v>
      </c>
      <c r="D9033" s="330" t="s">
        <v>20709</v>
      </c>
      <c r="E9033" s="330" t="s">
        <v>37248</v>
      </c>
      <c r="F9033" s="331">
        <v>0.21</v>
      </c>
      <c r="G9033" s="332">
        <v>7272</v>
      </c>
      <c r="H9033" s="333">
        <v>8800</v>
      </c>
    </row>
    <row r="9034" spans="1:8">
      <c r="A9034" s="317" t="s">
        <v>42298</v>
      </c>
      <c r="B9034" s="330" t="s">
        <v>53390</v>
      </c>
      <c r="C9034" s="330" t="s">
        <v>20710</v>
      </c>
      <c r="D9034" s="330" t="s">
        <v>20711</v>
      </c>
      <c r="E9034" s="330" t="s">
        <v>4819</v>
      </c>
      <c r="F9034" s="331">
        <v>0.21</v>
      </c>
      <c r="G9034" s="332">
        <v>532</v>
      </c>
      <c r="H9034" s="333">
        <v>644</v>
      </c>
    </row>
    <row r="9035" spans="1:8">
      <c r="A9035" s="317" t="s">
        <v>42299</v>
      </c>
      <c r="B9035" s="330" t="s">
        <v>53391</v>
      </c>
      <c r="C9035" s="330" t="s">
        <v>20712</v>
      </c>
      <c r="D9035" s="330" t="s">
        <v>20713</v>
      </c>
      <c r="E9035" s="330" t="s">
        <v>4819</v>
      </c>
      <c r="F9035" s="331">
        <v>0.21</v>
      </c>
      <c r="G9035" s="332">
        <v>417</v>
      </c>
      <c r="H9035" s="333">
        <v>505</v>
      </c>
    </row>
    <row r="9036" spans="1:8">
      <c r="A9036" s="317" t="s">
        <v>42300</v>
      </c>
      <c r="B9036" s="330" t="s">
        <v>53392</v>
      </c>
      <c r="C9036" s="330" t="s">
        <v>20714</v>
      </c>
      <c r="D9036" s="330" t="s">
        <v>20715</v>
      </c>
      <c r="E9036" s="330" t="s">
        <v>37248</v>
      </c>
      <c r="F9036" s="331">
        <v>0.21</v>
      </c>
      <c r="G9036" s="332">
        <v>1353</v>
      </c>
      <c r="H9036" s="333">
        <v>1638</v>
      </c>
    </row>
    <row r="9037" spans="1:8">
      <c r="A9037" s="317" t="s">
        <v>42301</v>
      </c>
      <c r="B9037" s="330" t="s">
        <v>53393</v>
      </c>
      <c r="C9037" s="330" t="s">
        <v>20716</v>
      </c>
      <c r="D9037" s="330" t="s">
        <v>20717</v>
      </c>
      <c r="E9037" s="330" t="s">
        <v>4819</v>
      </c>
      <c r="F9037" s="331">
        <v>0.21</v>
      </c>
      <c r="G9037" s="332">
        <v>240</v>
      </c>
      <c r="H9037" s="333">
        <v>291</v>
      </c>
    </row>
    <row r="9038" spans="1:8">
      <c r="A9038" s="317" t="s">
        <v>42302</v>
      </c>
      <c r="B9038" s="330" t="s">
        <v>53394</v>
      </c>
      <c r="C9038" s="330" t="s">
        <v>20718</v>
      </c>
      <c r="D9038" s="330" t="s">
        <v>20719</v>
      </c>
      <c r="E9038" s="330" t="s">
        <v>4819</v>
      </c>
      <c r="F9038" s="331">
        <v>0.21</v>
      </c>
      <c r="G9038" s="332">
        <v>2185</v>
      </c>
      <c r="H9038" s="333">
        <v>2644</v>
      </c>
    </row>
    <row r="9039" spans="1:8">
      <c r="A9039" s="317" t="s">
        <v>42303</v>
      </c>
      <c r="B9039" s="330" t="s">
        <v>53395</v>
      </c>
      <c r="C9039" s="330" t="s">
        <v>20720</v>
      </c>
      <c r="D9039" s="330" t="s">
        <v>20721</v>
      </c>
      <c r="E9039" s="330" t="s">
        <v>4819</v>
      </c>
      <c r="F9039" s="331">
        <v>0.21</v>
      </c>
      <c r="G9039" s="332">
        <v>1704</v>
      </c>
      <c r="H9039" s="333">
        <v>2062</v>
      </c>
    </row>
    <row r="9040" spans="1:8">
      <c r="A9040" s="317" t="s">
        <v>42304</v>
      </c>
      <c r="B9040" s="330" t="s">
        <v>53396</v>
      </c>
      <c r="C9040" s="330" t="s">
        <v>20722</v>
      </c>
      <c r="D9040" s="330" t="s">
        <v>20723</v>
      </c>
      <c r="E9040" s="330" t="s">
        <v>4819</v>
      </c>
      <c r="F9040" s="331">
        <v>0.21</v>
      </c>
      <c r="G9040" s="332">
        <v>1641</v>
      </c>
      <c r="H9040" s="333">
        <v>1986</v>
      </c>
    </row>
    <row r="9041" spans="1:8">
      <c r="A9041" s="317" t="s">
        <v>42305</v>
      </c>
      <c r="B9041" s="330" t="s">
        <v>53397</v>
      </c>
      <c r="C9041" s="330" t="s">
        <v>20724</v>
      </c>
      <c r="D9041" s="330" t="s">
        <v>20673</v>
      </c>
      <c r="E9041" s="330" t="s">
        <v>4819</v>
      </c>
      <c r="F9041" s="331">
        <v>0.21</v>
      </c>
      <c r="G9041" s="332">
        <v>265</v>
      </c>
      <c r="H9041" s="333">
        <v>321</v>
      </c>
    </row>
    <row r="9042" spans="1:8">
      <c r="A9042" s="317" t="s">
        <v>42306</v>
      </c>
      <c r="B9042" s="330" t="s">
        <v>53398</v>
      </c>
      <c r="C9042" s="330" t="s">
        <v>20725</v>
      </c>
      <c r="D9042" s="330" t="s">
        <v>20726</v>
      </c>
      <c r="E9042" s="330" t="s">
        <v>4819</v>
      </c>
      <c r="F9042" s="331">
        <v>0.21</v>
      </c>
      <c r="G9042" s="332">
        <v>570</v>
      </c>
      <c r="H9042" s="333">
        <v>690</v>
      </c>
    </row>
    <row r="9043" spans="1:8">
      <c r="A9043" s="317" t="s">
        <v>42307</v>
      </c>
      <c r="B9043" s="330" t="s">
        <v>53399</v>
      </c>
      <c r="C9043" s="330" t="s">
        <v>20727</v>
      </c>
      <c r="D9043" s="330" t="s">
        <v>20728</v>
      </c>
      <c r="E9043" s="330" t="s">
        <v>4819</v>
      </c>
      <c r="F9043" s="331">
        <v>0.21</v>
      </c>
      <c r="G9043" s="332">
        <v>532</v>
      </c>
      <c r="H9043" s="333">
        <v>644</v>
      </c>
    </row>
    <row r="9044" spans="1:8">
      <c r="A9044" s="317" t="s">
        <v>42308</v>
      </c>
      <c r="B9044" s="330" t="s">
        <v>53400</v>
      </c>
      <c r="C9044" s="330" t="s">
        <v>20729</v>
      </c>
      <c r="D9044" s="330" t="s">
        <v>20730</v>
      </c>
      <c r="E9044" s="330" t="s">
        <v>37248</v>
      </c>
      <c r="F9044" s="331">
        <v>0.21</v>
      </c>
      <c r="G9044" s="332">
        <v>1295</v>
      </c>
      <c r="H9044" s="333">
        <v>1567</v>
      </c>
    </row>
    <row r="9045" spans="1:8">
      <c r="A9045" s="317" t="s">
        <v>42309</v>
      </c>
      <c r="B9045" s="330" t="s">
        <v>53401</v>
      </c>
      <c r="C9045" s="330" t="s">
        <v>20731</v>
      </c>
      <c r="D9045" s="330" t="s">
        <v>20732</v>
      </c>
      <c r="E9045" s="330" t="s">
        <v>4819</v>
      </c>
      <c r="F9045" s="331">
        <v>0.21</v>
      </c>
      <c r="G9045" s="332">
        <v>532</v>
      </c>
      <c r="H9045" s="333">
        <v>644</v>
      </c>
    </row>
    <row r="9046" spans="1:8">
      <c r="A9046" s="317" t="s">
        <v>42310</v>
      </c>
      <c r="B9046" s="330" t="s">
        <v>53402</v>
      </c>
      <c r="C9046" s="330" t="s">
        <v>20733</v>
      </c>
      <c r="D9046" s="330" t="s">
        <v>20728</v>
      </c>
      <c r="E9046" s="330" t="s">
        <v>4819</v>
      </c>
      <c r="F9046" s="331">
        <v>0.21</v>
      </c>
      <c r="G9046" s="332">
        <v>532</v>
      </c>
      <c r="H9046" s="333">
        <v>644</v>
      </c>
    </row>
    <row r="9047" spans="1:8">
      <c r="A9047" s="317" t="s">
        <v>42311</v>
      </c>
      <c r="B9047" s="330" t="s">
        <v>53403</v>
      </c>
      <c r="C9047" s="330" t="s">
        <v>20734</v>
      </c>
      <c r="D9047" s="330" t="s">
        <v>20673</v>
      </c>
      <c r="E9047" s="330" t="s">
        <v>4819</v>
      </c>
      <c r="F9047" s="331">
        <v>0.21</v>
      </c>
      <c r="G9047" s="332">
        <v>265</v>
      </c>
      <c r="H9047" s="333">
        <v>321</v>
      </c>
    </row>
    <row r="9048" spans="1:8">
      <c r="A9048" s="317" t="s">
        <v>42312</v>
      </c>
      <c r="B9048" s="330" t="s">
        <v>53404</v>
      </c>
      <c r="C9048" s="330" t="s">
        <v>20735</v>
      </c>
      <c r="D9048" s="330" t="s">
        <v>20736</v>
      </c>
      <c r="E9048" s="330" t="s">
        <v>4819</v>
      </c>
      <c r="F9048" s="331">
        <v>0.21</v>
      </c>
      <c r="G9048" s="332">
        <v>265</v>
      </c>
      <c r="H9048" s="333">
        <v>321</v>
      </c>
    </row>
    <row r="9049" spans="1:8">
      <c r="A9049" s="317" t="s">
        <v>42313</v>
      </c>
      <c r="B9049" s="330" t="s">
        <v>53405</v>
      </c>
      <c r="C9049" s="330" t="s">
        <v>20737</v>
      </c>
      <c r="D9049" s="330" t="s">
        <v>20738</v>
      </c>
      <c r="E9049" s="330" t="s">
        <v>4819</v>
      </c>
      <c r="F9049" s="331">
        <v>0.21</v>
      </c>
      <c r="G9049" s="332">
        <v>243</v>
      </c>
      <c r="H9049" s="333">
        <v>295</v>
      </c>
    </row>
    <row r="9050" spans="1:8">
      <c r="A9050" s="317" t="s">
        <v>42314</v>
      </c>
      <c r="B9050" s="330" t="s">
        <v>53406</v>
      </c>
      <c r="C9050" s="330" t="s">
        <v>20739</v>
      </c>
      <c r="D9050" s="330" t="s">
        <v>20736</v>
      </c>
      <c r="E9050" s="330" t="s">
        <v>4819</v>
      </c>
      <c r="F9050" s="331">
        <v>0.21</v>
      </c>
      <c r="G9050" s="332">
        <v>265</v>
      </c>
      <c r="H9050" s="333">
        <v>321</v>
      </c>
    </row>
    <row r="9051" spans="1:8">
      <c r="A9051" s="317" t="s">
        <v>42315</v>
      </c>
      <c r="B9051" s="330" t="s">
        <v>53407</v>
      </c>
      <c r="C9051" s="330" t="s">
        <v>20740</v>
      </c>
      <c r="D9051" s="330" t="s">
        <v>20741</v>
      </c>
      <c r="E9051" s="330" t="s">
        <v>4819</v>
      </c>
      <c r="F9051" s="331">
        <v>0.21</v>
      </c>
      <c r="G9051" s="332">
        <v>19744</v>
      </c>
      <c r="H9051" s="333">
        <v>23891</v>
      </c>
    </row>
    <row r="9052" spans="1:8">
      <c r="A9052" s="317" t="s">
        <v>42316</v>
      </c>
      <c r="B9052" s="330" t="s">
        <v>53408</v>
      </c>
      <c r="C9052" s="330" t="s">
        <v>20742</v>
      </c>
      <c r="D9052" s="330" t="s">
        <v>20743</v>
      </c>
      <c r="E9052" s="330" t="s">
        <v>4819</v>
      </c>
      <c r="F9052" s="331">
        <v>0.21</v>
      </c>
      <c r="G9052" s="332">
        <v>265</v>
      </c>
      <c r="H9052" s="333">
        <v>321</v>
      </c>
    </row>
    <row r="9053" spans="1:8">
      <c r="A9053" s="317" t="s">
        <v>42317</v>
      </c>
      <c r="B9053" s="330" t="s">
        <v>53409</v>
      </c>
      <c r="C9053" s="330" t="s">
        <v>20744</v>
      </c>
      <c r="D9053" s="330" t="s">
        <v>20684</v>
      </c>
      <c r="E9053" s="330" t="s">
        <v>37248</v>
      </c>
      <c r="F9053" s="331">
        <v>0.21</v>
      </c>
      <c r="G9053" s="332">
        <v>2852</v>
      </c>
      <c r="H9053" s="333">
        <v>3451</v>
      </c>
    </row>
    <row r="9054" spans="1:8">
      <c r="A9054" s="317" t="s">
        <v>42318</v>
      </c>
      <c r="B9054" s="330" t="s">
        <v>53410</v>
      </c>
      <c r="C9054" s="330" t="s">
        <v>20745</v>
      </c>
      <c r="D9054" s="330" t="s">
        <v>20746</v>
      </c>
      <c r="E9054" s="330" t="s">
        <v>4819</v>
      </c>
      <c r="F9054" s="331">
        <v>0.21</v>
      </c>
      <c r="G9054" s="332">
        <v>240</v>
      </c>
      <c r="H9054" s="333">
        <v>291</v>
      </c>
    </row>
    <row r="9055" spans="1:8">
      <c r="A9055" s="317" t="s">
        <v>42319</v>
      </c>
      <c r="B9055" s="330" t="s">
        <v>53411</v>
      </c>
      <c r="C9055" s="330" t="s">
        <v>20747</v>
      </c>
      <c r="D9055" s="330" t="s">
        <v>20736</v>
      </c>
      <c r="E9055" s="330" t="s">
        <v>4819</v>
      </c>
      <c r="F9055" s="331">
        <v>0.21</v>
      </c>
      <c r="G9055" s="332">
        <v>265</v>
      </c>
      <c r="H9055" s="333">
        <v>321</v>
      </c>
    </row>
    <row r="9056" spans="1:8">
      <c r="A9056" s="317" t="s">
        <v>42320</v>
      </c>
      <c r="B9056" s="330" t="s">
        <v>53412</v>
      </c>
      <c r="C9056" s="330" t="s">
        <v>20748</v>
      </c>
      <c r="D9056" s="330" t="s">
        <v>20749</v>
      </c>
      <c r="E9056" s="330" t="s">
        <v>4819</v>
      </c>
      <c r="F9056" s="331">
        <v>0.21</v>
      </c>
      <c r="G9056" s="332">
        <v>243</v>
      </c>
      <c r="H9056" s="333">
        <v>295</v>
      </c>
    </row>
    <row r="9057" spans="1:8">
      <c r="A9057" s="317" t="s">
        <v>42321</v>
      </c>
      <c r="B9057" s="330" t="s">
        <v>53413</v>
      </c>
      <c r="C9057" s="330" t="s">
        <v>20750</v>
      </c>
      <c r="D9057" s="330" t="s">
        <v>20751</v>
      </c>
      <c r="E9057" s="330" t="s">
        <v>4819</v>
      </c>
      <c r="F9057" s="331">
        <v>0.21</v>
      </c>
      <c r="G9057" s="332">
        <v>4407</v>
      </c>
      <c r="H9057" s="333">
        <v>5333</v>
      </c>
    </row>
    <row r="9058" spans="1:8">
      <c r="A9058" s="317" t="s">
        <v>42322</v>
      </c>
      <c r="B9058" s="330" t="s">
        <v>53414</v>
      </c>
      <c r="C9058" s="330" t="s">
        <v>20752</v>
      </c>
      <c r="D9058" s="330" t="s">
        <v>20736</v>
      </c>
      <c r="E9058" s="330" t="s">
        <v>4819</v>
      </c>
      <c r="F9058" s="331">
        <v>0.21</v>
      </c>
      <c r="G9058" s="332">
        <v>265</v>
      </c>
      <c r="H9058" s="333">
        <v>321</v>
      </c>
    </row>
    <row r="9059" spans="1:8">
      <c r="A9059" s="317" t="s">
        <v>42323</v>
      </c>
      <c r="B9059" s="330" t="s">
        <v>53415</v>
      </c>
      <c r="C9059" s="330" t="s">
        <v>20753</v>
      </c>
      <c r="D9059" s="330" t="s">
        <v>20673</v>
      </c>
      <c r="E9059" s="330" t="s">
        <v>4819</v>
      </c>
      <c r="F9059" s="331">
        <v>0.21</v>
      </c>
      <c r="G9059" s="332">
        <v>265</v>
      </c>
      <c r="H9059" s="333">
        <v>321</v>
      </c>
    </row>
    <row r="9060" spans="1:8">
      <c r="A9060" s="317" t="s">
        <v>42324</v>
      </c>
      <c r="B9060" s="330" t="s">
        <v>53416</v>
      </c>
      <c r="C9060" s="330" t="s">
        <v>20754</v>
      </c>
      <c r="D9060" s="330" t="s">
        <v>20755</v>
      </c>
      <c r="E9060" s="330" t="s">
        <v>4819</v>
      </c>
      <c r="F9060" s="331">
        <v>0.21</v>
      </c>
      <c r="G9060" s="332">
        <v>1052</v>
      </c>
      <c r="H9060" s="333">
        <v>1273</v>
      </c>
    </row>
    <row r="9061" spans="1:8">
      <c r="A9061" s="317" t="s">
        <v>42325</v>
      </c>
      <c r="B9061" s="330" t="s">
        <v>53417</v>
      </c>
      <c r="C9061" s="330" t="s">
        <v>20756</v>
      </c>
      <c r="D9061" s="330" t="s">
        <v>20755</v>
      </c>
      <c r="E9061" s="330" t="s">
        <v>4819</v>
      </c>
      <c r="F9061" s="331">
        <v>0.21</v>
      </c>
      <c r="G9061" s="332">
        <v>1052</v>
      </c>
      <c r="H9061" s="333">
        <v>1273</v>
      </c>
    </row>
    <row r="9062" spans="1:8">
      <c r="A9062" s="317" t="s">
        <v>42326</v>
      </c>
      <c r="B9062" s="330" t="s">
        <v>53418</v>
      </c>
      <c r="C9062" s="330" t="s">
        <v>20757</v>
      </c>
      <c r="D9062" s="330" t="s">
        <v>20758</v>
      </c>
      <c r="E9062" s="330" t="s">
        <v>4819</v>
      </c>
      <c r="F9062" s="331">
        <v>0.21</v>
      </c>
      <c r="G9062" s="332">
        <v>243</v>
      </c>
      <c r="H9062" s="333">
        <v>295</v>
      </c>
    </row>
    <row r="9063" spans="1:8">
      <c r="A9063" s="317" t="s">
        <v>42327</v>
      </c>
      <c r="B9063" s="330" t="s">
        <v>53419</v>
      </c>
      <c r="C9063" s="330" t="s">
        <v>20759</v>
      </c>
      <c r="D9063" s="330" t="s">
        <v>20760</v>
      </c>
      <c r="E9063" s="330" t="s">
        <v>4819</v>
      </c>
      <c r="F9063" s="331">
        <v>0.21</v>
      </c>
      <c r="G9063" s="332">
        <v>417</v>
      </c>
      <c r="H9063" s="333">
        <v>505</v>
      </c>
    </row>
    <row r="9064" spans="1:8">
      <c r="A9064" s="317" t="s">
        <v>42328</v>
      </c>
      <c r="B9064" s="330" t="s">
        <v>53420</v>
      </c>
      <c r="C9064" s="330" t="s">
        <v>20761</v>
      </c>
      <c r="D9064" s="330" t="s">
        <v>20762</v>
      </c>
      <c r="E9064" s="330" t="s">
        <v>4819</v>
      </c>
      <c r="F9064" s="331">
        <v>0.21</v>
      </c>
      <c r="G9064" s="332">
        <v>397</v>
      </c>
      <c r="H9064" s="333">
        <v>481</v>
      </c>
    </row>
    <row r="9065" spans="1:8">
      <c r="A9065" s="317" t="s">
        <v>42329</v>
      </c>
      <c r="B9065" s="330" t="s">
        <v>53421</v>
      </c>
      <c r="C9065" s="330" t="s">
        <v>20763</v>
      </c>
      <c r="D9065" s="330" t="s">
        <v>20764</v>
      </c>
      <c r="E9065" s="330" t="s">
        <v>4819</v>
      </c>
      <c r="F9065" s="331">
        <v>0.21</v>
      </c>
      <c r="G9065" s="332">
        <v>1052</v>
      </c>
      <c r="H9065" s="333">
        <v>1273</v>
      </c>
    </row>
    <row r="9066" spans="1:8">
      <c r="A9066" s="317" t="s">
        <v>42330</v>
      </c>
      <c r="B9066" s="330" t="s">
        <v>53422</v>
      </c>
      <c r="C9066" s="330" t="s">
        <v>20765</v>
      </c>
      <c r="D9066" s="330" t="s">
        <v>20766</v>
      </c>
      <c r="E9066" s="330" t="s">
        <v>4819</v>
      </c>
      <c r="F9066" s="331">
        <v>0.21</v>
      </c>
      <c r="G9066" s="332">
        <v>243</v>
      </c>
      <c r="H9066" s="333">
        <v>295</v>
      </c>
    </row>
    <row r="9067" spans="1:8">
      <c r="A9067" s="317" t="s">
        <v>42331</v>
      </c>
      <c r="B9067" s="330" t="s">
        <v>53423</v>
      </c>
      <c r="C9067" s="330" t="s">
        <v>20767</v>
      </c>
      <c r="D9067" s="330" t="s">
        <v>20768</v>
      </c>
      <c r="E9067" s="330" t="s">
        <v>4819</v>
      </c>
      <c r="F9067" s="331">
        <v>0.21</v>
      </c>
      <c r="G9067" s="332">
        <v>397</v>
      </c>
      <c r="H9067" s="333">
        <v>481</v>
      </c>
    </row>
    <row r="9068" spans="1:8">
      <c r="A9068" s="317" t="s">
        <v>42332</v>
      </c>
      <c r="B9068" s="330" t="s">
        <v>53424</v>
      </c>
      <c r="C9068" s="330" t="s">
        <v>20769</v>
      </c>
      <c r="D9068" s="330" t="s">
        <v>20743</v>
      </c>
      <c r="E9068" s="330" t="s">
        <v>4819</v>
      </c>
      <c r="F9068" s="331">
        <v>0.21</v>
      </c>
      <c r="G9068" s="332">
        <v>265</v>
      </c>
      <c r="H9068" s="333">
        <v>321</v>
      </c>
    </row>
    <row r="9069" spans="1:8">
      <c r="A9069" s="317" t="s">
        <v>42333</v>
      </c>
      <c r="B9069" s="330" t="s">
        <v>53425</v>
      </c>
      <c r="C9069" s="330" t="s">
        <v>20770</v>
      </c>
      <c r="D9069" s="330" t="s">
        <v>20771</v>
      </c>
      <c r="E9069" s="330" t="s">
        <v>4819</v>
      </c>
      <c r="F9069" s="331">
        <v>0.21</v>
      </c>
      <c r="G9069" s="332">
        <v>10444</v>
      </c>
      <c r="H9069" s="333">
        <v>12638</v>
      </c>
    </row>
    <row r="9070" spans="1:8">
      <c r="A9070" s="317" t="s">
        <v>42334</v>
      </c>
      <c r="B9070" s="330" t="s">
        <v>53426</v>
      </c>
      <c r="C9070" s="330" t="s">
        <v>20772</v>
      </c>
      <c r="D9070" s="330" t="s">
        <v>20736</v>
      </c>
      <c r="E9070" s="330" t="s">
        <v>4819</v>
      </c>
      <c r="F9070" s="331">
        <v>0.21</v>
      </c>
      <c r="G9070" s="332">
        <v>265</v>
      </c>
      <c r="H9070" s="333">
        <v>321</v>
      </c>
    </row>
    <row r="9071" spans="1:8">
      <c r="A9071" s="317" t="s">
        <v>42335</v>
      </c>
      <c r="B9071" s="330" t="s">
        <v>53427</v>
      </c>
      <c r="C9071" s="330" t="s">
        <v>20773</v>
      </c>
      <c r="D9071" s="330" t="s">
        <v>20774</v>
      </c>
      <c r="E9071" s="330" t="s">
        <v>37248</v>
      </c>
      <c r="F9071" s="331">
        <v>0.21</v>
      </c>
      <c r="G9071" s="332">
        <v>80470</v>
      </c>
      <c r="H9071" s="333">
        <v>97369</v>
      </c>
    </row>
    <row r="9072" spans="1:8">
      <c r="A9072" s="317" t="s">
        <v>42336</v>
      </c>
      <c r="B9072" s="330" t="s">
        <v>53428</v>
      </c>
      <c r="C9072" s="330" t="s">
        <v>20775</v>
      </c>
      <c r="D9072" s="330" t="s">
        <v>20776</v>
      </c>
      <c r="E9072" s="330" t="s">
        <v>4819</v>
      </c>
      <c r="F9072" s="331">
        <v>0.21</v>
      </c>
      <c r="G9072" s="332">
        <v>243</v>
      </c>
      <c r="H9072" s="333">
        <v>295</v>
      </c>
    </row>
    <row r="9073" spans="1:8">
      <c r="A9073" s="317" t="s">
        <v>42337</v>
      </c>
      <c r="B9073" s="330" t="s">
        <v>53429</v>
      </c>
      <c r="C9073" s="330" t="s">
        <v>20777</v>
      </c>
      <c r="D9073" s="330" t="s">
        <v>20778</v>
      </c>
      <c r="E9073" s="330" t="s">
        <v>4634</v>
      </c>
      <c r="F9073" s="331">
        <v>0.21</v>
      </c>
      <c r="G9073" s="332">
        <v>243</v>
      </c>
      <c r="H9073" s="333">
        <v>295</v>
      </c>
    </row>
    <row r="9074" spans="1:8">
      <c r="A9074" s="317" t="s">
        <v>42338</v>
      </c>
      <c r="B9074" s="330" t="s">
        <v>53430</v>
      </c>
      <c r="C9074" s="330" t="s">
        <v>20779</v>
      </c>
      <c r="D9074" s="330" t="s">
        <v>20780</v>
      </c>
      <c r="E9074" s="330" t="s">
        <v>4819</v>
      </c>
      <c r="F9074" s="331">
        <v>0.21</v>
      </c>
      <c r="G9074" s="332">
        <v>32125</v>
      </c>
      <c r="H9074" s="333">
        <v>38872</v>
      </c>
    </row>
    <row r="9075" spans="1:8">
      <c r="A9075" s="317" t="s">
        <v>42339</v>
      </c>
      <c r="B9075" s="330" t="s">
        <v>53431</v>
      </c>
      <c r="C9075" s="330" t="s">
        <v>20781</v>
      </c>
      <c r="D9075" s="330" t="s">
        <v>20782</v>
      </c>
      <c r="E9075" s="330" t="s">
        <v>37248</v>
      </c>
      <c r="F9075" s="331">
        <v>0.21</v>
      </c>
      <c r="G9075" s="332">
        <v>9864</v>
      </c>
      <c r="H9075" s="333">
        <v>11936</v>
      </c>
    </row>
    <row r="9076" spans="1:8">
      <c r="A9076" s="317" t="s">
        <v>42340</v>
      </c>
      <c r="B9076" s="330" t="s">
        <v>53432</v>
      </c>
      <c r="C9076" s="330" t="s">
        <v>20783</v>
      </c>
      <c r="D9076" s="330" t="s">
        <v>20784</v>
      </c>
      <c r="E9076" s="330" t="s">
        <v>37248</v>
      </c>
      <c r="F9076" s="331">
        <v>0.21</v>
      </c>
      <c r="G9076" s="332">
        <v>2852</v>
      </c>
      <c r="H9076" s="333">
        <v>3451</v>
      </c>
    </row>
    <row r="9077" spans="1:8">
      <c r="A9077" s="317" t="s">
        <v>42341</v>
      </c>
      <c r="B9077" s="330" t="s">
        <v>53433</v>
      </c>
      <c r="C9077" s="330" t="s">
        <v>20785</v>
      </c>
      <c r="D9077" s="330" t="s">
        <v>7649</v>
      </c>
      <c r="E9077" s="330" t="s">
        <v>37248</v>
      </c>
      <c r="F9077" s="331">
        <v>0.21</v>
      </c>
      <c r="G9077" s="332">
        <v>296</v>
      </c>
      <c r="H9077" s="333">
        <v>359</v>
      </c>
    </row>
    <row r="9078" spans="1:8">
      <c r="A9078" s="317" t="s">
        <v>42342</v>
      </c>
      <c r="B9078" s="330" t="s">
        <v>53434</v>
      </c>
      <c r="C9078" s="330" t="s">
        <v>20786</v>
      </c>
      <c r="D9078" s="330" t="s">
        <v>20787</v>
      </c>
      <c r="E9078" s="330" t="s">
        <v>4819</v>
      </c>
      <c r="F9078" s="331">
        <v>0.21</v>
      </c>
      <c r="G9078" s="332">
        <v>243</v>
      </c>
      <c r="H9078" s="333">
        <v>295</v>
      </c>
    </row>
    <row r="9079" spans="1:8">
      <c r="A9079" s="317" t="s">
        <v>42343</v>
      </c>
      <c r="B9079" s="330" t="s">
        <v>53435</v>
      </c>
      <c r="C9079" s="330" t="s">
        <v>20788</v>
      </c>
      <c r="D9079" s="330" t="s">
        <v>20736</v>
      </c>
      <c r="E9079" s="330" t="s">
        <v>4819</v>
      </c>
      <c r="F9079" s="331">
        <v>0.21</v>
      </c>
      <c r="G9079" s="332">
        <v>265</v>
      </c>
      <c r="H9079" s="333">
        <v>321</v>
      </c>
    </row>
    <row r="9080" spans="1:8">
      <c r="A9080" s="317" t="s">
        <v>42344</v>
      </c>
      <c r="B9080" s="330" t="s">
        <v>53436</v>
      </c>
      <c r="C9080" s="330" t="s">
        <v>20789</v>
      </c>
      <c r="D9080" s="330" t="s">
        <v>20790</v>
      </c>
      <c r="E9080" s="330" t="s">
        <v>37248</v>
      </c>
      <c r="F9080" s="331">
        <v>0.21</v>
      </c>
      <c r="G9080" s="332">
        <v>3624</v>
      </c>
      <c r="H9080" s="333">
        <v>4386</v>
      </c>
    </row>
    <row r="9081" spans="1:8">
      <c r="A9081" s="317" t="s">
        <v>42345</v>
      </c>
      <c r="B9081" s="330" t="s">
        <v>53437</v>
      </c>
      <c r="C9081" s="330" t="s">
        <v>20791</v>
      </c>
      <c r="D9081" s="330" t="s">
        <v>20792</v>
      </c>
      <c r="E9081" s="330" t="s">
        <v>4819</v>
      </c>
      <c r="F9081" s="331">
        <v>0.21</v>
      </c>
      <c r="G9081" s="332">
        <v>1905</v>
      </c>
      <c r="H9081" s="333">
        <v>2306</v>
      </c>
    </row>
    <row r="9082" spans="1:8">
      <c r="A9082" s="317" t="s">
        <v>42346</v>
      </c>
      <c r="B9082" s="330" t="s">
        <v>53438</v>
      </c>
      <c r="C9082" s="330" t="s">
        <v>20793</v>
      </c>
      <c r="D9082" s="330" t="s">
        <v>20732</v>
      </c>
      <c r="E9082" s="330" t="s">
        <v>4819</v>
      </c>
      <c r="F9082" s="331">
        <v>0.21</v>
      </c>
      <c r="G9082" s="332">
        <v>532</v>
      </c>
      <c r="H9082" s="333">
        <v>644</v>
      </c>
    </row>
    <row r="9083" spans="1:8">
      <c r="A9083" s="317" t="s">
        <v>42347</v>
      </c>
      <c r="B9083" s="330" t="s">
        <v>53439</v>
      </c>
      <c r="C9083" s="330" t="s">
        <v>20794</v>
      </c>
      <c r="D9083" s="330" t="s">
        <v>20795</v>
      </c>
      <c r="E9083" s="330" t="s">
        <v>37248</v>
      </c>
      <c r="F9083" s="331">
        <v>0.21</v>
      </c>
      <c r="G9083" s="332">
        <v>570</v>
      </c>
      <c r="H9083" s="333">
        <v>690</v>
      </c>
    </row>
    <row r="9084" spans="1:8">
      <c r="A9084" s="317" t="s">
        <v>42348</v>
      </c>
      <c r="B9084" s="330" t="s">
        <v>53440</v>
      </c>
      <c r="C9084" s="330" t="s">
        <v>20796</v>
      </c>
      <c r="D9084" s="330" t="s">
        <v>20736</v>
      </c>
      <c r="E9084" s="330" t="s">
        <v>4819</v>
      </c>
      <c r="F9084" s="331">
        <v>0.21</v>
      </c>
      <c r="G9084" s="332">
        <v>265</v>
      </c>
      <c r="H9084" s="333">
        <v>321</v>
      </c>
    </row>
    <row r="9085" spans="1:8">
      <c r="A9085" s="317" t="s">
        <v>42349</v>
      </c>
      <c r="B9085" s="330" t="s">
        <v>53441</v>
      </c>
      <c r="C9085" s="330" t="s">
        <v>20797</v>
      </c>
      <c r="D9085" s="330" t="s">
        <v>20798</v>
      </c>
      <c r="E9085" s="330" t="s">
        <v>4819</v>
      </c>
      <c r="F9085" s="331">
        <v>0.21</v>
      </c>
      <c r="G9085" s="332">
        <v>736</v>
      </c>
      <c r="H9085" s="333">
        <v>891</v>
      </c>
    </row>
    <row r="9086" spans="1:8">
      <c r="A9086" s="317" t="s">
        <v>42350</v>
      </c>
      <c r="B9086" s="330" t="s">
        <v>53442</v>
      </c>
      <c r="C9086" s="330" t="s">
        <v>20799</v>
      </c>
      <c r="D9086" s="330" t="s">
        <v>20800</v>
      </c>
      <c r="E9086" s="330" t="s">
        <v>4819</v>
      </c>
      <c r="F9086" s="331">
        <v>0.21</v>
      </c>
      <c r="G9086" s="332">
        <v>13846</v>
      </c>
      <c r="H9086" s="333">
        <v>16754</v>
      </c>
    </row>
    <row r="9087" spans="1:8">
      <c r="A9087" s="317" t="s">
        <v>42351</v>
      </c>
      <c r="B9087" s="330" t="s">
        <v>53443</v>
      </c>
      <c r="C9087" s="330" t="s">
        <v>20801</v>
      </c>
      <c r="D9087" s="330" t="s">
        <v>20802</v>
      </c>
      <c r="E9087" s="330" t="s">
        <v>4819</v>
      </c>
      <c r="F9087" s="331">
        <v>0.21</v>
      </c>
      <c r="G9087" s="332">
        <v>1052</v>
      </c>
      <c r="H9087" s="333">
        <v>1273</v>
      </c>
    </row>
    <row r="9088" spans="1:8">
      <c r="A9088" s="317" t="s">
        <v>42352</v>
      </c>
      <c r="B9088" s="330" t="s">
        <v>53444</v>
      </c>
      <c r="C9088" s="330" t="s">
        <v>20803</v>
      </c>
      <c r="D9088" s="330" t="s">
        <v>20804</v>
      </c>
      <c r="E9088" s="330" t="s">
        <v>4819</v>
      </c>
      <c r="F9088" s="331">
        <v>0.21</v>
      </c>
      <c r="G9088" s="332">
        <v>553</v>
      </c>
      <c r="H9088" s="333">
        <v>670</v>
      </c>
    </row>
    <row r="9089" spans="1:8">
      <c r="A9089" s="317" t="s">
        <v>42353</v>
      </c>
      <c r="B9089" s="330" t="s">
        <v>53445</v>
      </c>
      <c r="C9089" s="330" t="s">
        <v>20805</v>
      </c>
      <c r="D9089" s="330" t="s">
        <v>20806</v>
      </c>
      <c r="E9089" s="330" t="s">
        <v>37248</v>
      </c>
      <c r="F9089" s="331">
        <v>0.21</v>
      </c>
      <c r="G9089" s="332">
        <v>68323</v>
      </c>
      <c r="H9089" s="333">
        <v>82671</v>
      </c>
    </row>
    <row r="9090" spans="1:8">
      <c r="A9090" s="317" t="s">
        <v>42354</v>
      </c>
      <c r="B9090" s="330" t="s">
        <v>53446</v>
      </c>
      <c r="C9090" s="330" t="s">
        <v>20807</v>
      </c>
      <c r="D9090" s="330" t="s">
        <v>20808</v>
      </c>
      <c r="E9090" s="330" t="s">
        <v>4819</v>
      </c>
      <c r="F9090" s="331">
        <v>0.21</v>
      </c>
      <c r="G9090" s="332">
        <v>2513</v>
      </c>
      <c r="H9090" s="333">
        <v>3041</v>
      </c>
    </row>
    <row r="9091" spans="1:8">
      <c r="A9091" s="317" t="s">
        <v>42355</v>
      </c>
      <c r="B9091" s="330" t="s">
        <v>53447</v>
      </c>
      <c r="C9091" s="330" t="s">
        <v>20809</v>
      </c>
      <c r="D9091" s="330" t="s">
        <v>20810</v>
      </c>
      <c r="E9091" s="330" t="s">
        <v>4819</v>
      </c>
      <c r="F9091" s="331">
        <v>0.21</v>
      </c>
      <c r="G9091" s="332">
        <v>1905</v>
      </c>
      <c r="H9091" s="333">
        <v>2306</v>
      </c>
    </row>
    <row r="9092" spans="1:8">
      <c r="A9092" s="317" t="s">
        <v>42356</v>
      </c>
      <c r="B9092" s="330" t="s">
        <v>53448</v>
      </c>
      <c r="C9092" s="330" t="s">
        <v>20811</v>
      </c>
      <c r="D9092" s="330" t="s">
        <v>20812</v>
      </c>
      <c r="E9092" s="330" t="s">
        <v>4819</v>
      </c>
      <c r="F9092" s="331">
        <v>0.21</v>
      </c>
      <c r="G9092" s="332">
        <v>1983</v>
      </c>
      <c r="H9092" s="333">
        <v>2400</v>
      </c>
    </row>
    <row r="9093" spans="1:8">
      <c r="A9093" s="317" t="s">
        <v>42357</v>
      </c>
      <c r="B9093" s="330" t="s">
        <v>53449</v>
      </c>
      <c r="C9093" s="330" t="s">
        <v>20813</v>
      </c>
      <c r="D9093" s="330" t="s">
        <v>20814</v>
      </c>
      <c r="E9093" s="330" t="s">
        <v>4819</v>
      </c>
      <c r="F9093" s="331">
        <v>0.21</v>
      </c>
      <c r="G9093" s="332">
        <v>6814</v>
      </c>
      <c r="H9093" s="333">
        <v>8245</v>
      </c>
    </row>
    <row r="9094" spans="1:8">
      <c r="A9094" s="317" t="s">
        <v>42358</v>
      </c>
      <c r="B9094" s="330" t="s">
        <v>53450</v>
      </c>
      <c r="C9094" s="330" t="s">
        <v>20815</v>
      </c>
      <c r="D9094" s="330" t="s">
        <v>20816</v>
      </c>
      <c r="E9094" s="330" t="s">
        <v>37248</v>
      </c>
      <c r="F9094" s="331">
        <v>0.21</v>
      </c>
      <c r="G9094" s="332">
        <v>1666</v>
      </c>
      <c r="H9094" s="333">
        <v>2016</v>
      </c>
    </row>
    <row r="9095" spans="1:8">
      <c r="A9095" s="317" t="s">
        <v>42359</v>
      </c>
      <c r="B9095" s="330" t="s">
        <v>53451</v>
      </c>
      <c r="C9095" s="330" t="s">
        <v>20817</v>
      </c>
      <c r="D9095" s="330" t="s">
        <v>20790</v>
      </c>
      <c r="E9095" s="330" t="s">
        <v>37248</v>
      </c>
      <c r="F9095" s="331">
        <v>0.21</v>
      </c>
      <c r="G9095" s="332">
        <v>934</v>
      </c>
      <c r="H9095" s="333">
        <v>1131</v>
      </c>
    </row>
    <row r="9096" spans="1:8">
      <c r="A9096" s="317" t="s">
        <v>42360</v>
      </c>
      <c r="B9096" s="330" t="s">
        <v>53452</v>
      </c>
      <c r="C9096" s="330" t="s">
        <v>20818</v>
      </c>
      <c r="D9096" s="330" t="s">
        <v>20819</v>
      </c>
      <c r="E9096" s="330" t="s">
        <v>37248</v>
      </c>
      <c r="F9096" s="331">
        <v>0.21</v>
      </c>
      <c r="G9096" s="332">
        <v>5840</v>
      </c>
      <c r="H9096" s="333">
        <v>7067</v>
      </c>
    </row>
    <row r="9097" spans="1:8">
      <c r="A9097" s="317" t="s">
        <v>42361</v>
      </c>
      <c r="B9097" s="330" t="s">
        <v>53453</v>
      </c>
      <c r="C9097" s="330" t="s">
        <v>20820</v>
      </c>
      <c r="D9097" s="330" t="s">
        <v>10592</v>
      </c>
      <c r="E9097" s="330" t="s">
        <v>37248</v>
      </c>
      <c r="F9097" s="331">
        <v>0.21</v>
      </c>
      <c r="G9097" s="332">
        <v>17101</v>
      </c>
      <c r="H9097" s="333">
        <v>20693</v>
      </c>
    </row>
    <row r="9098" spans="1:8">
      <c r="A9098" s="317" t="s">
        <v>42362</v>
      </c>
      <c r="B9098" s="330" t="s">
        <v>53454</v>
      </c>
      <c r="C9098" s="330" t="s">
        <v>20821</v>
      </c>
      <c r="D9098" s="330" t="s">
        <v>20822</v>
      </c>
      <c r="E9098" s="330" t="s">
        <v>37248</v>
      </c>
      <c r="F9098" s="331">
        <v>0.21</v>
      </c>
      <c r="G9098" s="332">
        <v>3593</v>
      </c>
      <c r="H9098" s="333">
        <v>4348</v>
      </c>
    </row>
    <row r="9099" spans="1:8">
      <c r="A9099" s="317" t="s">
        <v>42363</v>
      </c>
      <c r="B9099" s="330" t="s">
        <v>53455</v>
      </c>
      <c r="C9099" s="330" t="s">
        <v>20823</v>
      </c>
      <c r="D9099" s="330" t="s">
        <v>20824</v>
      </c>
      <c r="E9099" s="330" t="s">
        <v>37248</v>
      </c>
      <c r="F9099" s="331">
        <v>0.21</v>
      </c>
      <c r="G9099" s="332">
        <v>3049</v>
      </c>
      <c r="H9099" s="333">
        <v>3690</v>
      </c>
    </row>
    <row r="9100" spans="1:8">
      <c r="A9100" s="317" t="s">
        <v>42364</v>
      </c>
      <c r="B9100" s="330" t="s">
        <v>53456</v>
      </c>
      <c r="C9100" s="330" t="s">
        <v>20825</v>
      </c>
      <c r="D9100" s="330" t="s">
        <v>10700</v>
      </c>
      <c r="E9100" s="330" t="s">
        <v>4634</v>
      </c>
      <c r="F9100" s="331">
        <v>0.21</v>
      </c>
      <c r="G9100" s="332">
        <v>490</v>
      </c>
      <c r="H9100" s="333">
        <v>593</v>
      </c>
    </row>
    <row r="9101" spans="1:8">
      <c r="A9101" s="317" t="s">
        <v>42365</v>
      </c>
      <c r="B9101" s="330" t="s">
        <v>53457</v>
      </c>
      <c r="C9101" s="330" t="s">
        <v>20826</v>
      </c>
      <c r="D9101" s="330" t="s">
        <v>20827</v>
      </c>
      <c r="E9101" s="330" t="s">
        <v>4819</v>
      </c>
      <c r="F9101" s="331">
        <v>0.21</v>
      </c>
      <c r="G9101" s="332">
        <v>42000</v>
      </c>
      <c r="H9101" s="333">
        <v>50820</v>
      </c>
    </row>
    <row r="9102" spans="1:8">
      <c r="A9102" s="317" t="s">
        <v>42366</v>
      </c>
      <c r="B9102" s="330" t="s">
        <v>53458</v>
      </c>
      <c r="C9102" s="330" t="s">
        <v>20828</v>
      </c>
      <c r="D9102" s="330" t="s">
        <v>20829</v>
      </c>
      <c r="E9102" s="330" t="s">
        <v>37248</v>
      </c>
      <c r="F9102" s="331">
        <v>0.21</v>
      </c>
      <c r="G9102" s="332">
        <v>8041</v>
      </c>
      <c r="H9102" s="333">
        <v>9730</v>
      </c>
    </row>
    <row r="9103" spans="1:8">
      <c r="A9103" s="317" t="s">
        <v>42367</v>
      </c>
      <c r="B9103" s="330" t="s">
        <v>53459</v>
      </c>
      <c r="C9103" s="330" t="s">
        <v>20830</v>
      </c>
      <c r="D9103" s="330" t="s">
        <v>20831</v>
      </c>
      <c r="E9103" s="330" t="s">
        <v>4819</v>
      </c>
      <c r="F9103" s="331">
        <v>0.21</v>
      </c>
      <c r="G9103" s="332">
        <v>1295</v>
      </c>
      <c r="H9103" s="333">
        <v>1567</v>
      </c>
    </row>
    <row r="9104" spans="1:8">
      <c r="A9104" s="317" t="s">
        <v>42368</v>
      </c>
      <c r="B9104" s="330" t="s">
        <v>53460</v>
      </c>
      <c r="C9104" s="330" t="s">
        <v>20832</v>
      </c>
      <c r="D9104" s="330" t="s">
        <v>20833</v>
      </c>
      <c r="E9104" s="330" t="s">
        <v>37248</v>
      </c>
      <c r="F9104" s="331">
        <v>0.21</v>
      </c>
      <c r="G9104" s="332">
        <v>22497</v>
      </c>
      <c r="H9104" s="333">
        <v>27222</v>
      </c>
    </row>
    <row r="9105" spans="1:8">
      <c r="A9105" s="317" t="s">
        <v>42369</v>
      </c>
      <c r="B9105" s="330" t="s">
        <v>53461</v>
      </c>
      <c r="C9105" s="330" t="s">
        <v>20834</v>
      </c>
      <c r="D9105" s="330" t="s">
        <v>20835</v>
      </c>
      <c r="E9105" s="330" t="s">
        <v>37248</v>
      </c>
      <c r="F9105" s="331">
        <v>0.21</v>
      </c>
      <c r="G9105" s="332">
        <v>764</v>
      </c>
      <c r="H9105" s="333">
        <v>925</v>
      </c>
    </row>
    <row r="9106" spans="1:8">
      <c r="A9106" s="317" t="s">
        <v>42370</v>
      </c>
      <c r="B9106" s="330" t="s">
        <v>53462</v>
      </c>
      <c r="C9106" s="330" t="s">
        <v>20836</v>
      </c>
      <c r="D9106" s="330" t="s">
        <v>20837</v>
      </c>
      <c r="E9106" s="330" t="s">
        <v>37248</v>
      </c>
      <c r="F9106" s="331">
        <v>0.21</v>
      </c>
      <c r="G9106" s="332">
        <v>807</v>
      </c>
      <c r="H9106" s="333">
        <v>977</v>
      </c>
    </row>
    <row r="9107" spans="1:8">
      <c r="A9107" s="317" t="s">
        <v>42371</v>
      </c>
      <c r="B9107" s="330" t="s">
        <v>53463</v>
      </c>
      <c r="C9107" s="330" t="s">
        <v>20838</v>
      </c>
      <c r="D9107" s="330" t="s">
        <v>20839</v>
      </c>
      <c r="E9107" s="330" t="s">
        <v>4819</v>
      </c>
      <c r="F9107" s="331">
        <v>0.21</v>
      </c>
      <c r="G9107" s="332">
        <v>397</v>
      </c>
      <c r="H9107" s="333">
        <v>481</v>
      </c>
    </row>
    <row r="9108" spans="1:8">
      <c r="A9108" s="317" t="s">
        <v>42372</v>
      </c>
      <c r="B9108" s="330" t="s">
        <v>53464</v>
      </c>
      <c r="C9108" s="330" t="s">
        <v>20840</v>
      </c>
      <c r="D9108" s="330" t="s">
        <v>20764</v>
      </c>
      <c r="E9108" s="330" t="s">
        <v>4819</v>
      </c>
      <c r="F9108" s="331">
        <v>0.21</v>
      </c>
      <c r="G9108" s="332">
        <v>1905</v>
      </c>
      <c r="H9108" s="333">
        <v>2306</v>
      </c>
    </row>
    <row r="9109" spans="1:8">
      <c r="A9109" s="317" t="s">
        <v>42373</v>
      </c>
      <c r="B9109" s="330" t="s">
        <v>53465</v>
      </c>
      <c r="C9109" s="330" t="s">
        <v>20841</v>
      </c>
      <c r="D9109" s="330" t="s">
        <v>20842</v>
      </c>
      <c r="E9109" s="330" t="s">
        <v>37248</v>
      </c>
      <c r="F9109" s="331">
        <v>0.21</v>
      </c>
      <c r="G9109" s="332">
        <v>10444</v>
      </c>
      <c r="H9109" s="333">
        <v>12638</v>
      </c>
    </row>
    <row r="9110" spans="1:8">
      <c r="A9110" s="317" t="s">
        <v>42374</v>
      </c>
      <c r="B9110" s="330" t="s">
        <v>53466</v>
      </c>
      <c r="C9110" s="330" t="s">
        <v>20843</v>
      </c>
      <c r="D9110" s="330" t="s">
        <v>20766</v>
      </c>
      <c r="E9110" s="330" t="s">
        <v>4819</v>
      </c>
      <c r="F9110" s="331">
        <v>0.21</v>
      </c>
      <c r="G9110" s="332">
        <v>417</v>
      </c>
      <c r="H9110" s="333">
        <v>505</v>
      </c>
    </row>
    <row r="9111" spans="1:8">
      <c r="A9111" s="317" t="s">
        <v>42375</v>
      </c>
      <c r="B9111" s="330" t="s">
        <v>53467</v>
      </c>
      <c r="C9111" s="330" t="s">
        <v>20844</v>
      </c>
      <c r="D9111" s="330" t="s">
        <v>20845</v>
      </c>
      <c r="E9111" s="330" t="s">
        <v>4819</v>
      </c>
      <c r="F9111" s="331">
        <v>0.21</v>
      </c>
      <c r="G9111" s="332">
        <v>532</v>
      </c>
      <c r="H9111" s="333">
        <v>644</v>
      </c>
    </row>
    <row r="9112" spans="1:8">
      <c r="A9112" s="317" t="s">
        <v>42376</v>
      </c>
      <c r="B9112" s="330" t="s">
        <v>53468</v>
      </c>
      <c r="C9112" s="330" t="s">
        <v>20846</v>
      </c>
      <c r="D9112" s="330" t="s">
        <v>20673</v>
      </c>
      <c r="E9112" s="330" t="s">
        <v>4819</v>
      </c>
      <c r="F9112" s="331">
        <v>0.21</v>
      </c>
      <c r="G9112" s="332">
        <v>265</v>
      </c>
      <c r="H9112" s="333">
        <v>321</v>
      </c>
    </row>
    <row r="9113" spans="1:8">
      <c r="A9113" s="317" t="s">
        <v>42377</v>
      </c>
      <c r="B9113" s="330" t="s">
        <v>53469</v>
      </c>
      <c r="C9113" s="330" t="s">
        <v>20847</v>
      </c>
      <c r="D9113" s="330" t="s">
        <v>20848</v>
      </c>
      <c r="E9113" s="330" t="s">
        <v>4819</v>
      </c>
      <c r="F9113" s="331">
        <v>0.21</v>
      </c>
      <c r="G9113" s="332">
        <v>243</v>
      </c>
      <c r="H9113" s="333">
        <v>295</v>
      </c>
    </row>
    <row r="9114" spans="1:8">
      <c r="A9114" s="317" t="s">
        <v>42378</v>
      </c>
      <c r="B9114" s="330" t="s">
        <v>53470</v>
      </c>
      <c r="C9114" s="330" t="s">
        <v>20849</v>
      </c>
      <c r="D9114" s="330" t="s">
        <v>20850</v>
      </c>
      <c r="E9114" s="330" t="s">
        <v>4819</v>
      </c>
      <c r="F9114" s="331">
        <v>0.21</v>
      </c>
      <c r="G9114" s="332">
        <v>243</v>
      </c>
      <c r="H9114" s="333">
        <v>295</v>
      </c>
    </row>
    <row r="9115" spans="1:8">
      <c r="A9115" s="317" t="s">
        <v>42379</v>
      </c>
      <c r="B9115" s="330" t="s">
        <v>53471</v>
      </c>
      <c r="C9115" s="330" t="s">
        <v>20851</v>
      </c>
      <c r="D9115" s="330" t="s">
        <v>20852</v>
      </c>
      <c r="E9115" s="330" t="s">
        <v>4819</v>
      </c>
      <c r="F9115" s="331">
        <v>0.21</v>
      </c>
      <c r="G9115" s="332">
        <v>243</v>
      </c>
      <c r="H9115" s="333">
        <v>295</v>
      </c>
    </row>
    <row r="9116" spans="1:8">
      <c r="A9116" s="317" t="s">
        <v>42380</v>
      </c>
      <c r="B9116" s="330" t="s">
        <v>53472</v>
      </c>
      <c r="C9116" s="330" t="s">
        <v>20853</v>
      </c>
      <c r="D9116" s="330" t="s">
        <v>20854</v>
      </c>
      <c r="E9116" s="330" t="s">
        <v>4819</v>
      </c>
      <c r="F9116" s="331">
        <v>0.21</v>
      </c>
      <c r="G9116" s="332">
        <v>265</v>
      </c>
      <c r="H9116" s="333">
        <v>321</v>
      </c>
    </row>
    <row r="9117" spans="1:8">
      <c r="A9117" s="317" t="s">
        <v>42381</v>
      </c>
      <c r="B9117" s="330" t="s">
        <v>53473</v>
      </c>
      <c r="C9117" s="330" t="s">
        <v>20855</v>
      </c>
      <c r="D9117" s="330" t="s">
        <v>20738</v>
      </c>
      <c r="E9117" s="330" t="s">
        <v>4819</v>
      </c>
      <c r="F9117" s="331">
        <v>0.21</v>
      </c>
      <c r="G9117" s="332">
        <v>243</v>
      </c>
      <c r="H9117" s="333">
        <v>295</v>
      </c>
    </row>
    <row r="9118" spans="1:8">
      <c r="A9118" s="317" t="s">
        <v>42382</v>
      </c>
      <c r="B9118" s="330" t="s">
        <v>53474</v>
      </c>
      <c r="C9118" s="330" t="s">
        <v>20856</v>
      </c>
      <c r="D9118" s="330" t="s">
        <v>20857</v>
      </c>
      <c r="E9118" s="330" t="s">
        <v>37248</v>
      </c>
      <c r="F9118" s="331">
        <v>0.21</v>
      </c>
      <c r="G9118" s="332">
        <v>807</v>
      </c>
      <c r="H9118" s="333">
        <v>977</v>
      </c>
    </row>
    <row r="9119" spans="1:8">
      <c r="A9119" s="317" t="s">
        <v>42383</v>
      </c>
      <c r="B9119" s="330" t="s">
        <v>53475</v>
      </c>
      <c r="C9119" s="330" t="s">
        <v>20858</v>
      </c>
      <c r="D9119" s="330" t="s">
        <v>20859</v>
      </c>
      <c r="E9119" s="330" t="s">
        <v>4819</v>
      </c>
      <c r="F9119" s="331">
        <v>0.21</v>
      </c>
      <c r="G9119" s="332">
        <v>33497</v>
      </c>
      <c r="H9119" s="333">
        <v>40532</v>
      </c>
    </row>
    <row r="9120" spans="1:8">
      <c r="A9120" s="317" t="s">
        <v>42384</v>
      </c>
      <c r="B9120" s="330" t="s">
        <v>53476</v>
      </c>
      <c r="C9120" s="330" t="s">
        <v>20860</v>
      </c>
      <c r="D9120" s="330" t="s">
        <v>20861</v>
      </c>
      <c r="E9120" s="330" t="s">
        <v>4819</v>
      </c>
      <c r="F9120" s="331">
        <v>0.21</v>
      </c>
      <c r="G9120" s="332">
        <v>532</v>
      </c>
      <c r="H9120" s="333">
        <v>644</v>
      </c>
    </row>
    <row r="9121" spans="1:8">
      <c r="A9121" s="317" t="s">
        <v>42385</v>
      </c>
      <c r="B9121" s="330" t="s">
        <v>53477</v>
      </c>
      <c r="C9121" s="330" t="s">
        <v>20862</v>
      </c>
      <c r="D9121" s="330" t="s">
        <v>20863</v>
      </c>
      <c r="E9121" s="330" t="s">
        <v>4819</v>
      </c>
      <c r="F9121" s="331">
        <v>0.21</v>
      </c>
      <c r="G9121" s="332">
        <v>17183</v>
      </c>
      <c r="H9121" s="333">
        <v>20792</v>
      </c>
    </row>
    <row r="9122" spans="1:8">
      <c r="A9122" s="317" t="s">
        <v>42386</v>
      </c>
      <c r="B9122" s="330" t="s">
        <v>53478</v>
      </c>
      <c r="C9122" s="330" t="s">
        <v>20864</v>
      </c>
      <c r="D9122" s="330" t="s">
        <v>20865</v>
      </c>
      <c r="E9122" s="330" t="s">
        <v>4819</v>
      </c>
      <c r="F9122" s="331">
        <v>0.21</v>
      </c>
      <c r="G9122" s="332">
        <v>154607</v>
      </c>
      <c r="H9122" s="333">
        <v>187075</v>
      </c>
    </row>
    <row r="9123" spans="1:8">
      <c r="A9123" s="317" t="s">
        <v>42387</v>
      </c>
      <c r="B9123" s="330" t="s">
        <v>53479</v>
      </c>
      <c r="C9123" s="330" t="s">
        <v>20866</v>
      </c>
      <c r="D9123" s="330" t="s">
        <v>20867</v>
      </c>
      <c r="E9123" s="330" t="s">
        <v>37248</v>
      </c>
      <c r="F9123" s="331">
        <v>0.21</v>
      </c>
      <c r="G9123" s="332">
        <v>72064</v>
      </c>
      <c r="H9123" s="333">
        <v>87198</v>
      </c>
    </row>
    <row r="9124" spans="1:8">
      <c r="A9124" s="317" t="s">
        <v>42388</v>
      </c>
      <c r="B9124" s="330" t="s">
        <v>53480</v>
      </c>
      <c r="C9124" s="330" t="s">
        <v>20868</v>
      </c>
      <c r="D9124" s="330" t="s">
        <v>20869</v>
      </c>
      <c r="E9124" s="330" t="s">
        <v>4819</v>
      </c>
      <c r="F9124" s="331">
        <v>0.21</v>
      </c>
      <c r="G9124" s="332">
        <v>5753</v>
      </c>
      <c r="H9124" s="333">
        <v>6962</v>
      </c>
    </row>
    <row r="9125" spans="1:8">
      <c r="A9125" s="317" t="s">
        <v>42389</v>
      </c>
      <c r="B9125" s="330" t="s">
        <v>53481</v>
      </c>
      <c r="C9125" s="330" t="s">
        <v>20870</v>
      </c>
      <c r="D9125" s="330" t="s">
        <v>20871</v>
      </c>
      <c r="E9125" s="330" t="s">
        <v>4819</v>
      </c>
      <c r="F9125" s="331">
        <v>0.21</v>
      </c>
      <c r="G9125" s="332">
        <v>553</v>
      </c>
      <c r="H9125" s="333">
        <v>670</v>
      </c>
    </row>
    <row r="9126" spans="1:8">
      <c r="A9126" s="317" t="s">
        <v>42390</v>
      </c>
      <c r="B9126" s="330" t="s">
        <v>53482</v>
      </c>
      <c r="C9126" s="330" t="s">
        <v>20872</v>
      </c>
      <c r="D9126" s="330" t="s">
        <v>20873</v>
      </c>
      <c r="E9126" s="330" t="s">
        <v>37248</v>
      </c>
      <c r="F9126" s="331">
        <v>0.21</v>
      </c>
      <c r="G9126" s="332">
        <v>15766</v>
      </c>
      <c r="H9126" s="333">
        <v>19077</v>
      </c>
    </row>
    <row r="9127" spans="1:8">
      <c r="A9127" s="317" t="s">
        <v>42391</v>
      </c>
      <c r="B9127" s="330" t="s">
        <v>53483</v>
      </c>
      <c r="C9127" s="330" t="s">
        <v>20874</v>
      </c>
      <c r="D9127" s="330" t="s">
        <v>20875</v>
      </c>
      <c r="E9127" s="330" t="s">
        <v>37248</v>
      </c>
      <c r="F9127" s="331">
        <v>0.21</v>
      </c>
      <c r="G9127" s="332">
        <v>515</v>
      </c>
      <c r="H9127" s="333">
        <v>624</v>
      </c>
    </row>
    <row r="9128" spans="1:8">
      <c r="A9128" s="317" t="s">
        <v>42392</v>
      </c>
      <c r="B9128" s="330" t="s">
        <v>53484</v>
      </c>
      <c r="C9128" s="330" t="s">
        <v>20876</v>
      </c>
      <c r="D9128" s="330" t="s">
        <v>13558</v>
      </c>
      <c r="E9128" s="330" t="s">
        <v>37248</v>
      </c>
      <c r="F9128" s="331">
        <v>0.21</v>
      </c>
      <c r="G9128" s="332">
        <v>2875</v>
      </c>
      <c r="H9128" s="333">
        <v>3479</v>
      </c>
    </row>
    <row r="9129" spans="1:8">
      <c r="A9129" s="317" t="s">
        <v>42393</v>
      </c>
      <c r="B9129" s="330" t="s">
        <v>53485</v>
      </c>
      <c r="C9129" s="330" t="s">
        <v>20877</v>
      </c>
      <c r="D9129" s="330" t="s">
        <v>20878</v>
      </c>
      <c r="E9129" s="330" t="s">
        <v>37248</v>
      </c>
      <c r="F9129" s="331">
        <v>0.21</v>
      </c>
      <c r="G9129" s="332">
        <v>709</v>
      </c>
      <c r="H9129" s="333">
        <v>858</v>
      </c>
    </row>
    <row r="9130" spans="1:8">
      <c r="A9130" s="317" t="s">
        <v>42394</v>
      </c>
      <c r="B9130" s="330" t="s">
        <v>53486</v>
      </c>
      <c r="C9130" s="330" t="s">
        <v>20879</v>
      </c>
      <c r="D9130" s="330" t="s">
        <v>20880</v>
      </c>
      <c r="E9130" s="330" t="s">
        <v>4819</v>
      </c>
      <c r="F9130" s="331">
        <v>0.21</v>
      </c>
      <c r="G9130" s="332">
        <v>7046</v>
      </c>
      <c r="H9130" s="333">
        <v>8526</v>
      </c>
    </row>
    <row r="9131" spans="1:8">
      <c r="A9131" s="317" t="s">
        <v>42395</v>
      </c>
      <c r="B9131" s="330" t="s">
        <v>53487</v>
      </c>
      <c r="C9131" s="330" t="s">
        <v>20881</v>
      </c>
      <c r="D9131" s="330" t="s">
        <v>6840</v>
      </c>
      <c r="E9131" s="330" t="s">
        <v>37248</v>
      </c>
      <c r="F9131" s="331">
        <v>0.21</v>
      </c>
      <c r="G9131" s="332">
        <v>3850</v>
      </c>
      <c r="H9131" s="333">
        <v>4659</v>
      </c>
    </row>
    <row r="9132" spans="1:8">
      <c r="A9132" s="317" t="s">
        <v>42396</v>
      </c>
      <c r="B9132" s="330" t="s">
        <v>53488</v>
      </c>
      <c r="C9132" s="330" t="s">
        <v>20882</v>
      </c>
      <c r="D9132" s="330" t="s">
        <v>13749</v>
      </c>
      <c r="E9132" s="330" t="s">
        <v>4819</v>
      </c>
      <c r="F9132" s="331">
        <v>0.21</v>
      </c>
      <c r="G9132" s="332">
        <v>1478</v>
      </c>
      <c r="H9132" s="333">
        <v>1789</v>
      </c>
    </row>
    <row r="9133" spans="1:8">
      <c r="A9133" s="317" t="s">
        <v>42397</v>
      </c>
      <c r="B9133" s="330" t="s">
        <v>53489</v>
      </c>
      <c r="C9133" s="330" t="s">
        <v>20883</v>
      </c>
      <c r="D9133" s="330" t="s">
        <v>9297</v>
      </c>
      <c r="E9133" s="330" t="s">
        <v>37248</v>
      </c>
      <c r="F9133" s="331">
        <v>0.21</v>
      </c>
      <c r="G9133" s="332">
        <v>519</v>
      </c>
      <c r="H9133" s="333">
        <v>628</v>
      </c>
    </row>
    <row r="9134" spans="1:8">
      <c r="A9134" s="317" t="s">
        <v>42398</v>
      </c>
      <c r="B9134" s="330" t="s">
        <v>53490</v>
      </c>
      <c r="C9134" s="330" t="s">
        <v>20884</v>
      </c>
      <c r="D9134" s="330" t="s">
        <v>5019</v>
      </c>
      <c r="E9134" s="330" t="s">
        <v>4819</v>
      </c>
      <c r="F9134" s="331">
        <v>0.21</v>
      </c>
      <c r="G9134" s="332">
        <v>216</v>
      </c>
      <c r="H9134" s="333">
        <v>262</v>
      </c>
    </row>
    <row r="9135" spans="1:8">
      <c r="A9135" s="317" t="s">
        <v>42399</v>
      </c>
      <c r="B9135" s="330" t="s">
        <v>53491</v>
      </c>
      <c r="C9135" s="330" t="s">
        <v>20885</v>
      </c>
      <c r="D9135" s="330" t="s">
        <v>9218</v>
      </c>
      <c r="E9135" s="330" t="s">
        <v>37248</v>
      </c>
      <c r="F9135" s="331">
        <v>0.21</v>
      </c>
      <c r="G9135" s="332">
        <v>997</v>
      </c>
      <c r="H9135" s="333">
        <v>1207</v>
      </c>
    </row>
    <row r="9136" spans="1:8">
      <c r="A9136" s="317" t="s">
        <v>42400</v>
      </c>
      <c r="B9136" s="330" t="s">
        <v>53492</v>
      </c>
      <c r="C9136" s="330" t="s">
        <v>20886</v>
      </c>
      <c r="D9136" s="330" t="s">
        <v>7235</v>
      </c>
      <c r="E9136" s="330" t="s">
        <v>37248</v>
      </c>
      <c r="F9136" s="331">
        <v>0.21</v>
      </c>
      <c r="G9136" s="332">
        <v>138</v>
      </c>
      <c r="H9136" s="333">
        <v>167</v>
      </c>
    </row>
    <row r="9137" spans="1:8">
      <c r="A9137" s="317" t="s">
        <v>42401</v>
      </c>
      <c r="B9137" s="330" t="s">
        <v>53493</v>
      </c>
      <c r="C9137" s="330" t="s">
        <v>20887</v>
      </c>
      <c r="D9137" s="330" t="s">
        <v>20888</v>
      </c>
      <c r="E9137" s="330" t="s">
        <v>37248</v>
      </c>
      <c r="F9137" s="331">
        <v>0.21</v>
      </c>
      <c r="G9137" s="332">
        <v>548</v>
      </c>
      <c r="H9137" s="333">
        <v>664</v>
      </c>
    </row>
    <row r="9138" spans="1:8">
      <c r="A9138" s="317" t="s">
        <v>42402</v>
      </c>
      <c r="B9138" s="330" t="s">
        <v>53494</v>
      </c>
      <c r="C9138" s="330" t="s">
        <v>20889</v>
      </c>
      <c r="D9138" s="330" t="s">
        <v>20890</v>
      </c>
      <c r="E9138" s="330" t="s">
        <v>37248</v>
      </c>
      <c r="F9138" s="331">
        <v>0.21</v>
      </c>
      <c r="G9138" s="332">
        <v>675</v>
      </c>
      <c r="H9138" s="333">
        <v>817</v>
      </c>
    </row>
    <row r="9139" spans="1:8">
      <c r="A9139" s="317" t="s">
        <v>42403</v>
      </c>
      <c r="B9139" s="330" t="s">
        <v>53495</v>
      </c>
      <c r="C9139" s="330" t="s">
        <v>20891</v>
      </c>
      <c r="D9139" s="330" t="s">
        <v>20892</v>
      </c>
      <c r="E9139" s="330" t="s">
        <v>37248</v>
      </c>
      <c r="F9139" s="331">
        <v>0.21</v>
      </c>
      <c r="G9139" s="332">
        <v>213</v>
      </c>
      <c r="H9139" s="333">
        <v>258</v>
      </c>
    </row>
    <row r="9140" spans="1:8">
      <c r="A9140" s="317" t="s">
        <v>42404</v>
      </c>
      <c r="B9140" s="330" t="s">
        <v>53496</v>
      </c>
      <c r="C9140" s="330" t="s">
        <v>20893</v>
      </c>
      <c r="D9140" s="330" t="s">
        <v>20894</v>
      </c>
      <c r="E9140" s="330" t="s">
        <v>37248</v>
      </c>
      <c r="F9140" s="331">
        <v>0.21</v>
      </c>
      <c r="G9140" s="332">
        <v>174</v>
      </c>
      <c r="H9140" s="333">
        <v>211</v>
      </c>
    </row>
    <row r="9141" spans="1:8">
      <c r="A9141" s="317" t="s">
        <v>42405</v>
      </c>
      <c r="B9141" s="330" t="s">
        <v>53497</v>
      </c>
      <c r="C9141" s="330" t="s">
        <v>20895</v>
      </c>
      <c r="D9141" s="330" t="s">
        <v>4762</v>
      </c>
      <c r="E9141" s="330" t="s">
        <v>37248</v>
      </c>
      <c r="F9141" s="331">
        <v>0.21</v>
      </c>
      <c r="G9141" s="332">
        <v>2272</v>
      </c>
      <c r="H9141" s="333">
        <v>2750</v>
      </c>
    </row>
    <row r="9142" spans="1:8">
      <c r="A9142" s="317" t="s">
        <v>42406</v>
      </c>
      <c r="B9142" s="330" t="s">
        <v>53498</v>
      </c>
      <c r="C9142" s="330" t="s">
        <v>20896</v>
      </c>
      <c r="D9142" s="330" t="s">
        <v>11098</v>
      </c>
      <c r="E9142" s="330" t="s">
        <v>37248</v>
      </c>
      <c r="F9142" s="331">
        <v>0.21</v>
      </c>
      <c r="G9142" s="332">
        <v>2219</v>
      </c>
      <c r="H9142" s="333">
        <v>2685</v>
      </c>
    </row>
    <row r="9143" spans="1:8">
      <c r="A9143" s="317" t="s">
        <v>42407</v>
      </c>
      <c r="B9143" s="330" t="s">
        <v>53499</v>
      </c>
      <c r="C9143" s="330" t="s">
        <v>20897</v>
      </c>
      <c r="D9143" s="330" t="s">
        <v>11098</v>
      </c>
      <c r="E9143" s="330" t="s">
        <v>37248</v>
      </c>
      <c r="F9143" s="331">
        <v>0.21</v>
      </c>
      <c r="G9143" s="332">
        <v>571</v>
      </c>
      <c r="H9143" s="333">
        <v>691</v>
      </c>
    </row>
    <row r="9144" spans="1:8">
      <c r="A9144" s="317" t="s">
        <v>42408</v>
      </c>
      <c r="B9144" s="330" t="s">
        <v>53500</v>
      </c>
      <c r="C9144" s="330" t="s">
        <v>20898</v>
      </c>
      <c r="D9144" s="330" t="s">
        <v>13485</v>
      </c>
      <c r="E9144" s="330" t="s">
        <v>37248</v>
      </c>
      <c r="F9144" s="331">
        <v>0.21</v>
      </c>
      <c r="G9144" s="332">
        <v>383</v>
      </c>
      <c r="H9144" s="333">
        <v>464</v>
      </c>
    </row>
    <row r="9145" spans="1:8">
      <c r="A9145" s="317" t="s">
        <v>42409</v>
      </c>
      <c r="B9145" s="330" t="s">
        <v>53501</v>
      </c>
      <c r="C9145" s="330" t="s">
        <v>20899</v>
      </c>
      <c r="D9145" s="330" t="s">
        <v>13485</v>
      </c>
      <c r="E9145" s="330" t="s">
        <v>37248</v>
      </c>
      <c r="F9145" s="331">
        <v>0.21</v>
      </c>
      <c r="G9145" s="332">
        <v>588</v>
      </c>
      <c r="H9145" s="333">
        <v>712</v>
      </c>
    </row>
    <row r="9146" spans="1:8">
      <c r="A9146" s="317" t="s">
        <v>42410</v>
      </c>
      <c r="B9146" s="330" t="s">
        <v>53502</v>
      </c>
      <c r="C9146" s="330" t="s">
        <v>20900</v>
      </c>
      <c r="D9146" s="330" t="s">
        <v>20901</v>
      </c>
      <c r="E9146" s="330" t="s">
        <v>37248</v>
      </c>
      <c r="F9146" s="331">
        <v>0.21</v>
      </c>
      <c r="G9146" s="332">
        <v>689</v>
      </c>
      <c r="H9146" s="333">
        <v>834</v>
      </c>
    </row>
    <row r="9147" spans="1:8">
      <c r="A9147" s="317" t="s">
        <v>42411</v>
      </c>
      <c r="B9147" s="330" t="s">
        <v>53503</v>
      </c>
      <c r="C9147" s="330" t="s">
        <v>20902</v>
      </c>
      <c r="D9147" s="330" t="s">
        <v>7235</v>
      </c>
      <c r="E9147" s="330" t="s">
        <v>37248</v>
      </c>
      <c r="F9147" s="331">
        <v>0.21</v>
      </c>
      <c r="G9147" s="332">
        <v>144</v>
      </c>
      <c r="H9147" s="333">
        <v>175</v>
      </c>
    </row>
    <row r="9148" spans="1:8">
      <c r="A9148" s="317" t="s">
        <v>42412</v>
      </c>
      <c r="B9148" s="330" t="s">
        <v>53504</v>
      </c>
      <c r="C9148" s="330" t="s">
        <v>20903</v>
      </c>
      <c r="D9148" s="330" t="s">
        <v>20904</v>
      </c>
      <c r="E9148" s="330" t="s">
        <v>37248</v>
      </c>
      <c r="F9148" s="331">
        <v>0.21</v>
      </c>
      <c r="G9148" s="332">
        <v>144</v>
      </c>
      <c r="H9148" s="333">
        <v>175</v>
      </c>
    </row>
    <row r="9149" spans="1:8">
      <c r="A9149" s="317" t="s">
        <v>42413</v>
      </c>
      <c r="B9149" s="330" t="s">
        <v>53505</v>
      </c>
      <c r="C9149" s="330" t="s">
        <v>20905</v>
      </c>
      <c r="D9149" s="330" t="s">
        <v>7031</v>
      </c>
      <c r="E9149" s="330" t="s">
        <v>37248</v>
      </c>
      <c r="F9149" s="331">
        <v>0.21</v>
      </c>
      <c r="G9149" s="332">
        <v>144</v>
      </c>
      <c r="H9149" s="333">
        <v>175</v>
      </c>
    </row>
    <row r="9150" spans="1:8">
      <c r="A9150" s="317" t="s">
        <v>42414</v>
      </c>
      <c r="B9150" s="330" t="s">
        <v>53506</v>
      </c>
      <c r="C9150" s="330" t="s">
        <v>20906</v>
      </c>
      <c r="D9150" s="330" t="s">
        <v>9919</v>
      </c>
      <c r="E9150" s="330" t="s">
        <v>37248</v>
      </c>
      <c r="F9150" s="331">
        <v>0.21</v>
      </c>
      <c r="G9150" s="332">
        <v>213</v>
      </c>
      <c r="H9150" s="333">
        <v>258</v>
      </c>
    </row>
    <row r="9151" spans="1:8">
      <c r="A9151" s="317" t="s">
        <v>42415</v>
      </c>
      <c r="B9151" s="330" t="s">
        <v>53507</v>
      </c>
      <c r="C9151" s="330" t="s">
        <v>20907</v>
      </c>
      <c r="D9151" s="330" t="s">
        <v>7375</v>
      </c>
      <c r="E9151" s="330" t="s">
        <v>37248</v>
      </c>
      <c r="F9151" s="331">
        <v>0.21</v>
      </c>
      <c r="G9151" s="332">
        <v>1648</v>
      </c>
      <c r="H9151" s="333">
        <v>1995</v>
      </c>
    </row>
    <row r="9152" spans="1:8">
      <c r="A9152" s="317" t="s">
        <v>42416</v>
      </c>
      <c r="B9152" s="330" t="s">
        <v>53508</v>
      </c>
      <c r="C9152" s="330" t="s">
        <v>20908</v>
      </c>
      <c r="D9152" s="330" t="s">
        <v>20909</v>
      </c>
      <c r="E9152" s="330" t="s">
        <v>37248</v>
      </c>
      <c r="F9152" s="331">
        <v>0.21</v>
      </c>
      <c r="G9152" s="332">
        <v>5545</v>
      </c>
      <c r="H9152" s="333">
        <v>6710</v>
      </c>
    </row>
    <row r="9153" spans="1:8">
      <c r="A9153" s="317" t="s">
        <v>42417</v>
      </c>
      <c r="B9153" s="330" t="s">
        <v>53509</v>
      </c>
      <c r="C9153" s="330" t="s">
        <v>20910</v>
      </c>
      <c r="D9153" s="330" t="s">
        <v>20911</v>
      </c>
      <c r="E9153" s="330" t="s">
        <v>4623</v>
      </c>
      <c r="F9153" s="331">
        <v>0.21</v>
      </c>
      <c r="G9153" s="332">
        <v>872</v>
      </c>
      <c r="H9153" s="333">
        <v>1056</v>
      </c>
    </row>
    <row r="9154" spans="1:8">
      <c r="A9154" s="317" t="s">
        <v>42418</v>
      </c>
      <c r="B9154" s="330" t="s">
        <v>53510</v>
      </c>
      <c r="C9154" s="330" t="s">
        <v>20912</v>
      </c>
      <c r="D9154" s="330" t="s">
        <v>7334</v>
      </c>
      <c r="E9154" s="330" t="s">
        <v>37248</v>
      </c>
      <c r="F9154" s="331">
        <v>0.21</v>
      </c>
      <c r="G9154" s="332">
        <v>144</v>
      </c>
      <c r="H9154" s="333">
        <v>175</v>
      </c>
    </row>
    <row r="9155" spans="1:8">
      <c r="A9155" s="317" t="s">
        <v>42419</v>
      </c>
      <c r="B9155" s="330" t="s">
        <v>53511</v>
      </c>
      <c r="C9155" s="330" t="s">
        <v>20913</v>
      </c>
      <c r="D9155" s="330" t="s">
        <v>20914</v>
      </c>
      <c r="E9155" s="330" t="s">
        <v>37248</v>
      </c>
      <c r="F9155" s="331">
        <v>0.21</v>
      </c>
      <c r="G9155" s="332">
        <v>296</v>
      </c>
      <c r="H9155" s="333">
        <v>359</v>
      </c>
    </row>
    <row r="9156" spans="1:8">
      <c r="A9156" s="317" t="s">
        <v>42420</v>
      </c>
      <c r="B9156" s="330" t="s">
        <v>53512</v>
      </c>
      <c r="C9156" s="330" t="s">
        <v>20915</v>
      </c>
      <c r="D9156" s="330" t="s">
        <v>7235</v>
      </c>
      <c r="E9156" s="330" t="s">
        <v>37248</v>
      </c>
      <c r="F9156" s="331">
        <v>0.21</v>
      </c>
      <c r="G9156" s="332">
        <v>129</v>
      </c>
      <c r="H9156" s="333">
        <v>157</v>
      </c>
    </row>
    <row r="9157" spans="1:8">
      <c r="A9157" s="317" t="s">
        <v>42421</v>
      </c>
      <c r="B9157" s="330" t="s">
        <v>53513</v>
      </c>
      <c r="C9157" s="330" t="s">
        <v>20916</v>
      </c>
      <c r="D9157" s="330" t="s">
        <v>6205</v>
      </c>
      <c r="E9157" s="330" t="s">
        <v>4819</v>
      </c>
      <c r="F9157" s="331">
        <v>0.21</v>
      </c>
      <c r="G9157" s="332">
        <v>144</v>
      </c>
      <c r="H9157" s="333">
        <v>175</v>
      </c>
    </row>
    <row r="9158" spans="1:8">
      <c r="A9158" s="317" t="s">
        <v>42422</v>
      </c>
      <c r="B9158" s="330" t="s">
        <v>53514</v>
      </c>
      <c r="C9158" s="330" t="s">
        <v>20917</v>
      </c>
      <c r="D9158" s="330" t="s">
        <v>7235</v>
      </c>
      <c r="E9158" s="330" t="s">
        <v>37248</v>
      </c>
      <c r="F9158" s="331">
        <v>0.21</v>
      </c>
      <c r="G9158" s="332">
        <v>144</v>
      </c>
      <c r="H9158" s="333">
        <v>175</v>
      </c>
    </row>
    <row r="9159" spans="1:8">
      <c r="A9159" s="317" t="s">
        <v>42423</v>
      </c>
      <c r="B9159" s="330" t="s">
        <v>53515</v>
      </c>
      <c r="C9159" s="330" t="s">
        <v>20918</v>
      </c>
      <c r="D9159" s="330" t="s">
        <v>20919</v>
      </c>
      <c r="E9159" s="330" t="s">
        <v>4819</v>
      </c>
      <c r="F9159" s="331">
        <v>0.21</v>
      </c>
      <c r="G9159" s="332">
        <v>113</v>
      </c>
      <c r="H9159" s="333">
        <v>137</v>
      </c>
    </row>
    <row r="9160" spans="1:8">
      <c r="A9160" s="317" t="s">
        <v>42424</v>
      </c>
      <c r="B9160" s="330" t="s">
        <v>53516</v>
      </c>
      <c r="C9160" s="330" t="s">
        <v>20920</v>
      </c>
      <c r="D9160" s="330" t="s">
        <v>20904</v>
      </c>
      <c r="E9160" s="330" t="s">
        <v>37248</v>
      </c>
      <c r="F9160" s="331">
        <v>0.21</v>
      </c>
      <c r="G9160" s="332">
        <v>144</v>
      </c>
      <c r="H9160" s="333">
        <v>175</v>
      </c>
    </row>
    <row r="9161" spans="1:8">
      <c r="A9161" s="317" t="s">
        <v>42425</v>
      </c>
      <c r="B9161" s="330" t="s">
        <v>53517</v>
      </c>
      <c r="C9161" s="330" t="s">
        <v>20921</v>
      </c>
      <c r="D9161" s="330" t="s">
        <v>20922</v>
      </c>
      <c r="E9161" s="330" t="s">
        <v>37248</v>
      </c>
      <c r="F9161" s="331">
        <v>0.21</v>
      </c>
      <c r="G9161" s="332">
        <v>240</v>
      </c>
      <c r="H9161" s="333">
        <v>291</v>
      </c>
    </row>
    <row r="9162" spans="1:8">
      <c r="A9162" s="317" t="s">
        <v>42426</v>
      </c>
      <c r="B9162" s="330" t="s">
        <v>53518</v>
      </c>
      <c r="C9162" s="330" t="s">
        <v>20923</v>
      </c>
      <c r="D9162" s="330" t="s">
        <v>7235</v>
      </c>
      <c r="E9162" s="330" t="s">
        <v>37248</v>
      </c>
      <c r="F9162" s="331">
        <v>0.21</v>
      </c>
      <c r="G9162" s="332">
        <v>144</v>
      </c>
      <c r="H9162" s="333">
        <v>175</v>
      </c>
    </row>
    <row r="9163" spans="1:8">
      <c r="A9163" s="317" t="s">
        <v>42427</v>
      </c>
      <c r="B9163" s="330" t="s">
        <v>53519</v>
      </c>
      <c r="C9163" s="330" t="s">
        <v>20924</v>
      </c>
      <c r="D9163" s="330" t="s">
        <v>6205</v>
      </c>
      <c r="E9163" s="330" t="s">
        <v>37248</v>
      </c>
      <c r="F9163" s="331">
        <v>0.21</v>
      </c>
      <c r="G9163" s="332">
        <v>144</v>
      </c>
      <c r="H9163" s="333">
        <v>175</v>
      </c>
    </row>
    <row r="9164" spans="1:8">
      <c r="A9164" s="317" t="s">
        <v>42428</v>
      </c>
      <c r="B9164" s="330" t="s">
        <v>53520</v>
      </c>
      <c r="C9164" s="330" t="s">
        <v>20925</v>
      </c>
      <c r="D9164" s="330" t="s">
        <v>20926</v>
      </c>
      <c r="E9164" s="330" t="s">
        <v>37248</v>
      </c>
      <c r="F9164" s="331">
        <v>0.21</v>
      </c>
      <c r="G9164" s="332">
        <v>479</v>
      </c>
      <c r="H9164" s="333">
        <v>580</v>
      </c>
    </row>
    <row r="9165" spans="1:8">
      <c r="A9165" s="317" t="s">
        <v>42429</v>
      </c>
      <c r="B9165" s="330" t="s">
        <v>53521</v>
      </c>
      <c r="C9165" s="330" t="s">
        <v>20927</v>
      </c>
      <c r="D9165" s="330" t="s">
        <v>7235</v>
      </c>
      <c r="E9165" s="330" t="s">
        <v>37248</v>
      </c>
      <c r="F9165" s="331">
        <v>0.21</v>
      </c>
      <c r="G9165" s="332">
        <v>144</v>
      </c>
      <c r="H9165" s="333">
        <v>175</v>
      </c>
    </row>
    <row r="9166" spans="1:8">
      <c r="A9166" s="317" t="s">
        <v>42430</v>
      </c>
      <c r="B9166" s="330" t="s">
        <v>53522</v>
      </c>
      <c r="C9166" s="330" t="s">
        <v>20928</v>
      </c>
      <c r="D9166" s="330" t="s">
        <v>20929</v>
      </c>
      <c r="E9166" s="330" t="s">
        <v>37248</v>
      </c>
      <c r="F9166" s="331">
        <v>0.21</v>
      </c>
      <c r="G9166" s="332">
        <v>144</v>
      </c>
      <c r="H9166" s="333">
        <v>175</v>
      </c>
    </row>
    <row r="9167" spans="1:8">
      <c r="A9167" s="317" t="s">
        <v>42431</v>
      </c>
      <c r="B9167" s="330" t="s">
        <v>53523</v>
      </c>
      <c r="C9167" s="330" t="s">
        <v>20930</v>
      </c>
      <c r="D9167" s="330" t="s">
        <v>13485</v>
      </c>
      <c r="E9167" s="330" t="s">
        <v>37248</v>
      </c>
      <c r="F9167" s="331">
        <v>0.21</v>
      </c>
      <c r="G9167" s="332">
        <v>296</v>
      </c>
      <c r="H9167" s="333">
        <v>359</v>
      </c>
    </row>
    <row r="9168" spans="1:8">
      <c r="A9168" s="317" t="s">
        <v>42432</v>
      </c>
      <c r="B9168" s="330" t="s">
        <v>53524</v>
      </c>
      <c r="C9168" s="330" t="s">
        <v>20931</v>
      </c>
      <c r="D9168" s="330" t="s">
        <v>20932</v>
      </c>
      <c r="E9168" s="330" t="s">
        <v>37248</v>
      </c>
      <c r="F9168" s="331">
        <v>0.21</v>
      </c>
      <c r="G9168" s="332">
        <v>129</v>
      </c>
      <c r="H9168" s="333">
        <v>157</v>
      </c>
    </row>
    <row r="9169" spans="1:8">
      <c r="A9169" s="317" t="s">
        <v>42433</v>
      </c>
      <c r="B9169" s="330" t="s">
        <v>53525</v>
      </c>
      <c r="C9169" s="330" t="s">
        <v>20933</v>
      </c>
      <c r="D9169" s="330" t="s">
        <v>5155</v>
      </c>
      <c r="E9169" s="330" t="s">
        <v>37248</v>
      </c>
      <c r="F9169" s="331">
        <v>0.21</v>
      </c>
      <c r="G9169" s="332">
        <v>8175</v>
      </c>
      <c r="H9169" s="333">
        <v>9892</v>
      </c>
    </row>
    <row r="9170" spans="1:8">
      <c r="A9170" s="317" t="s">
        <v>42434</v>
      </c>
      <c r="B9170" s="330" t="s">
        <v>53526</v>
      </c>
      <c r="C9170" s="330" t="s">
        <v>20934</v>
      </c>
      <c r="D9170" s="330" t="s">
        <v>8541</v>
      </c>
      <c r="E9170" s="330" t="s">
        <v>4819</v>
      </c>
      <c r="F9170" s="331">
        <v>0.21</v>
      </c>
      <c r="G9170" s="332">
        <v>3288</v>
      </c>
      <c r="H9170" s="333">
        <v>3979</v>
      </c>
    </row>
    <row r="9171" spans="1:8">
      <c r="A9171" s="317" t="s">
        <v>42435</v>
      </c>
      <c r="B9171" s="330" t="s">
        <v>53527</v>
      </c>
      <c r="C9171" s="330" t="s">
        <v>20935</v>
      </c>
      <c r="D9171" s="330" t="s">
        <v>20936</v>
      </c>
      <c r="E9171" s="330" t="s">
        <v>37248</v>
      </c>
      <c r="F9171" s="331">
        <v>0.21</v>
      </c>
      <c r="G9171" s="332">
        <v>515</v>
      </c>
      <c r="H9171" s="333">
        <v>624</v>
      </c>
    </row>
    <row r="9172" spans="1:8">
      <c r="A9172" s="317" t="s">
        <v>42436</v>
      </c>
      <c r="B9172" s="330" t="s">
        <v>53528</v>
      </c>
      <c r="C9172" s="330" t="s">
        <v>20937</v>
      </c>
      <c r="D9172" s="330" t="s">
        <v>20938</v>
      </c>
      <c r="E9172" s="330" t="s">
        <v>37248</v>
      </c>
      <c r="F9172" s="331">
        <v>0.21</v>
      </c>
      <c r="G9172" s="332">
        <v>2891</v>
      </c>
      <c r="H9172" s="333">
        <v>3499</v>
      </c>
    </row>
    <row r="9173" spans="1:8">
      <c r="A9173" s="317" t="s">
        <v>42437</v>
      </c>
      <c r="B9173" s="330" t="s">
        <v>53529</v>
      </c>
      <c r="C9173" s="330" t="s">
        <v>20939</v>
      </c>
      <c r="D9173" s="330" t="s">
        <v>20675</v>
      </c>
      <c r="E9173" s="330" t="s">
        <v>37248</v>
      </c>
      <c r="F9173" s="331">
        <v>0.21</v>
      </c>
      <c r="G9173" s="332">
        <v>553</v>
      </c>
      <c r="H9173" s="333">
        <v>670</v>
      </c>
    </row>
    <row r="9174" spans="1:8">
      <c r="A9174" s="317" t="s">
        <v>42438</v>
      </c>
      <c r="B9174" s="330" t="s">
        <v>53530</v>
      </c>
      <c r="C9174" s="330" t="s">
        <v>20940</v>
      </c>
      <c r="D9174" s="330" t="s">
        <v>20764</v>
      </c>
      <c r="E9174" s="330" t="s">
        <v>4819</v>
      </c>
      <c r="F9174" s="331">
        <v>0.21</v>
      </c>
      <c r="G9174" s="332">
        <v>397</v>
      </c>
      <c r="H9174" s="333">
        <v>481</v>
      </c>
    </row>
    <row r="9175" spans="1:8">
      <c r="A9175" s="317" t="s">
        <v>42439</v>
      </c>
      <c r="B9175" s="330" t="s">
        <v>53531</v>
      </c>
      <c r="C9175" s="330" t="s">
        <v>20941</v>
      </c>
      <c r="D9175" s="330" t="s">
        <v>20942</v>
      </c>
      <c r="E9175" s="330" t="s">
        <v>37248</v>
      </c>
      <c r="F9175" s="331">
        <v>0.21</v>
      </c>
      <c r="G9175" s="332">
        <v>1478</v>
      </c>
      <c r="H9175" s="333">
        <v>1789</v>
      </c>
    </row>
    <row r="9176" spans="1:8">
      <c r="A9176" s="317" t="s">
        <v>42440</v>
      </c>
      <c r="B9176" s="330" t="s">
        <v>53532</v>
      </c>
      <c r="C9176" s="330" t="s">
        <v>20943</v>
      </c>
      <c r="D9176" s="330" t="s">
        <v>20944</v>
      </c>
      <c r="E9176" s="330" t="s">
        <v>37248</v>
      </c>
      <c r="F9176" s="331">
        <v>0.21</v>
      </c>
      <c r="G9176" s="332">
        <v>646</v>
      </c>
      <c r="H9176" s="333">
        <v>782</v>
      </c>
    </row>
    <row r="9177" spans="1:8">
      <c r="A9177" s="317" t="s">
        <v>42441</v>
      </c>
      <c r="B9177" s="330" t="s">
        <v>53533</v>
      </c>
      <c r="C9177" s="330" t="s">
        <v>20945</v>
      </c>
      <c r="D9177" s="330" t="s">
        <v>6740</v>
      </c>
      <c r="E9177" s="330" t="s">
        <v>37248</v>
      </c>
      <c r="F9177" s="331">
        <v>0.21</v>
      </c>
      <c r="G9177" s="332">
        <v>397</v>
      </c>
      <c r="H9177" s="333">
        <v>481</v>
      </c>
    </row>
    <row r="9178" spans="1:8">
      <c r="A9178" s="317" t="s">
        <v>42442</v>
      </c>
      <c r="B9178" s="330" t="s">
        <v>53534</v>
      </c>
      <c r="C9178" s="330" t="s">
        <v>20946</v>
      </c>
      <c r="D9178" s="330" t="s">
        <v>7369</v>
      </c>
      <c r="E9178" s="330" t="s">
        <v>37248</v>
      </c>
      <c r="F9178" s="331">
        <v>0.21</v>
      </c>
      <c r="G9178" s="332">
        <v>25647</v>
      </c>
      <c r="H9178" s="333">
        <v>31033</v>
      </c>
    </row>
    <row r="9179" spans="1:8">
      <c r="A9179" s="317" t="s">
        <v>42443</v>
      </c>
      <c r="B9179" s="330" t="s">
        <v>53535</v>
      </c>
      <c r="C9179" s="330" t="s">
        <v>20947</v>
      </c>
      <c r="D9179" s="330" t="s">
        <v>7725</v>
      </c>
      <c r="E9179" s="330" t="s">
        <v>37248</v>
      </c>
      <c r="F9179" s="331">
        <v>0.21</v>
      </c>
      <c r="G9179" s="332">
        <v>4628</v>
      </c>
      <c r="H9179" s="333">
        <v>5600</v>
      </c>
    </row>
    <row r="9180" spans="1:8">
      <c r="A9180" s="317" t="s">
        <v>42444</v>
      </c>
      <c r="B9180" s="330" t="s">
        <v>53536</v>
      </c>
      <c r="C9180" s="330" t="s">
        <v>20948</v>
      </c>
      <c r="D9180" s="330" t="s">
        <v>7725</v>
      </c>
      <c r="E9180" s="330" t="s">
        <v>37248</v>
      </c>
      <c r="F9180" s="331">
        <v>0.21</v>
      </c>
      <c r="G9180" s="332">
        <v>4628</v>
      </c>
      <c r="H9180" s="333">
        <v>5600</v>
      </c>
    </row>
    <row r="9181" spans="1:8">
      <c r="A9181" s="317" t="s">
        <v>42445</v>
      </c>
      <c r="B9181" s="330" t="s">
        <v>53537</v>
      </c>
      <c r="C9181" s="330" t="s">
        <v>20949</v>
      </c>
      <c r="D9181" s="330" t="s">
        <v>7653</v>
      </c>
      <c r="E9181" s="330" t="s">
        <v>37248</v>
      </c>
      <c r="F9181" s="331">
        <v>0.21</v>
      </c>
      <c r="G9181" s="332">
        <v>305</v>
      </c>
      <c r="H9181" s="333">
        <v>370</v>
      </c>
    </row>
    <row r="9182" spans="1:8">
      <c r="A9182" s="317" t="s">
        <v>42446</v>
      </c>
      <c r="B9182" s="330" t="s">
        <v>53538</v>
      </c>
      <c r="C9182" s="330" t="s">
        <v>20950</v>
      </c>
      <c r="D9182" s="330" t="s">
        <v>8071</v>
      </c>
      <c r="E9182" s="330" t="s">
        <v>37248</v>
      </c>
      <c r="F9182" s="331">
        <v>0.21</v>
      </c>
      <c r="G9182" s="332">
        <v>305</v>
      </c>
      <c r="H9182" s="333">
        <v>370</v>
      </c>
    </row>
    <row r="9183" spans="1:8">
      <c r="A9183" s="317" t="s">
        <v>42447</v>
      </c>
      <c r="B9183" s="330" t="s">
        <v>53539</v>
      </c>
      <c r="C9183" s="330" t="s">
        <v>20951</v>
      </c>
      <c r="D9183" s="330" t="s">
        <v>20952</v>
      </c>
      <c r="E9183" s="330" t="s">
        <v>37248</v>
      </c>
      <c r="F9183" s="331">
        <v>0.21</v>
      </c>
      <c r="G9183" s="332">
        <v>305</v>
      </c>
      <c r="H9183" s="333">
        <v>370</v>
      </c>
    </row>
    <row r="9184" spans="1:8">
      <c r="A9184" s="317" t="s">
        <v>42448</v>
      </c>
      <c r="B9184" s="330" t="s">
        <v>53540</v>
      </c>
      <c r="C9184" s="330" t="s">
        <v>20953</v>
      </c>
      <c r="D9184" s="330" t="s">
        <v>20954</v>
      </c>
      <c r="E9184" s="330" t="s">
        <v>37248</v>
      </c>
      <c r="F9184" s="331">
        <v>0.21</v>
      </c>
      <c r="G9184" s="332">
        <v>5061</v>
      </c>
      <c r="H9184" s="333">
        <v>6124</v>
      </c>
    </row>
    <row r="9185" spans="1:8">
      <c r="A9185" s="317" t="s">
        <v>42449</v>
      </c>
      <c r="B9185" s="330" t="s">
        <v>53541</v>
      </c>
      <c r="C9185" s="330" t="s">
        <v>20955</v>
      </c>
      <c r="D9185" s="330" t="s">
        <v>20956</v>
      </c>
      <c r="E9185" s="330" t="s">
        <v>37248</v>
      </c>
      <c r="F9185" s="331">
        <v>0.21</v>
      </c>
      <c r="G9185" s="332">
        <v>22292</v>
      </c>
      <c r="H9185" s="333">
        <v>26974</v>
      </c>
    </row>
    <row r="9186" spans="1:8">
      <c r="A9186" s="317" t="s">
        <v>42450</v>
      </c>
      <c r="B9186" s="330" t="s">
        <v>53542</v>
      </c>
      <c r="C9186" s="330" t="s">
        <v>20957</v>
      </c>
      <c r="D9186" s="330" t="s">
        <v>20684</v>
      </c>
      <c r="E9186" s="330" t="s">
        <v>37248</v>
      </c>
      <c r="F9186" s="331">
        <v>0.21</v>
      </c>
      <c r="G9186" s="332">
        <v>8445</v>
      </c>
      <c r="H9186" s="333">
        <v>10219</v>
      </c>
    </row>
    <row r="9187" spans="1:8">
      <c r="A9187" s="317" t="s">
        <v>42451</v>
      </c>
      <c r="B9187" s="330" t="s">
        <v>53543</v>
      </c>
      <c r="C9187" s="330" t="s">
        <v>20958</v>
      </c>
      <c r="D9187" s="330" t="s">
        <v>9496</v>
      </c>
      <c r="E9187" s="330" t="s">
        <v>37248</v>
      </c>
      <c r="F9187" s="331">
        <v>0.21</v>
      </c>
      <c r="G9187" s="332">
        <v>3102</v>
      </c>
      <c r="H9187" s="333">
        <v>3754</v>
      </c>
    </row>
    <row r="9188" spans="1:8">
      <c r="A9188" s="317" t="s">
        <v>42452</v>
      </c>
      <c r="B9188" s="330" t="s">
        <v>53544</v>
      </c>
      <c r="C9188" s="330" t="s">
        <v>20959</v>
      </c>
      <c r="D9188" s="330" t="s">
        <v>20960</v>
      </c>
      <c r="E9188" s="330" t="s">
        <v>37248</v>
      </c>
      <c r="F9188" s="331">
        <v>0.21</v>
      </c>
      <c r="G9188" s="332">
        <v>1155</v>
      </c>
      <c r="H9188" s="333">
        <v>1398</v>
      </c>
    </row>
    <row r="9189" spans="1:8">
      <c r="A9189" s="317" t="s">
        <v>42453</v>
      </c>
      <c r="B9189" s="330" t="s">
        <v>53545</v>
      </c>
      <c r="C9189" s="330" t="s">
        <v>20961</v>
      </c>
      <c r="D9189" s="330" t="s">
        <v>20962</v>
      </c>
      <c r="E9189" s="330" t="s">
        <v>37248</v>
      </c>
      <c r="F9189" s="331">
        <v>0.21</v>
      </c>
      <c r="G9189" s="332">
        <v>1505</v>
      </c>
      <c r="H9189" s="333">
        <v>1822</v>
      </c>
    </row>
    <row r="9190" spans="1:8">
      <c r="A9190" s="317" t="s">
        <v>42454</v>
      </c>
      <c r="B9190" s="330" t="s">
        <v>53546</v>
      </c>
      <c r="C9190" s="330" t="s">
        <v>20963</v>
      </c>
      <c r="D9190" s="330" t="s">
        <v>20964</v>
      </c>
      <c r="E9190" s="330" t="s">
        <v>37248</v>
      </c>
      <c r="F9190" s="331">
        <v>0.21</v>
      </c>
      <c r="G9190" s="332">
        <v>1247</v>
      </c>
      <c r="H9190" s="333">
        <v>1509</v>
      </c>
    </row>
    <row r="9191" spans="1:8">
      <c r="A9191" s="317" t="s">
        <v>42455</v>
      </c>
      <c r="B9191" s="330" t="s">
        <v>53547</v>
      </c>
      <c r="C9191" s="330" t="s">
        <v>20965</v>
      </c>
      <c r="D9191" s="330" t="s">
        <v>8557</v>
      </c>
      <c r="E9191" s="330" t="s">
        <v>37248</v>
      </c>
      <c r="F9191" s="331">
        <v>0.21</v>
      </c>
      <c r="G9191" s="332">
        <v>7481</v>
      </c>
      <c r="H9191" s="333">
        <v>9053</v>
      </c>
    </row>
    <row r="9192" spans="1:8">
      <c r="A9192" s="317" t="s">
        <v>42456</v>
      </c>
      <c r="B9192" s="330" t="s">
        <v>53548</v>
      </c>
      <c r="C9192" s="330" t="s">
        <v>20966</v>
      </c>
      <c r="D9192" s="330" t="s">
        <v>20967</v>
      </c>
      <c r="E9192" s="330" t="s">
        <v>37248</v>
      </c>
      <c r="F9192" s="331">
        <v>0.21</v>
      </c>
      <c r="G9192" s="332">
        <v>1155</v>
      </c>
      <c r="H9192" s="333">
        <v>1398</v>
      </c>
    </row>
    <row r="9193" spans="1:8">
      <c r="A9193" s="317" t="s">
        <v>42457</v>
      </c>
      <c r="B9193" s="330" t="s">
        <v>53549</v>
      </c>
      <c r="C9193" s="330" t="s">
        <v>20968</v>
      </c>
      <c r="D9193" s="330" t="s">
        <v>5155</v>
      </c>
      <c r="E9193" s="330" t="s">
        <v>37248</v>
      </c>
      <c r="F9193" s="331">
        <v>0.21</v>
      </c>
      <c r="G9193" s="332">
        <v>7783</v>
      </c>
      <c r="H9193" s="333">
        <v>9418</v>
      </c>
    </row>
    <row r="9194" spans="1:8">
      <c r="A9194" s="317" t="s">
        <v>42458</v>
      </c>
      <c r="B9194" s="330" t="s">
        <v>53550</v>
      </c>
      <c r="C9194" s="330" t="s">
        <v>20969</v>
      </c>
      <c r="D9194" s="330" t="s">
        <v>9137</v>
      </c>
      <c r="E9194" s="330" t="s">
        <v>37248</v>
      </c>
      <c r="F9194" s="331">
        <v>0.21</v>
      </c>
      <c r="G9194" s="332">
        <v>8546</v>
      </c>
      <c r="H9194" s="333">
        <v>10341</v>
      </c>
    </row>
    <row r="9195" spans="1:8">
      <c r="A9195" s="317" t="s">
        <v>42459</v>
      </c>
      <c r="B9195" s="330" t="s">
        <v>53551</v>
      </c>
      <c r="C9195" s="330" t="s">
        <v>20970</v>
      </c>
      <c r="D9195" s="330" t="s">
        <v>8273</v>
      </c>
      <c r="E9195" s="330" t="s">
        <v>37248</v>
      </c>
      <c r="F9195" s="331">
        <v>0.21</v>
      </c>
      <c r="G9195" s="332">
        <v>2197</v>
      </c>
      <c r="H9195" s="333">
        <v>2659</v>
      </c>
    </row>
    <row r="9196" spans="1:8">
      <c r="A9196" s="317" t="s">
        <v>42460</v>
      </c>
      <c r="B9196" s="330" t="s">
        <v>53552</v>
      </c>
      <c r="C9196" s="330" t="s">
        <v>20971</v>
      </c>
      <c r="D9196" s="330" t="s">
        <v>7989</v>
      </c>
      <c r="E9196" s="330" t="s">
        <v>37248</v>
      </c>
      <c r="F9196" s="331">
        <v>0.21</v>
      </c>
      <c r="G9196" s="332">
        <v>3102</v>
      </c>
      <c r="H9196" s="333">
        <v>3754</v>
      </c>
    </row>
    <row r="9197" spans="1:8">
      <c r="A9197" s="317" t="s">
        <v>42461</v>
      </c>
      <c r="B9197" s="330" t="s">
        <v>53553</v>
      </c>
      <c r="C9197" s="330" t="s">
        <v>20972</v>
      </c>
      <c r="D9197" s="330" t="s">
        <v>4859</v>
      </c>
      <c r="E9197" s="330" t="s">
        <v>37248</v>
      </c>
      <c r="F9197" s="331">
        <v>0.21</v>
      </c>
      <c r="G9197" s="332">
        <v>1162</v>
      </c>
      <c r="H9197" s="333">
        <v>1407</v>
      </c>
    </row>
    <row r="9198" spans="1:8">
      <c r="A9198" s="317" t="s">
        <v>42462</v>
      </c>
      <c r="B9198" s="330" t="s">
        <v>53554</v>
      </c>
      <c r="C9198" s="330" t="s">
        <v>20973</v>
      </c>
      <c r="D9198" s="330" t="s">
        <v>4859</v>
      </c>
      <c r="E9198" s="330" t="s">
        <v>37248</v>
      </c>
      <c r="F9198" s="331">
        <v>0.21</v>
      </c>
      <c r="G9198" s="332">
        <v>2175</v>
      </c>
      <c r="H9198" s="333">
        <v>2632</v>
      </c>
    </row>
    <row r="9199" spans="1:8">
      <c r="A9199" s="317" t="s">
        <v>42463</v>
      </c>
      <c r="B9199" s="330" t="s">
        <v>53555</v>
      </c>
      <c r="C9199" s="330" t="s">
        <v>20974</v>
      </c>
      <c r="D9199" s="330" t="s">
        <v>19347</v>
      </c>
      <c r="E9199" s="330" t="s">
        <v>37248</v>
      </c>
      <c r="F9199" s="331">
        <v>0.21</v>
      </c>
      <c r="G9199" s="332">
        <v>2513</v>
      </c>
      <c r="H9199" s="333">
        <v>3041</v>
      </c>
    </row>
    <row r="9200" spans="1:8">
      <c r="A9200" s="317" t="s">
        <v>42464</v>
      </c>
      <c r="B9200" s="330" t="s">
        <v>53556</v>
      </c>
      <c r="C9200" s="330" t="s">
        <v>20975</v>
      </c>
      <c r="D9200" s="330" t="s">
        <v>14777</v>
      </c>
      <c r="E9200" s="330" t="s">
        <v>37248</v>
      </c>
      <c r="F9200" s="331">
        <v>0.21</v>
      </c>
      <c r="G9200" s="332">
        <v>1155</v>
      </c>
      <c r="H9200" s="333">
        <v>1398</v>
      </c>
    </row>
    <row r="9201" spans="1:8">
      <c r="A9201" s="317" t="s">
        <v>42465</v>
      </c>
      <c r="B9201" s="330" t="s">
        <v>53557</v>
      </c>
      <c r="C9201" s="330" t="s">
        <v>20976</v>
      </c>
      <c r="D9201" s="330" t="s">
        <v>7414</v>
      </c>
      <c r="E9201" s="330" t="s">
        <v>37248</v>
      </c>
      <c r="F9201" s="331">
        <v>0.21</v>
      </c>
      <c r="G9201" s="332">
        <v>807</v>
      </c>
      <c r="H9201" s="333">
        <v>977</v>
      </c>
    </row>
    <row r="9202" spans="1:8">
      <c r="A9202" s="317" t="s">
        <v>42466</v>
      </c>
      <c r="B9202" s="330" t="s">
        <v>53558</v>
      </c>
      <c r="C9202" s="330" t="s">
        <v>20977</v>
      </c>
      <c r="D9202" s="330" t="s">
        <v>20978</v>
      </c>
      <c r="E9202" s="330" t="s">
        <v>37248</v>
      </c>
      <c r="F9202" s="331">
        <v>0.21</v>
      </c>
      <c r="G9202" s="332">
        <v>15042</v>
      </c>
      <c r="H9202" s="333">
        <v>18201</v>
      </c>
    </row>
    <row r="9203" spans="1:8">
      <c r="A9203" s="317" t="s">
        <v>42467</v>
      </c>
      <c r="B9203" s="330" t="s">
        <v>53559</v>
      </c>
      <c r="C9203" s="330" t="s">
        <v>20979</v>
      </c>
      <c r="D9203" s="330" t="s">
        <v>6332</v>
      </c>
      <c r="E9203" s="330" t="s">
        <v>37248</v>
      </c>
      <c r="F9203" s="331">
        <v>0.21</v>
      </c>
      <c r="G9203" s="332">
        <v>1247</v>
      </c>
      <c r="H9203" s="333">
        <v>1509</v>
      </c>
    </row>
    <row r="9204" spans="1:8">
      <c r="A9204" s="317" t="s">
        <v>42468</v>
      </c>
      <c r="B9204" s="330" t="s">
        <v>53560</v>
      </c>
      <c r="C9204" s="330" t="s">
        <v>20980</v>
      </c>
      <c r="D9204" s="330" t="s">
        <v>19427</v>
      </c>
      <c r="E9204" s="330" t="s">
        <v>37248</v>
      </c>
      <c r="F9204" s="331">
        <v>0.21</v>
      </c>
      <c r="G9204" s="332">
        <v>1162</v>
      </c>
      <c r="H9204" s="333">
        <v>1407</v>
      </c>
    </row>
    <row r="9205" spans="1:8">
      <c r="A9205" s="317" t="s">
        <v>42469</v>
      </c>
      <c r="B9205" s="330" t="s">
        <v>53561</v>
      </c>
      <c r="C9205" s="330" t="s">
        <v>20981</v>
      </c>
      <c r="D9205" s="330" t="s">
        <v>12594</v>
      </c>
      <c r="E9205" s="330" t="s">
        <v>37248</v>
      </c>
      <c r="F9205" s="331">
        <v>0.21</v>
      </c>
      <c r="G9205" s="332">
        <v>1247</v>
      </c>
      <c r="H9205" s="333">
        <v>1509</v>
      </c>
    </row>
    <row r="9206" spans="1:8">
      <c r="A9206" s="317" t="s">
        <v>42470</v>
      </c>
      <c r="B9206" s="330" t="s">
        <v>53562</v>
      </c>
      <c r="C9206" s="330" t="s">
        <v>20982</v>
      </c>
      <c r="D9206" s="330" t="s">
        <v>6427</v>
      </c>
      <c r="E9206" s="330" t="s">
        <v>37248</v>
      </c>
      <c r="F9206" s="331">
        <v>0.21</v>
      </c>
      <c r="G9206" s="332">
        <v>1173</v>
      </c>
      <c r="H9206" s="333">
        <v>1420</v>
      </c>
    </row>
    <row r="9207" spans="1:8">
      <c r="A9207" s="317" t="s">
        <v>42471</v>
      </c>
      <c r="B9207" s="330" t="s">
        <v>53563</v>
      </c>
      <c r="C9207" s="330" t="s">
        <v>20983</v>
      </c>
      <c r="D9207" s="330" t="s">
        <v>19787</v>
      </c>
      <c r="E9207" s="330" t="s">
        <v>37248</v>
      </c>
      <c r="F9207" s="331">
        <v>0.21</v>
      </c>
      <c r="G9207" s="332">
        <v>1247</v>
      </c>
      <c r="H9207" s="333">
        <v>1509</v>
      </c>
    </row>
    <row r="9208" spans="1:8">
      <c r="A9208" s="317" t="s">
        <v>42472</v>
      </c>
      <c r="B9208" s="330" t="s">
        <v>53564</v>
      </c>
      <c r="C9208" s="330" t="s">
        <v>20984</v>
      </c>
      <c r="D9208" s="330" t="s">
        <v>19787</v>
      </c>
      <c r="E9208" s="330" t="s">
        <v>37248</v>
      </c>
      <c r="F9208" s="331">
        <v>0.21</v>
      </c>
      <c r="G9208" s="332">
        <v>1247</v>
      </c>
      <c r="H9208" s="333">
        <v>1509</v>
      </c>
    </row>
    <row r="9209" spans="1:8">
      <c r="A9209" s="317" t="s">
        <v>42473</v>
      </c>
      <c r="B9209" s="330" t="s">
        <v>53565</v>
      </c>
      <c r="C9209" s="330" t="s">
        <v>20985</v>
      </c>
      <c r="D9209" s="330" t="s">
        <v>19787</v>
      </c>
      <c r="E9209" s="330" t="s">
        <v>37248</v>
      </c>
      <c r="F9209" s="331">
        <v>0.21</v>
      </c>
      <c r="G9209" s="332">
        <v>1247</v>
      </c>
      <c r="H9209" s="333">
        <v>1509</v>
      </c>
    </row>
    <row r="9210" spans="1:8">
      <c r="A9210" s="317" t="s">
        <v>42474</v>
      </c>
      <c r="B9210" s="330" t="s">
        <v>53566</v>
      </c>
      <c r="C9210" s="330" t="s">
        <v>20986</v>
      </c>
      <c r="D9210" s="330" t="s">
        <v>15407</v>
      </c>
      <c r="E9210" s="330" t="s">
        <v>37248</v>
      </c>
      <c r="F9210" s="331">
        <v>0.21</v>
      </c>
      <c r="G9210" s="332">
        <v>1155</v>
      </c>
      <c r="H9210" s="333">
        <v>1398</v>
      </c>
    </row>
    <row r="9211" spans="1:8">
      <c r="A9211" s="317" t="s">
        <v>42475</v>
      </c>
      <c r="B9211" s="330" t="s">
        <v>53567</v>
      </c>
      <c r="C9211" s="330" t="s">
        <v>20987</v>
      </c>
      <c r="D9211" s="330" t="s">
        <v>6299</v>
      </c>
      <c r="E9211" s="330" t="s">
        <v>37248</v>
      </c>
      <c r="F9211" s="331">
        <v>0.21</v>
      </c>
      <c r="G9211" s="332">
        <v>1247</v>
      </c>
      <c r="H9211" s="333">
        <v>1509</v>
      </c>
    </row>
    <row r="9212" spans="1:8">
      <c r="A9212" s="317" t="s">
        <v>42476</v>
      </c>
      <c r="B9212" s="330" t="s">
        <v>53568</v>
      </c>
      <c r="C9212" s="330" t="s">
        <v>20988</v>
      </c>
      <c r="D9212" s="330" t="s">
        <v>4818</v>
      </c>
      <c r="E9212" s="330" t="s">
        <v>37248</v>
      </c>
      <c r="F9212" s="331">
        <v>0.21</v>
      </c>
      <c r="G9212" s="332">
        <v>1247</v>
      </c>
      <c r="H9212" s="333">
        <v>1509</v>
      </c>
    </row>
    <row r="9213" spans="1:8">
      <c r="A9213" s="317" t="s">
        <v>42477</v>
      </c>
      <c r="B9213" s="330" t="s">
        <v>53569</v>
      </c>
      <c r="C9213" s="330" t="s">
        <v>20989</v>
      </c>
      <c r="D9213" s="330" t="s">
        <v>7653</v>
      </c>
      <c r="E9213" s="330" t="s">
        <v>37248</v>
      </c>
      <c r="F9213" s="331">
        <v>0.21</v>
      </c>
      <c r="G9213" s="332">
        <v>515</v>
      </c>
      <c r="H9213" s="333">
        <v>624</v>
      </c>
    </row>
    <row r="9214" spans="1:8">
      <c r="A9214" s="317" t="s">
        <v>42478</v>
      </c>
      <c r="B9214" s="330" t="s">
        <v>53570</v>
      </c>
      <c r="C9214" s="330" t="s">
        <v>20990</v>
      </c>
      <c r="D9214" s="330" t="s">
        <v>20413</v>
      </c>
      <c r="E9214" s="330" t="s">
        <v>37248</v>
      </c>
      <c r="F9214" s="331">
        <v>0.21</v>
      </c>
      <c r="G9214" s="332">
        <v>18986</v>
      </c>
      <c r="H9214" s="333">
        <v>22974</v>
      </c>
    </row>
    <row r="9215" spans="1:8">
      <c r="A9215" s="317" t="s">
        <v>42479</v>
      </c>
      <c r="B9215" s="330" t="s">
        <v>53571</v>
      </c>
      <c r="C9215" s="330" t="s">
        <v>20991</v>
      </c>
      <c r="D9215" s="330" t="s">
        <v>20992</v>
      </c>
      <c r="E9215" s="330" t="s">
        <v>4819</v>
      </c>
      <c r="F9215" s="331">
        <v>0.21</v>
      </c>
      <c r="G9215" s="332">
        <v>417</v>
      </c>
      <c r="H9215" s="333">
        <v>505</v>
      </c>
    </row>
    <row r="9216" spans="1:8">
      <c r="A9216" s="317" t="s">
        <v>42480</v>
      </c>
      <c r="B9216" s="330" t="s">
        <v>53572</v>
      </c>
      <c r="C9216" s="330" t="s">
        <v>20993</v>
      </c>
      <c r="D9216" s="330" t="s">
        <v>20994</v>
      </c>
      <c r="E9216" s="330" t="s">
        <v>37248</v>
      </c>
      <c r="F9216" s="331">
        <v>0.21</v>
      </c>
      <c r="G9216" s="332">
        <v>4514</v>
      </c>
      <c r="H9216" s="333">
        <v>5462</v>
      </c>
    </row>
    <row r="9217" spans="1:8">
      <c r="A9217" s="317" t="s">
        <v>42481</v>
      </c>
      <c r="B9217" s="330" t="s">
        <v>53573</v>
      </c>
      <c r="C9217" s="330" t="s">
        <v>20995</v>
      </c>
      <c r="D9217" s="330" t="s">
        <v>19421</v>
      </c>
      <c r="E9217" s="330" t="s">
        <v>37248</v>
      </c>
      <c r="F9217" s="331">
        <v>0.21</v>
      </c>
      <c r="G9217" s="332">
        <v>1155</v>
      </c>
      <c r="H9217" s="333">
        <v>1398</v>
      </c>
    </row>
    <row r="9218" spans="1:8">
      <c r="A9218" s="317" t="s">
        <v>42482</v>
      </c>
      <c r="B9218" s="330" t="s">
        <v>53574</v>
      </c>
      <c r="C9218" s="330" t="s">
        <v>20996</v>
      </c>
      <c r="D9218" s="330" t="s">
        <v>9931</v>
      </c>
      <c r="E9218" s="330" t="s">
        <v>37248</v>
      </c>
      <c r="F9218" s="331">
        <v>0.21</v>
      </c>
      <c r="G9218" s="332">
        <v>3912</v>
      </c>
      <c r="H9218" s="333">
        <v>4734</v>
      </c>
    </row>
    <row r="9219" spans="1:8">
      <c r="A9219" s="317" t="s">
        <v>42483</v>
      </c>
      <c r="B9219" s="330" t="s">
        <v>53575</v>
      </c>
      <c r="C9219" s="330" t="s">
        <v>20997</v>
      </c>
      <c r="D9219" s="330" t="s">
        <v>20998</v>
      </c>
      <c r="E9219" s="330" t="s">
        <v>37248</v>
      </c>
      <c r="F9219" s="331">
        <v>0.21</v>
      </c>
      <c r="G9219" s="332">
        <v>1534</v>
      </c>
      <c r="H9219" s="333">
        <v>1857</v>
      </c>
    </row>
    <row r="9220" spans="1:8">
      <c r="A9220" s="317" t="s">
        <v>42484</v>
      </c>
      <c r="B9220" s="330" t="s">
        <v>53576</v>
      </c>
      <c r="C9220" s="330" t="s">
        <v>20999</v>
      </c>
      <c r="D9220" s="330" t="s">
        <v>5324</v>
      </c>
      <c r="E9220" s="330" t="s">
        <v>37248</v>
      </c>
      <c r="F9220" s="331">
        <v>0.21</v>
      </c>
      <c r="G9220" s="332">
        <v>1247</v>
      </c>
      <c r="H9220" s="333">
        <v>1509</v>
      </c>
    </row>
    <row r="9221" spans="1:8">
      <c r="A9221" s="317" t="s">
        <v>42485</v>
      </c>
      <c r="B9221" s="330" t="s">
        <v>53577</v>
      </c>
      <c r="C9221" s="330" t="s">
        <v>21000</v>
      </c>
      <c r="D9221" s="330" t="s">
        <v>4706</v>
      </c>
      <c r="E9221" s="330" t="s">
        <v>37248</v>
      </c>
      <c r="F9221" s="331">
        <v>0.21</v>
      </c>
      <c r="G9221" s="332">
        <v>1247</v>
      </c>
      <c r="H9221" s="333">
        <v>1509</v>
      </c>
    </row>
    <row r="9222" spans="1:8">
      <c r="A9222" s="317" t="s">
        <v>42486</v>
      </c>
      <c r="B9222" s="330" t="s">
        <v>53578</v>
      </c>
      <c r="C9222" s="330" t="s">
        <v>21001</v>
      </c>
      <c r="D9222" s="330" t="s">
        <v>5073</v>
      </c>
      <c r="E9222" s="330" t="s">
        <v>37248</v>
      </c>
      <c r="F9222" s="331">
        <v>0.21</v>
      </c>
      <c r="G9222" s="332">
        <v>4916</v>
      </c>
      <c r="H9222" s="333">
        <v>5949</v>
      </c>
    </row>
    <row r="9223" spans="1:8">
      <c r="A9223" s="317" t="s">
        <v>42487</v>
      </c>
      <c r="B9223" s="330" t="s">
        <v>53579</v>
      </c>
      <c r="C9223" s="330" t="s">
        <v>21002</v>
      </c>
      <c r="D9223" s="330" t="s">
        <v>21003</v>
      </c>
      <c r="E9223" s="330" t="s">
        <v>4819</v>
      </c>
      <c r="F9223" s="331">
        <v>0.21</v>
      </c>
      <c r="G9223" s="332">
        <v>5663</v>
      </c>
      <c r="H9223" s="333">
        <v>6853</v>
      </c>
    </row>
    <row r="9224" spans="1:8">
      <c r="A9224" s="317" t="s">
        <v>42488</v>
      </c>
      <c r="B9224" s="330" t="s">
        <v>53580</v>
      </c>
      <c r="C9224" s="330" t="s">
        <v>21004</v>
      </c>
      <c r="D9224" s="330" t="s">
        <v>21005</v>
      </c>
      <c r="E9224" s="330" t="s">
        <v>37248</v>
      </c>
      <c r="F9224" s="331">
        <v>0.21</v>
      </c>
      <c r="G9224" s="332">
        <v>1565</v>
      </c>
      <c r="H9224" s="333">
        <v>1894</v>
      </c>
    </row>
    <row r="9225" spans="1:8">
      <c r="A9225" s="317" t="s">
        <v>42489</v>
      </c>
      <c r="B9225" s="330" t="s">
        <v>53581</v>
      </c>
      <c r="C9225" s="330" t="s">
        <v>21006</v>
      </c>
      <c r="D9225" s="330" t="s">
        <v>10592</v>
      </c>
      <c r="E9225" s="330" t="s">
        <v>37248</v>
      </c>
      <c r="F9225" s="331">
        <v>0.21</v>
      </c>
      <c r="G9225" s="332">
        <v>10816</v>
      </c>
      <c r="H9225" s="333">
        <v>13088</v>
      </c>
    </row>
    <row r="9226" spans="1:8">
      <c r="A9226" s="317" t="s">
        <v>42490</v>
      </c>
      <c r="B9226" s="330" t="s">
        <v>53582</v>
      </c>
      <c r="C9226" s="330" t="s">
        <v>21007</v>
      </c>
      <c r="D9226" s="330" t="s">
        <v>21008</v>
      </c>
      <c r="E9226" s="330" t="s">
        <v>37248</v>
      </c>
      <c r="F9226" s="331">
        <v>0.21</v>
      </c>
      <c r="G9226" s="332">
        <v>6023</v>
      </c>
      <c r="H9226" s="333">
        <v>7288</v>
      </c>
    </row>
    <row r="9227" spans="1:8">
      <c r="A9227" s="317" t="s">
        <v>42491</v>
      </c>
      <c r="B9227" s="330" t="s">
        <v>53583</v>
      </c>
      <c r="C9227" s="330" t="s">
        <v>21009</v>
      </c>
      <c r="D9227" s="330" t="s">
        <v>21010</v>
      </c>
      <c r="E9227" s="330" t="s">
        <v>37248</v>
      </c>
      <c r="F9227" s="331">
        <v>0.21</v>
      </c>
      <c r="G9227" s="332">
        <v>11465</v>
      </c>
      <c r="H9227" s="333">
        <v>13873</v>
      </c>
    </row>
    <row r="9228" spans="1:8">
      <c r="A9228" s="317" t="s">
        <v>42492</v>
      </c>
      <c r="B9228" s="330" t="s">
        <v>53584</v>
      </c>
      <c r="C9228" s="330" t="s">
        <v>21011</v>
      </c>
      <c r="D9228" s="330" t="s">
        <v>7651</v>
      </c>
      <c r="E9228" s="330" t="s">
        <v>37248</v>
      </c>
      <c r="F9228" s="331">
        <v>0.21</v>
      </c>
      <c r="G9228" s="332">
        <v>10953</v>
      </c>
      <c r="H9228" s="333">
        <v>13254</v>
      </c>
    </row>
    <row r="9229" spans="1:8">
      <c r="A9229" s="317" t="s">
        <v>42493</v>
      </c>
      <c r="B9229" s="330" t="s">
        <v>53585</v>
      </c>
      <c r="C9229" s="330" t="s">
        <v>21012</v>
      </c>
      <c r="D9229" s="330" t="s">
        <v>21013</v>
      </c>
      <c r="E9229" s="330" t="s">
        <v>37248</v>
      </c>
      <c r="F9229" s="331">
        <v>0.21</v>
      </c>
      <c r="G9229" s="332">
        <v>8864</v>
      </c>
      <c r="H9229" s="333">
        <v>10726</v>
      </c>
    </row>
    <row r="9230" spans="1:8">
      <c r="A9230" s="317" t="s">
        <v>42494</v>
      </c>
      <c r="B9230" s="330" t="s">
        <v>53586</v>
      </c>
      <c r="C9230" s="330" t="s">
        <v>21014</v>
      </c>
      <c r="D9230" s="330" t="s">
        <v>21013</v>
      </c>
      <c r="E9230" s="330" t="s">
        <v>37248</v>
      </c>
      <c r="F9230" s="331">
        <v>0.21</v>
      </c>
      <c r="G9230" s="332">
        <v>2652</v>
      </c>
      <c r="H9230" s="333">
        <v>3209</v>
      </c>
    </row>
    <row r="9231" spans="1:8">
      <c r="A9231" s="317" t="s">
        <v>42495</v>
      </c>
      <c r="B9231" s="330" t="s">
        <v>53587</v>
      </c>
      <c r="C9231" s="330" t="s">
        <v>21015</v>
      </c>
      <c r="D9231" s="330" t="s">
        <v>21016</v>
      </c>
      <c r="E9231" s="330" t="s">
        <v>37248</v>
      </c>
      <c r="F9231" s="331">
        <v>0.21</v>
      </c>
      <c r="G9231" s="332">
        <v>7430</v>
      </c>
      <c r="H9231" s="333">
        <v>8991</v>
      </c>
    </row>
    <row r="9232" spans="1:8">
      <c r="A9232" s="317" t="s">
        <v>42496</v>
      </c>
      <c r="B9232" s="330" t="s">
        <v>53588</v>
      </c>
      <c r="C9232" s="330" t="s">
        <v>21017</v>
      </c>
      <c r="D9232" s="330" t="s">
        <v>21018</v>
      </c>
      <c r="E9232" s="330" t="s">
        <v>37248</v>
      </c>
      <c r="F9232" s="331">
        <v>0.21</v>
      </c>
      <c r="G9232" s="332">
        <v>910</v>
      </c>
      <c r="H9232" s="333">
        <v>1102</v>
      </c>
    </row>
    <row r="9233" spans="1:8">
      <c r="A9233" s="317" t="s">
        <v>42497</v>
      </c>
      <c r="B9233" s="330" t="s">
        <v>53589</v>
      </c>
      <c r="C9233" s="330" t="s">
        <v>21019</v>
      </c>
      <c r="D9233" s="330" t="s">
        <v>7416</v>
      </c>
      <c r="E9233" s="330" t="s">
        <v>37248</v>
      </c>
      <c r="F9233" s="331">
        <v>0.21</v>
      </c>
      <c r="G9233" s="332">
        <v>1920</v>
      </c>
      <c r="H9233" s="333">
        <v>2324</v>
      </c>
    </row>
    <row r="9234" spans="1:8">
      <c r="A9234" s="317" t="s">
        <v>42498</v>
      </c>
      <c r="B9234" s="330" t="s">
        <v>53590</v>
      </c>
      <c r="C9234" s="330" t="s">
        <v>21020</v>
      </c>
      <c r="D9234" s="330" t="s">
        <v>21021</v>
      </c>
      <c r="E9234" s="330" t="s">
        <v>37248</v>
      </c>
      <c r="F9234" s="331">
        <v>0.21</v>
      </c>
      <c r="G9234" s="332">
        <v>10816</v>
      </c>
      <c r="H9234" s="333">
        <v>13088</v>
      </c>
    </row>
    <row r="9235" spans="1:8">
      <c r="A9235" s="317" t="s">
        <v>42499</v>
      </c>
      <c r="B9235" s="330" t="s">
        <v>53591</v>
      </c>
      <c r="C9235" s="330" t="s">
        <v>21022</v>
      </c>
      <c r="D9235" s="330" t="s">
        <v>21023</v>
      </c>
      <c r="E9235" s="330" t="s">
        <v>37248</v>
      </c>
      <c r="F9235" s="331">
        <v>0.21</v>
      </c>
      <c r="G9235" s="332">
        <v>2156</v>
      </c>
      <c r="H9235" s="333">
        <v>2609</v>
      </c>
    </row>
    <row r="9236" spans="1:8">
      <c r="A9236" s="317" t="s">
        <v>42500</v>
      </c>
      <c r="B9236" s="330" t="s">
        <v>53592</v>
      </c>
      <c r="C9236" s="330" t="s">
        <v>21024</v>
      </c>
      <c r="D9236" s="330" t="s">
        <v>21023</v>
      </c>
      <c r="E9236" s="330" t="s">
        <v>37248</v>
      </c>
      <c r="F9236" s="331">
        <v>0.21</v>
      </c>
      <c r="G9236" s="332">
        <v>2792</v>
      </c>
      <c r="H9236" s="333">
        <v>3379</v>
      </c>
    </row>
    <row r="9237" spans="1:8">
      <c r="A9237" s="317" t="s">
        <v>42501</v>
      </c>
      <c r="B9237" s="330" t="s">
        <v>53593</v>
      </c>
      <c r="C9237" s="330" t="s">
        <v>21025</v>
      </c>
      <c r="D9237" s="330" t="s">
        <v>21026</v>
      </c>
      <c r="E9237" s="330" t="s">
        <v>37248</v>
      </c>
      <c r="F9237" s="331">
        <v>0.21</v>
      </c>
      <c r="G9237" s="332">
        <v>292</v>
      </c>
      <c r="H9237" s="333">
        <v>354</v>
      </c>
    </row>
    <row r="9238" spans="1:8">
      <c r="A9238" s="317" t="s">
        <v>42502</v>
      </c>
      <c r="B9238" s="330" t="s">
        <v>53594</v>
      </c>
      <c r="C9238" s="330" t="s">
        <v>21027</v>
      </c>
      <c r="D9238" s="330" t="s">
        <v>10482</v>
      </c>
      <c r="E9238" s="330" t="s">
        <v>37248</v>
      </c>
      <c r="F9238" s="331">
        <v>0.21</v>
      </c>
      <c r="G9238" s="332">
        <v>8717</v>
      </c>
      <c r="H9238" s="333">
        <v>10548</v>
      </c>
    </row>
    <row r="9239" spans="1:8">
      <c r="A9239" s="317" t="s">
        <v>42503</v>
      </c>
      <c r="B9239" s="330" t="s">
        <v>53595</v>
      </c>
      <c r="C9239" s="330" t="s">
        <v>21028</v>
      </c>
      <c r="D9239" s="330" t="s">
        <v>5441</v>
      </c>
      <c r="E9239" s="330" t="s">
        <v>37248</v>
      </c>
      <c r="F9239" s="331">
        <v>0.21</v>
      </c>
      <c r="G9239" s="332">
        <v>2998</v>
      </c>
      <c r="H9239" s="333">
        <v>3628</v>
      </c>
    </row>
    <row r="9240" spans="1:8">
      <c r="A9240" s="317" t="s">
        <v>42504</v>
      </c>
      <c r="B9240" s="330" t="s">
        <v>53596</v>
      </c>
      <c r="C9240" s="330" t="s">
        <v>21029</v>
      </c>
      <c r="D9240" s="330" t="s">
        <v>10700</v>
      </c>
      <c r="E9240" s="330" t="s">
        <v>4819</v>
      </c>
      <c r="F9240" s="331">
        <v>0.21</v>
      </c>
      <c r="G9240" s="332">
        <v>1155</v>
      </c>
      <c r="H9240" s="333">
        <v>1398</v>
      </c>
    </row>
    <row r="9241" spans="1:8">
      <c r="A9241" s="317" t="s">
        <v>42505</v>
      </c>
      <c r="B9241" s="330" t="s">
        <v>53597</v>
      </c>
      <c r="C9241" s="330" t="s">
        <v>21030</v>
      </c>
      <c r="D9241" s="330" t="s">
        <v>8423</v>
      </c>
      <c r="E9241" s="330" t="s">
        <v>4819</v>
      </c>
      <c r="F9241" s="331">
        <v>0.21</v>
      </c>
      <c r="G9241" s="332">
        <v>780</v>
      </c>
      <c r="H9241" s="333">
        <v>944</v>
      </c>
    </row>
    <row r="9242" spans="1:8">
      <c r="A9242" s="317" t="s">
        <v>42506</v>
      </c>
      <c r="B9242" s="330" t="s">
        <v>53598</v>
      </c>
      <c r="C9242" s="330" t="s">
        <v>21031</v>
      </c>
      <c r="D9242" s="330" t="s">
        <v>21032</v>
      </c>
      <c r="E9242" s="330" t="s">
        <v>4819</v>
      </c>
      <c r="F9242" s="331">
        <v>0.21</v>
      </c>
      <c r="G9242" s="332">
        <v>780</v>
      </c>
      <c r="H9242" s="333">
        <v>944</v>
      </c>
    </row>
    <row r="9243" spans="1:8">
      <c r="A9243" s="317" t="s">
        <v>42507</v>
      </c>
      <c r="B9243" s="330" t="s">
        <v>53599</v>
      </c>
      <c r="C9243" s="330" t="s">
        <v>21033</v>
      </c>
      <c r="D9243" s="330" t="s">
        <v>21034</v>
      </c>
      <c r="E9243" s="330" t="s">
        <v>37248</v>
      </c>
      <c r="F9243" s="331">
        <v>0.21</v>
      </c>
      <c r="G9243" s="332">
        <v>8262</v>
      </c>
      <c r="H9243" s="333">
        <v>9998</v>
      </c>
    </row>
    <row r="9244" spans="1:8">
      <c r="A9244" s="317" t="s">
        <v>42508</v>
      </c>
      <c r="B9244" s="330" t="s">
        <v>53600</v>
      </c>
      <c r="C9244" s="330" t="s">
        <v>21035</v>
      </c>
      <c r="D9244" s="330" t="s">
        <v>21036</v>
      </c>
      <c r="E9244" s="330" t="s">
        <v>37248</v>
      </c>
      <c r="F9244" s="331">
        <v>0.21</v>
      </c>
      <c r="G9244" s="332">
        <v>13424</v>
      </c>
      <c r="H9244" s="333">
        <v>16244</v>
      </c>
    </row>
    <row r="9245" spans="1:8">
      <c r="A9245" s="317" t="s">
        <v>42509</v>
      </c>
      <c r="B9245" s="330" t="s">
        <v>53601</v>
      </c>
      <c r="C9245" s="330" t="s">
        <v>21037</v>
      </c>
      <c r="D9245" s="330" t="s">
        <v>9297</v>
      </c>
      <c r="E9245" s="330" t="s">
        <v>4819</v>
      </c>
      <c r="F9245" s="331">
        <v>0.21</v>
      </c>
      <c r="G9245" s="332">
        <v>2792</v>
      </c>
      <c r="H9245" s="333">
        <v>3379</v>
      </c>
    </row>
    <row r="9246" spans="1:8">
      <c r="A9246" s="317" t="s">
        <v>42510</v>
      </c>
      <c r="B9246" s="330" t="s">
        <v>53602</v>
      </c>
      <c r="C9246" s="330" t="s">
        <v>21038</v>
      </c>
      <c r="D9246" s="330" t="s">
        <v>21039</v>
      </c>
      <c r="E9246" s="330" t="s">
        <v>37248</v>
      </c>
      <c r="F9246" s="331">
        <v>0.21</v>
      </c>
      <c r="G9246" s="332">
        <v>292</v>
      </c>
      <c r="H9246" s="333">
        <v>354</v>
      </c>
    </row>
    <row r="9247" spans="1:8">
      <c r="A9247" s="317" t="s">
        <v>42511</v>
      </c>
      <c r="B9247" s="330" t="s">
        <v>53603</v>
      </c>
      <c r="C9247" s="330" t="s">
        <v>21040</v>
      </c>
      <c r="D9247" s="330" t="s">
        <v>21041</v>
      </c>
      <c r="E9247" s="330" t="s">
        <v>37248</v>
      </c>
      <c r="F9247" s="331">
        <v>0.21</v>
      </c>
      <c r="G9247" s="332">
        <v>292</v>
      </c>
      <c r="H9247" s="333">
        <v>354</v>
      </c>
    </row>
    <row r="9248" spans="1:8">
      <c r="A9248" s="317" t="s">
        <v>42512</v>
      </c>
      <c r="B9248" s="330" t="s">
        <v>53604</v>
      </c>
      <c r="C9248" s="330" t="s">
        <v>21042</v>
      </c>
      <c r="D9248" s="330" t="s">
        <v>21043</v>
      </c>
      <c r="E9248" s="330" t="s">
        <v>37248</v>
      </c>
      <c r="F9248" s="331">
        <v>0.21</v>
      </c>
      <c r="G9248" s="332">
        <v>2143</v>
      </c>
      <c r="H9248" s="333">
        <v>2594</v>
      </c>
    </row>
    <row r="9249" spans="1:8">
      <c r="A9249" s="317" t="s">
        <v>42513</v>
      </c>
      <c r="B9249" s="330" t="s">
        <v>53605</v>
      </c>
      <c r="C9249" s="330" t="s">
        <v>21044</v>
      </c>
      <c r="D9249" s="330" t="s">
        <v>21045</v>
      </c>
      <c r="E9249" s="330" t="s">
        <v>37248</v>
      </c>
      <c r="F9249" s="331">
        <v>0.21</v>
      </c>
      <c r="G9249" s="332">
        <v>910</v>
      </c>
      <c r="H9249" s="333">
        <v>1102</v>
      </c>
    </row>
    <row r="9250" spans="1:8">
      <c r="A9250" s="317" t="s">
        <v>42514</v>
      </c>
      <c r="B9250" s="330" t="s">
        <v>53606</v>
      </c>
      <c r="C9250" s="330" t="s">
        <v>21046</v>
      </c>
      <c r="D9250" s="330" t="s">
        <v>21045</v>
      </c>
      <c r="E9250" s="330" t="s">
        <v>37248</v>
      </c>
      <c r="F9250" s="331">
        <v>0.21</v>
      </c>
      <c r="G9250" s="332">
        <v>1195</v>
      </c>
      <c r="H9250" s="333">
        <v>1446</v>
      </c>
    </row>
    <row r="9251" spans="1:8">
      <c r="A9251" s="317" t="s">
        <v>42515</v>
      </c>
      <c r="B9251" s="330" t="s">
        <v>53607</v>
      </c>
      <c r="C9251" s="330" t="s">
        <v>21047</v>
      </c>
      <c r="D9251" s="330" t="s">
        <v>4710</v>
      </c>
      <c r="E9251" s="330" t="s">
        <v>37248</v>
      </c>
      <c r="F9251" s="331">
        <v>0.21</v>
      </c>
      <c r="G9251" s="332">
        <v>519</v>
      </c>
      <c r="H9251" s="333">
        <v>628</v>
      </c>
    </row>
    <row r="9252" spans="1:8">
      <c r="A9252" s="317" t="s">
        <v>42516</v>
      </c>
      <c r="B9252" s="330" t="s">
        <v>53608</v>
      </c>
      <c r="C9252" s="330" t="s">
        <v>21048</v>
      </c>
      <c r="D9252" s="330" t="s">
        <v>7653</v>
      </c>
      <c r="E9252" s="330" t="s">
        <v>37248</v>
      </c>
      <c r="F9252" s="331">
        <v>0.21</v>
      </c>
      <c r="G9252" s="332">
        <v>292</v>
      </c>
      <c r="H9252" s="333">
        <v>354</v>
      </c>
    </row>
    <row r="9253" spans="1:8">
      <c r="A9253" s="317" t="s">
        <v>42517</v>
      </c>
      <c r="B9253" s="330" t="s">
        <v>53609</v>
      </c>
      <c r="C9253" s="330" t="s">
        <v>21049</v>
      </c>
      <c r="D9253" s="330" t="s">
        <v>21050</v>
      </c>
      <c r="E9253" s="330" t="s">
        <v>37248</v>
      </c>
      <c r="F9253" s="331">
        <v>0.21</v>
      </c>
      <c r="G9253" s="332">
        <v>1155</v>
      </c>
      <c r="H9253" s="333">
        <v>1398</v>
      </c>
    </row>
    <row r="9254" spans="1:8">
      <c r="A9254" s="317" t="s">
        <v>42518</v>
      </c>
      <c r="B9254" s="330" t="s">
        <v>53610</v>
      </c>
      <c r="C9254" s="330" t="s">
        <v>21051</v>
      </c>
      <c r="D9254" s="330" t="s">
        <v>21052</v>
      </c>
      <c r="E9254" s="330" t="s">
        <v>37248</v>
      </c>
      <c r="F9254" s="331">
        <v>0.21</v>
      </c>
      <c r="G9254" s="332">
        <v>292</v>
      </c>
      <c r="H9254" s="333">
        <v>354</v>
      </c>
    </row>
    <row r="9255" spans="1:8">
      <c r="A9255" s="317" t="s">
        <v>42519</v>
      </c>
      <c r="B9255" s="330" t="s">
        <v>53611</v>
      </c>
      <c r="C9255" s="330" t="s">
        <v>21053</v>
      </c>
      <c r="D9255" s="330" t="s">
        <v>21054</v>
      </c>
      <c r="E9255" s="330" t="s">
        <v>37248</v>
      </c>
      <c r="F9255" s="331">
        <v>0.21</v>
      </c>
      <c r="G9255" s="332">
        <v>2500</v>
      </c>
      <c r="H9255" s="333">
        <v>3025</v>
      </c>
    </row>
    <row r="9256" spans="1:8">
      <c r="A9256" s="317" t="s">
        <v>42520</v>
      </c>
      <c r="B9256" s="330" t="s">
        <v>53612</v>
      </c>
      <c r="C9256" s="330" t="s">
        <v>21055</v>
      </c>
      <c r="D9256" s="330" t="s">
        <v>7653</v>
      </c>
      <c r="E9256" s="330" t="s">
        <v>37248</v>
      </c>
      <c r="F9256" s="331">
        <v>0.21</v>
      </c>
      <c r="G9256" s="332">
        <v>292</v>
      </c>
      <c r="H9256" s="333">
        <v>354</v>
      </c>
    </row>
    <row r="9257" spans="1:8">
      <c r="A9257" s="317" t="s">
        <v>42521</v>
      </c>
      <c r="B9257" s="330" t="s">
        <v>53613</v>
      </c>
      <c r="C9257" s="330" t="s">
        <v>21056</v>
      </c>
      <c r="D9257" s="330" t="s">
        <v>7653</v>
      </c>
      <c r="E9257" s="330" t="s">
        <v>37248</v>
      </c>
      <c r="F9257" s="331">
        <v>0.21</v>
      </c>
      <c r="G9257" s="332">
        <v>292</v>
      </c>
      <c r="H9257" s="333">
        <v>354</v>
      </c>
    </row>
    <row r="9258" spans="1:8">
      <c r="A9258" s="317" t="s">
        <v>42522</v>
      </c>
      <c r="B9258" s="330" t="s">
        <v>53614</v>
      </c>
      <c r="C9258" s="330" t="s">
        <v>21057</v>
      </c>
      <c r="D9258" s="330" t="s">
        <v>21058</v>
      </c>
      <c r="E9258" s="330" t="s">
        <v>37248</v>
      </c>
      <c r="F9258" s="331">
        <v>0.21</v>
      </c>
      <c r="G9258" s="332">
        <v>1601</v>
      </c>
      <c r="H9258" s="333">
        <v>1938</v>
      </c>
    </row>
    <row r="9259" spans="1:8">
      <c r="A9259" s="317" t="s">
        <v>42523</v>
      </c>
      <c r="B9259" s="330" t="s">
        <v>53615</v>
      </c>
      <c r="C9259" s="330" t="s">
        <v>21059</v>
      </c>
      <c r="D9259" s="330" t="s">
        <v>19290</v>
      </c>
      <c r="E9259" s="330" t="s">
        <v>37248</v>
      </c>
      <c r="F9259" s="331">
        <v>0.21</v>
      </c>
      <c r="G9259" s="332">
        <v>343</v>
      </c>
      <c r="H9259" s="333">
        <v>416</v>
      </c>
    </row>
    <row r="9260" spans="1:8">
      <c r="A9260" s="317" t="s">
        <v>42524</v>
      </c>
      <c r="B9260" s="330" t="s">
        <v>53616</v>
      </c>
      <c r="C9260" s="330" t="s">
        <v>21060</v>
      </c>
      <c r="D9260" s="330" t="s">
        <v>21061</v>
      </c>
      <c r="E9260" s="330" t="s">
        <v>37248</v>
      </c>
      <c r="F9260" s="331">
        <v>0.21</v>
      </c>
      <c r="G9260" s="332">
        <v>1360</v>
      </c>
      <c r="H9260" s="333">
        <v>1646</v>
      </c>
    </row>
    <row r="9261" spans="1:8">
      <c r="A9261" s="317" t="s">
        <v>42525</v>
      </c>
      <c r="B9261" s="330" t="s">
        <v>53617</v>
      </c>
      <c r="C9261" s="330" t="s">
        <v>21062</v>
      </c>
      <c r="D9261" s="330" t="s">
        <v>13222</v>
      </c>
      <c r="E9261" s="330" t="s">
        <v>37248</v>
      </c>
      <c r="F9261" s="331">
        <v>0.21</v>
      </c>
      <c r="G9261" s="332">
        <v>602</v>
      </c>
      <c r="H9261" s="333">
        <v>729</v>
      </c>
    </row>
    <row r="9262" spans="1:8">
      <c r="A9262" s="317" t="s">
        <v>42526</v>
      </c>
      <c r="B9262" s="330" t="s">
        <v>53618</v>
      </c>
      <c r="C9262" s="330" t="s">
        <v>21063</v>
      </c>
      <c r="D9262" s="330" t="s">
        <v>7653</v>
      </c>
      <c r="E9262" s="330" t="s">
        <v>37248</v>
      </c>
      <c r="F9262" s="331">
        <v>0.21</v>
      </c>
      <c r="G9262" s="332">
        <v>292</v>
      </c>
      <c r="H9262" s="333">
        <v>354</v>
      </c>
    </row>
    <row r="9263" spans="1:8">
      <c r="A9263" s="317" t="s">
        <v>42527</v>
      </c>
      <c r="B9263" s="330" t="s">
        <v>53619</v>
      </c>
      <c r="C9263" s="330" t="s">
        <v>21064</v>
      </c>
      <c r="D9263" s="330" t="s">
        <v>7653</v>
      </c>
      <c r="E9263" s="330" t="s">
        <v>37248</v>
      </c>
      <c r="F9263" s="331">
        <v>0.21</v>
      </c>
      <c r="G9263" s="332">
        <v>292</v>
      </c>
      <c r="H9263" s="333">
        <v>354</v>
      </c>
    </row>
    <row r="9264" spans="1:8">
      <c r="A9264" s="317" t="s">
        <v>42528</v>
      </c>
      <c r="B9264" s="330" t="s">
        <v>53620</v>
      </c>
      <c r="C9264" s="330" t="s">
        <v>21065</v>
      </c>
      <c r="D9264" s="330" t="s">
        <v>6631</v>
      </c>
      <c r="E9264" s="330" t="s">
        <v>37248</v>
      </c>
      <c r="F9264" s="331">
        <v>0.21</v>
      </c>
      <c r="G9264" s="332">
        <v>519</v>
      </c>
      <c r="H9264" s="333">
        <v>628</v>
      </c>
    </row>
    <row r="9265" spans="1:8">
      <c r="A9265" s="317" t="s">
        <v>42529</v>
      </c>
      <c r="B9265" s="330" t="s">
        <v>53621</v>
      </c>
      <c r="C9265" s="330" t="s">
        <v>21066</v>
      </c>
      <c r="D9265" s="330" t="s">
        <v>21067</v>
      </c>
      <c r="E9265" s="330" t="s">
        <v>37248</v>
      </c>
      <c r="F9265" s="331">
        <v>0.21</v>
      </c>
      <c r="G9265" s="332">
        <v>292</v>
      </c>
      <c r="H9265" s="333">
        <v>354</v>
      </c>
    </row>
    <row r="9266" spans="1:8">
      <c r="A9266" s="317" t="s">
        <v>42530</v>
      </c>
      <c r="B9266" s="330" t="s">
        <v>53622</v>
      </c>
      <c r="C9266" s="330" t="s">
        <v>21068</v>
      </c>
      <c r="D9266" s="330" t="s">
        <v>7653</v>
      </c>
      <c r="E9266" s="330" t="s">
        <v>37248</v>
      </c>
      <c r="F9266" s="331">
        <v>0.21</v>
      </c>
      <c r="G9266" s="332">
        <v>292</v>
      </c>
      <c r="H9266" s="333">
        <v>354</v>
      </c>
    </row>
    <row r="9267" spans="1:8">
      <c r="A9267" s="317" t="s">
        <v>42531</v>
      </c>
      <c r="B9267" s="330" t="s">
        <v>53623</v>
      </c>
      <c r="C9267" s="330" t="s">
        <v>21069</v>
      </c>
      <c r="D9267" s="330" t="s">
        <v>7035</v>
      </c>
      <c r="E9267" s="330" t="s">
        <v>37248</v>
      </c>
      <c r="F9267" s="331">
        <v>0.21</v>
      </c>
      <c r="G9267" s="332">
        <v>292</v>
      </c>
      <c r="H9267" s="333">
        <v>354</v>
      </c>
    </row>
    <row r="9268" spans="1:8">
      <c r="A9268" s="317" t="s">
        <v>42532</v>
      </c>
      <c r="B9268" s="330" t="s">
        <v>53624</v>
      </c>
      <c r="C9268" s="330" t="s">
        <v>21070</v>
      </c>
      <c r="D9268" s="330" t="s">
        <v>21071</v>
      </c>
      <c r="E9268" s="330" t="s">
        <v>37248</v>
      </c>
      <c r="F9268" s="331">
        <v>0.21</v>
      </c>
      <c r="G9268" s="332">
        <v>292</v>
      </c>
      <c r="H9268" s="333">
        <v>354</v>
      </c>
    </row>
    <row r="9269" spans="1:8">
      <c r="A9269" s="317" t="s">
        <v>42533</v>
      </c>
      <c r="B9269" s="330" t="s">
        <v>53625</v>
      </c>
      <c r="C9269" s="330" t="s">
        <v>21072</v>
      </c>
      <c r="D9269" s="330" t="s">
        <v>21073</v>
      </c>
      <c r="E9269" s="330" t="s">
        <v>37248</v>
      </c>
      <c r="F9269" s="331">
        <v>0.21</v>
      </c>
      <c r="G9269" s="332">
        <v>519</v>
      </c>
      <c r="H9269" s="333">
        <v>628</v>
      </c>
    </row>
    <row r="9270" spans="1:8">
      <c r="A9270" s="317" t="s">
        <v>42534</v>
      </c>
      <c r="B9270" s="330" t="s">
        <v>53626</v>
      </c>
      <c r="C9270" s="330" t="s">
        <v>21074</v>
      </c>
      <c r="D9270" s="330" t="s">
        <v>7653</v>
      </c>
      <c r="E9270" s="330" t="s">
        <v>37248</v>
      </c>
      <c r="F9270" s="331">
        <v>0.21</v>
      </c>
      <c r="G9270" s="332">
        <v>292</v>
      </c>
      <c r="H9270" s="333">
        <v>354</v>
      </c>
    </row>
    <row r="9271" spans="1:8">
      <c r="A9271" s="317" t="s">
        <v>42535</v>
      </c>
      <c r="B9271" s="330" t="s">
        <v>53627</v>
      </c>
      <c r="C9271" s="330" t="s">
        <v>21075</v>
      </c>
      <c r="D9271" s="330" t="s">
        <v>14521</v>
      </c>
      <c r="E9271" s="330" t="s">
        <v>37248</v>
      </c>
      <c r="F9271" s="331">
        <v>0.21</v>
      </c>
      <c r="G9271" s="332">
        <v>292</v>
      </c>
      <c r="H9271" s="333">
        <v>354</v>
      </c>
    </row>
    <row r="9272" spans="1:8">
      <c r="A9272" s="317" t="s">
        <v>42536</v>
      </c>
      <c r="B9272" s="330" t="s">
        <v>53628</v>
      </c>
      <c r="C9272" s="330" t="s">
        <v>21076</v>
      </c>
      <c r="D9272" s="330" t="s">
        <v>14327</v>
      </c>
      <c r="E9272" s="330" t="s">
        <v>37248</v>
      </c>
      <c r="F9272" s="331">
        <v>0.21</v>
      </c>
      <c r="G9272" s="332">
        <v>292</v>
      </c>
      <c r="H9272" s="333">
        <v>354</v>
      </c>
    </row>
    <row r="9273" spans="1:8">
      <c r="A9273" s="317" t="s">
        <v>42537</v>
      </c>
      <c r="B9273" s="330" t="s">
        <v>53629</v>
      </c>
      <c r="C9273" s="330" t="s">
        <v>21077</v>
      </c>
      <c r="D9273" s="330" t="s">
        <v>21071</v>
      </c>
      <c r="E9273" s="330" t="s">
        <v>37248</v>
      </c>
      <c r="F9273" s="331">
        <v>0.21</v>
      </c>
      <c r="G9273" s="332">
        <v>292</v>
      </c>
      <c r="H9273" s="333">
        <v>354</v>
      </c>
    </row>
    <row r="9274" spans="1:8">
      <c r="A9274" s="317" t="s">
        <v>42538</v>
      </c>
      <c r="B9274" s="330" t="s">
        <v>53630</v>
      </c>
      <c r="C9274" s="330" t="s">
        <v>21078</v>
      </c>
      <c r="D9274" s="330" t="s">
        <v>19385</v>
      </c>
      <c r="E9274" s="330" t="s">
        <v>37248</v>
      </c>
      <c r="F9274" s="331">
        <v>0.21</v>
      </c>
      <c r="G9274" s="332">
        <v>5034</v>
      </c>
      <c r="H9274" s="333">
        <v>6092</v>
      </c>
    </row>
    <row r="9275" spans="1:8">
      <c r="A9275" s="317" t="s">
        <v>42539</v>
      </c>
      <c r="B9275" s="330" t="s">
        <v>53631</v>
      </c>
      <c r="C9275" s="330" t="s">
        <v>21079</v>
      </c>
      <c r="D9275" s="330" t="s">
        <v>21080</v>
      </c>
      <c r="E9275" s="330" t="s">
        <v>37248</v>
      </c>
      <c r="F9275" s="331">
        <v>0.21</v>
      </c>
      <c r="G9275" s="332">
        <v>671</v>
      </c>
      <c r="H9275" s="333">
        <v>812</v>
      </c>
    </row>
    <row r="9276" spans="1:8">
      <c r="A9276" s="317" t="s">
        <v>42540</v>
      </c>
      <c r="B9276" s="330" t="s">
        <v>53632</v>
      </c>
      <c r="C9276" s="330" t="s">
        <v>21081</v>
      </c>
      <c r="D9276" s="330" t="s">
        <v>21082</v>
      </c>
      <c r="E9276" s="330" t="s">
        <v>37248</v>
      </c>
      <c r="F9276" s="331">
        <v>0.21</v>
      </c>
      <c r="G9276" s="332">
        <v>292</v>
      </c>
      <c r="H9276" s="333">
        <v>354</v>
      </c>
    </row>
    <row r="9277" spans="1:8">
      <c r="A9277" s="317" t="s">
        <v>42541</v>
      </c>
      <c r="B9277" s="330" t="s">
        <v>53633</v>
      </c>
      <c r="C9277" s="330" t="s">
        <v>21083</v>
      </c>
      <c r="D9277" s="330" t="s">
        <v>21084</v>
      </c>
      <c r="E9277" s="330" t="s">
        <v>37248</v>
      </c>
      <c r="F9277" s="331">
        <v>0.21</v>
      </c>
      <c r="G9277" s="332">
        <v>292</v>
      </c>
      <c r="H9277" s="333">
        <v>354</v>
      </c>
    </row>
    <row r="9278" spans="1:8">
      <c r="A9278" s="317" t="s">
        <v>42542</v>
      </c>
      <c r="B9278" s="330" t="s">
        <v>53634</v>
      </c>
      <c r="C9278" s="330" t="s">
        <v>21085</v>
      </c>
      <c r="D9278" s="330" t="s">
        <v>7416</v>
      </c>
      <c r="E9278" s="330" t="s">
        <v>37248</v>
      </c>
      <c r="F9278" s="331">
        <v>0.21</v>
      </c>
      <c r="G9278" s="332">
        <v>1403</v>
      </c>
      <c r="H9278" s="333">
        <v>1698</v>
      </c>
    </row>
    <row r="9279" spans="1:8">
      <c r="A9279" s="317" t="s">
        <v>42543</v>
      </c>
      <c r="B9279" s="330" t="s">
        <v>53635</v>
      </c>
      <c r="C9279" s="330" t="s">
        <v>21086</v>
      </c>
      <c r="D9279" s="330" t="s">
        <v>19133</v>
      </c>
      <c r="E9279" s="330" t="s">
        <v>37248</v>
      </c>
      <c r="F9279" s="331">
        <v>0.21</v>
      </c>
      <c r="G9279" s="332">
        <v>292</v>
      </c>
      <c r="H9279" s="333">
        <v>354</v>
      </c>
    </row>
    <row r="9280" spans="1:8">
      <c r="A9280" s="317" t="s">
        <v>42544</v>
      </c>
      <c r="B9280" s="330" t="s">
        <v>53636</v>
      </c>
      <c r="C9280" s="330" t="s">
        <v>21087</v>
      </c>
      <c r="D9280" s="330" t="s">
        <v>21088</v>
      </c>
      <c r="E9280" s="330" t="s">
        <v>37248</v>
      </c>
      <c r="F9280" s="331">
        <v>0.21</v>
      </c>
      <c r="G9280" s="332">
        <v>671</v>
      </c>
      <c r="H9280" s="333">
        <v>812</v>
      </c>
    </row>
    <row r="9281" spans="1:8">
      <c r="A9281" s="317" t="s">
        <v>42545</v>
      </c>
      <c r="B9281" s="330" t="s">
        <v>53637</v>
      </c>
      <c r="C9281" s="330" t="s">
        <v>21089</v>
      </c>
      <c r="D9281" s="330" t="s">
        <v>7653</v>
      </c>
      <c r="E9281" s="330" t="s">
        <v>37248</v>
      </c>
      <c r="F9281" s="331">
        <v>0.21</v>
      </c>
      <c r="G9281" s="332">
        <v>292</v>
      </c>
      <c r="H9281" s="333">
        <v>354</v>
      </c>
    </row>
    <row r="9282" spans="1:8">
      <c r="A9282" s="317" t="s">
        <v>42546</v>
      </c>
      <c r="B9282" s="330" t="s">
        <v>53638</v>
      </c>
      <c r="C9282" s="330" t="s">
        <v>21090</v>
      </c>
      <c r="D9282" s="330" t="s">
        <v>5771</v>
      </c>
      <c r="E9282" s="330" t="s">
        <v>37248</v>
      </c>
      <c r="F9282" s="331">
        <v>0.21</v>
      </c>
      <c r="G9282" s="332">
        <v>3896</v>
      </c>
      <c r="H9282" s="333">
        <v>4715</v>
      </c>
    </row>
    <row r="9283" spans="1:8">
      <c r="A9283" s="317" t="s">
        <v>42547</v>
      </c>
      <c r="B9283" s="330" t="s">
        <v>53639</v>
      </c>
      <c r="C9283" s="330" t="s">
        <v>21091</v>
      </c>
      <c r="D9283" s="330" t="s">
        <v>5771</v>
      </c>
      <c r="E9283" s="330" t="s">
        <v>37248</v>
      </c>
      <c r="F9283" s="331">
        <v>0.21</v>
      </c>
      <c r="G9283" s="332">
        <v>3229</v>
      </c>
      <c r="H9283" s="333">
        <v>3908</v>
      </c>
    </row>
    <row r="9284" spans="1:8">
      <c r="A9284" s="317" t="s">
        <v>42548</v>
      </c>
      <c r="B9284" s="330" t="s">
        <v>53640</v>
      </c>
      <c r="C9284" s="330" t="s">
        <v>21092</v>
      </c>
      <c r="D9284" s="330" t="s">
        <v>21093</v>
      </c>
      <c r="E9284" s="330" t="s">
        <v>37248</v>
      </c>
      <c r="F9284" s="331">
        <v>0.21</v>
      </c>
      <c r="G9284" s="332">
        <v>292</v>
      </c>
      <c r="H9284" s="333">
        <v>354</v>
      </c>
    </row>
    <row r="9285" spans="1:8">
      <c r="A9285" s="317" t="s">
        <v>42549</v>
      </c>
      <c r="B9285" s="330" t="s">
        <v>53641</v>
      </c>
      <c r="C9285" s="330" t="s">
        <v>21094</v>
      </c>
      <c r="D9285" s="330" t="s">
        <v>19133</v>
      </c>
      <c r="E9285" s="330" t="s">
        <v>37248</v>
      </c>
      <c r="F9285" s="331">
        <v>0.21</v>
      </c>
      <c r="G9285" s="332">
        <v>292</v>
      </c>
      <c r="H9285" s="333">
        <v>354</v>
      </c>
    </row>
    <row r="9286" spans="1:8">
      <c r="A9286" s="317" t="s">
        <v>42550</v>
      </c>
      <c r="B9286" s="330" t="s">
        <v>53642</v>
      </c>
      <c r="C9286" s="330" t="s">
        <v>21095</v>
      </c>
      <c r="D9286" s="330" t="s">
        <v>7653</v>
      </c>
      <c r="E9286" s="330" t="s">
        <v>37248</v>
      </c>
      <c r="F9286" s="331">
        <v>0.21</v>
      </c>
      <c r="G9286" s="332">
        <v>292</v>
      </c>
      <c r="H9286" s="333">
        <v>354</v>
      </c>
    </row>
    <row r="9287" spans="1:8">
      <c r="A9287" s="317" t="s">
        <v>42551</v>
      </c>
      <c r="B9287" s="330" t="s">
        <v>53643</v>
      </c>
      <c r="C9287" s="330" t="s">
        <v>21096</v>
      </c>
      <c r="D9287" s="330" t="s">
        <v>6408</v>
      </c>
      <c r="E9287" s="330" t="s">
        <v>37248</v>
      </c>
      <c r="F9287" s="331">
        <v>0.21</v>
      </c>
      <c r="G9287" s="332">
        <v>292</v>
      </c>
      <c r="H9287" s="333">
        <v>354</v>
      </c>
    </row>
    <row r="9288" spans="1:8">
      <c r="A9288" s="317" t="s">
        <v>42552</v>
      </c>
      <c r="B9288" s="330" t="s">
        <v>53644</v>
      </c>
      <c r="C9288" s="330" t="s">
        <v>21097</v>
      </c>
      <c r="D9288" s="330" t="s">
        <v>21098</v>
      </c>
      <c r="E9288" s="330" t="s">
        <v>37248</v>
      </c>
      <c r="F9288" s="331">
        <v>0.21</v>
      </c>
      <c r="G9288" s="332">
        <v>292</v>
      </c>
      <c r="H9288" s="333">
        <v>354</v>
      </c>
    </row>
    <row r="9289" spans="1:8">
      <c r="A9289" s="317" t="s">
        <v>42553</v>
      </c>
      <c r="B9289" s="330" t="s">
        <v>53645</v>
      </c>
      <c r="C9289" s="330" t="s">
        <v>21099</v>
      </c>
      <c r="D9289" s="330" t="s">
        <v>19133</v>
      </c>
      <c r="E9289" s="330" t="s">
        <v>37248</v>
      </c>
      <c r="F9289" s="331">
        <v>0.21</v>
      </c>
      <c r="G9289" s="332">
        <v>292</v>
      </c>
      <c r="H9289" s="333">
        <v>354</v>
      </c>
    </row>
    <row r="9290" spans="1:8">
      <c r="A9290" s="317" t="s">
        <v>42554</v>
      </c>
      <c r="B9290" s="330" t="s">
        <v>53646</v>
      </c>
      <c r="C9290" s="330" t="s">
        <v>21100</v>
      </c>
      <c r="D9290" s="330" t="s">
        <v>21101</v>
      </c>
      <c r="E9290" s="330" t="s">
        <v>37248</v>
      </c>
      <c r="F9290" s="331">
        <v>0.21</v>
      </c>
      <c r="G9290" s="332">
        <v>519</v>
      </c>
      <c r="H9290" s="333">
        <v>628</v>
      </c>
    </row>
    <row r="9291" spans="1:8">
      <c r="A9291" s="317" t="s">
        <v>42555</v>
      </c>
      <c r="B9291" s="330" t="s">
        <v>53647</v>
      </c>
      <c r="C9291" s="330" t="s">
        <v>21102</v>
      </c>
      <c r="D9291" s="330" t="s">
        <v>19133</v>
      </c>
      <c r="E9291" s="330" t="s">
        <v>37248</v>
      </c>
      <c r="F9291" s="331">
        <v>0.21</v>
      </c>
      <c r="G9291" s="332">
        <v>292</v>
      </c>
      <c r="H9291" s="333">
        <v>354</v>
      </c>
    </row>
    <row r="9292" spans="1:8">
      <c r="A9292" s="317" t="s">
        <v>42556</v>
      </c>
      <c r="B9292" s="330" t="s">
        <v>53648</v>
      </c>
      <c r="C9292" s="330" t="s">
        <v>21103</v>
      </c>
      <c r="D9292" s="330" t="s">
        <v>21104</v>
      </c>
      <c r="E9292" s="330" t="s">
        <v>37248</v>
      </c>
      <c r="F9292" s="331">
        <v>0.21</v>
      </c>
      <c r="G9292" s="332">
        <v>910</v>
      </c>
      <c r="H9292" s="333">
        <v>1102</v>
      </c>
    </row>
    <row r="9293" spans="1:8">
      <c r="A9293" s="317" t="s">
        <v>42557</v>
      </c>
      <c r="B9293" s="330" t="s">
        <v>53649</v>
      </c>
      <c r="C9293" s="330" t="s">
        <v>21105</v>
      </c>
      <c r="D9293" s="330" t="s">
        <v>19377</v>
      </c>
      <c r="E9293" s="330" t="s">
        <v>37248</v>
      </c>
      <c r="F9293" s="331">
        <v>0.21</v>
      </c>
      <c r="G9293" s="332">
        <v>2156</v>
      </c>
      <c r="H9293" s="333">
        <v>2609</v>
      </c>
    </row>
    <row r="9294" spans="1:8">
      <c r="A9294" s="317" t="s">
        <v>42558</v>
      </c>
      <c r="B9294" s="330" t="s">
        <v>53650</v>
      </c>
      <c r="C9294" s="330" t="s">
        <v>21106</v>
      </c>
      <c r="D9294" s="330" t="s">
        <v>7653</v>
      </c>
      <c r="E9294" s="330" t="s">
        <v>37248</v>
      </c>
      <c r="F9294" s="331">
        <v>0.21</v>
      </c>
      <c r="G9294" s="332">
        <v>292</v>
      </c>
      <c r="H9294" s="333">
        <v>354</v>
      </c>
    </row>
    <row r="9295" spans="1:8">
      <c r="A9295" s="317" t="s">
        <v>42559</v>
      </c>
      <c r="B9295" s="330" t="s">
        <v>53651</v>
      </c>
      <c r="C9295" s="330" t="s">
        <v>21107</v>
      </c>
      <c r="D9295" s="330" t="s">
        <v>21073</v>
      </c>
      <c r="E9295" s="330" t="s">
        <v>37248</v>
      </c>
      <c r="F9295" s="331">
        <v>0.21</v>
      </c>
      <c r="G9295" s="332">
        <v>519</v>
      </c>
      <c r="H9295" s="333">
        <v>628</v>
      </c>
    </row>
    <row r="9296" spans="1:8">
      <c r="A9296" s="317" t="s">
        <v>42560</v>
      </c>
      <c r="B9296" s="330" t="s">
        <v>53652</v>
      </c>
      <c r="C9296" s="330" t="s">
        <v>21108</v>
      </c>
      <c r="D9296" s="330" t="s">
        <v>19133</v>
      </c>
      <c r="E9296" s="330" t="s">
        <v>37248</v>
      </c>
      <c r="F9296" s="331">
        <v>0.21</v>
      </c>
      <c r="G9296" s="332">
        <v>292</v>
      </c>
      <c r="H9296" s="333">
        <v>354</v>
      </c>
    </row>
    <row r="9297" spans="1:8">
      <c r="A9297" s="317" t="s">
        <v>42561</v>
      </c>
      <c r="B9297" s="330" t="s">
        <v>53653</v>
      </c>
      <c r="C9297" s="330" t="s">
        <v>21109</v>
      </c>
      <c r="D9297" s="330" t="s">
        <v>21110</v>
      </c>
      <c r="E9297" s="330" t="s">
        <v>37248</v>
      </c>
      <c r="F9297" s="331">
        <v>0.21</v>
      </c>
      <c r="G9297" s="332">
        <v>292</v>
      </c>
      <c r="H9297" s="333">
        <v>354</v>
      </c>
    </row>
    <row r="9298" spans="1:8">
      <c r="A9298" s="317" t="s">
        <v>42562</v>
      </c>
      <c r="B9298" s="330" t="s">
        <v>53654</v>
      </c>
      <c r="C9298" s="330" t="s">
        <v>21111</v>
      </c>
      <c r="D9298" s="330" t="s">
        <v>21112</v>
      </c>
      <c r="E9298" s="330" t="s">
        <v>37248</v>
      </c>
      <c r="F9298" s="331">
        <v>0.21</v>
      </c>
      <c r="G9298" s="332">
        <v>519</v>
      </c>
      <c r="H9298" s="333">
        <v>628</v>
      </c>
    </row>
    <row r="9299" spans="1:8">
      <c r="A9299" s="317" t="s">
        <v>42563</v>
      </c>
      <c r="B9299" s="330" t="s">
        <v>53655</v>
      </c>
      <c r="C9299" s="330" t="s">
        <v>21113</v>
      </c>
      <c r="D9299" s="330" t="s">
        <v>7653</v>
      </c>
      <c r="E9299" s="330" t="s">
        <v>37248</v>
      </c>
      <c r="F9299" s="331">
        <v>0.21</v>
      </c>
      <c r="G9299" s="332">
        <v>519</v>
      </c>
      <c r="H9299" s="333">
        <v>628</v>
      </c>
    </row>
    <row r="9300" spans="1:8">
      <c r="A9300" s="317" t="s">
        <v>42564</v>
      </c>
      <c r="B9300" s="330" t="s">
        <v>53656</v>
      </c>
      <c r="C9300" s="330" t="s">
        <v>21114</v>
      </c>
      <c r="D9300" s="330" t="s">
        <v>21115</v>
      </c>
      <c r="E9300" s="330" t="s">
        <v>37248</v>
      </c>
      <c r="F9300" s="331">
        <v>0.21</v>
      </c>
      <c r="G9300" s="332">
        <v>3406</v>
      </c>
      <c r="H9300" s="333">
        <v>4122</v>
      </c>
    </row>
    <row r="9301" spans="1:8">
      <c r="A9301" s="317" t="s">
        <v>42565</v>
      </c>
      <c r="B9301" s="330" t="s">
        <v>53657</v>
      </c>
      <c r="C9301" s="330" t="s">
        <v>21116</v>
      </c>
      <c r="D9301" s="330" t="s">
        <v>21117</v>
      </c>
      <c r="E9301" s="330" t="s">
        <v>37248</v>
      </c>
      <c r="F9301" s="331">
        <v>0.21</v>
      </c>
      <c r="G9301" s="332">
        <v>1740</v>
      </c>
      <c r="H9301" s="333">
        <v>2106</v>
      </c>
    </row>
    <row r="9302" spans="1:8">
      <c r="A9302" s="317" t="s">
        <v>42566</v>
      </c>
      <c r="B9302" s="330" t="s">
        <v>53658</v>
      </c>
      <c r="C9302" s="330" t="s">
        <v>21118</v>
      </c>
      <c r="D9302" s="330" t="s">
        <v>21119</v>
      </c>
      <c r="E9302" s="330" t="s">
        <v>37248</v>
      </c>
      <c r="F9302" s="331">
        <v>0.21</v>
      </c>
      <c r="G9302" s="332">
        <v>780</v>
      </c>
      <c r="H9302" s="333">
        <v>944</v>
      </c>
    </row>
    <row r="9303" spans="1:8">
      <c r="A9303" s="317" t="s">
        <v>42567</v>
      </c>
      <c r="B9303" s="330" t="s">
        <v>53659</v>
      </c>
      <c r="C9303" s="330" t="s">
        <v>21120</v>
      </c>
      <c r="D9303" s="330" t="s">
        <v>21117</v>
      </c>
      <c r="E9303" s="330" t="s">
        <v>37248</v>
      </c>
      <c r="F9303" s="331">
        <v>0.21</v>
      </c>
      <c r="G9303" s="332">
        <v>910</v>
      </c>
      <c r="H9303" s="333">
        <v>1102</v>
      </c>
    </row>
    <row r="9304" spans="1:8">
      <c r="A9304" s="317" t="s">
        <v>42568</v>
      </c>
      <c r="B9304" s="330" t="s">
        <v>53660</v>
      </c>
      <c r="C9304" s="330" t="s">
        <v>21121</v>
      </c>
      <c r="D9304" s="330" t="s">
        <v>21122</v>
      </c>
      <c r="E9304" s="330" t="s">
        <v>37248</v>
      </c>
      <c r="F9304" s="331">
        <v>0.21</v>
      </c>
      <c r="G9304" s="332">
        <v>680</v>
      </c>
      <c r="H9304" s="333">
        <v>823</v>
      </c>
    </row>
    <row r="9305" spans="1:8">
      <c r="A9305" s="317" t="s">
        <v>42569</v>
      </c>
      <c r="B9305" s="330" t="s">
        <v>53661</v>
      </c>
      <c r="C9305" s="330" t="s">
        <v>21123</v>
      </c>
      <c r="D9305" s="330" t="s">
        <v>5155</v>
      </c>
      <c r="E9305" s="330" t="s">
        <v>37248</v>
      </c>
      <c r="F9305" s="331">
        <v>0.21</v>
      </c>
      <c r="G9305" s="332">
        <v>16965</v>
      </c>
      <c r="H9305" s="333">
        <v>20528</v>
      </c>
    </row>
    <row r="9306" spans="1:8">
      <c r="A9306" s="317" t="s">
        <v>42570</v>
      </c>
      <c r="B9306" s="330" t="s">
        <v>53662</v>
      </c>
      <c r="C9306" s="330" t="s">
        <v>21124</v>
      </c>
      <c r="D9306" s="330" t="s">
        <v>21125</v>
      </c>
      <c r="E9306" s="330" t="s">
        <v>37248</v>
      </c>
      <c r="F9306" s="331">
        <v>0.21</v>
      </c>
      <c r="G9306" s="332">
        <v>1191</v>
      </c>
      <c r="H9306" s="333">
        <v>1442</v>
      </c>
    </row>
    <row r="9307" spans="1:8">
      <c r="A9307" s="317" t="s">
        <v>42571</v>
      </c>
      <c r="B9307" s="330" t="s">
        <v>53663</v>
      </c>
      <c r="C9307" s="330" t="s">
        <v>21126</v>
      </c>
      <c r="D9307" s="330" t="s">
        <v>10123</v>
      </c>
      <c r="E9307" s="330" t="s">
        <v>37248</v>
      </c>
      <c r="F9307" s="331">
        <v>0.21</v>
      </c>
      <c r="G9307" s="332">
        <v>5103</v>
      </c>
      <c r="H9307" s="333">
        <v>6175</v>
      </c>
    </row>
    <row r="9308" spans="1:8">
      <c r="A9308" s="317" t="s">
        <v>42572</v>
      </c>
      <c r="B9308" s="330" t="s">
        <v>53664</v>
      </c>
      <c r="C9308" s="330" t="s">
        <v>21127</v>
      </c>
      <c r="D9308" s="330" t="s">
        <v>5015</v>
      </c>
      <c r="E9308" s="330" t="s">
        <v>37248</v>
      </c>
      <c r="F9308" s="331">
        <v>0.21</v>
      </c>
      <c r="G9308" s="332">
        <v>515</v>
      </c>
      <c r="H9308" s="333">
        <v>624</v>
      </c>
    </row>
    <row r="9309" spans="1:8">
      <c r="A9309" s="317" t="s">
        <v>42573</v>
      </c>
      <c r="B9309" s="330" t="s">
        <v>53665</v>
      </c>
      <c r="C9309" s="330" t="s">
        <v>21128</v>
      </c>
      <c r="D9309" s="330" t="s">
        <v>9931</v>
      </c>
      <c r="E9309" s="330" t="s">
        <v>37248</v>
      </c>
      <c r="F9309" s="331">
        <v>0.21</v>
      </c>
      <c r="G9309" s="332">
        <v>5103</v>
      </c>
      <c r="H9309" s="333">
        <v>6175</v>
      </c>
    </row>
    <row r="9310" spans="1:8">
      <c r="A9310" s="317" t="s">
        <v>42574</v>
      </c>
      <c r="B9310" s="330" t="s">
        <v>53666</v>
      </c>
      <c r="C9310" s="330" t="s">
        <v>21129</v>
      </c>
      <c r="D9310" s="330" t="s">
        <v>21130</v>
      </c>
      <c r="E9310" s="330" t="s">
        <v>37248</v>
      </c>
      <c r="F9310" s="331">
        <v>0.21</v>
      </c>
      <c r="G9310" s="332">
        <v>305</v>
      </c>
      <c r="H9310" s="333">
        <v>370</v>
      </c>
    </row>
    <row r="9311" spans="1:8">
      <c r="A9311" s="317" t="s">
        <v>42575</v>
      </c>
      <c r="B9311" s="330" t="s">
        <v>53667</v>
      </c>
      <c r="C9311" s="330" t="s">
        <v>21131</v>
      </c>
      <c r="D9311" s="330" t="s">
        <v>21132</v>
      </c>
      <c r="E9311" s="330" t="s">
        <v>37248</v>
      </c>
      <c r="F9311" s="331">
        <v>0.21</v>
      </c>
      <c r="G9311" s="332">
        <v>305</v>
      </c>
      <c r="H9311" s="333">
        <v>370</v>
      </c>
    </row>
    <row r="9312" spans="1:8">
      <c r="A9312" s="317" t="s">
        <v>42576</v>
      </c>
      <c r="B9312" s="330" t="s">
        <v>53668</v>
      </c>
      <c r="C9312" s="330" t="s">
        <v>21133</v>
      </c>
      <c r="D9312" s="330" t="s">
        <v>8219</v>
      </c>
      <c r="E9312" s="330" t="s">
        <v>37248</v>
      </c>
      <c r="F9312" s="331">
        <v>0.21</v>
      </c>
      <c r="G9312" s="332">
        <v>515</v>
      </c>
      <c r="H9312" s="333">
        <v>624</v>
      </c>
    </row>
    <row r="9313" spans="1:8">
      <c r="A9313" s="317" t="s">
        <v>42577</v>
      </c>
      <c r="B9313" s="330" t="s">
        <v>53669</v>
      </c>
      <c r="C9313" s="330" t="s">
        <v>21134</v>
      </c>
      <c r="D9313" s="330" t="s">
        <v>21135</v>
      </c>
      <c r="E9313" s="330" t="s">
        <v>37248</v>
      </c>
      <c r="F9313" s="331">
        <v>0.21</v>
      </c>
      <c r="G9313" s="332">
        <v>8488</v>
      </c>
      <c r="H9313" s="333">
        <v>10271</v>
      </c>
    </row>
    <row r="9314" spans="1:8">
      <c r="A9314" s="317" t="s">
        <v>42578</v>
      </c>
      <c r="B9314" s="330" t="s">
        <v>53670</v>
      </c>
      <c r="C9314" s="330" t="s">
        <v>21136</v>
      </c>
      <c r="D9314" s="330" t="s">
        <v>21130</v>
      </c>
      <c r="E9314" s="330" t="s">
        <v>37248</v>
      </c>
      <c r="F9314" s="331">
        <v>0.21</v>
      </c>
      <c r="G9314" s="332">
        <v>305</v>
      </c>
      <c r="H9314" s="333">
        <v>370</v>
      </c>
    </row>
    <row r="9315" spans="1:8">
      <c r="A9315" s="317" t="s">
        <v>42579</v>
      </c>
      <c r="B9315" s="330" t="s">
        <v>53671</v>
      </c>
      <c r="C9315" s="330" t="s">
        <v>21137</v>
      </c>
      <c r="D9315" s="330" t="s">
        <v>9384</v>
      </c>
      <c r="E9315" s="330" t="s">
        <v>37248</v>
      </c>
      <c r="F9315" s="331">
        <v>0.21</v>
      </c>
      <c r="G9315" s="332">
        <v>305</v>
      </c>
      <c r="H9315" s="333">
        <v>370</v>
      </c>
    </row>
    <row r="9316" spans="1:8">
      <c r="A9316" s="317" t="s">
        <v>42580</v>
      </c>
      <c r="B9316" s="330" t="s">
        <v>53672</v>
      </c>
      <c r="C9316" s="330" t="s">
        <v>21138</v>
      </c>
      <c r="D9316" s="330" t="s">
        <v>20960</v>
      </c>
      <c r="E9316" s="330" t="s">
        <v>37248</v>
      </c>
      <c r="F9316" s="331">
        <v>0.21</v>
      </c>
      <c r="G9316" s="332">
        <v>305</v>
      </c>
      <c r="H9316" s="333">
        <v>370</v>
      </c>
    </row>
    <row r="9317" spans="1:8">
      <c r="A9317" s="317" t="s">
        <v>42581</v>
      </c>
      <c r="B9317" s="330" t="s">
        <v>53673</v>
      </c>
      <c r="C9317" s="330" t="s">
        <v>21139</v>
      </c>
      <c r="D9317" s="330" t="s">
        <v>21130</v>
      </c>
      <c r="E9317" s="330" t="s">
        <v>37248</v>
      </c>
      <c r="F9317" s="331">
        <v>0.21</v>
      </c>
      <c r="G9317" s="332">
        <v>305</v>
      </c>
      <c r="H9317" s="333">
        <v>370</v>
      </c>
    </row>
    <row r="9318" spans="1:8">
      <c r="A9318" s="317" t="s">
        <v>42582</v>
      </c>
      <c r="B9318" s="330" t="s">
        <v>53674</v>
      </c>
      <c r="C9318" s="330" t="s">
        <v>21140</v>
      </c>
      <c r="D9318" s="330" t="s">
        <v>5822</v>
      </c>
      <c r="E9318" s="330" t="s">
        <v>37248</v>
      </c>
      <c r="F9318" s="331">
        <v>0.21</v>
      </c>
      <c r="G9318" s="332">
        <v>5715</v>
      </c>
      <c r="H9318" s="333">
        <v>6916</v>
      </c>
    </row>
    <row r="9319" spans="1:8">
      <c r="A9319" s="317" t="s">
        <v>42583</v>
      </c>
      <c r="B9319" s="330" t="s">
        <v>53675</v>
      </c>
      <c r="C9319" s="330" t="s">
        <v>21141</v>
      </c>
      <c r="D9319" s="330" t="s">
        <v>5822</v>
      </c>
      <c r="E9319" s="330" t="s">
        <v>37248</v>
      </c>
      <c r="F9319" s="331">
        <v>0.21</v>
      </c>
      <c r="G9319" s="332">
        <v>3267</v>
      </c>
      <c r="H9319" s="333">
        <v>3954</v>
      </c>
    </row>
    <row r="9320" spans="1:8">
      <c r="A9320" s="317" t="s">
        <v>42584</v>
      </c>
      <c r="B9320" s="330" t="s">
        <v>53676</v>
      </c>
      <c r="C9320" s="330" t="s">
        <v>21142</v>
      </c>
      <c r="D9320" s="330" t="s">
        <v>21143</v>
      </c>
      <c r="E9320" s="330" t="s">
        <v>37248</v>
      </c>
      <c r="F9320" s="331">
        <v>0.21</v>
      </c>
      <c r="G9320" s="332">
        <v>305</v>
      </c>
      <c r="H9320" s="333">
        <v>370</v>
      </c>
    </row>
    <row r="9321" spans="1:8">
      <c r="A9321" s="317" t="s">
        <v>42585</v>
      </c>
      <c r="B9321" s="330" t="s">
        <v>53677</v>
      </c>
      <c r="C9321" s="330" t="s">
        <v>21144</v>
      </c>
      <c r="D9321" s="330" t="s">
        <v>6902</v>
      </c>
      <c r="E9321" s="330" t="s">
        <v>37248</v>
      </c>
      <c r="F9321" s="331">
        <v>0.21</v>
      </c>
      <c r="G9321" s="332">
        <v>689</v>
      </c>
      <c r="H9321" s="333">
        <v>834</v>
      </c>
    </row>
    <row r="9322" spans="1:8">
      <c r="A9322" s="317" t="s">
        <v>42586</v>
      </c>
      <c r="B9322" s="330" t="s">
        <v>53678</v>
      </c>
      <c r="C9322" s="330" t="s">
        <v>21145</v>
      </c>
      <c r="D9322" s="330" t="s">
        <v>6902</v>
      </c>
      <c r="E9322" s="330" t="s">
        <v>37248</v>
      </c>
      <c r="F9322" s="331">
        <v>0.21</v>
      </c>
      <c r="G9322" s="332">
        <v>689</v>
      </c>
      <c r="H9322" s="333">
        <v>834</v>
      </c>
    </row>
    <row r="9323" spans="1:8">
      <c r="A9323" s="317" t="s">
        <v>42587</v>
      </c>
      <c r="B9323" s="330" t="s">
        <v>53679</v>
      </c>
      <c r="C9323" s="330" t="s">
        <v>21146</v>
      </c>
      <c r="D9323" s="330" t="s">
        <v>7653</v>
      </c>
      <c r="E9323" s="330" t="s">
        <v>37248</v>
      </c>
      <c r="F9323" s="331">
        <v>0.21</v>
      </c>
      <c r="G9323" s="332">
        <v>305</v>
      </c>
      <c r="H9323" s="333">
        <v>370</v>
      </c>
    </row>
    <row r="9324" spans="1:8">
      <c r="A9324" s="317" t="s">
        <v>42588</v>
      </c>
      <c r="B9324" s="330" t="s">
        <v>53680</v>
      </c>
      <c r="C9324" s="330" t="s">
        <v>21147</v>
      </c>
      <c r="D9324" s="330" t="s">
        <v>21148</v>
      </c>
      <c r="E9324" s="330" t="s">
        <v>37248</v>
      </c>
      <c r="F9324" s="331">
        <v>0.21</v>
      </c>
      <c r="G9324" s="332">
        <v>6573</v>
      </c>
      <c r="H9324" s="333">
        <v>7954</v>
      </c>
    </row>
    <row r="9325" spans="1:8">
      <c r="A9325" s="317" t="s">
        <v>42589</v>
      </c>
      <c r="B9325" s="330" t="s">
        <v>53681</v>
      </c>
      <c r="C9325" s="330" t="s">
        <v>21149</v>
      </c>
      <c r="D9325" s="330" t="s">
        <v>10986</v>
      </c>
      <c r="E9325" s="330" t="s">
        <v>37248</v>
      </c>
      <c r="F9325" s="331">
        <v>0.21</v>
      </c>
      <c r="G9325" s="332">
        <v>1853</v>
      </c>
      <c r="H9325" s="333">
        <v>2243</v>
      </c>
    </row>
    <row r="9326" spans="1:8">
      <c r="A9326" s="317" t="s">
        <v>42590</v>
      </c>
      <c r="B9326" s="330" t="s">
        <v>53682</v>
      </c>
      <c r="C9326" s="330" t="s">
        <v>21150</v>
      </c>
      <c r="D9326" s="330" t="s">
        <v>21151</v>
      </c>
      <c r="E9326" s="330" t="s">
        <v>37248</v>
      </c>
      <c r="F9326" s="331">
        <v>0.21</v>
      </c>
      <c r="G9326" s="332">
        <v>1360</v>
      </c>
      <c r="H9326" s="333">
        <v>1646</v>
      </c>
    </row>
    <row r="9327" spans="1:8">
      <c r="A9327" s="317" t="s">
        <v>42591</v>
      </c>
      <c r="B9327" s="330" t="s">
        <v>53683</v>
      </c>
      <c r="C9327" s="330" t="s">
        <v>21152</v>
      </c>
      <c r="D9327" s="330" t="s">
        <v>8006</v>
      </c>
      <c r="E9327" s="330" t="s">
        <v>37248</v>
      </c>
      <c r="F9327" s="331">
        <v>0.21</v>
      </c>
      <c r="G9327" s="332">
        <v>15309</v>
      </c>
      <c r="H9327" s="333">
        <v>18524</v>
      </c>
    </row>
    <row r="9328" spans="1:8">
      <c r="A9328" s="317" t="s">
        <v>42592</v>
      </c>
      <c r="B9328" s="330" t="s">
        <v>53684</v>
      </c>
      <c r="C9328" s="330" t="s">
        <v>21153</v>
      </c>
      <c r="D9328" s="330" t="s">
        <v>4650</v>
      </c>
      <c r="E9328" s="330" t="s">
        <v>37248</v>
      </c>
      <c r="F9328" s="331">
        <v>0.21</v>
      </c>
      <c r="G9328" s="332">
        <v>32200</v>
      </c>
      <c r="H9328" s="333">
        <v>38962</v>
      </c>
    </row>
    <row r="9329" spans="1:8">
      <c r="A9329" s="317" t="s">
        <v>42593</v>
      </c>
      <c r="B9329" s="330" t="s">
        <v>53685</v>
      </c>
      <c r="C9329" s="330" t="s">
        <v>21154</v>
      </c>
      <c r="D9329" s="330" t="s">
        <v>7107</v>
      </c>
      <c r="E9329" s="330" t="s">
        <v>37248</v>
      </c>
      <c r="F9329" s="331">
        <v>0.21</v>
      </c>
      <c r="G9329" s="332">
        <v>423</v>
      </c>
      <c r="H9329" s="333">
        <v>512</v>
      </c>
    </row>
    <row r="9330" spans="1:8">
      <c r="A9330" s="317" t="s">
        <v>42594</v>
      </c>
      <c r="B9330" s="330" t="s">
        <v>53686</v>
      </c>
      <c r="C9330" s="330" t="s">
        <v>21155</v>
      </c>
      <c r="D9330" s="330" t="s">
        <v>15225</v>
      </c>
      <c r="E9330" s="330" t="s">
        <v>37248</v>
      </c>
      <c r="F9330" s="331">
        <v>0.21</v>
      </c>
      <c r="G9330" s="332">
        <v>2215</v>
      </c>
      <c r="H9330" s="333">
        <v>2681</v>
      </c>
    </row>
    <row r="9331" spans="1:8">
      <c r="A9331" s="317" t="s">
        <v>42595</v>
      </c>
      <c r="B9331" s="330" t="s">
        <v>53687</v>
      </c>
      <c r="C9331" s="330" t="s">
        <v>21156</v>
      </c>
      <c r="D9331" s="330" t="s">
        <v>21157</v>
      </c>
      <c r="E9331" s="330" t="s">
        <v>37248</v>
      </c>
      <c r="F9331" s="331">
        <v>0.21</v>
      </c>
      <c r="G9331" s="332">
        <v>11359</v>
      </c>
      <c r="H9331" s="333">
        <v>13745</v>
      </c>
    </row>
    <row r="9332" spans="1:8">
      <c r="A9332" s="317" t="s">
        <v>42596</v>
      </c>
      <c r="B9332" s="330" t="s">
        <v>53688</v>
      </c>
      <c r="C9332" s="330" t="s">
        <v>21158</v>
      </c>
      <c r="D9332" s="330" t="s">
        <v>13616</v>
      </c>
      <c r="E9332" s="330" t="s">
        <v>37248</v>
      </c>
      <c r="F9332" s="331">
        <v>0.21</v>
      </c>
      <c r="G9332" s="332">
        <v>4354</v>
      </c>
      <c r="H9332" s="333">
        <v>5269</v>
      </c>
    </row>
    <row r="9333" spans="1:8">
      <c r="A9333" s="317" t="s">
        <v>42597</v>
      </c>
      <c r="B9333" s="330" t="s">
        <v>53689</v>
      </c>
      <c r="C9333" s="330" t="s">
        <v>21159</v>
      </c>
      <c r="D9333" s="330" t="s">
        <v>9487</v>
      </c>
      <c r="E9333" s="330" t="s">
        <v>37248</v>
      </c>
      <c r="F9333" s="331">
        <v>0.21</v>
      </c>
      <c r="G9333" s="332">
        <v>5340</v>
      </c>
      <c r="H9333" s="333">
        <v>6462</v>
      </c>
    </row>
    <row r="9334" spans="1:8">
      <c r="A9334" s="317" t="s">
        <v>42598</v>
      </c>
      <c r="B9334" s="330" t="s">
        <v>53690</v>
      </c>
      <c r="C9334" s="330" t="s">
        <v>21160</v>
      </c>
      <c r="D9334" s="330" t="s">
        <v>8976</v>
      </c>
      <c r="E9334" s="330" t="s">
        <v>37248</v>
      </c>
      <c r="F9334" s="331">
        <v>0.21</v>
      </c>
      <c r="G9334" s="332">
        <v>50471</v>
      </c>
      <c r="H9334" s="333">
        <v>61070</v>
      </c>
    </row>
    <row r="9335" spans="1:8">
      <c r="A9335" s="317" t="s">
        <v>42599</v>
      </c>
      <c r="B9335" s="330" t="s">
        <v>53691</v>
      </c>
      <c r="C9335" s="330" t="s">
        <v>21161</v>
      </c>
      <c r="D9335" s="330" t="s">
        <v>9896</v>
      </c>
      <c r="E9335" s="330" t="s">
        <v>37248</v>
      </c>
      <c r="F9335" s="331">
        <v>0.21</v>
      </c>
      <c r="G9335" s="332">
        <v>6647</v>
      </c>
      <c r="H9335" s="333">
        <v>8043</v>
      </c>
    </row>
    <row r="9336" spans="1:8">
      <c r="A9336" s="317" t="s">
        <v>42600</v>
      </c>
      <c r="B9336" s="330" t="s">
        <v>53692</v>
      </c>
      <c r="C9336" s="330" t="s">
        <v>21162</v>
      </c>
      <c r="D9336" s="330" t="s">
        <v>13432</v>
      </c>
      <c r="E9336" s="330" t="s">
        <v>37248</v>
      </c>
      <c r="F9336" s="331">
        <v>0.21</v>
      </c>
      <c r="G9336" s="332">
        <v>1505</v>
      </c>
      <c r="H9336" s="333">
        <v>1822</v>
      </c>
    </row>
    <row r="9337" spans="1:8">
      <c r="A9337" s="317" t="s">
        <v>42601</v>
      </c>
      <c r="B9337" s="330" t="s">
        <v>53693</v>
      </c>
      <c r="C9337" s="330" t="s">
        <v>21163</v>
      </c>
      <c r="D9337" s="330" t="s">
        <v>17258</v>
      </c>
      <c r="E9337" s="330" t="s">
        <v>37248</v>
      </c>
      <c r="F9337" s="331">
        <v>0.21</v>
      </c>
      <c r="G9337" s="332">
        <v>2407</v>
      </c>
      <c r="H9337" s="333">
        <v>2913</v>
      </c>
    </row>
    <row r="9338" spans="1:8">
      <c r="A9338" s="317" t="s">
        <v>42602</v>
      </c>
      <c r="B9338" s="330" t="s">
        <v>53694</v>
      </c>
      <c r="C9338" s="330" t="s">
        <v>21164</v>
      </c>
      <c r="D9338" s="330" t="s">
        <v>7482</v>
      </c>
      <c r="E9338" s="330" t="s">
        <v>37248</v>
      </c>
      <c r="F9338" s="331">
        <v>0.21</v>
      </c>
      <c r="G9338" s="332">
        <v>5964</v>
      </c>
      <c r="H9338" s="333">
        <v>7217</v>
      </c>
    </row>
    <row r="9339" spans="1:8">
      <c r="A9339" s="317" t="s">
        <v>42603</v>
      </c>
      <c r="B9339" s="330" t="s">
        <v>53695</v>
      </c>
      <c r="C9339" s="330" t="s">
        <v>21165</v>
      </c>
      <c r="D9339" s="330" t="s">
        <v>9732</v>
      </c>
      <c r="E9339" s="330" t="s">
        <v>37248</v>
      </c>
      <c r="F9339" s="331">
        <v>0.21</v>
      </c>
      <c r="G9339" s="332">
        <v>1579</v>
      </c>
      <c r="H9339" s="333">
        <v>1911</v>
      </c>
    </row>
    <row r="9340" spans="1:8">
      <c r="A9340" s="317" t="s">
        <v>42604</v>
      </c>
      <c r="B9340" s="330" t="s">
        <v>53696</v>
      </c>
      <c r="C9340" s="330" t="s">
        <v>21166</v>
      </c>
      <c r="D9340" s="330" t="s">
        <v>21167</v>
      </c>
      <c r="E9340" s="330" t="s">
        <v>37248</v>
      </c>
      <c r="F9340" s="331">
        <v>0.21</v>
      </c>
      <c r="G9340" s="332">
        <v>1983</v>
      </c>
      <c r="H9340" s="333">
        <v>2400</v>
      </c>
    </row>
    <row r="9341" spans="1:8">
      <c r="A9341" s="317" t="s">
        <v>42605</v>
      </c>
      <c r="B9341" s="330" t="s">
        <v>53697</v>
      </c>
      <c r="C9341" s="330" t="s">
        <v>21168</v>
      </c>
      <c r="D9341" s="330" t="s">
        <v>7401</v>
      </c>
      <c r="E9341" s="330" t="s">
        <v>37248</v>
      </c>
      <c r="F9341" s="331">
        <v>0.21</v>
      </c>
      <c r="G9341" s="332">
        <v>1983</v>
      </c>
      <c r="H9341" s="333">
        <v>2400</v>
      </c>
    </row>
    <row r="9342" spans="1:8">
      <c r="A9342" s="317" t="s">
        <v>42606</v>
      </c>
      <c r="B9342" s="330" t="s">
        <v>53698</v>
      </c>
      <c r="C9342" s="330" t="s">
        <v>21169</v>
      </c>
      <c r="D9342" s="330" t="s">
        <v>21170</v>
      </c>
      <c r="E9342" s="330" t="s">
        <v>37248</v>
      </c>
      <c r="F9342" s="331">
        <v>0.21</v>
      </c>
      <c r="G9342" s="332">
        <v>3468</v>
      </c>
      <c r="H9342" s="333">
        <v>4197</v>
      </c>
    </row>
    <row r="9343" spans="1:8">
      <c r="A9343" s="317" t="s">
        <v>42607</v>
      </c>
      <c r="B9343" s="330" t="s">
        <v>53699</v>
      </c>
      <c r="C9343" s="330" t="s">
        <v>21171</v>
      </c>
      <c r="D9343" s="330" t="s">
        <v>7653</v>
      </c>
      <c r="E9343" s="330" t="s">
        <v>37248</v>
      </c>
      <c r="F9343" s="331">
        <v>0.21</v>
      </c>
      <c r="G9343" s="332">
        <v>383</v>
      </c>
      <c r="H9343" s="333">
        <v>464</v>
      </c>
    </row>
    <row r="9344" spans="1:8">
      <c r="A9344" s="317" t="s">
        <v>42608</v>
      </c>
      <c r="B9344" s="330" t="s">
        <v>53700</v>
      </c>
      <c r="C9344" s="330" t="s">
        <v>21172</v>
      </c>
      <c r="D9344" s="330" t="s">
        <v>13731</v>
      </c>
      <c r="E9344" s="330" t="s">
        <v>37248</v>
      </c>
      <c r="F9344" s="331">
        <v>0.21</v>
      </c>
      <c r="G9344" s="332">
        <v>10798</v>
      </c>
      <c r="H9344" s="333">
        <v>13066</v>
      </c>
    </row>
    <row r="9345" spans="1:8">
      <c r="A9345" s="317" t="s">
        <v>42609</v>
      </c>
      <c r="B9345" s="330" t="s">
        <v>53701</v>
      </c>
      <c r="C9345" s="330" t="s">
        <v>21173</v>
      </c>
      <c r="D9345" s="330" t="s">
        <v>21174</v>
      </c>
      <c r="E9345" s="330" t="s">
        <v>37248</v>
      </c>
      <c r="F9345" s="331">
        <v>0.21</v>
      </c>
      <c r="G9345" s="332">
        <v>646</v>
      </c>
      <c r="H9345" s="333">
        <v>782</v>
      </c>
    </row>
    <row r="9346" spans="1:8">
      <c r="A9346" s="317" t="s">
        <v>42610</v>
      </c>
      <c r="B9346" s="330" t="s">
        <v>53702</v>
      </c>
      <c r="C9346" s="330" t="s">
        <v>21175</v>
      </c>
      <c r="D9346" s="330" t="s">
        <v>21176</v>
      </c>
      <c r="E9346" s="330" t="s">
        <v>37248</v>
      </c>
      <c r="F9346" s="331">
        <v>0.21</v>
      </c>
      <c r="G9346" s="332">
        <v>383</v>
      </c>
      <c r="H9346" s="333">
        <v>464</v>
      </c>
    </row>
    <row r="9347" spans="1:8">
      <c r="A9347" s="317" t="s">
        <v>42611</v>
      </c>
      <c r="B9347" s="330" t="s">
        <v>53703</v>
      </c>
      <c r="C9347" s="330" t="s">
        <v>21177</v>
      </c>
      <c r="D9347" s="330" t="s">
        <v>21178</v>
      </c>
      <c r="E9347" s="330" t="s">
        <v>37248</v>
      </c>
      <c r="F9347" s="331">
        <v>0.21</v>
      </c>
      <c r="G9347" s="332">
        <v>1983</v>
      </c>
      <c r="H9347" s="333">
        <v>2400</v>
      </c>
    </row>
    <row r="9348" spans="1:8">
      <c r="A9348" s="317" t="s">
        <v>42612</v>
      </c>
      <c r="B9348" s="330" t="s">
        <v>53704</v>
      </c>
      <c r="C9348" s="330" t="s">
        <v>21179</v>
      </c>
      <c r="D9348" s="330" t="s">
        <v>21174</v>
      </c>
      <c r="E9348" s="330" t="s">
        <v>37248</v>
      </c>
      <c r="F9348" s="331">
        <v>0.21</v>
      </c>
      <c r="G9348" s="332">
        <v>3468</v>
      </c>
      <c r="H9348" s="333">
        <v>4197</v>
      </c>
    </row>
    <row r="9349" spans="1:8">
      <c r="A9349" s="317" t="s">
        <v>42613</v>
      </c>
      <c r="B9349" s="330" t="s">
        <v>53705</v>
      </c>
      <c r="C9349" s="330" t="s">
        <v>21180</v>
      </c>
      <c r="D9349" s="330" t="s">
        <v>21181</v>
      </c>
      <c r="E9349" s="330" t="s">
        <v>37248</v>
      </c>
      <c r="F9349" s="331">
        <v>0.21</v>
      </c>
      <c r="G9349" s="332">
        <v>858</v>
      </c>
      <c r="H9349" s="333">
        <v>1039</v>
      </c>
    </row>
    <row r="9350" spans="1:8">
      <c r="A9350" s="317" t="s">
        <v>42614</v>
      </c>
      <c r="B9350" s="330" t="s">
        <v>53706</v>
      </c>
      <c r="C9350" s="330" t="s">
        <v>21182</v>
      </c>
      <c r="D9350" s="330" t="s">
        <v>8670</v>
      </c>
      <c r="E9350" s="330" t="s">
        <v>37248</v>
      </c>
      <c r="F9350" s="331">
        <v>0.21</v>
      </c>
      <c r="G9350" s="332">
        <v>423</v>
      </c>
      <c r="H9350" s="333">
        <v>512</v>
      </c>
    </row>
    <row r="9351" spans="1:8">
      <c r="A9351" s="317" t="s">
        <v>42615</v>
      </c>
      <c r="B9351" s="330" t="s">
        <v>53707</v>
      </c>
      <c r="C9351" s="330" t="s">
        <v>21183</v>
      </c>
      <c r="D9351" s="330" t="s">
        <v>21174</v>
      </c>
      <c r="E9351" s="330" t="s">
        <v>37248</v>
      </c>
      <c r="F9351" s="331">
        <v>0.21</v>
      </c>
      <c r="G9351" s="332">
        <v>3468</v>
      </c>
      <c r="H9351" s="333">
        <v>4197</v>
      </c>
    </row>
    <row r="9352" spans="1:8">
      <c r="A9352" s="317" t="s">
        <v>42616</v>
      </c>
      <c r="B9352" s="330" t="s">
        <v>53708</v>
      </c>
      <c r="C9352" s="330" t="s">
        <v>21184</v>
      </c>
      <c r="D9352" s="330" t="s">
        <v>5324</v>
      </c>
      <c r="E9352" s="330" t="s">
        <v>37248</v>
      </c>
      <c r="F9352" s="331">
        <v>0.21</v>
      </c>
      <c r="G9352" s="332">
        <v>646</v>
      </c>
      <c r="H9352" s="333">
        <v>782</v>
      </c>
    </row>
    <row r="9353" spans="1:8">
      <c r="A9353" s="317" t="s">
        <v>42617</v>
      </c>
      <c r="B9353" s="330" t="s">
        <v>53709</v>
      </c>
      <c r="C9353" s="330" t="s">
        <v>21185</v>
      </c>
      <c r="D9353" s="330" t="s">
        <v>5324</v>
      </c>
      <c r="E9353" s="330" t="s">
        <v>37248</v>
      </c>
      <c r="F9353" s="331">
        <v>0.21</v>
      </c>
      <c r="G9353" s="332">
        <v>646</v>
      </c>
      <c r="H9353" s="333">
        <v>782</v>
      </c>
    </row>
    <row r="9354" spans="1:8">
      <c r="A9354" s="317" t="s">
        <v>42618</v>
      </c>
      <c r="B9354" s="330" t="s">
        <v>53710</v>
      </c>
      <c r="C9354" s="330" t="s">
        <v>21186</v>
      </c>
      <c r="D9354" s="330" t="s">
        <v>21187</v>
      </c>
      <c r="E9354" s="330" t="s">
        <v>37248</v>
      </c>
      <c r="F9354" s="331">
        <v>0.21</v>
      </c>
      <c r="G9354" s="332">
        <v>1740</v>
      </c>
      <c r="H9354" s="333">
        <v>2106</v>
      </c>
    </row>
    <row r="9355" spans="1:8">
      <c r="A9355" s="317" t="s">
        <v>42619</v>
      </c>
      <c r="B9355" s="330" t="s">
        <v>53711</v>
      </c>
      <c r="C9355" s="330" t="s">
        <v>21188</v>
      </c>
      <c r="D9355" s="330" t="s">
        <v>5932</v>
      </c>
      <c r="E9355" s="330" t="s">
        <v>37248</v>
      </c>
      <c r="F9355" s="331">
        <v>0.21</v>
      </c>
      <c r="G9355" s="332">
        <v>383</v>
      </c>
      <c r="H9355" s="333">
        <v>464</v>
      </c>
    </row>
    <row r="9356" spans="1:8">
      <c r="A9356" s="317" t="s">
        <v>42620</v>
      </c>
      <c r="B9356" s="330" t="s">
        <v>53712</v>
      </c>
      <c r="C9356" s="330" t="s">
        <v>21189</v>
      </c>
      <c r="D9356" s="330" t="s">
        <v>21190</v>
      </c>
      <c r="E9356" s="330" t="s">
        <v>37248</v>
      </c>
      <c r="F9356" s="331">
        <v>0.21</v>
      </c>
      <c r="G9356" s="332">
        <v>1019</v>
      </c>
      <c r="H9356" s="333">
        <v>1233</v>
      </c>
    </row>
    <row r="9357" spans="1:8">
      <c r="A9357" s="317" t="s">
        <v>42621</v>
      </c>
      <c r="B9357" s="330" t="s">
        <v>53713</v>
      </c>
      <c r="C9357" s="330" t="s">
        <v>21191</v>
      </c>
      <c r="D9357" s="330" t="s">
        <v>21176</v>
      </c>
      <c r="E9357" s="330" t="s">
        <v>37248</v>
      </c>
      <c r="F9357" s="331">
        <v>0.21</v>
      </c>
      <c r="G9357" s="332">
        <v>423</v>
      </c>
      <c r="H9357" s="333">
        <v>512</v>
      </c>
    </row>
    <row r="9358" spans="1:8">
      <c r="A9358" s="317" t="s">
        <v>42622</v>
      </c>
      <c r="B9358" s="330" t="s">
        <v>53714</v>
      </c>
      <c r="C9358" s="330" t="s">
        <v>21192</v>
      </c>
      <c r="D9358" s="330" t="s">
        <v>8670</v>
      </c>
      <c r="E9358" s="330" t="s">
        <v>37248</v>
      </c>
      <c r="F9358" s="331">
        <v>0.21</v>
      </c>
      <c r="G9358" s="332">
        <v>383</v>
      </c>
      <c r="H9358" s="333">
        <v>464</v>
      </c>
    </row>
    <row r="9359" spans="1:8">
      <c r="A9359" s="317" t="s">
        <v>42623</v>
      </c>
      <c r="B9359" s="330" t="s">
        <v>53715</v>
      </c>
      <c r="C9359" s="330" t="s">
        <v>21193</v>
      </c>
      <c r="D9359" s="330" t="s">
        <v>21194</v>
      </c>
      <c r="E9359" s="330" t="s">
        <v>37248</v>
      </c>
      <c r="F9359" s="331">
        <v>0.21</v>
      </c>
      <c r="G9359" s="332">
        <v>305</v>
      </c>
      <c r="H9359" s="333">
        <v>370</v>
      </c>
    </row>
    <row r="9360" spans="1:8">
      <c r="A9360" s="317" t="s">
        <v>42624</v>
      </c>
      <c r="B9360" s="330" t="s">
        <v>53716</v>
      </c>
      <c r="C9360" s="330" t="s">
        <v>21195</v>
      </c>
      <c r="D9360" s="330" t="s">
        <v>21013</v>
      </c>
      <c r="E9360" s="330" t="s">
        <v>37248</v>
      </c>
      <c r="F9360" s="331">
        <v>0.21</v>
      </c>
      <c r="G9360" s="332">
        <v>814</v>
      </c>
      <c r="H9360" s="333">
        <v>985</v>
      </c>
    </row>
    <row r="9361" spans="1:8">
      <c r="A9361" s="317" t="s">
        <v>42625</v>
      </c>
      <c r="B9361" s="330" t="s">
        <v>53717</v>
      </c>
      <c r="C9361" s="330" t="s">
        <v>21196</v>
      </c>
      <c r="D9361" s="330" t="s">
        <v>13731</v>
      </c>
      <c r="E9361" s="330" t="s">
        <v>37248</v>
      </c>
      <c r="F9361" s="331">
        <v>0.21</v>
      </c>
      <c r="G9361" s="332">
        <v>3694</v>
      </c>
      <c r="H9361" s="333">
        <v>4470</v>
      </c>
    </row>
    <row r="9362" spans="1:8">
      <c r="A9362" s="317" t="s">
        <v>42626</v>
      </c>
      <c r="B9362" s="330" t="s">
        <v>53718</v>
      </c>
      <c r="C9362" s="330" t="s">
        <v>21197</v>
      </c>
      <c r="D9362" s="330" t="s">
        <v>13731</v>
      </c>
      <c r="E9362" s="330" t="s">
        <v>37248</v>
      </c>
      <c r="F9362" s="331">
        <v>0.21</v>
      </c>
      <c r="G9362" s="332">
        <v>2826</v>
      </c>
      <c r="H9362" s="333">
        <v>3420</v>
      </c>
    </row>
    <row r="9363" spans="1:8">
      <c r="A9363" s="317" t="s">
        <v>42627</v>
      </c>
      <c r="B9363" s="330" t="s">
        <v>53719</v>
      </c>
      <c r="C9363" s="330" t="s">
        <v>21198</v>
      </c>
      <c r="D9363" s="330" t="s">
        <v>7320</v>
      </c>
      <c r="E9363" s="330" t="s">
        <v>37248</v>
      </c>
      <c r="F9363" s="331">
        <v>0.21</v>
      </c>
      <c r="G9363" s="332">
        <v>1684</v>
      </c>
      <c r="H9363" s="333">
        <v>2038</v>
      </c>
    </row>
    <row r="9364" spans="1:8">
      <c r="A9364" s="317" t="s">
        <v>42628</v>
      </c>
      <c r="B9364" s="330" t="s">
        <v>53720</v>
      </c>
      <c r="C9364" s="330" t="s">
        <v>21199</v>
      </c>
      <c r="D9364" s="330" t="s">
        <v>8004</v>
      </c>
      <c r="E9364" s="330" t="s">
        <v>37248</v>
      </c>
      <c r="F9364" s="331">
        <v>0.21</v>
      </c>
      <c r="G9364" s="332">
        <v>8488</v>
      </c>
      <c r="H9364" s="333">
        <v>10271</v>
      </c>
    </row>
    <row r="9365" spans="1:8">
      <c r="A9365" s="317" t="s">
        <v>42629</v>
      </c>
      <c r="B9365" s="330" t="s">
        <v>53721</v>
      </c>
      <c r="C9365" s="330" t="s">
        <v>21200</v>
      </c>
      <c r="D9365" s="330" t="s">
        <v>12706</v>
      </c>
      <c r="E9365" s="330" t="s">
        <v>37248</v>
      </c>
      <c r="F9365" s="331">
        <v>0.21</v>
      </c>
      <c r="G9365" s="332">
        <v>305</v>
      </c>
      <c r="H9365" s="333">
        <v>370</v>
      </c>
    </row>
    <row r="9366" spans="1:8">
      <c r="A9366" s="317" t="s">
        <v>42630</v>
      </c>
      <c r="B9366" s="330" t="s">
        <v>53722</v>
      </c>
      <c r="C9366" s="330" t="s">
        <v>21201</v>
      </c>
      <c r="D9366" s="330" t="s">
        <v>7653</v>
      </c>
      <c r="E9366" s="330" t="s">
        <v>37248</v>
      </c>
      <c r="F9366" s="331">
        <v>0.21</v>
      </c>
      <c r="G9366" s="332">
        <v>305</v>
      </c>
      <c r="H9366" s="333">
        <v>370</v>
      </c>
    </row>
    <row r="9367" spans="1:8">
      <c r="A9367" s="317" t="s">
        <v>42631</v>
      </c>
      <c r="B9367" s="330" t="s">
        <v>53723</v>
      </c>
      <c r="C9367" s="330" t="s">
        <v>21202</v>
      </c>
      <c r="D9367" s="330" t="s">
        <v>21203</v>
      </c>
      <c r="E9367" s="330" t="s">
        <v>37248</v>
      </c>
      <c r="F9367" s="331">
        <v>0.21</v>
      </c>
      <c r="G9367" s="332">
        <v>1748</v>
      </c>
      <c r="H9367" s="333">
        <v>2116</v>
      </c>
    </row>
    <row r="9368" spans="1:8">
      <c r="A9368" s="317" t="s">
        <v>42632</v>
      </c>
      <c r="B9368" s="330" t="s">
        <v>53724</v>
      </c>
      <c r="C9368" s="330" t="s">
        <v>21204</v>
      </c>
      <c r="D9368" s="330" t="s">
        <v>5015</v>
      </c>
      <c r="E9368" s="330" t="s">
        <v>37248</v>
      </c>
      <c r="F9368" s="331">
        <v>0.21</v>
      </c>
      <c r="G9368" s="332">
        <v>305</v>
      </c>
      <c r="H9368" s="333">
        <v>370</v>
      </c>
    </row>
    <row r="9369" spans="1:8">
      <c r="A9369" s="317" t="s">
        <v>42633</v>
      </c>
      <c r="B9369" s="330" t="s">
        <v>53725</v>
      </c>
      <c r="C9369" s="330" t="s">
        <v>21205</v>
      </c>
      <c r="D9369" s="330" t="s">
        <v>21206</v>
      </c>
      <c r="E9369" s="330" t="s">
        <v>37248</v>
      </c>
      <c r="F9369" s="331">
        <v>0.21</v>
      </c>
      <c r="G9369" s="332">
        <v>1191</v>
      </c>
      <c r="H9369" s="333">
        <v>1442</v>
      </c>
    </row>
    <row r="9370" spans="1:8">
      <c r="A9370" s="317" t="s">
        <v>42634</v>
      </c>
      <c r="B9370" s="330" t="s">
        <v>53726</v>
      </c>
      <c r="C9370" s="330" t="s">
        <v>21207</v>
      </c>
      <c r="D9370" s="330" t="s">
        <v>5015</v>
      </c>
      <c r="E9370" s="330" t="s">
        <v>37248</v>
      </c>
      <c r="F9370" s="331">
        <v>0.21</v>
      </c>
      <c r="G9370" s="332">
        <v>305</v>
      </c>
      <c r="H9370" s="333">
        <v>370</v>
      </c>
    </row>
    <row r="9371" spans="1:8">
      <c r="A9371" s="317" t="s">
        <v>42635</v>
      </c>
      <c r="B9371" s="330" t="s">
        <v>53727</v>
      </c>
      <c r="C9371" s="330" t="s">
        <v>21208</v>
      </c>
      <c r="D9371" s="330" t="s">
        <v>6692</v>
      </c>
      <c r="E9371" s="330" t="s">
        <v>37248</v>
      </c>
      <c r="F9371" s="331">
        <v>0.21</v>
      </c>
      <c r="G9371" s="332">
        <v>515</v>
      </c>
      <c r="H9371" s="333">
        <v>624</v>
      </c>
    </row>
    <row r="9372" spans="1:8">
      <c r="A9372" s="317" t="s">
        <v>42636</v>
      </c>
      <c r="B9372" s="330" t="s">
        <v>53728</v>
      </c>
      <c r="C9372" s="330" t="s">
        <v>21209</v>
      </c>
      <c r="D9372" s="330" t="s">
        <v>13170</v>
      </c>
      <c r="E9372" s="330" t="s">
        <v>37248</v>
      </c>
      <c r="F9372" s="331">
        <v>0.21</v>
      </c>
      <c r="G9372" s="332">
        <v>2826</v>
      </c>
      <c r="H9372" s="333">
        <v>3420</v>
      </c>
    </row>
    <row r="9373" spans="1:8">
      <c r="A9373" s="317" t="s">
        <v>42637</v>
      </c>
      <c r="B9373" s="330" t="s">
        <v>53729</v>
      </c>
      <c r="C9373" s="330" t="s">
        <v>21210</v>
      </c>
      <c r="D9373" s="330" t="s">
        <v>21211</v>
      </c>
      <c r="E9373" s="330" t="s">
        <v>37248</v>
      </c>
      <c r="F9373" s="331">
        <v>0.21</v>
      </c>
      <c r="G9373" s="332">
        <v>3468</v>
      </c>
      <c r="H9373" s="333">
        <v>4197</v>
      </c>
    </row>
    <row r="9374" spans="1:8">
      <c r="A9374" s="317" t="s">
        <v>42638</v>
      </c>
      <c r="B9374" s="330" t="s">
        <v>53730</v>
      </c>
      <c r="C9374" s="330" t="s">
        <v>21212</v>
      </c>
      <c r="D9374" s="330" t="s">
        <v>5932</v>
      </c>
      <c r="E9374" s="330" t="s">
        <v>37248</v>
      </c>
      <c r="F9374" s="331">
        <v>0.21</v>
      </c>
      <c r="G9374" s="332">
        <v>7002</v>
      </c>
      <c r="H9374" s="333">
        <v>8473</v>
      </c>
    </row>
    <row r="9375" spans="1:8">
      <c r="A9375" s="317" t="s">
        <v>42639</v>
      </c>
      <c r="B9375" s="330" t="s">
        <v>53731</v>
      </c>
      <c r="C9375" s="330" t="s">
        <v>21213</v>
      </c>
      <c r="D9375" s="330" t="s">
        <v>21211</v>
      </c>
      <c r="E9375" s="330" t="s">
        <v>37248</v>
      </c>
      <c r="F9375" s="331">
        <v>0.21</v>
      </c>
      <c r="G9375" s="332">
        <v>3468</v>
      </c>
      <c r="H9375" s="333">
        <v>4197</v>
      </c>
    </row>
    <row r="9376" spans="1:8">
      <c r="A9376" s="317" t="s">
        <v>42640</v>
      </c>
      <c r="B9376" s="330" t="s">
        <v>53732</v>
      </c>
      <c r="C9376" s="330" t="s">
        <v>21214</v>
      </c>
      <c r="D9376" s="330" t="s">
        <v>21215</v>
      </c>
      <c r="E9376" s="330" t="s">
        <v>37248</v>
      </c>
      <c r="F9376" s="331">
        <v>0.21</v>
      </c>
      <c r="G9376" s="332">
        <v>7002</v>
      </c>
      <c r="H9376" s="333">
        <v>8473</v>
      </c>
    </row>
    <row r="9377" spans="1:8">
      <c r="A9377" s="317" t="s">
        <v>42641</v>
      </c>
      <c r="B9377" s="330" t="s">
        <v>53733</v>
      </c>
      <c r="C9377" s="330" t="s">
        <v>21216</v>
      </c>
      <c r="D9377" s="330" t="s">
        <v>21217</v>
      </c>
      <c r="E9377" s="330" t="s">
        <v>37248</v>
      </c>
      <c r="F9377" s="331">
        <v>0.21</v>
      </c>
      <c r="G9377" s="332">
        <v>43194</v>
      </c>
      <c r="H9377" s="333">
        <v>52265</v>
      </c>
    </row>
    <row r="9378" spans="1:8">
      <c r="A9378" s="317" t="s">
        <v>42642</v>
      </c>
      <c r="B9378" s="330" t="s">
        <v>53734</v>
      </c>
      <c r="C9378" s="330" t="s">
        <v>21218</v>
      </c>
      <c r="D9378" s="330" t="s">
        <v>21219</v>
      </c>
      <c r="E9378" s="330" t="s">
        <v>37248</v>
      </c>
      <c r="F9378" s="331">
        <v>0.21</v>
      </c>
      <c r="G9378" s="332">
        <v>3912</v>
      </c>
      <c r="H9378" s="333">
        <v>4734</v>
      </c>
    </row>
    <row r="9379" spans="1:8">
      <c r="A9379" s="317" t="s">
        <v>42643</v>
      </c>
      <c r="B9379" s="330" t="s">
        <v>53735</v>
      </c>
      <c r="C9379" s="330" t="s">
        <v>21220</v>
      </c>
      <c r="D9379" s="330" t="s">
        <v>21187</v>
      </c>
      <c r="E9379" s="330" t="s">
        <v>37248</v>
      </c>
      <c r="F9379" s="331">
        <v>0.21</v>
      </c>
      <c r="G9379" s="332">
        <v>1490</v>
      </c>
      <c r="H9379" s="333">
        <v>1803</v>
      </c>
    </row>
    <row r="9380" spans="1:8">
      <c r="A9380" s="317" t="s">
        <v>42644</v>
      </c>
      <c r="B9380" s="330" t="s">
        <v>53736</v>
      </c>
      <c r="C9380" s="330" t="s">
        <v>21221</v>
      </c>
      <c r="D9380" s="330" t="s">
        <v>21215</v>
      </c>
      <c r="E9380" s="330" t="s">
        <v>37248</v>
      </c>
      <c r="F9380" s="331">
        <v>0.21</v>
      </c>
      <c r="G9380" s="332">
        <v>7954</v>
      </c>
      <c r="H9380" s="333">
        <v>9625</v>
      </c>
    </row>
    <row r="9381" spans="1:8">
      <c r="A9381" s="317" t="s">
        <v>42645</v>
      </c>
      <c r="B9381" s="330" t="s">
        <v>53737</v>
      </c>
      <c r="C9381" s="330" t="s">
        <v>21222</v>
      </c>
      <c r="D9381" s="330" t="s">
        <v>21223</v>
      </c>
      <c r="E9381" s="330" t="s">
        <v>37248</v>
      </c>
      <c r="F9381" s="331">
        <v>0.21</v>
      </c>
      <c r="G9381" s="332">
        <v>4557</v>
      </c>
      <c r="H9381" s="333">
        <v>5514</v>
      </c>
    </row>
    <row r="9382" spans="1:8">
      <c r="A9382" s="317" t="s">
        <v>42646</v>
      </c>
      <c r="B9382" s="330" t="s">
        <v>53738</v>
      </c>
      <c r="C9382" s="330" t="s">
        <v>21224</v>
      </c>
      <c r="D9382" s="330" t="s">
        <v>21223</v>
      </c>
      <c r="E9382" s="330" t="s">
        <v>37248</v>
      </c>
      <c r="F9382" s="331">
        <v>0.21</v>
      </c>
      <c r="G9382" s="332">
        <v>6023</v>
      </c>
      <c r="H9382" s="333">
        <v>7288</v>
      </c>
    </row>
    <row r="9383" spans="1:8">
      <c r="A9383" s="317" t="s">
        <v>42647</v>
      </c>
      <c r="B9383" s="330" t="s">
        <v>53739</v>
      </c>
      <c r="C9383" s="330" t="s">
        <v>21225</v>
      </c>
      <c r="D9383" s="330" t="s">
        <v>7508</v>
      </c>
      <c r="E9383" s="330" t="s">
        <v>37248</v>
      </c>
      <c r="F9383" s="331">
        <v>0.21</v>
      </c>
      <c r="G9383" s="332">
        <v>807</v>
      </c>
      <c r="H9383" s="333">
        <v>977</v>
      </c>
    </row>
    <row r="9384" spans="1:8">
      <c r="A9384" s="317" t="s">
        <v>42648</v>
      </c>
      <c r="B9384" s="330" t="s">
        <v>53740</v>
      </c>
      <c r="C9384" s="330" t="s">
        <v>21226</v>
      </c>
      <c r="D9384" s="330" t="s">
        <v>21170</v>
      </c>
      <c r="E9384" s="330" t="s">
        <v>37248</v>
      </c>
      <c r="F9384" s="331">
        <v>0.21</v>
      </c>
      <c r="G9384" s="332">
        <v>4780</v>
      </c>
      <c r="H9384" s="333">
        <v>5784</v>
      </c>
    </row>
    <row r="9385" spans="1:8">
      <c r="A9385" s="317" t="s">
        <v>42649</v>
      </c>
      <c r="B9385" s="330" t="s">
        <v>53741</v>
      </c>
      <c r="C9385" s="330" t="s">
        <v>21227</v>
      </c>
      <c r="D9385" s="330" t="s">
        <v>21228</v>
      </c>
      <c r="E9385" s="330" t="s">
        <v>37248</v>
      </c>
      <c r="F9385" s="331">
        <v>0.21</v>
      </c>
      <c r="G9385" s="332">
        <v>5211</v>
      </c>
      <c r="H9385" s="333">
        <v>6306</v>
      </c>
    </row>
    <row r="9386" spans="1:8">
      <c r="A9386" s="317" t="s">
        <v>42650</v>
      </c>
      <c r="B9386" s="330" t="s">
        <v>53742</v>
      </c>
      <c r="C9386" s="330" t="s">
        <v>21229</v>
      </c>
      <c r="D9386" s="330" t="s">
        <v>21230</v>
      </c>
      <c r="E9386" s="330" t="s">
        <v>37248</v>
      </c>
      <c r="F9386" s="331">
        <v>0.21</v>
      </c>
      <c r="G9386" s="332">
        <v>3582</v>
      </c>
      <c r="H9386" s="333">
        <v>4335</v>
      </c>
    </row>
    <row r="9387" spans="1:8">
      <c r="A9387" s="317" t="s">
        <v>42651</v>
      </c>
      <c r="B9387" s="330" t="s">
        <v>53743</v>
      </c>
      <c r="C9387" s="330" t="s">
        <v>21231</v>
      </c>
      <c r="D9387" s="330" t="s">
        <v>5822</v>
      </c>
      <c r="E9387" s="330" t="s">
        <v>37248</v>
      </c>
      <c r="F9387" s="331">
        <v>0.21</v>
      </c>
      <c r="G9387" s="332">
        <v>14491</v>
      </c>
      <c r="H9387" s="333">
        <v>17535</v>
      </c>
    </row>
    <row r="9388" spans="1:8">
      <c r="A9388" s="317" t="s">
        <v>42652</v>
      </c>
      <c r="B9388" s="330" t="s">
        <v>53744</v>
      </c>
      <c r="C9388" s="330" t="s">
        <v>21232</v>
      </c>
      <c r="D9388" s="330" t="s">
        <v>9278</v>
      </c>
      <c r="E9388" s="330" t="s">
        <v>37248</v>
      </c>
      <c r="F9388" s="331">
        <v>0.21</v>
      </c>
      <c r="G9388" s="332">
        <v>1853</v>
      </c>
      <c r="H9388" s="333">
        <v>2243</v>
      </c>
    </row>
    <row r="9389" spans="1:8">
      <c r="A9389" s="317" t="s">
        <v>42653</v>
      </c>
      <c r="B9389" s="330" t="s">
        <v>53745</v>
      </c>
      <c r="C9389" s="330" t="s">
        <v>21233</v>
      </c>
      <c r="D9389" s="330" t="s">
        <v>5015</v>
      </c>
      <c r="E9389" s="330" t="s">
        <v>37248</v>
      </c>
      <c r="F9389" s="331">
        <v>0.21</v>
      </c>
      <c r="G9389" s="332">
        <v>515</v>
      </c>
      <c r="H9389" s="333">
        <v>624</v>
      </c>
    </row>
    <row r="9390" spans="1:8">
      <c r="A9390" s="317" t="s">
        <v>42654</v>
      </c>
      <c r="B9390" s="330" t="s">
        <v>53746</v>
      </c>
      <c r="C9390" s="330" t="s">
        <v>21234</v>
      </c>
      <c r="D9390" s="330" t="s">
        <v>21235</v>
      </c>
      <c r="E9390" s="330" t="s">
        <v>37248</v>
      </c>
      <c r="F9390" s="331">
        <v>0.21</v>
      </c>
      <c r="G9390" s="332">
        <v>947</v>
      </c>
      <c r="H9390" s="333">
        <v>1146</v>
      </c>
    </row>
    <row r="9391" spans="1:8">
      <c r="A9391" s="317" t="s">
        <v>42655</v>
      </c>
      <c r="B9391" s="330" t="s">
        <v>53747</v>
      </c>
      <c r="C9391" s="330" t="s">
        <v>21236</v>
      </c>
      <c r="D9391" s="330" t="s">
        <v>21237</v>
      </c>
      <c r="E9391" s="330" t="s">
        <v>37248</v>
      </c>
      <c r="F9391" s="331">
        <v>0.21</v>
      </c>
      <c r="G9391" s="332">
        <v>9899</v>
      </c>
      <c r="H9391" s="333">
        <v>11978</v>
      </c>
    </row>
    <row r="9392" spans="1:8">
      <c r="A9392" s="317" t="s">
        <v>42656</v>
      </c>
      <c r="B9392" s="330" t="s">
        <v>53748</v>
      </c>
      <c r="C9392" s="330" t="s">
        <v>21238</v>
      </c>
      <c r="D9392" s="330" t="s">
        <v>4650</v>
      </c>
      <c r="E9392" s="330" t="s">
        <v>37248</v>
      </c>
      <c r="F9392" s="331">
        <v>0.21</v>
      </c>
      <c r="G9392" s="332">
        <v>25037</v>
      </c>
      <c r="H9392" s="333">
        <v>30295</v>
      </c>
    </row>
    <row r="9393" spans="1:8">
      <c r="A9393" s="317" t="s">
        <v>42657</v>
      </c>
      <c r="B9393" s="330" t="s">
        <v>53749</v>
      </c>
      <c r="C9393" s="330" t="s">
        <v>21239</v>
      </c>
      <c r="D9393" s="330" t="s">
        <v>21240</v>
      </c>
      <c r="E9393" s="330" t="s">
        <v>37248</v>
      </c>
      <c r="F9393" s="331">
        <v>0.21</v>
      </c>
      <c r="G9393" s="332">
        <v>7472</v>
      </c>
      <c r="H9393" s="333">
        <v>9042</v>
      </c>
    </row>
    <row r="9394" spans="1:8">
      <c r="A9394" s="317" t="s">
        <v>42658</v>
      </c>
      <c r="B9394" s="330" t="s">
        <v>53750</v>
      </c>
      <c r="C9394" s="330" t="s">
        <v>21241</v>
      </c>
      <c r="D9394" s="330" t="s">
        <v>21242</v>
      </c>
      <c r="E9394" s="330" t="s">
        <v>37248</v>
      </c>
      <c r="F9394" s="331">
        <v>0.21</v>
      </c>
      <c r="G9394" s="332">
        <v>15137</v>
      </c>
      <c r="H9394" s="333">
        <v>18316</v>
      </c>
    </row>
    <row r="9395" spans="1:8">
      <c r="A9395" s="317" t="s">
        <v>42659</v>
      </c>
      <c r="B9395" s="330" t="s">
        <v>53751</v>
      </c>
      <c r="C9395" s="330" t="s">
        <v>21243</v>
      </c>
      <c r="D9395" s="330" t="s">
        <v>21242</v>
      </c>
      <c r="E9395" s="330" t="s">
        <v>4634</v>
      </c>
      <c r="F9395" s="331">
        <v>0.21</v>
      </c>
      <c r="G9395" s="332">
        <v>15356</v>
      </c>
      <c r="H9395" s="333">
        <v>18581</v>
      </c>
    </row>
    <row r="9396" spans="1:8">
      <c r="A9396" s="317" t="s">
        <v>42660</v>
      </c>
      <c r="B9396" s="330" t="s">
        <v>53752</v>
      </c>
      <c r="C9396" s="330" t="s">
        <v>21244</v>
      </c>
      <c r="D9396" s="330" t="s">
        <v>20994</v>
      </c>
      <c r="E9396" s="330" t="s">
        <v>4634</v>
      </c>
      <c r="F9396" s="331">
        <v>0.21</v>
      </c>
      <c r="G9396" s="332">
        <v>555</v>
      </c>
      <c r="H9396" s="333">
        <v>672</v>
      </c>
    </row>
    <row r="9397" spans="1:8">
      <c r="A9397" s="317" t="s">
        <v>42661</v>
      </c>
      <c r="B9397" s="330" t="s">
        <v>53753</v>
      </c>
      <c r="C9397" s="330" t="s">
        <v>21245</v>
      </c>
      <c r="D9397" s="330" t="s">
        <v>21246</v>
      </c>
      <c r="E9397" s="330" t="s">
        <v>37248</v>
      </c>
      <c r="F9397" s="331">
        <v>0.21</v>
      </c>
      <c r="G9397" s="332">
        <v>689</v>
      </c>
      <c r="H9397" s="333">
        <v>834</v>
      </c>
    </row>
    <row r="9398" spans="1:8">
      <c r="A9398" s="317" t="s">
        <v>42662</v>
      </c>
      <c r="B9398" s="330" t="s">
        <v>53754</v>
      </c>
      <c r="C9398" s="330" t="s">
        <v>21247</v>
      </c>
      <c r="D9398" s="330" t="s">
        <v>21248</v>
      </c>
      <c r="E9398" s="330" t="s">
        <v>37248</v>
      </c>
      <c r="F9398" s="331">
        <v>0.21</v>
      </c>
      <c r="G9398" s="332">
        <v>305</v>
      </c>
      <c r="H9398" s="333">
        <v>370</v>
      </c>
    </row>
    <row r="9399" spans="1:8">
      <c r="A9399" s="317" t="s">
        <v>42663</v>
      </c>
      <c r="B9399" s="330" t="s">
        <v>53755</v>
      </c>
      <c r="C9399" s="330" t="s">
        <v>21249</v>
      </c>
      <c r="D9399" s="330" t="s">
        <v>21250</v>
      </c>
      <c r="E9399" s="330" t="s">
        <v>37248</v>
      </c>
      <c r="F9399" s="331">
        <v>0.21</v>
      </c>
      <c r="G9399" s="332">
        <v>1191</v>
      </c>
      <c r="H9399" s="333">
        <v>1442</v>
      </c>
    </row>
    <row r="9400" spans="1:8">
      <c r="A9400" s="317" t="s">
        <v>42664</v>
      </c>
      <c r="B9400" s="330" t="s">
        <v>53756</v>
      </c>
      <c r="C9400" s="330" t="s">
        <v>21251</v>
      </c>
      <c r="D9400" s="330" t="s">
        <v>5073</v>
      </c>
      <c r="E9400" s="330" t="s">
        <v>37248</v>
      </c>
      <c r="F9400" s="331">
        <v>0.21</v>
      </c>
      <c r="G9400" s="332">
        <v>1853</v>
      </c>
      <c r="H9400" s="333">
        <v>2243</v>
      </c>
    </row>
    <row r="9401" spans="1:8">
      <c r="A9401" s="317" t="s">
        <v>42665</v>
      </c>
      <c r="B9401" s="330" t="s">
        <v>53757</v>
      </c>
      <c r="C9401" s="330" t="s">
        <v>21252</v>
      </c>
      <c r="D9401" s="330" t="s">
        <v>21248</v>
      </c>
      <c r="E9401" s="330" t="s">
        <v>37248</v>
      </c>
      <c r="F9401" s="331">
        <v>0.21</v>
      </c>
      <c r="G9401" s="332">
        <v>305</v>
      </c>
      <c r="H9401" s="333">
        <v>370</v>
      </c>
    </row>
    <row r="9402" spans="1:8">
      <c r="A9402" s="317" t="s">
        <v>42666</v>
      </c>
      <c r="B9402" s="330" t="s">
        <v>53758</v>
      </c>
      <c r="C9402" s="330" t="s">
        <v>21253</v>
      </c>
      <c r="D9402" s="330" t="s">
        <v>21246</v>
      </c>
      <c r="E9402" s="330" t="s">
        <v>37248</v>
      </c>
      <c r="F9402" s="331">
        <v>0.21</v>
      </c>
      <c r="G9402" s="332">
        <v>7472</v>
      </c>
      <c r="H9402" s="333">
        <v>9042</v>
      </c>
    </row>
    <row r="9403" spans="1:8">
      <c r="A9403" s="317" t="s">
        <v>42667</v>
      </c>
      <c r="B9403" s="330" t="s">
        <v>53759</v>
      </c>
      <c r="C9403" s="330" t="s">
        <v>21254</v>
      </c>
      <c r="D9403" s="330" t="s">
        <v>21248</v>
      </c>
      <c r="E9403" s="330" t="s">
        <v>37248</v>
      </c>
      <c r="F9403" s="331">
        <v>0.21</v>
      </c>
      <c r="G9403" s="332">
        <v>515</v>
      </c>
      <c r="H9403" s="333">
        <v>624</v>
      </c>
    </row>
    <row r="9404" spans="1:8">
      <c r="A9404" s="317" t="s">
        <v>42668</v>
      </c>
      <c r="B9404" s="330" t="s">
        <v>53760</v>
      </c>
      <c r="C9404" s="330" t="s">
        <v>21255</v>
      </c>
      <c r="D9404" s="330" t="s">
        <v>21256</v>
      </c>
      <c r="E9404" s="330" t="s">
        <v>37248</v>
      </c>
      <c r="F9404" s="331">
        <v>0.21</v>
      </c>
      <c r="G9404" s="332">
        <v>515</v>
      </c>
      <c r="H9404" s="333">
        <v>624</v>
      </c>
    </row>
    <row r="9405" spans="1:8">
      <c r="A9405" s="317" t="s">
        <v>42669</v>
      </c>
      <c r="B9405" s="330" t="s">
        <v>53761</v>
      </c>
      <c r="C9405" s="330" t="s">
        <v>21257</v>
      </c>
      <c r="D9405" s="330" t="s">
        <v>21258</v>
      </c>
      <c r="E9405" s="330" t="s">
        <v>37248</v>
      </c>
      <c r="F9405" s="331">
        <v>0.21</v>
      </c>
      <c r="G9405" s="332">
        <v>1684</v>
      </c>
      <c r="H9405" s="333">
        <v>2038</v>
      </c>
    </row>
    <row r="9406" spans="1:8">
      <c r="A9406" s="317" t="s">
        <v>42670</v>
      </c>
      <c r="B9406" s="330" t="s">
        <v>53762</v>
      </c>
      <c r="C9406" s="330" t="s">
        <v>21259</v>
      </c>
      <c r="D9406" s="330" t="s">
        <v>21260</v>
      </c>
      <c r="E9406" s="330" t="s">
        <v>37248</v>
      </c>
      <c r="F9406" s="331">
        <v>0.21</v>
      </c>
      <c r="G9406" s="332">
        <v>1360</v>
      </c>
      <c r="H9406" s="333">
        <v>1646</v>
      </c>
    </row>
    <row r="9407" spans="1:8">
      <c r="A9407" s="317" t="s">
        <v>42671</v>
      </c>
      <c r="B9407" s="330" t="s">
        <v>53763</v>
      </c>
      <c r="C9407" s="330" t="s">
        <v>21261</v>
      </c>
      <c r="D9407" s="330" t="s">
        <v>21248</v>
      </c>
      <c r="E9407" s="330" t="s">
        <v>37248</v>
      </c>
      <c r="F9407" s="331">
        <v>0.21</v>
      </c>
      <c r="G9407" s="332">
        <v>203</v>
      </c>
      <c r="H9407" s="333">
        <v>246</v>
      </c>
    </row>
    <row r="9408" spans="1:8">
      <c r="A9408" s="317" t="s">
        <v>42672</v>
      </c>
      <c r="B9408" s="330" t="s">
        <v>53764</v>
      </c>
      <c r="C9408" s="330" t="s">
        <v>21262</v>
      </c>
      <c r="D9408" s="330" t="s">
        <v>21263</v>
      </c>
      <c r="E9408" s="330" t="s">
        <v>37248</v>
      </c>
      <c r="F9408" s="331">
        <v>0.21</v>
      </c>
      <c r="G9408" s="332">
        <v>65977</v>
      </c>
      <c r="H9408" s="333">
        <v>79833</v>
      </c>
    </row>
    <row r="9409" spans="1:8">
      <c r="A9409" s="317" t="s">
        <v>42673</v>
      </c>
      <c r="B9409" s="330" t="s">
        <v>53765</v>
      </c>
      <c r="C9409" s="330" t="s">
        <v>21264</v>
      </c>
      <c r="D9409" s="330" t="s">
        <v>21265</v>
      </c>
      <c r="E9409" s="330" t="s">
        <v>4634</v>
      </c>
      <c r="F9409" s="331">
        <v>0.21</v>
      </c>
      <c r="G9409" s="332">
        <v>42003</v>
      </c>
      <c r="H9409" s="333">
        <v>50824</v>
      </c>
    </row>
    <row r="9410" spans="1:8">
      <c r="A9410" s="317" t="s">
        <v>42674</v>
      </c>
      <c r="B9410" s="330" t="s">
        <v>53766</v>
      </c>
      <c r="C9410" s="330" t="s">
        <v>21266</v>
      </c>
      <c r="D9410" s="330" t="s">
        <v>21267</v>
      </c>
      <c r="E9410" s="330" t="s">
        <v>4634</v>
      </c>
      <c r="F9410" s="331">
        <v>0.21</v>
      </c>
      <c r="G9410" s="332">
        <v>3838</v>
      </c>
      <c r="H9410" s="333">
        <v>4644</v>
      </c>
    </row>
    <row r="9411" spans="1:8">
      <c r="A9411" s="317" t="s">
        <v>42675</v>
      </c>
      <c r="B9411" s="330" t="s">
        <v>53767</v>
      </c>
      <c r="C9411" s="330" t="s">
        <v>21268</v>
      </c>
      <c r="D9411" s="330" t="s">
        <v>21248</v>
      </c>
      <c r="E9411" s="330" t="s">
        <v>4634</v>
      </c>
      <c r="F9411" s="331">
        <v>0.21</v>
      </c>
      <c r="G9411" s="332">
        <v>749</v>
      </c>
      <c r="H9411" s="333">
        <v>907</v>
      </c>
    </row>
    <row r="9412" spans="1:8">
      <c r="A9412" s="317" t="s">
        <v>42676</v>
      </c>
      <c r="B9412" s="330" t="s">
        <v>53768</v>
      </c>
      <c r="C9412" s="330" t="s">
        <v>21269</v>
      </c>
      <c r="D9412" s="330" t="s">
        <v>21246</v>
      </c>
      <c r="E9412" s="330" t="s">
        <v>4634</v>
      </c>
      <c r="F9412" s="331">
        <v>0.21</v>
      </c>
      <c r="G9412" s="332">
        <v>25997</v>
      </c>
      <c r="H9412" s="333">
        <v>31457</v>
      </c>
    </row>
    <row r="9413" spans="1:8">
      <c r="A9413" s="317" t="s">
        <v>42677</v>
      </c>
      <c r="B9413" s="330" t="s">
        <v>53769</v>
      </c>
      <c r="C9413" s="330" t="s">
        <v>21270</v>
      </c>
      <c r="D9413" s="330" t="s">
        <v>21271</v>
      </c>
      <c r="E9413" s="330" t="s">
        <v>4634</v>
      </c>
      <c r="F9413" s="331">
        <v>0.21</v>
      </c>
      <c r="G9413" s="332">
        <v>4262</v>
      </c>
      <c r="H9413" s="333">
        <v>5158</v>
      </c>
    </row>
    <row r="9414" spans="1:8">
      <c r="A9414" s="317" t="s">
        <v>42678</v>
      </c>
      <c r="B9414" s="330" t="s">
        <v>53770</v>
      </c>
      <c r="C9414" s="330" t="s">
        <v>21272</v>
      </c>
      <c r="D9414" s="330" t="s">
        <v>21246</v>
      </c>
      <c r="E9414" s="330" t="s">
        <v>4634</v>
      </c>
      <c r="F9414" s="331">
        <v>0.21</v>
      </c>
      <c r="G9414" s="332">
        <v>7818</v>
      </c>
      <c r="H9414" s="333">
        <v>9460</v>
      </c>
    </row>
    <row r="9415" spans="1:8">
      <c r="A9415" s="317" t="s">
        <v>42679</v>
      </c>
      <c r="B9415" s="330" t="s">
        <v>53771</v>
      </c>
      <c r="C9415" s="330" t="s">
        <v>21273</v>
      </c>
      <c r="D9415" s="330" t="s">
        <v>12626</v>
      </c>
      <c r="E9415" s="330" t="s">
        <v>4634</v>
      </c>
      <c r="F9415" s="331">
        <v>0.21</v>
      </c>
      <c r="G9415" s="332">
        <v>4262</v>
      </c>
      <c r="H9415" s="333">
        <v>5158</v>
      </c>
    </row>
    <row r="9416" spans="1:8">
      <c r="A9416" s="317" t="s">
        <v>42680</v>
      </c>
      <c r="B9416" s="330" t="s">
        <v>53772</v>
      </c>
      <c r="C9416" s="330" t="s">
        <v>21274</v>
      </c>
      <c r="D9416" s="330" t="s">
        <v>9384</v>
      </c>
      <c r="E9416" s="330" t="s">
        <v>37248</v>
      </c>
      <c r="F9416" s="331">
        <v>0.21</v>
      </c>
      <c r="G9416" s="332">
        <v>515</v>
      </c>
      <c r="H9416" s="333">
        <v>624</v>
      </c>
    </row>
    <row r="9417" spans="1:8">
      <c r="A9417" s="317" t="s">
        <v>42681</v>
      </c>
      <c r="B9417" s="330" t="s">
        <v>53773</v>
      </c>
      <c r="C9417" s="330" t="s">
        <v>21275</v>
      </c>
      <c r="D9417" s="330" t="s">
        <v>21276</v>
      </c>
      <c r="E9417" s="330" t="s">
        <v>37248</v>
      </c>
      <c r="F9417" s="331">
        <v>0.21</v>
      </c>
      <c r="G9417" s="332">
        <v>1191</v>
      </c>
      <c r="H9417" s="333">
        <v>1442</v>
      </c>
    </row>
    <row r="9418" spans="1:8">
      <c r="A9418" s="317" t="s">
        <v>42682</v>
      </c>
      <c r="B9418" s="330" t="s">
        <v>53774</v>
      </c>
      <c r="C9418" s="330" t="s">
        <v>21277</v>
      </c>
      <c r="D9418" s="330" t="s">
        <v>21278</v>
      </c>
      <c r="E9418" s="330" t="s">
        <v>37248</v>
      </c>
      <c r="F9418" s="331">
        <v>0.21</v>
      </c>
      <c r="G9418" s="332">
        <v>9453</v>
      </c>
      <c r="H9418" s="333">
        <v>11439</v>
      </c>
    </row>
    <row r="9419" spans="1:8">
      <c r="A9419" s="317" t="s">
        <v>42683</v>
      </c>
      <c r="B9419" s="330" t="s">
        <v>53775</v>
      </c>
      <c r="C9419" s="330" t="s">
        <v>21279</v>
      </c>
      <c r="D9419" s="330" t="s">
        <v>21280</v>
      </c>
      <c r="E9419" s="330" t="s">
        <v>37248</v>
      </c>
      <c r="F9419" s="331">
        <v>0.21</v>
      </c>
      <c r="G9419" s="332">
        <v>7472</v>
      </c>
      <c r="H9419" s="333">
        <v>9042</v>
      </c>
    </row>
    <row r="9420" spans="1:8">
      <c r="A9420" s="317" t="s">
        <v>42684</v>
      </c>
      <c r="B9420" s="330" t="s">
        <v>53776</v>
      </c>
      <c r="C9420" s="330" t="s">
        <v>21281</v>
      </c>
      <c r="D9420" s="330" t="s">
        <v>21282</v>
      </c>
      <c r="E9420" s="330" t="s">
        <v>37248</v>
      </c>
      <c r="F9420" s="331">
        <v>0.21</v>
      </c>
      <c r="G9420" s="332">
        <v>8488</v>
      </c>
      <c r="H9420" s="333">
        <v>10271</v>
      </c>
    </row>
    <row r="9421" spans="1:8">
      <c r="A9421" s="317" t="s">
        <v>42685</v>
      </c>
      <c r="B9421" s="330" t="s">
        <v>53777</v>
      </c>
      <c r="C9421" s="330" t="s">
        <v>21283</v>
      </c>
      <c r="D9421" s="330" t="s">
        <v>21284</v>
      </c>
      <c r="E9421" s="330" t="s">
        <v>37248</v>
      </c>
      <c r="F9421" s="331">
        <v>0.21</v>
      </c>
      <c r="G9421" s="332">
        <v>2119</v>
      </c>
      <c r="H9421" s="333">
        <v>2564</v>
      </c>
    </row>
    <row r="9422" spans="1:8">
      <c r="A9422" s="317" t="s">
        <v>42686</v>
      </c>
      <c r="B9422" s="330" t="s">
        <v>53778</v>
      </c>
      <c r="C9422" s="330" t="s">
        <v>21285</v>
      </c>
      <c r="D9422" s="330" t="s">
        <v>21286</v>
      </c>
      <c r="E9422" s="330" t="s">
        <v>37248</v>
      </c>
      <c r="F9422" s="331">
        <v>0.21</v>
      </c>
      <c r="G9422" s="332">
        <v>1191</v>
      </c>
      <c r="H9422" s="333">
        <v>1442</v>
      </c>
    </row>
    <row r="9423" spans="1:8">
      <c r="A9423" s="317" t="s">
        <v>42687</v>
      </c>
      <c r="B9423" s="330" t="s">
        <v>53779</v>
      </c>
      <c r="C9423" s="330" t="s">
        <v>21287</v>
      </c>
      <c r="D9423" s="330" t="s">
        <v>8670</v>
      </c>
      <c r="E9423" s="330" t="s">
        <v>37248</v>
      </c>
      <c r="F9423" s="331">
        <v>0.21</v>
      </c>
      <c r="G9423" s="332">
        <v>305</v>
      </c>
      <c r="H9423" s="333">
        <v>370</v>
      </c>
    </row>
    <row r="9424" spans="1:8">
      <c r="A9424" s="317" t="s">
        <v>42688</v>
      </c>
      <c r="B9424" s="330" t="s">
        <v>53780</v>
      </c>
      <c r="C9424" s="330" t="s">
        <v>21288</v>
      </c>
      <c r="D9424" s="330" t="s">
        <v>21289</v>
      </c>
      <c r="E9424" s="330" t="s">
        <v>37248</v>
      </c>
      <c r="F9424" s="331">
        <v>0.21</v>
      </c>
      <c r="G9424" s="332">
        <v>2826</v>
      </c>
      <c r="H9424" s="333">
        <v>3420</v>
      </c>
    </row>
    <row r="9425" spans="1:8">
      <c r="A9425" s="317" t="s">
        <v>42689</v>
      </c>
      <c r="B9425" s="330" t="s">
        <v>53781</v>
      </c>
      <c r="C9425" s="330" t="s">
        <v>21290</v>
      </c>
      <c r="D9425" s="330" t="s">
        <v>21289</v>
      </c>
      <c r="E9425" s="330" t="s">
        <v>37248</v>
      </c>
      <c r="F9425" s="331">
        <v>0.21</v>
      </c>
      <c r="G9425" s="332">
        <v>814</v>
      </c>
      <c r="H9425" s="333">
        <v>985</v>
      </c>
    </row>
    <row r="9426" spans="1:8">
      <c r="A9426" s="317" t="s">
        <v>42690</v>
      </c>
      <c r="B9426" s="330" t="s">
        <v>53782</v>
      </c>
      <c r="C9426" s="330" t="s">
        <v>21291</v>
      </c>
      <c r="D9426" s="330" t="s">
        <v>21292</v>
      </c>
      <c r="E9426" s="330" t="s">
        <v>37248</v>
      </c>
      <c r="F9426" s="331">
        <v>0.21</v>
      </c>
      <c r="G9426" s="332">
        <v>2119</v>
      </c>
      <c r="H9426" s="333">
        <v>2564</v>
      </c>
    </row>
    <row r="9427" spans="1:8">
      <c r="A9427" s="317" t="s">
        <v>42691</v>
      </c>
      <c r="B9427" s="330" t="s">
        <v>53783</v>
      </c>
      <c r="C9427" s="330" t="s">
        <v>21293</v>
      </c>
      <c r="D9427" s="330" t="s">
        <v>21248</v>
      </c>
      <c r="E9427" s="330" t="s">
        <v>37248</v>
      </c>
      <c r="F9427" s="331">
        <v>0.21</v>
      </c>
      <c r="G9427" s="332">
        <v>305</v>
      </c>
      <c r="H9427" s="333">
        <v>370</v>
      </c>
    </row>
    <row r="9428" spans="1:8">
      <c r="A9428" s="317" t="s">
        <v>42692</v>
      </c>
      <c r="B9428" s="330" t="s">
        <v>53784</v>
      </c>
      <c r="C9428" s="330" t="s">
        <v>21294</v>
      </c>
      <c r="D9428" s="330" t="s">
        <v>9384</v>
      </c>
      <c r="E9428" s="330" t="s">
        <v>37248</v>
      </c>
      <c r="F9428" s="331">
        <v>0.21</v>
      </c>
      <c r="G9428" s="332">
        <v>305</v>
      </c>
      <c r="H9428" s="333">
        <v>370</v>
      </c>
    </row>
    <row r="9429" spans="1:8">
      <c r="A9429" s="317" t="s">
        <v>42693</v>
      </c>
      <c r="B9429" s="330" t="s">
        <v>53785</v>
      </c>
      <c r="C9429" s="330" t="s">
        <v>21295</v>
      </c>
      <c r="D9429" s="330" t="s">
        <v>21296</v>
      </c>
      <c r="E9429" s="330" t="s">
        <v>37248</v>
      </c>
      <c r="F9429" s="331">
        <v>0.21</v>
      </c>
      <c r="G9429" s="332">
        <v>689</v>
      </c>
      <c r="H9429" s="333">
        <v>834</v>
      </c>
    </row>
    <row r="9430" spans="1:8">
      <c r="A9430" s="317" t="s">
        <v>42694</v>
      </c>
      <c r="B9430" s="330" t="s">
        <v>53786</v>
      </c>
      <c r="C9430" s="330" t="s">
        <v>21297</v>
      </c>
      <c r="D9430" s="330" t="s">
        <v>6257</v>
      </c>
      <c r="E9430" s="330" t="s">
        <v>37248</v>
      </c>
      <c r="F9430" s="331">
        <v>0.21</v>
      </c>
      <c r="G9430" s="332">
        <v>305</v>
      </c>
      <c r="H9430" s="333">
        <v>370</v>
      </c>
    </row>
    <row r="9431" spans="1:8">
      <c r="A9431" s="317" t="s">
        <v>42695</v>
      </c>
      <c r="B9431" s="330" t="s">
        <v>53787</v>
      </c>
      <c r="C9431" s="330" t="s">
        <v>21298</v>
      </c>
      <c r="D9431" s="330" t="s">
        <v>21299</v>
      </c>
      <c r="E9431" s="330" t="s">
        <v>37248</v>
      </c>
      <c r="F9431" s="331">
        <v>0.21</v>
      </c>
      <c r="G9431" s="332">
        <v>305</v>
      </c>
      <c r="H9431" s="333">
        <v>370</v>
      </c>
    </row>
    <row r="9432" spans="1:8">
      <c r="A9432" s="317" t="s">
        <v>42696</v>
      </c>
      <c r="B9432" s="330" t="s">
        <v>53788</v>
      </c>
      <c r="C9432" s="330" t="s">
        <v>21300</v>
      </c>
      <c r="D9432" s="330" t="s">
        <v>13713</v>
      </c>
      <c r="E9432" s="330" t="s">
        <v>37248</v>
      </c>
      <c r="F9432" s="331">
        <v>0.21</v>
      </c>
      <c r="G9432" s="332">
        <v>519</v>
      </c>
      <c r="H9432" s="333">
        <v>628</v>
      </c>
    </row>
    <row r="9433" spans="1:8">
      <c r="A9433" s="317" t="s">
        <v>42697</v>
      </c>
      <c r="B9433" s="330" t="s">
        <v>53789</v>
      </c>
      <c r="C9433" s="330" t="s">
        <v>21301</v>
      </c>
      <c r="D9433" s="330" t="s">
        <v>9384</v>
      </c>
      <c r="E9433" s="330" t="s">
        <v>37248</v>
      </c>
      <c r="F9433" s="331">
        <v>0.21</v>
      </c>
      <c r="G9433" s="332">
        <v>305</v>
      </c>
      <c r="H9433" s="333">
        <v>370</v>
      </c>
    </row>
    <row r="9434" spans="1:8">
      <c r="A9434" s="317" t="s">
        <v>42698</v>
      </c>
      <c r="B9434" s="330" t="s">
        <v>53790</v>
      </c>
      <c r="C9434" s="330" t="s">
        <v>21302</v>
      </c>
      <c r="D9434" s="330" t="s">
        <v>8060</v>
      </c>
      <c r="E9434" s="330" t="s">
        <v>37248</v>
      </c>
      <c r="F9434" s="331">
        <v>0.21</v>
      </c>
      <c r="G9434" s="332">
        <v>519</v>
      </c>
      <c r="H9434" s="333">
        <v>628</v>
      </c>
    </row>
    <row r="9435" spans="1:8">
      <c r="A9435" s="317" t="s">
        <v>42699</v>
      </c>
      <c r="B9435" s="330" t="s">
        <v>53791</v>
      </c>
      <c r="C9435" s="330" t="s">
        <v>21303</v>
      </c>
      <c r="D9435" s="330" t="s">
        <v>21304</v>
      </c>
      <c r="E9435" s="330" t="s">
        <v>37248</v>
      </c>
      <c r="F9435" s="331">
        <v>0.21</v>
      </c>
      <c r="G9435" s="332">
        <v>2476</v>
      </c>
      <c r="H9435" s="333">
        <v>2996</v>
      </c>
    </row>
    <row r="9436" spans="1:8">
      <c r="A9436" s="317" t="s">
        <v>42700</v>
      </c>
      <c r="B9436" s="330" t="s">
        <v>53792</v>
      </c>
      <c r="C9436" s="330" t="s">
        <v>21305</v>
      </c>
      <c r="D9436" s="330" t="s">
        <v>21304</v>
      </c>
      <c r="E9436" s="330" t="s">
        <v>37248</v>
      </c>
      <c r="F9436" s="331">
        <v>0.21</v>
      </c>
      <c r="G9436" s="332">
        <v>2476</v>
      </c>
      <c r="H9436" s="333">
        <v>2996</v>
      </c>
    </row>
    <row r="9437" spans="1:8">
      <c r="A9437" s="317" t="s">
        <v>42701</v>
      </c>
      <c r="B9437" s="330" t="s">
        <v>53793</v>
      </c>
      <c r="C9437" s="330" t="s">
        <v>21306</v>
      </c>
      <c r="D9437" s="330" t="s">
        <v>21304</v>
      </c>
      <c r="E9437" s="330" t="s">
        <v>37248</v>
      </c>
      <c r="F9437" s="331">
        <v>0.21</v>
      </c>
      <c r="G9437" s="332">
        <v>2476</v>
      </c>
      <c r="H9437" s="333">
        <v>2996</v>
      </c>
    </row>
    <row r="9438" spans="1:8">
      <c r="A9438" s="317" t="s">
        <v>42702</v>
      </c>
      <c r="B9438" s="330" t="s">
        <v>53794</v>
      </c>
      <c r="C9438" s="330" t="s">
        <v>21307</v>
      </c>
      <c r="D9438" s="330" t="s">
        <v>21304</v>
      </c>
      <c r="E9438" s="330" t="s">
        <v>37248</v>
      </c>
      <c r="F9438" s="331">
        <v>0.21</v>
      </c>
      <c r="G9438" s="332">
        <v>2476</v>
      </c>
      <c r="H9438" s="333">
        <v>2996</v>
      </c>
    </row>
    <row r="9439" spans="1:8">
      <c r="A9439" s="317" t="s">
        <v>42703</v>
      </c>
      <c r="B9439" s="330" t="s">
        <v>53795</v>
      </c>
      <c r="C9439" s="330" t="s">
        <v>21308</v>
      </c>
      <c r="D9439" s="330" t="s">
        <v>21309</v>
      </c>
      <c r="E9439" s="330" t="s">
        <v>37248</v>
      </c>
      <c r="F9439" s="331">
        <v>0.21</v>
      </c>
      <c r="G9439" s="332">
        <v>814</v>
      </c>
      <c r="H9439" s="333">
        <v>985</v>
      </c>
    </row>
    <row r="9440" spans="1:8">
      <c r="A9440" s="317" t="s">
        <v>42704</v>
      </c>
      <c r="B9440" s="330" t="s">
        <v>53796</v>
      </c>
      <c r="C9440" s="330" t="s">
        <v>21310</v>
      </c>
      <c r="D9440" s="330" t="s">
        <v>21311</v>
      </c>
      <c r="E9440" s="330" t="s">
        <v>4819</v>
      </c>
      <c r="F9440" s="331">
        <v>0.21</v>
      </c>
      <c r="G9440" s="332">
        <v>12686</v>
      </c>
      <c r="H9440" s="333">
        <v>15351</v>
      </c>
    </row>
    <row r="9441" spans="1:8">
      <c r="A9441" s="317" t="s">
        <v>42705</v>
      </c>
      <c r="B9441" s="330" t="s">
        <v>53797</v>
      </c>
      <c r="C9441" s="330" t="s">
        <v>21312</v>
      </c>
      <c r="D9441" s="330" t="s">
        <v>21313</v>
      </c>
      <c r="E9441" s="330" t="s">
        <v>4819</v>
      </c>
      <c r="F9441" s="331">
        <v>0.21</v>
      </c>
      <c r="G9441" s="332">
        <v>4568</v>
      </c>
      <c r="H9441" s="333">
        <v>5528</v>
      </c>
    </row>
    <row r="9442" spans="1:8">
      <c r="A9442" s="317" t="s">
        <v>42706</v>
      </c>
      <c r="B9442" s="330" t="s">
        <v>53798</v>
      </c>
      <c r="C9442" s="330" t="s">
        <v>21314</v>
      </c>
      <c r="D9442" s="330" t="s">
        <v>21315</v>
      </c>
      <c r="E9442" s="330" t="s">
        <v>4819</v>
      </c>
      <c r="F9442" s="331">
        <v>0.21</v>
      </c>
      <c r="G9442" s="332">
        <v>3865</v>
      </c>
      <c r="H9442" s="333">
        <v>4677</v>
      </c>
    </row>
    <row r="9443" spans="1:8">
      <c r="A9443" s="317" t="s">
        <v>42707</v>
      </c>
      <c r="B9443" s="330" t="s">
        <v>53799</v>
      </c>
      <c r="C9443" s="330" t="s">
        <v>21316</v>
      </c>
      <c r="D9443" s="330" t="s">
        <v>21317</v>
      </c>
      <c r="E9443" s="330" t="s">
        <v>4634</v>
      </c>
      <c r="F9443" s="331">
        <v>0.21</v>
      </c>
      <c r="G9443" s="332">
        <v>673</v>
      </c>
      <c r="H9443" s="333">
        <v>815</v>
      </c>
    </row>
    <row r="9444" spans="1:8">
      <c r="A9444" s="317" t="s">
        <v>42708</v>
      </c>
      <c r="B9444" s="330" t="s">
        <v>53800</v>
      </c>
      <c r="C9444" s="330" t="s">
        <v>21318</v>
      </c>
      <c r="D9444" s="330" t="s">
        <v>21319</v>
      </c>
      <c r="E9444" s="330" t="s">
        <v>4819</v>
      </c>
      <c r="F9444" s="331">
        <v>0.21</v>
      </c>
      <c r="G9444" s="332">
        <v>1750</v>
      </c>
      <c r="H9444" s="333">
        <v>2118</v>
      </c>
    </row>
    <row r="9445" spans="1:8">
      <c r="A9445" s="317" t="s">
        <v>42709</v>
      </c>
      <c r="B9445" s="330" t="s">
        <v>53801</v>
      </c>
      <c r="C9445" s="330" t="s">
        <v>21320</v>
      </c>
      <c r="D9445" s="330" t="s">
        <v>17804</v>
      </c>
      <c r="E9445" s="330" t="s">
        <v>4634</v>
      </c>
      <c r="F9445" s="331">
        <v>0.21</v>
      </c>
      <c r="G9445" s="332">
        <v>236</v>
      </c>
      <c r="H9445" s="333">
        <v>286</v>
      </c>
    </row>
    <row r="9446" spans="1:8">
      <c r="A9446" s="317" t="s">
        <v>42710</v>
      </c>
      <c r="B9446" s="330" t="s">
        <v>53802</v>
      </c>
      <c r="C9446" s="330" t="s">
        <v>21321</v>
      </c>
      <c r="D9446" s="330" t="s">
        <v>21322</v>
      </c>
      <c r="E9446" s="330" t="s">
        <v>37248</v>
      </c>
      <c r="F9446" s="331">
        <v>0.21</v>
      </c>
      <c r="G9446" s="332">
        <v>1072</v>
      </c>
      <c r="H9446" s="333">
        <v>1298</v>
      </c>
    </row>
    <row r="9447" spans="1:8">
      <c r="A9447" s="317" t="s">
        <v>42711</v>
      </c>
      <c r="B9447" s="330" t="s">
        <v>53803</v>
      </c>
      <c r="C9447" s="330" t="s">
        <v>21323</v>
      </c>
      <c r="D9447" s="330" t="s">
        <v>21324</v>
      </c>
      <c r="E9447" s="330" t="s">
        <v>4634</v>
      </c>
      <c r="F9447" s="331">
        <v>0.21</v>
      </c>
      <c r="G9447" s="332">
        <v>2330</v>
      </c>
      <c r="H9447" s="333">
        <v>2820</v>
      </c>
    </row>
    <row r="9448" spans="1:8">
      <c r="A9448" s="317" t="s">
        <v>42712</v>
      </c>
      <c r="B9448" s="330" t="s">
        <v>53804</v>
      </c>
      <c r="C9448" s="330" t="s">
        <v>21325</v>
      </c>
      <c r="D9448" s="330" t="s">
        <v>21326</v>
      </c>
      <c r="E9448" s="330" t="s">
        <v>4819</v>
      </c>
      <c r="F9448" s="331">
        <v>0.21</v>
      </c>
      <c r="G9448" s="332">
        <v>9819</v>
      </c>
      <c r="H9448" s="333">
        <v>11881</v>
      </c>
    </row>
    <row r="9449" spans="1:8">
      <c r="A9449" s="317" t="s">
        <v>42713</v>
      </c>
      <c r="B9449" s="330" t="s">
        <v>53805</v>
      </c>
      <c r="C9449" s="330" t="s">
        <v>21327</v>
      </c>
      <c r="D9449" s="330" t="s">
        <v>21328</v>
      </c>
      <c r="E9449" s="330" t="s">
        <v>4819</v>
      </c>
      <c r="F9449" s="331">
        <v>0.21</v>
      </c>
      <c r="G9449" s="332">
        <v>1684</v>
      </c>
      <c r="H9449" s="333">
        <v>2038</v>
      </c>
    </row>
    <row r="9450" spans="1:8">
      <c r="A9450" s="317" t="s">
        <v>42714</v>
      </c>
      <c r="B9450" s="330" t="s">
        <v>53806</v>
      </c>
      <c r="C9450" s="330" t="s">
        <v>21329</v>
      </c>
      <c r="D9450" s="330" t="s">
        <v>21330</v>
      </c>
      <c r="E9450" s="330" t="s">
        <v>37248</v>
      </c>
      <c r="F9450" s="331">
        <v>0.21</v>
      </c>
      <c r="G9450" s="332">
        <v>75139</v>
      </c>
      <c r="H9450" s="333">
        <v>90919</v>
      </c>
    </row>
    <row r="9451" spans="1:8">
      <c r="A9451" s="317" t="s">
        <v>42715</v>
      </c>
      <c r="B9451" s="330" t="s">
        <v>53807</v>
      </c>
      <c r="C9451" s="330" t="s">
        <v>21331</v>
      </c>
      <c r="D9451" s="330" t="s">
        <v>21332</v>
      </c>
      <c r="E9451" s="330" t="s">
        <v>4634</v>
      </c>
      <c r="F9451" s="331">
        <v>0.21</v>
      </c>
      <c r="G9451" s="332">
        <v>5824</v>
      </c>
      <c r="H9451" s="333">
        <v>7048</v>
      </c>
    </row>
    <row r="9452" spans="1:8">
      <c r="A9452" s="317" t="s">
        <v>42716</v>
      </c>
      <c r="B9452" s="330" t="s">
        <v>53808</v>
      </c>
      <c r="C9452" s="330" t="s">
        <v>21333</v>
      </c>
      <c r="D9452" s="330" t="s">
        <v>21334</v>
      </c>
      <c r="E9452" s="330" t="s">
        <v>4819</v>
      </c>
      <c r="F9452" s="331">
        <v>0.21</v>
      </c>
      <c r="G9452" s="332">
        <v>1505</v>
      </c>
      <c r="H9452" s="333">
        <v>1822</v>
      </c>
    </row>
    <row r="9453" spans="1:8">
      <c r="A9453" s="317" t="s">
        <v>42717</v>
      </c>
      <c r="B9453" s="330" t="s">
        <v>53809</v>
      </c>
      <c r="C9453" s="330" t="s">
        <v>21335</v>
      </c>
      <c r="D9453" s="330" t="s">
        <v>21336</v>
      </c>
      <c r="E9453" s="330" t="s">
        <v>37248</v>
      </c>
      <c r="F9453" s="331">
        <v>0.21</v>
      </c>
      <c r="G9453" s="332">
        <v>1320</v>
      </c>
      <c r="H9453" s="333">
        <v>1598</v>
      </c>
    </row>
    <row r="9454" spans="1:8">
      <c r="A9454" s="317" t="s">
        <v>42718</v>
      </c>
      <c r="B9454" s="330" t="s">
        <v>53810</v>
      </c>
      <c r="C9454" s="330" t="s">
        <v>21337</v>
      </c>
      <c r="D9454" s="330" t="s">
        <v>21338</v>
      </c>
      <c r="E9454" s="330" t="s">
        <v>37248</v>
      </c>
      <c r="F9454" s="331">
        <v>0.21</v>
      </c>
      <c r="G9454" s="332">
        <v>45105</v>
      </c>
      <c r="H9454" s="333">
        <v>54578</v>
      </c>
    </row>
    <row r="9455" spans="1:8">
      <c r="A9455" s="317" t="s">
        <v>42719</v>
      </c>
      <c r="B9455" s="330" t="s">
        <v>53811</v>
      </c>
      <c r="C9455" s="330" t="s">
        <v>21339</v>
      </c>
      <c r="D9455" s="330" t="s">
        <v>21340</v>
      </c>
      <c r="E9455" s="330" t="s">
        <v>4819</v>
      </c>
      <c r="F9455" s="331">
        <v>0.21</v>
      </c>
      <c r="G9455" s="332">
        <v>39386</v>
      </c>
      <c r="H9455" s="333">
        <v>47658</v>
      </c>
    </row>
    <row r="9456" spans="1:8">
      <c r="A9456" s="317" t="s">
        <v>42720</v>
      </c>
      <c r="B9456" s="330" t="s">
        <v>53812</v>
      </c>
      <c r="C9456" s="330" t="s">
        <v>21341</v>
      </c>
      <c r="D9456" s="330" t="s">
        <v>21342</v>
      </c>
      <c r="E9456" s="330" t="s">
        <v>4634</v>
      </c>
      <c r="F9456" s="331">
        <v>0.21</v>
      </c>
      <c r="G9456" s="332">
        <v>13214</v>
      </c>
      <c r="H9456" s="333">
        <v>15989</v>
      </c>
    </row>
    <row r="9457" spans="1:8">
      <c r="A9457" s="317" t="s">
        <v>42721</v>
      </c>
      <c r="B9457" s="330" t="s">
        <v>53813</v>
      </c>
      <c r="C9457" s="330" t="s">
        <v>21343</v>
      </c>
      <c r="D9457" s="330" t="s">
        <v>21344</v>
      </c>
      <c r="E9457" s="330" t="s">
        <v>4634</v>
      </c>
      <c r="F9457" s="331">
        <v>0.21</v>
      </c>
      <c r="G9457" s="332">
        <v>736</v>
      </c>
      <c r="H9457" s="333">
        <v>891</v>
      </c>
    </row>
    <row r="9458" spans="1:8">
      <c r="A9458" s="317" t="s">
        <v>42722</v>
      </c>
      <c r="B9458" s="330" t="s">
        <v>53814</v>
      </c>
      <c r="C9458" s="330" t="s">
        <v>21345</v>
      </c>
      <c r="D9458" s="330" t="s">
        <v>21346</v>
      </c>
      <c r="E9458" s="330" t="s">
        <v>4634</v>
      </c>
      <c r="F9458" s="331">
        <v>0.21</v>
      </c>
      <c r="G9458" s="332">
        <v>285</v>
      </c>
      <c r="H9458" s="333">
        <v>345</v>
      </c>
    </row>
    <row r="9459" spans="1:8">
      <c r="A9459" s="317" t="s">
        <v>42723</v>
      </c>
      <c r="B9459" s="330" t="s">
        <v>53815</v>
      </c>
      <c r="C9459" s="330" t="s">
        <v>21347</v>
      </c>
      <c r="D9459" s="330" t="s">
        <v>21348</v>
      </c>
      <c r="E9459" s="330" t="s">
        <v>4819</v>
      </c>
      <c r="F9459" s="331">
        <v>0.21</v>
      </c>
      <c r="G9459" s="332">
        <v>671</v>
      </c>
      <c r="H9459" s="333">
        <v>812</v>
      </c>
    </row>
    <row r="9460" spans="1:8">
      <c r="A9460" s="317" t="s">
        <v>42724</v>
      </c>
      <c r="B9460" s="330" t="s">
        <v>53816</v>
      </c>
      <c r="C9460" s="330" t="s">
        <v>21349</v>
      </c>
      <c r="D9460" s="330" t="s">
        <v>21350</v>
      </c>
      <c r="E9460" s="330" t="s">
        <v>4819</v>
      </c>
      <c r="F9460" s="331">
        <v>0.21</v>
      </c>
      <c r="G9460" s="332">
        <v>479</v>
      </c>
      <c r="H9460" s="333">
        <v>580</v>
      </c>
    </row>
    <row r="9461" spans="1:8">
      <c r="A9461" s="317" t="s">
        <v>42725</v>
      </c>
      <c r="B9461" s="330" t="s">
        <v>53817</v>
      </c>
      <c r="C9461" s="330" t="s">
        <v>21351</v>
      </c>
      <c r="D9461" s="330" t="s">
        <v>21352</v>
      </c>
      <c r="E9461" s="330" t="s">
        <v>4819</v>
      </c>
      <c r="F9461" s="331">
        <v>0.21</v>
      </c>
      <c r="G9461" s="332">
        <v>4773</v>
      </c>
      <c r="H9461" s="333">
        <v>5776</v>
      </c>
    </row>
    <row r="9462" spans="1:8">
      <c r="A9462" s="317" t="s">
        <v>42726</v>
      </c>
      <c r="B9462" s="330" t="s">
        <v>53818</v>
      </c>
      <c r="C9462" s="330" t="s">
        <v>21353</v>
      </c>
      <c r="D9462" s="330" t="s">
        <v>21354</v>
      </c>
      <c r="E9462" s="330" t="s">
        <v>4819</v>
      </c>
      <c r="F9462" s="331">
        <v>0.21</v>
      </c>
      <c r="G9462" s="332">
        <v>22581</v>
      </c>
      <c r="H9462" s="333">
        <v>27324</v>
      </c>
    </row>
    <row r="9463" spans="1:8">
      <c r="A9463" s="317" t="s">
        <v>42727</v>
      </c>
      <c r="B9463" s="330" t="s">
        <v>53819</v>
      </c>
      <c r="C9463" s="330" t="s">
        <v>21355</v>
      </c>
      <c r="D9463" s="330" t="s">
        <v>21356</v>
      </c>
      <c r="E9463" s="330" t="s">
        <v>4634</v>
      </c>
      <c r="F9463" s="331">
        <v>0.21</v>
      </c>
      <c r="G9463" s="332">
        <v>25607</v>
      </c>
      <c r="H9463" s="333">
        <v>30985</v>
      </c>
    </row>
    <row r="9464" spans="1:8">
      <c r="A9464" s="317" t="s">
        <v>42728</v>
      </c>
      <c r="B9464" s="330" t="s">
        <v>53820</v>
      </c>
      <c r="C9464" s="330" t="s">
        <v>21357</v>
      </c>
      <c r="D9464" s="330" t="s">
        <v>21358</v>
      </c>
      <c r="E9464" s="330" t="s">
        <v>4634</v>
      </c>
      <c r="F9464" s="331">
        <v>0.21</v>
      </c>
      <c r="G9464" s="332">
        <v>280</v>
      </c>
      <c r="H9464" s="333">
        <v>339</v>
      </c>
    </row>
    <row r="9465" spans="1:8">
      <c r="A9465" s="317" t="s">
        <v>42729</v>
      </c>
      <c r="B9465" s="330" t="s">
        <v>53821</v>
      </c>
      <c r="C9465" s="330" t="s">
        <v>21359</v>
      </c>
      <c r="D9465" s="330" t="s">
        <v>21360</v>
      </c>
      <c r="E9465" s="330" t="s">
        <v>4819</v>
      </c>
      <c r="F9465" s="331">
        <v>0.21</v>
      </c>
      <c r="G9465" s="332">
        <v>3248</v>
      </c>
      <c r="H9465" s="333">
        <v>3931</v>
      </c>
    </row>
    <row r="9466" spans="1:8">
      <c r="A9466" s="317" t="s">
        <v>42730</v>
      </c>
      <c r="B9466" s="330" t="s">
        <v>53822</v>
      </c>
      <c r="C9466" s="330" t="s">
        <v>21361</v>
      </c>
      <c r="D9466" s="330" t="s">
        <v>21362</v>
      </c>
      <c r="E9466" s="330" t="s">
        <v>4819</v>
      </c>
      <c r="F9466" s="331">
        <v>0.21</v>
      </c>
      <c r="G9466" s="332">
        <v>671</v>
      </c>
      <c r="H9466" s="333">
        <v>812</v>
      </c>
    </row>
    <row r="9467" spans="1:8">
      <c r="A9467" s="317" t="s">
        <v>42731</v>
      </c>
      <c r="B9467" s="330" t="s">
        <v>53823</v>
      </c>
      <c r="C9467" s="330" t="s">
        <v>21363</v>
      </c>
      <c r="D9467" s="330" t="s">
        <v>21364</v>
      </c>
      <c r="E9467" s="330" t="s">
        <v>4634</v>
      </c>
      <c r="F9467" s="331">
        <v>0.21</v>
      </c>
      <c r="G9467" s="332">
        <v>20672</v>
      </c>
      <c r="H9467" s="333">
        <v>25014</v>
      </c>
    </row>
    <row r="9468" spans="1:8">
      <c r="A9468" s="317" t="s">
        <v>42732</v>
      </c>
      <c r="B9468" s="330" t="s">
        <v>53824</v>
      </c>
      <c r="C9468" s="330" t="s">
        <v>21365</v>
      </c>
      <c r="D9468" s="330" t="s">
        <v>21366</v>
      </c>
      <c r="E9468" s="330" t="s">
        <v>37248</v>
      </c>
      <c r="F9468" s="331">
        <v>0.21</v>
      </c>
      <c r="G9468" s="332">
        <v>35600</v>
      </c>
      <c r="H9468" s="333">
        <v>43076</v>
      </c>
    </row>
    <row r="9469" spans="1:8">
      <c r="A9469" s="317" t="s">
        <v>42733</v>
      </c>
      <c r="B9469" s="330" t="s">
        <v>53825</v>
      </c>
      <c r="C9469" s="330" t="s">
        <v>21367</v>
      </c>
      <c r="D9469" s="330" t="s">
        <v>21368</v>
      </c>
      <c r="E9469" s="330" t="s">
        <v>4819</v>
      </c>
      <c r="F9469" s="331">
        <v>0.21</v>
      </c>
      <c r="G9469" s="332">
        <v>3979</v>
      </c>
      <c r="H9469" s="333">
        <v>4815</v>
      </c>
    </row>
    <row r="9470" spans="1:8">
      <c r="A9470" s="317" t="s">
        <v>42734</v>
      </c>
      <c r="B9470" s="330" t="s">
        <v>53826</v>
      </c>
      <c r="C9470" s="330" t="s">
        <v>21369</v>
      </c>
      <c r="D9470" s="330" t="s">
        <v>21370</v>
      </c>
      <c r="E9470" s="330" t="s">
        <v>4819</v>
      </c>
      <c r="F9470" s="331">
        <v>0.21</v>
      </c>
      <c r="G9470" s="332">
        <v>671</v>
      </c>
      <c r="H9470" s="333">
        <v>812</v>
      </c>
    </row>
    <row r="9471" spans="1:8">
      <c r="A9471" s="317" t="s">
        <v>42735</v>
      </c>
      <c r="B9471" s="330" t="s">
        <v>53827</v>
      </c>
      <c r="C9471" s="330" t="s">
        <v>21371</v>
      </c>
      <c r="D9471" s="330" t="s">
        <v>21372</v>
      </c>
      <c r="E9471" s="330" t="s">
        <v>4819</v>
      </c>
      <c r="F9471" s="331">
        <v>0.21</v>
      </c>
      <c r="G9471" s="332">
        <v>3865</v>
      </c>
      <c r="H9471" s="333">
        <v>4677</v>
      </c>
    </row>
    <row r="9472" spans="1:8">
      <c r="A9472" s="317" t="s">
        <v>42736</v>
      </c>
      <c r="B9472" s="330" t="s">
        <v>53828</v>
      </c>
      <c r="C9472" s="330" t="s">
        <v>21373</v>
      </c>
      <c r="D9472" s="330" t="s">
        <v>21374</v>
      </c>
      <c r="E9472" s="330" t="s">
        <v>4634</v>
      </c>
      <c r="F9472" s="331">
        <v>0.21</v>
      </c>
      <c r="G9472" s="332">
        <v>16616</v>
      </c>
      <c r="H9472" s="333">
        <v>20106</v>
      </c>
    </row>
    <row r="9473" spans="1:8">
      <c r="A9473" s="317" t="s">
        <v>42737</v>
      </c>
      <c r="B9473" s="330" t="s">
        <v>53829</v>
      </c>
      <c r="C9473" s="330" t="s">
        <v>21375</v>
      </c>
      <c r="D9473" s="330" t="s">
        <v>21376</v>
      </c>
      <c r="E9473" s="330" t="s">
        <v>4819</v>
      </c>
      <c r="F9473" s="331">
        <v>0.21</v>
      </c>
      <c r="G9473" s="332">
        <v>3310</v>
      </c>
      <c r="H9473" s="333">
        <v>4006</v>
      </c>
    </row>
    <row r="9474" spans="1:8">
      <c r="A9474" s="317" t="s">
        <v>42738</v>
      </c>
      <c r="B9474" s="330" t="s">
        <v>53830</v>
      </c>
      <c r="C9474" s="330" t="s">
        <v>21377</v>
      </c>
      <c r="D9474" s="330" t="s">
        <v>21378</v>
      </c>
      <c r="E9474" s="330" t="s">
        <v>4819</v>
      </c>
      <c r="F9474" s="331">
        <v>0.21</v>
      </c>
      <c r="G9474" s="332">
        <v>6640</v>
      </c>
      <c r="H9474" s="333">
        <v>8035</v>
      </c>
    </row>
    <row r="9475" spans="1:8">
      <c r="A9475" s="317" t="s">
        <v>42739</v>
      </c>
      <c r="B9475" s="330" t="s">
        <v>53831</v>
      </c>
      <c r="C9475" s="330" t="s">
        <v>21379</v>
      </c>
      <c r="D9475" s="330" t="s">
        <v>21380</v>
      </c>
      <c r="E9475" s="330" t="s">
        <v>4819</v>
      </c>
      <c r="F9475" s="331">
        <v>0.21</v>
      </c>
      <c r="G9475" s="332">
        <v>7604</v>
      </c>
      <c r="H9475" s="333">
        <v>9201</v>
      </c>
    </row>
    <row r="9476" spans="1:8">
      <c r="A9476" s="317" t="s">
        <v>42740</v>
      </c>
      <c r="B9476" s="330" t="s">
        <v>53832</v>
      </c>
      <c r="C9476" s="330" t="s">
        <v>21381</v>
      </c>
      <c r="D9476" s="330" t="s">
        <v>21382</v>
      </c>
      <c r="E9476" s="330" t="s">
        <v>4819</v>
      </c>
      <c r="F9476" s="331">
        <v>0.21</v>
      </c>
      <c r="G9476" s="332">
        <v>5683</v>
      </c>
      <c r="H9476" s="333">
        <v>6877</v>
      </c>
    </row>
    <row r="9477" spans="1:8">
      <c r="A9477" s="317" t="s">
        <v>42741</v>
      </c>
      <c r="B9477" s="330" t="s">
        <v>53833</v>
      </c>
      <c r="C9477" s="330" t="s">
        <v>21383</v>
      </c>
      <c r="D9477" s="330" t="s">
        <v>21384</v>
      </c>
      <c r="E9477" s="330" t="s">
        <v>4819</v>
      </c>
      <c r="F9477" s="331">
        <v>0.21</v>
      </c>
      <c r="G9477" s="332">
        <v>3979</v>
      </c>
      <c r="H9477" s="333">
        <v>4815</v>
      </c>
    </row>
    <row r="9478" spans="1:8">
      <c r="A9478" s="317" t="s">
        <v>42742</v>
      </c>
      <c r="B9478" s="330" t="s">
        <v>53834</v>
      </c>
      <c r="C9478" s="330" t="s">
        <v>21385</v>
      </c>
      <c r="D9478" s="330" t="s">
        <v>21386</v>
      </c>
      <c r="E9478" s="330" t="s">
        <v>4634</v>
      </c>
      <c r="F9478" s="331">
        <v>0.21</v>
      </c>
      <c r="G9478" s="332">
        <v>5523</v>
      </c>
      <c r="H9478" s="333">
        <v>6683</v>
      </c>
    </row>
    <row r="9479" spans="1:8">
      <c r="A9479" s="317" t="s">
        <v>42743</v>
      </c>
      <c r="B9479" s="330" t="s">
        <v>53835</v>
      </c>
      <c r="C9479" s="330" t="s">
        <v>21387</v>
      </c>
      <c r="D9479" s="330" t="s">
        <v>21388</v>
      </c>
      <c r="E9479" s="330" t="s">
        <v>4819</v>
      </c>
      <c r="F9479" s="331">
        <v>0.21</v>
      </c>
      <c r="G9479" s="332">
        <v>5028</v>
      </c>
      <c r="H9479" s="333">
        <v>6084</v>
      </c>
    </row>
    <row r="9480" spans="1:8">
      <c r="A9480" s="317" t="s">
        <v>42744</v>
      </c>
      <c r="B9480" s="330" t="s">
        <v>53836</v>
      </c>
      <c r="C9480" s="330" t="s">
        <v>21389</v>
      </c>
      <c r="D9480" s="330" t="s">
        <v>21390</v>
      </c>
      <c r="E9480" s="330" t="s">
        <v>37248</v>
      </c>
      <c r="F9480" s="331">
        <v>0.21</v>
      </c>
      <c r="G9480" s="332">
        <v>23605</v>
      </c>
      <c r="H9480" s="333">
        <v>28563</v>
      </c>
    </row>
    <row r="9481" spans="1:8">
      <c r="A9481" s="317" t="s">
        <v>42745</v>
      </c>
      <c r="B9481" s="330" t="s">
        <v>53837</v>
      </c>
      <c r="C9481" s="330" t="s">
        <v>21391</v>
      </c>
      <c r="D9481" s="330" t="s">
        <v>21392</v>
      </c>
      <c r="E9481" s="330" t="s">
        <v>37248</v>
      </c>
      <c r="F9481" s="331">
        <v>0.21</v>
      </c>
      <c r="G9481" s="332">
        <v>43604</v>
      </c>
      <c r="H9481" s="333">
        <v>52761</v>
      </c>
    </row>
    <row r="9482" spans="1:8">
      <c r="A9482" s="317" t="s">
        <v>42746</v>
      </c>
      <c r="B9482" s="330" t="s">
        <v>53838</v>
      </c>
      <c r="C9482" s="330" t="s">
        <v>21393</v>
      </c>
      <c r="D9482" s="330" t="s">
        <v>21394</v>
      </c>
      <c r="E9482" s="330" t="s">
        <v>4634</v>
      </c>
      <c r="F9482" s="331">
        <v>0.21</v>
      </c>
      <c r="G9482" s="332">
        <v>23837</v>
      </c>
      <c r="H9482" s="333">
        <v>28843</v>
      </c>
    </row>
    <row r="9483" spans="1:8">
      <c r="A9483" s="317" t="s">
        <v>42747</v>
      </c>
      <c r="B9483" s="330" t="s">
        <v>53839</v>
      </c>
      <c r="C9483" s="330" t="s">
        <v>21395</v>
      </c>
      <c r="D9483" s="330" t="s">
        <v>21396</v>
      </c>
      <c r="E9483" s="330" t="s">
        <v>4819</v>
      </c>
      <c r="F9483" s="331">
        <v>0.21</v>
      </c>
      <c r="G9483" s="332">
        <v>3865</v>
      </c>
      <c r="H9483" s="333">
        <v>4677</v>
      </c>
    </row>
    <row r="9484" spans="1:8">
      <c r="A9484" s="317" t="s">
        <v>42748</v>
      </c>
      <c r="B9484" s="330" t="s">
        <v>53840</v>
      </c>
      <c r="C9484" s="330" t="s">
        <v>21397</v>
      </c>
      <c r="D9484" s="330" t="s">
        <v>21398</v>
      </c>
      <c r="E9484" s="330" t="s">
        <v>4819</v>
      </c>
      <c r="F9484" s="331">
        <v>0.21</v>
      </c>
      <c r="G9484" s="332">
        <v>5683</v>
      </c>
      <c r="H9484" s="333">
        <v>6877</v>
      </c>
    </row>
    <row r="9485" spans="1:8">
      <c r="A9485" s="317" t="s">
        <v>42749</v>
      </c>
      <c r="B9485" s="330" t="s">
        <v>53841</v>
      </c>
      <c r="C9485" s="330" t="s">
        <v>21399</v>
      </c>
      <c r="D9485" s="330" t="s">
        <v>21400</v>
      </c>
      <c r="E9485" s="330" t="s">
        <v>4819</v>
      </c>
      <c r="F9485" s="331">
        <v>0.21</v>
      </c>
      <c r="G9485" s="332">
        <v>4950</v>
      </c>
      <c r="H9485" s="333">
        <v>5990</v>
      </c>
    </row>
    <row r="9486" spans="1:8">
      <c r="A9486" s="317" t="s">
        <v>42750</v>
      </c>
      <c r="B9486" s="330" t="s">
        <v>53842</v>
      </c>
      <c r="C9486" s="330" t="s">
        <v>21401</v>
      </c>
      <c r="D9486" s="330" t="s">
        <v>7653</v>
      </c>
      <c r="E9486" s="330" t="s">
        <v>37248</v>
      </c>
      <c r="F9486" s="331">
        <v>0.21</v>
      </c>
      <c r="G9486" s="332">
        <v>305</v>
      </c>
      <c r="H9486" s="333">
        <v>370</v>
      </c>
    </row>
    <row r="9487" spans="1:8">
      <c r="A9487" s="317" t="s">
        <v>42751</v>
      </c>
      <c r="B9487" s="330" t="s">
        <v>53843</v>
      </c>
      <c r="C9487" s="330" t="s">
        <v>21402</v>
      </c>
      <c r="D9487" s="330" t="s">
        <v>21403</v>
      </c>
      <c r="E9487" s="330" t="s">
        <v>4634</v>
      </c>
      <c r="F9487" s="331">
        <v>0.21</v>
      </c>
      <c r="G9487" s="332">
        <v>217995</v>
      </c>
      <c r="H9487" s="333">
        <v>263774</v>
      </c>
    </row>
    <row r="9488" spans="1:8">
      <c r="A9488" s="317" t="s">
        <v>42752</v>
      </c>
      <c r="B9488" s="330" t="s">
        <v>53844</v>
      </c>
      <c r="C9488" s="330" t="s">
        <v>21404</v>
      </c>
      <c r="D9488" s="330" t="s">
        <v>21405</v>
      </c>
      <c r="E9488" s="330" t="s">
        <v>4819</v>
      </c>
      <c r="F9488" s="331">
        <v>0.21</v>
      </c>
      <c r="G9488" s="332">
        <v>2612</v>
      </c>
      <c r="H9488" s="333">
        <v>3161</v>
      </c>
    </row>
    <row r="9489" spans="1:8">
      <c r="A9489" s="317" t="s">
        <v>42753</v>
      </c>
      <c r="B9489" s="330" t="s">
        <v>53845</v>
      </c>
      <c r="C9489" s="330" t="s">
        <v>21406</v>
      </c>
      <c r="D9489" s="330" t="s">
        <v>21407</v>
      </c>
      <c r="E9489" s="330" t="s">
        <v>4819</v>
      </c>
      <c r="F9489" s="331">
        <v>0.21</v>
      </c>
      <c r="G9489" s="332">
        <v>26332</v>
      </c>
      <c r="H9489" s="333">
        <v>31862</v>
      </c>
    </row>
    <row r="9490" spans="1:8">
      <c r="A9490" s="317" t="s">
        <v>42754</v>
      </c>
      <c r="B9490" s="330" t="s">
        <v>53846</v>
      </c>
      <c r="C9490" s="330" t="s">
        <v>21408</v>
      </c>
      <c r="D9490" s="330" t="s">
        <v>21409</v>
      </c>
      <c r="E9490" s="330" t="s">
        <v>4819</v>
      </c>
      <c r="F9490" s="331">
        <v>0.21</v>
      </c>
      <c r="G9490" s="332">
        <v>19831</v>
      </c>
      <c r="H9490" s="333">
        <v>23996</v>
      </c>
    </row>
    <row r="9491" spans="1:8">
      <c r="A9491" s="317" t="s">
        <v>42755</v>
      </c>
      <c r="B9491" s="330" t="s">
        <v>53847</v>
      </c>
      <c r="C9491" s="330" t="s">
        <v>21410</v>
      </c>
      <c r="D9491" s="330" t="s">
        <v>21411</v>
      </c>
      <c r="E9491" s="330" t="s">
        <v>4819</v>
      </c>
      <c r="F9491" s="331">
        <v>0.21</v>
      </c>
      <c r="G9491" s="332">
        <v>17837</v>
      </c>
      <c r="H9491" s="333">
        <v>21583</v>
      </c>
    </row>
    <row r="9492" spans="1:8">
      <c r="A9492" s="317" t="s">
        <v>42756</v>
      </c>
      <c r="B9492" s="330" t="s">
        <v>53848</v>
      </c>
      <c r="C9492" s="330" t="s">
        <v>21412</v>
      </c>
      <c r="D9492" s="330" t="s">
        <v>21413</v>
      </c>
      <c r="E9492" s="330" t="s">
        <v>4623</v>
      </c>
      <c r="F9492" s="331">
        <v>0.21</v>
      </c>
      <c r="G9492" s="332">
        <v>4466</v>
      </c>
      <c r="H9492" s="333">
        <v>5404</v>
      </c>
    </row>
    <row r="9493" spans="1:8">
      <c r="A9493" s="317" t="s">
        <v>42757</v>
      </c>
      <c r="B9493" s="330" t="s">
        <v>53849</v>
      </c>
      <c r="C9493" s="330" t="s">
        <v>21414</v>
      </c>
      <c r="D9493" s="330" t="s">
        <v>21415</v>
      </c>
      <c r="E9493" s="330" t="s">
        <v>4634</v>
      </c>
      <c r="F9493" s="331">
        <v>0.21</v>
      </c>
      <c r="G9493" s="332">
        <v>403</v>
      </c>
      <c r="H9493" s="333">
        <v>488</v>
      </c>
    </row>
    <row r="9494" spans="1:8">
      <c r="A9494" s="317" t="s">
        <v>42758</v>
      </c>
      <c r="B9494" s="330" t="s">
        <v>53850</v>
      </c>
      <c r="C9494" s="330" t="s">
        <v>21416</v>
      </c>
      <c r="D9494" s="330" t="s">
        <v>21417</v>
      </c>
      <c r="E9494" s="330" t="s">
        <v>4634</v>
      </c>
      <c r="F9494" s="331">
        <v>0.21</v>
      </c>
      <c r="G9494" s="332">
        <v>2038</v>
      </c>
      <c r="H9494" s="333">
        <v>2466</v>
      </c>
    </row>
    <row r="9495" spans="1:8">
      <c r="A9495" s="317" t="s">
        <v>42759</v>
      </c>
      <c r="B9495" s="330" t="s">
        <v>53851</v>
      </c>
      <c r="C9495" s="330" t="s">
        <v>21418</v>
      </c>
      <c r="D9495" s="330" t="s">
        <v>21419</v>
      </c>
      <c r="E9495" s="330" t="s">
        <v>4819</v>
      </c>
      <c r="F9495" s="331">
        <v>0.21</v>
      </c>
      <c r="G9495" s="332">
        <v>2054</v>
      </c>
      <c r="H9495" s="333">
        <v>2486</v>
      </c>
    </row>
    <row r="9496" spans="1:8">
      <c r="A9496" s="317" t="s">
        <v>42760</v>
      </c>
      <c r="B9496" s="330" t="s">
        <v>53852</v>
      </c>
      <c r="C9496" s="330" t="s">
        <v>21420</v>
      </c>
      <c r="D9496" s="330" t="s">
        <v>21421</v>
      </c>
      <c r="E9496" s="330" t="s">
        <v>4819</v>
      </c>
      <c r="F9496" s="331">
        <v>0.21</v>
      </c>
      <c r="G9496" s="332">
        <v>5597</v>
      </c>
      <c r="H9496" s="333">
        <v>6773</v>
      </c>
    </row>
    <row r="9497" spans="1:8">
      <c r="A9497" s="317" t="s">
        <v>42761</v>
      </c>
      <c r="B9497" s="330" t="s">
        <v>53853</v>
      </c>
      <c r="C9497" s="330" t="s">
        <v>21422</v>
      </c>
      <c r="D9497" s="330" t="s">
        <v>21423</v>
      </c>
      <c r="E9497" s="330" t="s">
        <v>37248</v>
      </c>
      <c r="F9497" s="331">
        <v>0.21</v>
      </c>
      <c r="G9497" s="332">
        <v>60188</v>
      </c>
      <c r="H9497" s="333">
        <v>72828</v>
      </c>
    </row>
    <row r="9498" spans="1:8">
      <c r="A9498" s="317" t="s">
        <v>42762</v>
      </c>
      <c r="B9498" s="330" t="s">
        <v>53854</v>
      </c>
      <c r="C9498" s="330" t="s">
        <v>21424</v>
      </c>
      <c r="D9498" s="330" t="s">
        <v>21425</v>
      </c>
      <c r="E9498" s="330" t="s">
        <v>37248</v>
      </c>
      <c r="F9498" s="331">
        <v>0.21</v>
      </c>
      <c r="G9498" s="332">
        <v>361</v>
      </c>
      <c r="H9498" s="333">
        <v>437</v>
      </c>
    </row>
    <row r="9499" spans="1:8">
      <c r="A9499" s="317" t="s">
        <v>42763</v>
      </c>
      <c r="B9499" s="330" t="s">
        <v>53855</v>
      </c>
      <c r="C9499" s="330" t="s">
        <v>21426</v>
      </c>
      <c r="D9499" s="330" t="s">
        <v>21427</v>
      </c>
      <c r="E9499" s="330" t="s">
        <v>37248</v>
      </c>
      <c r="F9499" s="331">
        <v>0.21</v>
      </c>
      <c r="G9499" s="332">
        <v>452</v>
      </c>
      <c r="H9499" s="333">
        <v>547</v>
      </c>
    </row>
    <row r="9500" spans="1:8">
      <c r="A9500" s="317">
        <v>1710102601</v>
      </c>
      <c r="B9500" s="330" t="s">
        <v>53856</v>
      </c>
      <c r="C9500" s="330" t="s">
        <v>21428</v>
      </c>
      <c r="D9500" s="330" t="s">
        <v>21429</v>
      </c>
      <c r="E9500" s="330" t="s">
        <v>37248</v>
      </c>
      <c r="F9500" s="331">
        <v>0.21</v>
      </c>
      <c r="G9500" s="332">
        <v>194</v>
      </c>
      <c r="H9500" s="333">
        <v>235</v>
      </c>
    </row>
    <row r="9501" spans="1:8">
      <c r="A9501" s="317">
        <v>1810210222</v>
      </c>
      <c r="B9501" s="330" t="s">
        <v>53857</v>
      </c>
      <c r="C9501" s="330" t="s">
        <v>21430</v>
      </c>
      <c r="D9501" s="330" t="s">
        <v>21431</v>
      </c>
      <c r="E9501" s="330" t="s">
        <v>4634</v>
      </c>
      <c r="F9501" s="331">
        <v>0.21</v>
      </c>
      <c r="G9501" s="332">
        <v>437</v>
      </c>
      <c r="H9501" s="333">
        <v>529</v>
      </c>
    </row>
    <row r="9502" spans="1:8">
      <c r="A9502" s="317">
        <v>1900210000</v>
      </c>
      <c r="B9502" s="330" t="s">
        <v>53858</v>
      </c>
      <c r="C9502" s="330" t="s">
        <v>21432</v>
      </c>
      <c r="D9502" s="330" t="s">
        <v>21433</v>
      </c>
      <c r="E9502" s="330" t="s">
        <v>4634</v>
      </c>
      <c r="F9502" s="331">
        <v>0.21</v>
      </c>
      <c r="G9502" s="332">
        <v>2224</v>
      </c>
      <c r="H9502" s="333">
        <v>2692</v>
      </c>
    </row>
    <row r="9503" spans="1:8">
      <c r="A9503" s="317">
        <v>1900210012</v>
      </c>
      <c r="B9503" s="330" t="s">
        <v>53859</v>
      </c>
      <c r="C9503" s="330" t="s">
        <v>21434</v>
      </c>
      <c r="D9503" s="330" t="s">
        <v>21435</v>
      </c>
      <c r="E9503" s="330" t="s">
        <v>4634</v>
      </c>
      <c r="F9503" s="331">
        <v>0.21</v>
      </c>
      <c r="G9503" s="332">
        <v>387</v>
      </c>
      <c r="H9503" s="333">
        <v>469</v>
      </c>
    </row>
    <row r="9504" spans="1:8">
      <c r="A9504" s="317">
        <v>1900210103</v>
      </c>
      <c r="B9504" s="330" t="s">
        <v>53860</v>
      </c>
      <c r="C9504" s="330" t="s">
        <v>21436</v>
      </c>
      <c r="D9504" s="330" t="s">
        <v>21437</v>
      </c>
      <c r="E9504" s="330" t="s">
        <v>4634</v>
      </c>
      <c r="F9504" s="331">
        <v>0.21</v>
      </c>
      <c r="G9504" s="332">
        <v>432</v>
      </c>
      <c r="H9504" s="333">
        <v>523</v>
      </c>
    </row>
    <row r="9505" spans="1:8">
      <c r="A9505" s="317">
        <v>1900210105</v>
      </c>
      <c r="B9505" s="330" t="s">
        <v>53861</v>
      </c>
      <c r="C9505" s="330" t="s">
        <v>21438</v>
      </c>
      <c r="D9505" s="330" t="s">
        <v>21439</v>
      </c>
      <c r="E9505" s="330" t="s">
        <v>4634</v>
      </c>
      <c r="F9505" s="331">
        <v>0.21</v>
      </c>
      <c r="G9505" s="332">
        <v>348</v>
      </c>
      <c r="H9505" s="333">
        <v>422</v>
      </c>
    </row>
    <row r="9506" spans="1:8">
      <c r="A9506" s="317">
        <v>1900210106</v>
      </c>
      <c r="B9506" s="330" t="s">
        <v>53862</v>
      </c>
      <c r="C9506" s="330" t="s">
        <v>21440</v>
      </c>
      <c r="D9506" s="330" t="s">
        <v>21441</v>
      </c>
      <c r="E9506" s="330" t="s">
        <v>4634</v>
      </c>
      <c r="F9506" s="331">
        <v>0.21</v>
      </c>
      <c r="G9506" s="332">
        <v>372</v>
      </c>
      <c r="H9506" s="333">
        <v>451</v>
      </c>
    </row>
    <row r="9507" spans="1:8">
      <c r="A9507" s="317">
        <v>1900210107</v>
      </c>
      <c r="B9507" s="330" t="s">
        <v>53863</v>
      </c>
      <c r="C9507" s="330" t="s">
        <v>21442</v>
      </c>
      <c r="D9507" s="330" t="s">
        <v>21443</v>
      </c>
      <c r="E9507" s="330" t="s">
        <v>4634</v>
      </c>
      <c r="F9507" s="331">
        <v>0.21</v>
      </c>
      <c r="G9507" s="332">
        <v>580</v>
      </c>
      <c r="H9507" s="333">
        <v>702</v>
      </c>
    </row>
    <row r="9508" spans="1:8">
      <c r="A9508" s="317">
        <v>1900210109</v>
      </c>
      <c r="B9508" s="330" t="s">
        <v>53864</v>
      </c>
      <c r="C9508" s="330" t="s">
        <v>21444</v>
      </c>
      <c r="D9508" s="330" t="s">
        <v>21445</v>
      </c>
      <c r="E9508" s="330" t="s">
        <v>4634</v>
      </c>
      <c r="F9508" s="331">
        <v>0.21</v>
      </c>
      <c r="G9508" s="332">
        <v>580</v>
      </c>
      <c r="H9508" s="333">
        <v>702</v>
      </c>
    </row>
    <row r="9509" spans="1:8">
      <c r="A9509" s="317">
        <v>1900210110</v>
      </c>
      <c r="B9509" s="330" t="s">
        <v>53865</v>
      </c>
      <c r="C9509" s="330" t="s">
        <v>21446</v>
      </c>
      <c r="D9509" s="330" t="s">
        <v>13111</v>
      </c>
      <c r="E9509" s="330" t="s">
        <v>4634</v>
      </c>
      <c r="F9509" s="331">
        <v>0.21</v>
      </c>
      <c r="G9509" s="332">
        <v>490</v>
      </c>
      <c r="H9509" s="333">
        <v>593</v>
      </c>
    </row>
    <row r="9510" spans="1:8">
      <c r="A9510" s="317">
        <v>1900210112</v>
      </c>
      <c r="B9510" s="330" t="s">
        <v>53866</v>
      </c>
      <c r="C9510" s="330" t="s">
        <v>21447</v>
      </c>
      <c r="D9510" s="330" t="s">
        <v>21448</v>
      </c>
      <c r="E9510" s="330" t="s">
        <v>4634</v>
      </c>
      <c r="F9510" s="331">
        <v>0.21</v>
      </c>
      <c r="G9510" s="332">
        <v>564</v>
      </c>
      <c r="H9510" s="333">
        <v>683</v>
      </c>
    </row>
    <row r="9511" spans="1:8">
      <c r="A9511" s="317">
        <v>1900210114</v>
      </c>
      <c r="B9511" s="330" t="s">
        <v>53867</v>
      </c>
      <c r="C9511" s="330" t="s">
        <v>21449</v>
      </c>
      <c r="D9511" s="330" t="s">
        <v>6382</v>
      </c>
      <c r="E9511" s="330" t="s">
        <v>4819</v>
      </c>
      <c r="F9511" s="331">
        <v>0.21</v>
      </c>
      <c r="G9511" s="332">
        <v>3399</v>
      </c>
      <c r="H9511" s="333">
        <v>4113</v>
      </c>
    </row>
    <row r="9512" spans="1:8">
      <c r="A9512" s="317">
        <v>1900210115</v>
      </c>
      <c r="B9512" s="330" t="s">
        <v>53868</v>
      </c>
      <c r="C9512" s="330" t="s">
        <v>21450</v>
      </c>
      <c r="D9512" s="330" t="s">
        <v>21451</v>
      </c>
      <c r="E9512" s="330" t="s">
        <v>4819</v>
      </c>
      <c r="F9512" s="331">
        <v>0.21</v>
      </c>
      <c r="G9512" s="332">
        <v>3161</v>
      </c>
      <c r="H9512" s="333">
        <v>3825</v>
      </c>
    </row>
    <row r="9513" spans="1:8">
      <c r="A9513" s="317">
        <v>1900210117</v>
      </c>
      <c r="B9513" s="330" t="s">
        <v>53869</v>
      </c>
      <c r="C9513" s="330" t="s">
        <v>21452</v>
      </c>
      <c r="D9513" s="330" t="s">
        <v>21453</v>
      </c>
      <c r="E9513" s="330" t="s">
        <v>4819</v>
      </c>
      <c r="F9513" s="331">
        <v>0.21</v>
      </c>
      <c r="G9513" s="332">
        <v>4818</v>
      </c>
      <c r="H9513" s="333">
        <v>5830</v>
      </c>
    </row>
    <row r="9514" spans="1:8">
      <c r="A9514" s="317">
        <v>1900210118</v>
      </c>
      <c r="B9514" s="330" t="s">
        <v>53870</v>
      </c>
      <c r="C9514" s="330" t="s">
        <v>21454</v>
      </c>
      <c r="D9514" s="330" t="s">
        <v>21455</v>
      </c>
      <c r="E9514" s="330" t="s">
        <v>4634</v>
      </c>
      <c r="F9514" s="331">
        <v>0.21</v>
      </c>
      <c r="G9514" s="332">
        <v>584</v>
      </c>
      <c r="H9514" s="333">
        <v>707</v>
      </c>
    </row>
    <row r="9515" spans="1:8">
      <c r="A9515" s="317">
        <v>1900210119</v>
      </c>
      <c r="B9515" s="330" t="s">
        <v>53871</v>
      </c>
      <c r="C9515" s="330" t="s">
        <v>21456</v>
      </c>
      <c r="D9515" s="330" t="s">
        <v>21457</v>
      </c>
      <c r="E9515" s="330" t="s">
        <v>4634</v>
      </c>
      <c r="F9515" s="331">
        <v>0.21</v>
      </c>
      <c r="G9515" s="332">
        <v>274</v>
      </c>
      <c r="H9515" s="333">
        <v>332</v>
      </c>
    </row>
    <row r="9516" spans="1:8">
      <c r="A9516" s="317">
        <v>1900210124</v>
      </c>
      <c r="B9516" s="330" t="s">
        <v>53872</v>
      </c>
      <c r="C9516" s="330" t="s">
        <v>21458</v>
      </c>
      <c r="D9516" s="330" t="s">
        <v>4830</v>
      </c>
      <c r="E9516" s="330" t="s">
        <v>37248</v>
      </c>
      <c r="F9516" s="331">
        <v>0.21</v>
      </c>
      <c r="G9516" s="332">
        <v>600</v>
      </c>
      <c r="H9516" s="333">
        <v>726</v>
      </c>
    </row>
    <row r="9517" spans="1:8">
      <c r="A9517" s="317">
        <v>1900210125</v>
      </c>
      <c r="B9517" s="330" t="s">
        <v>53873</v>
      </c>
      <c r="C9517" s="330" t="s">
        <v>21459</v>
      </c>
      <c r="D9517" s="330" t="s">
        <v>21460</v>
      </c>
      <c r="E9517" s="330" t="s">
        <v>4634</v>
      </c>
      <c r="F9517" s="331">
        <v>0.21</v>
      </c>
      <c r="G9517" s="332">
        <v>3589</v>
      </c>
      <c r="H9517" s="333">
        <v>4343</v>
      </c>
    </row>
    <row r="9518" spans="1:8">
      <c r="A9518" s="317">
        <v>1900210127</v>
      </c>
      <c r="B9518" s="330" t="s">
        <v>53874</v>
      </c>
      <c r="C9518" s="330" t="s">
        <v>21461</v>
      </c>
      <c r="D9518" s="330" t="s">
        <v>21455</v>
      </c>
      <c r="E9518" s="330" t="s">
        <v>4634</v>
      </c>
      <c r="F9518" s="331">
        <v>0.21</v>
      </c>
      <c r="G9518" s="332">
        <v>791</v>
      </c>
      <c r="H9518" s="333">
        <v>958</v>
      </c>
    </row>
    <row r="9519" spans="1:8">
      <c r="A9519" s="317">
        <v>1900210128</v>
      </c>
      <c r="B9519" s="330" t="s">
        <v>53875</v>
      </c>
      <c r="C9519" s="330" t="s">
        <v>21462</v>
      </c>
      <c r="D9519" s="330" t="s">
        <v>6427</v>
      </c>
      <c r="E9519" s="330" t="s">
        <v>4634</v>
      </c>
      <c r="F9519" s="331">
        <v>0.21</v>
      </c>
      <c r="G9519" s="332">
        <v>584</v>
      </c>
      <c r="H9519" s="333">
        <v>707</v>
      </c>
    </row>
    <row r="9520" spans="1:8">
      <c r="A9520" s="317">
        <v>1900210129</v>
      </c>
      <c r="B9520" s="330" t="s">
        <v>53876</v>
      </c>
      <c r="C9520" s="330" t="s">
        <v>21463</v>
      </c>
      <c r="D9520" s="330" t="s">
        <v>21441</v>
      </c>
      <c r="E9520" s="330" t="s">
        <v>4634</v>
      </c>
      <c r="F9520" s="331">
        <v>0.21</v>
      </c>
      <c r="G9520" s="332">
        <v>490</v>
      </c>
      <c r="H9520" s="333">
        <v>593</v>
      </c>
    </row>
    <row r="9521" spans="1:8">
      <c r="A9521" s="317">
        <v>1900210130</v>
      </c>
      <c r="B9521" s="330" t="s">
        <v>53877</v>
      </c>
      <c r="C9521" s="330" t="s">
        <v>21464</v>
      </c>
      <c r="D9521" s="330" t="s">
        <v>21465</v>
      </c>
      <c r="E9521" s="330" t="s">
        <v>4819</v>
      </c>
      <c r="F9521" s="331">
        <v>0.21</v>
      </c>
      <c r="G9521" s="332">
        <v>4234</v>
      </c>
      <c r="H9521" s="333">
        <v>5124</v>
      </c>
    </row>
    <row r="9522" spans="1:8">
      <c r="A9522" s="317">
        <v>1900210131</v>
      </c>
      <c r="B9522" s="330" t="s">
        <v>53878</v>
      </c>
      <c r="C9522" s="330" t="s">
        <v>21466</v>
      </c>
      <c r="D9522" s="330" t="s">
        <v>21467</v>
      </c>
      <c r="E9522" s="330" t="s">
        <v>4819</v>
      </c>
      <c r="F9522" s="331">
        <v>0.21</v>
      </c>
      <c r="G9522" s="332">
        <v>4234</v>
      </c>
      <c r="H9522" s="333">
        <v>5124</v>
      </c>
    </row>
    <row r="9523" spans="1:8">
      <c r="A9523" s="317">
        <v>1900210139</v>
      </c>
      <c r="B9523" s="330" t="s">
        <v>53879</v>
      </c>
      <c r="C9523" s="330" t="s">
        <v>21468</v>
      </c>
      <c r="D9523" s="330" t="s">
        <v>21469</v>
      </c>
      <c r="E9523" s="330" t="s">
        <v>4634</v>
      </c>
      <c r="F9523" s="331">
        <v>0.21</v>
      </c>
      <c r="G9523" s="332">
        <v>928</v>
      </c>
      <c r="H9523" s="333">
        <v>1123</v>
      </c>
    </row>
    <row r="9524" spans="1:8">
      <c r="A9524" s="317">
        <v>1900210143</v>
      </c>
      <c r="B9524" s="330" t="s">
        <v>53880</v>
      </c>
      <c r="C9524" s="330" t="s">
        <v>21470</v>
      </c>
      <c r="D9524" s="330" t="s">
        <v>4812</v>
      </c>
      <c r="E9524" s="330" t="s">
        <v>4634</v>
      </c>
      <c r="F9524" s="331">
        <v>0.21</v>
      </c>
      <c r="G9524" s="332">
        <v>791</v>
      </c>
      <c r="H9524" s="333">
        <v>958</v>
      </c>
    </row>
    <row r="9525" spans="1:8">
      <c r="A9525" s="317">
        <v>1900210145</v>
      </c>
      <c r="B9525" s="330" t="s">
        <v>53881</v>
      </c>
      <c r="C9525" s="330" t="s">
        <v>21471</v>
      </c>
      <c r="D9525" s="330" t="s">
        <v>6259</v>
      </c>
      <c r="E9525" s="330" t="s">
        <v>4634</v>
      </c>
      <c r="F9525" s="331">
        <v>0.21</v>
      </c>
      <c r="G9525" s="332">
        <v>372</v>
      </c>
      <c r="H9525" s="333">
        <v>451</v>
      </c>
    </row>
    <row r="9526" spans="1:8">
      <c r="A9526" s="317">
        <v>1900210146</v>
      </c>
      <c r="B9526" s="330" t="s">
        <v>53882</v>
      </c>
      <c r="C9526" s="330" t="s">
        <v>21472</v>
      </c>
      <c r="D9526" s="330" t="s">
        <v>21473</v>
      </c>
      <c r="E9526" s="330" t="s">
        <v>4634</v>
      </c>
      <c r="F9526" s="331">
        <v>0.21</v>
      </c>
      <c r="G9526" s="332">
        <v>928</v>
      </c>
      <c r="H9526" s="333">
        <v>1123</v>
      </c>
    </row>
    <row r="9527" spans="1:8">
      <c r="A9527" s="317">
        <v>1900210156</v>
      </c>
      <c r="B9527" s="330" t="s">
        <v>53883</v>
      </c>
      <c r="C9527" s="330" t="s">
        <v>21474</v>
      </c>
      <c r="D9527" s="330" t="s">
        <v>21475</v>
      </c>
      <c r="E9527" s="330" t="s">
        <v>37248</v>
      </c>
      <c r="F9527" s="331">
        <v>0.21</v>
      </c>
      <c r="G9527" s="332">
        <v>8385</v>
      </c>
      <c r="H9527" s="333">
        <v>10146</v>
      </c>
    </row>
    <row r="9528" spans="1:8">
      <c r="A9528" s="317">
        <v>1900210160</v>
      </c>
      <c r="B9528" s="330" t="s">
        <v>53884</v>
      </c>
      <c r="C9528" s="330" t="s">
        <v>21476</v>
      </c>
      <c r="D9528" s="330" t="s">
        <v>14146</v>
      </c>
      <c r="E9528" s="330" t="s">
        <v>4634</v>
      </c>
      <c r="F9528" s="331">
        <v>0.21</v>
      </c>
      <c r="G9528" s="332">
        <v>1258</v>
      </c>
      <c r="H9528" s="333">
        <v>1523</v>
      </c>
    </row>
    <row r="9529" spans="1:8">
      <c r="A9529" s="317">
        <v>1900210172</v>
      </c>
      <c r="B9529" s="330" t="s">
        <v>53885</v>
      </c>
      <c r="C9529" s="330" t="s">
        <v>21477</v>
      </c>
      <c r="D9529" s="330" t="s">
        <v>21478</v>
      </c>
      <c r="E9529" s="330" t="s">
        <v>37248</v>
      </c>
      <c r="F9529" s="331">
        <v>0.21</v>
      </c>
      <c r="G9529" s="332">
        <v>13127</v>
      </c>
      <c r="H9529" s="333">
        <v>15884</v>
      </c>
    </row>
    <row r="9530" spans="1:8">
      <c r="A9530" s="317">
        <v>1900210306</v>
      </c>
      <c r="B9530" s="330" t="s">
        <v>53886</v>
      </c>
      <c r="C9530" s="330" t="s">
        <v>21479</v>
      </c>
      <c r="D9530" s="330" t="s">
        <v>21443</v>
      </c>
      <c r="E9530" s="330" t="s">
        <v>4634</v>
      </c>
      <c r="F9530" s="331">
        <v>0.21</v>
      </c>
      <c r="G9530" s="332">
        <v>274</v>
      </c>
      <c r="H9530" s="333">
        <v>332</v>
      </c>
    </row>
    <row r="9531" spans="1:8">
      <c r="A9531" s="317">
        <v>1900210307</v>
      </c>
      <c r="B9531" s="330" t="s">
        <v>53887</v>
      </c>
      <c r="C9531" s="330" t="s">
        <v>21480</v>
      </c>
      <c r="D9531" s="330" t="s">
        <v>21481</v>
      </c>
      <c r="E9531" s="330" t="s">
        <v>4819</v>
      </c>
      <c r="F9531" s="331">
        <v>0.21</v>
      </c>
      <c r="G9531" s="332">
        <v>1403</v>
      </c>
      <c r="H9531" s="333">
        <v>1698</v>
      </c>
    </row>
    <row r="9532" spans="1:8">
      <c r="A9532" s="317">
        <v>1900210311</v>
      </c>
      <c r="B9532" s="330" t="s">
        <v>53888</v>
      </c>
      <c r="C9532" s="330" t="s">
        <v>21482</v>
      </c>
      <c r="D9532" s="330" t="s">
        <v>21483</v>
      </c>
      <c r="E9532" s="330" t="s">
        <v>4634</v>
      </c>
      <c r="F9532" s="331">
        <v>0.21</v>
      </c>
      <c r="G9532" s="332">
        <v>648</v>
      </c>
      <c r="H9532" s="333">
        <v>785</v>
      </c>
    </row>
    <row r="9533" spans="1:8">
      <c r="A9533" s="317">
        <v>1900210315</v>
      </c>
      <c r="B9533" s="330" t="s">
        <v>53889</v>
      </c>
      <c r="C9533" s="330" t="s">
        <v>21484</v>
      </c>
      <c r="D9533" s="330" t="s">
        <v>21485</v>
      </c>
      <c r="E9533" s="330" t="s">
        <v>4634</v>
      </c>
      <c r="F9533" s="331">
        <v>0.21</v>
      </c>
      <c r="G9533" s="332">
        <v>48</v>
      </c>
      <c r="H9533" s="333">
        <v>59</v>
      </c>
    </row>
    <row r="9534" spans="1:8">
      <c r="A9534" s="317">
        <v>1900210321</v>
      </c>
      <c r="B9534" s="330" t="s">
        <v>53890</v>
      </c>
      <c r="C9534" s="330" t="s">
        <v>21486</v>
      </c>
      <c r="D9534" s="330" t="s">
        <v>21487</v>
      </c>
      <c r="E9534" s="330" t="s">
        <v>4634</v>
      </c>
      <c r="F9534" s="331">
        <v>0.21</v>
      </c>
      <c r="G9534" s="332">
        <v>1170</v>
      </c>
      <c r="H9534" s="333">
        <v>1416</v>
      </c>
    </row>
    <row r="9535" spans="1:8">
      <c r="A9535" s="317">
        <v>1900210327</v>
      </c>
      <c r="B9535" s="330" t="s">
        <v>53891</v>
      </c>
      <c r="C9535" s="330" t="s">
        <v>21488</v>
      </c>
      <c r="D9535" s="330" t="s">
        <v>21489</v>
      </c>
      <c r="E9535" s="330" t="s">
        <v>4634</v>
      </c>
      <c r="F9535" s="331">
        <v>0.21</v>
      </c>
      <c r="G9535" s="332">
        <v>584</v>
      </c>
      <c r="H9535" s="333">
        <v>707</v>
      </c>
    </row>
    <row r="9536" spans="1:8">
      <c r="A9536" s="317">
        <v>1900301004</v>
      </c>
      <c r="B9536" s="330" t="s">
        <v>53892</v>
      </c>
      <c r="C9536" s="330" t="s">
        <v>21490</v>
      </c>
      <c r="D9536" s="330" t="s">
        <v>21491</v>
      </c>
      <c r="E9536" s="330" t="s">
        <v>4623</v>
      </c>
      <c r="F9536" s="331">
        <v>0.21</v>
      </c>
      <c r="G9536" s="332">
        <v>2333</v>
      </c>
      <c r="H9536" s="333">
        <v>2823</v>
      </c>
    </row>
    <row r="9537" spans="1:8">
      <c r="A9537" s="317">
        <v>1900301007</v>
      </c>
      <c r="B9537" s="330" t="s">
        <v>53893</v>
      </c>
      <c r="C9537" s="330" t="s">
        <v>21492</v>
      </c>
      <c r="D9537" s="330" t="s">
        <v>5133</v>
      </c>
      <c r="E9537" s="330" t="s">
        <v>4634</v>
      </c>
      <c r="F9537" s="331">
        <v>0.21</v>
      </c>
      <c r="G9537" s="332">
        <v>236</v>
      </c>
      <c r="H9537" s="333">
        <v>286</v>
      </c>
    </row>
    <row r="9538" spans="1:8">
      <c r="A9538" s="317">
        <v>1900301018</v>
      </c>
      <c r="B9538" s="330" t="s">
        <v>53894</v>
      </c>
      <c r="C9538" s="330" t="s">
        <v>21493</v>
      </c>
      <c r="D9538" s="330" t="s">
        <v>21494</v>
      </c>
      <c r="E9538" s="330" t="s">
        <v>4634</v>
      </c>
      <c r="F9538" s="331">
        <v>0.21</v>
      </c>
      <c r="G9538" s="332">
        <v>2217</v>
      </c>
      <c r="H9538" s="333">
        <v>2683</v>
      </c>
    </row>
    <row r="9539" spans="1:8">
      <c r="A9539" s="317">
        <v>1900322018</v>
      </c>
      <c r="B9539" s="330" t="s">
        <v>53895</v>
      </c>
      <c r="C9539" s="330" t="s">
        <v>21495</v>
      </c>
      <c r="D9539" s="330" t="s">
        <v>21496</v>
      </c>
      <c r="E9539" s="330" t="s">
        <v>4634</v>
      </c>
      <c r="F9539" s="331">
        <v>0.21</v>
      </c>
      <c r="G9539" s="332">
        <v>274</v>
      </c>
      <c r="H9539" s="333">
        <v>332</v>
      </c>
    </row>
    <row r="9540" spans="1:8">
      <c r="A9540" s="317">
        <v>1900452001</v>
      </c>
      <c r="B9540" s="330" t="s">
        <v>53896</v>
      </c>
      <c r="C9540" s="330" t="s">
        <v>21497</v>
      </c>
      <c r="D9540" s="330" t="s">
        <v>21498</v>
      </c>
      <c r="E9540" s="330" t="s">
        <v>4634</v>
      </c>
      <c r="F9540" s="331">
        <v>0.21</v>
      </c>
      <c r="G9540" s="332">
        <v>682</v>
      </c>
      <c r="H9540" s="333">
        <v>826</v>
      </c>
    </row>
    <row r="9541" spans="1:8">
      <c r="A9541" s="317">
        <v>1900452002</v>
      </c>
      <c r="B9541" s="330" t="s">
        <v>53897</v>
      </c>
      <c r="C9541" s="330" t="s">
        <v>21499</v>
      </c>
      <c r="D9541" s="330" t="s">
        <v>21500</v>
      </c>
      <c r="E9541" s="330" t="s">
        <v>4634</v>
      </c>
      <c r="F9541" s="331">
        <v>0.21</v>
      </c>
      <c r="G9541" s="332">
        <v>274</v>
      </c>
      <c r="H9541" s="333">
        <v>332</v>
      </c>
    </row>
    <row r="9542" spans="1:8">
      <c r="A9542" s="317">
        <v>1900452012</v>
      </c>
      <c r="B9542" s="330" t="s">
        <v>53898</v>
      </c>
      <c r="C9542" s="330" t="s">
        <v>21501</v>
      </c>
      <c r="D9542" s="330" t="s">
        <v>21502</v>
      </c>
      <c r="E9542" s="330" t="s">
        <v>4634</v>
      </c>
      <c r="F9542" s="331">
        <v>0.21</v>
      </c>
      <c r="G9542" s="332">
        <v>180</v>
      </c>
      <c r="H9542" s="333">
        <v>218</v>
      </c>
    </row>
    <row r="9543" spans="1:8">
      <c r="A9543" s="317">
        <v>1900900203</v>
      </c>
      <c r="B9543" s="330" t="s">
        <v>53899</v>
      </c>
      <c r="C9543" s="330" t="s">
        <v>21503</v>
      </c>
      <c r="D9543" s="330" t="s">
        <v>21504</v>
      </c>
      <c r="E9543" s="330" t="s">
        <v>4634</v>
      </c>
      <c r="F9543" s="331">
        <v>0.21</v>
      </c>
      <c r="G9543" s="332">
        <v>11425</v>
      </c>
      <c r="H9543" s="333">
        <v>13825</v>
      </c>
    </row>
    <row r="9544" spans="1:8">
      <c r="A9544" s="317">
        <v>1900900224</v>
      </c>
      <c r="B9544" s="330" t="s">
        <v>53900</v>
      </c>
      <c r="C9544" s="330" t="s">
        <v>21505</v>
      </c>
      <c r="D9544" s="330" t="s">
        <v>21506</v>
      </c>
      <c r="E9544" s="330" t="s">
        <v>4634</v>
      </c>
      <c r="F9544" s="331">
        <v>0.21</v>
      </c>
      <c r="G9544" s="332">
        <v>1267</v>
      </c>
      <c r="H9544" s="333">
        <v>1534</v>
      </c>
    </row>
    <row r="9545" spans="1:8">
      <c r="A9545" s="317">
        <v>1900900228</v>
      </c>
      <c r="B9545" s="330" t="s">
        <v>53901</v>
      </c>
      <c r="C9545" s="330" t="s">
        <v>21507</v>
      </c>
      <c r="D9545" s="330" t="s">
        <v>21508</v>
      </c>
      <c r="E9545" s="330" t="s">
        <v>4634</v>
      </c>
      <c r="F9545" s="331">
        <v>0.21</v>
      </c>
      <c r="G9545" s="332">
        <v>1115</v>
      </c>
      <c r="H9545" s="333">
        <v>1350</v>
      </c>
    </row>
    <row r="9546" spans="1:8">
      <c r="A9546" s="317">
        <v>1900900270</v>
      </c>
      <c r="B9546" s="330" t="s">
        <v>53902</v>
      </c>
      <c r="C9546" s="330" t="s">
        <v>21509</v>
      </c>
      <c r="D9546" s="330" t="s">
        <v>21510</v>
      </c>
      <c r="E9546" s="330" t="s">
        <v>4634</v>
      </c>
      <c r="F9546" s="331">
        <v>0.21</v>
      </c>
      <c r="G9546" s="332">
        <v>1030</v>
      </c>
      <c r="H9546" s="333">
        <v>1247</v>
      </c>
    </row>
    <row r="9547" spans="1:8">
      <c r="A9547" s="317">
        <v>1900900276</v>
      </c>
      <c r="B9547" s="330" t="s">
        <v>53903</v>
      </c>
      <c r="C9547" s="330" t="s">
        <v>21511</v>
      </c>
      <c r="D9547" s="330" t="s">
        <v>21512</v>
      </c>
      <c r="E9547" s="330" t="s">
        <v>4634</v>
      </c>
      <c r="F9547" s="331">
        <v>0.21</v>
      </c>
      <c r="G9547" s="332">
        <v>3558</v>
      </c>
      <c r="H9547" s="333">
        <v>4306</v>
      </c>
    </row>
    <row r="9548" spans="1:8">
      <c r="A9548" s="317">
        <v>1900900279</v>
      </c>
      <c r="B9548" s="330" t="s">
        <v>53904</v>
      </c>
      <c r="C9548" s="330" t="s">
        <v>21513</v>
      </c>
      <c r="D9548" s="330" t="s">
        <v>21514</v>
      </c>
      <c r="E9548" s="330" t="s">
        <v>4634</v>
      </c>
      <c r="F9548" s="331">
        <v>0.21</v>
      </c>
      <c r="G9548" s="332">
        <v>7745</v>
      </c>
      <c r="H9548" s="333">
        <v>9372</v>
      </c>
    </row>
    <row r="9549" spans="1:8">
      <c r="A9549" s="317">
        <v>1900900287</v>
      </c>
      <c r="B9549" s="330" t="s">
        <v>53905</v>
      </c>
      <c r="C9549" s="330" t="s">
        <v>21515</v>
      </c>
      <c r="D9549" s="330" t="s">
        <v>6740</v>
      </c>
      <c r="E9549" s="330" t="s">
        <v>4634</v>
      </c>
      <c r="F9549" s="331">
        <v>0.21</v>
      </c>
      <c r="G9549" s="332">
        <v>5081</v>
      </c>
      <c r="H9549" s="333">
        <v>6149</v>
      </c>
    </row>
    <row r="9550" spans="1:8">
      <c r="A9550" s="317">
        <v>1900900289</v>
      </c>
      <c r="B9550" s="330" t="s">
        <v>53906</v>
      </c>
      <c r="C9550" s="330" t="s">
        <v>21516</v>
      </c>
      <c r="D9550" s="330" t="s">
        <v>21517</v>
      </c>
      <c r="E9550" s="330" t="s">
        <v>4819</v>
      </c>
      <c r="F9550" s="331">
        <v>0.21</v>
      </c>
      <c r="G9550" s="332">
        <v>12354</v>
      </c>
      <c r="H9550" s="333">
        <v>14949</v>
      </c>
    </row>
    <row r="9551" spans="1:8">
      <c r="A9551" s="317">
        <v>1900900307</v>
      </c>
      <c r="B9551" s="330" t="s">
        <v>53907</v>
      </c>
      <c r="C9551" s="330" t="s">
        <v>21518</v>
      </c>
      <c r="D9551" s="330" t="s">
        <v>21519</v>
      </c>
      <c r="E9551" s="330" t="s">
        <v>4634</v>
      </c>
      <c r="F9551" s="331">
        <v>0.21</v>
      </c>
      <c r="G9551" s="332">
        <v>8178</v>
      </c>
      <c r="H9551" s="333">
        <v>9896</v>
      </c>
    </row>
    <row r="9552" spans="1:8">
      <c r="A9552" s="317">
        <v>1900900412</v>
      </c>
      <c r="B9552" s="330" t="s">
        <v>53908</v>
      </c>
      <c r="C9552" s="330" t="s">
        <v>21520</v>
      </c>
      <c r="D9552" s="330" t="s">
        <v>21521</v>
      </c>
      <c r="E9552" s="330" t="s">
        <v>4634</v>
      </c>
      <c r="F9552" s="331">
        <v>0.21</v>
      </c>
      <c r="G9552" s="332">
        <v>5909</v>
      </c>
      <c r="H9552" s="333">
        <v>7150</v>
      </c>
    </row>
    <row r="9553" spans="1:8">
      <c r="A9553" s="317">
        <v>1900905004</v>
      </c>
      <c r="B9553" s="330" t="s">
        <v>53909</v>
      </c>
      <c r="C9553" s="330" t="s">
        <v>21522</v>
      </c>
      <c r="D9553" s="330" t="s">
        <v>5782</v>
      </c>
      <c r="E9553" s="330" t="s">
        <v>4634</v>
      </c>
      <c r="F9553" s="331">
        <v>0.21</v>
      </c>
      <c r="G9553" s="332">
        <v>608</v>
      </c>
      <c r="H9553" s="333">
        <v>736</v>
      </c>
    </row>
    <row r="9554" spans="1:8">
      <c r="A9554" s="317">
        <v>1900905015</v>
      </c>
      <c r="B9554" s="330" t="s">
        <v>53910</v>
      </c>
      <c r="C9554" s="330" t="s">
        <v>21523</v>
      </c>
      <c r="D9554" s="330" t="s">
        <v>21524</v>
      </c>
      <c r="E9554" s="330" t="s">
        <v>4634</v>
      </c>
      <c r="F9554" s="331">
        <v>0.21</v>
      </c>
      <c r="G9554" s="332">
        <v>6553</v>
      </c>
      <c r="H9554" s="333">
        <v>7930</v>
      </c>
    </row>
    <row r="9555" spans="1:8">
      <c r="A9555" s="317">
        <v>1900905016</v>
      </c>
      <c r="B9555" s="330" t="s">
        <v>53911</v>
      </c>
      <c r="C9555" s="330" t="s">
        <v>21525</v>
      </c>
      <c r="D9555" s="330" t="s">
        <v>21526</v>
      </c>
      <c r="E9555" s="330" t="s">
        <v>4634</v>
      </c>
      <c r="F9555" s="331">
        <v>0.21</v>
      </c>
      <c r="G9555" s="332">
        <v>437</v>
      </c>
      <c r="H9555" s="333">
        <v>529</v>
      </c>
    </row>
    <row r="9556" spans="1:8">
      <c r="A9556" s="317">
        <v>1900905018</v>
      </c>
      <c r="B9556" s="330" t="s">
        <v>53912</v>
      </c>
      <c r="C9556" s="330" t="s">
        <v>21527</v>
      </c>
      <c r="D9556" s="330" t="s">
        <v>21528</v>
      </c>
      <c r="E9556" s="330" t="s">
        <v>4819</v>
      </c>
      <c r="F9556" s="331">
        <v>0.21</v>
      </c>
      <c r="G9556" s="332">
        <v>9458</v>
      </c>
      <c r="H9556" s="333">
        <v>11445</v>
      </c>
    </row>
    <row r="9557" spans="1:8">
      <c r="A9557" s="317">
        <v>1900905019</v>
      </c>
      <c r="B9557" s="330" t="s">
        <v>53913</v>
      </c>
      <c r="C9557" s="330" t="s">
        <v>21529</v>
      </c>
      <c r="D9557" s="330" t="s">
        <v>21530</v>
      </c>
      <c r="E9557" s="330" t="s">
        <v>37248</v>
      </c>
      <c r="F9557" s="331">
        <v>0.21</v>
      </c>
      <c r="G9557" s="332">
        <v>2922</v>
      </c>
      <c r="H9557" s="333">
        <v>3536</v>
      </c>
    </row>
    <row r="9558" spans="1:8">
      <c r="A9558" s="317">
        <v>1900905023</v>
      </c>
      <c r="B9558" s="330" t="s">
        <v>53914</v>
      </c>
      <c r="C9558" s="330" t="s">
        <v>21531</v>
      </c>
      <c r="D9558" s="330" t="s">
        <v>21532</v>
      </c>
      <c r="E9558" s="330" t="s">
        <v>37248</v>
      </c>
      <c r="F9558" s="331">
        <v>0.21</v>
      </c>
      <c r="G9558" s="332">
        <v>5028</v>
      </c>
      <c r="H9558" s="333">
        <v>6084</v>
      </c>
    </row>
    <row r="9559" spans="1:8">
      <c r="A9559" s="317">
        <v>1900905025</v>
      </c>
      <c r="B9559" s="330" t="s">
        <v>53915</v>
      </c>
      <c r="C9559" s="330" t="s">
        <v>21533</v>
      </c>
      <c r="D9559" s="330" t="s">
        <v>21534</v>
      </c>
      <c r="E9559" s="330" t="s">
        <v>4819</v>
      </c>
      <c r="F9559" s="331">
        <v>0.21</v>
      </c>
      <c r="G9559" s="332">
        <v>6147</v>
      </c>
      <c r="H9559" s="333">
        <v>7438</v>
      </c>
    </row>
    <row r="9560" spans="1:8">
      <c r="A9560" s="317">
        <v>1900905028</v>
      </c>
      <c r="B9560" s="330" t="s">
        <v>53916</v>
      </c>
      <c r="C9560" s="330" t="s">
        <v>21535</v>
      </c>
      <c r="D9560" s="330" t="s">
        <v>21536</v>
      </c>
      <c r="E9560" s="330" t="s">
        <v>4634</v>
      </c>
      <c r="F9560" s="331">
        <v>0.21</v>
      </c>
      <c r="G9560" s="332">
        <v>7573</v>
      </c>
      <c r="H9560" s="333">
        <v>9164</v>
      </c>
    </row>
    <row r="9561" spans="1:8">
      <c r="A9561" s="317">
        <v>1900905029</v>
      </c>
      <c r="B9561" s="330" t="s">
        <v>53917</v>
      </c>
      <c r="C9561" s="330" t="s">
        <v>21537</v>
      </c>
      <c r="D9561" s="330" t="s">
        <v>6729</v>
      </c>
      <c r="E9561" s="330" t="s">
        <v>37248</v>
      </c>
      <c r="F9561" s="331">
        <v>0.21</v>
      </c>
      <c r="G9561" s="332">
        <v>7162</v>
      </c>
      <c r="H9561" s="333">
        <v>8667</v>
      </c>
    </row>
    <row r="9562" spans="1:8">
      <c r="A9562" s="317">
        <v>1900905030</v>
      </c>
      <c r="B9562" s="330" t="s">
        <v>53918</v>
      </c>
      <c r="C9562" s="330" t="s">
        <v>21538</v>
      </c>
      <c r="D9562" s="330" t="s">
        <v>21539</v>
      </c>
      <c r="E9562" s="330" t="s">
        <v>4634</v>
      </c>
      <c r="F9562" s="331">
        <v>0.21</v>
      </c>
      <c r="G9562" s="332">
        <v>7787</v>
      </c>
      <c r="H9562" s="333">
        <v>9423</v>
      </c>
    </row>
    <row r="9563" spans="1:8">
      <c r="A9563" s="317">
        <v>1900905041</v>
      </c>
      <c r="B9563" s="330" t="s">
        <v>53919</v>
      </c>
      <c r="C9563" s="330" t="s">
        <v>21540</v>
      </c>
      <c r="D9563" s="330" t="s">
        <v>6740</v>
      </c>
      <c r="E9563" s="330" t="s">
        <v>37248</v>
      </c>
      <c r="F9563" s="331">
        <v>0.21</v>
      </c>
      <c r="G9563" s="332">
        <v>3716</v>
      </c>
      <c r="H9563" s="333">
        <v>4497</v>
      </c>
    </row>
    <row r="9564" spans="1:8">
      <c r="A9564" s="317">
        <v>1900905103</v>
      </c>
      <c r="B9564" s="330" t="s">
        <v>53920</v>
      </c>
      <c r="C9564" s="330" t="s">
        <v>21541</v>
      </c>
      <c r="D9564" s="330" t="s">
        <v>4859</v>
      </c>
      <c r="E9564" s="330" t="s">
        <v>4634</v>
      </c>
      <c r="F9564" s="331">
        <v>0.21</v>
      </c>
      <c r="G9564" s="332">
        <v>18930</v>
      </c>
      <c r="H9564" s="333">
        <v>22906</v>
      </c>
    </row>
    <row r="9565" spans="1:8">
      <c r="A9565" s="317">
        <v>1900905120</v>
      </c>
      <c r="B9565" s="330" t="s">
        <v>53921</v>
      </c>
      <c r="C9565" s="330" t="s">
        <v>21542</v>
      </c>
      <c r="D9565" s="330" t="s">
        <v>21543</v>
      </c>
      <c r="E9565" s="330" t="s">
        <v>4634</v>
      </c>
      <c r="F9565" s="331">
        <v>0.21</v>
      </c>
      <c r="G9565" s="332">
        <v>2299</v>
      </c>
      <c r="H9565" s="333">
        <v>2782</v>
      </c>
    </row>
    <row r="9566" spans="1:8">
      <c r="A9566" s="317">
        <v>1900905121</v>
      </c>
      <c r="B9566" s="330" t="s">
        <v>53922</v>
      </c>
      <c r="C9566" s="330" t="s">
        <v>21544</v>
      </c>
      <c r="D9566" s="330" t="s">
        <v>14868</v>
      </c>
      <c r="E9566" s="330" t="s">
        <v>4634</v>
      </c>
      <c r="F9566" s="331">
        <v>0.21</v>
      </c>
      <c r="G9566" s="332">
        <v>3935</v>
      </c>
      <c r="H9566" s="333">
        <v>4762</v>
      </c>
    </row>
    <row r="9567" spans="1:8">
      <c r="A9567" s="317">
        <v>1900905122</v>
      </c>
      <c r="B9567" s="330" t="s">
        <v>53923</v>
      </c>
      <c r="C9567" s="330" t="s">
        <v>21545</v>
      </c>
      <c r="D9567" s="330" t="s">
        <v>5021</v>
      </c>
      <c r="E9567" s="330" t="s">
        <v>4819</v>
      </c>
      <c r="F9567" s="331">
        <v>0.21</v>
      </c>
      <c r="G9567" s="332">
        <v>7995</v>
      </c>
      <c r="H9567" s="333">
        <v>9674</v>
      </c>
    </row>
    <row r="9568" spans="1:8">
      <c r="A9568" s="317">
        <v>1900905127</v>
      </c>
      <c r="B9568" s="330" t="s">
        <v>53924</v>
      </c>
      <c r="C9568" s="330" t="s">
        <v>21546</v>
      </c>
      <c r="D9568" s="330" t="s">
        <v>21547</v>
      </c>
      <c r="E9568" s="330" t="s">
        <v>37248</v>
      </c>
      <c r="F9568" s="331">
        <v>0.21</v>
      </c>
      <c r="G9568" s="332">
        <v>17486</v>
      </c>
      <c r="H9568" s="333">
        <v>21159</v>
      </c>
    </row>
    <row r="9569" spans="1:8">
      <c r="A9569" s="317">
        <v>1900905128</v>
      </c>
      <c r="B9569" s="330" t="s">
        <v>53925</v>
      </c>
      <c r="C9569" s="330" t="s">
        <v>21548</v>
      </c>
      <c r="D9569" s="330" t="s">
        <v>21549</v>
      </c>
      <c r="E9569" s="330" t="s">
        <v>4634</v>
      </c>
      <c r="F9569" s="331">
        <v>0.21</v>
      </c>
      <c r="G9569" s="332">
        <v>437</v>
      </c>
      <c r="H9569" s="333">
        <v>529</v>
      </c>
    </row>
    <row r="9570" spans="1:8">
      <c r="A9570" s="317">
        <v>1900905161</v>
      </c>
      <c r="B9570" s="330" t="s">
        <v>53926</v>
      </c>
      <c r="C9570" s="330" t="s">
        <v>21550</v>
      </c>
      <c r="D9570" s="330" t="s">
        <v>21551</v>
      </c>
      <c r="E9570" s="330" t="s">
        <v>4634</v>
      </c>
      <c r="F9570" s="331">
        <v>0.21</v>
      </c>
      <c r="G9570" s="332">
        <v>6734</v>
      </c>
      <c r="H9570" s="333">
        <v>8149</v>
      </c>
    </row>
    <row r="9571" spans="1:8">
      <c r="A9571" s="317">
        <v>1900905162</v>
      </c>
      <c r="B9571" s="330" t="s">
        <v>53927</v>
      </c>
      <c r="C9571" s="330" t="s">
        <v>21552</v>
      </c>
      <c r="D9571" s="330" t="s">
        <v>21045</v>
      </c>
      <c r="E9571" s="330" t="s">
        <v>4634</v>
      </c>
      <c r="F9571" s="331">
        <v>0.21</v>
      </c>
      <c r="G9571" s="332">
        <v>26563</v>
      </c>
      <c r="H9571" s="333">
        <v>32142</v>
      </c>
    </row>
    <row r="9572" spans="1:8">
      <c r="A9572" s="317">
        <v>1900905163</v>
      </c>
      <c r="B9572" s="330" t="s">
        <v>53928</v>
      </c>
      <c r="C9572" s="330" t="s">
        <v>21553</v>
      </c>
      <c r="D9572" s="330" t="s">
        <v>21554</v>
      </c>
      <c r="E9572" s="330" t="s">
        <v>37248</v>
      </c>
      <c r="F9572" s="331">
        <v>0.21</v>
      </c>
      <c r="G9572" s="332">
        <v>6605</v>
      </c>
      <c r="H9572" s="333">
        <v>7993</v>
      </c>
    </row>
    <row r="9573" spans="1:8">
      <c r="A9573" s="317">
        <v>1900905164</v>
      </c>
      <c r="B9573" s="330" t="s">
        <v>53929</v>
      </c>
      <c r="C9573" s="330" t="s">
        <v>21555</v>
      </c>
      <c r="D9573" s="330" t="s">
        <v>21556</v>
      </c>
      <c r="E9573" s="330" t="s">
        <v>4634</v>
      </c>
      <c r="F9573" s="331">
        <v>0.21</v>
      </c>
      <c r="G9573" s="332">
        <v>6734</v>
      </c>
      <c r="H9573" s="333">
        <v>8149</v>
      </c>
    </row>
    <row r="9574" spans="1:8">
      <c r="A9574" s="317">
        <v>1900905173</v>
      </c>
      <c r="B9574" s="330" t="s">
        <v>53930</v>
      </c>
      <c r="C9574" s="330" t="s">
        <v>21557</v>
      </c>
      <c r="D9574" s="330" t="s">
        <v>21558</v>
      </c>
      <c r="E9574" s="330" t="s">
        <v>4819</v>
      </c>
      <c r="F9574" s="331">
        <v>0.21</v>
      </c>
      <c r="G9574" s="332">
        <v>6426</v>
      </c>
      <c r="H9574" s="333">
        <v>7776</v>
      </c>
    </row>
    <row r="9575" spans="1:8">
      <c r="A9575" s="317">
        <v>1900905200</v>
      </c>
      <c r="B9575" s="330" t="s">
        <v>53931</v>
      </c>
      <c r="C9575" s="330" t="s">
        <v>21559</v>
      </c>
      <c r="D9575" s="330" t="s">
        <v>5782</v>
      </c>
      <c r="E9575" s="330" t="s">
        <v>4634</v>
      </c>
      <c r="F9575" s="331">
        <v>0.21</v>
      </c>
      <c r="G9575" s="332">
        <v>1416</v>
      </c>
      <c r="H9575" s="333">
        <v>1714</v>
      </c>
    </row>
    <row r="9576" spans="1:8">
      <c r="A9576" s="317">
        <v>1900905232</v>
      </c>
      <c r="B9576" s="330" t="s">
        <v>53932</v>
      </c>
      <c r="C9576" s="330" t="s">
        <v>21560</v>
      </c>
      <c r="D9576" s="330" t="s">
        <v>21561</v>
      </c>
      <c r="E9576" s="330" t="s">
        <v>4634</v>
      </c>
      <c r="F9576" s="331">
        <v>0.21</v>
      </c>
      <c r="G9576" s="332">
        <v>4887</v>
      </c>
      <c r="H9576" s="333">
        <v>5914</v>
      </c>
    </row>
    <row r="9577" spans="1:8">
      <c r="A9577" s="317">
        <v>1900905234</v>
      </c>
      <c r="B9577" s="330" t="s">
        <v>53933</v>
      </c>
      <c r="C9577" s="330" t="s">
        <v>21562</v>
      </c>
      <c r="D9577" s="330" t="s">
        <v>21563</v>
      </c>
      <c r="E9577" s="330" t="s">
        <v>37248</v>
      </c>
      <c r="F9577" s="331">
        <v>0.21</v>
      </c>
      <c r="G9577" s="332">
        <v>8246</v>
      </c>
      <c r="H9577" s="333">
        <v>9978</v>
      </c>
    </row>
    <row r="9578" spans="1:8">
      <c r="A9578" s="317">
        <v>1900905250</v>
      </c>
      <c r="B9578" s="330" t="s">
        <v>53934</v>
      </c>
      <c r="C9578" s="330" t="s">
        <v>21564</v>
      </c>
      <c r="D9578" s="330" t="s">
        <v>21565</v>
      </c>
      <c r="E9578" s="330" t="s">
        <v>4634</v>
      </c>
      <c r="F9578" s="331">
        <v>0.21</v>
      </c>
      <c r="G9578" s="332">
        <v>372</v>
      </c>
      <c r="H9578" s="333">
        <v>451</v>
      </c>
    </row>
    <row r="9579" spans="1:8">
      <c r="A9579" s="317">
        <v>1900905276</v>
      </c>
      <c r="B9579" s="330" t="s">
        <v>53935</v>
      </c>
      <c r="C9579" s="330" t="s">
        <v>21566</v>
      </c>
      <c r="D9579" s="330" t="s">
        <v>21567</v>
      </c>
      <c r="E9579" s="330" t="s">
        <v>4634</v>
      </c>
      <c r="F9579" s="331">
        <v>0.21</v>
      </c>
      <c r="G9579" s="332">
        <v>8001</v>
      </c>
      <c r="H9579" s="333">
        <v>9682</v>
      </c>
    </row>
    <row r="9580" spans="1:8">
      <c r="A9580" s="317">
        <v>1900905279</v>
      </c>
      <c r="B9580" s="330" t="s">
        <v>53936</v>
      </c>
      <c r="C9580" s="330" t="s">
        <v>21568</v>
      </c>
      <c r="D9580" s="330" t="s">
        <v>21569</v>
      </c>
      <c r="E9580" s="330" t="s">
        <v>4819</v>
      </c>
      <c r="F9580" s="331">
        <v>0.21</v>
      </c>
      <c r="G9580" s="332">
        <v>9340</v>
      </c>
      <c r="H9580" s="333">
        <v>11302</v>
      </c>
    </row>
    <row r="9581" spans="1:8">
      <c r="A9581" s="317">
        <v>1901091101</v>
      </c>
      <c r="B9581" s="330" t="s">
        <v>53937</v>
      </c>
      <c r="C9581" s="330" t="s">
        <v>21570</v>
      </c>
      <c r="D9581" s="330" t="s">
        <v>21571</v>
      </c>
      <c r="E9581" s="330" t="s">
        <v>4634</v>
      </c>
      <c r="F9581" s="331">
        <v>0.21</v>
      </c>
      <c r="G9581" s="332">
        <v>1411</v>
      </c>
      <c r="H9581" s="333">
        <v>1708</v>
      </c>
    </row>
    <row r="9582" spans="1:8">
      <c r="A9582" s="317">
        <v>1903201020</v>
      </c>
      <c r="B9582" s="330" t="s">
        <v>53938</v>
      </c>
      <c r="C9582" s="330" t="s">
        <v>21572</v>
      </c>
      <c r="D9582" s="330" t="s">
        <v>12516</v>
      </c>
      <c r="E9582" s="330" t="s">
        <v>4634</v>
      </c>
      <c r="F9582" s="331">
        <v>0.21</v>
      </c>
      <c r="G9582" s="332">
        <v>387</v>
      </c>
      <c r="H9582" s="333">
        <v>469</v>
      </c>
    </row>
    <row r="9583" spans="1:8">
      <c r="A9583" s="317">
        <v>1903201041</v>
      </c>
      <c r="B9583" s="330" t="s">
        <v>53939</v>
      </c>
      <c r="C9583" s="330" t="s">
        <v>21573</v>
      </c>
      <c r="D9583" s="330" t="s">
        <v>21574</v>
      </c>
      <c r="E9583" s="330" t="s">
        <v>4634</v>
      </c>
      <c r="F9583" s="331">
        <v>0.21</v>
      </c>
      <c r="G9583" s="332">
        <v>153</v>
      </c>
      <c r="H9583" s="333">
        <v>186</v>
      </c>
    </row>
    <row r="9584" spans="1:8">
      <c r="A9584" s="317">
        <v>1903201042</v>
      </c>
      <c r="B9584" s="330" t="s">
        <v>53940</v>
      </c>
      <c r="C9584" s="330" t="s">
        <v>21575</v>
      </c>
      <c r="D9584" s="330" t="s">
        <v>21576</v>
      </c>
      <c r="E9584" s="330" t="s">
        <v>4634</v>
      </c>
      <c r="F9584" s="331">
        <v>0.21</v>
      </c>
      <c r="G9584" s="332">
        <v>372</v>
      </c>
      <c r="H9584" s="333">
        <v>451</v>
      </c>
    </row>
    <row r="9585" spans="1:8">
      <c r="A9585" s="317">
        <v>1903201044</v>
      </c>
      <c r="B9585" s="330" t="s">
        <v>53941</v>
      </c>
      <c r="C9585" s="330" t="s">
        <v>21577</v>
      </c>
      <c r="D9585" s="330" t="s">
        <v>21578</v>
      </c>
      <c r="E9585" s="330" t="s">
        <v>4634</v>
      </c>
      <c r="F9585" s="331">
        <v>0.21</v>
      </c>
      <c r="G9585" s="332">
        <v>584</v>
      </c>
      <c r="H9585" s="333">
        <v>707</v>
      </c>
    </row>
    <row r="9586" spans="1:8">
      <c r="A9586" s="317">
        <v>1903201054</v>
      </c>
      <c r="B9586" s="330" t="s">
        <v>53942</v>
      </c>
      <c r="C9586" s="330" t="s">
        <v>21579</v>
      </c>
      <c r="D9586" s="330" t="s">
        <v>21580</v>
      </c>
      <c r="E9586" s="330" t="s">
        <v>4634</v>
      </c>
      <c r="F9586" s="331">
        <v>0.21</v>
      </c>
      <c r="G9586" s="332">
        <v>274</v>
      </c>
      <c r="H9586" s="333">
        <v>332</v>
      </c>
    </row>
    <row r="9587" spans="1:8">
      <c r="A9587" s="317">
        <v>1903201520</v>
      </c>
      <c r="B9587" s="330" t="s">
        <v>53943</v>
      </c>
      <c r="C9587" s="330" t="s">
        <v>21581</v>
      </c>
      <c r="D9587" s="330" t="s">
        <v>18345</v>
      </c>
      <c r="E9587" s="330" t="s">
        <v>37248</v>
      </c>
      <c r="F9587" s="331">
        <v>0.21</v>
      </c>
      <c r="G9587" s="332">
        <v>388</v>
      </c>
      <c r="H9587" s="333">
        <v>470</v>
      </c>
    </row>
    <row r="9588" spans="1:8">
      <c r="A9588" s="317">
        <v>1903230002</v>
      </c>
      <c r="B9588" s="330" t="s">
        <v>53944</v>
      </c>
      <c r="C9588" s="330" t="s">
        <v>21582</v>
      </c>
      <c r="D9588" s="330" t="s">
        <v>21583</v>
      </c>
      <c r="E9588" s="330" t="s">
        <v>4634</v>
      </c>
      <c r="F9588" s="331">
        <v>0.21</v>
      </c>
      <c r="G9588" s="332">
        <v>176</v>
      </c>
      <c r="H9588" s="333">
        <v>213</v>
      </c>
    </row>
    <row r="9589" spans="1:8">
      <c r="A9589" s="317">
        <v>1903230003</v>
      </c>
      <c r="B9589" s="330" t="s">
        <v>53945</v>
      </c>
      <c r="C9589" s="330" t="s">
        <v>21584</v>
      </c>
      <c r="D9589" s="330" t="s">
        <v>21585</v>
      </c>
      <c r="E9589" s="330" t="s">
        <v>4819</v>
      </c>
      <c r="F9589" s="331">
        <v>0.21</v>
      </c>
      <c r="G9589" s="332">
        <v>1565</v>
      </c>
      <c r="H9589" s="333">
        <v>1894</v>
      </c>
    </row>
    <row r="9590" spans="1:8">
      <c r="A9590" s="317">
        <v>1903230004</v>
      </c>
      <c r="B9590" s="330" t="s">
        <v>53946</v>
      </c>
      <c r="C9590" s="330" t="s">
        <v>21586</v>
      </c>
      <c r="D9590" s="330" t="s">
        <v>21587</v>
      </c>
      <c r="E9590" s="330" t="s">
        <v>4634</v>
      </c>
      <c r="F9590" s="331">
        <v>0.21</v>
      </c>
      <c r="G9590" s="332">
        <v>274</v>
      </c>
      <c r="H9590" s="333">
        <v>332</v>
      </c>
    </row>
    <row r="9591" spans="1:8">
      <c r="A9591" s="317">
        <v>1903230005</v>
      </c>
      <c r="B9591" s="330" t="s">
        <v>53947</v>
      </c>
      <c r="C9591" s="330" t="s">
        <v>21588</v>
      </c>
      <c r="D9591" s="330" t="s">
        <v>21589</v>
      </c>
      <c r="E9591" s="330" t="s">
        <v>4634</v>
      </c>
      <c r="F9591" s="331">
        <v>0.21</v>
      </c>
      <c r="G9591" s="332">
        <v>742</v>
      </c>
      <c r="H9591" s="333">
        <v>898</v>
      </c>
    </row>
    <row r="9592" spans="1:8">
      <c r="A9592" s="317">
        <v>1903230006</v>
      </c>
      <c r="B9592" s="330" t="s">
        <v>53948</v>
      </c>
      <c r="C9592" s="330" t="s">
        <v>21590</v>
      </c>
      <c r="D9592" s="330" t="s">
        <v>21591</v>
      </c>
      <c r="E9592" s="330" t="s">
        <v>4634</v>
      </c>
      <c r="F9592" s="331">
        <v>0.21</v>
      </c>
      <c r="G9592" s="332">
        <v>274</v>
      </c>
      <c r="H9592" s="333">
        <v>332</v>
      </c>
    </row>
    <row r="9593" spans="1:8">
      <c r="A9593" s="317">
        <v>1903230007</v>
      </c>
      <c r="B9593" s="330" t="s">
        <v>53949</v>
      </c>
      <c r="C9593" s="330" t="s">
        <v>21592</v>
      </c>
      <c r="D9593" s="330" t="s">
        <v>21593</v>
      </c>
      <c r="E9593" s="330" t="s">
        <v>4819</v>
      </c>
      <c r="F9593" s="331">
        <v>0.21</v>
      </c>
      <c r="G9593" s="332">
        <v>1373</v>
      </c>
      <c r="H9593" s="333">
        <v>1662</v>
      </c>
    </row>
    <row r="9594" spans="1:8">
      <c r="A9594" s="317">
        <v>1903230008</v>
      </c>
      <c r="B9594" s="330" t="s">
        <v>53950</v>
      </c>
      <c r="C9594" s="330" t="s">
        <v>21594</v>
      </c>
      <c r="D9594" s="330" t="s">
        <v>21595</v>
      </c>
      <c r="E9594" s="330" t="s">
        <v>4634</v>
      </c>
      <c r="F9594" s="331">
        <v>0.21</v>
      </c>
      <c r="G9594" s="332">
        <v>180</v>
      </c>
      <c r="H9594" s="333">
        <v>218</v>
      </c>
    </row>
    <row r="9595" spans="1:8">
      <c r="A9595" s="317">
        <v>1903230011</v>
      </c>
      <c r="B9595" s="330" t="s">
        <v>53951</v>
      </c>
      <c r="C9595" s="330" t="s">
        <v>21596</v>
      </c>
      <c r="D9595" s="330" t="s">
        <v>21597</v>
      </c>
      <c r="E9595" s="330" t="s">
        <v>4819</v>
      </c>
      <c r="F9595" s="331">
        <v>0.21</v>
      </c>
      <c r="G9595" s="332">
        <v>1610</v>
      </c>
      <c r="H9595" s="333">
        <v>1949</v>
      </c>
    </row>
    <row r="9596" spans="1:8">
      <c r="A9596" s="317">
        <v>1903230012</v>
      </c>
      <c r="B9596" s="330" t="s">
        <v>53952</v>
      </c>
      <c r="C9596" s="330" t="s">
        <v>21598</v>
      </c>
      <c r="D9596" s="330" t="s">
        <v>21599</v>
      </c>
      <c r="E9596" s="330" t="s">
        <v>4634</v>
      </c>
      <c r="F9596" s="331">
        <v>0.21</v>
      </c>
      <c r="G9596" s="332">
        <v>387</v>
      </c>
      <c r="H9596" s="333">
        <v>469</v>
      </c>
    </row>
    <row r="9597" spans="1:8">
      <c r="A9597" s="317">
        <v>1903230013</v>
      </c>
      <c r="B9597" s="330" t="s">
        <v>53953</v>
      </c>
      <c r="C9597" s="330" t="s">
        <v>21600</v>
      </c>
      <c r="D9597" s="330" t="s">
        <v>5007</v>
      </c>
      <c r="E9597" s="330" t="s">
        <v>37248</v>
      </c>
      <c r="F9597" s="331">
        <v>0.21</v>
      </c>
      <c r="G9597" s="332">
        <v>1543</v>
      </c>
      <c r="H9597" s="333">
        <v>1868</v>
      </c>
    </row>
    <row r="9598" spans="1:8">
      <c r="A9598" s="317">
        <v>1903230017</v>
      </c>
      <c r="B9598" s="330" t="s">
        <v>53954</v>
      </c>
      <c r="C9598" s="330" t="s">
        <v>21601</v>
      </c>
      <c r="D9598" s="330" t="s">
        <v>21602</v>
      </c>
      <c r="E9598" s="330" t="s">
        <v>4634</v>
      </c>
      <c r="F9598" s="331">
        <v>0.21</v>
      </c>
      <c r="G9598" s="332">
        <v>711</v>
      </c>
      <c r="H9598" s="333">
        <v>861</v>
      </c>
    </row>
    <row r="9599" spans="1:8">
      <c r="A9599" s="317">
        <v>1903230026</v>
      </c>
      <c r="B9599" s="330" t="s">
        <v>53955</v>
      </c>
      <c r="C9599" s="330" t="s">
        <v>21603</v>
      </c>
      <c r="D9599" s="330" t="s">
        <v>21604</v>
      </c>
      <c r="E9599" s="330" t="s">
        <v>4634</v>
      </c>
      <c r="F9599" s="331">
        <v>0.21</v>
      </c>
      <c r="G9599" s="332">
        <v>39</v>
      </c>
      <c r="H9599" s="333">
        <v>48</v>
      </c>
    </row>
    <row r="9600" spans="1:8">
      <c r="A9600" s="317">
        <v>1903230200</v>
      </c>
      <c r="B9600" s="330" t="s">
        <v>53956</v>
      </c>
      <c r="C9600" s="330" t="s">
        <v>21605</v>
      </c>
      <c r="D9600" s="330" t="s">
        <v>21606</v>
      </c>
      <c r="E9600" s="330" t="s">
        <v>4634</v>
      </c>
      <c r="F9600" s="331">
        <v>0.21</v>
      </c>
      <c r="G9600" s="332">
        <v>1150</v>
      </c>
      <c r="H9600" s="333">
        <v>1392</v>
      </c>
    </row>
    <row r="9601" spans="1:8">
      <c r="A9601" s="317">
        <v>1903230309</v>
      </c>
      <c r="B9601" s="330" t="s">
        <v>53957</v>
      </c>
      <c r="C9601" s="330" t="s">
        <v>21607</v>
      </c>
      <c r="D9601" s="330" t="s">
        <v>21608</v>
      </c>
      <c r="E9601" s="330" t="s">
        <v>4634</v>
      </c>
      <c r="F9601" s="331">
        <v>0.21</v>
      </c>
      <c r="G9601" s="332">
        <v>580</v>
      </c>
      <c r="H9601" s="333">
        <v>702</v>
      </c>
    </row>
    <row r="9602" spans="1:8">
      <c r="A9602" s="317">
        <v>1903230406</v>
      </c>
      <c r="B9602" s="330" t="s">
        <v>53958</v>
      </c>
      <c r="C9602" s="330" t="s">
        <v>21609</v>
      </c>
      <c r="D9602" s="330" t="s">
        <v>21610</v>
      </c>
      <c r="E9602" s="330" t="s">
        <v>4634</v>
      </c>
      <c r="F9602" s="331">
        <v>0.21</v>
      </c>
      <c r="G9602" s="332">
        <v>236</v>
      </c>
      <c r="H9602" s="333">
        <v>286</v>
      </c>
    </row>
    <row r="9603" spans="1:8">
      <c r="A9603" s="317">
        <v>1903230528</v>
      </c>
      <c r="B9603" s="330" t="s">
        <v>53959</v>
      </c>
      <c r="C9603" s="330" t="s">
        <v>21611</v>
      </c>
      <c r="D9603" s="330" t="s">
        <v>21612</v>
      </c>
      <c r="E9603" s="330" t="s">
        <v>4634</v>
      </c>
      <c r="F9603" s="331">
        <v>0.21</v>
      </c>
      <c r="G9603" s="332">
        <v>372</v>
      </c>
      <c r="H9603" s="333">
        <v>451</v>
      </c>
    </row>
    <row r="9604" spans="1:8">
      <c r="A9604" s="317">
        <v>1907904721</v>
      </c>
      <c r="B9604" s="330" t="s">
        <v>53960</v>
      </c>
      <c r="C9604" s="330" t="s">
        <v>21613</v>
      </c>
      <c r="D9604" s="330" t="s">
        <v>21614</v>
      </c>
      <c r="E9604" s="330" t="s">
        <v>4634</v>
      </c>
      <c r="F9604" s="331">
        <v>0.21</v>
      </c>
      <c r="G9604" s="332">
        <v>2299</v>
      </c>
      <c r="H9604" s="333">
        <v>2782</v>
      </c>
    </row>
    <row r="9605" spans="1:8">
      <c r="A9605" s="317">
        <v>1907950003</v>
      </c>
      <c r="B9605" s="330" t="s">
        <v>53961</v>
      </c>
      <c r="C9605" s="330" t="s">
        <v>21615</v>
      </c>
      <c r="D9605" s="330" t="s">
        <v>21616</v>
      </c>
      <c r="E9605" s="330" t="s">
        <v>37248</v>
      </c>
      <c r="F9605" s="331">
        <v>0.21</v>
      </c>
      <c r="G9605" s="332">
        <v>213</v>
      </c>
      <c r="H9605" s="333">
        <v>258</v>
      </c>
    </row>
    <row r="9606" spans="1:8">
      <c r="A9606" s="317">
        <v>1907950004</v>
      </c>
      <c r="B9606" s="330" t="s">
        <v>53962</v>
      </c>
      <c r="C9606" s="330" t="s">
        <v>21617</v>
      </c>
      <c r="D9606" s="330" t="s">
        <v>21618</v>
      </c>
      <c r="E9606" s="330" t="s">
        <v>4634</v>
      </c>
      <c r="F9606" s="331">
        <v>0.21</v>
      </c>
      <c r="G9606" s="332">
        <v>1115</v>
      </c>
      <c r="H9606" s="333">
        <v>1350</v>
      </c>
    </row>
    <row r="9607" spans="1:8">
      <c r="A9607" s="317">
        <v>1907950006</v>
      </c>
      <c r="B9607" s="330" t="s">
        <v>53963</v>
      </c>
      <c r="C9607" s="330" t="s">
        <v>21619</v>
      </c>
      <c r="D9607" s="330" t="s">
        <v>21620</v>
      </c>
      <c r="E9607" s="330" t="s">
        <v>4623</v>
      </c>
      <c r="F9607" s="331">
        <v>0.21</v>
      </c>
      <c r="G9607" s="332">
        <v>3988</v>
      </c>
      <c r="H9607" s="333">
        <v>4826</v>
      </c>
    </row>
    <row r="9608" spans="1:8">
      <c r="A9608" s="317">
        <v>1907950007</v>
      </c>
      <c r="B9608" s="330" t="s">
        <v>53964</v>
      </c>
      <c r="C9608" s="330" t="s">
        <v>21621</v>
      </c>
      <c r="D9608" s="330" t="s">
        <v>21622</v>
      </c>
      <c r="E9608" s="330" t="s">
        <v>4634</v>
      </c>
      <c r="F9608" s="331">
        <v>0.21</v>
      </c>
      <c r="G9608" s="332">
        <v>37</v>
      </c>
      <c r="H9608" s="333">
        <v>45</v>
      </c>
    </row>
    <row r="9609" spans="1:8">
      <c r="A9609" s="317">
        <v>1907950506</v>
      </c>
      <c r="B9609" s="330" t="s">
        <v>53965</v>
      </c>
      <c r="C9609" s="330" t="s">
        <v>21623</v>
      </c>
      <c r="D9609" s="330" t="s">
        <v>21624</v>
      </c>
      <c r="E9609" s="330" t="s">
        <v>4634</v>
      </c>
      <c r="F9609" s="331">
        <v>0.21</v>
      </c>
      <c r="G9609" s="332">
        <v>2768</v>
      </c>
      <c r="H9609" s="333">
        <v>3350</v>
      </c>
    </row>
    <row r="9610" spans="1:8">
      <c r="A9610" s="317">
        <v>1907950508</v>
      </c>
      <c r="B9610" s="330" t="s">
        <v>53966</v>
      </c>
      <c r="C9610" s="330" t="s">
        <v>21625</v>
      </c>
      <c r="D9610" s="330" t="s">
        <v>21626</v>
      </c>
      <c r="E9610" s="330" t="s">
        <v>4634</v>
      </c>
      <c r="F9610" s="331">
        <v>0.21</v>
      </c>
      <c r="G9610" s="332">
        <v>3047</v>
      </c>
      <c r="H9610" s="333">
        <v>3687</v>
      </c>
    </row>
    <row r="9611" spans="1:8">
      <c r="A9611" s="317">
        <v>1907950509</v>
      </c>
      <c r="B9611" s="330" t="s">
        <v>53967</v>
      </c>
      <c r="C9611" s="330" t="s">
        <v>21627</v>
      </c>
      <c r="D9611" s="330" t="s">
        <v>21624</v>
      </c>
      <c r="E9611" s="330" t="s">
        <v>4634</v>
      </c>
      <c r="F9611" s="331">
        <v>0.21</v>
      </c>
      <c r="G9611" s="332">
        <v>2768</v>
      </c>
      <c r="H9611" s="333">
        <v>3350</v>
      </c>
    </row>
    <row r="9612" spans="1:8">
      <c r="A9612" s="317">
        <v>2600000012</v>
      </c>
      <c r="B9612" s="330" t="s">
        <v>53968</v>
      </c>
      <c r="C9612" s="330" t="s">
        <v>21628</v>
      </c>
      <c r="D9612" s="330" t="s">
        <v>21629</v>
      </c>
      <c r="E9612" s="330" t="s">
        <v>4819</v>
      </c>
      <c r="F9612" s="331">
        <v>0.21</v>
      </c>
      <c r="G9612" s="332">
        <v>1383</v>
      </c>
      <c r="H9612" s="333">
        <v>1674</v>
      </c>
    </row>
    <row r="9613" spans="1:8">
      <c r="A9613" s="317">
        <v>2600000014</v>
      </c>
      <c r="B9613" s="330" t="s">
        <v>53969</v>
      </c>
      <c r="C9613" s="330" t="s">
        <v>21630</v>
      </c>
      <c r="D9613" s="330" t="s">
        <v>21631</v>
      </c>
      <c r="E9613" s="330" t="s">
        <v>37248</v>
      </c>
      <c r="F9613" s="331">
        <v>0.21</v>
      </c>
      <c r="G9613" s="332">
        <v>1704</v>
      </c>
      <c r="H9613" s="333">
        <v>2062</v>
      </c>
    </row>
    <row r="9614" spans="1:8">
      <c r="A9614" s="317">
        <v>2600000021</v>
      </c>
      <c r="B9614" s="330" t="s">
        <v>53970</v>
      </c>
      <c r="C9614" s="330" t="s">
        <v>21632</v>
      </c>
      <c r="D9614" s="330" t="s">
        <v>21633</v>
      </c>
      <c r="E9614" s="330" t="s">
        <v>4819</v>
      </c>
      <c r="F9614" s="331">
        <v>0.21</v>
      </c>
      <c r="G9614" s="332">
        <v>1974</v>
      </c>
      <c r="H9614" s="333">
        <v>2389</v>
      </c>
    </row>
    <row r="9615" spans="1:8">
      <c r="A9615" s="317">
        <v>2600000022</v>
      </c>
      <c r="B9615" s="330" t="s">
        <v>53971</v>
      </c>
      <c r="C9615" s="330" t="s">
        <v>21634</v>
      </c>
      <c r="D9615" s="330" t="s">
        <v>21635</v>
      </c>
      <c r="E9615" s="330" t="s">
        <v>4634</v>
      </c>
      <c r="F9615" s="331">
        <v>0.21</v>
      </c>
      <c r="G9615" s="332">
        <v>348</v>
      </c>
      <c r="H9615" s="333">
        <v>422</v>
      </c>
    </row>
    <row r="9616" spans="1:8">
      <c r="A9616" s="317">
        <v>2600000023</v>
      </c>
      <c r="B9616" s="330" t="s">
        <v>53972</v>
      </c>
      <c r="C9616" s="330" t="s">
        <v>21636</v>
      </c>
      <c r="D9616" s="330" t="s">
        <v>21635</v>
      </c>
      <c r="E9616" s="330" t="s">
        <v>4634</v>
      </c>
      <c r="F9616" s="331">
        <v>0.21</v>
      </c>
      <c r="G9616" s="332">
        <v>348</v>
      </c>
      <c r="H9616" s="333">
        <v>422</v>
      </c>
    </row>
    <row r="9617" spans="1:8">
      <c r="A9617" s="317">
        <v>2600000024</v>
      </c>
      <c r="B9617" s="330" t="s">
        <v>53973</v>
      </c>
      <c r="C9617" s="330" t="s">
        <v>21637</v>
      </c>
      <c r="D9617" s="330" t="s">
        <v>21635</v>
      </c>
      <c r="E9617" s="330" t="s">
        <v>4634</v>
      </c>
      <c r="F9617" s="331">
        <v>0.21</v>
      </c>
      <c r="G9617" s="332">
        <v>348</v>
      </c>
      <c r="H9617" s="333">
        <v>422</v>
      </c>
    </row>
    <row r="9618" spans="1:8">
      <c r="A9618" s="317">
        <v>2600000025</v>
      </c>
      <c r="B9618" s="330" t="s">
        <v>53974</v>
      </c>
      <c r="C9618" s="330" t="s">
        <v>21638</v>
      </c>
      <c r="D9618" s="330" t="s">
        <v>21635</v>
      </c>
      <c r="E9618" s="330" t="s">
        <v>4634</v>
      </c>
      <c r="F9618" s="331">
        <v>0.21</v>
      </c>
      <c r="G9618" s="332">
        <v>348</v>
      </c>
      <c r="H9618" s="333">
        <v>422</v>
      </c>
    </row>
    <row r="9619" spans="1:8">
      <c r="A9619" s="317">
        <v>2600000030</v>
      </c>
      <c r="B9619" s="330" t="s">
        <v>53975</v>
      </c>
      <c r="C9619" s="330" t="s">
        <v>21639</v>
      </c>
      <c r="D9619" s="330" t="s">
        <v>21640</v>
      </c>
      <c r="E9619" s="330" t="s">
        <v>4819</v>
      </c>
      <c r="F9619" s="331">
        <v>0.21</v>
      </c>
      <c r="G9619" s="332">
        <v>2221</v>
      </c>
      <c r="H9619" s="333">
        <v>2688</v>
      </c>
    </row>
    <row r="9620" spans="1:8">
      <c r="A9620" s="317">
        <v>2600000031</v>
      </c>
      <c r="B9620" s="330" t="s">
        <v>53976</v>
      </c>
      <c r="C9620" s="330" t="s">
        <v>21641</v>
      </c>
      <c r="D9620" s="330" t="s">
        <v>21642</v>
      </c>
      <c r="E9620" s="330" t="s">
        <v>4634</v>
      </c>
      <c r="F9620" s="331">
        <v>0.21</v>
      </c>
      <c r="G9620" s="332">
        <v>387</v>
      </c>
      <c r="H9620" s="333">
        <v>469</v>
      </c>
    </row>
    <row r="9621" spans="1:8">
      <c r="A9621" s="317">
        <v>2600000049</v>
      </c>
      <c r="B9621" s="330" t="s">
        <v>53977</v>
      </c>
      <c r="C9621" s="330" t="s">
        <v>21643</v>
      </c>
      <c r="D9621" s="330" t="s">
        <v>21644</v>
      </c>
      <c r="E9621" s="330" t="s">
        <v>37248</v>
      </c>
      <c r="F9621" s="331">
        <v>0.21</v>
      </c>
      <c r="G9621" s="332">
        <v>339</v>
      </c>
      <c r="H9621" s="333">
        <v>411</v>
      </c>
    </row>
    <row r="9622" spans="1:8">
      <c r="A9622" s="317">
        <v>2600025005</v>
      </c>
      <c r="B9622" s="330" t="s">
        <v>53978</v>
      </c>
      <c r="C9622" s="330" t="s">
        <v>21645</v>
      </c>
      <c r="D9622" s="330" t="s">
        <v>21646</v>
      </c>
      <c r="E9622" s="330" t="s">
        <v>4634</v>
      </c>
      <c r="F9622" s="331">
        <v>0.21</v>
      </c>
      <c r="G9622" s="332">
        <v>348</v>
      </c>
      <c r="H9622" s="333">
        <v>422</v>
      </c>
    </row>
    <row r="9623" spans="1:8">
      <c r="A9623" s="317">
        <v>2600030010</v>
      </c>
      <c r="B9623" s="330" t="s">
        <v>53979</v>
      </c>
      <c r="C9623" s="330" t="s">
        <v>21647</v>
      </c>
      <c r="D9623" s="330" t="s">
        <v>21648</v>
      </c>
      <c r="E9623" s="330" t="s">
        <v>4634</v>
      </c>
      <c r="F9623" s="331">
        <v>0.21</v>
      </c>
      <c r="G9623" s="332">
        <v>648</v>
      </c>
      <c r="H9623" s="333">
        <v>785</v>
      </c>
    </row>
    <row r="9624" spans="1:8">
      <c r="A9624" s="317">
        <v>2600030011</v>
      </c>
      <c r="B9624" s="330" t="s">
        <v>53980</v>
      </c>
      <c r="C9624" s="330" t="s">
        <v>21649</v>
      </c>
      <c r="D9624" s="330" t="s">
        <v>21648</v>
      </c>
      <c r="E9624" s="330" t="s">
        <v>4634</v>
      </c>
      <c r="F9624" s="331">
        <v>0.21</v>
      </c>
      <c r="G9624" s="332">
        <v>648</v>
      </c>
      <c r="H9624" s="333">
        <v>785</v>
      </c>
    </row>
    <row r="9625" spans="1:8">
      <c r="A9625" s="317">
        <v>2600030900</v>
      </c>
      <c r="B9625" s="330" t="s">
        <v>53981</v>
      </c>
      <c r="C9625" s="330" t="s">
        <v>21650</v>
      </c>
      <c r="D9625" s="330" t="s">
        <v>21651</v>
      </c>
      <c r="E9625" s="330" t="s">
        <v>4634</v>
      </c>
      <c r="F9625" s="331">
        <v>0.21</v>
      </c>
      <c r="G9625" s="332">
        <v>1798</v>
      </c>
      <c r="H9625" s="333">
        <v>2176</v>
      </c>
    </row>
    <row r="9626" spans="1:8">
      <c r="A9626" s="317">
        <v>2600034007</v>
      </c>
      <c r="B9626" s="330" t="s">
        <v>53982</v>
      </c>
      <c r="C9626" s="330" t="s">
        <v>21652</v>
      </c>
      <c r="D9626" s="330" t="s">
        <v>21653</v>
      </c>
      <c r="E9626" s="330" t="s">
        <v>4634</v>
      </c>
      <c r="F9626" s="331">
        <v>0.21</v>
      </c>
      <c r="G9626" s="332">
        <v>1030</v>
      </c>
      <c r="H9626" s="333">
        <v>1247</v>
      </c>
    </row>
    <row r="9627" spans="1:8">
      <c r="A9627" s="317">
        <v>2600034008</v>
      </c>
      <c r="B9627" s="330" t="s">
        <v>53983</v>
      </c>
      <c r="C9627" s="330" t="s">
        <v>21654</v>
      </c>
      <c r="D9627" s="330" t="s">
        <v>21644</v>
      </c>
      <c r="E9627" s="330" t="s">
        <v>37248</v>
      </c>
      <c r="F9627" s="331">
        <v>0.21</v>
      </c>
      <c r="G9627" s="332">
        <v>339</v>
      </c>
      <c r="H9627" s="333">
        <v>411</v>
      </c>
    </row>
    <row r="9628" spans="1:8">
      <c r="A9628" s="317">
        <v>2600040001</v>
      </c>
      <c r="B9628" s="330" t="s">
        <v>53984</v>
      </c>
      <c r="C9628" s="330" t="s">
        <v>21655</v>
      </c>
      <c r="D9628" s="330" t="s">
        <v>21656</v>
      </c>
      <c r="E9628" s="330" t="s">
        <v>4634</v>
      </c>
      <c r="F9628" s="331">
        <v>0.21</v>
      </c>
      <c r="G9628" s="332">
        <v>348</v>
      </c>
      <c r="H9628" s="333">
        <v>422</v>
      </c>
    </row>
    <row r="9629" spans="1:8">
      <c r="A9629" s="317">
        <v>2600040002</v>
      </c>
      <c r="B9629" s="330" t="s">
        <v>53985</v>
      </c>
      <c r="C9629" s="330" t="s">
        <v>21657</v>
      </c>
      <c r="D9629" s="330" t="s">
        <v>21658</v>
      </c>
      <c r="E9629" s="330" t="s">
        <v>4634</v>
      </c>
      <c r="F9629" s="331">
        <v>0.21</v>
      </c>
      <c r="G9629" s="332">
        <v>372</v>
      </c>
      <c r="H9629" s="333">
        <v>451</v>
      </c>
    </row>
    <row r="9630" spans="1:8">
      <c r="A9630" s="317">
        <v>2600040003</v>
      </c>
      <c r="B9630" s="330" t="s">
        <v>53986</v>
      </c>
      <c r="C9630" s="330" t="s">
        <v>21659</v>
      </c>
      <c r="D9630" s="330" t="s">
        <v>21660</v>
      </c>
      <c r="E9630" s="330" t="s">
        <v>4634</v>
      </c>
      <c r="F9630" s="331">
        <v>0.21</v>
      </c>
      <c r="G9630" s="332">
        <v>236</v>
      </c>
      <c r="H9630" s="333">
        <v>286</v>
      </c>
    </row>
    <row r="9631" spans="1:8">
      <c r="A9631" s="317">
        <v>2600040004</v>
      </c>
      <c r="B9631" s="330" t="s">
        <v>53987</v>
      </c>
      <c r="C9631" s="330" t="s">
        <v>21661</v>
      </c>
      <c r="D9631" s="330" t="s">
        <v>21662</v>
      </c>
      <c r="E9631" s="330" t="s">
        <v>4819</v>
      </c>
      <c r="F9631" s="331">
        <v>0.21</v>
      </c>
      <c r="G9631" s="332">
        <v>3707</v>
      </c>
      <c r="H9631" s="333">
        <v>4486</v>
      </c>
    </row>
    <row r="9632" spans="1:8">
      <c r="A9632" s="317">
        <v>2600100029</v>
      </c>
      <c r="B9632" s="330" t="s">
        <v>53988</v>
      </c>
      <c r="C9632" s="330" t="s">
        <v>21663</v>
      </c>
      <c r="D9632" s="330" t="s">
        <v>21664</v>
      </c>
      <c r="E9632" s="330" t="s">
        <v>4634</v>
      </c>
      <c r="F9632" s="331">
        <v>0.21</v>
      </c>
      <c r="G9632" s="332">
        <v>348</v>
      </c>
      <c r="H9632" s="333">
        <v>422</v>
      </c>
    </row>
    <row r="9633" spans="1:8">
      <c r="A9633" s="317">
        <v>2600100034</v>
      </c>
      <c r="B9633" s="330" t="s">
        <v>53989</v>
      </c>
      <c r="C9633" s="330" t="s">
        <v>21665</v>
      </c>
      <c r="D9633" s="330" t="s">
        <v>21666</v>
      </c>
      <c r="E9633" s="330" t="s">
        <v>4634</v>
      </c>
      <c r="F9633" s="331">
        <v>0.21</v>
      </c>
      <c r="G9633" s="332">
        <v>348</v>
      </c>
      <c r="H9633" s="333">
        <v>422</v>
      </c>
    </row>
    <row r="9634" spans="1:8">
      <c r="A9634" s="317">
        <v>2600100040</v>
      </c>
      <c r="B9634" s="330" t="s">
        <v>53990</v>
      </c>
      <c r="C9634" s="330" t="s">
        <v>21667</v>
      </c>
      <c r="D9634" s="330" t="s">
        <v>21668</v>
      </c>
      <c r="E9634" s="330" t="s">
        <v>4634</v>
      </c>
      <c r="F9634" s="331">
        <v>0.21</v>
      </c>
      <c r="G9634" s="332">
        <v>280</v>
      </c>
      <c r="H9634" s="333">
        <v>339</v>
      </c>
    </row>
    <row r="9635" spans="1:8">
      <c r="A9635" s="317">
        <v>2600100066</v>
      </c>
      <c r="B9635" s="330" t="s">
        <v>53991</v>
      </c>
      <c r="C9635" s="330" t="s">
        <v>21669</v>
      </c>
      <c r="D9635" s="330" t="s">
        <v>21670</v>
      </c>
      <c r="E9635" s="330" t="s">
        <v>4634</v>
      </c>
      <c r="F9635" s="331">
        <v>0.21</v>
      </c>
      <c r="G9635" s="332">
        <v>372</v>
      </c>
      <c r="H9635" s="333">
        <v>451</v>
      </c>
    </row>
    <row r="9636" spans="1:8">
      <c r="A9636" s="317">
        <v>2600100083</v>
      </c>
      <c r="B9636" s="330" t="s">
        <v>53992</v>
      </c>
      <c r="C9636" s="330" t="s">
        <v>21671</v>
      </c>
      <c r="D9636" s="330" t="s">
        <v>21672</v>
      </c>
      <c r="E9636" s="330" t="s">
        <v>4634</v>
      </c>
      <c r="F9636" s="331">
        <v>0.21</v>
      </c>
      <c r="G9636" s="332">
        <v>387</v>
      </c>
      <c r="H9636" s="333">
        <v>469</v>
      </c>
    </row>
    <row r="9637" spans="1:8">
      <c r="A9637" s="317">
        <v>2600100098</v>
      </c>
      <c r="B9637" s="330" t="s">
        <v>53993</v>
      </c>
      <c r="C9637" s="330" t="s">
        <v>21673</v>
      </c>
      <c r="D9637" s="330" t="s">
        <v>21674</v>
      </c>
      <c r="E9637" s="330" t="s">
        <v>4634</v>
      </c>
      <c r="F9637" s="331">
        <v>0.21</v>
      </c>
      <c r="G9637" s="332">
        <v>584</v>
      </c>
      <c r="H9637" s="333">
        <v>707</v>
      </c>
    </row>
    <row r="9638" spans="1:8">
      <c r="A9638" s="317">
        <v>2600100099</v>
      </c>
      <c r="B9638" s="330" t="s">
        <v>53994</v>
      </c>
      <c r="C9638" s="330" t="s">
        <v>21675</v>
      </c>
      <c r="D9638" s="330" t="s">
        <v>21676</v>
      </c>
      <c r="E9638" s="330" t="s">
        <v>37248</v>
      </c>
      <c r="F9638" s="331">
        <v>0.21</v>
      </c>
      <c r="G9638" s="332">
        <v>2295</v>
      </c>
      <c r="H9638" s="333">
        <v>2777</v>
      </c>
    </row>
    <row r="9639" spans="1:8">
      <c r="A9639" s="317">
        <v>2600100105</v>
      </c>
      <c r="B9639" s="330" t="s">
        <v>53995</v>
      </c>
      <c r="C9639" s="330" t="s">
        <v>21677</v>
      </c>
      <c r="D9639" s="330" t="s">
        <v>5469</v>
      </c>
      <c r="E9639" s="330" t="s">
        <v>4634</v>
      </c>
      <c r="F9639" s="331">
        <v>0.21</v>
      </c>
      <c r="G9639" s="332">
        <v>174</v>
      </c>
      <c r="H9639" s="333">
        <v>211</v>
      </c>
    </row>
    <row r="9640" spans="1:8">
      <c r="A9640" s="317">
        <v>2600100505</v>
      </c>
      <c r="B9640" s="330" t="s">
        <v>53996</v>
      </c>
      <c r="C9640" s="330" t="s">
        <v>21678</v>
      </c>
      <c r="D9640" s="330" t="s">
        <v>5015</v>
      </c>
      <c r="E9640" s="330" t="s">
        <v>4634</v>
      </c>
      <c r="F9640" s="331">
        <v>0.21</v>
      </c>
      <c r="G9640" s="332">
        <v>372</v>
      </c>
      <c r="H9640" s="333">
        <v>451</v>
      </c>
    </row>
    <row r="9641" spans="1:8">
      <c r="A9641" s="317">
        <v>2600100510</v>
      </c>
      <c r="B9641" s="330" t="s">
        <v>53997</v>
      </c>
      <c r="C9641" s="330" t="s">
        <v>21679</v>
      </c>
      <c r="D9641" s="330" t="s">
        <v>21680</v>
      </c>
      <c r="E9641" s="330" t="s">
        <v>4634</v>
      </c>
      <c r="F9641" s="331">
        <v>0.21</v>
      </c>
      <c r="G9641" s="332">
        <v>372</v>
      </c>
      <c r="H9641" s="333">
        <v>451</v>
      </c>
    </row>
    <row r="9642" spans="1:8">
      <c r="A9642" s="317">
        <v>2600100515</v>
      </c>
      <c r="B9642" s="330" t="s">
        <v>53998</v>
      </c>
      <c r="C9642" s="330" t="s">
        <v>21681</v>
      </c>
      <c r="D9642" s="330" t="s">
        <v>6220</v>
      </c>
      <c r="E9642" s="330" t="s">
        <v>4634</v>
      </c>
      <c r="F9642" s="331">
        <v>0.21</v>
      </c>
      <c r="G9642" s="332">
        <v>372</v>
      </c>
      <c r="H9642" s="333">
        <v>451</v>
      </c>
    </row>
    <row r="9643" spans="1:8">
      <c r="A9643" s="317">
        <v>2600100516</v>
      </c>
      <c r="B9643" s="330" t="s">
        <v>53999</v>
      </c>
      <c r="C9643" s="330" t="s">
        <v>21682</v>
      </c>
      <c r="D9643" s="330" t="s">
        <v>6220</v>
      </c>
      <c r="E9643" s="330" t="s">
        <v>4634</v>
      </c>
      <c r="F9643" s="331">
        <v>0.21</v>
      </c>
      <c r="G9643" s="332">
        <v>372</v>
      </c>
      <c r="H9643" s="333">
        <v>451</v>
      </c>
    </row>
    <row r="9644" spans="1:8">
      <c r="A9644" s="317">
        <v>2600100519</v>
      </c>
      <c r="B9644" s="330" t="s">
        <v>54000</v>
      </c>
      <c r="C9644" s="330" t="s">
        <v>21683</v>
      </c>
      <c r="D9644" s="330" t="s">
        <v>5015</v>
      </c>
      <c r="E9644" s="330" t="s">
        <v>4634</v>
      </c>
      <c r="F9644" s="331">
        <v>0.21</v>
      </c>
      <c r="G9644" s="332">
        <v>37</v>
      </c>
      <c r="H9644" s="333">
        <v>45</v>
      </c>
    </row>
    <row r="9645" spans="1:8">
      <c r="A9645" s="317">
        <v>2600100563</v>
      </c>
      <c r="B9645" s="330" t="s">
        <v>54001</v>
      </c>
      <c r="C9645" s="330" t="s">
        <v>21684</v>
      </c>
      <c r="D9645" s="330" t="s">
        <v>5015</v>
      </c>
      <c r="E9645" s="330" t="s">
        <v>4634</v>
      </c>
      <c r="F9645" s="331">
        <v>0.21</v>
      </c>
      <c r="G9645" s="332">
        <v>29</v>
      </c>
      <c r="H9645" s="333">
        <v>36</v>
      </c>
    </row>
    <row r="9646" spans="1:8">
      <c r="A9646" s="317">
        <v>2600100568</v>
      </c>
      <c r="B9646" s="330" t="s">
        <v>54002</v>
      </c>
      <c r="C9646" s="330" t="s">
        <v>21685</v>
      </c>
      <c r="D9646" s="330" t="s">
        <v>5786</v>
      </c>
      <c r="E9646" s="330" t="s">
        <v>4634</v>
      </c>
      <c r="F9646" s="331">
        <v>0.21</v>
      </c>
      <c r="G9646" s="332">
        <v>153</v>
      </c>
      <c r="H9646" s="333">
        <v>186</v>
      </c>
    </row>
    <row r="9647" spans="1:8">
      <c r="A9647" s="317">
        <v>2600100570</v>
      </c>
      <c r="B9647" s="330" t="s">
        <v>54003</v>
      </c>
      <c r="C9647" s="330" t="s">
        <v>21686</v>
      </c>
      <c r="D9647" s="330" t="s">
        <v>21687</v>
      </c>
      <c r="E9647" s="330" t="s">
        <v>4634</v>
      </c>
      <c r="F9647" s="331">
        <v>0.21</v>
      </c>
      <c r="G9647" s="332">
        <v>348</v>
      </c>
      <c r="H9647" s="333">
        <v>422</v>
      </c>
    </row>
    <row r="9648" spans="1:8">
      <c r="A9648" s="317">
        <v>2600100575</v>
      </c>
      <c r="B9648" s="330" t="s">
        <v>54004</v>
      </c>
      <c r="C9648" s="330" t="s">
        <v>21688</v>
      </c>
      <c r="D9648" s="330" t="s">
        <v>6220</v>
      </c>
      <c r="E9648" s="330" t="s">
        <v>4634</v>
      </c>
      <c r="F9648" s="331">
        <v>0.21</v>
      </c>
      <c r="G9648" s="332">
        <v>372</v>
      </c>
      <c r="H9648" s="333">
        <v>451</v>
      </c>
    </row>
    <row r="9649" spans="1:8">
      <c r="A9649" s="317">
        <v>2600100576</v>
      </c>
      <c r="B9649" s="330" t="s">
        <v>54005</v>
      </c>
      <c r="C9649" s="330" t="s">
        <v>21689</v>
      </c>
      <c r="D9649" s="330" t="s">
        <v>5015</v>
      </c>
      <c r="E9649" s="330" t="s">
        <v>4634</v>
      </c>
      <c r="F9649" s="331">
        <v>0.21</v>
      </c>
      <c r="G9649" s="332">
        <v>372</v>
      </c>
      <c r="H9649" s="333">
        <v>451</v>
      </c>
    </row>
    <row r="9650" spans="1:8">
      <c r="A9650" s="317">
        <v>2600100577</v>
      </c>
      <c r="B9650" s="330" t="s">
        <v>54006</v>
      </c>
      <c r="C9650" s="330" t="s">
        <v>21690</v>
      </c>
      <c r="D9650" s="330" t="s">
        <v>6220</v>
      </c>
      <c r="E9650" s="330" t="s">
        <v>4634</v>
      </c>
      <c r="F9650" s="331">
        <v>0.21</v>
      </c>
      <c r="G9650" s="332">
        <v>153</v>
      </c>
      <c r="H9650" s="333">
        <v>186</v>
      </c>
    </row>
    <row r="9651" spans="1:8">
      <c r="A9651" s="317">
        <v>2600100586</v>
      </c>
      <c r="B9651" s="330" t="s">
        <v>54007</v>
      </c>
      <c r="C9651" s="330" t="s">
        <v>21691</v>
      </c>
      <c r="D9651" s="330" t="s">
        <v>21692</v>
      </c>
      <c r="E9651" s="330" t="s">
        <v>4634</v>
      </c>
      <c r="F9651" s="331">
        <v>0.21</v>
      </c>
      <c r="G9651" s="332">
        <v>309</v>
      </c>
      <c r="H9651" s="333">
        <v>374</v>
      </c>
    </row>
    <row r="9652" spans="1:8">
      <c r="A9652" s="317">
        <v>2600100587</v>
      </c>
      <c r="B9652" s="330" t="s">
        <v>54008</v>
      </c>
      <c r="C9652" s="330" t="s">
        <v>21693</v>
      </c>
      <c r="D9652" s="330" t="s">
        <v>21694</v>
      </c>
      <c r="E9652" s="330" t="s">
        <v>4634</v>
      </c>
      <c r="F9652" s="331">
        <v>0.21</v>
      </c>
      <c r="G9652" s="332">
        <v>387</v>
      </c>
      <c r="H9652" s="333">
        <v>469</v>
      </c>
    </row>
    <row r="9653" spans="1:8">
      <c r="A9653" s="317">
        <v>2600100588</v>
      </c>
      <c r="B9653" s="330" t="s">
        <v>54009</v>
      </c>
      <c r="C9653" s="330" t="s">
        <v>21695</v>
      </c>
      <c r="D9653" s="330" t="s">
        <v>5786</v>
      </c>
      <c r="E9653" s="330" t="s">
        <v>37248</v>
      </c>
      <c r="F9653" s="331">
        <v>0.21</v>
      </c>
      <c r="G9653" s="332">
        <v>4972</v>
      </c>
      <c r="H9653" s="333">
        <v>6017</v>
      </c>
    </row>
    <row r="9654" spans="1:8">
      <c r="A9654" s="317">
        <v>2600100607</v>
      </c>
      <c r="B9654" s="330" t="s">
        <v>54010</v>
      </c>
      <c r="C9654" s="330" t="s">
        <v>21696</v>
      </c>
      <c r="D9654" s="330" t="s">
        <v>5786</v>
      </c>
      <c r="E9654" s="330" t="s">
        <v>37248</v>
      </c>
      <c r="F9654" s="331">
        <v>0.21</v>
      </c>
      <c r="G9654" s="332">
        <v>2616</v>
      </c>
      <c r="H9654" s="333">
        <v>3166</v>
      </c>
    </row>
    <row r="9655" spans="1:8">
      <c r="A9655" s="317">
        <v>2600100611</v>
      </c>
      <c r="B9655" s="330" t="s">
        <v>54011</v>
      </c>
      <c r="C9655" s="330" t="s">
        <v>21697</v>
      </c>
      <c r="D9655" s="330" t="s">
        <v>21698</v>
      </c>
      <c r="E9655" s="330" t="s">
        <v>4634</v>
      </c>
      <c r="F9655" s="331">
        <v>0.21</v>
      </c>
      <c r="G9655" s="332">
        <v>387</v>
      </c>
      <c r="H9655" s="333">
        <v>469</v>
      </c>
    </row>
    <row r="9656" spans="1:8">
      <c r="A9656" s="317">
        <v>2600100612</v>
      </c>
      <c r="B9656" s="330" t="s">
        <v>54012</v>
      </c>
      <c r="C9656" s="330" t="s">
        <v>21699</v>
      </c>
      <c r="D9656" s="330" t="s">
        <v>21700</v>
      </c>
      <c r="E9656" s="330" t="s">
        <v>4634</v>
      </c>
      <c r="F9656" s="331">
        <v>0.21</v>
      </c>
      <c r="G9656" s="332">
        <v>490</v>
      </c>
      <c r="H9656" s="333">
        <v>593</v>
      </c>
    </row>
    <row r="9657" spans="1:8">
      <c r="A9657" s="317">
        <v>2600100613</v>
      </c>
      <c r="B9657" s="330" t="s">
        <v>54013</v>
      </c>
      <c r="C9657" s="330" t="s">
        <v>21701</v>
      </c>
      <c r="D9657" s="330" t="s">
        <v>21702</v>
      </c>
      <c r="E9657" s="330" t="s">
        <v>4634</v>
      </c>
      <c r="F9657" s="331">
        <v>0.21</v>
      </c>
      <c r="G9657" s="332">
        <v>387</v>
      </c>
      <c r="H9657" s="333">
        <v>469</v>
      </c>
    </row>
    <row r="9658" spans="1:8">
      <c r="A9658" s="317">
        <v>2600100618</v>
      </c>
      <c r="B9658" s="330" t="s">
        <v>54014</v>
      </c>
      <c r="C9658" s="330" t="s">
        <v>21703</v>
      </c>
      <c r="D9658" s="330" t="s">
        <v>21704</v>
      </c>
      <c r="E9658" s="330" t="s">
        <v>4634</v>
      </c>
      <c r="F9658" s="331">
        <v>0.21</v>
      </c>
      <c r="G9658" s="332">
        <v>849</v>
      </c>
      <c r="H9658" s="333">
        <v>1028</v>
      </c>
    </row>
    <row r="9659" spans="1:8">
      <c r="A9659" s="317">
        <v>2600100621</v>
      </c>
      <c r="B9659" s="330" t="s">
        <v>54015</v>
      </c>
      <c r="C9659" s="330" t="s">
        <v>21705</v>
      </c>
      <c r="D9659" s="330" t="s">
        <v>21706</v>
      </c>
      <c r="E9659" s="330" t="s">
        <v>4634</v>
      </c>
      <c r="F9659" s="331">
        <v>0.21</v>
      </c>
      <c r="G9659" s="332">
        <v>387</v>
      </c>
      <c r="H9659" s="333">
        <v>469</v>
      </c>
    </row>
    <row r="9660" spans="1:8">
      <c r="A9660" s="317">
        <v>2600100625</v>
      </c>
      <c r="B9660" s="330" t="s">
        <v>54016</v>
      </c>
      <c r="C9660" s="330" t="s">
        <v>21707</v>
      </c>
      <c r="D9660" s="330" t="s">
        <v>6220</v>
      </c>
      <c r="E9660" s="330" t="s">
        <v>4634</v>
      </c>
      <c r="F9660" s="331">
        <v>0.21</v>
      </c>
      <c r="G9660" s="332">
        <v>387</v>
      </c>
      <c r="H9660" s="333">
        <v>469</v>
      </c>
    </row>
    <row r="9661" spans="1:8">
      <c r="A9661" s="317">
        <v>2600100626</v>
      </c>
      <c r="B9661" s="330" t="s">
        <v>54017</v>
      </c>
      <c r="C9661" s="330" t="s">
        <v>21708</v>
      </c>
      <c r="D9661" s="330" t="s">
        <v>6220</v>
      </c>
      <c r="E9661" s="330" t="s">
        <v>4634</v>
      </c>
      <c r="F9661" s="331">
        <v>0.21</v>
      </c>
      <c r="G9661" s="332">
        <v>372</v>
      </c>
      <c r="H9661" s="333">
        <v>451</v>
      </c>
    </row>
    <row r="9662" spans="1:8">
      <c r="A9662" s="317">
        <v>2600100627</v>
      </c>
      <c r="B9662" s="330" t="s">
        <v>54018</v>
      </c>
      <c r="C9662" s="330" t="s">
        <v>21709</v>
      </c>
      <c r="D9662" s="330" t="s">
        <v>6220</v>
      </c>
      <c r="E9662" s="330" t="s">
        <v>4634</v>
      </c>
      <c r="F9662" s="331">
        <v>0.21</v>
      </c>
      <c r="G9662" s="332">
        <v>372</v>
      </c>
      <c r="H9662" s="333">
        <v>451</v>
      </c>
    </row>
    <row r="9663" spans="1:8">
      <c r="A9663" s="317">
        <v>2600100628</v>
      </c>
      <c r="B9663" s="330" t="s">
        <v>54019</v>
      </c>
      <c r="C9663" s="330" t="s">
        <v>21710</v>
      </c>
      <c r="D9663" s="330" t="s">
        <v>21711</v>
      </c>
      <c r="E9663" s="330" t="s">
        <v>4634</v>
      </c>
      <c r="F9663" s="331">
        <v>0.21</v>
      </c>
      <c r="G9663" s="332">
        <v>432</v>
      </c>
      <c r="H9663" s="333">
        <v>523</v>
      </c>
    </row>
    <row r="9664" spans="1:8">
      <c r="A9664" s="317">
        <v>2600100636</v>
      </c>
      <c r="B9664" s="330" t="s">
        <v>54020</v>
      </c>
      <c r="C9664" s="330" t="s">
        <v>21712</v>
      </c>
      <c r="D9664" s="330" t="s">
        <v>21713</v>
      </c>
      <c r="E9664" s="330" t="s">
        <v>4634</v>
      </c>
      <c r="F9664" s="331">
        <v>0.21</v>
      </c>
      <c r="G9664" s="332">
        <v>372</v>
      </c>
      <c r="H9664" s="333">
        <v>451</v>
      </c>
    </row>
    <row r="9665" spans="1:8">
      <c r="A9665" s="317">
        <v>2600100692</v>
      </c>
      <c r="B9665" s="330" t="s">
        <v>54021</v>
      </c>
      <c r="C9665" s="330" t="s">
        <v>21714</v>
      </c>
      <c r="D9665" s="330" t="s">
        <v>21715</v>
      </c>
      <c r="E9665" s="330" t="s">
        <v>4634</v>
      </c>
      <c r="F9665" s="331">
        <v>0.21</v>
      </c>
      <c r="G9665" s="332">
        <v>372</v>
      </c>
      <c r="H9665" s="333">
        <v>451</v>
      </c>
    </row>
    <row r="9666" spans="1:8">
      <c r="A9666" s="317">
        <v>2600100699</v>
      </c>
      <c r="B9666" s="330" t="s">
        <v>54022</v>
      </c>
      <c r="C9666" s="330" t="s">
        <v>21716</v>
      </c>
      <c r="D9666" s="330" t="s">
        <v>6257</v>
      </c>
      <c r="E9666" s="330" t="s">
        <v>4634</v>
      </c>
      <c r="F9666" s="331">
        <v>0.21</v>
      </c>
      <c r="G9666" s="332">
        <v>180</v>
      </c>
      <c r="H9666" s="333">
        <v>218</v>
      </c>
    </row>
    <row r="9667" spans="1:8">
      <c r="A9667" s="317">
        <v>2600101001</v>
      </c>
      <c r="B9667" s="330" t="s">
        <v>54023</v>
      </c>
      <c r="C9667" s="330" t="s">
        <v>21717</v>
      </c>
      <c r="D9667" s="330" t="s">
        <v>5015</v>
      </c>
      <c r="E9667" s="330" t="s">
        <v>4634</v>
      </c>
      <c r="F9667" s="331">
        <v>0.21</v>
      </c>
      <c r="G9667" s="332">
        <v>37</v>
      </c>
      <c r="H9667" s="333">
        <v>45</v>
      </c>
    </row>
    <row r="9668" spans="1:8">
      <c r="A9668" s="317">
        <v>2600101003</v>
      </c>
      <c r="B9668" s="330" t="s">
        <v>54024</v>
      </c>
      <c r="C9668" s="330" t="s">
        <v>21718</v>
      </c>
      <c r="D9668" s="330" t="s">
        <v>5015</v>
      </c>
      <c r="E9668" s="330" t="s">
        <v>4634</v>
      </c>
      <c r="F9668" s="331">
        <v>0.21</v>
      </c>
      <c r="G9668" s="332">
        <v>37</v>
      </c>
      <c r="H9668" s="333">
        <v>45</v>
      </c>
    </row>
    <row r="9669" spans="1:8">
      <c r="A9669" s="317">
        <v>2600101016</v>
      </c>
      <c r="B9669" s="330" t="s">
        <v>54025</v>
      </c>
      <c r="C9669" s="330" t="s">
        <v>21719</v>
      </c>
      <c r="D9669" s="330" t="s">
        <v>21720</v>
      </c>
      <c r="E9669" s="330" t="s">
        <v>4634</v>
      </c>
      <c r="F9669" s="331">
        <v>0.21</v>
      </c>
      <c r="G9669" s="332">
        <v>372</v>
      </c>
      <c r="H9669" s="333">
        <v>451</v>
      </c>
    </row>
    <row r="9670" spans="1:8">
      <c r="A9670" s="317">
        <v>2600101020</v>
      </c>
      <c r="B9670" s="330" t="s">
        <v>54026</v>
      </c>
      <c r="C9670" s="330" t="s">
        <v>21721</v>
      </c>
      <c r="D9670" s="330" t="s">
        <v>21722</v>
      </c>
      <c r="E9670" s="330" t="s">
        <v>37248</v>
      </c>
      <c r="F9670" s="331">
        <v>0.21</v>
      </c>
      <c r="G9670" s="332">
        <v>2328</v>
      </c>
      <c r="H9670" s="333">
        <v>2817</v>
      </c>
    </row>
    <row r="9671" spans="1:8">
      <c r="A9671" s="317">
        <v>2600101022</v>
      </c>
      <c r="B9671" s="330" t="s">
        <v>54027</v>
      </c>
      <c r="C9671" s="330" t="s">
        <v>21723</v>
      </c>
      <c r="D9671" s="330" t="s">
        <v>21724</v>
      </c>
      <c r="E9671" s="330" t="s">
        <v>37248</v>
      </c>
      <c r="F9671" s="331">
        <v>0.21</v>
      </c>
      <c r="G9671" s="332">
        <v>1034</v>
      </c>
      <c r="H9671" s="333">
        <v>1252</v>
      </c>
    </row>
    <row r="9672" spans="1:8">
      <c r="A9672" s="317">
        <v>2600101023</v>
      </c>
      <c r="B9672" s="330" t="s">
        <v>54028</v>
      </c>
      <c r="C9672" s="330" t="s">
        <v>21725</v>
      </c>
      <c r="D9672" s="330" t="s">
        <v>21726</v>
      </c>
      <c r="E9672" s="330" t="s">
        <v>4819</v>
      </c>
      <c r="F9672" s="331">
        <v>0.21</v>
      </c>
      <c r="G9672" s="332">
        <v>1329</v>
      </c>
      <c r="H9672" s="333">
        <v>1609</v>
      </c>
    </row>
    <row r="9673" spans="1:8">
      <c r="A9673" s="317">
        <v>2600101027</v>
      </c>
      <c r="B9673" s="330" t="s">
        <v>54029</v>
      </c>
      <c r="C9673" s="330" t="s">
        <v>21727</v>
      </c>
      <c r="D9673" s="330" t="s">
        <v>18431</v>
      </c>
      <c r="E9673" s="330" t="s">
        <v>37248</v>
      </c>
      <c r="F9673" s="331">
        <v>0.21</v>
      </c>
      <c r="G9673" s="332">
        <v>2079</v>
      </c>
      <c r="H9673" s="333">
        <v>2516</v>
      </c>
    </row>
    <row r="9674" spans="1:8">
      <c r="A9674" s="317">
        <v>2600101038</v>
      </c>
      <c r="B9674" s="330" t="s">
        <v>54030</v>
      </c>
      <c r="C9674" s="330" t="s">
        <v>21728</v>
      </c>
      <c r="D9674" s="330" t="s">
        <v>21729</v>
      </c>
      <c r="E9674" s="330" t="s">
        <v>4634</v>
      </c>
      <c r="F9674" s="331">
        <v>0.21</v>
      </c>
      <c r="G9674" s="332">
        <v>372</v>
      </c>
      <c r="H9674" s="333">
        <v>451</v>
      </c>
    </row>
    <row r="9675" spans="1:8">
      <c r="A9675" s="317">
        <v>2600101048</v>
      </c>
      <c r="B9675" s="330" t="s">
        <v>54031</v>
      </c>
      <c r="C9675" s="330" t="s">
        <v>21730</v>
      </c>
      <c r="D9675" s="330" t="s">
        <v>5233</v>
      </c>
      <c r="E9675" s="330" t="s">
        <v>4634</v>
      </c>
      <c r="F9675" s="331">
        <v>0.21</v>
      </c>
      <c r="G9675" s="332">
        <v>432</v>
      </c>
      <c r="H9675" s="333">
        <v>523</v>
      </c>
    </row>
    <row r="9676" spans="1:8">
      <c r="A9676" s="317">
        <v>2600101056</v>
      </c>
      <c r="B9676" s="330" t="s">
        <v>54032</v>
      </c>
      <c r="C9676" s="330" t="s">
        <v>21731</v>
      </c>
      <c r="D9676" s="330" t="s">
        <v>21732</v>
      </c>
      <c r="E9676" s="330" t="s">
        <v>4819</v>
      </c>
      <c r="F9676" s="331">
        <v>0.21</v>
      </c>
      <c r="G9676" s="332">
        <v>5318</v>
      </c>
      <c r="H9676" s="333">
        <v>6435</v>
      </c>
    </row>
    <row r="9677" spans="1:8">
      <c r="A9677" s="317">
        <v>2600101077</v>
      </c>
      <c r="B9677" s="330" t="s">
        <v>54033</v>
      </c>
      <c r="C9677" s="330" t="s">
        <v>21733</v>
      </c>
      <c r="D9677" s="330" t="s">
        <v>21734</v>
      </c>
      <c r="E9677" s="330" t="s">
        <v>37248</v>
      </c>
      <c r="F9677" s="331">
        <v>0.21</v>
      </c>
      <c r="G9677" s="332">
        <v>2128</v>
      </c>
      <c r="H9677" s="333">
        <v>2575</v>
      </c>
    </row>
    <row r="9678" spans="1:8">
      <c r="A9678" s="317">
        <v>2600101083</v>
      </c>
      <c r="B9678" s="330" t="s">
        <v>54034</v>
      </c>
      <c r="C9678" s="330" t="s">
        <v>21735</v>
      </c>
      <c r="D9678" s="330" t="s">
        <v>21736</v>
      </c>
      <c r="E9678" s="330" t="s">
        <v>4634</v>
      </c>
      <c r="F9678" s="331">
        <v>0.21</v>
      </c>
      <c r="G9678" s="332">
        <v>153</v>
      </c>
      <c r="H9678" s="333">
        <v>186</v>
      </c>
    </row>
    <row r="9679" spans="1:8">
      <c r="A9679" s="317">
        <v>2600101085</v>
      </c>
      <c r="B9679" s="330" t="s">
        <v>54035</v>
      </c>
      <c r="C9679" s="330" t="s">
        <v>21737</v>
      </c>
      <c r="D9679" s="330" t="s">
        <v>21738</v>
      </c>
      <c r="E9679" s="330" t="s">
        <v>4634</v>
      </c>
      <c r="F9679" s="331">
        <v>0.21</v>
      </c>
      <c r="G9679" s="332">
        <v>372</v>
      </c>
      <c r="H9679" s="333">
        <v>451</v>
      </c>
    </row>
    <row r="9680" spans="1:8">
      <c r="A9680" s="317">
        <v>2600101088</v>
      </c>
      <c r="B9680" s="330" t="s">
        <v>54036</v>
      </c>
      <c r="C9680" s="330" t="s">
        <v>21739</v>
      </c>
      <c r="D9680" s="330" t="s">
        <v>21740</v>
      </c>
      <c r="E9680" s="330" t="s">
        <v>4634</v>
      </c>
      <c r="F9680" s="331">
        <v>0.21</v>
      </c>
      <c r="G9680" s="332">
        <v>387</v>
      </c>
      <c r="H9680" s="333">
        <v>469</v>
      </c>
    </row>
    <row r="9681" spans="1:8">
      <c r="A9681" s="317">
        <v>2600101089</v>
      </c>
      <c r="B9681" s="330" t="s">
        <v>54037</v>
      </c>
      <c r="C9681" s="330" t="s">
        <v>21741</v>
      </c>
      <c r="D9681" s="330" t="s">
        <v>21742</v>
      </c>
      <c r="E9681" s="330" t="s">
        <v>4634</v>
      </c>
      <c r="F9681" s="331">
        <v>0.21</v>
      </c>
      <c r="G9681" s="332">
        <v>372</v>
      </c>
      <c r="H9681" s="333">
        <v>451</v>
      </c>
    </row>
    <row r="9682" spans="1:8">
      <c r="A9682" s="317">
        <v>2600101090</v>
      </c>
      <c r="B9682" s="330" t="s">
        <v>54038</v>
      </c>
      <c r="C9682" s="330" t="s">
        <v>21743</v>
      </c>
      <c r="D9682" s="330" t="s">
        <v>21744</v>
      </c>
      <c r="E9682" s="330" t="s">
        <v>4634</v>
      </c>
      <c r="F9682" s="331">
        <v>0.21</v>
      </c>
      <c r="G9682" s="332">
        <v>372</v>
      </c>
      <c r="H9682" s="333">
        <v>451</v>
      </c>
    </row>
    <row r="9683" spans="1:8">
      <c r="A9683" s="317">
        <v>2600101091</v>
      </c>
      <c r="B9683" s="330" t="s">
        <v>54039</v>
      </c>
      <c r="C9683" s="330" t="s">
        <v>21745</v>
      </c>
      <c r="D9683" s="330" t="s">
        <v>21746</v>
      </c>
      <c r="E9683" s="330" t="s">
        <v>4634</v>
      </c>
      <c r="F9683" s="331">
        <v>0.21</v>
      </c>
      <c r="G9683" s="332">
        <v>372</v>
      </c>
      <c r="H9683" s="333">
        <v>451</v>
      </c>
    </row>
    <row r="9684" spans="1:8">
      <c r="A9684" s="317">
        <v>2600101095</v>
      </c>
      <c r="B9684" s="330" t="s">
        <v>54040</v>
      </c>
      <c r="C9684" s="330" t="s">
        <v>21747</v>
      </c>
      <c r="D9684" s="330" t="s">
        <v>21748</v>
      </c>
      <c r="E9684" s="330" t="s">
        <v>4634</v>
      </c>
      <c r="F9684" s="331">
        <v>0.21</v>
      </c>
      <c r="G9684" s="332">
        <v>432</v>
      </c>
      <c r="H9684" s="333">
        <v>523</v>
      </c>
    </row>
    <row r="9685" spans="1:8">
      <c r="A9685" s="317">
        <v>2600101096</v>
      </c>
      <c r="B9685" s="330" t="s">
        <v>54041</v>
      </c>
      <c r="C9685" s="330" t="s">
        <v>21749</v>
      </c>
      <c r="D9685" s="330" t="s">
        <v>21750</v>
      </c>
      <c r="E9685" s="330" t="s">
        <v>4634</v>
      </c>
      <c r="F9685" s="331">
        <v>0.21</v>
      </c>
      <c r="G9685" s="332">
        <v>678</v>
      </c>
      <c r="H9685" s="333">
        <v>821</v>
      </c>
    </row>
    <row r="9686" spans="1:8">
      <c r="A9686" s="317">
        <v>2600101119</v>
      </c>
      <c r="B9686" s="330" t="s">
        <v>54042</v>
      </c>
      <c r="C9686" s="330" t="s">
        <v>21751</v>
      </c>
      <c r="D9686" s="330" t="s">
        <v>21668</v>
      </c>
      <c r="E9686" s="330" t="s">
        <v>4634</v>
      </c>
      <c r="F9686" s="331">
        <v>0.21</v>
      </c>
      <c r="G9686" s="332">
        <v>564</v>
      </c>
      <c r="H9686" s="333">
        <v>683</v>
      </c>
    </row>
    <row r="9687" spans="1:8">
      <c r="A9687" s="317">
        <v>2600101513</v>
      </c>
      <c r="B9687" s="330" t="s">
        <v>54043</v>
      </c>
      <c r="C9687" s="330" t="s">
        <v>21752</v>
      </c>
      <c r="D9687" s="330" t="s">
        <v>21753</v>
      </c>
      <c r="E9687" s="330" t="s">
        <v>4634</v>
      </c>
      <c r="F9687" s="331">
        <v>0.21</v>
      </c>
      <c r="G9687" s="332">
        <v>285</v>
      </c>
      <c r="H9687" s="333">
        <v>345</v>
      </c>
    </row>
    <row r="9688" spans="1:8">
      <c r="A9688" s="317">
        <v>2600101515</v>
      </c>
      <c r="B9688" s="330" t="s">
        <v>54044</v>
      </c>
      <c r="C9688" s="330" t="s">
        <v>21754</v>
      </c>
      <c r="D9688" s="330" t="s">
        <v>21704</v>
      </c>
      <c r="E9688" s="330" t="s">
        <v>37248</v>
      </c>
      <c r="F9688" s="331">
        <v>0.21</v>
      </c>
      <c r="G9688" s="332">
        <v>2435</v>
      </c>
      <c r="H9688" s="333">
        <v>2947</v>
      </c>
    </row>
    <row r="9689" spans="1:8">
      <c r="A9689" s="317">
        <v>2600101604</v>
      </c>
      <c r="B9689" s="330" t="s">
        <v>54045</v>
      </c>
      <c r="C9689" s="330" t="s">
        <v>21755</v>
      </c>
      <c r="D9689" s="330" t="s">
        <v>5015</v>
      </c>
      <c r="E9689" s="330" t="s">
        <v>4634</v>
      </c>
      <c r="F9689" s="331">
        <v>0.21</v>
      </c>
      <c r="G9689" s="332">
        <v>29</v>
      </c>
      <c r="H9689" s="333">
        <v>36</v>
      </c>
    </row>
    <row r="9690" spans="1:8">
      <c r="A9690" s="317">
        <v>2600101612</v>
      </c>
      <c r="B9690" s="330" t="s">
        <v>54046</v>
      </c>
      <c r="C9690" s="330" t="s">
        <v>21756</v>
      </c>
      <c r="D9690" s="330" t="s">
        <v>21757</v>
      </c>
      <c r="E9690" s="330" t="s">
        <v>37248</v>
      </c>
      <c r="F9690" s="331">
        <v>0.21</v>
      </c>
      <c r="G9690" s="332">
        <v>2054</v>
      </c>
      <c r="H9690" s="333">
        <v>2486</v>
      </c>
    </row>
    <row r="9691" spans="1:8">
      <c r="A9691" s="317">
        <v>2600101613</v>
      </c>
      <c r="B9691" s="330" t="s">
        <v>54047</v>
      </c>
      <c r="C9691" s="330" t="s">
        <v>21758</v>
      </c>
      <c r="D9691" s="330" t="s">
        <v>5015</v>
      </c>
      <c r="E9691" s="330" t="s">
        <v>4634</v>
      </c>
      <c r="F9691" s="331">
        <v>0.21</v>
      </c>
      <c r="G9691" s="332">
        <v>29</v>
      </c>
      <c r="H9691" s="333">
        <v>36</v>
      </c>
    </row>
    <row r="9692" spans="1:8">
      <c r="A9692" s="317">
        <v>2600101616</v>
      </c>
      <c r="B9692" s="330" t="s">
        <v>54048</v>
      </c>
      <c r="C9692" s="330" t="s">
        <v>21759</v>
      </c>
      <c r="D9692" s="330" t="s">
        <v>21760</v>
      </c>
      <c r="E9692" s="330" t="s">
        <v>4634</v>
      </c>
      <c r="F9692" s="331">
        <v>0.21</v>
      </c>
      <c r="G9692" s="332">
        <v>416</v>
      </c>
      <c r="H9692" s="333">
        <v>504</v>
      </c>
    </row>
    <row r="9693" spans="1:8">
      <c r="A9693" s="317">
        <v>2600101617</v>
      </c>
      <c r="B9693" s="330" t="s">
        <v>54049</v>
      </c>
      <c r="C9693" s="330" t="s">
        <v>21761</v>
      </c>
      <c r="D9693" s="330" t="s">
        <v>21762</v>
      </c>
      <c r="E9693" s="330" t="s">
        <v>4634</v>
      </c>
      <c r="F9693" s="331">
        <v>0.21</v>
      </c>
      <c r="G9693" s="332">
        <v>602</v>
      </c>
      <c r="H9693" s="333">
        <v>729</v>
      </c>
    </row>
    <row r="9694" spans="1:8">
      <c r="A9694" s="317">
        <v>2600101655</v>
      </c>
      <c r="B9694" s="330" t="s">
        <v>54050</v>
      </c>
      <c r="C9694" s="330" t="s">
        <v>21763</v>
      </c>
      <c r="D9694" s="330" t="s">
        <v>21764</v>
      </c>
      <c r="E9694" s="330" t="s">
        <v>4634</v>
      </c>
      <c r="F9694" s="331">
        <v>0.21</v>
      </c>
      <c r="G9694" s="332">
        <v>437</v>
      </c>
      <c r="H9694" s="333">
        <v>529</v>
      </c>
    </row>
    <row r="9695" spans="1:8">
      <c r="A9695" s="317">
        <v>2600101656</v>
      </c>
      <c r="B9695" s="330" t="s">
        <v>54051</v>
      </c>
      <c r="C9695" s="330" t="s">
        <v>21765</v>
      </c>
      <c r="D9695" s="330" t="s">
        <v>6510</v>
      </c>
      <c r="E9695" s="330" t="s">
        <v>4634</v>
      </c>
      <c r="F9695" s="331">
        <v>0.21</v>
      </c>
      <c r="G9695" s="332">
        <v>153</v>
      </c>
      <c r="H9695" s="333">
        <v>186</v>
      </c>
    </row>
    <row r="9696" spans="1:8">
      <c r="A9696" s="317">
        <v>2600101657</v>
      </c>
      <c r="B9696" s="330" t="s">
        <v>54052</v>
      </c>
      <c r="C9696" s="330" t="s">
        <v>21766</v>
      </c>
      <c r="D9696" s="330" t="s">
        <v>5015</v>
      </c>
      <c r="E9696" s="330" t="s">
        <v>4634</v>
      </c>
      <c r="F9696" s="331">
        <v>0.21</v>
      </c>
      <c r="G9696" s="332">
        <v>153</v>
      </c>
      <c r="H9696" s="333">
        <v>186</v>
      </c>
    </row>
    <row r="9697" spans="1:8">
      <c r="A9697" s="317">
        <v>2600101660</v>
      </c>
      <c r="B9697" s="330" t="s">
        <v>54053</v>
      </c>
      <c r="C9697" s="330" t="s">
        <v>21767</v>
      </c>
      <c r="D9697" s="330" t="s">
        <v>5015</v>
      </c>
      <c r="E9697" s="330" t="s">
        <v>4634</v>
      </c>
      <c r="F9697" s="331">
        <v>0.21</v>
      </c>
      <c r="G9697" s="332">
        <v>37</v>
      </c>
      <c r="H9697" s="333">
        <v>45</v>
      </c>
    </row>
    <row r="9698" spans="1:8">
      <c r="A9698" s="317">
        <v>2600101661</v>
      </c>
      <c r="B9698" s="330" t="s">
        <v>54054</v>
      </c>
      <c r="C9698" s="330" t="s">
        <v>21768</v>
      </c>
      <c r="D9698" s="330" t="s">
        <v>5015</v>
      </c>
      <c r="E9698" s="330" t="s">
        <v>4634</v>
      </c>
      <c r="F9698" s="331">
        <v>0.21</v>
      </c>
      <c r="G9698" s="332">
        <v>37</v>
      </c>
      <c r="H9698" s="333">
        <v>45</v>
      </c>
    </row>
    <row r="9699" spans="1:8">
      <c r="A9699" s="317">
        <v>2600101662</v>
      </c>
      <c r="B9699" s="330" t="s">
        <v>54055</v>
      </c>
      <c r="C9699" s="330" t="s">
        <v>21769</v>
      </c>
      <c r="D9699" s="330" t="s">
        <v>5015</v>
      </c>
      <c r="E9699" s="330" t="s">
        <v>4634</v>
      </c>
      <c r="F9699" s="331">
        <v>0.21</v>
      </c>
      <c r="G9699" s="332">
        <v>37</v>
      </c>
      <c r="H9699" s="333">
        <v>45</v>
      </c>
    </row>
    <row r="9700" spans="1:8">
      <c r="A9700" s="317">
        <v>2600101668</v>
      </c>
      <c r="B9700" s="330" t="s">
        <v>54056</v>
      </c>
      <c r="C9700" s="330" t="s">
        <v>21770</v>
      </c>
      <c r="D9700" s="330" t="s">
        <v>5015</v>
      </c>
      <c r="E9700" s="330" t="s">
        <v>4634</v>
      </c>
      <c r="F9700" s="331">
        <v>0.21</v>
      </c>
      <c r="G9700" s="332">
        <v>675</v>
      </c>
      <c r="H9700" s="333">
        <v>817</v>
      </c>
    </row>
    <row r="9701" spans="1:8">
      <c r="A9701" s="317">
        <v>2600101671</v>
      </c>
      <c r="B9701" s="330" t="s">
        <v>54057</v>
      </c>
      <c r="C9701" s="330" t="s">
        <v>21771</v>
      </c>
      <c r="D9701" s="330" t="s">
        <v>21772</v>
      </c>
      <c r="E9701" s="330" t="s">
        <v>37248</v>
      </c>
      <c r="F9701" s="331">
        <v>0.21</v>
      </c>
      <c r="G9701" s="332">
        <v>1115</v>
      </c>
      <c r="H9701" s="333">
        <v>1350</v>
      </c>
    </row>
    <row r="9702" spans="1:8">
      <c r="A9702" s="317">
        <v>2600101673</v>
      </c>
      <c r="B9702" s="330" t="s">
        <v>54058</v>
      </c>
      <c r="C9702" s="330" t="s">
        <v>21773</v>
      </c>
      <c r="D9702" s="330" t="s">
        <v>21774</v>
      </c>
      <c r="E9702" s="330" t="s">
        <v>4634</v>
      </c>
      <c r="F9702" s="331">
        <v>0.21</v>
      </c>
      <c r="G9702" s="332">
        <v>372</v>
      </c>
      <c r="H9702" s="333">
        <v>451</v>
      </c>
    </row>
    <row r="9703" spans="1:8">
      <c r="A9703" s="317">
        <v>2600102014</v>
      </c>
      <c r="B9703" s="330" t="s">
        <v>54059</v>
      </c>
      <c r="C9703" s="330" t="s">
        <v>21775</v>
      </c>
      <c r="D9703" s="330" t="s">
        <v>21776</v>
      </c>
      <c r="E9703" s="330" t="s">
        <v>4634</v>
      </c>
      <c r="F9703" s="331">
        <v>0.21</v>
      </c>
      <c r="G9703" s="332">
        <v>372</v>
      </c>
      <c r="H9703" s="333">
        <v>451</v>
      </c>
    </row>
    <row r="9704" spans="1:8">
      <c r="A9704" s="317">
        <v>2600102028</v>
      </c>
      <c r="B9704" s="330" t="s">
        <v>54060</v>
      </c>
      <c r="C9704" s="330" t="s">
        <v>21777</v>
      </c>
      <c r="D9704" s="330" t="s">
        <v>5015</v>
      </c>
      <c r="E9704" s="330" t="s">
        <v>4634</v>
      </c>
      <c r="F9704" s="331">
        <v>0.21</v>
      </c>
      <c r="G9704" s="332">
        <v>29</v>
      </c>
      <c r="H9704" s="333">
        <v>36</v>
      </c>
    </row>
    <row r="9705" spans="1:8">
      <c r="A9705" s="317">
        <v>2600102029</v>
      </c>
      <c r="B9705" s="330" t="s">
        <v>54061</v>
      </c>
      <c r="C9705" s="330" t="s">
        <v>21778</v>
      </c>
      <c r="D9705" s="330" t="s">
        <v>21779</v>
      </c>
      <c r="E9705" s="330" t="s">
        <v>4634</v>
      </c>
      <c r="F9705" s="331">
        <v>0.21</v>
      </c>
      <c r="G9705" s="332">
        <v>68</v>
      </c>
      <c r="H9705" s="333">
        <v>83</v>
      </c>
    </row>
    <row r="9706" spans="1:8">
      <c r="A9706" s="317">
        <v>2600102036</v>
      </c>
      <c r="B9706" s="330" t="s">
        <v>54062</v>
      </c>
      <c r="C9706" s="330" t="s">
        <v>21780</v>
      </c>
      <c r="D9706" s="330" t="s">
        <v>21781</v>
      </c>
      <c r="E9706" s="330" t="s">
        <v>4634</v>
      </c>
      <c r="F9706" s="331">
        <v>0.21</v>
      </c>
      <c r="G9706" s="332">
        <v>372</v>
      </c>
      <c r="H9706" s="333">
        <v>451</v>
      </c>
    </row>
    <row r="9707" spans="1:8">
      <c r="A9707" s="317">
        <v>2600102614</v>
      </c>
      <c r="B9707" s="330" t="s">
        <v>54063</v>
      </c>
      <c r="C9707" s="330" t="s">
        <v>21782</v>
      </c>
      <c r="D9707" s="330" t="s">
        <v>21783</v>
      </c>
      <c r="E9707" s="330" t="s">
        <v>4634</v>
      </c>
      <c r="F9707" s="331">
        <v>0.21</v>
      </c>
      <c r="G9707" s="332">
        <v>432</v>
      </c>
      <c r="H9707" s="333">
        <v>523</v>
      </c>
    </row>
    <row r="9708" spans="1:8">
      <c r="A9708" s="317">
        <v>2600102652</v>
      </c>
      <c r="B9708" s="330" t="s">
        <v>54064</v>
      </c>
      <c r="C9708" s="330" t="s">
        <v>21784</v>
      </c>
      <c r="D9708" s="330" t="s">
        <v>21785</v>
      </c>
      <c r="E9708" s="330" t="s">
        <v>4819</v>
      </c>
      <c r="F9708" s="331">
        <v>0.21</v>
      </c>
      <c r="G9708" s="332">
        <v>1880</v>
      </c>
      <c r="H9708" s="333">
        <v>2275</v>
      </c>
    </row>
    <row r="9709" spans="1:8">
      <c r="A9709" s="317">
        <v>2600102653</v>
      </c>
      <c r="B9709" s="330" t="s">
        <v>54065</v>
      </c>
      <c r="C9709" s="330" t="s">
        <v>21786</v>
      </c>
      <c r="D9709" s="330" t="s">
        <v>21787</v>
      </c>
      <c r="E9709" s="330" t="s">
        <v>4819</v>
      </c>
      <c r="F9709" s="331">
        <v>0.21</v>
      </c>
      <c r="G9709" s="332">
        <v>2041</v>
      </c>
      <c r="H9709" s="333">
        <v>2470</v>
      </c>
    </row>
    <row r="9710" spans="1:8">
      <c r="A9710" s="317">
        <v>2600102656</v>
      </c>
      <c r="B9710" s="330" t="s">
        <v>54066</v>
      </c>
      <c r="C9710" s="330" t="s">
        <v>21788</v>
      </c>
      <c r="D9710" s="330" t="s">
        <v>21789</v>
      </c>
      <c r="E9710" s="330" t="s">
        <v>4634</v>
      </c>
      <c r="F9710" s="331">
        <v>0.21</v>
      </c>
      <c r="G9710" s="332">
        <v>372</v>
      </c>
      <c r="H9710" s="333">
        <v>451</v>
      </c>
    </row>
    <row r="9711" spans="1:8">
      <c r="A9711" s="317">
        <v>2600102658</v>
      </c>
      <c r="B9711" s="330" t="s">
        <v>54067</v>
      </c>
      <c r="C9711" s="330" t="s">
        <v>21790</v>
      </c>
      <c r="D9711" s="330" t="s">
        <v>21789</v>
      </c>
      <c r="E9711" s="330" t="s">
        <v>4634</v>
      </c>
      <c r="F9711" s="331">
        <v>0.21</v>
      </c>
      <c r="G9711" s="332">
        <v>372</v>
      </c>
      <c r="H9711" s="333">
        <v>451</v>
      </c>
    </row>
    <row r="9712" spans="1:8">
      <c r="A9712" s="317">
        <v>2600102661</v>
      </c>
      <c r="B9712" s="330" t="s">
        <v>54068</v>
      </c>
      <c r="C9712" s="330" t="s">
        <v>21791</v>
      </c>
      <c r="D9712" s="330" t="s">
        <v>21792</v>
      </c>
      <c r="E9712" s="330" t="s">
        <v>4634</v>
      </c>
      <c r="F9712" s="331">
        <v>0.21</v>
      </c>
      <c r="G9712" s="332">
        <v>437</v>
      </c>
      <c r="H9712" s="333">
        <v>529</v>
      </c>
    </row>
    <row r="9713" spans="1:8">
      <c r="A9713" s="317">
        <v>2600103013</v>
      </c>
      <c r="B9713" s="330" t="s">
        <v>54069</v>
      </c>
      <c r="C9713" s="330" t="s">
        <v>21793</v>
      </c>
      <c r="D9713" s="330" t="s">
        <v>5015</v>
      </c>
      <c r="E9713" s="330" t="s">
        <v>4634</v>
      </c>
      <c r="F9713" s="331">
        <v>0.21</v>
      </c>
      <c r="G9713" s="332">
        <v>372</v>
      </c>
      <c r="H9713" s="333">
        <v>451</v>
      </c>
    </row>
    <row r="9714" spans="1:8">
      <c r="A9714" s="317">
        <v>2600103015</v>
      </c>
      <c r="B9714" s="330" t="s">
        <v>54070</v>
      </c>
      <c r="C9714" s="330" t="s">
        <v>21794</v>
      </c>
      <c r="D9714" s="330" t="s">
        <v>21795</v>
      </c>
      <c r="E9714" s="330" t="s">
        <v>4634</v>
      </c>
      <c r="F9714" s="331">
        <v>0.21</v>
      </c>
      <c r="G9714" s="332">
        <v>1170</v>
      </c>
      <c r="H9714" s="333">
        <v>1416</v>
      </c>
    </row>
    <row r="9715" spans="1:8">
      <c r="A9715" s="317">
        <v>2600108002</v>
      </c>
      <c r="B9715" s="330" t="s">
        <v>54071</v>
      </c>
      <c r="C9715" s="330" t="s">
        <v>21796</v>
      </c>
      <c r="D9715" s="330" t="s">
        <v>21797</v>
      </c>
      <c r="E9715" s="330" t="s">
        <v>4634</v>
      </c>
      <c r="F9715" s="331">
        <v>0.21</v>
      </c>
      <c r="G9715" s="332">
        <v>372</v>
      </c>
      <c r="H9715" s="333">
        <v>451</v>
      </c>
    </row>
    <row r="9716" spans="1:8">
      <c r="A9716" s="317">
        <v>2600108006</v>
      </c>
      <c r="B9716" s="330" t="s">
        <v>54072</v>
      </c>
      <c r="C9716" s="330" t="s">
        <v>21798</v>
      </c>
      <c r="D9716" s="330" t="s">
        <v>21799</v>
      </c>
      <c r="E9716" s="330" t="s">
        <v>4634</v>
      </c>
      <c r="F9716" s="331">
        <v>0.21</v>
      </c>
      <c r="G9716" s="332">
        <v>372</v>
      </c>
      <c r="H9716" s="333">
        <v>451</v>
      </c>
    </row>
    <row r="9717" spans="1:8">
      <c r="A9717" s="317">
        <v>2600108017</v>
      </c>
      <c r="B9717" s="330" t="s">
        <v>54073</v>
      </c>
      <c r="C9717" s="330" t="s">
        <v>21800</v>
      </c>
      <c r="D9717" s="330" t="s">
        <v>6243</v>
      </c>
      <c r="E9717" s="330" t="s">
        <v>4634</v>
      </c>
      <c r="F9717" s="331">
        <v>0.21</v>
      </c>
      <c r="G9717" s="332">
        <v>68</v>
      </c>
      <c r="H9717" s="333">
        <v>83</v>
      </c>
    </row>
    <row r="9718" spans="1:8">
      <c r="A9718" s="317">
        <v>2600108020</v>
      </c>
      <c r="B9718" s="330" t="s">
        <v>54074</v>
      </c>
      <c r="C9718" s="330" t="s">
        <v>21801</v>
      </c>
      <c r="D9718" s="330" t="s">
        <v>21802</v>
      </c>
      <c r="E9718" s="330" t="s">
        <v>4634</v>
      </c>
      <c r="F9718" s="331">
        <v>0.21</v>
      </c>
      <c r="G9718" s="332">
        <v>15</v>
      </c>
      <c r="H9718" s="333">
        <v>19</v>
      </c>
    </row>
    <row r="9719" spans="1:8">
      <c r="A9719" s="317">
        <v>2600108026</v>
      </c>
      <c r="B9719" s="330" t="s">
        <v>54075</v>
      </c>
      <c r="C9719" s="330" t="s">
        <v>21803</v>
      </c>
      <c r="D9719" s="330" t="s">
        <v>21804</v>
      </c>
      <c r="E9719" s="330" t="s">
        <v>4634</v>
      </c>
      <c r="F9719" s="331">
        <v>0.21</v>
      </c>
      <c r="G9719" s="332">
        <v>387</v>
      </c>
      <c r="H9719" s="333">
        <v>469</v>
      </c>
    </row>
    <row r="9720" spans="1:8">
      <c r="A9720" s="317">
        <v>2600108033</v>
      </c>
      <c r="B9720" s="330" t="s">
        <v>54076</v>
      </c>
      <c r="C9720" s="330" t="s">
        <v>21805</v>
      </c>
      <c r="D9720" s="330" t="s">
        <v>21806</v>
      </c>
      <c r="E9720" s="330" t="s">
        <v>4819</v>
      </c>
      <c r="F9720" s="331">
        <v>0.21</v>
      </c>
      <c r="G9720" s="332">
        <v>2328</v>
      </c>
      <c r="H9720" s="333">
        <v>2817</v>
      </c>
    </row>
    <row r="9721" spans="1:8">
      <c r="A9721" s="317">
        <v>2600108076</v>
      </c>
      <c r="B9721" s="330" t="s">
        <v>54077</v>
      </c>
      <c r="C9721" s="330" t="s">
        <v>21807</v>
      </c>
      <c r="D9721" s="330" t="s">
        <v>21808</v>
      </c>
      <c r="E9721" s="330" t="s">
        <v>4634</v>
      </c>
      <c r="F9721" s="331">
        <v>0.21</v>
      </c>
      <c r="G9721" s="332">
        <v>153</v>
      </c>
      <c r="H9721" s="333">
        <v>186</v>
      </c>
    </row>
    <row r="9722" spans="1:8">
      <c r="A9722" s="317">
        <v>2600108077</v>
      </c>
      <c r="B9722" s="330" t="s">
        <v>54078</v>
      </c>
      <c r="C9722" s="330" t="s">
        <v>21809</v>
      </c>
      <c r="D9722" s="330" t="s">
        <v>5015</v>
      </c>
      <c r="E9722" s="330" t="s">
        <v>37248</v>
      </c>
      <c r="F9722" s="331">
        <v>0.21</v>
      </c>
      <c r="G9722" s="332">
        <v>1701</v>
      </c>
      <c r="H9722" s="333">
        <v>2059</v>
      </c>
    </row>
    <row r="9723" spans="1:8">
      <c r="A9723" s="317">
        <v>2600108079</v>
      </c>
      <c r="B9723" s="330" t="s">
        <v>54079</v>
      </c>
      <c r="C9723" s="330" t="s">
        <v>21810</v>
      </c>
      <c r="D9723" s="330" t="s">
        <v>21811</v>
      </c>
      <c r="E9723" s="330" t="s">
        <v>4634</v>
      </c>
      <c r="F9723" s="331">
        <v>0.21</v>
      </c>
      <c r="G9723" s="332">
        <v>455</v>
      </c>
      <c r="H9723" s="333">
        <v>551</v>
      </c>
    </row>
    <row r="9724" spans="1:8">
      <c r="A9724" s="317">
        <v>2600109124</v>
      </c>
      <c r="B9724" s="330" t="s">
        <v>54080</v>
      </c>
      <c r="C9724" s="330" t="s">
        <v>21812</v>
      </c>
      <c r="D9724" s="330" t="s">
        <v>21644</v>
      </c>
      <c r="E9724" s="330" t="s">
        <v>37248</v>
      </c>
      <c r="F9724" s="331">
        <v>0.21</v>
      </c>
      <c r="G9724" s="332">
        <v>194</v>
      </c>
      <c r="H9724" s="333">
        <v>235</v>
      </c>
    </row>
    <row r="9725" spans="1:8">
      <c r="A9725" s="317">
        <v>2600109125</v>
      </c>
      <c r="B9725" s="330" t="s">
        <v>54081</v>
      </c>
      <c r="C9725" s="330" t="s">
        <v>21813</v>
      </c>
      <c r="D9725" s="330" t="s">
        <v>21814</v>
      </c>
      <c r="E9725" s="330" t="s">
        <v>37248</v>
      </c>
      <c r="F9725" s="331">
        <v>0.21</v>
      </c>
      <c r="G9725" s="332">
        <v>240</v>
      </c>
      <c r="H9725" s="333">
        <v>291</v>
      </c>
    </row>
    <row r="9726" spans="1:8">
      <c r="A9726" s="317">
        <v>2600109126</v>
      </c>
      <c r="B9726" s="330" t="s">
        <v>54082</v>
      </c>
      <c r="C9726" s="330" t="s">
        <v>21815</v>
      </c>
      <c r="D9726" s="330" t="s">
        <v>21814</v>
      </c>
      <c r="E9726" s="330" t="s">
        <v>37248</v>
      </c>
      <c r="F9726" s="331">
        <v>0.21</v>
      </c>
      <c r="G9726" s="332">
        <v>240</v>
      </c>
      <c r="H9726" s="333">
        <v>291</v>
      </c>
    </row>
    <row r="9727" spans="1:8">
      <c r="A9727" s="317">
        <v>2600112031</v>
      </c>
      <c r="B9727" s="330" t="s">
        <v>54083</v>
      </c>
      <c r="C9727" s="330" t="s">
        <v>21816</v>
      </c>
      <c r="D9727" s="330" t="s">
        <v>6220</v>
      </c>
      <c r="E9727" s="330" t="s">
        <v>4819</v>
      </c>
      <c r="F9727" s="331">
        <v>0.21</v>
      </c>
      <c r="G9727" s="332">
        <v>2128</v>
      </c>
      <c r="H9727" s="333">
        <v>2575</v>
      </c>
    </row>
    <row r="9728" spans="1:8">
      <c r="A9728" s="317">
        <v>2600113019</v>
      </c>
      <c r="B9728" s="330" t="s">
        <v>54084</v>
      </c>
      <c r="C9728" s="330" t="s">
        <v>21817</v>
      </c>
      <c r="D9728" s="330" t="s">
        <v>6510</v>
      </c>
      <c r="E9728" s="330" t="s">
        <v>4634</v>
      </c>
      <c r="F9728" s="331">
        <v>0.21</v>
      </c>
      <c r="G9728" s="332">
        <v>570</v>
      </c>
      <c r="H9728" s="333">
        <v>690</v>
      </c>
    </row>
    <row r="9729" spans="1:8">
      <c r="A9729" s="317">
        <v>2600116012</v>
      </c>
      <c r="B9729" s="330" t="s">
        <v>54085</v>
      </c>
      <c r="C9729" s="330" t="s">
        <v>21818</v>
      </c>
      <c r="D9729" s="330" t="s">
        <v>21819</v>
      </c>
      <c r="E9729" s="330" t="s">
        <v>4634</v>
      </c>
      <c r="F9729" s="331">
        <v>0.21</v>
      </c>
      <c r="G9729" s="332">
        <v>372</v>
      </c>
      <c r="H9729" s="333">
        <v>451</v>
      </c>
    </row>
    <row r="9730" spans="1:8">
      <c r="A9730" s="317">
        <v>2600116099</v>
      </c>
      <c r="B9730" s="330" t="s">
        <v>54086</v>
      </c>
      <c r="C9730" s="330" t="s">
        <v>21820</v>
      </c>
      <c r="D9730" s="330" t="s">
        <v>6299</v>
      </c>
      <c r="E9730" s="330" t="s">
        <v>37248</v>
      </c>
      <c r="F9730" s="331">
        <v>0.21</v>
      </c>
      <c r="G9730" s="332">
        <v>240</v>
      </c>
      <c r="H9730" s="333">
        <v>291</v>
      </c>
    </row>
    <row r="9731" spans="1:8">
      <c r="A9731" s="317">
        <v>2600118001</v>
      </c>
      <c r="B9731" s="330" t="s">
        <v>54087</v>
      </c>
      <c r="C9731" s="330" t="s">
        <v>21821</v>
      </c>
      <c r="D9731" s="330" t="s">
        <v>5015</v>
      </c>
      <c r="E9731" s="330" t="s">
        <v>4634</v>
      </c>
      <c r="F9731" s="331">
        <v>0.21</v>
      </c>
      <c r="G9731" s="332">
        <v>372</v>
      </c>
      <c r="H9731" s="333">
        <v>451</v>
      </c>
    </row>
    <row r="9732" spans="1:8">
      <c r="A9732" s="317">
        <v>2600118002</v>
      </c>
      <c r="B9732" s="330" t="s">
        <v>54088</v>
      </c>
      <c r="C9732" s="330" t="s">
        <v>21822</v>
      </c>
      <c r="D9732" s="330" t="s">
        <v>21823</v>
      </c>
      <c r="E9732" s="330" t="s">
        <v>4819</v>
      </c>
      <c r="F9732" s="331">
        <v>0.21</v>
      </c>
      <c r="G9732" s="332">
        <v>519</v>
      </c>
      <c r="H9732" s="333">
        <v>628</v>
      </c>
    </row>
    <row r="9733" spans="1:8">
      <c r="A9733" s="317">
        <v>2600118006</v>
      </c>
      <c r="B9733" s="330" t="s">
        <v>54089</v>
      </c>
      <c r="C9733" s="330" t="s">
        <v>21824</v>
      </c>
      <c r="D9733" s="330" t="s">
        <v>21825</v>
      </c>
      <c r="E9733" s="330" t="s">
        <v>4634</v>
      </c>
      <c r="F9733" s="331">
        <v>0.21</v>
      </c>
      <c r="G9733" s="332">
        <v>4231</v>
      </c>
      <c r="H9733" s="333">
        <v>5120</v>
      </c>
    </row>
    <row r="9734" spans="1:8">
      <c r="A9734" s="317">
        <v>2600118007</v>
      </c>
      <c r="B9734" s="330" t="s">
        <v>54090</v>
      </c>
      <c r="C9734" s="330" t="s">
        <v>21826</v>
      </c>
      <c r="D9734" s="330" t="s">
        <v>21827</v>
      </c>
      <c r="E9734" s="330" t="s">
        <v>4634</v>
      </c>
      <c r="F9734" s="331">
        <v>0.21</v>
      </c>
      <c r="G9734" s="332">
        <v>580</v>
      </c>
      <c r="H9734" s="333">
        <v>702</v>
      </c>
    </row>
    <row r="9735" spans="1:8">
      <c r="A9735" s="317">
        <v>2600118008</v>
      </c>
      <c r="B9735" s="330" t="s">
        <v>54091</v>
      </c>
      <c r="C9735" s="330" t="s">
        <v>21828</v>
      </c>
      <c r="D9735" s="330" t="s">
        <v>21829</v>
      </c>
      <c r="E9735" s="330" t="s">
        <v>4634</v>
      </c>
      <c r="F9735" s="331">
        <v>0.21</v>
      </c>
      <c r="G9735" s="332">
        <v>372</v>
      </c>
      <c r="H9735" s="333">
        <v>451</v>
      </c>
    </row>
    <row r="9736" spans="1:8">
      <c r="A9736" s="317">
        <v>2600118013</v>
      </c>
      <c r="B9736" s="330" t="s">
        <v>54092</v>
      </c>
      <c r="C9736" s="330" t="s">
        <v>21830</v>
      </c>
      <c r="D9736" s="330" t="s">
        <v>21831</v>
      </c>
      <c r="E9736" s="330" t="s">
        <v>4634</v>
      </c>
      <c r="F9736" s="331">
        <v>0.21</v>
      </c>
      <c r="G9736" s="332">
        <v>274</v>
      </c>
      <c r="H9736" s="333">
        <v>332</v>
      </c>
    </row>
    <row r="9737" spans="1:8">
      <c r="A9737" s="317">
        <v>2600119000</v>
      </c>
      <c r="B9737" s="330" t="s">
        <v>54093</v>
      </c>
      <c r="C9737" s="330" t="s">
        <v>21832</v>
      </c>
      <c r="D9737" s="330" t="s">
        <v>21833</v>
      </c>
      <c r="E9737" s="330" t="s">
        <v>4634</v>
      </c>
      <c r="F9737" s="331">
        <v>0.21</v>
      </c>
      <c r="G9737" s="332">
        <v>1880</v>
      </c>
      <c r="H9737" s="333">
        <v>2275</v>
      </c>
    </row>
    <row r="9738" spans="1:8">
      <c r="A9738" s="317">
        <v>2600120043</v>
      </c>
      <c r="B9738" s="330" t="s">
        <v>54094</v>
      </c>
      <c r="C9738" s="330" t="s">
        <v>21834</v>
      </c>
      <c r="D9738" s="330" t="s">
        <v>21835</v>
      </c>
      <c r="E9738" s="330" t="s">
        <v>4634</v>
      </c>
      <c r="F9738" s="331">
        <v>0.21</v>
      </c>
      <c r="G9738" s="332">
        <v>200</v>
      </c>
      <c r="H9738" s="333">
        <v>242</v>
      </c>
    </row>
    <row r="9739" spans="1:8">
      <c r="A9739" s="317">
        <v>2600120046</v>
      </c>
      <c r="B9739" s="330" t="s">
        <v>54095</v>
      </c>
      <c r="C9739" s="330" t="s">
        <v>21836</v>
      </c>
      <c r="D9739" s="330" t="s">
        <v>21837</v>
      </c>
      <c r="E9739" s="330" t="s">
        <v>4634</v>
      </c>
      <c r="F9739" s="331">
        <v>0.21</v>
      </c>
      <c r="G9739" s="332">
        <v>437</v>
      </c>
      <c r="H9739" s="333">
        <v>529</v>
      </c>
    </row>
    <row r="9740" spans="1:8">
      <c r="A9740" s="317">
        <v>2600121002</v>
      </c>
      <c r="B9740" s="330" t="s">
        <v>54096</v>
      </c>
      <c r="C9740" s="330" t="s">
        <v>21838</v>
      </c>
      <c r="D9740" s="330" t="s">
        <v>5015</v>
      </c>
      <c r="E9740" s="330" t="s">
        <v>4634</v>
      </c>
      <c r="F9740" s="331">
        <v>0.21</v>
      </c>
      <c r="G9740" s="332">
        <v>37</v>
      </c>
      <c r="H9740" s="333">
        <v>45</v>
      </c>
    </row>
    <row r="9741" spans="1:8">
      <c r="A9741" s="317">
        <v>2600136002</v>
      </c>
      <c r="B9741" s="330" t="s">
        <v>54097</v>
      </c>
      <c r="C9741" s="330" t="s">
        <v>21839</v>
      </c>
      <c r="D9741" s="330" t="s">
        <v>21840</v>
      </c>
      <c r="E9741" s="330" t="s">
        <v>4634</v>
      </c>
      <c r="F9741" s="331">
        <v>0.21</v>
      </c>
      <c r="G9741" s="332">
        <v>236</v>
      </c>
      <c r="H9741" s="333">
        <v>286</v>
      </c>
    </row>
    <row r="9742" spans="1:8">
      <c r="A9742" s="317">
        <v>2600136003</v>
      </c>
      <c r="B9742" s="330" t="s">
        <v>54098</v>
      </c>
      <c r="C9742" s="330" t="s">
        <v>21841</v>
      </c>
      <c r="D9742" s="330" t="s">
        <v>6189</v>
      </c>
      <c r="E9742" s="330" t="s">
        <v>4634</v>
      </c>
      <c r="F9742" s="331">
        <v>0.21</v>
      </c>
      <c r="G9742" s="332">
        <v>437</v>
      </c>
      <c r="H9742" s="333">
        <v>529</v>
      </c>
    </row>
    <row r="9743" spans="1:8">
      <c r="A9743" s="317">
        <v>2600138001</v>
      </c>
      <c r="B9743" s="330" t="s">
        <v>54099</v>
      </c>
      <c r="C9743" s="330" t="s">
        <v>21842</v>
      </c>
      <c r="D9743" s="330" t="s">
        <v>5015</v>
      </c>
      <c r="E9743" s="330" t="s">
        <v>4634</v>
      </c>
      <c r="F9743" s="331">
        <v>0.21</v>
      </c>
      <c r="G9743" s="332">
        <v>37</v>
      </c>
      <c r="H9743" s="333">
        <v>45</v>
      </c>
    </row>
    <row r="9744" spans="1:8">
      <c r="A9744" s="317">
        <v>2600139001</v>
      </c>
      <c r="B9744" s="330" t="s">
        <v>54100</v>
      </c>
      <c r="C9744" s="330" t="s">
        <v>21843</v>
      </c>
      <c r="D9744" s="330" t="s">
        <v>5015</v>
      </c>
      <c r="E9744" s="330" t="s">
        <v>4634</v>
      </c>
      <c r="F9744" s="331">
        <v>0.21</v>
      </c>
      <c r="G9744" s="332">
        <v>3598</v>
      </c>
      <c r="H9744" s="333">
        <v>4354</v>
      </c>
    </row>
    <row r="9745" spans="1:8">
      <c r="A9745" s="317">
        <v>2600148008</v>
      </c>
      <c r="B9745" s="330" t="s">
        <v>54101</v>
      </c>
      <c r="C9745" s="330" t="s">
        <v>21844</v>
      </c>
      <c r="D9745" s="330" t="s">
        <v>21845</v>
      </c>
      <c r="E9745" s="330" t="s">
        <v>37248</v>
      </c>
      <c r="F9745" s="331">
        <v>0.21</v>
      </c>
      <c r="G9745" s="332">
        <v>3102</v>
      </c>
      <c r="H9745" s="333">
        <v>3754</v>
      </c>
    </row>
    <row r="9746" spans="1:8">
      <c r="A9746" s="317">
        <v>2600148020</v>
      </c>
      <c r="B9746" s="330" t="s">
        <v>54102</v>
      </c>
      <c r="C9746" s="330" t="s">
        <v>21846</v>
      </c>
      <c r="D9746" s="330" t="s">
        <v>21847</v>
      </c>
      <c r="E9746" s="330" t="s">
        <v>37248</v>
      </c>
      <c r="F9746" s="331">
        <v>0.21</v>
      </c>
      <c r="G9746" s="332">
        <v>194</v>
      </c>
      <c r="H9746" s="333">
        <v>235</v>
      </c>
    </row>
    <row r="9747" spans="1:8">
      <c r="A9747" s="317">
        <v>2600150002</v>
      </c>
      <c r="B9747" s="330" t="s">
        <v>54103</v>
      </c>
      <c r="C9747" s="330" t="s">
        <v>21848</v>
      </c>
      <c r="D9747" s="330" t="s">
        <v>5015</v>
      </c>
      <c r="E9747" s="330" t="s">
        <v>4634</v>
      </c>
      <c r="F9747" s="331">
        <v>0.21</v>
      </c>
      <c r="G9747" s="332">
        <v>37</v>
      </c>
      <c r="H9747" s="333">
        <v>45</v>
      </c>
    </row>
    <row r="9748" spans="1:8">
      <c r="A9748" s="317">
        <v>2600150003</v>
      </c>
      <c r="B9748" s="330" t="s">
        <v>54104</v>
      </c>
      <c r="C9748" s="330" t="s">
        <v>21849</v>
      </c>
      <c r="D9748" s="330" t="s">
        <v>21850</v>
      </c>
      <c r="E9748" s="330" t="s">
        <v>4634</v>
      </c>
      <c r="F9748" s="331">
        <v>0.21</v>
      </c>
      <c r="G9748" s="332">
        <v>372</v>
      </c>
      <c r="H9748" s="333">
        <v>451</v>
      </c>
    </row>
    <row r="9749" spans="1:8">
      <c r="A9749" s="317">
        <v>2600150004</v>
      </c>
      <c r="B9749" s="330" t="s">
        <v>54105</v>
      </c>
      <c r="C9749" s="330" t="s">
        <v>21851</v>
      </c>
      <c r="D9749" s="330" t="s">
        <v>5233</v>
      </c>
      <c r="E9749" s="330" t="s">
        <v>4819</v>
      </c>
      <c r="F9749" s="331">
        <v>0.21</v>
      </c>
      <c r="G9749" s="332">
        <v>910</v>
      </c>
      <c r="H9749" s="333">
        <v>1102</v>
      </c>
    </row>
    <row r="9750" spans="1:8">
      <c r="A9750" s="317">
        <v>2600150005</v>
      </c>
      <c r="B9750" s="330" t="s">
        <v>54106</v>
      </c>
      <c r="C9750" s="330" t="s">
        <v>21852</v>
      </c>
      <c r="D9750" s="330" t="s">
        <v>21853</v>
      </c>
      <c r="E9750" s="330" t="s">
        <v>4634</v>
      </c>
      <c r="F9750" s="331">
        <v>0.21</v>
      </c>
      <c r="G9750" s="332">
        <v>348</v>
      </c>
      <c r="H9750" s="333">
        <v>422</v>
      </c>
    </row>
    <row r="9751" spans="1:8">
      <c r="A9751" s="317">
        <v>2600150033</v>
      </c>
      <c r="B9751" s="330" t="s">
        <v>54107</v>
      </c>
      <c r="C9751" s="330" t="s">
        <v>21854</v>
      </c>
      <c r="D9751" s="330" t="s">
        <v>21855</v>
      </c>
      <c r="E9751" s="330" t="s">
        <v>4634</v>
      </c>
      <c r="F9751" s="331">
        <v>0.21</v>
      </c>
      <c r="G9751" s="332">
        <v>372</v>
      </c>
      <c r="H9751" s="333">
        <v>451</v>
      </c>
    </row>
    <row r="9752" spans="1:8">
      <c r="A9752" s="317">
        <v>2600150050</v>
      </c>
      <c r="B9752" s="330" t="s">
        <v>54108</v>
      </c>
      <c r="C9752" s="330" t="s">
        <v>21856</v>
      </c>
      <c r="D9752" s="330" t="s">
        <v>21857</v>
      </c>
      <c r="E9752" s="330" t="s">
        <v>4634</v>
      </c>
      <c r="F9752" s="331">
        <v>0.21</v>
      </c>
      <c r="G9752" s="332">
        <v>236</v>
      </c>
      <c r="H9752" s="333">
        <v>286</v>
      </c>
    </row>
    <row r="9753" spans="1:8">
      <c r="A9753" s="317">
        <v>2600170000</v>
      </c>
      <c r="B9753" s="330" t="s">
        <v>54109</v>
      </c>
      <c r="C9753" s="330" t="s">
        <v>21858</v>
      </c>
      <c r="D9753" s="330" t="s">
        <v>7991</v>
      </c>
      <c r="E9753" s="330" t="s">
        <v>4634</v>
      </c>
      <c r="F9753" s="331">
        <v>0.21</v>
      </c>
      <c r="G9753" s="332">
        <v>37</v>
      </c>
      <c r="H9753" s="333">
        <v>45</v>
      </c>
    </row>
    <row r="9754" spans="1:8">
      <c r="A9754" s="317">
        <v>2600190001</v>
      </c>
      <c r="B9754" s="330" t="s">
        <v>54110</v>
      </c>
      <c r="C9754" s="330" t="s">
        <v>21859</v>
      </c>
      <c r="D9754" s="330" t="s">
        <v>21860</v>
      </c>
      <c r="E9754" s="330" t="s">
        <v>4634</v>
      </c>
      <c r="F9754" s="331">
        <v>0.21</v>
      </c>
      <c r="G9754" s="332">
        <v>216</v>
      </c>
      <c r="H9754" s="333">
        <v>262</v>
      </c>
    </row>
    <row r="9755" spans="1:8">
      <c r="A9755" s="317">
        <v>2600190009</v>
      </c>
      <c r="B9755" s="330" t="s">
        <v>54111</v>
      </c>
      <c r="C9755" s="330" t="s">
        <v>21861</v>
      </c>
      <c r="D9755" s="330" t="s">
        <v>21292</v>
      </c>
      <c r="E9755" s="330" t="s">
        <v>4634</v>
      </c>
      <c r="F9755" s="331">
        <v>0.21</v>
      </c>
      <c r="G9755" s="332">
        <v>1650</v>
      </c>
      <c r="H9755" s="333">
        <v>1997</v>
      </c>
    </row>
    <row r="9756" spans="1:8">
      <c r="A9756" s="317">
        <v>2600190013</v>
      </c>
      <c r="B9756" s="330" t="s">
        <v>54112</v>
      </c>
      <c r="C9756" s="330" t="s">
        <v>21862</v>
      </c>
      <c r="D9756" s="330" t="s">
        <v>19797</v>
      </c>
      <c r="E9756" s="330" t="s">
        <v>4634</v>
      </c>
      <c r="F9756" s="331">
        <v>0.21</v>
      </c>
      <c r="G9756" s="332">
        <v>1710</v>
      </c>
      <c r="H9756" s="333">
        <v>2070</v>
      </c>
    </row>
    <row r="9757" spans="1:8">
      <c r="A9757" s="317">
        <v>2600190019</v>
      </c>
      <c r="B9757" s="330" t="s">
        <v>54113</v>
      </c>
      <c r="C9757" s="330" t="s">
        <v>21863</v>
      </c>
      <c r="D9757" s="330" t="s">
        <v>11088</v>
      </c>
      <c r="E9757" s="330" t="s">
        <v>4634</v>
      </c>
      <c r="F9757" s="331">
        <v>0.21</v>
      </c>
      <c r="G9757" s="332">
        <v>1951</v>
      </c>
      <c r="H9757" s="333">
        <v>2361</v>
      </c>
    </row>
    <row r="9758" spans="1:8">
      <c r="A9758" s="317">
        <v>2600190040</v>
      </c>
      <c r="B9758" s="330" t="s">
        <v>54114</v>
      </c>
      <c r="C9758" s="330" t="s">
        <v>21864</v>
      </c>
      <c r="D9758" s="330" t="s">
        <v>7991</v>
      </c>
      <c r="E9758" s="330" t="s">
        <v>4634</v>
      </c>
      <c r="F9758" s="331">
        <v>0.21</v>
      </c>
      <c r="G9758" s="332">
        <v>372</v>
      </c>
      <c r="H9758" s="333">
        <v>451</v>
      </c>
    </row>
    <row r="9759" spans="1:8">
      <c r="A9759" s="317">
        <v>2600190051</v>
      </c>
      <c r="B9759" s="330" t="s">
        <v>54115</v>
      </c>
      <c r="C9759" s="330" t="s">
        <v>21865</v>
      </c>
      <c r="D9759" s="330" t="s">
        <v>21866</v>
      </c>
      <c r="E9759" s="330" t="s">
        <v>4634</v>
      </c>
      <c r="F9759" s="331">
        <v>0.21</v>
      </c>
      <c r="G9759" s="332">
        <v>4024</v>
      </c>
      <c r="H9759" s="333">
        <v>4870</v>
      </c>
    </row>
    <row r="9760" spans="1:8">
      <c r="A9760" s="317">
        <v>2600190052</v>
      </c>
      <c r="B9760" s="330" t="s">
        <v>54116</v>
      </c>
      <c r="C9760" s="330" t="s">
        <v>21867</v>
      </c>
      <c r="D9760" s="330" t="s">
        <v>21868</v>
      </c>
      <c r="E9760" s="330" t="s">
        <v>4634</v>
      </c>
      <c r="F9760" s="331">
        <v>0.21</v>
      </c>
      <c r="G9760" s="332">
        <v>1920</v>
      </c>
      <c r="H9760" s="333">
        <v>2324</v>
      </c>
    </row>
    <row r="9761" spans="1:8">
      <c r="A9761" s="317">
        <v>2600190056</v>
      </c>
      <c r="B9761" s="330" t="s">
        <v>54117</v>
      </c>
      <c r="C9761" s="330" t="s">
        <v>21869</v>
      </c>
      <c r="D9761" s="330" t="s">
        <v>21870</v>
      </c>
      <c r="E9761" s="330" t="s">
        <v>4634</v>
      </c>
      <c r="F9761" s="331">
        <v>0.21</v>
      </c>
      <c r="G9761" s="332">
        <v>372</v>
      </c>
      <c r="H9761" s="333">
        <v>451</v>
      </c>
    </row>
    <row r="9762" spans="1:8">
      <c r="A9762" s="317">
        <v>2600190057</v>
      </c>
      <c r="B9762" s="330" t="s">
        <v>54118</v>
      </c>
      <c r="C9762" s="330" t="s">
        <v>21871</v>
      </c>
      <c r="D9762" s="330" t="s">
        <v>21872</v>
      </c>
      <c r="E9762" s="330" t="s">
        <v>4634</v>
      </c>
      <c r="F9762" s="331">
        <v>0.21</v>
      </c>
      <c r="G9762" s="332">
        <v>11517</v>
      </c>
      <c r="H9762" s="333">
        <v>13936</v>
      </c>
    </row>
    <row r="9763" spans="1:8">
      <c r="A9763" s="317">
        <v>2600190059</v>
      </c>
      <c r="B9763" s="330" t="s">
        <v>54119</v>
      </c>
      <c r="C9763" s="330" t="s">
        <v>21873</v>
      </c>
      <c r="D9763" s="330" t="s">
        <v>21874</v>
      </c>
      <c r="E9763" s="330" t="s">
        <v>4634</v>
      </c>
      <c r="F9763" s="331">
        <v>0.21</v>
      </c>
      <c r="G9763" s="332">
        <v>791</v>
      </c>
      <c r="H9763" s="333">
        <v>958</v>
      </c>
    </row>
    <row r="9764" spans="1:8">
      <c r="A9764" s="317">
        <v>2600190060</v>
      </c>
      <c r="B9764" s="330" t="s">
        <v>54120</v>
      </c>
      <c r="C9764" s="330" t="s">
        <v>21875</v>
      </c>
      <c r="D9764" s="330" t="s">
        <v>21876</v>
      </c>
      <c r="E9764" s="330" t="s">
        <v>4634</v>
      </c>
      <c r="F9764" s="331">
        <v>0.21</v>
      </c>
      <c r="G9764" s="332">
        <v>372</v>
      </c>
      <c r="H9764" s="333">
        <v>451</v>
      </c>
    </row>
    <row r="9765" spans="1:8">
      <c r="A9765" s="317">
        <v>2600190067</v>
      </c>
      <c r="B9765" s="330" t="s">
        <v>54121</v>
      </c>
      <c r="C9765" s="330" t="s">
        <v>21877</v>
      </c>
      <c r="D9765" s="330" t="s">
        <v>21878</v>
      </c>
      <c r="E9765" s="330" t="s">
        <v>4634</v>
      </c>
      <c r="F9765" s="331">
        <v>0.21</v>
      </c>
      <c r="G9765" s="332">
        <v>387</v>
      </c>
      <c r="H9765" s="333">
        <v>469</v>
      </c>
    </row>
    <row r="9766" spans="1:8">
      <c r="A9766" s="317">
        <v>2600200007</v>
      </c>
      <c r="B9766" s="330" t="s">
        <v>54122</v>
      </c>
      <c r="C9766" s="330" t="s">
        <v>21879</v>
      </c>
      <c r="D9766" s="330" t="s">
        <v>21880</v>
      </c>
      <c r="E9766" s="330" t="s">
        <v>4634</v>
      </c>
      <c r="F9766" s="331">
        <v>0.21</v>
      </c>
      <c r="G9766" s="332">
        <v>3225</v>
      </c>
      <c r="H9766" s="333">
        <v>3903</v>
      </c>
    </row>
    <row r="9767" spans="1:8">
      <c r="A9767" s="317">
        <v>2600200022</v>
      </c>
      <c r="B9767" s="330" t="s">
        <v>54123</v>
      </c>
      <c r="C9767" s="330" t="s">
        <v>21881</v>
      </c>
      <c r="D9767" s="330" t="s">
        <v>21882</v>
      </c>
      <c r="E9767" s="330" t="s">
        <v>4634</v>
      </c>
      <c r="F9767" s="331">
        <v>0.21</v>
      </c>
      <c r="G9767" s="332">
        <v>348</v>
      </c>
      <c r="H9767" s="333">
        <v>422</v>
      </c>
    </row>
    <row r="9768" spans="1:8">
      <c r="A9768" s="317">
        <v>2600200023</v>
      </c>
      <c r="B9768" s="330" t="s">
        <v>54124</v>
      </c>
      <c r="C9768" s="330" t="s">
        <v>21883</v>
      </c>
      <c r="D9768" s="330" t="s">
        <v>21884</v>
      </c>
      <c r="E9768" s="330" t="s">
        <v>4634</v>
      </c>
      <c r="F9768" s="331">
        <v>0.21</v>
      </c>
      <c r="G9768" s="332">
        <v>68</v>
      </c>
      <c r="H9768" s="333">
        <v>83</v>
      </c>
    </row>
    <row r="9769" spans="1:8">
      <c r="A9769" s="317">
        <v>2600200038</v>
      </c>
      <c r="B9769" s="330" t="s">
        <v>54125</v>
      </c>
      <c r="C9769" s="330" t="s">
        <v>21885</v>
      </c>
      <c r="D9769" s="330" t="s">
        <v>21886</v>
      </c>
      <c r="E9769" s="330" t="s">
        <v>4634</v>
      </c>
      <c r="F9769" s="331">
        <v>0.21</v>
      </c>
      <c r="G9769" s="332">
        <v>432</v>
      </c>
      <c r="H9769" s="333">
        <v>523</v>
      </c>
    </row>
    <row r="9770" spans="1:8">
      <c r="A9770" s="317">
        <v>2600200044</v>
      </c>
      <c r="B9770" s="330" t="s">
        <v>54126</v>
      </c>
      <c r="C9770" s="330" t="s">
        <v>21887</v>
      </c>
      <c r="D9770" s="330" t="s">
        <v>21888</v>
      </c>
      <c r="E9770" s="330" t="s">
        <v>4634</v>
      </c>
      <c r="F9770" s="331">
        <v>0.21</v>
      </c>
      <c r="G9770" s="332">
        <v>584</v>
      </c>
      <c r="H9770" s="333">
        <v>707</v>
      </c>
    </row>
    <row r="9771" spans="1:8">
      <c r="A9771" s="317">
        <v>2600202025</v>
      </c>
      <c r="B9771" s="330" t="s">
        <v>54127</v>
      </c>
      <c r="C9771" s="330" t="s">
        <v>21889</v>
      </c>
      <c r="D9771" s="330" t="s">
        <v>21890</v>
      </c>
      <c r="E9771" s="330" t="s">
        <v>4634</v>
      </c>
      <c r="F9771" s="331">
        <v>0.21</v>
      </c>
      <c r="G9771" s="332">
        <v>1170</v>
      </c>
      <c r="H9771" s="333">
        <v>1416</v>
      </c>
    </row>
    <row r="9772" spans="1:8">
      <c r="A9772" s="317">
        <v>2600202037</v>
      </c>
      <c r="B9772" s="330" t="s">
        <v>54128</v>
      </c>
      <c r="C9772" s="330" t="s">
        <v>21891</v>
      </c>
      <c r="D9772" s="330" t="s">
        <v>21892</v>
      </c>
      <c r="E9772" s="330" t="s">
        <v>4634</v>
      </c>
      <c r="F9772" s="331">
        <v>0.21</v>
      </c>
      <c r="G9772" s="332">
        <v>564</v>
      </c>
      <c r="H9772" s="333">
        <v>683</v>
      </c>
    </row>
    <row r="9773" spans="1:8">
      <c r="A9773" s="317">
        <v>2600202058</v>
      </c>
      <c r="B9773" s="330" t="s">
        <v>54129</v>
      </c>
      <c r="C9773" s="330" t="s">
        <v>21893</v>
      </c>
      <c r="D9773" s="330" t="s">
        <v>21894</v>
      </c>
      <c r="E9773" s="330" t="s">
        <v>4634</v>
      </c>
      <c r="F9773" s="331">
        <v>0.21</v>
      </c>
      <c r="G9773" s="332">
        <v>4294</v>
      </c>
      <c r="H9773" s="333">
        <v>5196</v>
      </c>
    </row>
    <row r="9774" spans="1:8">
      <c r="A9774" s="317">
        <v>2600202067</v>
      </c>
      <c r="B9774" s="330" t="s">
        <v>54130</v>
      </c>
      <c r="C9774" s="330" t="s">
        <v>21895</v>
      </c>
      <c r="D9774" s="330" t="s">
        <v>21896</v>
      </c>
      <c r="E9774" s="330" t="s">
        <v>4634</v>
      </c>
      <c r="F9774" s="331">
        <v>0.21</v>
      </c>
      <c r="G9774" s="332">
        <v>1976</v>
      </c>
      <c r="H9774" s="333">
        <v>2391</v>
      </c>
    </row>
    <row r="9775" spans="1:8">
      <c r="A9775" s="317">
        <v>2600206010</v>
      </c>
      <c r="B9775" s="330" t="s">
        <v>54131</v>
      </c>
      <c r="C9775" s="330" t="s">
        <v>21897</v>
      </c>
      <c r="D9775" s="330" t="s">
        <v>21898</v>
      </c>
      <c r="E9775" s="330" t="s">
        <v>4634</v>
      </c>
      <c r="F9775" s="331">
        <v>0.21</v>
      </c>
      <c r="G9775" s="332">
        <v>648</v>
      </c>
      <c r="H9775" s="333">
        <v>785</v>
      </c>
    </row>
    <row r="9776" spans="1:8">
      <c r="A9776" s="317">
        <v>2600206011</v>
      </c>
      <c r="B9776" s="330" t="s">
        <v>54132</v>
      </c>
      <c r="C9776" s="330" t="s">
        <v>21899</v>
      </c>
      <c r="D9776" s="330" t="s">
        <v>21900</v>
      </c>
      <c r="E9776" s="330" t="s">
        <v>4634</v>
      </c>
      <c r="F9776" s="331">
        <v>0.21</v>
      </c>
      <c r="G9776" s="332">
        <v>678</v>
      </c>
      <c r="H9776" s="333">
        <v>821</v>
      </c>
    </row>
    <row r="9777" spans="1:8">
      <c r="A9777" s="317">
        <v>2600206015</v>
      </c>
      <c r="B9777" s="330" t="s">
        <v>54133</v>
      </c>
      <c r="C9777" s="330" t="s">
        <v>21901</v>
      </c>
      <c r="D9777" s="330" t="s">
        <v>21902</v>
      </c>
      <c r="E9777" s="330" t="s">
        <v>4634</v>
      </c>
      <c r="F9777" s="331">
        <v>0.21</v>
      </c>
      <c r="G9777" s="332">
        <v>5362</v>
      </c>
      <c r="H9777" s="333">
        <v>6489</v>
      </c>
    </row>
    <row r="9778" spans="1:8">
      <c r="A9778" s="317">
        <v>2600206025</v>
      </c>
      <c r="B9778" s="330" t="s">
        <v>54134</v>
      </c>
      <c r="C9778" s="330" t="s">
        <v>21903</v>
      </c>
      <c r="D9778" s="330" t="s">
        <v>4830</v>
      </c>
      <c r="E9778" s="330" t="s">
        <v>37248</v>
      </c>
      <c r="F9778" s="331">
        <v>0.21</v>
      </c>
      <c r="G9778" s="332">
        <v>2215</v>
      </c>
      <c r="H9778" s="333">
        <v>2681</v>
      </c>
    </row>
    <row r="9779" spans="1:8">
      <c r="A9779" s="317">
        <v>2600206028</v>
      </c>
      <c r="B9779" s="330" t="s">
        <v>54135</v>
      </c>
      <c r="C9779" s="330" t="s">
        <v>21904</v>
      </c>
      <c r="D9779" s="330" t="s">
        <v>21905</v>
      </c>
      <c r="E9779" s="330" t="s">
        <v>37248</v>
      </c>
      <c r="F9779" s="331">
        <v>0.21</v>
      </c>
      <c r="G9779" s="332">
        <v>9094</v>
      </c>
      <c r="H9779" s="333">
        <v>11004</v>
      </c>
    </row>
    <row r="9780" spans="1:8">
      <c r="A9780" s="317">
        <v>2600209003</v>
      </c>
      <c r="B9780" s="330" t="s">
        <v>54136</v>
      </c>
      <c r="C9780" s="330" t="s">
        <v>21906</v>
      </c>
      <c r="D9780" s="330" t="s">
        <v>21884</v>
      </c>
      <c r="E9780" s="330" t="s">
        <v>4634</v>
      </c>
      <c r="F9780" s="331">
        <v>0.21</v>
      </c>
      <c r="G9780" s="332">
        <v>412</v>
      </c>
      <c r="H9780" s="333">
        <v>499</v>
      </c>
    </row>
    <row r="9781" spans="1:8">
      <c r="A9781" s="317">
        <v>2600209004</v>
      </c>
      <c r="B9781" s="330" t="s">
        <v>54137</v>
      </c>
      <c r="C9781" s="330" t="s">
        <v>21907</v>
      </c>
      <c r="D9781" s="330" t="s">
        <v>21908</v>
      </c>
      <c r="E9781" s="330" t="s">
        <v>4634</v>
      </c>
      <c r="F9781" s="331">
        <v>0.21</v>
      </c>
      <c r="G9781" s="332">
        <v>372</v>
      </c>
      <c r="H9781" s="333">
        <v>451</v>
      </c>
    </row>
    <row r="9782" spans="1:8">
      <c r="A9782" s="317">
        <v>2600209012</v>
      </c>
      <c r="B9782" s="330" t="s">
        <v>54138</v>
      </c>
      <c r="C9782" s="330" t="s">
        <v>21909</v>
      </c>
      <c r="D9782" s="330" t="s">
        <v>21910</v>
      </c>
      <c r="E9782" s="330" t="s">
        <v>4634</v>
      </c>
      <c r="F9782" s="331">
        <v>0.21</v>
      </c>
      <c r="G9782" s="332">
        <v>372</v>
      </c>
      <c r="H9782" s="333">
        <v>451</v>
      </c>
    </row>
    <row r="9783" spans="1:8">
      <c r="A9783" s="317">
        <v>2600209018</v>
      </c>
      <c r="B9783" s="330" t="s">
        <v>54139</v>
      </c>
      <c r="C9783" s="330" t="s">
        <v>21911</v>
      </c>
      <c r="D9783" s="330" t="s">
        <v>6259</v>
      </c>
      <c r="E9783" s="330" t="s">
        <v>4634</v>
      </c>
      <c r="F9783" s="331">
        <v>0.21</v>
      </c>
      <c r="G9783" s="332">
        <v>39</v>
      </c>
      <c r="H9783" s="333">
        <v>48</v>
      </c>
    </row>
    <row r="9784" spans="1:8">
      <c r="A9784" s="317">
        <v>2600210001</v>
      </c>
      <c r="B9784" s="330" t="s">
        <v>54140</v>
      </c>
      <c r="C9784" s="330" t="s">
        <v>21912</v>
      </c>
      <c r="D9784" s="330" t="s">
        <v>21913</v>
      </c>
      <c r="E9784" s="330" t="s">
        <v>4634</v>
      </c>
      <c r="F9784" s="331">
        <v>0.21</v>
      </c>
      <c r="G9784" s="332">
        <v>274</v>
      </c>
      <c r="H9784" s="333">
        <v>332</v>
      </c>
    </row>
    <row r="9785" spans="1:8">
      <c r="A9785" s="317">
        <v>2600210003</v>
      </c>
      <c r="B9785" s="330" t="s">
        <v>54141</v>
      </c>
      <c r="C9785" s="330" t="s">
        <v>21914</v>
      </c>
      <c r="D9785" s="330" t="s">
        <v>21915</v>
      </c>
      <c r="E9785" s="330" t="s">
        <v>4634</v>
      </c>
      <c r="F9785" s="331">
        <v>0.21</v>
      </c>
      <c r="G9785" s="332">
        <v>490</v>
      </c>
      <c r="H9785" s="333">
        <v>593</v>
      </c>
    </row>
    <row r="9786" spans="1:8">
      <c r="A9786" s="317">
        <v>2600210004</v>
      </c>
      <c r="B9786" s="330" t="s">
        <v>54142</v>
      </c>
      <c r="C9786" s="330" t="s">
        <v>21916</v>
      </c>
      <c r="D9786" s="330" t="s">
        <v>14168</v>
      </c>
      <c r="E9786" s="330" t="s">
        <v>4634</v>
      </c>
      <c r="F9786" s="331">
        <v>0.21</v>
      </c>
      <c r="G9786" s="332">
        <v>816</v>
      </c>
      <c r="H9786" s="333">
        <v>988</v>
      </c>
    </row>
    <row r="9787" spans="1:8">
      <c r="A9787" s="317">
        <v>2600210007</v>
      </c>
      <c r="B9787" s="330" t="s">
        <v>54143</v>
      </c>
      <c r="C9787" s="330" t="s">
        <v>21917</v>
      </c>
      <c r="D9787" s="330" t="s">
        <v>21443</v>
      </c>
      <c r="E9787" s="330" t="s">
        <v>4819</v>
      </c>
      <c r="F9787" s="331">
        <v>0.21</v>
      </c>
      <c r="G9787" s="332">
        <v>2041</v>
      </c>
      <c r="H9787" s="333">
        <v>2470</v>
      </c>
    </row>
    <row r="9788" spans="1:8">
      <c r="A9788" s="317">
        <v>2600210018</v>
      </c>
      <c r="B9788" s="330" t="s">
        <v>54144</v>
      </c>
      <c r="C9788" s="330" t="s">
        <v>21918</v>
      </c>
      <c r="D9788" s="330" t="s">
        <v>21919</v>
      </c>
      <c r="E9788" s="330" t="s">
        <v>4634</v>
      </c>
      <c r="F9788" s="331">
        <v>0.21</v>
      </c>
      <c r="G9788" s="332">
        <v>584</v>
      </c>
      <c r="H9788" s="333">
        <v>707</v>
      </c>
    </row>
    <row r="9789" spans="1:8">
      <c r="A9789" s="317">
        <v>2600210019</v>
      </c>
      <c r="B9789" s="330" t="s">
        <v>54145</v>
      </c>
      <c r="C9789" s="330" t="s">
        <v>21920</v>
      </c>
      <c r="D9789" s="330" t="s">
        <v>21443</v>
      </c>
      <c r="E9789" s="330" t="s">
        <v>4634</v>
      </c>
      <c r="F9789" s="331">
        <v>0.21</v>
      </c>
      <c r="G9789" s="332">
        <v>387</v>
      </c>
      <c r="H9789" s="333">
        <v>469</v>
      </c>
    </row>
    <row r="9790" spans="1:8">
      <c r="A9790" s="317">
        <v>2600210026</v>
      </c>
      <c r="B9790" s="330" t="s">
        <v>54146</v>
      </c>
      <c r="C9790" s="330" t="s">
        <v>21921</v>
      </c>
      <c r="D9790" s="330" t="s">
        <v>21922</v>
      </c>
      <c r="E9790" s="330" t="s">
        <v>4634</v>
      </c>
      <c r="F9790" s="331">
        <v>0.21</v>
      </c>
      <c r="G9790" s="332">
        <v>372</v>
      </c>
      <c r="H9790" s="333">
        <v>451</v>
      </c>
    </row>
    <row r="9791" spans="1:8">
      <c r="A9791" s="317">
        <v>2600210027</v>
      </c>
      <c r="B9791" s="330" t="s">
        <v>54147</v>
      </c>
      <c r="C9791" s="330" t="s">
        <v>21923</v>
      </c>
      <c r="D9791" s="330" t="s">
        <v>6508</v>
      </c>
      <c r="E9791" s="330" t="s">
        <v>4634</v>
      </c>
      <c r="F9791" s="331">
        <v>0.21</v>
      </c>
      <c r="G9791" s="332">
        <v>236</v>
      </c>
      <c r="H9791" s="333">
        <v>286</v>
      </c>
    </row>
    <row r="9792" spans="1:8">
      <c r="A9792" s="317">
        <v>2600210036</v>
      </c>
      <c r="B9792" s="330" t="s">
        <v>54148</v>
      </c>
      <c r="C9792" s="330" t="s">
        <v>21924</v>
      </c>
      <c r="D9792" s="330" t="s">
        <v>21925</v>
      </c>
      <c r="E9792" s="330" t="s">
        <v>4634</v>
      </c>
      <c r="F9792" s="331">
        <v>0.21</v>
      </c>
      <c r="G9792" s="332">
        <v>372</v>
      </c>
      <c r="H9792" s="333">
        <v>451</v>
      </c>
    </row>
    <row r="9793" spans="1:8">
      <c r="A9793" s="317">
        <v>2600210043</v>
      </c>
      <c r="B9793" s="330" t="s">
        <v>54149</v>
      </c>
      <c r="C9793" s="330" t="s">
        <v>21926</v>
      </c>
      <c r="D9793" s="330" t="s">
        <v>21927</v>
      </c>
      <c r="E9793" s="330" t="s">
        <v>4634</v>
      </c>
      <c r="F9793" s="331">
        <v>0.21</v>
      </c>
      <c r="G9793" s="332">
        <v>432</v>
      </c>
      <c r="H9793" s="333">
        <v>523</v>
      </c>
    </row>
    <row r="9794" spans="1:8">
      <c r="A9794" s="317">
        <v>2600210056</v>
      </c>
      <c r="B9794" s="330" t="s">
        <v>54150</v>
      </c>
      <c r="C9794" s="330" t="s">
        <v>21928</v>
      </c>
      <c r="D9794" s="330" t="s">
        <v>21929</v>
      </c>
      <c r="E9794" s="330" t="s">
        <v>37248</v>
      </c>
      <c r="F9794" s="331">
        <v>0.21</v>
      </c>
      <c r="G9794" s="332">
        <v>361</v>
      </c>
      <c r="H9794" s="333">
        <v>437</v>
      </c>
    </row>
    <row r="9795" spans="1:8">
      <c r="A9795" s="317">
        <v>2600211800</v>
      </c>
      <c r="B9795" s="330" t="s">
        <v>54151</v>
      </c>
      <c r="C9795" s="330" t="s">
        <v>21930</v>
      </c>
      <c r="D9795" s="330" t="s">
        <v>21931</v>
      </c>
      <c r="E9795" s="330" t="s">
        <v>4634</v>
      </c>
      <c r="F9795" s="331">
        <v>0.21</v>
      </c>
      <c r="G9795" s="332">
        <v>3702</v>
      </c>
      <c r="H9795" s="333">
        <v>4480</v>
      </c>
    </row>
    <row r="9796" spans="1:8">
      <c r="A9796" s="317">
        <v>2600211801</v>
      </c>
      <c r="B9796" s="330" t="s">
        <v>54152</v>
      </c>
      <c r="C9796" s="330" t="s">
        <v>21932</v>
      </c>
      <c r="D9796" s="330" t="s">
        <v>21933</v>
      </c>
      <c r="E9796" s="330" t="s">
        <v>4634</v>
      </c>
      <c r="F9796" s="331">
        <v>0.21</v>
      </c>
      <c r="G9796" s="332">
        <v>200595</v>
      </c>
      <c r="H9796" s="333">
        <v>242720</v>
      </c>
    </row>
    <row r="9797" spans="1:8">
      <c r="A9797" s="317">
        <v>2600211802</v>
      </c>
      <c r="B9797" s="330" t="s">
        <v>54153</v>
      </c>
      <c r="C9797" s="330" t="s">
        <v>21934</v>
      </c>
      <c r="D9797" s="330" t="s">
        <v>21933</v>
      </c>
      <c r="E9797" s="330" t="s">
        <v>4634</v>
      </c>
      <c r="F9797" s="331">
        <v>0.21</v>
      </c>
      <c r="G9797" s="332">
        <v>3702</v>
      </c>
      <c r="H9797" s="333">
        <v>4480</v>
      </c>
    </row>
    <row r="9798" spans="1:8">
      <c r="A9798" s="317">
        <v>2600211804</v>
      </c>
      <c r="B9798" s="330" t="s">
        <v>54154</v>
      </c>
      <c r="C9798" s="330" t="s">
        <v>21935</v>
      </c>
      <c r="D9798" s="330" t="s">
        <v>21933</v>
      </c>
      <c r="E9798" s="330" t="s">
        <v>4634</v>
      </c>
      <c r="F9798" s="331">
        <v>0.21</v>
      </c>
      <c r="G9798" s="332">
        <v>4374</v>
      </c>
      <c r="H9798" s="333">
        <v>5293</v>
      </c>
    </row>
    <row r="9799" spans="1:8">
      <c r="A9799" s="317">
        <v>2600211805</v>
      </c>
      <c r="B9799" s="330" t="s">
        <v>54155</v>
      </c>
      <c r="C9799" s="330" t="s">
        <v>21936</v>
      </c>
      <c r="D9799" s="330" t="s">
        <v>21933</v>
      </c>
      <c r="E9799" s="330" t="s">
        <v>4634</v>
      </c>
      <c r="F9799" s="331">
        <v>0.21</v>
      </c>
      <c r="G9799" s="332">
        <v>169598</v>
      </c>
      <c r="H9799" s="333">
        <v>205214</v>
      </c>
    </row>
    <row r="9800" spans="1:8">
      <c r="A9800" s="317">
        <v>2600224007</v>
      </c>
      <c r="B9800" s="330" t="s">
        <v>54156</v>
      </c>
      <c r="C9800" s="330" t="s">
        <v>21937</v>
      </c>
      <c r="D9800" s="330" t="s">
        <v>21938</v>
      </c>
      <c r="E9800" s="330" t="s">
        <v>4634</v>
      </c>
      <c r="F9800" s="331">
        <v>0.21</v>
      </c>
      <c r="G9800" s="332">
        <v>1199</v>
      </c>
      <c r="H9800" s="333">
        <v>1451</v>
      </c>
    </row>
    <row r="9801" spans="1:8">
      <c r="A9801" s="317">
        <v>2600224009</v>
      </c>
      <c r="B9801" s="330" t="s">
        <v>54157</v>
      </c>
      <c r="C9801" s="330" t="s">
        <v>21939</v>
      </c>
      <c r="D9801" s="330" t="s">
        <v>21940</v>
      </c>
      <c r="E9801" s="330" t="s">
        <v>4634</v>
      </c>
      <c r="F9801" s="331">
        <v>0.21</v>
      </c>
      <c r="G9801" s="332">
        <v>372</v>
      </c>
      <c r="H9801" s="333">
        <v>451</v>
      </c>
    </row>
    <row r="9802" spans="1:8">
      <c r="A9802" s="317">
        <v>2600232000</v>
      </c>
      <c r="B9802" s="330" t="s">
        <v>54158</v>
      </c>
      <c r="C9802" s="330" t="s">
        <v>21941</v>
      </c>
      <c r="D9802" s="330" t="s">
        <v>21942</v>
      </c>
      <c r="E9802" s="330" t="s">
        <v>4634</v>
      </c>
      <c r="F9802" s="331">
        <v>0.21</v>
      </c>
      <c r="G9802" s="332">
        <v>3966</v>
      </c>
      <c r="H9802" s="333">
        <v>4799</v>
      </c>
    </row>
    <row r="9803" spans="1:8">
      <c r="A9803" s="317">
        <v>2600250005</v>
      </c>
      <c r="B9803" s="330" t="s">
        <v>54159</v>
      </c>
      <c r="C9803" s="330" t="s">
        <v>21943</v>
      </c>
      <c r="D9803" s="330" t="s">
        <v>21944</v>
      </c>
      <c r="E9803" s="330" t="s">
        <v>4634</v>
      </c>
      <c r="F9803" s="331">
        <v>0.21</v>
      </c>
      <c r="G9803" s="332">
        <v>1170</v>
      </c>
      <c r="H9803" s="333">
        <v>1416</v>
      </c>
    </row>
    <row r="9804" spans="1:8">
      <c r="A9804" s="317">
        <v>2600282015</v>
      </c>
      <c r="B9804" s="330" t="s">
        <v>54160</v>
      </c>
      <c r="C9804" s="330" t="s">
        <v>21945</v>
      </c>
      <c r="D9804" s="330" t="s">
        <v>21946</v>
      </c>
      <c r="E9804" s="330" t="s">
        <v>4819</v>
      </c>
      <c r="F9804" s="331">
        <v>0.21</v>
      </c>
      <c r="G9804" s="332">
        <v>29544</v>
      </c>
      <c r="H9804" s="333">
        <v>35749</v>
      </c>
    </row>
    <row r="9805" spans="1:8">
      <c r="A9805" s="317">
        <v>2600282018</v>
      </c>
      <c r="B9805" s="330" t="s">
        <v>54161</v>
      </c>
      <c r="C9805" s="330" t="s">
        <v>21947</v>
      </c>
      <c r="D9805" s="330" t="s">
        <v>21948</v>
      </c>
      <c r="E9805" s="330" t="s">
        <v>4819</v>
      </c>
      <c r="F9805" s="331">
        <v>0.21</v>
      </c>
      <c r="G9805" s="332">
        <v>48800</v>
      </c>
      <c r="H9805" s="333">
        <v>59048</v>
      </c>
    </row>
    <row r="9806" spans="1:8">
      <c r="A9806" s="317">
        <v>2600283012</v>
      </c>
      <c r="B9806" s="330" t="s">
        <v>54162</v>
      </c>
      <c r="C9806" s="330" t="s">
        <v>21949</v>
      </c>
      <c r="D9806" s="330" t="s">
        <v>21950</v>
      </c>
      <c r="E9806" s="330" t="s">
        <v>4634</v>
      </c>
      <c r="F9806" s="331">
        <v>0.21</v>
      </c>
      <c r="G9806" s="332">
        <v>678</v>
      </c>
      <c r="H9806" s="333">
        <v>821</v>
      </c>
    </row>
    <row r="9807" spans="1:8">
      <c r="A9807" s="317">
        <v>2600283022</v>
      </c>
      <c r="B9807" s="330" t="s">
        <v>54163</v>
      </c>
      <c r="C9807" s="330" t="s">
        <v>21951</v>
      </c>
      <c r="D9807" s="330" t="s">
        <v>21952</v>
      </c>
      <c r="E9807" s="330" t="s">
        <v>4819</v>
      </c>
      <c r="F9807" s="331">
        <v>0.21</v>
      </c>
      <c r="G9807" s="332">
        <v>32201</v>
      </c>
      <c r="H9807" s="333">
        <v>38964</v>
      </c>
    </row>
    <row r="9808" spans="1:8">
      <c r="A9808" s="317">
        <v>2600290006</v>
      </c>
      <c r="B9808" s="330" t="s">
        <v>54164</v>
      </c>
      <c r="C9808" s="330" t="s">
        <v>21953</v>
      </c>
      <c r="D9808" s="330" t="s">
        <v>21954</v>
      </c>
      <c r="E9808" s="330" t="s">
        <v>4634</v>
      </c>
      <c r="F9808" s="331">
        <v>0.21</v>
      </c>
      <c r="G9808" s="332">
        <v>564</v>
      </c>
      <c r="H9808" s="333">
        <v>683</v>
      </c>
    </row>
    <row r="9809" spans="1:8">
      <c r="A9809" s="317">
        <v>2600290009</v>
      </c>
      <c r="B9809" s="330" t="s">
        <v>54165</v>
      </c>
      <c r="C9809" s="330" t="s">
        <v>21955</v>
      </c>
      <c r="D9809" s="330" t="s">
        <v>21956</v>
      </c>
      <c r="E9809" s="330" t="s">
        <v>4634</v>
      </c>
      <c r="F9809" s="331">
        <v>0.21</v>
      </c>
      <c r="G9809" s="332">
        <v>791</v>
      </c>
      <c r="H9809" s="333">
        <v>958</v>
      </c>
    </row>
    <row r="9810" spans="1:8">
      <c r="A9810" s="317">
        <v>2600290012</v>
      </c>
      <c r="B9810" s="330" t="s">
        <v>54166</v>
      </c>
      <c r="C9810" s="330" t="s">
        <v>21957</v>
      </c>
      <c r="D9810" s="330" t="s">
        <v>21958</v>
      </c>
      <c r="E9810" s="330" t="s">
        <v>4634</v>
      </c>
      <c r="F9810" s="331">
        <v>0.21</v>
      </c>
      <c r="G9810" s="332">
        <v>1641</v>
      </c>
      <c r="H9810" s="333">
        <v>1986</v>
      </c>
    </row>
    <row r="9811" spans="1:8">
      <c r="A9811" s="317">
        <v>2600290013</v>
      </c>
      <c r="B9811" s="330" t="s">
        <v>54167</v>
      </c>
      <c r="C9811" s="330" t="s">
        <v>21959</v>
      </c>
      <c r="D9811" s="330" t="s">
        <v>21960</v>
      </c>
      <c r="E9811" s="330" t="s">
        <v>4634</v>
      </c>
      <c r="F9811" s="331">
        <v>0.21</v>
      </c>
      <c r="G9811" s="332">
        <v>1126</v>
      </c>
      <c r="H9811" s="333">
        <v>1363</v>
      </c>
    </row>
    <row r="9812" spans="1:8">
      <c r="A9812" s="317">
        <v>2600290017</v>
      </c>
      <c r="B9812" s="330" t="s">
        <v>54168</v>
      </c>
      <c r="C9812" s="330" t="s">
        <v>21961</v>
      </c>
      <c r="D9812" s="330" t="s">
        <v>21962</v>
      </c>
      <c r="E9812" s="330" t="s">
        <v>37248</v>
      </c>
      <c r="F9812" s="331">
        <v>0.21</v>
      </c>
      <c r="G9812" s="332">
        <v>2328</v>
      </c>
      <c r="H9812" s="333">
        <v>2817</v>
      </c>
    </row>
    <row r="9813" spans="1:8">
      <c r="A9813" s="317">
        <v>2600290023</v>
      </c>
      <c r="B9813" s="330" t="s">
        <v>54169</v>
      </c>
      <c r="C9813" s="330" t="s">
        <v>21963</v>
      </c>
      <c r="D9813" s="330" t="s">
        <v>21964</v>
      </c>
      <c r="E9813" s="330" t="s">
        <v>4634</v>
      </c>
      <c r="F9813" s="331">
        <v>0.21</v>
      </c>
      <c r="G9813" s="332">
        <v>791</v>
      </c>
      <c r="H9813" s="333">
        <v>958</v>
      </c>
    </row>
    <row r="9814" spans="1:8">
      <c r="A9814" s="317">
        <v>2600290025</v>
      </c>
      <c r="B9814" s="330" t="s">
        <v>54170</v>
      </c>
      <c r="C9814" s="330" t="s">
        <v>21965</v>
      </c>
      <c r="D9814" s="330" t="s">
        <v>21966</v>
      </c>
      <c r="E9814" s="330" t="s">
        <v>4634</v>
      </c>
      <c r="F9814" s="331">
        <v>0.21</v>
      </c>
      <c r="G9814" s="332">
        <v>678</v>
      </c>
      <c r="H9814" s="333">
        <v>821</v>
      </c>
    </row>
    <row r="9815" spans="1:8">
      <c r="A9815" s="317">
        <v>2600290030</v>
      </c>
      <c r="B9815" s="330" t="s">
        <v>54171</v>
      </c>
      <c r="C9815" s="330" t="s">
        <v>21967</v>
      </c>
      <c r="D9815" s="330" t="s">
        <v>21968</v>
      </c>
      <c r="E9815" s="330" t="s">
        <v>4634</v>
      </c>
      <c r="F9815" s="331">
        <v>0.21</v>
      </c>
      <c r="G9815" s="332">
        <v>678</v>
      </c>
      <c r="H9815" s="333">
        <v>821</v>
      </c>
    </row>
    <row r="9816" spans="1:8">
      <c r="A9816" s="317">
        <v>2600290033</v>
      </c>
      <c r="B9816" s="330" t="s">
        <v>54172</v>
      </c>
      <c r="C9816" s="330" t="s">
        <v>21969</v>
      </c>
      <c r="D9816" s="330" t="s">
        <v>21970</v>
      </c>
      <c r="E9816" s="330" t="s">
        <v>4634</v>
      </c>
      <c r="F9816" s="331">
        <v>0.21</v>
      </c>
      <c r="G9816" s="332">
        <v>820</v>
      </c>
      <c r="H9816" s="333">
        <v>993</v>
      </c>
    </row>
    <row r="9817" spans="1:8">
      <c r="A9817" s="317">
        <v>2600290036</v>
      </c>
      <c r="B9817" s="330" t="s">
        <v>54173</v>
      </c>
      <c r="C9817" s="330" t="s">
        <v>21971</v>
      </c>
      <c r="D9817" s="330" t="s">
        <v>21972</v>
      </c>
      <c r="E9817" s="330" t="s">
        <v>37248</v>
      </c>
      <c r="F9817" s="331">
        <v>0.21</v>
      </c>
      <c r="G9817" s="332">
        <v>5208</v>
      </c>
      <c r="H9817" s="333">
        <v>6302</v>
      </c>
    </row>
    <row r="9818" spans="1:8">
      <c r="A9818" s="317">
        <v>2600290039</v>
      </c>
      <c r="B9818" s="330" t="s">
        <v>54174</v>
      </c>
      <c r="C9818" s="330" t="s">
        <v>21973</v>
      </c>
      <c r="D9818" s="330" t="s">
        <v>21974</v>
      </c>
      <c r="E9818" s="330" t="s">
        <v>4634</v>
      </c>
      <c r="F9818" s="331">
        <v>0.21</v>
      </c>
      <c r="G9818" s="332">
        <v>432</v>
      </c>
      <c r="H9818" s="333">
        <v>523</v>
      </c>
    </row>
    <row r="9819" spans="1:8">
      <c r="A9819" s="317">
        <v>2600290051</v>
      </c>
      <c r="B9819" s="330" t="s">
        <v>54175</v>
      </c>
      <c r="C9819" s="330" t="s">
        <v>21975</v>
      </c>
      <c r="D9819" s="330" t="s">
        <v>21976</v>
      </c>
      <c r="E9819" s="330" t="s">
        <v>4634</v>
      </c>
      <c r="F9819" s="331">
        <v>0.21</v>
      </c>
      <c r="G9819" s="332">
        <v>564</v>
      </c>
      <c r="H9819" s="333">
        <v>683</v>
      </c>
    </row>
    <row r="9820" spans="1:8">
      <c r="A9820" s="317">
        <v>2600290060</v>
      </c>
      <c r="B9820" s="330" t="s">
        <v>54176</v>
      </c>
      <c r="C9820" s="330" t="s">
        <v>21977</v>
      </c>
      <c r="D9820" s="330" t="s">
        <v>21978</v>
      </c>
      <c r="E9820" s="330" t="s">
        <v>4819</v>
      </c>
      <c r="F9820" s="331">
        <v>0.21</v>
      </c>
      <c r="G9820" s="332">
        <v>3241</v>
      </c>
      <c r="H9820" s="333">
        <v>3922</v>
      </c>
    </row>
    <row r="9821" spans="1:8">
      <c r="A9821" s="317">
        <v>2600290902</v>
      </c>
      <c r="B9821" s="330" t="s">
        <v>54177</v>
      </c>
      <c r="C9821" s="330" t="s">
        <v>21979</v>
      </c>
      <c r="D9821" s="330" t="s">
        <v>21980</v>
      </c>
      <c r="E9821" s="330" t="s">
        <v>4634</v>
      </c>
      <c r="F9821" s="331">
        <v>0.21</v>
      </c>
      <c r="G9821" s="332">
        <v>648</v>
      </c>
      <c r="H9821" s="333">
        <v>785</v>
      </c>
    </row>
    <row r="9822" spans="1:8">
      <c r="A9822" s="317">
        <v>2600290903</v>
      </c>
      <c r="B9822" s="330" t="s">
        <v>54178</v>
      </c>
      <c r="C9822" s="330" t="s">
        <v>21981</v>
      </c>
      <c r="D9822" s="330" t="s">
        <v>21982</v>
      </c>
      <c r="E9822" s="330" t="s">
        <v>4819</v>
      </c>
      <c r="F9822" s="331">
        <v>0.21</v>
      </c>
      <c r="G9822" s="332">
        <v>4234</v>
      </c>
      <c r="H9822" s="333">
        <v>5124</v>
      </c>
    </row>
    <row r="9823" spans="1:8">
      <c r="A9823" s="317">
        <v>2600300005</v>
      </c>
      <c r="B9823" s="330" t="s">
        <v>54179</v>
      </c>
      <c r="C9823" s="330" t="s">
        <v>21983</v>
      </c>
      <c r="D9823" s="330" t="s">
        <v>21984</v>
      </c>
      <c r="E9823" s="330" t="s">
        <v>4634</v>
      </c>
      <c r="F9823" s="331">
        <v>0.21</v>
      </c>
      <c r="G9823" s="332">
        <v>1945</v>
      </c>
      <c r="H9823" s="333">
        <v>2354</v>
      </c>
    </row>
    <row r="9824" spans="1:8">
      <c r="A9824" s="317">
        <v>2600300011</v>
      </c>
      <c r="B9824" s="330" t="s">
        <v>54180</v>
      </c>
      <c r="C9824" s="330" t="s">
        <v>21985</v>
      </c>
      <c r="D9824" s="330" t="s">
        <v>21984</v>
      </c>
      <c r="E9824" s="330" t="s">
        <v>4634</v>
      </c>
      <c r="F9824" s="331">
        <v>0.21</v>
      </c>
      <c r="G9824" s="332">
        <v>372</v>
      </c>
      <c r="H9824" s="333">
        <v>451</v>
      </c>
    </row>
    <row r="9825" spans="1:8">
      <c r="A9825" s="317">
        <v>2600300013</v>
      </c>
      <c r="B9825" s="330" t="s">
        <v>54181</v>
      </c>
      <c r="C9825" s="330" t="s">
        <v>21986</v>
      </c>
      <c r="D9825" s="330" t="s">
        <v>5133</v>
      </c>
      <c r="E9825" s="330" t="s">
        <v>4634</v>
      </c>
      <c r="F9825" s="331">
        <v>0.21</v>
      </c>
      <c r="G9825" s="332">
        <v>499</v>
      </c>
      <c r="H9825" s="333">
        <v>604</v>
      </c>
    </row>
    <row r="9826" spans="1:8">
      <c r="A9826" s="317">
        <v>2600300047</v>
      </c>
      <c r="B9826" s="330" t="s">
        <v>54182</v>
      </c>
      <c r="C9826" s="330" t="s">
        <v>21987</v>
      </c>
      <c r="D9826" s="330" t="s">
        <v>21988</v>
      </c>
      <c r="E9826" s="330" t="s">
        <v>4634</v>
      </c>
      <c r="F9826" s="331">
        <v>0.21</v>
      </c>
      <c r="G9826" s="332">
        <v>490</v>
      </c>
      <c r="H9826" s="333">
        <v>593</v>
      </c>
    </row>
    <row r="9827" spans="1:8">
      <c r="A9827" s="317">
        <v>2600300062</v>
      </c>
      <c r="B9827" s="330" t="s">
        <v>54183</v>
      </c>
      <c r="C9827" s="330" t="s">
        <v>21989</v>
      </c>
      <c r="D9827" s="330" t="s">
        <v>21990</v>
      </c>
      <c r="E9827" s="330" t="s">
        <v>4634</v>
      </c>
      <c r="F9827" s="331">
        <v>0.21</v>
      </c>
      <c r="G9827" s="332">
        <v>455</v>
      </c>
      <c r="H9827" s="333">
        <v>551</v>
      </c>
    </row>
    <row r="9828" spans="1:8">
      <c r="A9828" s="317">
        <v>2600300071</v>
      </c>
      <c r="B9828" s="330" t="s">
        <v>54184</v>
      </c>
      <c r="C9828" s="330" t="s">
        <v>21991</v>
      </c>
      <c r="D9828" s="330" t="s">
        <v>6458</v>
      </c>
      <c r="E9828" s="330" t="s">
        <v>4634</v>
      </c>
      <c r="F9828" s="331">
        <v>0.21</v>
      </c>
      <c r="G9828" s="332">
        <v>191</v>
      </c>
      <c r="H9828" s="333">
        <v>232</v>
      </c>
    </row>
    <row r="9829" spans="1:8">
      <c r="A9829" s="317">
        <v>2600300073</v>
      </c>
      <c r="B9829" s="330" t="s">
        <v>54185</v>
      </c>
      <c r="C9829" s="330" t="s">
        <v>21992</v>
      </c>
      <c r="D9829" s="330" t="s">
        <v>21993</v>
      </c>
      <c r="E9829" s="330" t="s">
        <v>4819</v>
      </c>
      <c r="F9829" s="331">
        <v>0.21</v>
      </c>
      <c r="G9829" s="332">
        <v>4240</v>
      </c>
      <c r="H9829" s="333">
        <v>5131</v>
      </c>
    </row>
    <row r="9830" spans="1:8">
      <c r="A9830" s="317">
        <v>2600300077</v>
      </c>
      <c r="B9830" s="330" t="s">
        <v>54186</v>
      </c>
      <c r="C9830" s="330" t="s">
        <v>21994</v>
      </c>
      <c r="D9830" s="330" t="s">
        <v>21995</v>
      </c>
      <c r="E9830" s="330" t="s">
        <v>4634</v>
      </c>
      <c r="F9830" s="331">
        <v>0.21</v>
      </c>
      <c r="G9830" s="332">
        <v>648</v>
      </c>
      <c r="H9830" s="333">
        <v>785</v>
      </c>
    </row>
    <row r="9831" spans="1:8">
      <c r="A9831" s="317">
        <v>2600301011</v>
      </c>
      <c r="B9831" s="330" t="s">
        <v>54187</v>
      </c>
      <c r="C9831" s="330" t="s">
        <v>21996</v>
      </c>
      <c r="D9831" s="330" t="s">
        <v>21997</v>
      </c>
      <c r="E9831" s="330" t="s">
        <v>4634</v>
      </c>
      <c r="F9831" s="331">
        <v>0.21</v>
      </c>
      <c r="G9831" s="332">
        <v>348</v>
      </c>
      <c r="H9831" s="333">
        <v>422</v>
      </c>
    </row>
    <row r="9832" spans="1:8">
      <c r="A9832" s="317">
        <v>2600301013</v>
      </c>
      <c r="B9832" s="330" t="s">
        <v>54188</v>
      </c>
      <c r="C9832" s="330" t="s">
        <v>21998</v>
      </c>
      <c r="D9832" s="330" t="s">
        <v>21999</v>
      </c>
      <c r="E9832" s="330" t="s">
        <v>4634</v>
      </c>
      <c r="F9832" s="331">
        <v>0.21</v>
      </c>
      <c r="G9832" s="332">
        <v>348</v>
      </c>
      <c r="H9832" s="333">
        <v>422</v>
      </c>
    </row>
    <row r="9833" spans="1:8">
      <c r="A9833" s="317">
        <v>2600301014</v>
      </c>
      <c r="B9833" s="330" t="s">
        <v>54189</v>
      </c>
      <c r="C9833" s="330" t="s">
        <v>22000</v>
      </c>
      <c r="D9833" s="330" t="s">
        <v>22001</v>
      </c>
      <c r="E9833" s="330" t="s">
        <v>4634</v>
      </c>
      <c r="F9833" s="331">
        <v>0.21</v>
      </c>
      <c r="G9833" s="332">
        <v>455</v>
      </c>
      <c r="H9833" s="333">
        <v>551</v>
      </c>
    </row>
    <row r="9834" spans="1:8">
      <c r="A9834" s="317">
        <v>2600301028</v>
      </c>
      <c r="B9834" s="330" t="s">
        <v>54190</v>
      </c>
      <c r="C9834" s="330" t="s">
        <v>22002</v>
      </c>
      <c r="D9834" s="330" t="s">
        <v>22003</v>
      </c>
      <c r="E9834" s="330" t="s">
        <v>4634</v>
      </c>
      <c r="F9834" s="331">
        <v>0.21</v>
      </c>
      <c r="G9834" s="332">
        <v>702</v>
      </c>
      <c r="H9834" s="333">
        <v>850</v>
      </c>
    </row>
    <row r="9835" spans="1:8">
      <c r="A9835" s="317">
        <v>2600301029</v>
      </c>
      <c r="B9835" s="330" t="s">
        <v>54191</v>
      </c>
      <c r="C9835" s="330" t="s">
        <v>22004</v>
      </c>
      <c r="D9835" s="330" t="s">
        <v>22005</v>
      </c>
      <c r="E9835" s="330" t="s">
        <v>4634</v>
      </c>
      <c r="F9835" s="331">
        <v>0.21</v>
      </c>
      <c r="G9835" s="332">
        <v>678</v>
      </c>
      <c r="H9835" s="333">
        <v>821</v>
      </c>
    </row>
    <row r="9836" spans="1:8">
      <c r="A9836" s="317">
        <v>2600301037</v>
      </c>
      <c r="B9836" s="330" t="s">
        <v>54192</v>
      </c>
      <c r="C9836" s="330" t="s">
        <v>22006</v>
      </c>
      <c r="D9836" s="330" t="s">
        <v>22007</v>
      </c>
      <c r="E9836" s="330" t="s">
        <v>4819</v>
      </c>
      <c r="F9836" s="331">
        <v>0.21</v>
      </c>
      <c r="G9836" s="332">
        <v>2328</v>
      </c>
      <c r="H9836" s="333">
        <v>2817</v>
      </c>
    </row>
    <row r="9837" spans="1:8">
      <c r="A9837" s="317">
        <v>2600301045</v>
      </c>
      <c r="B9837" s="330" t="s">
        <v>54193</v>
      </c>
      <c r="C9837" s="330" t="s">
        <v>22008</v>
      </c>
      <c r="D9837" s="330" t="s">
        <v>22009</v>
      </c>
      <c r="E9837" s="330" t="s">
        <v>37248</v>
      </c>
      <c r="F9837" s="331">
        <v>0.21</v>
      </c>
      <c r="G9837" s="332">
        <v>4240</v>
      </c>
      <c r="H9837" s="333">
        <v>5131</v>
      </c>
    </row>
    <row r="9838" spans="1:8">
      <c r="A9838" s="317">
        <v>2600301046</v>
      </c>
      <c r="B9838" s="330" t="s">
        <v>54194</v>
      </c>
      <c r="C9838" s="330" t="s">
        <v>22010</v>
      </c>
      <c r="D9838" s="330" t="s">
        <v>22011</v>
      </c>
      <c r="E9838" s="330" t="s">
        <v>4819</v>
      </c>
      <c r="F9838" s="331">
        <v>0.21</v>
      </c>
      <c r="G9838" s="332">
        <v>2928</v>
      </c>
      <c r="H9838" s="333">
        <v>3543</v>
      </c>
    </row>
    <row r="9839" spans="1:8">
      <c r="A9839" s="317">
        <v>2600301049</v>
      </c>
      <c r="B9839" s="330" t="s">
        <v>54195</v>
      </c>
      <c r="C9839" s="330" t="s">
        <v>22012</v>
      </c>
      <c r="D9839" s="330" t="s">
        <v>22013</v>
      </c>
      <c r="E9839" s="330" t="s">
        <v>4634</v>
      </c>
      <c r="F9839" s="331">
        <v>0.21</v>
      </c>
      <c r="G9839" s="332">
        <v>180</v>
      </c>
      <c r="H9839" s="333">
        <v>218</v>
      </c>
    </row>
    <row r="9840" spans="1:8">
      <c r="A9840" s="317">
        <v>2600301052</v>
      </c>
      <c r="B9840" s="330" t="s">
        <v>54196</v>
      </c>
      <c r="C9840" s="330" t="s">
        <v>22014</v>
      </c>
      <c r="D9840" s="330" t="s">
        <v>22015</v>
      </c>
      <c r="E9840" s="330" t="s">
        <v>4634</v>
      </c>
      <c r="F9840" s="331">
        <v>0.21</v>
      </c>
      <c r="G9840" s="332">
        <v>3774</v>
      </c>
      <c r="H9840" s="333">
        <v>4567</v>
      </c>
    </row>
    <row r="9841" spans="1:8">
      <c r="A9841" s="317">
        <v>2600302002</v>
      </c>
      <c r="B9841" s="330" t="s">
        <v>54197</v>
      </c>
      <c r="C9841" s="330" t="s">
        <v>22016</v>
      </c>
      <c r="D9841" s="330" t="s">
        <v>21997</v>
      </c>
      <c r="E9841" s="330" t="s">
        <v>4634</v>
      </c>
      <c r="F9841" s="331">
        <v>0.21</v>
      </c>
      <c r="G9841" s="332">
        <v>372</v>
      </c>
      <c r="H9841" s="333">
        <v>451</v>
      </c>
    </row>
    <row r="9842" spans="1:8">
      <c r="A9842" s="317">
        <v>2600302004</v>
      </c>
      <c r="B9842" s="330" t="s">
        <v>54198</v>
      </c>
      <c r="C9842" s="330" t="s">
        <v>22017</v>
      </c>
      <c r="D9842" s="330" t="s">
        <v>22018</v>
      </c>
      <c r="E9842" s="330" t="s">
        <v>4634</v>
      </c>
      <c r="F9842" s="331">
        <v>0.21</v>
      </c>
      <c r="G9842" s="332">
        <v>648</v>
      </c>
      <c r="H9842" s="333">
        <v>785</v>
      </c>
    </row>
    <row r="9843" spans="1:8">
      <c r="A9843" s="317">
        <v>2600302006</v>
      </c>
      <c r="B9843" s="330" t="s">
        <v>54199</v>
      </c>
      <c r="C9843" s="330" t="s">
        <v>22019</v>
      </c>
      <c r="D9843" s="330" t="s">
        <v>22020</v>
      </c>
      <c r="E9843" s="330" t="s">
        <v>4634</v>
      </c>
      <c r="F9843" s="331">
        <v>0.21</v>
      </c>
      <c r="G9843" s="332">
        <v>372</v>
      </c>
      <c r="H9843" s="333">
        <v>451</v>
      </c>
    </row>
    <row r="9844" spans="1:8">
      <c r="A9844" s="317">
        <v>2600302009</v>
      </c>
      <c r="B9844" s="330" t="s">
        <v>54200</v>
      </c>
      <c r="C9844" s="330" t="s">
        <v>22021</v>
      </c>
      <c r="D9844" s="330" t="s">
        <v>22022</v>
      </c>
      <c r="E9844" s="330" t="s">
        <v>4634</v>
      </c>
      <c r="F9844" s="331">
        <v>0.21</v>
      </c>
      <c r="G9844" s="332">
        <v>348</v>
      </c>
      <c r="H9844" s="333">
        <v>422</v>
      </c>
    </row>
    <row r="9845" spans="1:8">
      <c r="A9845" s="317">
        <v>2600302014</v>
      </c>
      <c r="B9845" s="330" t="s">
        <v>54201</v>
      </c>
      <c r="C9845" s="330" t="s">
        <v>22023</v>
      </c>
      <c r="D9845" s="330" t="s">
        <v>22005</v>
      </c>
      <c r="E9845" s="330" t="s">
        <v>4634</v>
      </c>
      <c r="F9845" s="331">
        <v>0.21</v>
      </c>
      <c r="G9845" s="332">
        <v>905</v>
      </c>
      <c r="H9845" s="333">
        <v>1096</v>
      </c>
    </row>
    <row r="9846" spans="1:8">
      <c r="A9846" s="317">
        <v>2600302022</v>
      </c>
      <c r="B9846" s="330" t="s">
        <v>54202</v>
      </c>
      <c r="C9846" s="330" t="s">
        <v>22024</v>
      </c>
      <c r="D9846" s="330" t="s">
        <v>22025</v>
      </c>
      <c r="E9846" s="330" t="s">
        <v>4634</v>
      </c>
      <c r="F9846" s="331">
        <v>0.21</v>
      </c>
      <c r="G9846" s="332">
        <v>820</v>
      </c>
      <c r="H9846" s="333">
        <v>993</v>
      </c>
    </row>
    <row r="9847" spans="1:8">
      <c r="A9847" s="317">
        <v>2600302027</v>
      </c>
      <c r="B9847" s="330" t="s">
        <v>54203</v>
      </c>
      <c r="C9847" s="330" t="s">
        <v>22026</v>
      </c>
      <c r="D9847" s="330" t="s">
        <v>22027</v>
      </c>
      <c r="E9847" s="330" t="s">
        <v>4819</v>
      </c>
      <c r="F9847" s="331">
        <v>0.21</v>
      </c>
      <c r="G9847" s="332">
        <v>1920</v>
      </c>
      <c r="H9847" s="333">
        <v>2324</v>
      </c>
    </row>
    <row r="9848" spans="1:8">
      <c r="A9848" s="317">
        <v>2600306003</v>
      </c>
      <c r="B9848" s="330" t="s">
        <v>54204</v>
      </c>
      <c r="C9848" s="330" t="s">
        <v>22028</v>
      </c>
      <c r="D9848" s="330" t="s">
        <v>22029</v>
      </c>
      <c r="E9848" s="330" t="s">
        <v>4634</v>
      </c>
      <c r="F9848" s="331">
        <v>0.21</v>
      </c>
      <c r="G9848" s="332">
        <v>1199</v>
      </c>
      <c r="H9848" s="333">
        <v>1451</v>
      </c>
    </row>
    <row r="9849" spans="1:8">
      <c r="A9849" s="317">
        <v>2600309009</v>
      </c>
      <c r="B9849" s="330" t="s">
        <v>54205</v>
      </c>
      <c r="C9849" s="330" t="s">
        <v>22030</v>
      </c>
      <c r="D9849" s="330" t="s">
        <v>22031</v>
      </c>
      <c r="E9849" s="330" t="s">
        <v>4819</v>
      </c>
      <c r="F9849" s="331">
        <v>0.21</v>
      </c>
      <c r="G9849" s="332">
        <v>1880</v>
      </c>
      <c r="H9849" s="333">
        <v>2275</v>
      </c>
    </row>
    <row r="9850" spans="1:8">
      <c r="A9850" s="317">
        <v>2600322003</v>
      </c>
      <c r="B9850" s="330" t="s">
        <v>54206</v>
      </c>
      <c r="C9850" s="330" t="s">
        <v>22032</v>
      </c>
      <c r="D9850" s="330" t="s">
        <v>22033</v>
      </c>
      <c r="E9850" s="330" t="s">
        <v>4634</v>
      </c>
      <c r="F9850" s="331">
        <v>0.21</v>
      </c>
      <c r="G9850" s="332">
        <v>1043</v>
      </c>
      <c r="H9850" s="333">
        <v>1263</v>
      </c>
    </row>
    <row r="9851" spans="1:8">
      <c r="A9851" s="317">
        <v>2600322043</v>
      </c>
      <c r="B9851" s="330" t="s">
        <v>54207</v>
      </c>
      <c r="C9851" s="330" t="s">
        <v>22034</v>
      </c>
      <c r="D9851" s="330" t="s">
        <v>5133</v>
      </c>
      <c r="E9851" s="330" t="s">
        <v>4634</v>
      </c>
      <c r="F9851" s="331">
        <v>0.21</v>
      </c>
      <c r="G9851" s="332">
        <v>2232</v>
      </c>
      <c r="H9851" s="333">
        <v>2701</v>
      </c>
    </row>
    <row r="9852" spans="1:8">
      <c r="A9852" s="317">
        <v>2600322051</v>
      </c>
      <c r="B9852" s="330" t="s">
        <v>54208</v>
      </c>
      <c r="C9852" s="330" t="s">
        <v>22035</v>
      </c>
      <c r="D9852" s="330" t="s">
        <v>22036</v>
      </c>
      <c r="E9852" s="330" t="s">
        <v>4634</v>
      </c>
      <c r="F9852" s="331">
        <v>0.21</v>
      </c>
      <c r="G9852" s="332">
        <v>10339</v>
      </c>
      <c r="H9852" s="333">
        <v>12511</v>
      </c>
    </row>
    <row r="9853" spans="1:8">
      <c r="A9853" s="317">
        <v>2600324008</v>
      </c>
      <c r="B9853" s="330" t="s">
        <v>54209</v>
      </c>
      <c r="C9853" s="330" t="s">
        <v>22037</v>
      </c>
      <c r="D9853" s="330" t="s">
        <v>22038</v>
      </c>
      <c r="E9853" s="330" t="s">
        <v>4634</v>
      </c>
      <c r="F9853" s="331">
        <v>0.21</v>
      </c>
      <c r="G9853" s="332">
        <v>348</v>
      </c>
      <c r="H9853" s="333">
        <v>422</v>
      </c>
    </row>
    <row r="9854" spans="1:8">
      <c r="A9854" s="317">
        <v>2600324009</v>
      </c>
      <c r="B9854" s="330" t="s">
        <v>54210</v>
      </c>
      <c r="C9854" s="330" t="s">
        <v>22039</v>
      </c>
      <c r="D9854" s="330" t="s">
        <v>22040</v>
      </c>
      <c r="E9854" s="330" t="s">
        <v>37248</v>
      </c>
      <c r="F9854" s="331">
        <v>0.21</v>
      </c>
      <c r="G9854" s="332">
        <v>4191</v>
      </c>
      <c r="H9854" s="333">
        <v>5072</v>
      </c>
    </row>
    <row r="9855" spans="1:8">
      <c r="A9855" s="317">
        <v>2600324010</v>
      </c>
      <c r="B9855" s="330" t="s">
        <v>54211</v>
      </c>
      <c r="C9855" s="330" t="s">
        <v>22041</v>
      </c>
      <c r="D9855" s="330" t="s">
        <v>22042</v>
      </c>
      <c r="E9855" s="330" t="s">
        <v>4634</v>
      </c>
      <c r="F9855" s="331">
        <v>0.21</v>
      </c>
      <c r="G9855" s="332">
        <v>1030</v>
      </c>
      <c r="H9855" s="333">
        <v>1247</v>
      </c>
    </row>
    <row r="9856" spans="1:8">
      <c r="A9856" s="317">
        <v>2600324012</v>
      </c>
      <c r="B9856" s="330" t="s">
        <v>54212</v>
      </c>
      <c r="C9856" s="330" t="s">
        <v>22043</v>
      </c>
      <c r="D9856" s="330" t="s">
        <v>22042</v>
      </c>
      <c r="E9856" s="330" t="s">
        <v>4634</v>
      </c>
      <c r="F9856" s="331">
        <v>0.21</v>
      </c>
      <c r="G9856" s="332">
        <v>1581</v>
      </c>
      <c r="H9856" s="333">
        <v>1914</v>
      </c>
    </row>
    <row r="9857" spans="1:8">
      <c r="A9857" s="317">
        <v>2600326903</v>
      </c>
      <c r="B9857" s="330" t="s">
        <v>54213</v>
      </c>
      <c r="C9857" s="330" t="s">
        <v>22044</v>
      </c>
      <c r="D9857" s="330" t="s">
        <v>22045</v>
      </c>
      <c r="E9857" s="330" t="s">
        <v>4634</v>
      </c>
      <c r="F9857" s="331">
        <v>0.21</v>
      </c>
      <c r="G9857" s="332">
        <v>13672</v>
      </c>
      <c r="H9857" s="333">
        <v>16544</v>
      </c>
    </row>
    <row r="9858" spans="1:8">
      <c r="A9858" s="317">
        <v>2600326904</v>
      </c>
      <c r="B9858" s="330" t="s">
        <v>54214</v>
      </c>
      <c r="C9858" s="330" t="s">
        <v>22046</v>
      </c>
      <c r="D9858" s="330" t="s">
        <v>22047</v>
      </c>
      <c r="E9858" s="330" t="s">
        <v>4634</v>
      </c>
      <c r="F9858" s="331">
        <v>0.21</v>
      </c>
      <c r="G9858" s="332">
        <v>12197</v>
      </c>
      <c r="H9858" s="333">
        <v>14759</v>
      </c>
    </row>
    <row r="9859" spans="1:8">
      <c r="A9859" s="317">
        <v>2600327006</v>
      </c>
      <c r="B9859" s="330" t="s">
        <v>54215</v>
      </c>
      <c r="C9859" s="330" t="s">
        <v>22048</v>
      </c>
      <c r="D9859" s="330" t="s">
        <v>22049</v>
      </c>
      <c r="E9859" s="330" t="s">
        <v>4634</v>
      </c>
      <c r="F9859" s="331">
        <v>0.21</v>
      </c>
      <c r="G9859" s="332">
        <v>2123</v>
      </c>
      <c r="H9859" s="333">
        <v>2569</v>
      </c>
    </row>
    <row r="9860" spans="1:8">
      <c r="A9860" s="317">
        <v>2600327008</v>
      </c>
      <c r="B9860" s="330" t="s">
        <v>54216</v>
      </c>
      <c r="C9860" s="330" t="s">
        <v>22050</v>
      </c>
      <c r="D9860" s="330" t="s">
        <v>22051</v>
      </c>
      <c r="E9860" s="330" t="s">
        <v>37248</v>
      </c>
      <c r="F9860" s="331">
        <v>0.21</v>
      </c>
      <c r="G9860" s="332">
        <v>515</v>
      </c>
      <c r="H9860" s="333">
        <v>624</v>
      </c>
    </row>
    <row r="9861" spans="1:8">
      <c r="A9861" s="317">
        <v>2600327009</v>
      </c>
      <c r="B9861" s="330" t="s">
        <v>54217</v>
      </c>
      <c r="C9861" s="330" t="s">
        <v>22052</v>
      </c>
      <c r="D9861" s="330" t="s">
        <v>8740</v>
      </c>
      <c r="E9861" s="330" t="s">
        <v>37248</v>
      </c>
      <c r="F9861" s="331">
        <v>0.21</v>
      </c>
      <c r="G9861" s="332">
        <v>452</v>
      </c>
      <c r="H9861" s="333">
        <v>547</v>
      </c>
    </row>
    <row r="9862" spans="1:8">
      <c r="A9862" s="317">
        <v>2600328016</v>
      </c>
      <c r="B9862" s="330" t="s">
        <v>54218</v>
      </c>
      <c r="C9862" s="330" t="s">
        <v>22053</v>
      </c>
      <c r="D9862" s="330" t="s">
        <v>22054</v>
      </c>
      <c r="E9862" s="330" t="s">
        <v>4634</v>
      </c>
      <c r="F9862" s="331">
        <v>0.21</v>
      </c>
      <c r="G9862" s="332">
        <v>1547</v>
      </c>
      <c r="H9862" s="333">
        <v>1872</v>
      </c>
    </row>
    <row r="9863" spans="1:8">
      <c r="A9863" s="317">
        <v>2600328026</v>
      </c>
      <c r="B9863" s="330" t="s">
        <v>54219</v>
      </c>
      <c r="C9863" s="330" t="s">
        <v>22055</v>
      </c>
      <c r="D9863" s="330" t="s">
        <v>22056</v>
      </c>
      <c r="E9863" s="330" t="s">
        <v>37248</v>
      </c>
      <c r="F9863" s="331">
        <v>0.21</v>
      </c>
      <c r="G9863" s="332">
        <v>11408</v>
      </c>
      <c r="H9863" s="333">
        <v>13804</v>
      </c>
    </row>
    <row r="9864" spans="1:8">
      <c r="A9864" s="317">
        <v>2600328027</v>
      </c>
      <c r="B9864" s="330" t="s">
        <v>54220</v>
      </c>
      <c r="C9864" s="330" t="s">
        <v>22057</v>
      </c>
      <c r="D9864" s="330" t="s">
        <v>22058</v>
      </c>
      <c r="E9864" s="330" t="s">
        <v>4634</v>
      </c>
      <c r="F9864" s="331">
        <v>0.21</v>
      </c>
      <c r="G9864" s="332">
        <v>1547</v>
      </c>
      <c r="H9864" s="333">
        <v>1872</v>
      </c>
    </row>
    <row r="9865" spans="1:8">
      <c r="A9865" s="317">
        <v>2600390026</v>
      </c>
      <c r="B9865" s="330" t="s">
        <v>54221</v>
      </c>
      <c r="C9865" s="330" t="s">
        <v>22059</v>
      </c>
      <c r="D9865" s="330" t="s">
        <v>22060</v>
      </c>
      <c r="E9865" s="330" t="s">
        <v>4634</v>
      </c>
      <c r="F9865" s="331">
        <v>0.21</v>
      </c>
      <c r="G9865" s="332">
        <v>584</v>
      </c>
      <c r="H9865" s="333">
        <v>707</v>
      </c>
    </row>
    <row r="9866" spans="1:8">
      <c r="A9866" s="317">
        <v>2600400001</v>
      </c>
      <c r="B9866" s="330" t="s">
        <v>54222</v>
      </c>
      <c r="C9866" s="330" t="s">
        <v>22061</v>
      </c>
      <c r="D9866" s="330" t="s">
        <v>20269</v>
      </c>
      <c r="E9866" s="330" t="s">
        <v>4634</v>
      </c>
      <c r="F9866" s="331">
        <v>0.21</v>
      </c>
      <c r="G9866" s="332">
        <v>13116</v>
      </c>
      <c r="H9866" s="333">
        <v>15871</v>
      </c>
    </row>
    <row r="9867" spans="1:8">
      <c r="A9867" s="317">
        <v>2600400012</v>
      </c>
      <c r="B9867" s="330" t="s">
        <v>54223</v>
      </c>
      <c r="C9867" s="330" t="s">
        <v>22062</v>
      </c>
      <c r="D9867" s="330" t="s">
        <v>22063</v>
      </c>
      <c r="E9867" s="330" t="s">
        <v>4634</v>
      </c>
      <c r="F9867" s="331">
        <v>0.21</v>
      </c>
      <c r="G9867" s="332">
        <v>928</v>
      </c>
      <c r="H9867" s="333">
        <v>1123</v>
      </c>
    </row>
    <row r="9868" spans="1:8">
      <c r="A9868" s="317">
        <v>2600400020</v>
      </c>
      <c r="B9868" s="330" t="s">
        <v>54224</v>
      </c>
      <c r="C9868" s="330" t="s">
        <v>22064</v>
      </c>
      <c r="D9868" s="330" t="s">
        <v>22065</v>
      </c>
      <c r="E9868" s="330" t="s">
        <v>4634</v>
      </c>
      <c r="F9868" s="331">
        <v>0.21</v>
      </c>
      <c r="G9868" s="332">
        <v>1371</v>
      </c>
      <c r="H9868" s="333">
        <v>1659</v>
      </c>
    </row>
    <row r="9869" spans="1:8">
      <c r="A9869" s="317">
        <v>2600400023</v>
      </c>
      <c r="B9869" s="330" t="s">
        <v>54225</v>
      </c>
      <c r="C9869" s="330" t="s">
        <v>22066</v>
      </c>
      <c r="D9869" s="330" t="s">
        <v>5133</v>
      </c>
      <c r="E9869" s="330" t="s">
        <v>4634</v>
      </c>
      <c r="F9869" s="331">
        <v>0.21</v>
      </c>
      <c r="G9869" s="332">
        <v>622</v>
      </c>
      <c r="H9869" s="333">
        <v>753</v>
      </c>
    </row>
    <row r="9870" spans="1:8">
      <c r="A9870" s="317">
        <v>2600400024</v>
      </c>
      <c r="B9870" s="330" t="s">
        <v>54226</v>
      </c>
      <c r="C9870" s="330" t="s">
        <v>22067</v>
      </c>
      <c r="D9870" s="330" t="s">
        <v>6458</v>
      </c>
      <c r="E9870" s="330" t="s">
        <v>4634</v>
      </c>
      <c r="F9870" s="331">
        <v>0.21</v>
      </c>
      <c r="G9870" s="332">
        <v>648</v>
      </c>
      <c r="H9870" s="333">
        <v>785</v>
      </c>
    </row>
    <row r="9871" spans="1:8">
      <c r="A9871" s="317">
        <v>2600400028</v>
      </c>
      <c r="B9871" s="330" t="s">
        <v>54227</v>
      </c>
      <c r="C9871" s="330" t="s">
        <v>22068</v>
      </c>
      <c r="D9871" s="330" t="s">
        <v>22069</v>
      </c>
      <c r="E9871" s="330" t="s">
        <v>4634</v>
      </c>
      <c r="F9871" s="331">
        <v>0.21</v>
      </c>
      <c r="G9871" s="332">
        <v>963</v>
      </c>
      <c r="H9871" s="333">
        <v>1166</v>
      </c>
    </row>
    <row r="9872" spans="1:8">
      <c r="A9872" s="317">
        <v>2600400032</v>
      </c>
      <c r="B9872" s="330" t="s">
        <v>54228</v>
      </c>
      <c r="C9872" s="330" t="s">
        <v>22070</v>
      </c>
      <c r="D9872" s="330" t="s">
        <v>22071</v>
      </c>
      <c r="E9872" s="330" t="s">
        <v>4634</v>
      </c>
      <c r="F9872" s="331">
        <v>0.21</v>
      </c>
      <c r="G9872" s="332">
        <v>791</v>
      </c>
      <c r="H9872" s="333">
        <v>958</v>
      </c>
    </row>
    <row r="9873" spans="1:8">
      <c r="A9873" s="317">
        <v>2600400035</v>
      </c>
      <c r="B9873" s="330" t="s">
        <v>54229</v>
      </c>
      <c r="C9873" s="330" t="s">
        <v>22072</v>
      </c>
      <c r="D9873" s="330" t="s">
        <v>22073</v>
      </c>
      <c r="E9873" s="330" t="s">
        <v>4819</v>
      </c>
      <c r="F9873" s="331">
        <v>0.21</v>
      </c>
      <c r="G9873" s="332">
        <v>8586</v>
      </c>
      <c r="H9873" s="333">
        <v>10390</v>
      </c>
    </row>
    <row r="9874" spans="1:8">
      <c r="A9874" s="317">
        <v>2600400043</v>
      </c>
      <c r="B9874" s="330" t="s">
        <v>54230</v>
      </c>
      <c r="C9874" s="330" t="s">
        <v>22074</v>
      </c>
      <c r="D9874" s="330" t="s">
        <v>22075</v>
      </c>
      <c r="E9874" s="330" t="s">
        <v>4634</v>
      </c>
      <c r="F9874" s="331">
        <v>0.21</v>
      </c>
      <c r="G9874" s="332">
        <v>1030</v>
      </c>
      <c r="H9874" s="333">
        <v>1247</v>
      </c>
    </row>
    <row r="9875" spans="1:8">
      <c r="A9875" s="317">
        <v>2600400078</v>
      </c>
      <c r="B9875" s="330" t="s">
        <v>54231</v>
      </c>
      <c r="C9875" s="330" t="s">
        <v>22076</v>
      </c>
      <c r="D9875" s="330" t="s">
        <v>22077</v>
      </c>
      <c r="E9875" s="330" t="s">
        <v>37248</v>
      </c>
      <c r="F9875" s="331">
        <v>0.21</v>
      </c>
      <c r="G9875" s="332">
        <v>2295</v>
      </c>
      <c r="H9875" s="333">
        <v>2777</v>
      </c>
    </row>
    <row r="9876" spans="1:8">
      <c r="A9876" s="317">
        <v>2600406038</v>
      </c>
      <c r="B9876" s="330" t="s">
        <v>54232</v>
      </c>
      <c r="C9876" s="330" t="s">
        <v>22078</v>
      </c>
      <c r="D9876" s="330" t="s">
        <v>12590</v>
      </c>
      <c r="E9876" s="330" t="s">
        <v>37248</v>
      </c>
      <c r="F9876" s="331">
        <v>0.21</v>
      </c>
      <c r="G9876" s="332">
        <v>1208</v>
      </c>
      <c r="H9876" s="333">
        <v>1462</v>
      </c>
    </row>
    <row r="9877" spans="1:8">
      <c r="A9877" s="317">
        <v>2600406039</v>
      </c>
      <c r="B9877" s="330" t="s">
        <v>54233</v>
      </c>
      <c r="C9877" s="330" t="s">
        <v>22079</v>
      </c>
      <c r="D9877" s="330" t="s">
        <v>22080</v>
      </c>
      <c r="E9877" s="330" t="s">
        <v>37248</v>
      </c>
      <c r="F9877" s="331">
        <v>0.21</v>
      </c>
      <c r="G9877" s="332">
        <v>194</v>
      </c>
      <c r="H9877" s="333">
        <v>235</v>
      </c>
    </row>
    <row r="9878" spans="1:8">
      <c r="A9878" s="317">
        <v>2600409014</v>
      </c>
      <c r="B9878" s="330" t="s">
        <v>54234</v>
      </c>
      <c r="C9878" s="330" t="s">
        <v>22081</v>
      </c>
      <c r="D9878" s="330" t="s">
        <v>22082</v>
      </c>
      <c r="E9878" s="330" t="s">
        <v>4634</v>
      </c>
      <c r="F9878" s="331">
        <v>0.21</v>
      </c>
      <c r="G9878" s="332">
        <v>348</v>
      </c>
      <c r="H9878" s="333">
        <v>422</v>
      </c>
    </row>
    <row r="9879" spans="1:8">
      <c r="A9879" s="317">
        <v>2600409016</v>
      </c>
      <c r="B9879" s="330" t="s">
        <v>54235</v>
      </c>
      <c r="C9879" s="330" t="s">
        <v>22083</v>
      </c>
      <c r="D9879" s="330" t="s">
        <v>6259</v>
      </c>
      <c r="E9879" s="330" t="s">
        <v>4634</v>
      </c>
      <c r="F9879" s="331">
        <v>0.21</v>
      </c>
      <c r="G9879" s="332">
        <v>455</v>
      </c>
      <c r="H9879" s="333">
        <v>551</v>
      </c>
    </row>
    <row r="9880" spans="1:8">
      <c r="A9880" s="317">
        <v>2600409022</v>
      </c>
      <c r="B9880" s="330" t="s">
        <v>54236</v>
      </c>
      <c r="C9880" s="330" t="s">
        <v>22084</v>
      </c>
      <c r="D9880" s="330" t="s">
        <v>22085</v>
      </c>
      <c r="E9880" s="330" t="s">
        <v>4634</v>
      </c>
      <c r="F9880" s="331">
        <v>0.21</v>
      </c>
      <c r="G9880" s="332">
        <v>2315</v>
      </c>
      <c r="H9880" s="333">
        <v>2802</v>
      </c>
    </row>
    <row r="9881" spans="1:8">
      <c r="A9881" s="317">
        <v>2600409025</v>
      </c>
      <c r="B9881" s="330" t="s">
        <v>54237</v>
      </c>
      <c r="C9881" s="330" t="s">
        <v>22086</v>
      </c>
      <c r="D9881" s="330" t="s">
        <v>22087</v>
      </c>
      <c r="E9881" s="330" t="s">
        <v>4634</v>
      </c>
      <c r="F9881" s="331">
        <v>0.21</v>
      </c>
      <c r="G9881" s="332">
        <v>963</v>
      </c>
      <c r="H9881" s="333">
        <v>1166</v>
      </c>
    </row>
    <row r="9882" spans="1:8">
      <c r="A9882" s="317">
        <v>2600409026</v>
      </c>
      <c r="B9882" s="330" t="s">
        <v>54238</v>
      </c>
      <c r="C9882" s="330" t="s">
        <v>22088</v>
      </c>
      <c r="D9882" s="330" t="s">
        <v>22089</v>
      </c>
      <c r="E9882" s="330" t="s">
        <v>4634</v>
      </c>
      <c r="F9882" s="331">
        <v>0.21</v>
      </c>
      <c r="G9882" s="332">
        <v>1581</v>
      </c>
      <c r="H9882" s="333">
        <v>1914</v>
      </c>
    </row>
    <row r="9883" spans="1:8">
      <c r="A9883" s="317">
        <v>2600409027</v>
      </c>
      <c r="B9883" s="330" t="s">
        <v>54239</v>
      </c>
      <c r="C9883" s="330" t="s">
        <v>22090</v>
      </c>
      <c r="D9883" s="330" t="s">
        <v>22091</v>
      </c>
      <c r="E9883" s="330" t="s">
        <v>4634</v>
      </c>
      <c r="F9883" s="331">
        <v>0.21</v>
      </c>
      <c r="G9883" s="332">
        <v>1258</v>
      </c>
      <c r="H9883" s="333">
        <v>1523</v>
      </c>
    </row>
    <row r="9884" spans="1:8">
      <c r="A9884" s="317">
        <v>2600409028</v>
      </c>
      <c r="B9884" s="330" t="s">
        <v>54240</v>
      </c>
      <c r="C9884" s="330" t="s">
        <v>22092</v>
      </c>
      <c r="D9884" s="330" t="s">
        <v>22093</v>
      </c>
      <c r="E9884" s="330" t="s">
        <v>4634</v>
      </c>
      <c r="F9884" s="331">
        <v>0.21</v>
      </c>
      <c r="G9884" s="332">
        <v>2186</v>
      </c>
      <c r="H9884" s="333">
        <v>2646</v>
      </c>
    </row>
    <row r="9885" spans="1:8">
      <c r="A9885" s="317">
        <v>2600420900</v>
      </c>
      <c r="B9885" s="330" t="s">
        <v>54241</v>
      </c>
      <c r="C9885" s="330" t="s">
        <v>22094</v>
      </c>
      <c r="D9885" s="330" t="s">
        <v>22095</v>
      </c>
      <c r="E9885" s="330" t="s">
        <v>4634</v>
      </c>
      <c r="F9885" s="331">
        <v>0.21</v>
      </c>
      <c r="G9885" s="332">
        <v>4557</v>
      </c>
      <c r="H9885" s="333">
        <v>5514</v>
      </c>
    </row>
    <row r="9886" spans="1:8">
      <c r="A9886" s="317">
        <v>2600421001</v>
      </c>
      <c r="B9886" s="330" t="s">
        <v>54242</v>
      </c>
      <c r="C9886" s="330" t="s">
        <v>22096</v>
      </c>
      <c r="D9886" s="330" t="s">
        <v>22097</v>
      </c>
      <c r="E9886" s="330" t="s">
        <v>4819</v>
      </c>
      <c r="F9886" s="331">
        <v>0.21</v>
      </c>
      <c r="G9886" s="332">
        <v>2596</v>
      </c>
      <c r="H9886" s="333">
        <v>3142</v>
      </c>
    </row>
    <row r="9887" spans="1:8">
      <c r="A9887" s="317">
        <v>2600422000</v>
      </c>
      <c r="B9887" s="330" t="s">
        <v>54243</v>
      </c>
      <c r="C9887" s="330" t="s">
        <v>22098</v>
      </c>
      <c r="D9887" s="330" t="s">
        <v>6458</v>
      </c>
      <c r="E9887" s="330" t="s">
        <v>4634</v>
      </c>
      <c r="F9887" s="331">
        <v>0.21</v>
      </c>
      <c r="G9887" s="332">
        <v>2478</v>
      </c>
      <c r="H9887" s="333">
        <v>2999</v>
      </c>
    </row>
    <row r="9888" spans="1:8">
      <c r="A9888" s="317">
        <v>2600422004</v>
      </c>
      <c r="B9888" s="330" t="s">
        <v>54244</v>
      </c>
      <c r="C9888" s="330" t="s">
        <v>22099</v>
      </c>
      <c r="D9888" s="330" t="s">
        <v>22100</v>
      </c>
      <c r="E9888" s="330" t="s">
        <v>4634</v>
      </c>
      <c r="F9888" s="331">
        <v>0.21</v>
      </c>
      <c r="G9888" s="332">
        <v>348</v>
      </c>
      <c r="H9888" s="333">
        <v>422</v>
      </c>
    </row>
    <row r="9889" spans="1:8">
      <c r="A9889" s="317">
        <v>2600422005</v>
      </c>
      <c r="B9889" s="330" t="s">
        <v>54245</v>
      </c>
      <c r="C9889" s="330" t="s">
        <v>22101</v>
      </c>
      <c r="D9889" s="330" t="s">
        <v>22102</v>
      </c>
      <c r="E9889" s="330" t="s">
        <v>4634</v>
      </c>
      <c r="F9889" s="331">
        <v>0.21</v>
      </c>
      <c r="G9889" s="332">
        <v>3490</v>
      </c>
      <c r="H9889" s="333">
        <v>4223</v>
      </c>
    </row>
    <row r="9890" spans="1:8">
      <c r="A9890" s="317">
        <v>2600423006</v>
      </c>
      <c r="B9890" s="330" t="s">
        <v>54246</v>
      </c>
      <c r="C9890" s="330" t="s">
        <v>22103</v>
      </c>
      <c r="D9890" s="330" t="s">
        <v>22104</v>
      </c>
      <c r="E9890" s="330" t="s">
        <v>4819</v>
      </c>
      <c r="F9890" s="331">
        <v>0.21</v>
      </c>
      <c r="G9890" s="332">
        <v>2116</v>
      </c>
      <c r="H9890" s="333">
        <v>2561</v>
      </c>
    </row>
    <row r="9891" spans="1:8">
      <c r="A9891" s="317">
        <v>2600451010</v>
      </c>
      <c r="B9891" s="330" t="s">
        <v>54247</v>
      </c>
      <c r="C9891" s="330" t="s">
        <v>22105</v>
      </c>
      <c r="D9891" s="330" t="s">
        <v>22106</v>
      </c>
      <c r="E9891" s="330" t="s">
        <v>37248</v>
      </c>
      <c r="F9891" s="331">
        <v>0.21</v>
      </c>
      <c r="G9891" s="332">
        <v>579</v>
      </c>
      <c r="H9891" s="333">
        <v>701</v>
      </c>
    </row>
    <row r="9892" spans="1:8">
      <c r="A9892" s="317">
        <v>2600460049</v>
      </c>
      <c r="B9892" s="330" t="s">
        <v>54248</v>
      </c>
      <c r="C9892" s="330" t="s">
        <v>22107</v>
      </c>
      <c r="D9892" s="330" t="s">
        <v>22108</v>
      </c>
      <c r="E9892" s="330" t="s">
        <v>37248</v>
      </c>
      <c r="F9892" s="331">
        <v>0.21</v>
      </c>
      <c r="G9892" s="332">
        <v>13435</v>
      </c>
      <c r="H9892" s="333">
        <v>16257</v>
      </c>
    </row>
    <row r="9893" spans="1:8">
      <c r="A9893" s="317">
        <v>2600460050</v>
      </c>
      <c r="B9893" s="330" t="s">
        <v>54249</v>
      </c>
      <c r="C9893" s="330" t="s">
        <v>22109</v>
      </c>
      <c r="D9893" s="330" t="s">
        <v>22108</v>
      </c>
      <c r="E9893" s="330" t="s">
        <v>37248</v>
      </c>
      <c r="F9893" s="331">
        <v>0.21</v>
      </c>
      <c r="G9893" s="332">
        <v>15597</v>
      </c>
      <c r="H9893" s="333">
        <v>18873</v>
      </c>
    </row>
    <row r="9894" spans="1:8">
      <c r="A9894" s="317">
        <v>2600460059</v>
      </c>
      <c r="B9894" s="330" t="s">
        <v>54250</v>
      </c>
      <c r="C9894" s="330" t="s">
        <v>22110</v>
      </c>
      <c r="D9894" s="330" t="s">
        <v>22111</v>
      </c>
      <c r="E9894" s="330" t="s">
        <v>37248</v>
      </c>
      <c r="F9894" s="331">
        <v>0.21</v>
      </c>
      <c r="G9894" s="332">
        <v>4162</v>
      </c>
      <c r="H9894" s="333">
        <v>5037</v>
      </c>
    </row>
    <row r="9895" spans="1:8">
      <c r="A9895" s="317">
        <v>2600499002</v>
      </c>
      <c r="B9895" s="330" t="s">
        <v>54251</v>
      </c>
      <c r="C9895" s="330" t="s">
        <v>22112</v>
      </c>
      <c r="D9895" s="330" t="s">
        <v>22113</v>
      </c>
      <c r="E9895" s="330" t="s">
        <v>4634</v>
      </c>
      <c r="F9895" s="331">
        <v>0.21</v>
      </c>
      <c r="G9895" s="332">
        <v>928</v>
      </c>
      <c r="H9895" s="333">
        <v>1123</v>
      </c>
    </row>
    <row r="9896" spans="1:8">
      <c r="A9896" s="317">
        <v>2600499015</v>
      </c>
      <c r="B9896" s="330" t="s">
        <v>54252</v>
      </c>
      <c r="C9896" s="330" t="s">
        <v>22114</v>
      </c>
      <c r="D9896" s="330" t="s">
        <v>22115</v>
      </c>
      <c r="E9896" s="330" t="s">
        <v>4634</v>
      </c>
      <c r="F9896" s="331">
        <v>0.21</v>
      </c>
      <c r="G9896" s="332">
        <v>2232</v>
      </c>
      <c r="H9896" s="333">
        <v>2701</v>
      </c>
    </row>
    <row r="9897" spans="1:8">
      <c r="A9897" s="317">
        <v>2600499042</v>
      </c>
      <c r="B9897" s="330" t="s">
        <v>54253</v>
      </c>
      <c r="C9897" s="330" t="s">
        <v>22116</v>
      </c>
      <c r="D9897" s="330" t="s">
        <v>22117</v>
      </c>
      <c r="E9897" s="330" t="s">
        <v>37248</v>
      </c>
      <c r="F9897" s="331">
        <v>0.21</v>
      </c>
      <c r="G9897" s="332">
        <v>27529</v>
      </c>
      <c r="H9897" s="333">
        <v>33311</v>
      </c>
    </row>
    <row r="9898" spans="1:8">
      <c r="A9898" s="317">
        <v>2600499903</v>
      </c>
      <c r="B9898" s="330" t="s">
        <v>54254</v>
      </c>
      <c r="C9898" s="330" t="s">
        <v>22118</v>
      </c>
      <c r="D9898" s="330" t="s">
        <v>22119</v>
      </c>
      <c r="E9898" s="330" t="s">
        <v>4634</v>
      </c>
      <c r="F9898" s="331">
        <v>0.21</v>
      </c>
      <c r="G9898" s="332">
        <v>6016</v>
      </c>
      <c r="H9898" s="333">
        <v>7280</v>
      </c>
    </row>
    <row r="9899" spans="1:8">
      <c r="A9899" s="317">
        <v>2600500008</v>
      </c>
      <c r="B9899" s="330" t="s">
        <v>54255</v>
      </c>
      <c r="C9899" s="330" t="s">
        <v>22120</v>
      </c>
      <c r="D9899" s="330" t="s">
        <v>5015</v>
      </c>
      <c r="E9899" s="330" t="s">
        <v>4634</v>
      </c>
      <c r="F9899" s="331">
        <v>0.21</v>
      </c>
      <c r="G9899" s="332">
        <v>153</v>
      </c>
      <c r="H9899" s="333">
        <v>186</v>
      </c>
    </row>
    <row r="9900" spans="1:8">
      <c r="A9900" s="317">
        <v>2600500014</v>
      </c>
      <c r="B9900" s="330" t="s">
        <v>54256</v>
      </c>
      <c r="C9900" s="330" t="s">
        <v>22121</v>
      </c>
      <c r="D9900" s="330" t="s">
        <v>22122</v>
      </c>
      <c r="E9900" s="330" t="s">
        <v>4634</v>
      </c>
      <c r="F9900" s="331">
        <v>0.21</v>
      </c>
      <c r="G9900" s="332">
        <v>372</v>
      </c>
      <c r="H9900" s="333">
        <v>451</v>
      </c>
    </row>
    <row r="9901" spans="1:8">
      <c r="A9901" s="317">
        <v>2600500017</v>
      </c>
      <c r="B9901" s="330" t="s">
        <v>54257</v>
      </c>
      <c r="C9901" s="330" t="s">
        <v>22123</v>
      </c>
      <c r="D9901" s="330" t="s">
        <v>22124</v>
      </c>
      <c r="E9901" s="330" t="s">
        <v>4634</v>
      </c>
      <c r="F9901" s="331">
        <v>0.21</v>
      </c>
      <c r="G9901" s="332">
        <v>180</v>
      </c>
      <c r="H9901" s="333">
        <v>218</v>
      </c>
    </row>
    <row r="9902" spans="1:8">
      <c r="A9902" s="317">
        <v>2600500019</v>
      </c>
      <c r="B9902" s="330" t="s">
        <v>54258</v>
      </c>
      <c r="C9902" s="330" t="s">
        <v>22125</v>
      </c>
      <c r="D9902" s="330" t="s">
        <v>22126</v>
      </c>
      <c r="E9902" s="330" t="s">
        <v>4634</v>
      </c>
      <c r="F9902" s="331">
        <v>0.21</v>
      </c>
      <c r="G9902" s="332">
        <v>372</v>
      </c>
      <c r="H9902" s="333">
        <v>451</v>
      </c>
    </row>
    <row r="9903" spans="1:8">
      <c r="A9903" s="317">
        <v>2600500033</v>
      </c>
      <c r="B9903" s="330" t="s">
        <v>54259</v>
      </c>
      <c r="C9903" s="330" t="s">
        <v>22127</v>
      </c>
      <c r="D9903" s="330" t="s">
        <v>22128</v>
      </c>
      <c r="E9903" s="330" t="s">
        <v>37248</v>
      </c>
      <c r="F9903" s="331">
        <v>0.21</v>
      </c>
      <c r="G9903" s="332">
        <v>2041</v>
      </c>
      <c r="H9903" s="333">
        <v>2470</v>
      </c>
    </row>
    <row r="9904" spans="1:8">
      <c r="A9904" s="317">
        <v>2600501001</v>
      </c>
      <c r="B9904" s="330" t="s">
        <v>54260</v>
      </c>
      <c r="C9904" s="330" t="s">
        <v>22129</v>
      </c>
      <c r="D9904" s="330" t="s">
        <v>22130</v>
      </c>
      <c r="E9904" s="330" t="s">
        <v>4634</v>
      </c>
      <c r="F9904" s="331">
        <v>0.21</v>
      </c>
      <c r="G9904" s="332">
        <v>4729</v>
      </c>
      <c r="H9904" s="333">
        <v>5723</v>
      </c>
    </row>
    <row r="9905" spans="1:8">
      <c r="A9905" s="317">
        <v>2600501004</v>
      </c>
      <c r="B9905" s="330" t="s">
        <v>54261</v>
      </c>
      <c r="C9905" s="330" t="s">
        <v>22131</v>
      </c>
      <c r="D9905" s="330" t="s">
        <v>22132</v>
      </c>
      <c r="E9905" s="330" t="s">
        <v>4634</v>
      </c>
      <c r="F9905" s="331">
        <v>0.21</v>
      </c>
      <c r="G9905" s="332">
        <v>1782</v>
      </c>
      <c r="H9905" s="333">
        <v>2157</v>
      </c>
    </row>
    <row r="9906" spans="1:8">
      <c r="A9906" s="317">
        <v>2600501031</v>
      </c>
      <c r="B9906" s="330" t="s">
        <v>54262</v>
      </c>
      <c r="C9906" s="330" t="s">
        <v>22133</v>
      </c>
      <c r="D9906" s="330" t="s">
        <v>22134</v>
      </c>
      <c r="E9906" s="330" t="s">
        <v>4634</v>
      </c>
      <c r="F9906" s="331">
        <v>0.21</v>
      </c>
      <c r="G9906" s="332">
        <v>2775</v>
      </c>
      <c r="H9906" s="333">
        <v>3358</v>
      </c>
    </row>
    <row r="9907" spans="1:8">
      <c r="A9907" s="317">
        <v>2600506002</v>
      </c>
      <c r="B9907" s="330" t="s">
        <v>54263</v>
      </c>
      <c r="C9907" s="330" t="s">
        <v>22135</v>
      </c>
      <c r="D9907" s="330" t="s">
        <v>5133</v>
      </c>
      <c r="E9907" s="330" t="s">
        <v>4634</v>
      </c>
      <c r="F9907" s="331">
        <v>0.21</v>
      </c>
      <c r="G9907" s="332">
        <v>153</v>
      </c>
      <c r="H9907" s="333">
        <v>186</v>
      </c>
    </row>
    <row r="9908" spans="1:8">
      <c r="A9908" s="317">
        <v>2600506008</v>
      </c>
      <c r="B9908" s="330" t="s">
        <v>54264</v>
      </c>
      <c r="C9908" s="330" t="s">
        <v>22136</v>
      </c>
      <c r="D9908" s="330" t="s">
        <v>22137</v>
      </c>
      <c r="E9908" s="330" t="s">
        <v>4634</v>
      </c>
      <c r="F9908" s="331">
        <v>0.21</v>
      </c>
      <c r="G9908" s="332">
        <v>1644</v>
      </c>
      <c r="H9908" s="333">
        <v>1990</v>
      </c>
    </row>
    <row r="9909" spans="1:8">
      <c r="A9909" s="317">
        <v>2600508001</v>
      </c>
      <c r="B9909" s="330" t="s">
        <v>54265</v>
      </c>
      <c r="C9909" s="330" t="s">
        <v>22138</v>
      </c>
      <c r="D9909" s="330" t="s">
        <v>6109</v>
      </c>
      <c r="E9909" s="330" t="s">
        <v>4634</v>
      </c>
      <c r="F9909" s="331">
        <v>0.21</v>
      </c>
      <c r="G9909" s="332">
        <v>377</v>
      </c>
      <c r="H9909" s="333">
        <v>457</v>
      </c>
    </row>
    <row r="9910" spans="1:8">
      <c r="A9910" s="317">
        <v>2600508004</v>
      </c>
      <c r="B9910" s="330" t="s">
        <v>54266</v>
      </c>
      <c r="C9910" s="330" t="s">
        <v>22139</v>
      </c>
      <c r="D9910" s="330" t="s">
        <v>22140</v>
      </c>
      <c r="E9910" s="330" t="s">
        <v>4623</v>
      </c>
      <c r="F9910" s="331">
        <v>0.21</v>
      </c>
      <c r="G9910" s="332">
        <v>3520</v>
      </c>
      <c r="H9910" s="333">
        <v>4260</v>
      </c>
    </row>
    <row r="9911" spans="1:8">
      <c r="A9911" s="317">
        <v>2600508008</v>
      </c>
      <c r="B9911" s="330" t="s">
        <v>54267</v>
      </c>
      <c r="C9911" s="330" t="s">
        <v>22141</v>
      </c>
      <c r="D9911" s="330" t="s">
        <v>6109</v>
      </c>
      <c r="E9911" s="330" t="s">
        <v>4634</v>
      </c>
      <c r="F9911" s="331">
        <v>0.21</v>
      </c>
      <c r="G9911" s="332">
        <v>377</v>
      </c>
      <c r="H9911" s="333">
        <v>457</v>
      </c>
    </row>
    <row r="9912" spans="1:8">
      <c r="A9912" s="317">
        <v>2600508028</v>
      </c>
      <c r="B9912" s="330" t="s">
        <v>54268</v>
      </c>
      <c r="C9912" s="330" t="s">
        <v>22142</v>
      </c>
      <c r="D9912" s="330" t="s">
        <v>22143</v>
      </c>
      <c r="E9912" s="330" t="s">
        <v>4634</v>
      </c>
      <c r="F9912" s="331">
        <v>0.21</v>
      </c>
      <c r="G9912" s="332">
        <v>791</v>
      </c>
      <c r="H9912" s="333">
        <v>958</v>
      </c>
    </row>
    <row r="9913" spans="1:8">
      <c r="A9913" s="317">
        <v>2600508029</v>
      </c>
      <c r="B9913" s="330" t="s">
        <v>54269</v>
      </c>
      <c r="C9913" s="330" t="s">
        <v>22144</v>
      </c>
      <c r="D9913" s="330" t="s">
        <v>22145</v>
      </c>
      <c r="E9913" s="330" t="s">
        <v>4634</v>
      </c>
      <c r="F9913" s="331">
        <v>0.21</v>
      </c>
      <c r="G9913" s="332">
        <v>153</v>
      </c>
      <c r="H9913" s="333">
        <v>186</v>
      </c>
    </row>
    <row r="9914" spans="1:8">
      <c r="A9914" s="317">
        <v>2600508034</v>
      </c>
      <c r="B9914" s="330" t="s">
        <v>54270</v>
      </c>
      <c r="C9914" s="330" t="s">
        <v>22146</v>
      </c>
      <c r="D9914" s="330" t="s">
        <v>5822</v>
      </c>
      <c r="E9914" s="330" t="s">
        <v>4634</v>
      </c>
      <c r="F9914" s="331">
        <v>0.21</v>
      </c>
      <c r="G9914" s="332">
        <v>490</v>
      </c>
      <c r="H9914" s="333">
        <v>593</v>
      </c>
    </row>
    <row r="9915" spans="1:8">
      <c r="A9915" s="317">
        <v>2600508036</v>
      </c>
      <c r="B9915" s="330" t="s">
        <v>54271</v>
      </c>
      <c r="C9915" s="330" t="s">
        <v>22147</v>
      </c>
      <c r="D9915" s="330" t="s">
        <v>22148</v>
      </c>
      <c r="E9915" s="330" t="s">
        <v>4819</v>
      </c>
      <c r="F9915" s="331">
        <v>0.21</v>
      </c>
      <c r="G9915" s="332">
        <v>13393</v>
      </c>
      <c r="H9915" s="333">
        <v>16206</v>
      </c>
    </row>
    <row r="9916" spans="1:8">
      <c r="A9916" s="317">
        <v>2600508038</v>
      </c>
      <c r="B9916" s="330" t="s">
        <v>54272</v>
      </c>
      <c r="C9916" s="330" t="s">
        <v>22149</v>
      </c>
      <c r="D9916" s="330" t="s">
        <v>22150</v>
      </c>
      <c r="E9916" s="330" t="s">
        <v>4634</v>
      </c>
      <c r="F9916" s="331">
        <v>0.21</v>
      </c>
      <c r="G9916" s="332">
        <v>1798</v>
      </c>
      <c r="H9916" s="333">
        <v>2176</v>
      </c>
    </row>
    <row r="9917" spans="1:8">
      <c r="A9917" s="317">
        <v>2600508050</v>
      </c>
      <c r="B9917" s="330" t="s">
        <v>54273</v>
      </c>
      <c r="C9917" s="330" t="s">
        <v>22151</v>
      </c>
      <c r="D9917" s="330" t="s">
        <v>22152</v>
      </c>
      <c r="E9917" s="330" t="s">
        <v>4634</v>
      </c>
      <c r="F9917" s="331">
        <v>0.21</v>
      </c>
      <c r="G9917" s="332">
        <v>1547</v>
      </c>
      <c r="H9917" s="333">
        <v>1872</v>
      </c>
    </row>
    <row r="9918" spans="1:8">
      <c r="A9918" s="317">
        <v>2600508051</v>
      </c>
      <c r="B9918" s="330" t="s">
        <v>54274</v>
      </c>
      <c r="C9918" s="330" t="s">
        <v>22153</v>
      </c>
      <c r="D9918" s="330" t="s">
        <v>22154</v>
      </c>
      <c r="E9918" s="330" t="s">
        <v>4819</v>
      </c>
      <c r="F9918" s="331">
        <v>0.21</v>
      </c>
      <c r="G9918" s="332">
        <v>1701</v>
      </c>
      <c r="H9918" s="333">
        <v>2059</v>
      </c>
    </row>
    <row r="9919" spans="1:8">
      <c r="A9919" s="317">
        <v>2600508052</v>
      </c>
      <c r="B9919" s="330" t="s">
        <v>54275</v>
      </c>
      <c r="C9919" s="330" t="s">
        <v>22155</v>
      </c>
      <c r="D9919" s="330" t="s">
        <v>22154</v>
      </c>
      <c r="E9919" s="330" t="s">
        <v>4819</v>
      </c>
      <c r="F9919" s="331">
        <v>0.21</v>
      </c>
      <c r="G9919" s="332">
        <v>4851</v>
      </c>
      <c r="H9919" s="333">
        <v>5870</v>
      </c>
    </row>
    <row r="9920" spans="1:8">
      <c r="A9920" s="317">
        <v>2600508053</v>
      </c>
      <c r="B9920" s="330" t="s">
        <v>54276</v>
      </c>
      <c r="C9920" s="330" t="s">
        <v>22156</v>
      </c>
      <c r="D9920" s="330" t="s">
        <v>22157</v>
      </c>
      <c r="E9920" s="330" t="s">
        <v>4634</v>
      </c>
      <c r="F9920" s="331">
        <v>0.21</v>
      </c>
      <c r="G9920" s="332">
        <v>648</v>
      </c>
      <c r="H9920" s="333">
        <v>785</v>
      </c>
    </row>
    <row r="9921" spans="1:8">
      <c r="A9921" s="317">
        <v>2600508064</v>
      </c>
      <c r="B9921" s="330" t="s">
        <v>54277</v>
      </c>
      <c r="C9921" s="330" t="s">
        <v>22158</v>
      </c>
      <c r="D9921" s="330" t="s">
        <v>22159</v>
      </c>
      <c r="E9921" s="330" t="s">
        <v>4634</v>
      </c>
      <c r="F9921" s="331">
        <v>0.21</v>
      </c>
      <c r="G9921" s="332">
        <v>1371</v>
      </c>
      <c r="H9921" s="333">
        <v>1659</v>
      </c>
    </row>
    <row r="9922" spans="1:8">
      <c r="A9922" s="317">
        <v>2600508066</v>
      </c>
      <c r="B9922" s="330" t="s">
        <v>54278</v>
      </c>
      <c r="C9922" s="330" t="s">
        <v>22160</v>
      </c>
      <c r="D9922" s="330" t="s">
        <v>22161</v>
      </c>
      <c r="E9922" s="330" t="s">
        <v>4634</v>
      </c>
      <c r="F9922" s="331">
        <v>0.21</v>
      </c>
      <c r="G9922" s="332">
        <v>1126</v>
      </c>
      <c r="H9922" s="333">
        <v>1363</v>
      </c>
    </row>
    <row r="9923" spans="1:8">
      <c r="A9923" s="317">
        <v>2600510004</v>
      </c>
      <c r="B9923" s="330" t="s">
        <v>54279</v>
      </c>
      <c r="C9923" s="330" t="s">
        <v>22162</v>
      </c>
      <c r="D9923" s="330" t="s">
        <v>22163</v>
      </c>
      <c r="E9923" s="330" t="s">
        <v>4634</v>
      </c>
      <c r="F9923" s="331">
        <v>0.21</v>
      </c>
      <c r="G9923" s="332">
        <v>29</v>
      </c>
      <c r="H9923" s="333">
        <v>36</v>
      </c>
    </row>
    <row r="9924" spans="1:8">
      <c r="A9924" s="317">
        <v>2600510011</v>
      </c>
      <c r="B9924" s="330" t="s">
        <v>54280</v>
      </c>
      <c r="C9924" s="330" t="s">
        <v>22164</v>
      </c>
      <c r="D9924" s="330" t="s">
        <v>22165</v>
      </c>
      <c r="E9924" s="330" t="s">
        <v>4634</v>
      </c>
      <c r="F9924" s="331">
        <v>0.21</v>
      </c>
      <c r="G9924" s="332">
        <v>1547</v>
      </c>
      <c r="H9924" s="333">
        <v>1872</v>
      </c>
    </row>
    <row r="9925" spans="1:8">
      <c r="A9925" s="317">
        <v>2600510012</v>
      </c>
      <c r="B9925" s="330" t="s">
        <v>54281</v>
      </c>
      <c r="C9925" s="330" t="s">
        <v>22166</v>
      </c>
      <c r="D9925" s="330" t="s">
        <v>6259</v>
      </c>
      <c r="E9925" s="330" t="s">
        <v>4634</v>
      </c>
      <c r="F9925" s="331">
        <v>0.21</v>
      </c>
      <c r="G9925" s="332">
        <v>1547</v>
      </c>
      <c r="H9925" s="333">
        <v>1872</v>
      </c>
    </row>
    <row r="9926" spans="1:8">
      <c r="A9926" s="317">
        <v>2600522009</v>
      </c>
      <c r="B9926" s="330" t="s">
        <v>54282</v>
      </c>
      <c r="C9926" s="330" t="s">
        <v>22167</v>
      </c>
      <c r="D9926" s="330" t="s">
        <v>22168</v>
      </c>
      <c r="E9926" s="330" t="s">
        <v>4634</v>
      </c>
      <c r="F9926" s="331">
        <v>0.21</v>
      </c>
      <c r="G9926" s="332">
        <v>437</v>
      </c>
      <c r="H9926" s="333">
        <v>529</v>
      </c>
    </row>
    <row r="9927" spans="1:8">
      <c r="A9927" s="317">
        <v>2600522011</v>
      </c>
      <c r="B9927" s="330" t="s">
        <v>54283</v>
      </c>
      <c r="C9927" s="330" t="s">
        <v>22169</v>
      </c>
      <c r="D9927" s="330" t="s">
        <v>18708</v>
      </c>
      <c r="E9927" s="330" t="s">
        <v>4634</v>
      </c>
      <c r="F9927" s="331">
        <v>0.21</v>
      </c>
      <c r="G9927" s="332">
        <v>481</v>
      </c>
      <c r="H9927" s="333">
        <v>583</v>
      </c>
    </row>
    <row r="9928" spans="1:8">
      <c r="A9928" s="317">
        <v>2600522013</v>
      </c>
      <c r="B9928" s="330" t="s">
        <v>54284</v>
      </c>
      <c r="C9928" s="330" t="s">
        <v>22170</v>
      </c>
      <c r="D9928" s="330" t="s">
        <v>22171</v>
      </c>
      <c r="E9928" s="330" t="s">
        <v>4634</v>
      </c>
      <c r="F9928" s="331">
        <v>0.21</v>
      </c>
      <c r="G9928" s="332">
        <v>372</v>
      </c>
      <c r="H9928" s="333">
        <v>451</v>
      </c>
    </row>
    <row r="9929" spans="1:8">
      <c r="A9929" s="317">
        <v>2600522026</v>
      </c>
      <c r="B9929" s="330" t="s">
        <v>54285</v>
      </c>
      <c r="C9929" s="330" t="s">
        <v>22172</v>
      </c>
      <c r="D9929" s="330" t="s">
        <v>22173</v>
      </c>
      <c r="E9929" s="330" t="s">
        <v>4634</v>
      </c>
      <c r="F9929" s="331">
        <v>0.21</v>
      </c>
      <c r="G9929" s="332">
        <v>153</v>
      </c>
      <c r="H9929" s="333">
        <v>186</v>
      </c>
    </row>
    <row r="9930" spans="1:8">
      <c r="A9930" s="317">
        <v>2600550008</v>
      </c>
      <c r="B9930" s="330" t="s">
        <v>54286</v>
      </c>
      <c r="C9930" s="330" t="s">
        <v>22174</v>
      </c>
      <c r="D9930" s="330" t="s">
        <v>22175</v>
      </c>
      <c r="E9930" s="330" t="s">
        <v>37248</v>
      </c>
      <c r="F9930" s="331">
        <v>0.21</v>
      </c>
      <c r="G9930" s="332">
        <v>2156</v>
      </c>
      <c r="H9930" s="333">
        <v>2609</v>
      </c>
    </row>
    <row r="9931" spans="1:8">
      <c r="A9931" s="317">
        <v>2600550017</v>
      </c>
      <c r="B9931" s="330" t="s">
        <v>54287</v>
      </c>
      <c r="C9931" s="330" t="s">
        <v>22176</v>
      </c>
      <c r="D9931" s="330" t="s">
        <v>22177</v>
      </c>
      <c r="E9931" s="330" t="s">
        <v>4634</v>
      </c>
      <c r="F9931" s="331">
        <v>0.21</v>
      </c>
      <c r="G9931" s="332">
        <v>1170</v>
      </c>
      <c r="H9931" s="333">
        <v>1416</v>
      </c>
    </row>
    <row r="9932" spans="1:8">
      <c r="A9932" s="317">
        <v>2600550018</v>
      </c>
      <c r="B9932" s="330" t="s">
        <v>54288</v>
      </c>
      <c r="C9932" s="330" t="s">
        <v>22178</v>
      </c>
      <c r="D9932" s="330" t="s">
        <v>22179</v>
      </c>
      <c r="E9932" s="330" t="s">
        <v>4634</v>
      </c>
      <c r="F9932" s="331">
        <v>0.21</v>
      </c>
      <c r="G9932" s="332">
        <v>387</v>
      </c>
      <c r="H9932" s="333">
        <v>469</v>
      </c>
    </row>
    <row r="9933" spans="1:8">
      <c r="A9933" s="317">
        <v>2600550020</v>
      </c>
      <c r="B9933" s="330" t="s">
        <v>54289</v>
      </c>
      <c r="C9933" s="330" t="s">
        <v>22180</v>
      </c>
      <c r="D9933" s="330" t="s">
        <v>22177</v>
      </c>
      <c r="E9933" s="330" t="s">
        <v>4634</v>
      </c>
      <c r="F9933" s="331">
        <v>0.21</v>
      </c>
      <c r="G9933" s="332">
        <v>153</v>
      </c>
      <c r="H9933" s="333">
        <v>186</v>
      </c>
    </row>
    <row r="9934" spans="1:8">
      <c r="A9934" s="317">
        <v>2600590007</v>
      </c>
      <c r="B9934" s="330" t="s">
        <v>54290</v>
      </c>
      <c r="C9934" s="330" t="s">
        <v>22181</v>
      </c>
      <c r="D9934" s="330" t="s">
        <v>22182</v>
      </c>
      <c r="E9934" s="330" t="s">
        <v>4634</v>
      </c>
      <c r="F9934" s="331">
        <v>0.21</v>
      </c>
      <c r="G9934" s="332">
        <v>1367</v>
      </c>
      <c r="H9934" s="333">
        <v>1655</v>
      </c>
    </row>
    <row r="9935" spans="1:8">
      <c r="A9935" s="317">
        <v>2600590010</v>
      </c>
      <c r="B9935" s="330" t="s">
        <v>54291</v>
      </c>
      <c r="C9935" s="330" t="s">
        <v>22183</v>
      </c>
      <c r="D9935" s="330" t="s">
        <v>22184</v>
      </c>
      <c r="E9935" s="330" t="s">
        <v>4634</v>
      </c>
      <c r="F9935" s="331">
        <v>0.21</v>
      </c>
      <c r="G9935" s="332">
        <v>928</v>
      </c>
      <c r="H9935" s="333">
        <v>1123</v>
      </c>
    </row>
    <row r="9936" spans="1:8">
      <c r="A9936" s="317">
        <v>2600590013</v>
      </c>
      <c r="B9936" s="330" t="s">
        <v>54292</v>
      </c>
      <c r="C9936" s="330" t="s">
        <v>22185</v>
      </c>
      <c r="D9936" s="330" t="s">
        <v>22186</v>
      </c>
      <c r="E9936" s="330" t="s">
        <v>4819</v>
      </c>
      <c r="F9936" s="331">
        <v>0.21</v>
      </c>
      <c r="G9936" s="332">
        <v>2478</v>
      </c>
      <c r="H9936" s="333">
        <v>2999</v>
      </c>
    </row>
    <row r="9937" spans="1:8">
      <c r="A9937" s="317">
        <v>2600591004</v>
      </c>
      <c r="B9937" s="330" t="s">
        <v>54293</v>
      </c>
      <c r="C9937" s="330" t="s">
        <v>22187</v>
      </c>
      <c r="D9937" s="330" t="s">
        <v>19429</v>
      </c>
      <c r="E9937" s="330" t="s">
        <v>4634</v>
      </c>
      <c r="F9937" s="331">
        <v>0.21</v>
      </c>
      <c r="G9937" s="332">
        <v>348</v>
      </c>
      <c r="H9937" s="333">
        <v>422</v>
      </c>
    </row>
    <row r="9938" spans="1:8">
      <c r="A9938" s="317">
        <v>2600591007</v>
      </c>
      <c r="B9938" s="330" t="s">
        <v>54294</v>
      </c>
      <c r="C9938" s="330" t="s">
        <v>22188</v>
      </c>
      <c r="D9938" s="330" t="s">
        <v>22189</v>
      </c>
      <c r="E9938" s="330" t="s">
        <v>4634</v>
      </c>
      <c r="F9938" s="331">
        <v>0.21</v>
      </c>
      <c r="G9938" s="332">
        <v>348</v>
      </c>
      <c r="H9938" s="333">
        <v>422</v>
      </c>
    </row>
    <row r="9939" spans="1:8">
      <c r="A9939" s="317">
        <v>2600591010</v>
      </c>
      <c r="B9939" s="330" t="s">
        <v>54295</v>
      </c>
      <c r="C9939" s="330" t="s">
        <v>22190</v>
      </c>
      <c r="D9939" s="330" t="s">
        <v>22191</v>
      </c>
      <c r="E9939" s="330" t="s">
        <v>4819</v>
      </c>
      <c r="F9939" s="331">
        <v>0.21</v>
      </c>
      <c r="G9939" s="332">
        <v>2128</v>
      </c>
      <c r="H9939" s="333">
        <v>2575</v>
      </c>
    </row>
    <row r="9940" spans="1:8">
      <c r="A9940" s="317">
        <v>2600591011</v>
      </c>
      <c r="B9940" s="330" t="s">
        <v>54296</v>
      </c>
      <c r="C9940" s="330" t="s">
        <v>22192</v>
      </c>
      <c r="D9940" s="330" t="s">
        <v>22193</v>
      </c>
      <c r="E9940" s="330" t="s">
        <v>4634</v>
      </c>
      <c r="F9940" s="331">
        <v>0.21</v>
      </c>
      <c r="G9940" s="332">
        <v>372</v>
      </c>
      <c r="H9940" s="333">
        <v>451</v>
      </c>
    </row>
    <row r="9941" spans="1:8">
      <c r="A9941" s="317">
        <v>2600591900</v>
      </c>
      <c r="B9941" s="330" t="s">
        <v>54297</v>
      </c>
      <c r="C9941" s="330" t="s">
        <v>22194</v>
      </c>
      <c r="D9941" s="330" t="s">
        <v>22195</v>
      </c>
      <c r="E9941" s="330" t="s">
        <v>4819</v>
      </c>
      <c r="F9941" s="331">
        <v>0.21</v>
      </c>
      <c r="G9941" s="332">
        <v>2041</v>
      </c>
      <c r="H9941" s="333">
        <v>2470</v>
      </c>
    </row>
    <row r="9942" spans="1:8">
      <c r="A9942" s="317">
        <v>2600703006</v>
      </c>
      <c r="B9942" s="330" t="s">
        <v>54298</v>
      </c>
      <c r="C9942" s="330" t="s">
        <v>22196</v>
      </c>
      <c r="D9942" s="330" t="s">
        <v>22197</v>
      </c>
      <c r="E9942" s="330" t="s">
        <v>4634</v>
      </c>
      <c r="F9942" s="331">
        <v>0.21</v>
      </c>
      <c r="G9942" s="332">
        <v>372</v>
      </c>
      <c r="H9942" s="333">
        <v>451</v>
      </c>
    </row>
    <row r="9943" spans="1:8">
      <c r="A9943" s="317">
        <v>2600703007</v>
      </c>
      <c r="B9943" s="330" t="s">
        <v>54299</v>
      </c>
      <c r="C9943" s="330" t="s">
        <v>22198</v>
      </c>
      <c r="D9943" s="330" t="s">
        <v>22199</v>
      </c>
      <c r="E9943" s="330" t="s">
        <v>4634</v>
      </c>
      <c r="F9943" s="331">
        <v>0.21</v>
      </c>
      <c r="G9943" s="332">
        <v>372</v>
      </c>
      <c r="H9943" s="333">
        <v>451</v>
      </c>
    </row>
    <row r="9944" spans="1:8">
      <c r="A9944" s="317">
        <v>2600703011</v>
      </c>
      <c r="B9944" s="330" t="s">
        <v>54300</v>
      </c>
      <c r="C9944" s="330" t="s">
        <v>22200</v>
      </c>
      <c r="D9944" s="330" t="s">
        <v>22201</v>
      </c>
      <c r="E9944" s="330" t="s">
        <v>4634</v>
      </c>
      <c r="F9944" s="331">
        <v>0.21</v>
      </c>
      <c r="G9944" s="332">
        <v>905</v>
      </c>
      <c r="H9944" s="333">
        <v>1096</v>
      </c>
    </row>
    <row r="9945" spans="1:8">
      <c r="A9945" s="317">
        <v>2600703017</v>
      </c>
      <c r="B9945" s="330" t="s">
        <v>54301</v>
      </c>
      <c r="C9945" s="330" t="s">
        <v>22202</v>
      </c>
      <c r="D9945" s="330" t="s">
        <v>22203</v>
      </c>
      <c r="E9945" s="330" t="s">
        <v>37248</v>
      </c>
      <c r="F9945" s="331">
        <v>0.21</v>
      </c>
      <c r="G9945" s="332">
        <v>3883</v>
      </c>
      <c r="H9945" s="333">
        <v>4699</v>
      </c>
    </row>
    <row r="9946" spans="1:8">
      <c r="A9946" s="317">
        <v>2600703018</v>
      </c>
      <c r="B9946" s="330" t="s">
        <v>54302</v>
      </c>
      <c r="C9946" s="330" t="s">
        <v>22204</v>
      </c>
      <c r="D9946" s="330" t="s">
        <v>22205</v>
      </c>
      <c r="E9946" s="330" t="s">
        <v>37248</v>
      </c>
      <c r="F9946" s="331">
        <v>0.21</v>
      </c>
      <c r="G9946" s="332">
        <v>3027</v>
      </c>
      <c r="H9946" s="333">
        <v>3663</v>
      </c>
    </row>
    <row r="9947" spans="1:8">
      <c r="A9947" s="317">
        <v>2600703019</v>
      </c>
      <c r="B9947" s="330" t="s">
        <v>54303</v>
      </c>
      <c r="C9947" s="330" t="s">
        <v>22206</v>
      </c>
      <c r="D9947" s="330" t="s">
        <v>22207</v>
      </c>
      <c r="E9947" s="330" t="s">
        <v>37248</v>
      </c>
      <c r="F9947" s="331">
        <v>0.21</v>
      </c>
      <c r="G9947" s="332">
        <v>4022</v>
      </c>
      <c r="H9947" s="333">
        <v>4867</v>
      </c>
    </row>
    <row r="9948" spans="1:8">
      <c r="A9948" s="317">
        <v>2600703027</v>
      </c>
      <c r="B9948" s="330" t="s">
        <v>54304</v>
      </c>
      <c r="C9948" s="330" t="s">
        <v>22208</v>
      </c>
      <c r="D9948" s="330" t="s">
        <v>22209</v>
      </c>
      <c r="E9948" s="330" t="s">
        <v>37248</v>
      </c>
      <c r="F9948" s="331">
        <v>0.21</v>
      </c>
      <c r="G9948" s="332">
        <v>1769</v>
      </c>
      <c r="H9948" s="333">
        <v>2141</v>
      </c>
    </row>
    <row r="9949" spans="1:8">
      <c r="A9949" s="317">
        <v>2600703028</v>
      </c>
      <c r="B9949" s="330" t="s">
        <v>54305</v>
      </c>
      <c r="C9949" s="330" t="s">
        <v>22210</v>
      </c>
      <c r="D9949" s="330" t="s">
        <v>22211</v>
      </c>
      <c r="E9949" s="330" t="s">
        <v>4819</v>
      </c>
      <c r="F9949" s="331">
        <v>0.21</v>
      </c>
      <c r="G9949" s="332">
        <v>2328</v>
      </c>
      <c r="H9949" s="333">
        <v>2817</v>
      </c>
    </row>
    <row r="9950" spans="1:8">
      <c r="A9950" s="317">
        <v>2600703069</v>
      </c>
      <c r="B9950" s="330" t="s">
        <v>54306</v>
      </c>
      <c r="C9950" s="330" t="s">
        <v>22212</v>
      </c>
      <c r="D9950" s="330" t="s">
        <v>5244</v>
      </c>
      <c r="E9950" s="330" t="s">
        <v>4819</v>
      </c>
      <c r="F9950" s="331">
        <v>0.21</v>
      </c>
      <c r="G9950" s="332">
        <v>2339</v>
      </c>
      <c r="H9950" s="333">
        <v>2831</v>
      </c>
    </row>
    <row r="9951" spans="1:8">
      <c r="A9951" s="317">
        <v>2600707060</v>
      </c>
      <c r="B9951" s="330" t="s">
        <v>54307</v>
      </c>
      <c r="C9951" s="330" t="s">
        <v>22213</v>
      </c>
      <c r="D9951" s="330" t="s">
        <v>22214</v>
      </c>
      <c r="E9951" s="330" t="s">
        <v>37248</v>
      </c>
      <c r="F9951" s="331">
        <v>0.21</v>
      </c>
      <c r="G9951" s="332">
        <v>3062</v>
      </c>
      <c r="H9951" s="333">
        <v>3706</v>
      </c>
    </row>
    <row r="9952" spans="1:8">
      <c r="A9952" s="317">
        <v>2600707072</v>
      </c>
      <c r="B9952" s="330" t="s">
        <v>54308</v>
      </c>
      <c r="C9952" s="330" t="s">
        <v>22215</v>
      </c>
      <c r="D9952" s="330" t="s">
        <v>22216</v>
      </c>
      <c r="E9952" s="330" t="s">
        <v>37248</v>
      </c>
      <c r="F9952" s="331">
        <v>0.21</v>
      </c>
      <c r="G9952" s="332">
        <v>5157</v>
      </c>
      <c r="H9952" s="333">
        <v>6240</v>
      </c>
    </row>
    <row r="9953" spans="1:8">
      <c r="A9953" s="317">
        <v>2600707082</v>
      </c>
      <c r="B9953" s="330" t="s">
        <v>54309</v>
      </c>
      <c r="C9953" s="330" t="s">
        <v>22217</v>
      </c>
      <c r="D9953" s="330" t="s">
        <v>22218</v>
      </c>
      <c r="E9953" s="330" t="s">
        <v>37248</v>
      </c>
      <c r="F9953" s="331">
        <v>0.21</v>
      </c>
      <c r="G9953" s="332">
        <v>2295</v>
      </c>
      <c r="H9953" s="333">
        <v>2777</v>
      </c>
    </row>
    <row r="9954" spans="1:8">
      <c r="A9954" s="317">
        <v>2600712005</v>
      </c>
      <c r="B9954" s="330" t="s">
        <v>54310</v>
      </c>
      <c r="C9954" s="330" t="s">
        <v>22219</v>
      </c>
      <c r="D9954" s="330" t="s">
        <v>22220</v>
      </c>
      <c r="E9954" s="330" t="s">
        <v>4634</v>
      </c>
      <c r="F9954" s="331">
        <v>0.21</v>
      </c>
      <c r="G9954" s="332">
        <v>678</v>
      </c>
      <c r="H9954" s="333">
        <v>821</v>
      </c>
    </row>
    <row r="9955" spans="1:8">
      <c r="A9955" s="317">
        <v>2600712006</v>
      </c>
      <c r="B9955" s="330" t="s">
        <v>54311</v>
      </c>
      <c r="C9955" s="330" t="s">
        <v>22221</v>
      </c>
      <c r="D9955" s="330" t="s">
        <v>22222</v>
      </c>
      <c r="E9955" s="330" t="s">
        <v>4634</v>
      </c>
      <c r="F9955" s="331">
        <v>0.21</v>
      </c>
      <c r="G9955" s="332">
        <v>584</v>
      </c>
      <c r="H9955" s="333">
        <v>707</v>
      </c>
    </row>
    <row r="9956" spans="1:8">
      <c r="A9956" s="317">
        <v>2600780009</v>
      </c>
      <c r="B9956" s="330" t="s">
        <v>54312</v>
      </c>
      <c r="C9956" s="330" t="s">
        <v>22223</v>
      </c>
      <c r="D9956" s="330" t="s">
        <v>22224</v>
      </c>
      <c r="E9956" s="330" t="s">
        <v>4634</v>
      </c>
      <c r="F9956" s="331">
        <v>0.21</v>
      </c>
      <c r="G9956" s="332">
        <v>4138</v>
      </c>
      <c r="H9956" s="333">
        <v>5007</v>
      </c>
    </row>
    <row r="9957" spans="1:8">
      <c r="A9957" s="317">
        <v>2600780012</v>
      </c>
      <c r="B9957" s="330" t="s">
        <v>54313</v>
      </c>
      <c r="C9957" s="330" t="s">
        <v>22225</v>
      </c>
      <c r="D9957" s="330" t="s">
        <v>22226</v>
      </c>
      <c r="E9957" s="330" t="s">
        <v>4634</v>
      </c>
      <c r="F9957" s="331">
        <v>0.21</v>
      </c>
      <c r="G9957" s="332">
        <v>4963</v>
      </c>
      <c r="H9957" s="333">
        <v>6006</v>
      </c>
    </row>
    <row r="9958" spans="1:8">
      <c r="A9958" s="317">
        <v>2600780017</v>
      </c>
      <c r="B9958" s="330" t="s">
        <v>54314</v>
      </c>
      <c r="C9958" s="330" t="s">
        <v>22227</v>
      </c>
      <c r="D9958" s="330" t="s">
        <v>22228</v>
      </c>
      <c r="E9958" s="330" t="s">
        <v>4634</v>
      </c>
      <c r="F9958" s="331">
        <v>0.21</v>
      </c>
      <c r="G9958" s="332">
        <v>4115</v>
      </c>
      <c r="H9958" s="333">
        <v>4980</v>
      </c>
    </row>
    <row r="9959" spans="1:8">
      <c r="A9959" s="317">
        <v>2600780033</v>
      </c>
      <c r="B9959" s="330" t="s">
        <v>54315</v>
      </c>
      <c r="C9959" s="330" t="s">
        <v>22229</v>
      </c>
      <c r="D9959" s="330" t="s">
        <v>22230</v>
      </c>
      <c r="E9959" s="330" t="s">
        <v>4634</v>
      </c>
      <c r="F9959" s="331">
        <v>0.21</v>
      </c>
      <c r="G9959" s="332">
        <v>4115</v>
      </c>
      <c r="H9959" s="333">
        <v>4980</v>
      </c>
    </row>
    <row r="9960" spans="1:8">
      <c r="A9960" s="317">
        <v>2600780034</v>
      </c>
      <c r="B9960" s="330" t="s">
        <v>54316</v>
      </c>
      <c r="C9960" s="330" t="s">
        <v>22231</v>
      </c>
      <c r="D9960" s="330" t="s">
        <v>22232</v>
      </c>
      <c r="E9960" s="330" t="s">
        <v>4634</v>
      </c>
      <c r="F9960" s="331">
        <v>0.21</v>
      </c>
      <c r="G9960" s="332">
        <v>16115</v>
      </c>
      <c r="H9960" s="333">
        <v>19500</v>
      </c>
    </row>
    <row r="9961" spans="1:8">
      <c r="A9961" s="317">
        <v>2600780038</v>
      </c>
      <c r="B9961" s="330" t="s">
        <v>54317</v>
      </c>
      <c r="C9961" s="330" t="s">
        <v>22233</v>
      </c>
      <c r="D9961" s="330" t="s">
        <v>13496</v>
      </c>
      <c r="E9961" s="330" t="s">
        <v>4634</v>
      </c>
      <c r="F9961" s="331">
        <v>0.21</v>
      </c>
      <c r="G9961" s="332">
        <v>4233</v>
      </c>
      <c r="H9961" s="333">
        <v>5122</v>
      </c>
    </row>
    <row r="9962" spans="1:8">
      <c r="A9962" s="317">
        <v>2600780058</v>
      </c>
      <c r="B9962" s="330" t="s">
        <v>54318</v>
      </c>
      <c r="C9962" s="330" t="s">
        <v>22234</v>
      </c>
      <c r="D9962" s="330" t="s">
        <v>22235</v>
      </c>
      <c r="E9962" s="330" t="s">
        <v>4634</v>
      </c>
      <c r="F9962" s="331">
        <v>0.21</v>
      </c>
      <c r="G9962" s="332">
        <v>4115</v>
      </c>
      <c r="H9962" s="333">
        <v>4980</v>
      </c>
    </row>
    <row r="9963" spans="1:8">
      <c r="A9963" s="317">
        <v>2600780073</v>
      </c>
      <c r="B9963" s="330" t="s">
        <v>54319</v>
      </c>
      <c r="C9963" s="330" t="s">
        <v>22236</v>
      </c>
      <c r="D9963" s="330" t="s">
        <v>22237</v>
      </c>
      <c r="E9963" s="330" t="s">
        <v>4634</v>
      </c>
      <c r="F9963" s="331">
        <v>0.21</v>
      </c>
      <c r="G9963" s="332">
        <v>14468</v>
      </c>
      <c r="H9963" s="333">
        <v>17507</v>
      </c>
    </row>
    <row r="9964" spans="1:8">
      <c r="A9964" s="317">
        <v>2600780094</v>
      </c>
      <c r="B9964" s="330" t="s">
        <v>54320</v>
      </c>
      <c r="C9964" s="330" t="s">
        <v>22238</v>
      </c>
      <c r="D9964" s="330" t="s">
        <v>22239</v>
      </c>
      <c r="E9964" s="330" t="s">
        <v>4634</v>
      </c>
      <c r="F9964" s="331">
        <v>0.21</v>
      </c>
      <c r="G9964" s="332">
        <v>7879</v>
      </c>
      <c r="H9964" s="333">
        <v>9534</v>
      </c>
    </row>
    <row r="9965" spans="1:8">
      <c r="A9965" s="317">
        <v>2600780108</v>
      </c>
      <c r="B9965" s="330" t="s">
        <v>54321</v>
      </c>
      <c r="C9965" s="330" t="s">
        <v>22240</v>
      </c>
      <c r="D9965" s="330" t="s">
        <v>22241</v>
      </c>
      <c r="E9965" s="330" t="s">
        <v>4634</v>
      </c>
      <c r="F9965" s="331">
        <v>0.21</v>
      </c>
      <c r="G9965" s="332">
        <v>51671</v>
      </c>
      <c r="H9965" s="333">
        <v>62522</v>
      </c>
    </row>
    <row r="9966" spans="1:8">
      <c r="A9966" s="317">
        <v>2600780109</v>
      </c>
      <c r="B9966" s="330" t="s">
        <v>54322</v>
      </c>
      <c r="C9966" s="330" t="s">
        <v>22242</v>
      </c>
      <c r="D9966" s="330" t="s">
        <v>22243</v>
      </c>
      <c r="E9966" s="330" t="s">
        <v>4634</v>
      </c>
      <c r="F9966" s="331">
        <v>0.21</v>
      </c>
      <c r="G9966" s="332">
        <v>3203</v>
      </c>
      <c r="H9966" s="333">
        <v>3876</v>
      </c>
    </row>
    <row r="9967" spans="1:8">
      <c r="A9967" s="317">
        <v>2600780145</v>
      </c>
      <c r="B9967" s="330" t="s">
        <v>54323</v>
      </c>
      <c r="C9967" s="330" t="s">
        <v>22244</v>
      </c>
      <c r="D9967" s="330" t="s">
        <v>22245</v>
      </c>
      <c r="E9967" s="330" t="s">
        <v>4634</v>
      </c>
      <c r="F9967" s="331">
        <v>0.21</v>
      </c>
      <c r="G9967" s="332">
        <v>8008</v>
      </c>
      <c r="H9967" s="333">
        <v>9690</v>
      </c>
    </row>
    <row r="9968" spans="1:8">
      <c r="A9968" s="317">
        <v>2600780147</v>
      </c>
      <c r="B9968" s="330" t="s">
        <v>54324</v>
      </c>
      <c r="C9968" s="330" t="s">
        <v>22246</v>
      </c>
      <c r="D9968" s="330" t="s">
        <v>22247</v>
      </c>
      <c r="E9968" s="330" t="s">
        <v>4634</v>
      </c>
      <c r="F9968" s="331">
        <v>0.21</v>
      </c>
      <c r="G9968" s="332">
        <v>9059</v>
      </c>
      <c r="H9968" s="333">
        <v>10962</v>
      </c>
    </row>
    <row r="9969" spans="1:8">
      <c r="A9969" s="317">
        <v>2600780154</v>
      </c>
      <c r="B9969" s="330" t="s">
        <v>54325</v>
      </c>
      <c r="C9969" s="330" t="s">
        <v>22248</v>
      </c>
      <c r="D9969" s="330" t="s">
        <v>22249</v>
      </c>
      <c r="E9969" s="330" t="s">
        <v>4634</v>
      </c>
      <c r="F9969" s="331">
        <v>0.21</v>
      </c>
      <c r="G9969" s="332">
        <v>38228</v>
      </c>
      <c r="H9969" s="333">
        <v>46256</v>
      </c>
    </row>
    <row r="9970" spans="1:8">
      <c r="A9970" s="317">
        <v>2600780164</v>
      </c>
      <c r="B9970" s="330" t="s">
        <v>54326</v>
      </c>
      <c r="C9970" s="330" t="s">
        <v>22250</v>
      </c>
      <c r="D9970" s="330" t="s">
        <v>22251</v>
      </c>
      <c r="E9970" s="330" t="s">
        <v>4634</v>
      </c>
      <c r="F9970" s="331">
        <v>0.21</v>
      </c>
      <c r="G9970" s="332">
        <v>24397</v>
      </c>
      <c r="H9970" s="333">
        <v>29521</v>
      </c>
    </row>
    <row r="9971" spans="1:8">
      <c r="A9971" s="317">
        <v>2600780173</v>
      </c>
      <c r="B9971" s="330" t="s">
        <v>54327</v>
      </c>
      <c r="C9971" s="330" t="s">
        <v>22252</v>
      </c>
      <c r="D9971" s="330" t="s">
        <v>22253</v>
      </c>
      <c r="E9971" s="330" t="s">
        <v>37248</v>
      </c>
      <c r="F9971" s="331">
        <v>0.21</v>
      </c>
      <c r="G9971" s="332">
        <v>41686</v>
      </c>
      <c r="H9971" s="333">
        <v>50441</v>
      </c>
    </row>
    <row r="9972" spans="1:8">
      <c r="A9972" s="317">
        <v>2600780177</v>
      </c>
      <c r="B9972" s="330" t="s">
        <v>54328</v>
      </c>
      <c r="C9972" s="330" t="s">
        <v>22254</v>
      </c>
      <c r="D9972" s="330" t="s">
        <v>22255</v>
      </c>
      <c r="E9972" s="330" t="s">
        <v>4634</v>
      </c>
      <c r="F9972" s="331">
        <v>0.21</v>
      </c>
      <c r="G9972" s="332">
        <v>13154</v>
      </c>
      <c r="H9972" s="333">
        <v>15917</v>
      </c>
    </row>
    <row r="9973" spans="1:8">
      <c r="A9973" s="317">
        <v>2600780178</v>
      </c>
      <c r="B9973" s="330" t="s">
        <v>54329</v>
      </c>
      <c r="C9973" s="330" t="s">
        <v>22256</v>
      </c>
      <c r="D9973" s="330" t="s">
        <v>22257</v>
      </c>
      <c r="E9973" s="330" t="s">
        <v>4634</v>
      </c>
      <c r="F9973" s="331">
        <v>0.21</v>
      </c>
      <c r="G9973" s="332">
        <v>4963</v>
      </c>
      <c r="H9973" s="333">
        <v>6006</v>
      </c>
    </row>
    <row r="9974" spans="1:8">
      <c r="A9974" s="317">
        <v>2600780189</v>
      </c>
      <c r="B9974" s="330" t="s">
        <v>54330</v>
      </c>
      <c r="C9974" s="330" t="s">
        <v>22258</v>
      </c>
      <c r="D9974" s="330" t="s">
        <v>22259</v>
      </c>
      <c r="E9974" s="330" t="s">
        <v>4634</v>
      </c>
      <c r="F9974" s="331">
        <v>0.21</v>
      </c>
      <c r="G9974" s="332">
        <v>16395</v>
      </c>
      <c r="H9974" s="333">
        <v>19838</v>
      </c>
    </row>
    <row r="9975" spans="1:8">
      <c r="A9975" s="317">
        <v>2600780190</v>
      </c>
      <c r="B9975" s="330" t="s">
        <v>54331</v>
      </c>
      <c r="C9975" s="330" t="s">
        <v>22260</v>
      </c>
      <c r="D9975" s="330" t="s">
        <v>22261</v>
      </c>
      <c r="E9975" s="330" t="s">
        <v>37248</v>
      </c>
      <c r="F9975" s="331">
        <v>0.21</v>
      </c>
      <c r="G9975" s="332">
        <v>15651</v>
      </c>
      <c r="H9975" s="333">
        <v>18938</v>
      </c>
    </row>
    <row r="9976" spans="1:8">
      <c r="A9976" s="317">
        <v>2600780905</v>
      </c>
      <c r="B9976" s="330" t="s">
        <v>54332</v>
      </c>
      <c r="C9976" s="330" t="s">
        <v>22262</v>
      </c>
      <c r="D9976" s="330" t="s">
        <v>22263</v>
      </c>
      <c r="E9976" s="330" t="s">
        <v>4634</v>
      </c>
      <c r="F9976" s="331">
        <v>0.21</v>
      </c>
      <c r="G9976" s="332">
        <v>20618</v>
      </c>
      <c r="H9976" s="333">
        <v>24948</v>
      </c>
    </row>
    <row r="9977" spans="1:8">
      <c r="A9977" s="317">
        <v>2600780910</v>
      </c>
      <c r="B9977" s="330" t="s">
        <v>54333</v>
      </c>
      <c r="C9977" s="330" t="s">
        <v>22264</v>
      </c>
      <c r="D9977" s="330" t="s">
        <v>22265</v>
      </c>
      <c r="E9977" s="330" t="s">
        <v>4634</v>
      </c>
      <c r="F9977" s="331">
        <v>0.21</v>
      </c>
      <c r="G9977" s="332">
        <v>13072</v>
      </c>
      <c r="H9977" s="333">
        <v>15818</v>
      </c>
    </row>
    <row r="9978" spans="1:8">
      <c r="A9978" s="317">
        <v>2600780911</v>
      </c>
      <c r="B9978" s="330" t="s">
        <v>54334</v>
      </c>
      <c r="C9978" s="330" t="s">
        <v>22266</v>
      </c>
      <c r="D9978" s="330" t="s">
        <v>22267</v>
      </c>
      <c r="E9978" s="330" t="s">
        <v>4634</v>
      </c>
      <c r="F9978" s="331">
        <v>0.21</v>
      </c>
      <c r="G9978" s="332">
        <v>92632</v>
      </c>
      <c r="H9978" s="333">
        <v>112085</v>
      </c>
    </row>
    <row r="9979" spans="1:8">
      <c r="A9979" s="317">
        <v>2600780913</v>
      </c>
      <c r="B9979" s="330" t="s">
        <v>54335</v>
      </c>
      <c r="C9979" s="330" t="s">
        <v>22268</v>
      </c>
      <c r="D9979" s="330" t="s">
        <v>22269</v>
      </c>
      <c r="E9979" s="330" t="s">
        <v>4634</v>
      </c>
      <c r="F9979" s="331">
        <v>0.21</v>
      </c>
      <c r="G9979" s="332">
        <v>3673</v>
      </c>
      <c r="H9979" s="333">
        <v>4445</v>
      </c>
    </row>
    <row r="9980" spans="1:8">
      <c r="A9980" s="317">
        <v>2600905013</v>
      </c>
      <c r="B9980" s="330" t="s">
        <v>54336</v>
      </c>
      <c r="C9980" s="330" t="s">
        <v>22270</v>
      </c>
      <c r="D9980" s="330" t="s">
        <v>22271</v>
      </c>
      <c r="E9980" s="330" t="s">
        <v>4634</v>
      </c>
      <c r="F9980" s="331">
        <v>0.21</v>
      </c>
      <c r="G9980" s="332">
        <v>2063</v>
      </c>
      <c r="H9980" s="333">
        <v>2497</v>
      </c>
    </row>
    <row r="9981" spans="1:8">
      <c r="A9981" s="317">
        <v>2600905015</v>
      </c>
      <c r="B9981" s="330" t="s">
        <v>54337</v>
      </c>
      <c r="C9981" s="330" t="s">
        <v>22272</v>
      </c>
      <c r="D9981" s="330" t="s">
        <v>22273</v>
      </c>
      <c r="E9981" s="330" t="s">
        <v>4634</v>
      </c>
      <c r="F9981" s="331">
        <v>0.21</v>
      </c>
      <c r="G9981" s="332">
        <v>339</v>
      </c>
      <c r="H9981" s="333">
        <v>411</v>
      </c>
    </row>
    <row r="9982" spans="1:8">
      <c r="A9982" s="317">
        <v>2600905018</v>
      </c>
      <c r="B9982" s="330" t="s">
        <v>54338</v>
      </c>
      <c r="C9982" s="330" t="s">
        <v>22274</v>
      </c>
      <c r="D9982" s="330" t="s">
        <v>22275</v>
      </c>
      <c r="E9982" s="330" t="s">
        <v>4634</v>
      </c>
      <c r="F9982" s="331">
        <v>0.21</v>
      </c>
      <c r="G9982" s="332">
        <v>2748</v>
      </c>
      <c r="H9982" s="333">
        <v>3326</v>
      </c>
    </row>
    <row r="9983" spans="1:8">
      <c r="A9983" s="317">
        <v>2600905021</v>
      </c>
      <c r="B9983" s="330" t="s">
        <v>54339</v>
      </c>
      <c r="C9983" s="330" t="s">
        <v>22276</v>
      </c>
      <c r="D9983" s="330" t="s">
        <v>22277</v>
      </c>
      <c r="E9983" s="330" t="s">
        <v>4634</v>
      </c>
      <c r="F9983" s="331">
        <v>0.21</v>
      </c>
      <c r="G9983" s="332">
        <v>11455</v>
      </c>
      <c r="H9983" s="333">
        <v>13861</v>
      </c>
    </row>
    <row r="9984" spans="1:8">
      <c r="A9984" s="317">
        <v>2600905029</v>
      </c>
      <c r="B9984" s="330" t="s">
        <v>54340</v>
      </c>
      <c r="C9984" s="330" t="s">
        <v>22278</v>
      </c>
      <c r="D9984" s="330" t="s">
        <v>22279</v>
      </c>
      <c r="E9984" s="330" t="s">
        <v>4634</v>
      </c>
      <c r="F9984" s="331">
        <v>0.21</v>
      </c>
      <c r="G9984" s="332">
        <v>2299</v>
      </c>
      <c r="H9984" s="333">
        <v>2782</v>
      </c>
    </row>
    <row r="9985" spans="1:8">
      <c r="A9985" s="317">
        <v>2600905032</v>
      </c>
      <c r="B9985" s="330" t="s">
        <v>54341</v>
      </c>
      <c r="C9985" s="330" t="s">
        <v>22280</v>
      </c>
      <c r="D9985" s="330" t="s">
        <v>21271</v>
      </c>
      <c r="E9985" s="330" t="s">
        <v>37248</v>
      </c>
      <c r="F9985" s="331">
        <v>0.21</v>
      </c>
      <c r="G9985" s="332">
        <v>14584</v>
      </c>
      <c r="H9985" s="333">
        <v>17647</v>
      </c>
    </row>
    <row r="9986" spans="1:8">
      <c r="A9986" s="317">
        <v>2600905034</v>
      </c>
      <c r="B9986" s="330" t="s">
        <v>54342</v>
      </c>
      <c r="C9986" s="330" t="s">
        <v>22281</v>
      </c>
      <c r="D9986" s="330" t="s">
        <v>22282</v>
      </c>
      <c r="E9986" s="330" t="s">
        <v>4819</v>
      </c>
      <c r="F9986" s="331">
        <v>0.21</v>
      </c>
      <c r="G9986" s="332">
        <v>16206</v>
      </c>
      <c r="H9986" s="333">
        <v>19610</v>
      </c>
    </row>
    <row r="9987" spans="1:8">
      <c r="A9987" s="317">
        <v>2600905035</v>
      </c>
      <c r="B9987" s="330" t="s">
        <v>54343</v>
      </c>
      <c r="C9987" s="330" t="s">
        <v>22283</v>
      </c>
      <c r="D9987" s="330" t="s">
        <v>22284</v>
      </c>
      <c r="E9987" s="330" t="s">
        <v>4634</v>
      </c>
      <c r="F9987" s="331">
        <v>0.21</v>
      </c>
      <c r="G9987" s="332">
        <v>2491</v>
      </c>
      <c r="H9987" s="333">
        <v>3015</v>
      </c>
    </row>
    <row r="9988" spans="1:8">
      <c r="A9988" s="317">
        <v>2600905037</v>
      </c>
      <c r="B9988" s="330" t="s">
        <v>54344</v>
      </c>
      <c r="C9988" s="330" t="s">
        <v>22285</v>
      </c>
      <c r="D9988" s="330" t="s">
        <v>22286</v>
      </c>
      <c r="E9988" s="330" t="s">
        <v>4634</v>
      </c>
      <c r="F9988" s="331">
        <v>0.21</v>
      </c>
      <c r="G9988" s="332">
        <v>367</v>
      </c>
      <c r="H9988" s="333">
        <v>445</v>
      </c>
    </row>
    <row r="9989" spans="1:8">
      <c r="A9989" s="317">
        <v>2600905039</v>
      </c>
      <c r="B9989" s="330" t="s">
        <v>54345</v>
      </c>
      <c r="C9989" s="330" t="s">
        <v>22287</v>
      </c>
      <c r="D9989" s="330" t="s">
        <v>22288</v>
      </c>
      <c r="E9989" s="330" t="s">
        <v>4634</v>
      </c>
      <c r="F9989" s="331">
        <v>0.21</v>
      </c>
      <c r="G9989" s="332">
        <v>2491</v>
      </c>
      <c r="H9989" s="333">
        <v>3015</v>
      </c>
    </row>
    <row r="9990" spans="1:8">
      <c r="A9990" s="317">
        <v>2600905043</v>
      </c>
      <c r="B9990" s="330" t="s">
        <v>54346</v>
      </c>
      <c r="C9990" s="330" t="s">
        <v>22289</v>
      </c>
      <c r="D9990" s="330" t="s">
        <v>22290</v>
      </c>
      <c r="E9990" s="330" t="s">
        <v>4634</v>
      </c>
      <c r="F9990" s="331">
        <v>0.21</v>
      </c>
      <c r="G9990" s="332">
        <v>2059</v>
      </c>
      <c r="H9990" s="333">
        <v>2492</v>
      </c>
    </row>
    <row r="9991" spans="1:8">
      <c r="A9991" s="317">
        <v>2600905046</v>
      </c>
      <c r="B9991" s="330" t="s">
        <v>54347</v>
      </c>
      <c r="C9991" s="330" t="s">
        <v>22291</v>
      </c>
      <c r="D9991" s="330" t="s">
        <v>22292</v>
      </c>
      <c r="E9991" s="330" t="s">
        <v>4634</v>
      </c>
      <c r="F9991" s="331">
        <v>0.21</v>
      </c>
      <c r="G9991" s="332">
        <v>2324</v>
      </c>
      <c r="H9991" s="333">
        <v>2813</v>
      </c>
    </row>
    <row r="9992" spans="1:8">
      <c r="A9992" s="317">
        <v>2600905051</v>
      </c>
      <c r="B9992" s="330" t="s">
        <v>54348</v>
      </c>
      <c r="C9992" s="330" t="s">
        <v>22293</v>
      </c>
      <c r="D9992" s="330" t="s">
        <v>22294</v>
      </c>
      <c r="E9992" s="330" t="s">
        <v>4634</v>
      </c>
      <c r="F9992" s="331">
        <v>0.21</v>
      </c>
      <c r="G9992" s="332">
        <v>289</v>
      </c>
      <c r="H9992" s="333">
        <v>350</v>
      </c>
    </row>
    <row r="9993" spans="1:8">
      <c r="A9993" s="317">
        <v>2600905052</v>
      </c>
      <c r="B9993" s="330" t="s">
        <v>54349</v>
      </c>
      <c r="C9993" s="330" t="s">
        <v>22295</v>
      </c>
      <c r="D9993" s="330" t="s">
        <v>22296</v>
      </c>
      <c r="E9993" s="330" t="s">
        <v>4819</v>
      </c>
      <c r="F9993" s="331">
        <v>0.21</v>
      </c>
      <c r="G9993" s="332">
        <v>9222</v>
      </c>
      <c r="H9993" s="333">
        <v>11159</v>
      </c>
    </row>
    <row r="9994" spans="1:8">
      <c r="A9994" s="317">
        <v>2600905054</v>
      </c>
      <c r="B9994" s="330" t="s">
        <v>54350</v>
      </c>
      <c r="C9994" s="330" t="s">
        <v>22297</v>
      </c>
      <c r="D9994" s="330" t="s">
        <v>22298</v>
      </c>
      <c r="E9994" s="330" t="s">
        <v>4634</v>
      </c>
      <c r="F9994" s="331">
        <v>0.21</v>
      </c>
      <c r="G9994" s="332">
        <v>64</v>
      </c>
      <c r="H9994" s="333">
        <v>78</v>
      </c>
    </row>
    <row r="9995" spans="1:8">
      <c r="A9995" s="317">
        <v>2600905057</v>
      </c>
      <c r="B9995" s="330" t="s">
        <v>54351</v>
      </c>
      <c r="C9995" s="330" t="s">
        <v>22299</v>
      </c>
      <c r="D9995" s="330" t="s">
        <v>22300</v>
      </c>
      <c r="E9995" s="330" t="s">
        <v>4634</v>
      </c>
      <c r="F9995" s="331">
        <v>0.21</v>
      </c>
      <c r="G9995" s="332">
        <v>234</v>
      </c>
      <c r="H9995" s="333">
        <v>284</v>
      </c>
    </row>
    <row r="9996" spans="1:8">
      <c r="A9996" s="317">
        <v>2600905058</v>
      </c>
      <c r="B9996" s="330" t="s">
        <v>54352</v>
      </c>
      <c r="C9996" s="330" t="s">
        <v>22301</v>
      </c>
      <c r="D9996" s="330" t="s">
        <v>22302</v>
      </c>
      <c r="E9996" s="330" t="s">
        <v>4634</v>
      </c>
      <c r="F9996" s="331">
        <v>0.21</v>
      </c>
      <c r="G9996" s="332">
        <v>4425</v>
      </c>
      <c r="H9996" s="333">
        <v>5355</v>
      </c>
    </row>
    <row r="9997" spans="1:8">
      <c r="A9997" s="317">
        <v>2600905062</v>
      </c>
      <c r="B9997" s="330" t="s">
        <v>54353</v>
      </c>
      <c r="C9997" s="330" t="s">
        <v>22303</v>
      </c>
      <c r="D9997" s="330" t="s">
        <v>22304</v>
      </c>
      <c r="E9997" s="330" t="s">
        <v>4634</v>
      </c>
      <c r="F9997" s="331">
        <v>0.21</v>
      </c>
      <c r="G9997" s="332">
        <v>367</v>
      </c>
      <c r="H9997" s="333">
        <v>445</v>
      </c>
    </row>
    <row r="9998" spans="1:8">
      <c r="A9998" s="317">
        <v>2600905064</v>
      </c>
      <c r="B9998" s="330" t="s">
        <v>54354</v>
      </c>
      <c r="C9998" s="330" t="s">
        <v>22305</v>
      </c>
      <c r="D9998" s="330" t="s">
        <v>22306</v>
      </c>
      <c r="E9998" s="330" t="s">
        <v>37248</v>
      </c>
      <c r="F9998" s="331">
        <v>0.21</v>
      </c>
      <c r="G9998" s="332">
        <v>8925</v>
      </c>
      <c r="H9998" s="333">
        <v>10800</v>
      </c>
    </row>
    <row r="9999" spans="1:8">
      <c r="A9999" s="317">
        <v>2600905065</v>
      </c>
      <c r="B9999" s="330" t="s">
        <v>54355</v>
      </c>
      <c r="C9999" s="330" t="s">
        <v>22307</v>
      </c>
      <c r="D9999" s="330" t="s">
        <v>22308</v>
      </c>
      <c r="E9999" s="330" t="s">
        <v>4634</v>
      </c>
      <c r="F9999" s="331">
        <v>0.21</v>
      </c>
      <c r="G9999" s="332">
        <v>2063</v>
      </c>
      <c r="H9999" s="333">
        <v>2497</v>
      </c>
    </row>
    <row r="10000" spans="1:8">
      <c r="A10000" s="317">
        <v>2600905068</v>
      </c>
      <c r="B10000" s="330" t="s">
        <v>54356</v>
      </c>
      <c r="C10000" s="330" t="s">
        <v>22309</v>
      </c>
      <c r="D10000" s="330" t="s">
        <v>22310</v>
      </c>
      <c r="E10000" s="330" t="s">
        <v>4819</v>
      </c>
      <c r="F10000" s="331">
        <v>0.21</v>
      </c>
      <c r="G10000" s="332">
        <v>18649</v>
      </c>
      <c r="H10000" s="333">
        <v>22566</v>
      </c>
    </row>
    <row r="10001" spans="1:8">
      <c r="A10001" s="317">
        <v>2600905071</v>
      </c>
      <c r="B10001" s="330" t="s">
        <v>54357</v>
      </c>
      <c r="C10001" s="330" t="s">
        <v>22311</v>
      </c>
      <c r="D10001" s="330" t="s">
        <v>22312</v>
      </c>
      <c r="E10001" s="330" t="s">
        <v>4634</v>
      </c>
      <c r="F10001" s="331">
        <v>0.21</v>
      </c>
      <c r="G10001" s="332">
        <v>8331</v>
      </c>
      <c r="H10001" s="333">
        <v>10081</v>
      </c>
    </row>
    <row r="10002" spans="1:8">
      <c r="A10002" s="317">
        <v>2600905072</v>
      </c>
      <c r="B10002" s="330" t="s">
        <v>54358</v>
      </c>
      <c r="C10002" s="330" t="s">
        <v>22313</v>
      </c>
      <c r="D10002" s="330" t="s">
        <v>22314</v>
      </c>
      <c r="E10002" s="330" t="s">
        <v>4634</v>
      </c>
      <c r="F10002" s="331">
        <v>0.21</v>
      </c>
      <c r="G10002" s="332">
        <v>1267</v>
      </c>
      <c r="H10002" s="333">
        <v>1534</v>
      </c>
    </row>
    <row r="10003" spans="1:8">
      <c r="A10003" s="317">
        <v>2600905086</v>
      </c>
      <c r="B10003" s="330" t="s">
        <v>54359</v>
      </c>
      <c r="C10003" s="330" t="s">
        <v>22315</v>
      </c>
      <c r="D10003" s="330" t="s">
        <v>22316</v>
      </c>
      <c r="E10003" s="330" t="s">
        <v>37248</v>
      </c>
      <c r="F10003" s="331">
        <v>0.21</v>
      </c>
      <c r="G10003" s="332">
        <v>1487</v>
      </c>
      <c r="H10003" s="333">
        <v>1800</v>
      </c>
    </row>
    <row r="10004" spans="1:8">
      <c r="A10004" s="317">
        <v>2600905107</v>
      </c>
      <c r="B10004" s="330" t="s">
        <v>54360</v>
      </c>
      <c r="C10004" s="330" t="s">
        <v>22317</v>
      </c>
      <c r="D10004" s="330" t="s">
        <v>22318</v>
      </c>
      <c r="E10004" s="330" t="s">
        <v>4634</v>
      </c>
      <c r="F10004" s="331">
        <v>0.21</v>
      </c>
      <c r="G10004" s="332">
        <v>1581</v>
      </c>
      <c r="H10004" s="333">
        <v>1914</v>
      </c>
    </row>
    <row r="10005" spans="1:8">
      <c r="A10005" s="317">
        <v>2600905110</v>
      </c>
      <c r="B10005" s="330" t="s">
        <v>54361</v>
      </c>
      <c r="C10005" s="330" t="s">
        <v>22319</v>
      </c>
      <c r="D10005" s="330" t="s">
        <v>22320</v>
      </c>
      <c r="E10005" s="330" t="s">
        <v>4819</v>
      </c>
      <c r="F10005" s="331">
        <v>0.21</v>
      </c>
      <c r="G10005" s="332">
        <v>5418</v>
      </c>
      <c r="H10005" s="333">
        <v>6556</v>
      </c>
    </row>
    <row r="10006" spans="1:8">
      <c r="A10006" s="317">
        <v>2600905111</v>
      </c>
      <c r="B10006" s="330" t="s">
        <v>54362</v>
      </c>
      <c r="C10006" s="330" t="s">
        <v>22321</v>
      </c>
      <c r="D10006" s="330" t="s">
        <v>22322</v>
      </c>
      <c r="E10006" s="330" t="s">
        <v>4819</v>
      </c>
      <c r="F10006" s="331">
        <v>0.21</v>
      </c>
      <c r="G10006" s="332">
        <v>15896</v>
      </c>
      <c r="H10006" s="333">
        <v>19235</v>
      </c>
    </row>
    <row r="10007" spans="1:8">
      <c r="A10007" s="317">
        <v>2600905112</v>
      </c>
      <c r="B10007" s="330" t="s">
        <v>54363</v>
      </c>
      <c r="C10007" s="330" t="s">
        <v>22323</v>
      </c>
      <c r="D10007" s="330" t="s">
        <v>22324</v>
      </c>
      <c r="E10007" s="330" t="s">
        <v>37248</v>
      </c>
      <c r="F10007" s="331">
        <v>0.21</v>
      </c>
      <c r="G10007" s="332">
        <v>4476</v>
      </c>
      <c r="H10007" s="333">
        <v>5416</v>
      </c>
    </row>
    <row r="10008" spans="1:8">
      <c r="A10008" s="317">
        <v>2600905121</v>
      </c>
      <c r="B10008" s="330" t="s">
        <v>54364</v>
      </c>
      <c r="C10008" s="330" t="s">
        <v>22325</v>
      </c>
      <c r="D10008" s="330" t="s">
        <v>22326</v>
      </c>
      <c r="E10008" s="330" t="s">
        <v>4634</v>
      </c>
      <c r="F10008" s="331">
        <v>0.21</v>
      </c>
      <c r="G10008" s="332">
        <v>8331</v>
      </c>
      <c r="H10008" s="333">
        <v>10081</v>
      </c>
    </row>
    <row r="10009" spans="1:8">
      <c r="A10009" s="317">
        <v>2600910000</v>
      </c>
      <c r="B10009" s="330" t="s">
        <v>54365</v>
      </c>
      <c r="C10009" s="330" t="s">
        <v>22327</v>
      </c>
      <c r="D10009" s="330" t="s">
        <v>22328</v>
      </c>
      <c r="E10009" s="330" t="s">
        <v>4634</v>
      </c>
      <c r="F10009" s="331">
        <v>0.21</v>
      </c>
      <c r="G10009" s="332">
        <v>1322</v>
      </c>
      <c r="H10009" s="333">
        <v>1600</v>
      </c>
    </row>
    <row r="10010" spans="1:8">
      <c r="A10010" s="317">
        <v>2600910003</v>
      </c>
      <c r="B10010" s="330" t="s">
        <v>54366</v>
      </c>
      <c r="C10010" s="330" t="s">
        <v>22329</v>
      </c>
      <c r="D10010" s="330" t="s">
        <v>22330</v>
      </c>
      <c r="E10010" s="330" t="s">
        <v>4634</v>
      </c>
      <c r="F10010" s="331">
        <v>0.21</v>
      </c>
      <c r="G10010" s="332">
        <v>555</v>
      </c>
      <c r="H10010" s="333">
        <v>672</v>
      </c>
    </row>
    <row r="10011" spans="1:8">
      <c r="A10011" s="317">
        <v>2600910005</v>
      </c>
      <c r="B10011" s="330" t="s">
        <v>54367</v>
      </c>
      <c r="C10011" s="330" t="s">
        <v>22331</v>
      </c>
      <c r="D10011" s="330" t="s">
        <v>22332</v>
      </c>
      <c r="E10011" s="330" t="s">
        <v>4634</v>
      </c>
      <c r="F10011" s="331">
        <v>0.21</v>
      </c>
      <c r="G10011" s="332">
        <v>678</v>
      </c>
      <c r="H10011" s="333">
        <v>821</v>
      </c>
    </row>
    <row r="10012" spans="1:8">
      <c r="A10012" s="317">
        <v>2600910012</v>
      </c>
      <c r="B10012" s="330" t="s">
        <v>54368</v>
      </c>
      <c r="C10012" s="330" t="s">
        <v>22333</v>
      </c>
      <c r="D10012" s="330" t="s">
        <v>22334</v>
      </c>
      <c r="E10012" s="330" t="s">
        <v>4634</v>
      </c>
      <c r="F10012" s="331">
        <v>0.21</v>
      </c>
      <c r="G10012" s="332">
        <v>928</v>
      </c>
      <c r="H10012" s="333">
        <v>1123</v>
      </c>
    </row>
    <row r="10013" spans="1:8">
      <c r="A10013" s="317">
        <v>2600913002</v>
      </c>
      <c r="B10013" s="330" t="s">
        <v>54369</v>
      </c>
      <c r="C10013" s="330" t="s">
        <v>22335</v>
      </c>
      <c r="D10013" s="330" t="s">
        <v>22336</v>
      </c>
      <c r="E10013" s="330" t="s">
        <v>4634</v>
      </c>
      <c r="F10013" s="331">
        <v>0.21</v>
      </c>
      <c r="G10013" s="332">
        <v>820</v>
      </c>
      <c r="H10013" s="333">
        <v>993</v>
      </c>
    </row>
    <row r="10014" spans="1:8">
      <c r="A10014" s="317">
        <v>2600913003</v>
      </c>
      <c r="B10014" s="330" t="s">
        <v>54370</v>
      </c>
      <c r="C10014" s="330" t="s">
        <v>22337</v>
      </c>
      <c r="D10014" s="330" t="s">
        <v>22338</v>
      </c>
      <c r="E10014" s="330" t="s">
        <v>4634</v>
      </c>
      <c r="F10014" s="331">
        <v>0.21</v>
      </c>
      <c r="G10014" s="332">
        <v>791</v>
      </c>
      <c r="H10014" s="333">
        <v>958</v>
      </c>
    </row>
    <row r="10015" spans="1:8">
      <c r="A10015" s="317">
        <v>2600913007</v>
      </c>
      <c r="B10015" s="330" t="s">
        <v>54371</v>
      </c>
      <c r="C10015" s="330" t="s">
        <v>22339</v>
      </c>
      <c r="D10015" s="330" t="s">
        <v>22340</v>
      </c>
      <c r="E10015" s="330" t="s">
        <v>4634</v>
      </c>
      <c r="F10015" s="331">
        <v>0.21</v>
      </c>
      <c r="G10015" s="332">
        <v>1759</v>
      </c>
      <c r="H10015" s="333">
        <v>2129</v>
      </c>
    </row>
    <row r="10016" spans="1:8">
      <c r="A10016" s="317">
        <v>2600913008</v>
      </c>
      <c r="B10016" s="330" t="s">
        <v>54372</v>
      </c>
      <c r="C10016" s="330" t="s">
        <v>22341</v>
      </c>
      <c r="D10016" s="330" t="s">
        <v>22342</v>
      </c>
      <c r="E10016" s="330" t="s">
        <v>4634</v>
      </c>
      <c r="F10016" s="331">
        <v>0.21</v>
      </c>
      <c r="G10016" s="332">
        <v>2059</v>
      </c>
      <c r="H10016" s="333">
        <v>2492</v>
      </c>
    </row>
    <row r="10017" spans="1:8">
      <c r="A10017" s="317">
        <v>2600913027</v>
      </c>
      <c r="B10017" s="330" t="s">
        <v>54373</v>
      </c>
      <c r="C10017" s="330" t="s">
        <v>22343</v>
      </c>
      <c r="D10017" s="330" t="s">
        <v>22344</v>
      </c>
      <c r="E10017" s="330" t="s">
        <v>4634</v>
      </c>
      <c r="F10017" s="331">
        <v>0.21</v>
      </c>
      <c r="G10017" s="332">
        <v>153</v>
      </c>
      <c r="H10017" s="333">
        <v>186</v>
      </c>
    </row>
    <row r="10018" spans="1:8">
      <c r="A10018" s="317">
        <v>2600913032</v>
      </c>
      <c r="B10018" s="330" t="s">
        <v>54374</v>
      </c>
      <c r="C10018" s="330" t="s">
        <v>22345</v>
      </c>
      <c r="D10018" s="330" t="s">
        <v>22346</v>
      </c>
      <c r="E10018" s="330" t="s">
        <v>4634</v>
      </c>
      <c r="F10018" s="331">
        <v>0.21</v>
      </c>
      <c r="G10018" s="332">
        <v>300</v>
      </c>
      <c r="H10018" s="333">
        <v>363</v>
      </c>
    </row>
    <row r="10019" spans="1:8">
      <c r="A10019" s="317">
        <v>2600913033</v>
      </c>
      <c r="B10019" s="330" t="s">
        <v>54375</v>
      </c>
      <c r="C10019" s="330" t="s">
        <v>22347</v>
      </c>
      <c r="D10019" s="330" t="s">
        <v>22348</v>
      </c>
      <c r="E10019" s="330" t="s">
        <v>4634</v>
      </c>
      <c r="F10019" s="331">
        <v>0.21</v>
      </c>
      <c r="G10019" s="332">
        <v>191</v>
      </c>
      <c r="H10019" s="333">
        <v>232</v>
      </c>
    </row>
    <row r="10020" spans="1:8">
      <c r="A10020" s="317">
        <v>2600913034</v>
      </c>
      <c r="B10020" s="330" t="s">
        <v>54376</v>
      </c>
      <c r="C10020" s="330" t="s">
        <v>22349</v>
      </c>
      <c r="D10020" s="330" t="s">
        <v>22350</v>
      </c>
      <c r="E10020" s="330" t="s">
        <v>4634</v>
      </c>
      <c r="F10020" s="331">
        <v>0.21</v>
      </c>
      <c r="G10020" s="332">
        <v>62</v>
      </c>
      <c r="H10020" s="333">
        <v>76</v>
      </c>
    </row>
    <row r="10021" spans="1:8">
      <c r="A10021" s="317">
        <v>2600913035</v>
      </c>
      <c r="B10021" s="330" t="s">
        <v>54377</v>
      </c>
      <c r="C10021" s="330" t="s">
        <v>22351</v>
      </c>
      <c r="D10021" s="330" t="s">
        <v>22352</v>
      </c>
      <c r="E10021" s="330" t="s">
        <v>4634</v>
      </c>
      <c r="F10021" s="331">
        <v>0.21</v>
      </c>
      <c r="G10021" s="332">
        <v>2232</v>
      </c>
      <c r="H10021" s="333">
        <v>2701</v>
      </c>
    </row>
    <row r="10022" spans="1:8">
      <c r="A10022" s="317">
        <v>2600913040</v>
      </c>
      <c r="B10022" s="330" t="s">
        <v>54378</v>
      </c>
      <c r="C10022" s="330" t="s">
        <v>22353</v>
      </c>
      <c r="D10022" s="330" t="s">
        <v>22354</v>
      </c>
      <c r="E10022" s="330" t="s">
        <v>37248</v>
      </c>
      <c r="F10022" s="331">
        <v>0.21</v>
      </c>
      <c r="G10022" s="332">
        <v>7207</v>
      </c>
      <c r="H10022" s="333">
        <v>8721</v>
      </c>
    </row>
    <row r="10023" spans="1:8">
      <c r="A10023" s="317">
        <v>2600914004</v>
      </c>
      <c r="B10023" s="330" t="s">
        <v>54379</v>
      </c>
      <c r="C10023" s="330" t="s">
        <v>22355</v>
      </c>
      <c r="D10023" s="330" t="s">
        <v>22356</v>
      </c>
      <c r="E10023" s="330" t="s">
        <v>4634</v>
      </c>
      <c r="F10023" s="331">
        <v>0.21</v>
      </c>
      <c r="G10023" s="332">
        <v>816</v>
      </c>
      <c r="H10023" s="333">
        <v>988</v>
      </c>
    </row>
    <row r="10024" spans="1:8">
      <c r="A10024" s="317">
        <v>2600914010</v>
      </c>
      <c r="B10024" s="330" t="s">
        <v>54380</v>
      </c>
      <c r="C10024" s="330" t="s">
        <v>22357</v>
      </c>
      <c r="D10024" s="330" t="s">
        <v>22358</v>
      </c>
      <c r="E10024" s="330" t="s">
        <v>4819</v>
      </c>
      <c r="F10024" s="331">
        <v>0.21</v>
      </c>
      <c r="G10024" s="332">
        <v>3161</v>
      </c>
      <c r="H10024" s="333">
        <v>3825</v>
      </c>
    </row>
    <row r="10025" spans="1:8">
      <c r="A10025" s="317">
        <v>2600914011</v>
      </c>
      <c r="B10025" s="330" t="s">
        <v>54381</v>
      </c>
      <c r="C10025" s="330" t="s">
        <v>22359</v>
      </c>
      <c r="D10025" s="330" t="s">
        <v>22360</v>
      </c>
      <c r="E10025" s="330" t="s">
        <v>4634</v>
      </c>
      <c r="F10025" s="331">
        <v>0.21</v>
      </c>
      <c r="G10025" s="332">
        <v>4592</v>
      </c>
      <c r="H10025" s="333">
        <v>5557</v>
      </c>
    </row>
    <row r="10026" spans="1:8">
      <c r="A10026" s="317">
        <v>2600914013</v>
      </c>
      <c r="B10026" s="330" t="s">
        <v>54382</v>
      </c>
      <c r="C10026" s="330" t="s">
        <v>22361</v>
      </c>
      <c r="D10026" s="330" t="s">
        <v>22362</v>
      </c>
      <c r="E10026" s="330" t="s">
        <v>4634</v>
      </c>
      <c r="F10026" s="331">
        <v>0.21</v>
      </c>
      <c r="G10026" s="332">
        <v>1170</v>
      </c>
      <c r="H10026" s="333">
        <v>1416</v>
      </c>
    </row>
    <row r="10027" spans="1:8">
      <c r="A10027" s="317">
        <v>2600914016</v>
      </c>
      <c r="B10027" s="330" t="s">
        <v>54383</v>
      </c>
      <c r="C10027" s="330" t="s">
        <v>22363</v>
      </c>
      <c r="D10027" s="330" t="s">
        <v>22364</v>
      </c>
      <c r="E10027" s="330" t="s">
        <v>4819</v>
      </c>
      <c r="F10027" s="331">
        <v>0.21</v>
      </c>
      <c r="G10027" s="332">
        <v>1487</v>
      </c>
      <c r="H10027" s="333">
        <v>1800</v>
      </c>
    </row>
    <row r="10028" spans="1:8">
      <c r="A10028" s="317">
        <v>2600914017</v>
      </c>
      <c r="B10028" s="330" t="s">
        <v>54384</v>
      </c>
      <c r="C10028" s="330" t="s">
        <v>22365</v>
      </c>
      <c r="D10028" s="330" t="s">
        <v>6824</v>
      </c>
      <c r="E10028" s="330" t="s">
        <v>4634</v>
      </c>
      <c r="F10028" s="331">
        <v>0.21</v>
      </c>
      <c r="G10028" s="332">
        <v>2462</v>
      </c>
      <c r="H10028" s="333">
        <v>2980</v>
      </c>
    </row>
    <row r="10029" spans="1:8">
      <c r="A10029" s="317">
        <v>2600914018</v>
      </c>
      <c r="B10029" s="330" t="s">
        <v>54385</v>
      </c>
      <c r="C10029" s="330" t="s">
        <v>22366</v>
      </c>
      <c r="D10029" s="330" t="s">
        <v>22367</v>
      </c>
      <c r="E10029" s="330" t="s">
        <v>4634</v>
      </c>
      <c r="F10029" s="331">
        <v>0.21</v>
      </c>
      <c r="G10029" s="332">
        <v>1692</v>
      </c>
      <c r="H10029" s="333">
        <v>2048</v>
      </c>
    </row>
    <row r="10030" spans="1:8">
      <c r="A10030" s="317">
        <v>2600914019</v>
      </c>
      <c r="B10030" s="330" t="s">
        <v>54386</v>
      </c>
      <c r="C10030" s="330" t="s">
        <v>22368</v>
      </c>
      <c r="D10030" s="330" t="s">
        <v>22369</v>
      </c>
      <c r="E10030" s="330" t="s">
        <v>4819</v>
      </c>
      <c r="F10030" s="331">
        <v>0.21</v>
      </c>
      <c r="G10030" s="332">
        <v>5955</v>
      </c>
      <c r="H10030" s="333">
        <v>7206</v>
      </c>
    </row>
    <row r="10031" spans="1:8">
      <c r="A10031" s="317">
        <v>2600914022</v>
      </c>
      <c r="B10031" s="330" t="s">
        <v>54387</v>
      </c>
      <c r="C10031" s="330" t="s">
        <v>22370</v>
      </c>
      <c r="D10031" s="330" t="s">
        <v>6731</v>
      </c>
      <c r="E10031" s="330" t="s">
        <v>37248</v>
      </c>
      <c r="F10031" s="331">
        <v>0.21</v>
      </c>
      <c r="G10031" s="332">
        <v>7952</v>
      </c>
      <c r="H10031" s="333">
        <v>9622</v>
      </c>
    </row>
    <row r="10032" spans="1:8">
      <c r="A10032" s="317">
        <v>2600914025</v>
      </c>
      <c r="B10032" s="330" t="s">
        <v>54388</v>
      </c>
      <c r="C10032" s="330" t="s">
        <v>22371</v>
      </c>
      <c r="D10032" s="330" t="s">
        <v>22372</v>
      </c>
      <c r="E10032" s="330" t="s">
        <v>4634</v>
      </c>
      <c r="F10032" s="331">
        <v>0.21</v>
      </c>
      <c r="G10032" s="332">
        <v>1258</v>
      </c>
      <c r="H10032" s="333">
        <v>1523</v>
      </c>
    </row>
    <row r="10033" spans="1:8">
      <c r="A10033" s="317">
        <v>2600916900</v>
      </c>
      <c r="B10033" s="330" t="s">
        <v>54389</v>
      </c>
      <c r="C10033" s="330" t="s">
        <v>22373</v>
      </c>
      <c r="D10033" s="330" t="s">
        <v>22374</v>
      </c>
      <c r="E10033" s="330" t="s">
        <v>4634</v>
      </c>
      <c r="F10033" s="331">
        <v>0.21</v>
      </c>
      <c r="G10033" s="332">
        <v>274</v>
      </c>
      <c r="H10033" s="333">
        <v>332</v>
      </c>
    </row>
    <row r="10034" spans="1:8">
      <c r="A10034" s="317">
        <v>2600917002</v>
      </c>
      <c r="B10034" s="330" t="s">
        <v>54390</v>
      </c>
      <c r="C10034" s="330" t="s">
        <v>22375</v>
      </c>
      <c r="D10034" s="330" t="s">
        <v>22376</v>
      </c>
      <c r="E10034" s="330" t="s">
        <v>37248</v>
      </c>
      <c r="F10034" s="331">
        <v>0.21</v>
      </c>
      <c r="G10034" s="332">
        <v>4708</v>
      </c>
      <c r="H10034" s="333">
        <v>5697</v>
      </c>
    </row>
    <row r="10035" spans="1:8">
      <c r="A10035" s="317">
        <v>2600917003</v>
      </c>
      <c r="B10035" s="330" t="s">
        <v>54391</v>
      </c>
      <c r="C10035" s="330" t="s">
        <v>22377</v>
      </c>
      <c r="D10035" s="330" t="s">
        <v>22378</v>
      </c>
      <c r="E10035" s="330" t="s">
        <v>4634</v>
      </c>
      <c r="F10035" s="331">
        <v>0.21</v>
      </c>
      <c r="G10035" s="332">
        <v>648</v>
      </c>
      <c r="H10035" s="333">
        <v>785</v>
      </c>
    </row>
    <row r="10036" spans="1:8">
      <c r="A10036" s="317">
        <v>2600917004</v>
      </c>
      <c r="B10036" s="330" t="s">
        <v>54392</v>
      </c>
      <c r="C10036" s="330" t="s">
        <v>22379</v>
      </c>
      <c r="D10036" s="330" t="s">
        <v>22380</v>
      </c>
      <c r="E10036" s="330" t="s">
        <v>4634</v>
      </c>
      <c r="F10036" s="331">
        <v>0.21</v>
      </c>
      <c r="G10036" s="332">
        <v>711</v>
      </c>
      <c r="H10036" s="333">
        <v>861</v>
      </c>
    </row>
    <row r="10037" spans="1:8">
      <c r="A10037" s="317">
        <v>2600917006</v>
      </c>
      <c r="B10037" s="330" t="s">
        <v>54393</v>
      </c>
      <c r="C10037" s="330" t="s">
        <v>22381</v>
      </c>
      <c r="D10037" s="330" t="s">
        <v>22382</v>
      </c>
      <c r="E10037" s="330" t="s">
        <v>4623</v>
      </c>
      <c r="F10037" s="331">
        <v>0.21</v>
      </c>
      <c r="G10037" s="332">
        <v>4572</v>
      </c>
      <c r="H10037" s="333">
        <v>5533</v>
      </c>
    </row>
    <row r="10038" spans="1:8">
      <c r="A10038" s="317">
        <v>2600917007</v>
      </c>
      <c r="B10038" s="330" t="s">
        <v>54394</v>
      </c>
      <c r="C10038" s="330" t="s">
        <v>22383</v>
      </c>
      <c r="D10038" s="330" t="s">
        <v>22384</v>
      </c>
      <c r="E10038" s="330" t="s">
        <v>4634</v>
      </c>
      <c r="F10038" s="331">
        <v>0.21</v>
      </c>
      <c r="G10038" s="332">
        <v>147</v>
      </c>
      <c r="H10038" s="333">
        <v>178</v>
      </c>
    </row>
    <row r="10039" spans="1:8">
      <c r="A10039" s="317">
        <v>2600917900</v>
      </c>
      <c r="B10039" s="330" t="s">
        <v>54395</v>
      </c>
      <c r="C10039" s="330" t="s">
        <v>22385</v>
      </c>
      <c r="D10039" s="330" t="s">
        <v>22386</v>
      </c>
      <c r="E10039" s="330" t="s">
        <v>37248</v>
      </c>
      <c r="F10039" s="331">
        <v>0.21</v>
      </c>
      <c r="G10039" s="332">
        <v>11626</v>
      </c>
      <c r="H10039" s="333">
        <v>14068</v>
      </c>
    </row>
    <row r="10040" spans="1:8">
      <c r="A10040" s="317">
        <v>2600917902</v>
      </c>
      <c r="B10040" s="330" t="s">
        <v>54396</v>
      </c>
      <c r="C10040" s="330" t="s">
        <v>22387</v>
      </c>
      <c r="D10040" s="330" t="s">
        <v>22388</v>
      </c>
      <c r="E10040" s="330" t="s">
        <v>4634</v>
      </c>
      <c r="F10040" s="331">
        <v>0.21</v>
      </c>
      <c r="G10040" s="332">
        <v>1581</v>
      </c>
      <c r="H10040" s="333">
        <v>1914</v>
      </c>
    </row>
    <row r="10041" spans="1:8">
      <c r="A10041" s="317">
        <v>2600917904</v>
      </c>
      <c r="B10041" s="330" t="s">
        <v>54397</v>
      </c>
      <c r="C10041" s="330" t="s">
        <v>22389</v>
      </c>
      <c r="D10041" s="330" t="s">
        <v>22390</v>
      </c>
      <c r="E10041" s="330" t="s">
        <v>37248</v>
      </c>
      <c r="F10041" s="331">
        <v>0.21</v>
      </c>
      <c r="G10041" s="332">
        <v>9572</v>
      </c>
      <c r="H10041" s="333">
        <v>11583</v>
      </c>
    </row>
    <row r="10042" spans="1:8">
      <c r="A10042" s="317">
        <v>2600917906</v>
      </c>
      <c r="B10042" s="330" t="s">
        <v>54398</v>
      </c>
      <c r="C10042" s="330" t="s">
        <v>22391</v>
      </c>
      <c r="D10042" s="330" t="s">
        <v>22392</v>
      </c>
      <c r="E10042" s="330" t="s">
        <v>4634</v>
      </c>
      <c r="F10042" s="331">
        <v>0.21</v>
      </c>
      <c r="G10042" s="332">
        <v>3080</v>
      </c>
      <c r="H10042" s="333">
        <v>3727</v>
      </c>
    </row>
    <row r="10043" spans="1:8">
      <c r="A10043" s="317">
        <v>2600923001</v>
      </c>
      <c r="B10043" s="330" t="s">
        <v>54399</v>
      </c>
      <c r="C10043" s="330" t="s">
        <v>22393</v>
      </c>
      <c r="D10043" s="330" t="s">
        <v>21510</v>
      </c>
      <c r="E10043" s="330" t="s">
        <v>4634</v>
      </c>
      <c r="F10043" s="331">
        <v>0.21</v>
      </c>
      <c r="G10043" s="332">
        <v>111</v>
      </c>
      <c r="H10043" s="333">
        <v>135</v>
      </c>
    </row>
    <row r="10044" spans="1:8">
      <c r="A10044" s="317">
        <v>2600923002</v>
      </c>
      <c r="B10044" s="330" t="s">
        <v>54400</v>
      </c>
      <c r="C10044" s="330" t="s">
        <v>22394</v>
      </c>
      <c r="D10044" s="330" t="s">
        <v>22290</v>
      </c>
      <c r="E10044" s="330" t="s">
        <v>4634</v>
      </c>
      <c r="F10044" s="331">
        <v>0.21</v>
      </c>
      <c r="G10044" s="332">
        <v>3696</v>
      </c>
      <c r="H10044" s="333">
        <v>4473</v>
      </c>
    </row>
    <row r="10045" spans="1:8">
      <c r="A10045" s="317">
        <v>2600923006</v>
      </c>
      <c r="B10045" s="330" t="s">
        <v>54401</v>
      </c>
      <c r="C10045" s="330" t="s">
        <v>22395</v>
      </c>
      <c r="D10045" s="330" t="s">
        <v>22396</v>
      </c>
      <c r="E10045" s="330" t="s">
        <v>4634</v>
      </c>
      <c r="F10045" s="331">
        <v>0.21</v>
      </c>
      <c r="G10045" s="332">
        <v>972</v>
      </c>
      <c r="H10045" s="333">
        <v>1177</v>
      </c>
    </row>
    <row r="10046" spans="1:8">
      <c r="A10046" s="317">
        <v>2601000014</v>
      </c>
      <c r="B10046" s="330" t="s">
        <v>54402</v>
      </c>
      <c r="C10046" s="330" t="s">
        <v>22397</v>
      </c>
      <c r="D10046" s="330" t="s">
        <v>22398</v>
      </c>
      <c r="E10046" s="330" t="s">
        <v>4634</v>
      </c>
      <c r="F10046" s="331">
        <v>0.21</v>
      </c>
      <c r="G10046" s="332">
        <v>1588</v>
      </c>
      <c r="H10046" s="333">
        <v>1922</v>
      </c>
    </row>
    <row r="10047" spans="1:8">
      <c r="A10047" s="317">
        <v>2601000018</v>
      </c>
      <c r="B10047" s="330" t="s">
        <v>54403</v>
      </c>
      <c r="C10047" s="330" t="s">
        <v>22399</v>
      </c>
      <c r="D10047" s="330" t="s">
        <v>22400</v>
      </c>
      <c r="E10047" s="330" t="s">
        <v>4634</v>
      </c>
      <c r="F10047" s="331">
        <v>0.21</v>
      </c>
      <c r="G10047" s="332">
        <v>387</v>
      </c>
      <c r="H10047" s="333">
        <v>469</v>
      </c>
    </row>
    <row r="10048" spans="1:8">
      <c r="A10048" s="317">
        <v>2601000032</v>
      </c>
      <c r="B10048" s="330" t="s">
        <v>54404</v>
      </c>
      <c r="C10048" s="330" t="s">
        <v>22401</v>
      </c>
      <c r="D10048" s="330" t="s">
        <v>22402</v>
      </c>
      <c r="E10048" s="330" t="s">
        <v>4634</v>
      </c>
      <c r="F10048" s="331">
        <v>0.21</v>
      </c>
      <c r="G10048" s="332">
        <v>153</v>
      </c>
      <c r="H10048" s="333">
        <v>186</v>
      </c>
    </row>
    <row r="10049" spans="1:8">
      <c r="A10049" s="317">
        <v>2601000034</v>
      </c>
      <c r="B10049" s="330" t="s">
        <v>54405</v>
      </c>
      <c r="C10049" s="330" t="s">
        <v>22403</v>
      </c>
      <c r="D10049" s="330" t="s">
        <v>22404</v>
      </c>
      <c r="E10049" s="330" t="s">
        <v>4634</v>
      </c>
      <c r="F10049" s="331">
        <v>0.21</v>
      </c>
      <c r="G10049" s="332">
        <v>153</v>
      </c>
      <c r="H10049" s="333">
        <v>186</v>
      </c>
    </row>
    <row r="10050" spans="1:8">
      <c r="A10050" s="317">
        <v>2601005002</v>
      </c>
      <c r="B10050" s="330" t="s">
        <v>54406</v>
      </c>
      <c r="C10050" s="330" t="s">
        <v>22405</v>
      </c>
      <c r="D10050" s="330" t="s">
        <v>22406</v>
      </c>
      <c r="E10050" s="330" t="s">
        <v>4634</v>
      </c>
      <c r="F10050" s="331">
        <v>0.21</v>
      </c>
      <c r="G10050" s="332">
        <v>372</v>
      </c>
      <c r="H10050" s="333">
        <v>451</v>
      </c>
    </row>
    <row r="10051" spans="1:8">
      <c r="A10051" s="317">
        <v>2601005011</v>
      </c>
      <c r="B10051" s="330" t="s">
        <v>54407</v>
      </c>
      <c r="C10051" s="330" t="s">
        <v>22407</v>
      </c>
      <c r="D10051" s="330" t="s">
        <v>22408</v>
      </c>
      <c r="E10051" s="330" t="s">
        <v>4634</v>
      </c>
      <c r="F10051" s="331">
        <v>0.21</v>
      </c>
      <c r="G10051" s="332">
        <v>372</v>
      </c>
      <c r="H10051" s="333">
        <v>451</v>
      </c>
    </row>
    <row r="10052" spans="1:8">
      <c r="A10052" s="317">
        <v>2601005017</v>
      </c>
      <c r="B10052" s="330" t="s">
        <v>54408</v>
      </c>
      <c r="C10052" s="330" t="s">
        <v>22409</v>
      </c>
      <c r="D10052" s="330" t="s">
        <v>22410</v>
      </c>
      <c r="E10052" s="330" t="s">
        <v>4819</v>
      </c>
      <c r="F10052" s="331">
        <v>0.21</v>
      </c>
      <c r="G10052" s="332">
        <v>2041</v>
      </c>
      <c r="H10052" s="333">
        <v>2470</v>
      </c>
    </row>
    <row r="10053" spans="1:8">
      <c r="A10053" s="317">
        <v>2601005019</v>
      </c>
      <c r="B10053" s="330" t="s">
        <v>54409</v>
      </c>
      <c r="C10053" s="330" t="s">
        <v>22411</v>
      </c>
      <c r="D10053" s="330" t="s">
        <v>22412</v>
      </c>
      <c r="E10053" s="330" t="s">
        <v>4634</v>
      </c>
      <c r="F10053" s="331">
        <v>0.21</v>
      </c>
      <c r="G10053" s="332">
        <v>372</v>
      </c>
      <c r="H10053" s="333">
        <v>451</v>
      </c>
    </row>
    <row r="10054" spans="1:8">
      <c r="A10054" s="317">
        <v>2601006002</v>
      </c>
      <c r="B10054" s="330" t="s">
        <v>54410</v>
      </c>
      <c r="C10054" s="330" t="s">
        <v>22413</v>
      </c>
      <c r="D10054" s="330" t="s">
        <v>22414</v>
      </c>
      <c r="E10054" s="330" t="s">
        <v>4634</v>
      </c>
      <c r="F10054" s="331">
        <v>0.21</v>
      </c>
      <c r="G10054" s="332">
        <v>372</v>
      </c>
      <c r="H10054" s="333">
        <v>451</v>
      </c>
    </row>
    <row r="10055" spans="1:8">
      <c r="A10055" s="317">
        <v>2601010052</v>
      </c>
      <c r="B10055" s="330" t="s">
        <v>54411</v>
      </c>
      <c r="C10055" s="330" t="s">
        <v>22415</v>
      </c>
      <c r="D10055" s="330" t="s">
        <v>22416</v>
      </c>
      <c r="E10055" s="330" t="s">
        <v>4634</v>
      </c>
      <c r="F10055" s="331">
        <v>0.21</v>
      </c>
      <c r="G10055" s="332">
        <v>84</v>
      </c>
      <c r="H10055" s="333">
        <v>102</v>
      </c>
    </row>
    <row r="10056" spans="1:8">
      <c r="A10056" s="317">
        <v>2601010059</v>
      </c>
      <c r="B10056" s="330" t="s">
        <v>54412</v>
      </c>
      <c r="C10056" s="330" t="s">
        <v>22417</v>
      </c>
      <c r="D10056" s="330" t="s">
        <v>22418</v>
      </c>
      <c r="E10056" s="330" t="s">
        <v>4634</v>
      </c>
      <c r="F10056" s="331">
        <v>0.21</v>
      </c>
      <c r="G10056" s="332">
        <v>1126</v>
      </c>
      <c r="H10056" s="333">
        <v>1363</v>
      </c>
    </row>
    <row r="10057" spans="1:8">
      <c r="A10057" s="317">
        <v>2601010079</v>
      </c>
      <c r="B10057" s="330" t="s">
        <v>54413</v>
      </c>
      <c r="C10057" s="330" t="s">
        <v>22419</v>
      </c>
      <c r="D10057" s="330" t="s">
        <v>14284</v>
      </c>
      <c r="E10057" s="330" t="s">
        <v>37248</v>
      </c>
      <c r="F10057" s="331">
        <v>0.21</v>
      </c>
      <c r="G10057" s="332">
        <v>305</v>
      </c>
      <c r="H10057" s="333">
        <v>370</v>
      </c>
    </row>
    <row r="10058" spans="1:8">
      <c r="A10058" s="317">
        <v>2601010082</v>
      </c>
      <c r="B10058" s="330" t="s">
        <v>54414</v>
      </c>
      <c r="C10058" s="330" t="s">
        <v>22420</v>
      </c>
      <c r="D10058" s="330" t="s">
        <v>7630</v>
      </c>
      <c r="E10058" s="330" t="s">
        <v>37248</v>
      </c>
      <c r="F10058" s="331">
        <v>0.21</v>
      </c>
      <c r="G10058" s="332">
        <v>3267</v>
      </c>
      <c r="H10058" s="333">
        <v>3954</v>
      </c>
    </row>
    <row r="10059" spans="1:8">
      <c r="A10059" s="317">
        <v>2601015002</v>
      </c>
      <c r="B10059" s="330" t="s">
        <v>54415</v>
      </c>
      <c r="C10059" s="330" t="s">
        <v>22421</v>
      </c>
      <c r="D10059" s="330" t="s">
        <v>22422</v>
      </c>
      <c r="E10059" s="330" t="s">
        <v>4634</v>
      </c>
      <c r="F10059" s="331">
        <v>0.21</v>
      </c>
      <c r="G10059" s="332">
        <v>437</v>
      </c>
      <c r="H10059" s="333">
        <v>529</v>
      </c>
    </row>
    <row r="10060" spans="1:8">
      <c r="A10060" s="317">
        <v>2601015009</v>
      </c>
      <c r="B10060" s="330" t="s">
        <v>54416</v>
      </c>
      <c r="C10060" s="330" t="s">
        <v>22423</v>
      </c>
      <c r="D10060" s="330" t="s">
        <v>22424</v>
      </c>
      <c r="E10060" s="330" t="s">
        <v>4634</v>
      </c>
      <c r="F10060" s="331">
        <v>0.21</v>
      </c>
      <c r="G10060" s="332">
        <v>372</v>
      </c>
      <c r="H10060" s="333">
        <v>451</v>
      </c>
    </row>
    <row r="10061" spans="1:8">
      <c r="A10061" s="317">
        <v>2601015030</v>
      </c>
      <c r="B10061" s="330" t="s">
        <v>54417</v>
      </c>
      <c r="C10061" s="330" t="s">
        <v>22425</v>
      </c>
      <c r="D10061" s="330" t="s">
        <v>22426</v>
      </c>
      <c r="E10061" s="330" t="s">
        <v>4634</v>
      </c>
      <c r="F10061" s="331">
        <v>0.21</v>
      </c>
      <c r="G10061" s="332">
        <v>1547</v>
      </c>
      <c r="H10061" s="333">
        <v>1872</v>
      </c>
    </row>
    <row r="10062" spans="1:8">
      <c r="A10062" s="317">
        <v>2601015032</v>
      </c>
      <c r="B10062" s="330" t="s">
        <v>54418</v>
      </c>
      <c r="C10062" s="330" t="s">
        <v>22427</v>
      </c>
      <c r="D10062" s="330" t="s">
        <v>22428</v>
      </c>
      <c r="E10062" s="330" t="s">
        <v>4634</v>
      </c>
      <c r="F10062" s="331">
        <v>0.21</v>
      </c>
      <c r="G10062" s="332">
        <v>180</v>
      </c>
      <c r="H10062" s="333">
        <v>218</v>
      </c>
    </row>
    <row r="10063" spans="1:8">
      <c r="A10063" s="317">
        <v>2601015037</v>
      </c>
      <c r="B10063" s="330" t="s">
        <v>54419</v>
      </c>
      <c r="C10063" s="330" t="s">
        <v>22429</v>
      </c>
      <c r="D10063" s="330" t="s">
        <v>22430</v>
      </c>
      <c r="E10063" s="330" t="s">
        <v>4634</v>
      </c>
      <c r="F10063" s="331">
        <v>0.21</v>
      </c>
      <c r="G10063" s="332">
        <v>437</v>
      </c>
      <c r="H10063" s="333">
        <v>529</v>
      </c>
    </row>
    <row r="10064" spans="1:8">
      <c r="A10064" s="317">
        <v>2601015039</v>
      </c>
      <c r="B10064" s="330" t="s">
        <v>54420</v>
      </c>
      <c r="C10064" s="330" t="s">
        <v>22431</v>
      </c>
      <c r="D10064" s="330" t="s">
        <v>22428</v>
      </c>
      <c r="E10064" s="330" t="s">
        <v>4634</v>
      </c>
      <c r="F10064" s="331">
        <v>0.21</v>
      </c>
      <c r="G10064" s="332">
        <v>372</v>
      </c>
      <c r="H10064" s="333">
        <v>451</v>
      </c>
    </row>
    <row r="10065" spans="1:8">
      <c r="A10065" s="317">
        <v>2601015050</v>
      </c>
      <c r="B10065" s="330" t="s">
        <v>54421</v>
      </c>
      <c r="C10065" s="330" t="s">
        <v>22432</v>
      </c>
      <c r="D10065" s="330" t="s">
        <v>22433</v>
      </c>
      <c r="E10065" s="330" t="s">
        <v>4819</v>
      </c>
      <c r="F10065" s="331">
        <v>0.21</v>
      </c>
      <c r="G10065" s="332">
        <v>2596</v>
      </c>
      <c r="H10065" s="333">
        <v>3142</v>
      </c>
    </row>
    <row r="10066" spans="1:8">
      <c r="A10066" s="317">
        <v>2601015054</v>
      </c>
      <c r="B10066" s="330" t="s">
        <v>54422</v>
      </c>
      <c r="C10066" s="330" t="s">
        <v>22434</v>
      </c>
      <c r="D10066" s="330" t="s">
        <v>22435</v>
      </c>
      <c r="E10066" s="330" t="s">
        <v>4634</v>
      </c>
      <c r="F10066" s="331">
        <v>0.21</v>
      </c>
      <c r="G10066" s="332">
        <v>387</v>
      </c>
      <c r="H10066" s="333">
        <v>469</v>
      </c>
    </row>
    <row r="10067" spans="1:8">
      <c r="A10067" s="317">
        <v>2601015057</v>
      </c>
      <c r="B10067" s="330" t="s">
        <v>54423</v>
      </c>
      <c r="C10067" s="330" t="s">
        <v>22436</v>
      </c>
      <c r="D10067" s="330" t="s">
        <v>22437</v>
      </c>
      <c r="E10067" s="330" t="s">
        <v>4634</v>
      </c>
      <c r="F10067" s="331">
        <v>0.21</v>
      </c>
      <c r="G10067" s="332">
        <v>372</v>
      </c>
      <c r="H10067" s="333">
        <v>451</v>
      </c>
    </row>
    <row r="10068" spans="1:8">
      <c r="A10068" s="317">
        <v>2601015062</v>
      </c>
      <c r="B10068" s="330" t="s">
        <v>54424</v>
      </c>
      <c r="C10068" s="330" t="s">
        <v>22438</v>
      </c>
      <c r="D10068" s="330" t="s">
        <v>22439</v>
      </c>
      <c r="E10068" s="330" t="s">
        <v>4634</v>
      </c>
      <c r="F10068" s="331">
        <v>0.21</v>
      </c>
      <c r="G10068" s="332">
        <v>791</v>
      </c>
      <c r="H10068" s="333">
        <v>958</v>
      </c>
    </row>
    <row r="10069" spans="1:8">
      <c r="A10069" s="317">
        <v>2601015064</v>
      </c>
      <c r="B10069" s="330" t="s">
        <v>54425</v>
      </c>
      <c r="C10069" s="330" t="s">
        <v>22440</v>
      </c>
      <c r="D10069" s="330" t="s">
        <v>22441</v>
      </c>
      <c r="E10069" s="330" t="s">
        <v>4819</v>
      </c>
      <c r="F10069" s="331">
        <v>0.21</v>
      </c>
      <c r="G10069" s="332">
        <v>2328</v>
      </c>
      <c r="H10069" s="333">
        <v>2817</v>
      </c>
    </row>
    <row r="10070" spans="1:8">
      <c r="A10070" s="317">
        <v>2601015065</v>
      </c>
      <c r="B10070" s="330" t="s">
        <v>54426</v>
      </c>
      <c r="C10070" s="330" t="s">
        <v>22442</v>
      </c>
      <c r="D10070" s="330" t="s">
        <v>22441</v>
      </c>
      <c r="E10070" s="330" t="s">
        <v>4634</v>
      </c>
      <c r="F10070" s="331">
        <v>0.21</v>
      </c>
      <c r="G10070" s="332">
        <v>432</v>
      </c>
      <c r="H10070" s="333">
        <v>523</v>
      </c>
    </row>
    <row r="10071" spans="1:8">
      <c r="A10071" s="317">
        <v>2601015077</v>
      </c>
      <c r="B10071" s="330" t="s">
        <v>54427</v>
      </c>
      <c r="C10071" s="330" t="s">
        <v>22443</v>
      </c>
      <c r="D10071" s="330" t="s">
        <v>22444</v>
      </c>
      <c r="E10071" s="330" t="s">
        <v>4634</v>
      </c>
      <c r="F10071" s="331">
        <v>0.21</v>
      </c>
      <c r="G10071" s="332">
        <v>348</v>
      </c>
      <c r="H10071" s="333">
        <v>422</v>
      </c>
    </row>
    <row r="10072" spans="1:8">
      <c r="A10072" s="317">
        <v>2601015082</v>
      </c>
      <c r="B10072" s="330" t="s">
        <v>54428</v>
      </c>
      <c r="C10072" s="330" t="s">
        <v>22445</v>
      </c>
      <c r="D10072" s="330" t="s">
        <v>22446</v>
      </c>
      <c r="E10072" s="330" t="s">
        <v>4634</v>
      </c>
      <c r="F10072" s="331">
        <v>0.21</v>
      </c>
      <c r="G10072" s="332">
        <v>1126</v>
      </c>
      <c r="H10072" s="333">
        <v>1363</v>
      </c>
    </row>
    <row r="10073" spans="1:8">
      <c r="A10073" s="317">
        <v>2601015091</v>
      </c>
      <c r="B10073" s="330" t="s">
        <v>54429</v>
      </c>
      <c r="C10073" s="330" t="s">
        <v>22447</v>
      </c>
      <c r="D10073" s="330" t="s">
        <v>5417</v>
      </c>
      <c r="E10073" s="330" t="s">
        <v>4819</v>
      </c>
      <c r="F10073" s="331">
        <v>0.21</v>
      </c>
      <c r="G10073" s="332">
        <v>4376</v>
      </c>
      <c r="H10073" s="333">
        <v>5295</v>
      </c>
    </row>
    <row r="10074" spans="1:8">
      <c r="A10074" s="317">
        <v>2601015097</v>
      </c>
      <c r="B10074" s="330" t="s">
        <v>54430</v>
      </c>
      <c r="C10074" s="330" t="s">
        <v>22448</v>
      </c>
      <c r="D10074" s="330" t="s">
        <v>22449</v>
      </c>
      <c r="E10074" s="330" t="s">
        <v>37248</v>
      </c>
      <c r="F10074" s="331">
        <v>0.21</v>
      </c>
      <c r="G10074" s="332">
        <v>2426</v>
      </c>
      <c r="H10074" s="333">
        <v>2936</v>
      </c>
    </row>
    <row r="10075" spans="1:8">
      <c r="A10075" s="317">
        <v>2601015113</v>
      </c>
      <c r="B10075" s="330" t="s">
        <v>54431</v>
      </c>
      <c r="C10075" s="330" t="s">
        <v>22450</v>
      </c>
      <c r="D10075" s="330" t="s">
        <v>6933</v>
      </c>
      <c r="E10075" s="330" t="s">
        <v>4634</v>
      </c>
      <c r="F10075" s="331">
        <v>0.21</v>
      </c>
      <c r="G10075" s="332">
        <v>348</v>
      </c>
      <c r="H10075" s="333">
        <v>422</v>
      </c>
    </row>
    <row r="10076" spans="1:8">
      <c r="A10076" s="317">
        <v>2601015900</v>
      </c>
      <c r="B10076" s="330" t="s">
        <v>54432</v>
      </c>
      <c r="C10076" s="330" t="s">
        <v>22451</v>
      </c>
      <c r="D10076" s="330" t="s">
        <v>22452</v>
      </c>
      <c r="E10076" s="330" t="s">
        <v>4634</v>
      </c>
      <c r="F10076" s="331">
        <v>0.21</v>
      </c>
      <c r="G10076" s="332">
        <v>64</v>
      </c>
      <c r="H10076" s="333">
        <v>78</v>
      </c>
    </row>
    <row r="10077" spans="1:8">
      <c r="A10077" s="317">
        <v>2601015901</v>
      </c>
      <c r="B10077" s="330" t="s">
        <v>54433</v>
      </c>
      <c r="C10077" s="330" t="s">
        <v>22453</v>
      </c>
      <c r="D10077" s="330" t="s">
        <v>22454</v>
      </c>
      <c r="E10077" s="330" t="s">
        <v>4623</v>
      </c>
      <c r="F10077" s="331">
        <v>0.21</v>
      </c>
      <c r="G10077" s="332">
        <v>1827</v>
      </c>
      <c r="H10077" s="333">
        <v>2211</v>
      </c>
    </row>
    <row r="10078" spans="1:8">
      <c r="A10078" s="317">
        <v>2601015902</v>
      </c>
      <c r="B10078" s="330" t="s">
        <v>54434</v>
      </c>
      <c r="C10078" s="330" t="s">
        <v>22455</v>
      </c>
      <c r="D10078" s="330" t="s">
        <v>22456</v>
      </c>
      <c r="E10078" s="330" t="s">
        <v>4634</v>
      </c>
      <c r="F10078" s="331">
        <v>0.21</v>
      </c>
      <c r="G10078" s="332">
        <v>1170</v>
      </c>
      <c r="H10078" s="333">
        <v>1416</v>
      </c>
    </row>
    <row r="10079" spans="1:8">
      <c r="A10079" s="317">
        <v>2601016008</v>
      </c>
      <c r="B10079" s="330" t="s">
        <v>54435</v>
      </c>
      <c r="C10079" s="330" t="s">
        <v>22457</v>
      </c>
      <c r="D10079" s="330" t="s">
        <v>22458</v>
      </c>
      <c r="E10079" s="330" t="s">
        <v>4634</v>
      </c>
      <c r="F10079" s="331">
        <v>0.21</v>
      </c>
      <c r="G10079" s="332">
        <v>1411</v>
      </c>
      <c r="H10079" s="333">
        <v>1708</v>
      </c>
    </row>
    <row r="10080" spans="1:8">
      <c r="A10080" s="317">
        <v>2601016012</v>
      </c>
      <c r="B10080" s="330" t="s">
        <v>54436</v>
      </c>
      <c r="C10080" s="330" t="s">
        <v>22459</v>
      </c>
      <c r="D10080" s="330" t="s">
        <v>22460</v>
      </c>
      <c r="E10080" s="330" t="s">
        <v>37248</v>
      </c>
      <c r="F10080" s="331">
        <v>0.21</v>
      </c>
      <c r="G10080" s="332">
        <v>10962</v>
      </c>
      <c r="H10080" s="333">
        <v>13265</v>
      </c>
    </row>
    <row r="10081" spans="1:8">
      <c r="A10081" s="317">
        <v>2601016038</v>
      </c>
      <c r="B10081" s="330" t="s">
        <v>54437</v>
      </c>
      <c r="C10081" s="330" t="s">
        <v>22461</v>
      </c>
      <c r="D10081" s="330" t="s">
        <v>22462</v>
      </c>
      <c r="E10081" s="330" t="s">
        <v>4634</v>
      </c>
      <c r="F10081" s="331">
        <v>0.21</v>
      </c>
      <c r="G10081" s="332">
        <v>1371</v>
      </c>
      <c r="H10081" s="333">
        <v>1659</v>
      </c>
    </row>
    <row r="10082" spans="1:8">
      <c r="A10082" s="317">
        <v>2601016043</v>
      </c>
      <c r="B10082" s="330" t="s">
        <v>54438</v>
      </c>
      <c r="C10082" s="330" t="s">
        <v>22463</v>
      </c>
      <c r="D10082" s="330" t="s">
        <v>8281</v>
      </c>
      <c r="E10082" s="330" t="s">
        <v>4634</v>
      </c>
      <c r="F10082" s="331">
        <v>0.21</v>
      </c>
      <c r="G10082" s="332">
        <v>550</v>
      </c>
      <c r="H10082" s="333">
        <v>666</v>
      </c>
    </row>
    <row r="10083" spans="1:8">
      <c r="A10083" s="317">
        <v>2601016065</v>
      </c>
      <c r="B10083" s="330" t="s">
        <v>54439</v>
      </c>
      <c r="C10083" s="330" t="s">
        <v>22464</v>
      </c>
      <c r="D10083" s="330" t="s">
        <v>22465</v>
      </c>
      <c r="E10083" s="330" t="s">
        <v>37248</v>
      </c>
      <c r="F10083" s="331">
        <v>0.21</v>
      </c>
      <c r="G10083" s="332">
        <v>4662</v>
      </c>
      <c r="H10083" s="333">
        <v>5642</v>
      </c>
    </row>
    <row r="10084" spans="1:8">
      <c r="A10084" s="317">
        <v>2601016079</v>
      </c>
      <c r="B10084" s="330" t="s">
        <v>54440</v>
      </c>
      <c r="C10084" s="330" t="s">
        <v>22466</v>
      </c>
      <c r="D10084" s="330" t="s">
        <v>22467</v>
      </c>
      <c r="E10084" s="330" t="s">
        <v>4634</v>
      </c>
      <c r="F10084" s="331">
        <v>0.21</v>
      </c>
      <c r="G10084" s="332">
        <v>372</v>
      </c>
      <c r="H10084" s="333">
        <v>451</v>
      </c>
    </row>
    <row r="10085" spans="1:8">
      <c r="A10085" s="317">
        <v>2601016080</v>
      </c>
      <c r="B10085" s="330" t="s">
        <v>54441</v>
      </c>
      <c r="C10085" s="330" t="s">
        <v>22468</v>
      </c>
      <c r="D10085" s="330" t="s">
        <v>22469</v>
      </c>
      <c r="E10085" s="330" t="s">
        <v>4634</v>
      </c>
      <c r="F10085" s="331">
        <v>0.21</v>
      </c>
      <c r="G10085" s="332">
        <v>1844</v>
      </c>
      <c r="H10085" s="333">
        <v>2232</v>
      </c>
    </row>
    <row r="10086" spans="1:8">
      <c r="A10086" s="317">
        <v>2601016093</v>
      </c>
      <c r="B10086" s="330" t="s">
        <v>54442</v>
      </c>
      <c r="C10086" s="330" t="s">
        <v>22470</v>
      </c>
      <c r="D10086" s="330" t="s">
        <v>22471</v>
      </c>
      <c r="E10086" s="330" t="s">
        <v>37248</v>
      </c>
      <c r="F10086" s="331">
        <v>0.21</v>
      </c>
      <c r="G10086" s="332">
        <v>3161</v>
      </c>
      <c r="H10086" s="333">
        <v>3825</v>
      </c>
    </row>
    <row r="10087" spans="1:8">
      <c r="A10087" s="317">
        <v>2601016120</v>
      </c>
      <c r="B10087" s="330" t="s">
        <v>54443</v>
      </c>
      <c r="C10087" s="330" t="s">
        <v>22472</v>
      </c>
      <c r="D10087" s="330" t="s">
        <v>18857</v>
      </c>
      <c r="E10087" s="330" t="s">
        <v>37248</v>
      </c>
      <c r="F10087" s="331">
        <v>0.21</v>
      </c>
      <c r="G10087" s="332">
        <v>6690</v>
      </c>
      <c r="H10087" s="333">
        <v>8095</v>
      </c>
    </row>
    <row r="10088" spans="1:8">
      <c r="A10088" s="317">
        <v>2601016121</v>
      </c>
      <c r="B10088" s="330" t="s">
        <v>54444</v>
      </c>
      <c r="C10088" s="330" t="s">
        <v>22473</v>
      </c>
      <c r="D10088" s="330" t="s">
        <v>6179</v>
      </c>
      <c r="E10088" s="330" t="s">
        <v>37248</v>
      </c>
      <c r="F10088" s="331">
        <v>0.21</v>
      </c>
      <c r="G10088" s="332">
        <v>361</v>
      </c>
      <c r="H10088" s="333">
        <v>437</v>
      </c>
    </row>
    <row r="10089" spans="1:8">
      <c r="A10089" s="317">
        <v>2601016122</v>
      </c>
      <c r="B10089" s="330" t="s">
        <v>54445</v>
      </c>
      <c r="C10089" s="330" t="s">
        <v>22474</v>
      </c>
      <c r="D10089" s="330" t="s">
        <v>7000</v>
      </c>
      <c r="E10089" s="330" t="s">
        <v>37248</v>
      </c>
      <c r="F10089" s="331">
        <v>0.21</v>
      </c>
      <c r="G10089" s="332">
        <v>600</v>
      </c>
      <c r="H10089" s="333">
        <v>726</v>
      </c>
    </row>
    <row r="10090" spans="1:8">
      <c r="A10090" s="317">
        <v>2601016123</v>
      </c>
      <c r="B10090" s="330" t="s">
        <v>54446</v>
      </c>
      <c r="C10090" s="330" t="s">
        <v>22475</v>
      </c>
      <c r="D10090" s="330" t="s">
        <v>4867</v>
      </c>
      <c r="E10090" s="330" t="s">
        <v>37248</v>
      </c>
      <c r="F10090" s="331">
        <v>0.21</v>
      </c>
      <c r="G10090" s="332">
        <v>1744</v>
      </c>
      <c r="H10090" s="333">
        <v>2111</v>
      </c>
    </row>
    <row r="10091" spans="1:8">
      <c r="A10091" s="317">
        <v>2601016124</v>
      </c>
      <c r="B10091" s="330" t="s">
        <v>54447</v>
      </c>
      <c r="C10091" s="330" t="s">
        <v>22476</v>
      </c>
      <c r="D10091" s="330" t="s">
        <v>22477</v>
      </c>
      <c r="E10091" s="330" t="s">
        <v>37248</v>
      </c>
      <c r="F10091" s="331">
        <v>0.21</v>
      </c>
      <c r="G10091" s="332">
        <v>720</v>
      </c>
      <c r="H10091" s="333">
        <v>872</v>
      </c>
    </row>
    <row r="10092" spans="1:8">
      <c r="A10092" s="317">
        <v>2601016903</v>
      </c>
      <c r="B10092" s="330" t="s">
        <v>54448</v>
      </c>
      <c r="C10092" s="330" t="s">
        <v>22478</v>
      </c>
      <c r="D10092" s="330" t="s">
        <v>22479</v>
      </c>
      <c r="E10092" s="330" t="s">
        <v>37248</v>
      </c>
      <c r="F10092" s="331">
        <v>0.21</v>
      </c>
      <c r="G10092" s="332">
        <v>25687</v>
      </c>
      <c r="H10092" s="333">
        <v>31082</v>
      </c>
    </row>
    <row r="10093" spans="1:8">
      <c r="A10093" s="317">
        <v>2601016905</v>
      </c>
      <c r="B10093" s="330" t="s">
        <v>54449</v>
      </c>
      <c r="C10093" s="330" t="s">
        <v>22480</v>
      </c>
      <c r="D10093" s="330" t="s">
        <v>22481</v>
      </c>
      <c r="E10093" s="330" t="s">
        <v>4819</v>
      </c>
      <c r="F10093" s="331">
        <v>0.21</v>
      </c>
      <c r="G10093" s="332">
        <v>26673</v>
      </c>
      <c r="H10093" s="333">
        <v>32275</v>
      </c>
    </row>
    <row r="10094" spans="1:8">
      <c r="A10094" s="317">
        <v>2601016906</v>
      </c>
      <c r="B10094" s="330" t="s">
        <v>54450</v>
      </c>
      <c r="C10094" s="330" t="s">
        <v>22482</v>
      </c>
      <c r="D10094" s="330" t="s">
        <v>7626</v>
      </c>
      <c r="E10094" s="330" t="s">
        <v>4634</v>
      </c>
      <c r="F10094" s="331">
        <v>0.21</v>
      </c>
      <c r="G10094" s="332">
        <v>4737</v>
      </c>
      <c r="H10094" s="333">
        <v>5732</v>
      </c>
    </row>
    <row r="10095" spans="1:8">
      <c r="A10095" s="317">
        <v>2601020005</v>
      </c>
      <c r="B10095" s="330" t="s">
        <v>54451</v>
      </c>
      <c r="C10095" s="330" t="s">
        <v>22483</v>
      </c>
      <c r="D10095" s="330" t="s">
        <v>22484</v>
      </c>
      <c r="E10095" s="330" t="s">
        <v>4634</v>
      </c>
      <c r="F10095" s="331">
        <v>0.21</v>
      </c>
      <c r="G10095" s="332">
        <v>372</v>
      </c>
      <c r="H10095" s="333">
        <v>451</v>
      </c>
    </row>
    <row r="10096" spans="1:8">
      <c r="A10096" s="317">
        <v>2601020006</v>
      </c>
      <c r="B10096" s="330" t="s">
        <v>54452</v>
      </c>
      <c r="C10096" s="330" t="s">
        <v>22485</v>
      </c>
      <c r="D10096" s="330" t="s">
        <v>22486</v>
      </c>
      <c r="E10096" s="330" t="s">
        <v>4634</v>
      </c>
      <c r="F10096" s="331">
        <v>0.21</v>
      </c>
      <c r="G10096" s="332">
        <v>274</v>
      </c>
      <c r="H10096" s="333">
        <v>332</v>
      </c>
    </row>
    <row r="10097" spans="1:8">
      <c r="A10097" s="317">
        <v>2601020007</v>
      </c>
      <c r="B10097" s="330" t="s">
        <v>54453</v>
      </c>
      <c r="C10097" s="330" t="s">
        <v>22487</v>
      </c>
      <c r="D10097" s="330" t="s">
        <v>6193</v>
      </c>
      <c r="E10097" s="330" t="s">
        <v>4634</v>
      </c>
      <c r="F10097" s="331">
        <v>0.21</v>
      </c>
      <c r="G10097" s="332">
        <v>153</v>
      </c>
      <c r="H10097" s="333">
        <v>186</v>
      </c>
    </row>
    <row r="10098" spans="1:8">
      <c r="A10098" s="317">
        <v>2601022000</v>
      </c>
      <c r="B10098" s="330" t="s">
        <v>54454</v>
      </c>
      <c r="C10098" s="330" t="s">
        <v>22488</v>
      </c>
      <c r="D10098" s="330" t="s">
        <v>22489</v>
      </c>
      <c r="E10098" s="330" t="s">
        <v>4634</v>
      </c>
      <c r="F10098" s="331">
        <v>0.21</v>
      </c>
      <c r="G10098" s="332">
        <v>348</v>
      </c>
      <c r="H10098" s="333">
        <v>422</v>
      </c>
    </row>
    <row r="10099" spans="1:8">
      <c r="A10099" s="317">
        <v>2601030006</v>
      </c>
      <c r="B10099" s="330" t="s">
        <v>54455</v>
      </c>
      <c r="C10099" s="330" t="s">
        <v>22490</v>
      </c>
      <c r="D10099" s="330" t="s">
        <v>15089</v>
      </c>
      <c r="E10099" s="330" t="s">
        <v>4819</v>
      </c>
      <c r="F10099" s="331">
        <v>0.21</v>
      </c>
      <c r="G10099" s="332">
        <v>1565</v>
      </c>
      <c r="H10099" s="333">
        <v>1894</v>
      </c>
    </row>
    <row r="10100" spans="1:8">
      <c r="A10100" s="317">
        <v>2601030017</v>
      </c>
      <c r="B10100" s="330" t="s">
        <v>54456</v>
      </c>
      <c r="C10100" s="330" t="s">
        <v>22491</v>
      </c>
      <c r="D10100" s="330" t="s">
        <v>22492</v>
      </c>
      <c r="E10100" s="330" t="s">
        <v>4634</v>
      </c>
      <c r="F10100" s="331">
        <v>0.21</v>
      </c>
      <c r="G10100" s="332">
        <v>437</v>
      </c>
      <c r="H10100" s="333">
        <v>529</v>
      </c>
    </row>
    <row r="10101" spans="1:8">
      <c r="A10101" s="317">
        <v>2601030019</v>
      </c>
      <c r="B10101" s="330" t="s">
        <v>54457</v>
      </c>
      <c r="C10101" s="330" t="s">
        <v>22493</v>
      </c>
      <c r="D10101" s="330" t="s">
        <v>22494</v>
      </c>
      <c r="E10101" s="330" t="s">
        <v>4819</v>
      </c>
      <c r="F10101" s="331">
        <v>0.21</v>
      </c>
      <c r="G10101" s="332">
        <v>3555</v>
      </c>
      <c r="H10101" s="333">
        <v>4302</v>
      </c>
    </row>
    <row r="10102" spans="1:8">
      <c r="A10102" s="317">
        <v>2601030022</v>
      </c>
      <c r="B10102" s="330" t="s">
        <v>54458</v>
      </c>
      <c r="C10102" s="330" t="s">
        <v>22495</v>
      </c>
      <c r="D10102" s="330" t="s">
        <v>22496</v>
      </c>
      <c r="E10102" s="330" t="s">
        <v>4819</v>
      </c>
      <c r="F10102" s="331">
        <v>0.21</v>
      </c>
      <c r="G10102" s="332">
        <v>2041</v>
      </c>
      <c r="H10102" s="333">
        <v>2470</v>
      </c>
    </row>
    <row r="10103" spans="1:8">
      <c r="A10103" s="317">
        <v>2601032017</v>
      </c>
      <c r="B10103" s="330" t="s">
        <v>54459</v>
      </c>
      <c r="C10103" s="330" t="s">
        <v>22497</v>
      </c>
      <c r="D10103" s="330" t="s">
        <v>22498</v>
      </c>
      <c r="E10103" s="330" t="s">
        <v>4634</v>
      </c>
      <c r="F10103" s="331">
        <v>0.21</v>
      </c>
      <c r="G10103" s="332">
        <v>348</v>
      </c>
      <c r="H10103" s="333">
        <v>422</v>
      </c>
    </row>
    <row r="10104" spans="1:8">
      <c r="A10104" s="317">
        <v>2601032021</v>
      </c>
      <c r="B10104" s="330" t="s">
        <v>54460</v>
      </c>
      <c r="C10104" s="330" t="s">
        <v>22499</v>
      </c>
      <c r="D10104" s="330" t="s">
        <v>22500</v>
      </c>
      <c r="E10104" s="330" t="s">
        <v>37248</v>
      </c>
      <c r="F10104" s="331">
        <v>0.21</v>
      </c>
      <c r="G10104" s="332">
        <v>2328</v>
      </c>
      <c r="H10104" s="333">
        <v>2817</v>
      </c>
    </row>
    <row r="10105" spans="1:8">
      <c r="A10105" s="317">
        <v>2601034010</v>
      </c>
      <c r="B10105" s="330" t="s">
        <v>54461</v>
      </c>
      <c r="C10105" s="330" t="s">
        <v>22501</v>
      </c>
      <c r="D10105" s="330" t="s">
        <v>22502</v>
      </c>
      <c r="E10105" s="330" t="s">
        <v>4634</v>
      </c>
      <c r="F10105" s="331">
        <v>0.21</v>
      </c>
      <c r="G10105" s="332">
        <v>963</v>
      </c>
      <c r="H10105" s="333">
        <v>1166</v>
      </c>
    </row>
    <row r="10106" spans="1:8">
      <c r="A10106" s="317">
        <v>2601035001</v>
      </c>
      <c r="B10106" s="330" t="s">
        <v>54462</v>
      </c>
      <c r="C10106" s="330" t="s">
        <v>22503</v>
      </c>
      <c r="D10106" s="330" t="s">
        <v>13227</v>
      </c>
      <c r="E10106" s="330" t="s">
        <v>4819</v>
      </c>
      <c r="F10106" s="331">
        <v>0.21</v>
      </c>
      <c r="G10106" s="332">
        <v>2128</v>
      </c>
      <c r="H10106" s="333">
        <v>2575</v>
      </c>
    </row>
    <row r="10107" spans="1:8">
      <c r="A10107" s="317">
        <v>2601035002</v>
      </c>
      <c r="B10107" s="330" t="s">
        <v>54463</v>
      </c>
      <c r="C10107" s="330" t="s">
        <v>22504</v>
      </c>
      <c r="D10107" s="330" t="s">
        <v>22505</v>
      </c>
      <c r="E10107" s="330" t="s">
        <v>4634</v>
      </c>
      <c r="F10107" s="331">
        <v>0.21</v>
      </c>
      <c r="G10107" s="332">
        <v>348</v>
      </c>
      <c r="H10107" s="333">
        <v>422</v>
      </c>
    </row>
    <row r="10108" spans="1:8">
      <c r="A10108" s="317">
        <v>2601035004</v>
      </c>
      <c r="B10108" s="330" t="s">
        <v>54464</v>
      </c>
      <c r="C10108" s="330" t="s">
        <v>22506</v>
      </c>
      <c r="D10108" s="330" t="s">
        <v>22507</v>
      </c>
      <c r="E10108" s="330" t="s">
        <v>4634</v>
      </c>
      <c r="F10108" s="331">
        <v>0.21</v>
      </c>
      <c r="G10108" s="332">
        <v>372</v>
      </c>
      <c r="H10108" s="333">
        <v>451</v>
      </c>
    </row>
    <row r="10109" spans="1:8">
      <c r="A10109" s="317">
        <v>2601035005</v>
      </c>
      <c r="B10109" s="330" t="s">
        <v>54465</v>
      </c>
      <c r="C10109" s="330" t="s">
        <v>22508</v>
      </c>
      <c r="D10109" s="330" t="s">
        <v>5324</v>
      </c>
      <c r="E10109" s="330" t="s">
        <v>4634</v>
      </c>
      <c r="F10109" s="331">
        <v>0.21</v>
      </c>
      <c r="G10109" s="332">
        <v>309</v>
      </c>
      <c r="H10109" s="333">
        <v>374</v>
      </c>
    </row>
    <row r="10110" spans="1:8">
      <c r="A10110" s="317">
        <v>2601038111</v>
      </c>
      <c r="B10110" s="330" t="s">
        <v>54466</v>
      </c>
      <c r="C10110" s="330" t="s">
        <v>22509</v>
      </c>
      <c r="D10110" s="330" t="s">
        <v>22510</v>
      </c>
      <c r="E10110" s="330" t="s">
        <v>4634</v>
      </c>
      <c r="F10110" s="331">
        <v>0.21</v>
      </c>
      <c r="G10110" s="332">
        <v>153</v>
      </c>
      <c r="H10110" s="333">
        <v>186</v>
      </c>
    </row>
    <row r="10111" spans="1:8">
      <c r="A10111" s="317">
        <v>2601039020</v>
      </c>
      <c r="B10111" s="330" t="s">
        <v>54467</v>
      </c>
      <c r="C10111" s="330" t="s">
        <v>22511</v>
      </c>
      <c r="D10111" s="330" t="s">
        <v>22512</v>
      </c>
      <c r="E10111" s="330" t="s">
        <v>4634</v>
      </c>
      <c r="F10111" s="331">
        <v>0.21</v>
      </c>
      <c r="G10111" s="332">
        <v>372</v>
      </c>
      <c r="H10111" s="333">
        <v>451</v>
      </c>
    </row>
    <row r="10112" spans="1:8">
      <c r="A10112" s="317">
        <v>2601072007</v>
      </c>
      <c r="B10112" s="330" t="s">
        <v>54468</v>
      </c>
      <c r="C10112" s="330" t="s">
        <v>22513</v>
      </c>
      <c r="D10112" s="330" t="s">
        <v>5015</v>
      </c>
      <c r="E10112" s="330" t="s">
        <v>4634</v>
      </c>
      <c r="F10112" s="331">
        <v>0.21</v>
      </c>
      <c r="G10112" s="332">
        <v>372</v>
      </c>
      <c r="H10112" s="333">
        <v>451</v>
      </c>
    </row>
    <row r="10113" spans="1:8">
      <c r="A10113" s="317">
        <v>2601072901</v>
      </c>
      <c r="B10113" s="330" t="s">
        <v>54469</v>
      </c>
      <c r="C10113" s="330" t="s">
        <v>22514</v>
      </c>
      <c r="D10113" s="330" t="s">
        <v>22515</v>
      </c>
      <c r="E10113" s="330" t="s">
        <v>4819</v>
      </c>
      <c r="F10113" s="331">
        <v>0.21</v>
      </c>
      <c r="G10113" s="332">
        <v>10143</v>
      </c>
      <c r="H10113" s="333">
        <v>12274</v>
      </c>
    </row>
    <row r="10114" spans="1:8">
      <c r="A10114" s="317">
        <v>2601073012</v>
      </c>
      <c r="B10114" s="330" t="s">
        <v>54470</v>
      </c>
      <c r="C10114" s="330" t="s">
        <v>22516</v>
      </c>
      <c r="D10114" s="330" t="s">
        <v>22517</v>
      </c>
      <c r="E10114" s="330" t="s">
        <v>4819</v>
      </c>
      <c r="F10114" s="331">
        <v>0.21</v>
      </c>
      <c r="G10114" s="332">
        <v>2647</v>
      </c>
      <c r="H10114" s="333">
        <v>3203</v>
      </c>
    </row>
    <row r="10115" spans="1:8">
      <c r="A10115" s="317">
        <v>2601073020</v>
      </c>
      <c r="B10115" s="330" t="s">
        <v>54471</v>
      </c>
      <c r="C10115" s="330" t="s">
        <v>22518</v>
      </c>
      <c r="D10115" s="330" t="s">
        <v>7320</v>
      </c>
      <c r="E10115" s="330" t="s">
        <v>37248</v>
      </c>
      <c r="F10115" s="331">
        <v>0.21</v>
      </c>
      <c r="G10115" s="332">
        <v>689</v>
      </c>
      <c r="H10115" s="333">
        <v>834</v>
      </c>
    </row>
    <row r="10116" spans="1:8">
      <c r="A10116" s="317">
        <v>2601074001</v>
      </c>
      <c r="B10116" s="330" t="s">
        <v>54472</v>
      </c>
      <c r="C10116" s="330" t="s">
        <v>22519</v>
      </c>
      <c r="D10116" s="330" t="s">
        <v>22520</v>
      </c>
      <c r="E10116" s="330" t="s">
        <v>4634</v>
      </c>
      <c r="F10116" s="331">
        <v>0.21</v>
      </c>
      <c r="G10116" s="332">
        <v>1052</v>
      </c>
      <c r="H10116" s="333">
        <v>1273</v>
      </c>
    </row>
    <row r="10117" spans="1:8">
      <c r="A10117" s="317">
        <v>2601074003</v>
      </c>
      <c r="B10117" s="330" t="s">
        <v>54473</v>
      </c>
      <c r="C10117" s="330" t="s">
        <v>22521</v>
      </c>
      <c r="D10117" s="330" t="s">
        <v>22522</v>
      </c>
      <c r="E10117" s="330" t="s">
        <v>4634</v>
      </c>
      <c r="F10117" s="331">
        <v>0.21</v>
      </c>
      <c r="G10117" s="332">
        <v>372</v>
      </c>
      <c r="H10117" s="333">
        <v>451</v>
      </c>
    </row>
    <row r="10118" spans="1:8">
      <c r="A10118" s="317">
        <v>2601074004</v>
      </c>
      <c r="B10118" s="330" t="s">
        <v>54474</v>
      </c>
      <c r="C10118" s="330" t="s">
        <v>22523</v>
      </c>
      <c r="D10118" s="330" t="s">
        <v>22524</v>
      </c>
      <c r="E10118" s="330" t="s">
        <v>4634</v>
      </c>
      <c r="F10118" s="331">
        <v>0.21</v>
      </c>
      <c r="G10118" s="332">
        <v>2041</v>
      </c>
      <c r="H10118" s="333">
        <v>2470</v>
      </c>
    </row>
    <row r="10119" spans="1:8">
      <c r="A10119" s="317">
        <v>2601098003</v>
      </c>
      <c r="B10119" s="330" t="s">
        <v>54475</v>
      </c>
      <c r="C10119" s="330" t="s">
        <v>22525</v>
      </c>
      <c r="D10119" s="330" t="s">
        <v>22526</v>
      </c>
      <c r="E10119" s="330" t="s">
        <v>4819</v>
      </c>
      <c r="F10119" s="331">
        <v>0.21</v>
      </c>
      <c r="G10119" s="332">
        <v>11267</v>
      </c>
      <c r="H10119" s="333">
        <v>13634</v>
      </c>
    </row>
    <row r="10120" spans="1:8">
      <c r="A10120" s="317">
        <v>2601098004</v>
      </c>
      <c r="B10120" s="330" t="s">
        <v>54476</v>
      </c>
      <c r="C10120" s="330" t="s">
        <v>22527</v>
      </c>
      <c r="D10120" s="330" t="s">
        <v>22528</v>
      </c>
      <c r="E10120" s="330" t="s">
        <v>4634</v>
      </c>
      <c r="F10120" s="331">
        <v>0.21</v>
      </c>
      <c r="G10120" s="332">
        <v>2143</v>
      </c>
      <c r="H10120" s="333">
        <v>2594</v>
      </c>
    </row>
    <row r="10121" spans="1:8">
      <c r="A10121" s="317">
        <v>2601098005</v>
      </c>
      <c r="B10121" s="330" t="s">
        <v>54477</v>
      </c>
      <c r="C10121" s="330" t="s">
        <v>22529</v>
      </c>
      <c r="D10121" s="330" t="s">
        <v>22530</v>
      </c>
      <c r="E10121" s="330" t="s">
        <v>4634</v>
      </c>
      <c r="F10121" s="331">
        <v>0.21</v>
      </c>
      <c r="G10121" s="332">
        <v>1322</v>
      </c>
      <c r="H10121" s="333">
        <v>1600</v>
      </c>
    </row>
    <row r="10122" spans="1:8">
      <c r="A10122" s="317">
        <v>2601098006</v>
      </c>
      <c r="B10122" s="330" t="s">
        <v>54478</v>
      </c>
      <c r="C10122" s="330" t="s">
        <v>22531</v>
      </c>
      <c r="D10122" s="330" t="s">
        <v>22532</v>
      </c>
      <c r="E10122" s="330" t="s">
        <v>4634</v>
      </c>
      <c r="F10122" s="331">
        <v>0.21</v>
      </c>
      <c r="G10122" s="332">
        <v>153</v>
      </c>
      <c r="H10122" s="333">
        <v>186</v>
      </c>
    </row>
    <row r="10123" spans="1:8">
      <c r="A10123" s="317">
        <v>2601098009</v>
      </c>
      <c r="B10123" s="330" t="s">
        <v>54479</v>
      </c>
      <c r="C10123" s="330" t="s">
        <v>22533</v>
      </c>
      <c r="D10123" s="330" t="s">
        <v>22534</v>
      </c>
      <c r="E10123" s="330" t="s">
        <v>4634</v>
      </c>
      <c r="F10123" s="331">
        <v>0.21</v>
      </c>
      <c r="G10123" s="332">
        <v>1479</v>
      </c>
      <c r="H10123" s="333">
        <v>1790</v>
      </c>
    </row>
    <row r="10124" spans="1:8">
      <c r="A10124" s="317">
        <v>2601098024</v>
      </c>
      <c r="B10124" s="330" t="s">
        <v>54480</v>
      </c>
      <c r="C10124" s="330" t="s">
        <v>22535</v>
      </c>
      <c r="D10124" s="330" t="s">
        <v>22536</v>
      </c>
      <c r="E10124" s="330" t="s">
        <v>4634</v>
      </c>
      <c r="F10124" s="331">
        <v>0.21</v>
      </c>
      <c r="G10124" s="332">
        <v>1411</v>
      </c>
      <c r="H10124" s="333">
        <v>1708</v>
      </c>
    </row>
    <row r="10125" spans="1:8">
      <c r="A10125" s="317">
        <v>2601098028</v>
      </c>
      <c r="B10125" s="330" t="s">
        <v>54481</v>
      </c>
      <c r="C10125" s="330" t="s">
        <v>22537</v>
      </c>
      <c r="D10125" s="330" t="s">
        <v>22538</v>
      </c>
      <c r="E10125" s="330" t="s">
        <v>4634</v>
      </c>
      <c r="F10125" s="331">
        <v>0.21</v>
      </c>
      <c r="G10125" s="332">
        <v>541</v>
      </c>
      <c r="H10125" s="333">
        <v>655</v>
      </c>
    </row>
    <row r="10126" spans="1:8">
      <c r="A10126" s="317">
        <v>2601098032</v>
      </c>
      <c r="B10126" s="330" t="s">
        <v>54482</v>
      </c>
      <c r="C10126" s="330" t="s">
        <v>22539</v>
      </c>
      <c r="D10126" s="330" t="s">
        <v>22540</v>
      </c>
      <c r="E10126" s="330" t="s">
        <v>4819</v>
      </c>
      <c r="F10126" s="331">
        <v>0.21</v>
      </c>
      <c r="G10126" s="332">
        <v>7957</v>
      </c>
      <c r="H10126" s="333">
        <v>9628</v>
      </c>
    </row>
    <row r="10127" spans="1:8">
      <c r="A10127" s="317">
        <v>2601098036</v>
      </c>
      <c r="B10127" s="330" t="s">
        <v>54483</v>
      </c>
      <c r="C10127" s="330" t="s">
        <v>22541</v>
      </c>
      <c r="D10127" s="330" t="s">
        <v>22542</v>
      </c>
      <c r="E10127" s="330" t="s">
        <v>4634</v>
      </c>
      <c r="F10127" s="331">
        <v>0.21</v>
      </c>
      <c r="G10127" s="332">
        <v>584</v>
      </c>
      <c r="H10127" s="333">
        <v>707</v>
      </c>
    </row>
    <row r="10128" spans="1:8">
      <c r="A10128" s="317">
        <v>2601098040</v>
      </c>
      <c r="B10128" s="330" t="s">
        <v>54484</v>
      </c>
      <c r="C10128" s="330" t="s">
        <v>22543</v>
      </c>
      <c r="D10128" s="330" t="s">
        <v>22544</v>
      </c>
      <c r="E10128" s="330" t="s">
        <v>37248</v>
      </c>
      <c r="F10128" s="331">
        <v>0.21</v>
      </c>
      <c r="G10128" s="332">
        <v>9775</v>
      </c>
      <c r="H10128" s="333">
        <v>11828</v>
      </c>
    </row>
    <row r="10129" spans="1:8">
      <c r="A10129" s="317">
        <v>2601098044</v>
      </c>
      <c r="B10129" s="330" t="s">
        <v>54485</v>
      </c>
      <c r="C10129" s="330" t="s">
        <v>22545</v>
      </c>
      <c r="D10129" s="330" t="s">
        <v>22546</v>
      </c>
      <c r="E10129" s="330" t="s">
        <v>4634</v>
      </c>
      <c r="F10129" s="331">
        <v>0.21</v>
      </c>
      <c r="G10129" s="332">
        <v>23284</v>
      </c>
      <c r="H10129" s="333">
        <v>28174</v>
      </c>
    </row>
    <row r="10130" spans="1:8">
      <c r="A10130" s="317">
        <v>2601098045</v>
      </c>
      <c r="B10130" s="330" t="s">
        <v>54486</v>
      </c>
      <c r="C10130" s="330" t="s">
        <v>22547</v>
      </c>
      <c r="D10130" s="330" t="s">
        <v>22548</v>
      </c>
      <c r="E10130" s="330" t="s">
        <v>4634</v>
      </c>
      <c r="F10130" s="331">
        <v>0.21</v>
      </c>
      <c r="G10130" s="332">
        <v>348</v>
      </c>
      <c r="H10130" s="333">
        <v>422</v>
      </c>
    </row>
    <row r="10131" spans="1:8">
      <c r="A10131" s="317">
        <v>2601098060</v>
      </c>
      <c r="B10131" s="330" t="s">
        <v>54487</v>
      </c>
      <c r="C10131" s="330" t="s">
        <v>22549</v>
      </c>
      <c r="D10131" s="330" t="s">
        <v>22550</v>
      </c>
      <c r="E10131" s="330" t="s">
        <v>4634</v>
      </c>
      <c r="F10131" s="331">
        <v>0.21</v>
      </c>
      <c r="G10131" s="332">
        <v>2197</v>
      </c>
      <c r="H10131" s="333">
        <v>2659</v>
      </c>
    </row>
    <row r="10132" spans="1:8">
      <c r="A10132" s="317">
        <v>2601098082</v>
      </c>
      <c r="B10132" s="330" t="s">
        <v>54488</v>
      </c>
      <c r="C10132" s="330" t="s">
        <v>22551</v>
      </c>
      <c r="D10132" s="330" t="s">
        <v>22552</v>
      </c>
      <c r="E10132" s="330" t="s">
        <v>4634</v>
      </c>
      <c r="F10132" s="331">
        <v>0.21</v>
      </c>
      <c r="G10132" s="332">
        <v>1581</v>
      </c>
      <c r="H10132" s="333">
        <v>1914</v>
      </c>
    </row>
    <row r="10133" spans="1:8">
      <c r="A10133" s="317">
        <v>2601098087</v>
      </c>
      <c r="B10133" s="330" t="s">
        <v>54489</v>
      </c>
      <c r="C10133" s="330" t="s">
        <v>22553</v>
      </c>
      <c r="D10133" s="330" t="s">
        <v>22554</v>
      </c>
      <c r="E10133" s="330" t="s">
        <v>4634</v>
      </c>
      <c r="F10133" s="331">
        <v>0.21</v>
      </c>
      <c r="G10133" s="332">
        <v>19157</v>
      </c>
      <c r="H10133" s="333">
        <v>23180</v>
      </c>
    </row>
    <row r="10134" spans="1:8">
      <c r="A10134" s="317">
        <v>2601098098</v>
      </c>
      <c r="B10134" s="330" t="s">
        <v>54490</v>
      </c>
      <c r="C10134" s="330" t="s">
        <v>22555</v>
      </c>
      <c r="D10134" s="330" t="s">
        <v>6801</v>
      </c>
      <c r="E10134" s="330" t="s">
        <v>4819</v>
      </c>
      <c r="F10134" s="331">
        <v>0.21</v>
      </c>
      <c r="G10134" s="332">
        <v>11084</v>
      </c>
      <c r="H10134" s="333">
        <v>13412</v>
      </c>
    </row>
    <row r="10135" spans="1:8">
      <c r="A10135" s="317">
        <v>2601098099</v>
      </c>
      <c r="B10135" s="330" t="s">
        <v>54491</v>
      </c>
      <c r="C10135" s="330" t="s">
        <v>22556</v>
      </c>
      <c r="D10135" s="330" t="s">
        <v>22557</v>
      </c>
      <c r="E10135" s="330" t="s">
        <v>4819</v>
      </c>
      <c r="F10135" s="331">
        <v>0.21</v>
      </c>
      <c r="G10135" s="332">
        <v>8287</v>
      </c>
      <c r="H10135" s="333">
        <v>10028</v>
      </c>
    </row>
    <row r="10136" spans="1:8">
      <c r="A10136" s="317">
        <v>2601098110</v>
      </c>
      <c r="B10136" s="330" t="s">
        <v>54492</v>
      </c>
      <c r="C10136" s="330" t="s">
        <v>22558</v>
      </c>
      <c r="D10136" s="330" t="s">
        <v>22559</v>
      </c>
      <c r="E10136" s="330" t="s">
        <v>4634</v>
      </c>
      <c r="F10136" s="331">
        <v>0.21</v>
      </c>
      <c r="G10136" s="332">
        <v>4073</v>
      </c>
      <c r="H10136" s="333">
        <v>4929</v>
      </c>
    </row>
    <row r="10137" spans="1:8">
      <c r="A10137" s="317">
        <v>2601098117</v>
      </c>
      <c r="B10137" s="330" t="s">
        <v>54493</v>
      </c>
      <c r="C10137" s="330" t="s">
        <v>22560</v>
      </c>
      <c r="D10137" s="330" t="s">
        <v>22561</v>
      </c>
      <c r="E10137" s="330" t="s">
        <v>37248</v>
      </c>
      <c r="F10137" s="331">
        <v>0.21</v>
      </c>
      <c r="G10137" s="332">
        <v>11570</v>
      </c>
      <c r="H10137" s="333">
        <v>14000</v>
      </c>
    </row>
    <row r="10138" spans="1:8">
      <c r="A10138" s="317">
        <v>2601098902</v>
      </c>
      <c r="B10138" s="330" t="s">
        <v>54494</v>
      </c>
      <c r="C10138" s="330" t="s">
        <v>22562</v>
      </c>
      <c r="D10138" s="330" t="s">
        <v>22563</v>
      </c>
      <c r="E10138" s="330" t="s">
        <v>4634</v>
      </c>
      <c r="F10138" s="331">
        <v>0.21</v>
      </c>
      <c r="G10138" s="332">
        <v>5081</v>
      </c>
      <c r="H10138" s="333">
        <v>6149</v>
      </c>
    </row>
    <row r="10139" spans="1:8">
      <c r="A10139" s="317">
        <v>2601099015</v>
      </c>
      <c r="B10139" s="330" t="s">
        <v>54495</v>
      </c>
      <c r="C10139" s="330" t="s">
        <v>22564</v>
      </c>
      <c r="D10139" s="330" t="s">
        <v>5324</v>
      </c>
      <c r="E10139" s="330" t="s">
        <v>4634</v>
      </c>
      <c r="F10139" s="331">
        <v>0.21</v>
      </c>
      <c r="G10139" s="332">
        <v>180</v>
      </c>
      <c r="H10139" s="333">
        <v>218</v>
      </c>
    </row>
    <row r="10140" spans="1:8">
      <c r="A10140" s="317">
        <v>2601099026</v>
      </c>
      <c r="B10140" s="330" t="s">
        <v>54496</v>
      </c>
      <c r="C10140" s="330" t="s">
        <v>22565</v>
      </c>
      <c r="D10140" s="330" t="s">
        <v>22566</v>
      </c>
      <c r="E10140" s="330" t="s">
        <v>4634</v>
      </c>
      <c r="F10140" s="331">
        <v>0.21</v>
      </c>
      <c r="G10140" s="332">
        <v>348</v>
      </c>
      <c r="H10140" s="333">
        <v>422</v>
      </c>
    </row>
    <row r="10141" spans="1:8">
      <c r="A10141" s="317">
        <v>2601099027</v>
      </c>
      <c r="B10141" s="330" t="s">
        <v>54497</v>
      </c>
      <c r="C10141" s="330" t="s">
        <v>22567</v>
      </c>
      <c r="D10141" s="330" t="s">
        <v>22568</v>
      </c>
      <c r="E10141" s="330" t="s">
        <v>4634</v>
      </c>
      <c r="F10141" s="331">
        <v>0.21</v>
      </c>
      <c r="G10141" s="332">
        <v>348</v>
      </c>
      <c r="H10141" s="333">
        <v>422</v>
      </c>
    </row>
    <row r="10142" spans="1:8">
      <c r="A10142" s="317">
        <v>2601099028</v>
      </c>
      <c r="B10142" s="330" t="s">
        <v>54498</v>
      </c>
      <c r="C10142" s="330" t="s">
        <v>22569</v>
      </c>
      <c r="D10142" s="330" t="s">
        <v>22570</v>
      </c>
      <c r="E10142" s="330" t="s">
        <v>4634</v>
      </c>
      <c r="F10142" s="331">
        <v>0.21</v>
      </c>
      <c r="G10142" s="332">
        <v>648</v>
      </c>
      <c r="H10142" s="333">
        <v>785</v>
      </c>
    </row>
    <row r="10143" spans="1:8">
      <c r="A10143" s="317">
        <v>2601099055</v>
      </c>
      <c r="B10143" s="330" t="s">
        <v>54499</v>
      </c>
      <c r="C10143" s="330" t="s">
        <v>22571</v>
      </c>
      <c r="D10143" s="330" t="s">
        <v>22572</v>
      </c>
      <c r="E10143" s="330" t="s">
        <v>4634</v>
      </c>
      <c r="F10143" s="331">
        <v>0.21</v>
      </c>
      <c r="G10143" s="332">
        <v>372</v>
      </c>
      <c r="H10143" s="333">
        <v>451</v>
      </c>
    </row>
    <row r="10144" spans="1:8">
      <c r="A10144" s="317">
        <v>2601099056</v>
      </c>
      <c r="B10144" s="330" t="s">
        <v>54500</v>
      </c>
      <c r="C10144" s="330" t="s">
        <v>22573</v>
      </c>
      <c r="D10144" s="330" t="s">
        <v>22574</v>
      </c>
      <c r="E10144" s="330" t="s">
        <v>4634</v>
      </c>
      <c r="F10144" s="331">
        <v>0.21</v>
      </c>
      <c r="G10144" s="332">
        <v>348</v>
      </c>
      <c r="H10144" s="333">
        <v>422</v>
      </c>
    </row>
    <row r="10145" spans="1:8">
      <c r="A10145" s="317">
        <v>2601099060</v>
      </c>
      <c r="B10145" s="330" t="s">
        <v>54501</v>
      </c>
      <c r="C10145" s="330" t="s">
        <v>22575</v>
      </c>
      <c r="D10145" s="330" t="s">
        <v>22576</v>
      </c>
      <c r="E10145" s="330" t="s">
        <v>4634</v>
      </c>
      <c r="F10145" s="331">
        <v>0.21</v>
      </c>
      <c r="G10145" s="332">
        <v>372</v>
      </c>
      <c r="H10145" s="333">
        <v>451</v>
      </c>
    </row>
    <row r="10146" spans="1:8">
      <c r="A10146" s="317">
        <v>2601099072</v>
      </c>
      <c r="B10146" s="330" t="s">
        <v>54502</v>
      </c>
      <c r="C10146" s="330" t="s">
        <v>22577</v>
      </c>
      <c r="D10146" s="330" t="s">
        <v>22578</v>
      </c>
      <c r="E10146" s="330" t="s">
        <v>4634</v>
      </c>
      <c r="F10146" s="331">
        <v>0.21</v>
      </c>
      <c r="G10146" s="332">
        <v>372</v>
      </c>
      <c r="H10146" s="333">
        <v>451</v>
      </c>
    </row>
    <row r="10147" spans="1:8">
      <c r="A10147" s="317">
        <v>2601099085</v>
      </c>
      <c r="B10147" s="330" t="s">
        <v>54503</v>
      </c>
      <c r="C10147" s="330" t="s">
        <v>22579</v>
      </c>
      <c r="D10147" s="330" t="s">
        <v>22580</v>
      </c>
      <c r="E10147" s="330" t="s">
        <v>4634</v>
      </c>
      <c r="F10147" s="331">
        <v>0.21</v>
      </c>
      <c r="G10147" s="332">
        <v>372</v>
      </c>
      <c r="H10147" s="333">
        <v>451</v>
      </c>
    </row>
    <row r="10148" spans="1:8">
      <c r="A10148" s="317">
        <v>2601099086</v>
      </c>
      <c r="B10148" s="330" t="s">
        <v>54504</v>
      </c>
      <c r="C10148" s="330" t="s">
        <v>22581</v>
      </c>
      <c r="D10148" s="330" t="s">
        <v>22582</v>
      </c>
      <c r="E10148" s="330" t="s">
        <v>4634</v>
      </c>
      <c r="F10148" s="331">
        <v>0.21</v>
      </c>
      <c r="G10148" s="332">
        <v>455</v>
      </c>
      <c r="H10148" s="333">
        <v>551</v>
      </c>
    </row>
    <row r="10149" spans="1:8">
      <c r="A10149" s="317">
        <v>2601099090</v>
      </c>
      <c r="B10149" s="330" t="s">
        <v>54505</v>
      </c>
      <c r="C10149" s="330" t="s">
        <v>22583</v>
      </c>
      <c r="D10149" s="330" t="s">
        <v>22584</v>
      </c>
      <c r="E10149" s="330" t="s">
        <v>4634</v>
      </c>
      <c r="F10149" s="331">
        <v>0.21</v>
      </c>
      <c r="G10149" s="332">
        <v>1150</v>
      </c>
      <c r="H10149" s="333">
        <v>1392</v>
      </c>
    </row>
    <row r="10150" spans="1:8">
      <c r="A10150" s="317">
        <v>2601099096</v>
      </c>
      <c r="B10150" s="330" t="s">
        <v>54506</v>
      </c>
      <c r="C10150" s="330" t="s">
        <v>22585</v>
      </c>
      <c r="D10150" s="330" t="s">
        <v>22586</v>
      </c>
      <c r="E10150" s="330" t="s">
        <v>4634</v>
      </c>
      <c r="F10150" s="331">
        <v>0.21</v>
      </c>
      <c r="G10150" s="332">
        <v>564</v>
      </c>
      <c r="H10150" s="333">
        <v>683</v>
      </c>
    </row>
    <row r="10151" spans="1:8">
      <c r="A10151" s="317">
        <v>2601099098</v>
      </c>
      <c r="B10151" s="330" t="s">
        <v>54507</v>
      </c>
      <c r="C10151" s="330" t="s">
        <v>22587</v>
      </c>
      <c r="D10151" s="330" t="s">
        <v>22586</v>
      </c>
      <c r="E10151" s="330" t="s">
        <v>4634</v>
      </c>
      <c r="F10151" s="331">
        <v>0.21</v>
      </c>
      <c r="G10151" s="332">
        <v>455</v>
      </c>
      <c r="H10151" s="333">
        <v>551</v>
      </c>
    </row>
    <row r="10152" spans="1:8">
      <c r="A10152" s="317">
        <v>2601099111</v>
      </c>
      <c r="B10152" s="330" t="s">
        <v>54508</v>
      </c>
      <c r="C10152" s="330" t="s">
        <v>22588</v>
      </c>
      <c r="D10152" s="330" t="s">
        <v>22589</v>
      </c>
      <c r="E10152" s="330" t="s">
        <v>4634</v>
      </c>
      <c r="F10152" s="331">
        <v>0.21</v>
      </c>
      <c r="G10152" s="332">
        <v>348</v>
      </c>
      <c r="H10152" s="333">
        <v>422</v>
      </c>
    </row>
    <row r="10153" spans="1:8">
      <c r="A10153" s="317">
        <v>2601099112</v>
      </c>
      <c r="B10153" s="330" t="s">
        <v>54509</v>
      </c>
      <c r="C10153" s="330" t="s">
        <v>22590</v>
      </c>
      <c r="D10153" s="330" t="s">
        <v>22591</v>
      </c>
      <c r="E10153" s="330" t="s">
        <v>4819</v>
      </c>
      <c r="F10153" s="331">
        <v>0.21</v>
      </c>
      <c r="G10153" s="332">
        <v>1998</v>
      </c>
      <c r="H10153" s="333">
        <v>2418</v>
      </c>
    </row>
    <row r="10154" spans="1:8">
      <c r="A10154" s="317">
        <v>2601099114</v>
      </c>
      <c r="B10154" s="330" t="s">
        <v>54510</v>
      </c>
      <c r="C10154" s="330" t="s">
        <v>22592</v>
      </c>
      <c r="D10154" s="330" t="s">
        <v>22593</v>
      </c>
      <c r="E10154" s="330" t="s">
        <v>37248</v>
      </c>
      <c r="F10154" s="331">
        <v>0.21</v>
      </c>
      <c r="G10154" s="332">
        <v>3031</v>
      </c>
      <c r="H10154" s="333">
        <v>3668</v>
      </c>
    </row>
    <row r="10155" spans="1:8">
      <c r="A10155" s="317">
        <v>2601099115</v>
      </c>
      <c r="B10155" s="330" t="s">
        <v>54511</v>
      </c>
      <c r="C10155" s="330" t="s">
        <v>22594</v>
      </c>
      <c r="D10155" s="330" t="s">
        <v>22595</v>
      </c>
      <c r="E10155" s="330" t="s">
        <v>4819</v>
      </c>
      <c r="F10155" s="331">
        <v>0.21</v>
      </c>
      <c r="G10155" s="332">
        <v>3102</v>
      </c>
      <c r="H10155" s="333">
        <v>3754</v>
      </c>
    </row>
    <row r="10156" spans="1:8">
      <c r="A10156" s="317">
        <v>2601099120</v>
      </c>
      <c r="B10156" s="330" t="s">
        <v>54512</v>
      </c>
      <c r="C10156" s="330" t="s">
        <v>22596</v>
      </c>
      <c r="D10156" s="330" t="s">
        <v>22597</v>
      </c>
      <c r="E10156" s="330" t="s">
        <v>4634</v>
      </c>
      <c r="F10156" s="331">
        <v>0.21</v>
      </c>
      <c r="G10156" s="332">
        <v>564</v>
      </c>
      <c r="H10156" s="333">
        <v>683</v>
      </c>
    </row>
    <row r="10157" spans="1:8">
      <c r="A10157" s="317">
        <v>2601099127</v>
      </c>
      <c r="B10157" s="330" t="s">
        <v>54513</v>
      </c>
      <c r="C10157" s="330" t="s">
        <v>22598</v>
      </c>
      <c r="D10157" s="330" t="s">
        <v>22599</v>
      </c>
      <c r="E10157" s="330" t="s">
        <v>4623</v>
      </c>
      <c r="F10157" s="331">
        <v>0.21</v>
      </c>
      <c r="G10157" s="332">
        <v>6658</v>
      </c>
      <c r="H10157" s="333">
        <v>8057</v>
      </c>
    </row>
    <row r="10158" spans="1:8">
      <c r="A10158" s="317">
        <v>2601099153</v>
      </c>
      <c r="B10158" s="330" t="s">
        <v>54514</v>
      </c>
      <c r="C10158" s="330" t="s">
        <v>22600</v>
      </c>
      <c r="D10158" s="330" t="s">
        <v>22601</v>
      </c>
      <c r="E10158" s="330" t="s">
        <v>37248</v>
      </c>
      <c r="F10158" s="331">
        <v>0.21</v>
      </c>
      <c r="G10158" s="332">
        <v>2426</v>
      </c>
      <c r="H10158" s="333">
        <v>2936</v>
      </c>
    </row>
    <row r="10159" spans="1:8">
      <c r="A10159" s="317">
        <v>2601099155</v>
      </c>
      <c r="B10159" s="330" t="s">
        <v>54515</v>
      </c>
      <c r="C10159" s="330" t="s">
        <v>22602</v>
      </c>
      <c r="D10159" s="330" t="s">
        <v>22603</v>
      </c>
      <c r="E10159" s="330" t="s">
        <v>4634</v>
      </c>
      <c r="F10159" s="331">
        <v>0.21</v>
      </c>
      <c r="G10159" s="332">
        <v>348</v>
      </c>
      <c r="H10159" s="333">
        <v>422</v>
      </c>
    </row>
    <row r="10160" spans="1:8">
      <c r="A10160" s="317">
        <v>2601099175</v>
      </c>
      <c r="B10160" s="330" t="s">
        <v>54516</v>
      </c>
      <c r="C10160" s="330" t="s">
        <v>22604</v>
      </c>
      <c r="D10160" s="330" t="s">
        <v>22605</v>
      </c>
      <c r="E10160" s="330" t="s">
        <v>4634</v>
      </c>
      <c r="F10160" s="331">
        <v>0.21</v>
      </c>
      <c r="G10160" s="332">
        <v>2143</v>
      </c>
      <c r="H10160" s="333">
        <v>2594</v>
      </c>
    </row>
    <row r="10161" spans="1:8">
      <c r="A10161" s="317">
        <v>2601099183</v>
      </c>
      <c r="B10161" s="330" t="s">
        <v>54517</v>
      </c>
      <c r="C10161" s="330" t="s">
        <v>22606</v>
      </c>
      <c r="D10161" s="330" t="s">
        <v>22607</v>
      </c>
      <c r="E10161" s="330" t="s">
        <v>4623</v>
      </c>
      <c r="F10161" s="331">
        <v>0.21</v>
      </c>
      <c r="G10161" s="332">
        <v>5427</v>
      </c>
      <c r="H10161" s="333">
        <v>6567</v>
      </c>
    </row>
    <row r="10162" spans="1:8">
      <c r="A10162" s="317">
        <v>2601099188</v>
      </c>
      <c r="B10162" s="330" t="s">
        <v>54518</v>
      </c>
      <c r="C10162" s="330" t="s">
        <v>22608</v>
      </c>
      <c r="D10162" s="330" t="s">
        <v>22609</v>
      </c>
      <c r="E10162" s="330" t="s">
        <v>4819</v>
      </c>
      <c r="F10162" s="331">
        <v>0.21</v>
      </c>
      <c r="G10162" s="332">
        <v>2328</v>
      </c>
      <c r="H10162" s="333">
        <v>2817</v>
      </c>
    </row>
    <row r="10163" spans="1:8">
      <c r="A10163" s="317">
        <v>2601099189</v>
      </c>
      <c r="B10163" s="330" t="s">
        <v>54519</v>
      </c>
      <c r="C10163" s="330" t="s">
        <v>22610</v>
      </c>
      <c r="D10163" s="330" t="s">
        <v>22609</v>
      </c>
      <c r="E10163" s="330" t="s">
        <v>4819</v>
      </c>
      <c r="F10163" s="331">
        <v>0.21</v>
      </c>
      <c r="G10163" s="332">
        <v>5081</v>
      </c>
      <c r="H10163" s="333">
        <v>6149</v>
      </c>
    </row>
    <row r="10164" spans="1:8">
      <c r="A10164" s="317">
        <v>2601099196</v>
      </c>
      <c r="B10164" s="330" t="s">
        <v>54520</v>
      </c>
      <c r="C10164" s="330" t="s">
        <v>22611</v>
      </c>
      <c r="D10164" s="330" t="s">
        <v>22612</v>
      </c>
      <c r="E10164" s="330" t="s">
        <v>4634</v>
      </c>
      <c r="F10164" s="331">
        <v>0.21</v>
      </c>
      <c r="G10164" s="332">
        <v>236</v>
      </c>
      <c r="H10164" s="333">
        <v>286</v>
      </c>
    </row>
    <row r="10165" spans="1:8">
      <c r="A10165" s="317">
        <v>2601099198</v>
      </c>
      <c r="B10165" s="330" t="s">
        <v>54521</v>
      </c>
      <c r="C10165" s="330" t="s">
        <v>22613</v>
      </c>
      <c r="D10165" s="330" t="s">
        <v>22614</v>
      </c>
      <c r="E10165" s="330" t="s">
        <v>37248</v>
      </c>
      <c r="F10165" s="331">
        <v>0.21</v>
      </c>
      <c r="G10165" s="332">
        <v>2630</v>
      </c>
      <c r="H10165" s="333">
        <v>3183</v>
      </c>
    </row>
    <row r="10166" spans="1:8">
      <c r="A10166" s="317">
        <v>2601099213</v>
      </c>
      <c r="B10166" s="330" t="s">
        <v>54522</v>
      </c>
      <c r="C10166" s="330" t="s">
        <v>22615</v>
      </c>
      <c r="D10166" s="330" t="s">
        <v>22616</v>
      </c>
      <c r="E10166" s="330" t="s">
        <v>37248</v>
      </c>
      <c r="F10166" s="331">
        <v>0.21</v>
      </c>
      <c r="G10166" s="332">
        <v>8523</v>
      </c>
      <c r="H10166" s="333">
        <v>10313</v>
      </c>
    </row>
    <row r="10167" spans="1:8">
      <c r="A10167" s="317">
        <v>2601099225</v>
      </c>
      <c r="B10167" s="330" t="s">
        <v>54523</v>
      </c>
      <c r="C10167" s="330" t="s">
        <v>22617</v>
      </c>
      <c r="D10167" s="330" t="s">
        <v>19368</v>
      </c>
      <c r="E10167" s="330" t="s">
        <v>37248</v>
      </c>
      <c r="F10167" s="331">
        <v>0.21</v>
      </c>
      <c r="G10167" s="332">
        <v>3442</v>
      </c>
      <c r="H10167" s="333">
        <v>4165</v>
      </c>
    </row>
    <row r="10168" spans="1:8">
      <c r="A10168" s="317">
        <v>2601099261</v>
      </c>
      <c r="B10168" s="330" t="s">
        <v>54524</v>
      </c>
      <c r="C10168" s="330" t="s">
        <v>22618</v>
      </c>
      <c r="D10168" s="330" t="s">
        <v>22619</v>
      </c>
      <c r="E10168" s="330" t="s">
        <v>4634</v>
      </c>
      <c r="F10168" s="331">
        <v>0.21</v>
      </c>
      <c r="G10168" s="332">
        <v>2467</v>
      </c>
      <c r="H10168" s="333">
        <v>2986</v>
      </c>
    </row>
    <row r="10169" spans="1:8">
      <c r="A10169" s="317">
        <v>2601099301</v>
      </c>
      <c r="B10169" s="330" t="s">
        <v>54525</v>
      </c>
      <c r="C10169" s="330" t="s">
        <v>22620</v>
      </c>
      <c r="D10169" s="330" t="s">
        <v>7002</v>
      </c>
      <c r="E10169" s="330" t="s">
        <v>37248</v>
      </c>
      <c r="F10169" s="331">
        <v>0.21</v>
      </c>
      <c r="G10169" s="332">
        <v>435</v>
      </c>
      <c r="H10169" s="333">
        <v>527</v>
      </c>
    </row>
    <row r="10170" spans="1:8">
      <c r="A10170" s="317">
        <v>2601111477</v>
      </c>
      <c r="B10170" s="330" t="s">
        <v>54526</v>
      </c>
      <c r="C10170" s="330" t="s">
        <v>22621</v>
      </c>
      <c r="D10170" s="330" t="s">
        <v>8440</v>
      </c>
      <c r="E10170" s="330" t="s">
        <v>4819</v>
      </c>
      <c r="F10170" s="331">
        <v>0.21</v>
      </c>
      <c r="G10170" s="332">
        <v>807</v>
      </c>
      <c r="H10170" s="333">
        <v>977</v>
      </c>
    </row>
    <row r="10171" spans="1:8">
      <c r="A10171" s="317">
        <v>2601112052</v>
      </c>
      <c r="B10171" s="330" t="s">
        <v>54527</v>
      </c>
      <c r="C10171" s="330" t="s">
        <v>22622</v>
      </c>
      <c r="D10171" s="330" t="s">
        <v>8396</v>
      </c>
      <c r="E10171" s="330" t="s">
        <v>4819</v>
      </c>
      <c r="F10171" s="331">
        <v>0.21</v>
      </c>
      <c r="G10171" s="332">
        <v>807</v>
      </c>
      <c r="H10171" s="333">
        <v>977</v>
      </c>
    </row>
    <row r="10172" spans="1:8">
      <c r="A10172" s="317">
        <v>2601113630</v>
      </c>
      <c r="B10172" s="330" t="s">
        <v>54528</v>
      </c>
      <c r="C10172" s="330" t="s">
        <v>22623</v>
      </c>
      <c r="D10172" s="330" t="s">
        <v>7649</v>
      </c>
      <c r="E10172" s="330" t="s">
        <v>37248</v>
      </c>
      <c r="F10172" s="331">
        <v>0.21</v>
      </c>
      <c r="G10172" s="332">
        <v>519</v>
      </c>
      <c r="H10172" s="333">
        <v>628</v>
      </c>
    </row>
    <row r="10173" spans="1:8">
      <c r="A10173" s="317">
        <v>2601115537</v>
      </c>
      <c r="B10173" s="330" t="s">
        <v>54529</v>
      </c>
      <c r="C10173" s="330" t="s">
        <v>22624</v>
      </c>
      <c r="D10173" s="330" t="s">
        <v>22625</v>
      </c>
      <c r="E10173" s="330" t="s">
        <v>4634</v>
      </c>
      <c r="F10173" s="331">
        <v>0.21</v>
      </c>
      <c r="G10173" s="332">
        <v>309</v>
      </c>
      <c r="H10173" s="333">
        <v>374</v>
      </c>
    </row>
    <row r="10174" spans="1:8">
      <c r="A10174" s="317">
        <v>2601120000</v>
      </c>
      <c r="B10174" s="330" t="s">
        <v>54530</v>
      </c>
      <c r="C10174" s="330" t="s">
        <v>22626</v>
      </c>
      <c r="D10174" s="330" t="s">
        <v>22627</v>
      </c>
      <c r="E10174" s="330" t="s">
        <v>4634</v>
      </c>
      <c r="F10174" s="331">
        <v>0.21</v>
      </c>
      <c r="G10174" s="332">
        <v>1322</v>
      </c>
      <c r="H10174" s="333">
        <v>1600</v>
      </c>
    </row>
    <row r="10175" spans="1:8">
      <c r="A10175" s="317">
        <v>2601120009</v>
      </c>
      <c r="B10175" s="330" t="s">
        <v>54531</v>
      </c>
      <c r="C10175" s="330" t="s">
        <v>22628</v>
      </c>
      <c r="D10175" s="330" t="s">
        <v>22629</v>
      </c>
      <c r="E10175" s="330" t="s">
        <v>4634</v>
      </c>
      <c r="F10175" s="331">
        <v>0.21</v>
      </c>
      <c r="G10175" s="332">
        <v>1871</v>
      </c>
      <c r="H10175" s="333">
        <v>2264</v>
      </c>
    </row>
    <row r="10176" spans="1:8">
      <c r="A10176" s="317">
        <v>2601120017</v>
      </c>
      <c r="B10176" s="330" t="s">
        <v>54532</v>
      </c>
      <c r="C10176" s="330" t="s">
        <v>22630</v>
      </c>
      <c r="D10176" s="330" t="s">
        <v>8375</v>
      </c>
      <c r="E10176" s="330" t="s">
        <v>37248</v>
      </c>
      <c r="F10176" s="331">
        <v>0.21</v>
      </c>
      <c r="G10176" s="332">
        <v>519</v>
      </c>
      <c r="H10176" s="333">
        <v>628</v>
      </c>
    </row>
    <row r="10177" spans="1:8">
      <c r="A10177" s="317">
        <v>2601120018</v>
      </c>
      <c r="B10177" s="330" t="s">
        <v>54533</v>
      </c>
      <c r="C10177" s="330" t="s">
        <v>22631</v>
      </c>
      <c r="D10177" s="330" t="s">
        <v>7649</v>
      </c>
      <c r="E10177" s="330" t="s">
        <v>37248</v>
      </c>
      <c r="F10177" s="331">
        <v>0.21</v>
      </c>
      <c r="G10177" s="332">
        <v>519</v>
      </c>
      <c r="H10177" s="333">
        <v>628</v>
      </c>
    </row>
    <row r="10178" spans="1:8">
      <c r="A10178" s="317">
        <v>2601250001</v>
      </c>
      <c r="B10178" s="330" t="s">
        <v>54534</v>
      </c>
      <c r="C10178" s="330" t="s">
        <v>22632</v>
      </c>
      <c r="D10178" s="330" t="s">
        <v>22633</v>
      </c>
      <c r="E10178" s="330" t="s">
        <v>4634</v>
      </c>
      <c r="F10178" s="331">
        <v>0.21</v>
      </c>
      <c r="G10178" s="332">
        <v>711</v>
      </c>
      <c r="H10178" s="333">
        <v>861</v>
      </c>
    </row>
    <row r="10179" spans="1:8">
      <c r="A10179" s="317">
        <v>2601250009</v>
      </c>
      <c r="B10179" s="330" t="s">
        <v>54535</v>
      </c>
      <c r="C10179" s="330" t="s">
        <v>22634</v>
      </c>
      <c r="D10179" s="330" t="s">
        <v>22635</v>
      </c>
      <c r="E10179" s="330" t="s">
        <v>4634</v>
      </c>
      <c r="F10179" s="331">
        <v>0.21</v>
      </c>
      <c r="G10179" s="332">
        <v>274</v>
      </c>
      <c r="H10179" s="333">
        <v>332</v>
      </c>
    </row>
    <row r="10180" spans="1:8">
      <c r="A10180" s="317">
        <v>2601251003</v>
      </c>
      <c r="B10180" s="330" t="s">
        <v>54536</v>
      </c>
      <c r="C10180" s="330" t="s">
        <v>22636</v>
      </c>
      <c r="D10180" s="330" t="s">
        <v>22637</v>
      </c>
      <c r="E10180" s="330" t="s">
        <v>4634</v>
      </c>
      <c r="F10180" s="331">
        <v>0.21</v>
      </c>
      <c r="G10180" s="332">
        <v>372</v>
      </c>
      <c r="H10180" s="333">
        <v>451</v>
      </c>
    </row>
    <row r="10181" spans="1:8">
      <c r="A10181" s="317">
        <v>2601254000</v>
      </c>
      <c r="B10181" s="330" t="s">
        <v>54537</v>
      </c>
      <c r="C10181" s="330" t="s">
        <v>22638</v>
      </c>
      <c r="D10181" s="330" t="s">
        <v>22639</v>
      </c>
      <c r="E10181" s="330" t="s">
        <v>4623</v>
      </c>
      <c r="F10181" s="331">
        <v>0.21</v>
      </c>
      <c r="G10181" s="332">
        <v>2581</v>
      </c>
      <c r="H10181" s="333">
        <v>3124</v>
      </c>
    </row>
    <row r="10182" spans="1:8">
      <c r="A10182" s="317">
        <v>2601290014</v>
      </c>
      <c r="B10182" s="330" t="s">
        <v>54538</v>
      </c>
      <c r="C10182" s="330" t="s">
        <v>22640</v>
      </c>
      <c r="D10182" s="330" t="s">
        <v>22641</v>
      </c>
      <c r="E10182" s="330" t="s">
        <v>4634</v>
      </c>
      <c r="F10182" s="331">
        <v>0.21</v>
      </c>
      <c r="G10182" s="332">
        <v>372</v>
      </c>
      <c r="H10182" s="333">
        <v>451</v>
      </c>
    </row>
    <row r="10183" spans="1:8">
      <c r="A10183" s="317">
        <v>2601290016</v>
      </c>
      <c r="B10183" s="330" t="s">
        <v>54539</v>
      </c>
      <c r="C10183" s="330" t="s">
        <v>22642</v>
      </c>
      <c r="D10183" s="330" t="s">
        <v>22643</v>
      </c>
      <c r="E10183" s="330" t="s">
        <v>37248</v>
      </c>
      <c r="F10183" s="331">
        <v>0.21</v>
      </c>
      <c r="G10183" s="332">
        <v>3934</v>
      </c>
      <c r="H10183" s="333">
        <v>4761</v>
      </c>
    </row>
    <row r="10184" spans="1:8">
      <c r="A10184" s="317">
        <v>2601301002</v>
      </c>
      <c r="B10184" s="330" t="s">
        <v>54540</v>
      </c>
      <c r="C10184" s="330" t="s">
        <v>22644</v>
      </c>
      <c r="D10184" s="330" t="s">
        <v>9919</v>
      </c>
      <c r="E10184" s="330" t="s">
        <v>4634</v>
      </c>
      <c r="F10184" s="331">
        <v>0.21</v>
      </c>
      <c r="G10184" s="332">
        <v>412</v>
      </c>
      <c r="H10184" s="333">
        <v>499</v>
      </c>
    </row>
    <row r="10185" spans="1:8">
      <c r="A10185" s="317">
        <v>2601302008</v>
      </c>
      <c r="B10185" s="330" t="s">
        <v>54541</v>
      </c>
      <c r="C10185" s="330" t="s">
        <v>22645</v>
      </c>
      <c r="D10185" s="330" t="s">
        <v>7991</v>
      </c>
      <c r="E10185" s="330" t="s">
        <v>4634</v>
      </c>
      <c r="F10185" s="331">
        <v>0.21</v>
      </c>
      <c r="G10185" s="332">
        <v>37</v>
      </c>
      <c r="H10185" s="333">
        <v>45</v>
      </c>
    </row>
    <row r="10186" spans="1:8">
      <c r="A10186" s="317">
        <v>2601310011</v>
      </c>
      <c r="B10186" s="330" t="s">
        <v>54542</v>
      </c>
      <c r="C10186" s="330" t="s">
        <v>22646</v>
      </c>
      <c r="D10186" s="330" t="s">
        <v>22647</v>
      </c>
      <c r="E10186" s="330" t="s">
        <v>4634</v>
      </c>
      <c r="F10186" s="331">
        <v>0.21</v>
      </c>
      <c r="G10186" s="332">
        <v>387</v>
      </c>
      <c r="H10186" s="333">
        <v>469</v>
      </c>
    </row>
    <row r="10187" spans="1:8">
      <c r="A10187" s="317">
        <v>2601314002</v>
      </c>
      <c r="B10187" s="330" t="s">
        <v>54543</v>
      </c>
      <c r="C10187" s="330" t="s">
        <v>22648</v>
      </c>
      <c r="D10187" s="330" t="s">
        <v>22649</v>
      </c>
      <c r="E10187" s="330" t="s">
        <v>4634</v>
      </c>
      <c r="F10187" s="331">
        <v>0.21</v>
      </c>
      <c r="G10187" s="332">
        <v>791</v>
      </c>
      <c r="H10187" s="333">
        <v>958</v>
      </c>
    </row>
    <row r="10188" spans="1:8">
      <c r="A10188" s="317">
        <v>2601316001</v>
      </c>
      <c r="B10188" s="330" t="s">
        <v>54544</v>
      </c>
      <c r="C10188" s="330" t="s">
        <v>22650</v>
      </c>
      <c r="D10188" s="330" t="s">
        <v>22651</v>
      </c>
      <c r="E10188" s="330" t="s">
        <v>4634</v>
      </c>
      <c r="F10188" s="331">
        <v>0.21</v>
      </c>
      <c r="G10188" s="332">
        <v>1581</v>
      </c>
      <c r="H10188" s="333">
        <v>1914</v>
      </c>
    </row>
    <row r="10189" spans="1:8">
      <c r="A10189" s="317">
        <v>2601320018</v>
      </c>
      <c r="B10189" s="330" t="s">
        <v>54545</v>
      </c>
      <c r="C10189" s="330" t="s">
        <v>22652</v>
      </c>
      <c r="D10189" s="330" t="s">
        <v>22653</v>
      </c>
      <c r="E10189" s="330" t="s">
        <v>4634</v>
      </c>
      <c r="F10189" s="331">
        <v>0.21</v>
      </c>
      <c r="G10189" s="332">
        <v>564</v>
      </c>
      <c r="H10189" s="333">
        <v>683</v>
      </c>
    </row>
    <row r="10190" spans="1:8">
      <c r="A10190" s="317">
        <v>2601321012</v>
      </c>
      <c r="B10190" s="330" t="s">
        <v>54546</v>
      </c>
      <c r="C10190" s="330" t="s">
        <v>22654</v>
      </c>
      <c r="D10190" s="330" t="s">
        <v>22655</v>
      </c>
      <c r="E10190" s="330" t="s">
        <v>4634</v>
      </c>
      <c r="F10190" s="331">
        <v>0.21</v>
      </c>
      <c r="G10190" s="332">
        <v>564</v>
      </c>
      <c r="H10190" s="333">
        <v>683</v>
      </c>
    </row>
    <row r="10191" spans="1:8">
      <c r="A10191" s="317">
        <v>2601321016</v>
      </c>
      <c r="B10191" s="330" t="s">
        <v>54547</v>
      </c>
      <c r="C10191" s="330" t="s">
        <v>22656</v>
      </c>
      <c r="D10191" s="330" t="s">
        <v>22657</v>
      </c>
      <c r="E10191" s="330" t="s">
        <v>4634</v>
      </c>
      <c r="F10191" s="331">
        <v>0.21</v>
      </c>
      <c r="G10191" s="332">
        <v>1547</v>
      </c>
      <c r="H10191" s="333">
        <v>1872</v>
      </c>
    </row>
    <row r="10192" spans="1:8">
      <c r="A10192" s="317">
        <v>2601321017</v>
      </c>
      <c r="B10192" s="330" t="s">
        <v>54548</v>
      </c>
      <c r="C10192" s="330" t="s">
        <v>22658</v>
      </c>
      <c r="D10192" s="330" t="s">
        <v>22659</v>
      </c>
      <c r="E10192" s="330" t="s">
        <v>4634</v>
      </c>
      <c r="F10192" s="331">
        <v>0.21</v>
      </c>
      <c r="G10192" s="332">
        <v>619</v>
      </c>
      <c r="H10192" s="333">
        <v>749</v>
      </c>
    </row>
    <row r="10193" spans="1:8">
      <c r="A10193" s="317">
        <v>2601321022</v>
      </c>
      <c r="B10193" s="330" t="s">
        <v>54549</v>
      </c>
      <c r="C10193" s="330" t="s">
        <v>22660</v>
      </c>
      <c r="D10193" s="330" t="s">
        <v>22661</v>
      </c>
      <c r="E10193" s="330" t="s">
        <v>4634</v>
      </c>
      <c r="F10193" s="331">
        <v>0.21</v>
      </c>
      <c r="G10193" s="332">
        <v>4363</v>
      </c>
      <c r="H10193" s="333">
        <v>5280</v>
      </c>
    </row>
    <row r="10194" spans="1:8">
      <c r="A10194" s="317">
        <v>2601321036</v>
      </c>
      <c r="B10194" s="330" t="s">
        <v>54550</v>
      </c>
      <c r="C10194" s="330" t="s">
        <v>22662</v>
      </c>
      <c r="D10194" s="330" t="s">
        <v>22663</v>
      </c>
      <c r="E10194" s="330" t="s">
        <v>4634</v>
      </c>
      <c r="F10194" s="331">
        <v>0.21</v>
      </c>
      <c r="G10194" s="332">
        <v>1371</v>
      </c>
      <c r="H10194" s="333">
        <v>1659</v>
      </c>
    </row>
    <row r="10195" spans="1:8">
      <c r="A10195" s="317">
        <v>2601321037</v>
      </c>
      <c r="B10195" s="330" t="s">
        <v>54551</v>
      </c>
      <c r="C10195" s="330" t="s">
        <v>22664</v>
      </c>
      <c r="D10195" s="330" t="s">
        <v>22665</v>
      </c>
      <c r="E10195" s="330" t="s">
        <v>4634</v>
      </c>
      <c r="F10195" s="331">
        <v>0.21</v>
      </c>
      <c r="G10195" s="332">
        <v>1782</v>
      </c>
      <c r="H10195" s="333">
        <v>2157</v>
      </c>
    </row>
    <row r="10196" spans="1:8">
      <c r="A10196" s="317">
        <v>2601321051</v>
      </c>
      <c r="B10196" s="330" t="s">
        <v>54552</v>
      </c>
      <c r="C10196" s="330" t="s">
        <v>22666</v>
      </c>
      <c r="D10196" s="330" t="s">
        <v>22667</v>
      </c>
      <c r="E10196" s="330" t="s">
        <v>4634</v>
      </c>
      <c r="F10196" s="331">
        <v>0.21</v>
      </c>
      <c r="G10196" s="332">
        <v>2471</v>
      </c>
      <c r="H10196" s="333">
        <v>2990</v>
      </c>
    </row>
    <row r="10197" spans="1:8">
      <c r="A10197" s="317">
        <v>2601321063</v>
      </c>
      <c r="B10197" s="330" t="s">
        <v>54553</v>
      </c>
      <c r="C10197" s="330" t="s">
        <v>22668</v>
      </c>
      <c r="D10197" s="330" t="s">
        <v>22669</v>
      </c>
      <c r="E10197" s="330" t="s">
        <v>4634</v>
      </c>
      <c r="F10197" s="331">
        <v>0.21</v>
      </c>
      <c r="G10197" s="332">
        <v>11278</v>
      </c>
      <c r="H10197" s="333">
        <v>13647</v>
      </c>
    </row>
    <row r="10198" spans="1:8">
      <c r="A10198" s="317">
        <v>2601321077</v>
      </c>
      <c r="B10198" s="330" t="s">
        <v>54554</v>
      </c>
      <c r="C10198" s="330" t="s">
        <v>22670</v>
      </c>
      <c r="D10198" s="330" t="s">
        <v>22671</v>
      </c>
      <c r="E10198" s="330" t="s">
        <v>37248</v>
      </c>
      <c r="F10198" s="331">
        <v>0.21</v>
      </c>
      <c r="G10198" s="332">
        <v>17477</v>
      </c>
      <c r="H10198" s="333">
        <v>21148</v>
      </c>
    </row>
    <row r="10199" spans="1:8">
      <c r="A10199" s="317">
        <v>2601321900</v>
      </c>
      <c r="B10199" s="330" t="s">
        <v>54555</v>
      </c>
      <c r="C10199" s="330" t="s">
        <v>22672</v>
      </c>
      <c r="D10199" s="330" t="s">
        <v>22673</v>
      </c>
      <c r="E10199" s="330" t="s">
        <v>4634</v>
      </c>
      <c r="F10199" s="331">
        <v>0.21</v>
      </c>
      <c r="G10199" s="332">
        <v>1976</v>
      </c>
      <c r="H10199" s="333">
        <v>2391</v>
      </c>
    </row>
    <row r="10200" spans="1:8">
      <c r="A10200" s="317">
        <v>2601321901</v>
      </c>
      <c r="B10200" s="330" t="s">
        <v>54556</v>
      </c>
      <c r="C10200" s="330" t="s">
        <v>22674</v>
      </c>
      <c r="D10200" s="330" t="s">
        <v>22675</v>
      </c>
      <c r="E10200" s="330" t="s">
        <v>4634</v>
      </c>
      <c r="F10200" s="331">
        <v>0.21</v>
      </c>
      <c r="G10200" s="332">
        <v>3966</v>
      </c>
      <c r="H10200" s="333">
        <v>4799</v>
      </c>
    </row>
    <row r="10201" spans="1:8">
      <c r="A10201" s="317">
        <v>2601321902</v>
      </c>
      <c r="B10201" s="330" t="s">
        <v>54557</v>
      </c>
      <c r="C10201" s="330" t="s">
        <v>22676</v>
      </c>
      <c r="D10201" s="330" t="s">
        <v>22677</v>
      </c>
      <c r="E10201" s="330" t="s">
        <v>4634</v>
      </c>
      <c r="F10201" s="331">
        <v>0.21</v>
      </c>
      <c r="G10201" s="332">
        <v>19644</v>
      </c>
      <c r="H10201" s="333">
        <v>23770</v>
      </c>
    </row>
    <row r="10202" spans="1:8">
      <c r="A10202" s="317">
        <v>2601321903</v>
      </c>
      <c r="B10202" s="330" t="s">
        <v>54558</v>
      </c>
      <c r="C10202" s="330" t="s">
        <v>22678</v>
      </c>
      <c r="D10202" s="330" t="s">
        <v>22679</v>
      </c>
      <c r="E10202" s="330" t="s">
        <v>4634</v>
      </c>
      <c r="F10202" s="331">
        <v>0.21</v>
      </c>
      <c r="G10202" s="332">
        <v>2330</v>
      </c>
      <c r="H10202" s="333">
        <v>2820</v>
      </c>
    </row>
    <row r="10203" spans="1:8">
      <c r="A10203" s="317">
        <v>2601321904</v>
      </c>
      <c r="B10203" s="330" t="s">
        <v>54559</v>
      </c>
      <c r="C10203" s="330" t="s">
        <v>22680</v>
      </c>
      <c r="D10203" s="330" t="s">
        <v>22681</v>
      </c>
      <c r="E10203" s="330" t="s">
        <v>4634</v>
      </c>
      <c r="F10203" s="331">
        <v>0.21</v>
      </c>
      <c r="G10203" s="332">
        <v>15042</v>
      </c>
      <c r="H10203" s="333">
        <v>18201</v>
      </c>
    </row>
    <row r="10204" spans="1:8">
      <c r="A10204" s="317">
        <v>2601321907</v>
      </c>
      <c r="B10204" s="330" t="s">
        <v>54560</v>
      </c>
      <c r="C10204" s="330" t="s">
        <v>22682</v>
      </c>
      <c r="D10204" s="330" t="s">
        <v>22683</v>
      </c>
      <c r="E10204" s="330" t="s">
        <v>37248</v>
      </c>
      <c r="F10204" s="331">
        <v>0.21</v>
      </c>
      <c r="G10204" s="332">
        <v>23951</v>
      </c>
      <c r="H10204" s="333">
        <v>28981</v>
      </c>
    </row>
    <row r="10205" spans="1:8">
      <c r="A10205" s="317">
        <v>2601321908</v>
      </c>
      <c r="B10205" s="330" t="s">
        <v>54561</v>
      </c>
      <c r="C10205" s="330" t="s">
        <v>22684</v>
      </c>
      <c r="D10205" s="330" t="s">
        <v>22685</v>
      </c>
      <c r="E10205" s="330" t="s">
        <v>37248</v>
      </c>
      <c r="F10205" s="331">
        <v>0.21</v>
      </c>
      <c r="G10205" s="332">
        <v>13270</v>
      </c>
      <c r="H10205" s="333">
        <v>16057</v>
      </c>
    </row>
    <row r="10206" spans="1:8">
      <c r="A10206" s="317">
        <v>2601322002</v>
      </c>
      <c r="B10206" s="330" t="s">
        <v>54562</v>
      </c>
      <c r="C10206" s="330" t="s">
        <v>22686</v>
      </c>
      <c r="D10206" s="330" t="s">
        <v>8281</v>
      </c>
      <c r="E10206" s="330" t="s">
        <v>4634</v>
      </c>
      <c r="F10206" s="331">
        <v>0.21</v>
      </c>
      <c r="G10206" s="332">
        <v>180</v>
      </c>
      <c r="H10206" s="333">
        <v>218</v>
      </c>
    </row>
    <row r="10207" spans="1:8">
      <c r="A10207" s="317">
        <v>2601322004</v>
      </c>
      <c r="B10207" s="330" t="s">
        <v>54563</v>
      </c>
      <c r="C10207" s="330" t="s">
        <v>22687</v>
      </c>
      <c r="D10207" s="330" t="s">
        <v>22688</v>
      </c>
      <c r="E10207" s="330" t="s">
        <v>4634</v>
      </c>
      <c r="F10207" s="331">
        <v>0.21</v>
      </c>
      <c r="G10207" s="332">
        <v>2177</v>
      </c>
      <c r="H10207" s="333">
        <v>2635</v>
      </c>
    </row>
    <row r="10208" spans="1:8">
      <c r="A10208" s="317">
        <v>2601322010</v>
      </c>
      <c r="B10208" s="330" t="s">
        <v>54564</v>
      </c>
      <c r="C10208" s="330" t="s">
        <v>22689</v>
      </c>
      <c r="D10208" s="330" t="s">
        <v>22690</v>
      </c>
      <c r="E10208" s="330" t="s">
        <v>4634</v>
      </c>
      <c r="F10208" s="331">
        <v>0.21</v>
      </c>
      <c r="G10208" s="332">
        <v>4515</v>
      </c>
      <c r="H10208" s="333">
        <v>5464</v>
      </c>
    </row>
    <row r="10209" spans="1:8">
      <c r="A10209" s="317">
        <v>2601322011</v>
      </c>
      <c r="B10209" s="330" t="s">
        <v>54565</v>
      </c>
      <c r="C10209" s="330" t="s">
        <v>22691</v>
      </c>
      <c r="D10209" s="330" t="s">
        <v>22692</v>
      </c>
      <c r="E10209" s="330" t="s">
        <v>4634</v>
      </c>
      <c r="F10209" s="331">
        <v>0.21</v>
      </c>
      <c r="G10209" s="332">
        <v>903</v>
      </c>
      <c r="H10209" s="333">
        <v>1093</v>
      </c>
    </row>
    <row r="10210" spans="1:8">
      <c r="A10210" s="317">
        <v>2601322013</v>
      </c>
      <c r="B10210" s="330" t="s">
        <v>54566</v>
      </c>
      <c r="C10210" s="330" t="s">
        <v>22693</v>
      </c>
      <c r="D10210" s="330" t="s">
        <v>22694</v>
      </c>
      <c r="E10210" s="330" t="s">
        <v>4634</v>
      </c>
      <c r="F10210" s="331">
        <v>0.21</v>
      </c>
      <c r="G10210" s="332">
        <v>363</v>
      </c>
      <c r="H10210" s="333">
        <v>440</v>
      </c>
    </row>
    <row r="10211" spans="1:8">
      <c r="A10211" s="317">
        <v>2601322014</v>
      </c>
      <c r="B10211" s="330" t="s">
        <v>54567</v>
      </c>
      <c r="C10211" s="330" t="s">
        <v>22695</v>
      </c>
      <c r="D10211" s="330" t="s">
        <v>22696</v>
      </c>
      <c r="E10211" s="330" t="s">
        <v>4634</v>
      </c>
      <c r="F10211" s="331">
        <v>0.21</v>
      </c>
      <c r="G10211" s="332">
        <v>678</v>
      </c>
      <c r="H10211" s="333">
        <v>821</v>
      </c>
    </row>
    <row r="10212" spans="1:8">
      <c r="A10212" s="317">
        <v>2601322016</v>
      </c>
      <c r="B10212" s="330" t="s">
        <v>54568</v>
      </c>
      <c r="C10212" s="330" t="s">
        <v>22697</v>
      </c>
      <c r="D10212" s="330" t="s">
        <v>22698</v>
      </c>
      <c r="E10212" s="330" t="s">
        <v>4634</v>
      </c>
      <c r="F10212" s="331">
        <v>0.21</v>
      </c>
      <c r="G10212" s="332">
        <v>678</v>
      </c>
      <c r="H10212" s="333">
        <v>821</v>
      </c>
    </row>
    <row r="10213" spans="1:8">
      <c r="A10213" s="317">
        <v>2601322017</v>
      </c>
      <c r="B10213" s="330" t="s">
        <v>54569</v>
      </c>
      <c r="C10213" s="330" t="s">
        <v>22699</v>
      </c>
      <c r="D10213" s="330" t="s">
        <v>22700</v>
      </c>
      <c r="E10213" s="330" t="s">
        <v>4634</v>
      </c>
      <c r="F10213" s="331">
        <v>0.21</v>
      </c>
      <c r="G10213" s="332">
        <v>348</v>
      </c>
      <c r="H10213" s="333">
        <v>422</v>
      </c>
    </row>
    <row r="10214" spans="1:8">
      <c r="A10214" s="317">
        <v>2601322021</v>
      </c>
      <c r="B10214" s="330" t="s">
        <v>54570</v>
      </c>
      <c r="C10214" s="330" t="s">
        <v>22701</v>
      </c>
      <c r="D10214" s="330" t="s">
        <v>22702</v>
      </c>
      <c r="E10214" s="330" t="s">
        <v>37248</v>
      </c>
      <c r="F10214" s="331">
        <v>0.21</v>
      </c>
      <c r="G10214" s="332">
        <v>5949</v>
      </c>
      <c r="H10214" s="333">
        <v>7199</v>
      </c>
    </row>
    <row r="10215" spans="1:8">
      <c r="A10215" s="317">
        <v>2601322035</v>
      </c>
      <c r="B10215" s="330" t="s">
        <v>54571</v>
      </c>
      <c r="C10215" s="330" t="s">
        <v>22703</v>
      </c>
      <c r="D10215" s="330" t="s">
        <v>22704</v>
      </c>
      <c r="E10215" s="330" t="s">
        <v>4634</v>
      </c>
      <c r="F10215" s="331">
        <v>0.21</v>
      </c>
      <c r="G10215" s="332">
        <v>236</v>
      </c>
      <c r="H10215" s="333">
        <v>286</v>
      </c>
    </row>
    <row r="10216" spans="1:8">
      <c r="A10216" s="317">
        <v>2601322900</v>
      </c>
      <c r="B10216" s="330" t="s">
        <v>54572</v>
      </c>
      <c r="C10216" s="330" t="s">
        <v>22705</v>
      </c>
      <c r="D10216" s="330" t="s">
        <v>22706</v>
      </c>
      <c r="E10216" s="330" t="s">
        <v>4634</v>
      </c>
      <c r="F10216" s="331">
        <v>0.21</v>
      </c>
      <c r="G10216" s="332">
        <v>2330</v>
      </c>
      <c r="H10216" s="333">
        <v>2820</v>
      </c>
    </row>
    <row r="10217" spans="1:8">
      <c r="A10217" s="317">
        <v>2601322901</v>
      </c>
      <c r="B10217" s="330" t="s">
        <v>54573</v>
      </c>
      <c r="C10217" s="330" t="s">
        <v>22707</v>
      </c>
      <c r="D10217" s="330" t="s">
        <v>22708</v>
      </c>
      <c r="E10217" s="330" t="s">
        <v>4634</v>
      </c>
      <c r="F10217" s="331">
        <v>0.21</v>
      </c>
      <c r="G10217" s="332">
        <v>3524</v>
      </c>
      <c r="H10217" s="333">
        <v>4265</v>
      </c>
    </row>
    <row r="10218" spans="1:8">
      <c r="A10218" s="317">
        <v>2601323021</v>
      </c>
      <c r="B10218" s="330" t="s">
        <v>54574</v>
      </c>
      <c r="C10218" s="330" t="s">
        <v>22709</v>
      </c>
      <c r="D10218" s="330" t="s">
        <v>22710</v>
      </c>
      <c r="E10218" s="330" t="s">
        <v>4634</v>
      </c>
      <c r="F10218" s="331">
        <v>0.21</v>
      </c>
      <c r="G10218" s="332">
        <v>541</v>
      </c>
      <c r="H10218" s="333">
        <v>655</v>
      </c>
    </row>
    <row r="10219" spans="1:8">
      <c r="A10219" s="317">
        <v>2601324012</v>
      </c>
      <c r="B10219" s="330" t="s">
        <v>54575</v>
      </c>
      <c r="C10219" s="330" t="s">
        <v>22711</v>
      </c>
      <c r="D10219" s="330" t="s">
        <v>22637</v>
      </c>
      <c r="E10219" s="330" t="s">
        <v>4634</v>
      </c>
      <c r="F10219" s="331">
        <v>0.21</v>
      </c>
      <c r="G10219" s="332">
        <v>372</v>
      </c>
      <c r="H10219" s="333">
        <v>451</v>
      </c>
    </row>
    <row r="10220" spans="1:8">
      <c r="A10220" s="317">
        <v>2601324013</v>
      </c>
      <c r="B10220" s="330" t="s">
        <v>54576</v>
      </c>
      <c r="C10220" s="330" t="s">
        <v>22712</v>
      </c>
      <c r="D10220" s="330" t="s">
        <v>7991</v>
      </c>
      <c r="E10220" s="330" t="s">
        <v>4634</v>
      </c>
      <c r="F10220" s="331">
        <v>0.21</v>
      </c>
      <c r="G10220" s="332">
        <v>136</v>
      </c>
      <c r="H10220" s="333">
        <v>165</v>
      </c>
    </row>
    <row r="10221" spans="1:8">
      <c r="A10221" s="317">
        <v>2601324048</v>
      </c>
      <c r="B10221" s="330" t="s">
        <v>54577</v>
      </c>
      <c r="C10221" s="330" t="s">
        <v>22713</v>
      </c>
      <c r="D10221" s="330" t="s">
        <v>22714</v>
      </c>
      <c r="E10221" s="330" t="s">
        <v>4634</v>
      </c>
      <c r="F10221" s="331">
        <v>0.21</v>
      </c>
      <c r="G10221" s="332">
        <v>274</v>
      </c>
      <c r="H10221" s="333">
        <v>332</v>
      </c>
    </row>
    <row r="10222" spans="1:8">
      <c r="A10222" s="317">
        <v>2601328001</v>
      </c>
      <c r="B10222" s="330" t="s">
        <v>54578</v>
      </c>
      <c r="C10222" s="330" t="s">
        <v>22715</v>
      </c>
      <c r="D10222" s="330" t="s">
        <v>22716</v>
      </c>
      <c r="E10222" s="330" t="s">
        <v>4634</v>
      </c>
      <c r="F10222" s="331">
        <v>0.21</v>
      </c>
      <c r="G10222" s="332">
        <v>165</v>
      </c>
      <c r="H10222" s="333">
        <v>200</v>
      </c>
    </row>
    <row r="10223" spans="1:8">
      <c r="A10223" s="317">
        <v>2601328021</v>
      </c>
      <c r="B10223" s="330" t="s">
        <v>54579</v>
      </c>
      <c r="C10223" s="330" t="s">
        <v>22717</v>
      </c>
      <c r="D10223" s="330" t="s">
        <v>22718</v>
      </c>
      <c r="E10223" s="330" t="s">
        <v>4634</v>
      </c>
      <c r="F10223" s="331">
        <v>0.21</v>
      </c>
      <c r="G10223" s="332">
        <v>274</v>
      </c>
      <c r="H10223" s="333">
        <v>332</v>
      </c>
    </row>
    <row r="10224" spans="1:8">
      <c r="A10224" s="317">
        <v>2601328022</v>
      </c>
      <c r="B10224" s="330" t="s">
        <v>54580</v>
      </c>
      <c r="C10224" s="330" t="s">
        <v>22719</v>
      </c>
      <c r="D10224" s="330" t="s">
        <v>22718</v>
      </c>
      <c r="E10224" s="330" t="s">
        <v>4634</v>
      </c>
      <c r="F10224" s="331">
        <v>0.21</v>
      </c>
      <c r="G10224" s="332">
        <v>535</v>
      </c>
      <c r="H10224" s="333">
        <v>648</v>
      </c>
    </row>
    <row r="10225" spans="1:8">
      <c r="A10225" s="317">
        <v>2601328033</v>
      </c>
      <c r="B10225" s="330" t="s">
        <v>54581</v>
      </c>
      <c r="C10225" s="330" t="s">
        <v>22720</v>
      </c>
      <c r="D10225" s="330" t="s">
        <v>22721</v>
      </c>
      <c r="E10225" s="330" t="s">
        <v>4623</v>
      </c>
      <c r="F10225" s="331">
        <v>0.21</v>
      </c>
      <c r="G10225" s="332">
        <v>1780</v>
      </c>
      <c r="H10225" s="333">
        <v>2154</v>
      </c>
    </row>
    <row r="10226" spans="1:8">
      <c r="A10226" s="317">
        <v>2601328034</v>
      </c>
      <c r="B10226" s="330" t="s">
        <v>54582</v>
      </c>
      <c r="C10226" s="330" t="s">
        <v>22722</v>
      </c>
      <c r="D10226" s="330" t="s">
        <v>22723</v>
      </c>
      <c r="E10226" s="330" t="s">
        <v>4634</v>
      </c>
      <c r="F10226" s="331">
        <v>0.21</v>
      </c>
      <c r="G10226" s="332">
        <v>2596</v>
      </c>
      <c r="H10226" s="333">
        <v>3142</v>
      </c>
    </row>
    <row r="10227" spans="1:8">
      <c r="A10227" s="317">
        <v>2601328043</v>
      </c>
      <c r="B10227" s="330" t="s">
        <v>54583</v>
      </c>
      <c r="C10227" s="330" t="s">
        <v>22724</v>
      </c>
      <c r="D10227" s="330" t="s">
        <v>22725</v>
      </c>
      <c r="E10227" s="330" t="s">
        <v>4634</v>
      </c>
      <c r="F10227" s="331">
        <v>0.21</v>
      </c>
      <c r="G10227" s="332">
        <v>437</v>
      </c>
      <c r="H10227" s="333">
        <v>529</v>
      </c>
    </row>
    <row r="10228" spans="1:8">
      <c r="A10228" s="317">
        <v>2601328044</v>
      </c>
      <c r="B10228" s="330" t="s">
        <v>54584</v>
      </c>
      <c r="C10228" s="330" t="s">
        <v>22726</v>
      </c>
      <c r="D10228" s="330" t="s">
        <v>22727</v>
      </c>
      <c r="E10228" s="330" t="s">
        <v>4634</v>
      </c>
      <c r="F10228" s="331">
        <v>0.21</v>
      </c>
      <c r="G10228" s="332">
        <v>372</v>
      </c>
      <c r="H10228" s="333">
        <v>451</v>
      </c>
    </row>
    <row r="10229" spans="1:8">
      <c r="A10229" s="317">
        <v>2601328045</v>
      </c>
      <c r="B10229" s="330" t="s">
        <v>54585</v>
      </c>
      <c r="C10229" s="330" t="s">
        <v>22728</v>
      </c>
      <c r="D10229" s="330" t="s">
        <v>22729</v>
      </c>
      <c r="E10229" s="330" t="s">
        <v>4634</v>
      </c>
      <c r="F10229" s="331">
        <v>0.21</v>
      </c>
      <c r="G10229" s="332">
        <v>455</v>
      </c>
      <c r="H10229" s="333">
        <v>551</v>
      </c>
    </row>
    <row r="10230" spans="1:8">
      <c r="A10230" s="317">
        <v>2601328046</v>
      </c>
      <c r="B10230" s="330" t="s">
        <v>54586</v>
      </c>
      <c r="C10230" s="330" t="s">
        <v>22730</v>
      </c>
      <c r="D10230" s="330" t="s">
        <v>22731</v>
      </c>
      <c r="E10230" s="330" t="s">
        <v>4819</v>
      </c>
      <c r="F10230" s="331">
        <v>0.21</v>
      </c>
      <c r="G10230" s="332">
        <v>5208</v>
      </c>
      <c r="H10230" s="333">
        <v>6302</v>
      </c>
    </row>
    <row r="10231" spans="1:8">
      <c r="A10231" s="317">
        <v>2601328047</v>
      </c>
      <c r="B10231" s="330" t="s">
        <v>54587</v>
      </c>
      <c r="C10231" s="330" t="s">
        <v>22732</v>
      </c>
      <c r="D10231" s="330" t="s">
        <v>22733</v>
      </c>
      <c r="E10231" s="330" t="s">
        <v>37248</v>
      </c>
      <c r="F10231" s="331">
        <v>0.21</v>
      </c>
      <c r="G10231" s="332">
        <v>3468</v>
      </c>
      <c r="H10231" s="333">
        <v>4197</v>
      </c>
    </row>
    <row r="10232" spans="1:8">
      <c r="A10232" s="317">
        <v>2601328048</v>
      </c>
      <c r="B10232" s="330" t="s">
        <v>54588</v>
      </c>
      <c r="C10232" s="330" t="s">
        <v>22734</v>
      </c>
      <c r="D10232" s="330" t="s">
        <v>22735</v>
      </c>
      <c r="E10232" s="330" t="s">
        <v>4819</v>
      </c>
      <c r="F10232" s="331">
        <v>0.21</v>
      </c>
      <c r="G10232" s="332">
        <v>2478</v>
      </c>
      <c r="H10232" s="333">
        <v>2999</v>
      </c>
    </row>
    <row r="10233" spans="1:8">
      <c r="A10233" s="317">
        <v>2601328049</v>
      </c>
      <c r="B10233" s="330" t="s">
        <v>54589</v>
      </c>
      <c r="C10233" s="330" t="s">
        <v>22736</v>
      </c>
      <c r="D10233" s="330" t="s">
        <v>22735</v>
      </c>
      <c r="E10233" s="330" t="s">
        <v>4634</v>
      </c>
      <c r="F10233" s="331">
        <v>0.21</v>
      </c>
      <c r="G10233" s="332">
        <v>648</v>
      </c>
      <c r="H10233" s="333">
        <v>785</v>
      </c>
    </row>
    <row r="10234" spans="1:8">
      <c r="A10234" s="317">
        <v>2601328054</v>
      </c>
      <c r="B10234" s="330" t="s">
        <v>54590</v>
      </c>
      <c r="C10234" s="330" t="s">
        <v>22737</v>
      </c>
      <c r="D10234" s="330" t="s">
        <v>22738</v>
      </c>
      <c r="E10234" s="330" t="s">
        <v>4634</v>
      </c>
      <c r="F10234" s="331">
        <v>0.21</v>
      </c>
      <c r="G10234" s="332">
        <v>584</v>
      </c>
      <c r="H10234" s="333">
        <v>707</v>
      </c>
    </row>
    <row r="10235" spans="1:8">
      <c r="A10235" s="317">
        <v>2601328055</v>
      </c>
      <c r="B10235" s="330" t="s">
        <v>54591</v>
      </c>
      <c r="C10235" s="330" t="s">
        <v>22739</v>
      </c>
      <c r="D10235" s="330" t="s">
        <v>22740</v>
      </c>
      <c r="E10235" s="330" t="s">
        <v>4634</v>
      </c>
      <c r="F10235" s="331">
        <v>0.21</v>
      </c>
      <c r="G10235" s="332">
        <v>584</v>
      </c>
      <c r="H10235" s="333">
        <v>707</v>
      </c>
    </row>
    <row r="10236" spans="1:8">
      <c r="A10236" s="317">
        <v>2601328073</v>
      </c>
      <c r="B10236" s="330" t="s">
        <v>54592</v>
      </c>
      <c r="C10236" s="330" t="s">
        <v>22741</v>
      </c>
      <c r="D10236" s="330" t="s">
        <v>22742</v>
      </c>
      <c r="E10236" s="330" t="s">
        <v>4634</v>
      </c>
      <c r="F10236" s="331">
        <v>0.21</v>
      </c>
      <c r="G10236" s="332">
        <v>648</v>
      </c>
      <c r="H10236" s="333">
        <v>785</v>
      </c>
    </row>
    <row r="10237" spans="1:8">
      <c r="A10237" s="317">
        <v>2601328078</v>
      </c>
      <c r="B10237" s="330" t="s">
        <v>54593</v>
      </c>
      <c r="C10237" s="330" t="s">
        <v>22743</v>
      </c>
      <c r="D10237" s="330" t="s">
        <v>22744</v>
      </c>
      <c r="E10237" s="330" t="s">
        <v>4819</v>
      </c>
      <c r="F10237" s="331">
        <v>0.21</v>
      </c>
      <c r="G10237" s="332">
        <v>4474</v>
      </c>
      <c r="H10237" s="333">
        <v>5414</v>
      </c>
    </row>
    <row r="10238" spans="1:8">
      <c r="A10238" s="317">
        <v>2601328090</v>
      </c>
      <c r="B10238" s="330" t="s">
        <v>54594</v>
      </c>
      <c r="C10238" s="330" t="s">
        <v>22745</v>
      </c>
      <c r="D10238" s="330" t="s">
        <v>22746</v>
      </c>
      <c r="E10238" s="330" t="s">
        <v>37248</v>
      </c>
      <c r="F10238" s="331">
        <v>0.21</v>
      </c>
      <c r="G10238" s="332">
        <v>6435</v>
      </c>
      <c r="H10238" s="333">
        <v>7787</v>
      </c>
    </row>
    <row r="10239" spans="1:8">
      <c r="A10239" s="317">
        <v>2601328091</v>
      </c>
      <c r="B10239" s="330" t="s">
        <v>54595</v>
      </c>
      <c r="C10239" s="330" t="s">
        <v>22747</v>
      </c>
      <c r="D10239" s="330" t="s">
        <v>22746</v>
      </c>
      <c r="E10239" s="330" t="s">
        <v>37248</v>
      </c>
      <c r="F10239" s="331">
        <v>0.21</v>
      </c>
      <c r="G10239" s="332">
        <v>6116</v>
      </c>
      <c r="H10239" s="333">
        <v>7401</v>
      </c>
    </row>
    <row r="10240" spans="1:8">
      <c r="A10240" s="317">
        <v>2601328092</v>
      </c>
      <c r="B10240" s="330" t="s">
        <v>54596</v>
      </c>
      <c r="C10240" s="330" t="s">
        <v>22748</v>
      </c>
      <c r="D10240" s="330" t="s">
        <v>22749</v>
      </c>
      <c r="E10240" s="330" t="s">
        <v>37248</v>
      </c>
      <c r="F10240" s="331">
        <v>0.21</v>
      </c>
      <c r="G10240" s="332">
        <v>4972</v>
      </c>
      <c r="H10240" s="333">
        <v>6017</v>
      </c>
    </row>
    <row r="10241" spans="1:8">
      <c r="A10241" s="317">
        <v>2601328900</v>
      </c>
      <c r="B10241" s="330" t="s">
        <v>54597</v>
      </c>
      <c r="C10241" s="330" t="s">
        <v>22750</v>
      </c>
      <c r="D10241" s="330" t="s">
        <v>22751</v>
      </c>
      <c r="E10241" s="330" t="s">
        <v>4819</v>
      </c>
      <c r="F10241" s="331">
        <v>0.21</v>
      </c>
      <c r="G10241" s="332">
        <v>4814</v>
      </c>
      <c r="H10241" s="333">
        <v>5825</v>
      </c>
    </row>
    <row r="10242" spans="1:8">
      <c r="A10242" s="317">
        <v>2601328901</v>
      </c>
      <c r="B10242" s="330" t="s">
        <v>54598</v>
      </c>
      <c r="C10242" s="330" t="s">
        <v>22752</v>
      </c>
      <c r="D10242" s="330" t="s">
        <v>22753</v>
      </c>
      <c r="E10242" s="330" t="s">
        <v>4634</v>
      </c>
      <c r="F10242" s="331">
        <v>0.21</v>
      </c>
      <c r="G10242" s="332">
        <v>1759</v>
      </c>
      <c r="H10242" s="333">
        <v>2129</v>
      </c>
    </row>
    <row r="10243" spans="1:8">
      <c r="A10243" s="317">
        <v>2601329009</v>
      </c>
      <c r="B10243" s="330" t="s">
        <v>54599</v>
      </c>
      <c r="C10243" s="330" t="s">
        <v>22754</v>
      </c>
      <c r="D10243" s="330" t="s">
        <v>22755</v>
      </c>
      <c r="E10243" s="330" t="s">
        <v>4634</v>
      </c>
      <c r="F10243" s="331">
        <v>0.21</v>
      </c>
      <c r="G10243" s="332">
        <v>309</v>
      </c>
      <c r="H10243" s="333">
        <v>374</v>
      </c>
    </row>
    <row r="10244" spans="1:8">
      <c r="A10244" s="317">
        <v>2601329037</v>
      </c>
      <c r="B10244" s="330" t="s">
        <v>54600</v>
      </c>
      <c r="C10244" s="330" t="s">
        <v>22756</v>
      </c>
      <c r="D10244" s="330" t="s">
        <v>22757</v>
      </c>
      <c r="E10244" s="330" t="s">
        <v>4634</v>
      </c>
      <c r="F10244" s="331">
        <v>0.21</v>
      </c>
      <c r="G10244" s="332">
        <v>372</v>
      </c>
      <c r="H10244" s="333">
        <v>451</v>
      </c>
    </row>
    <row r="10245" spans="1:8">
      <c r="A10245" s="317">
        <v>2601329041</v>
      </c>
      <c r="B10245" s="330" t="s">
        <v>54601</v>
      </c>
      <c r="C10245" s="330" t="s">
        <v>22758</v>
      </c>
      <c r="D10245" s="330" t="s">
        <v>22759</v>
      </c>
      <c r="E10245" s="330" t="s">
        <v>4634</v>
      </c>
      <c r="F10245" s="331">
        <v>0.21</v>
      </c>
      <c r="G10245" s="332">
        <v>348</v>
      </c>
      <c r="H10245" s="333">
        <v>422</v>
      </c>
    </row>
    <row r="10246" spans="1:8">
      <c r="A10246" s="317">
        <v>2601329043</v>
      </c>
      <c r="B10246" s="330" t="s">
        <v>54602</v>
      </c>
      <c r="C10246" s="330" t="s">
        <v>22760</v>
      </c>
      <c r="D10246" s="330" t="s">
        <v>22761</v>
      </c>
      <c r="E10246" s="330" t="s">
        <v>4634</v>
      </c>
      <c r="F10246" s="331">
        <v>0.21</v>
      </c>
      <c r="G10246" s="332">
        <v>153</v>
      </c>
      <c r="H10246" s="333">
        <v>186</v>
      </c>
    </row>
    <row r="10247" spans="1:8">
      <c r="A10247" s="317">
        <v>2601329045</v>
      </c>
      <c r="B10247" s="330" t="s">
        <v>54603</v>
      </c>
      <c r="C10247" s="330" t="s">
        <v>22762</v>
      </c>
      <c r="D10247" s="330" t="s">
        <v>22763</v>
      </c>
      <c r="E10247" s="330" t="s">
        <v>4634</v>
      </c>
      <c r="F10247" s="331">
        <v>0.21</v>
      </c>
      <c r="G10247" s="332">
        <v>4423</v>
      </c>
      <c r="H10247" s="333">
        <v>5352</v>
      </c>
    </row>
    <row r="10248" spans="1:8">
      <c r="A10248" s="317">
        <v>2601329051</v>
      </c>
      <c r="B10248" s="330" t="s">
        <v>54604</v>
      </c>
      <c r="C10248" s="330" t="s">
        <v>22764</v>
      </c>
      <c r="D10248" s="330" t="s">
        <v>22765</v>
      </c>
      <c r="E10248" s="330" t="s">
        <v>4634</v>
      </c>
      <c r="F10248" s="331">
        <v>0.21</v>
      </c>
      <c r="G10248" s="332">
        <v>377</v>
      </c>
      <c r="H10248" s="333">
        <v>457</v>
      </c>
    </row>
    <row r="10249" spans="1:8">
      <c r="A10249" s="317">
        <v>2601329053</v>
      </c>
      <c r="B10249" s="330" t="s">
        <v>54605</v>
      </c>
      <c r="C10249" s="330" t="s">
        <v>22766</v>
      </c>
      <c r="D10249" s="330" t="s">
        <v>22767</v>
      </c>
      <c r="E10249" s="330" t="s">
        <v>4634</v>
      </c>
      <c r="F10249" s="331">
        <v>0.21</v>
      </c>
      <c r="G10249" s="332">
        <v>348</v>
      </c>
      <c r="H10249" s="333">
        <v>422</v>
      </c>
    </row>
    <row r="10250" spans="1:8">
      <c r="A10250" s="317">
        <v>2601329055</v>
      </c>
      <c r="B10250" s="330" t="s">
        <v>54606</v>
      </c>
      <c r="C10250" s="330" t="s">
        <v>22768</v>
      </c>
      <c r="D10250" s="330" t="s">
        <v>22769</v>
      </c>
      <c r="E10250" s="330" t="s">
        <v>4634</v>
      </c>
      <c r="F10250" s="331">
        <v>0.21</v>
      </c>
      <c r="G10250" s="332">
        <v>791</v>
      </c>
      <c r="H10250" s="333">
        <v>958</v>
      </c>
    </row>
    <row r="10251" spans="1:8">
      <c r="A10251" s="317">
        <v>2601329057</v>
      </c>
      <c r="B10251" s="330" t="s">
        <v>54607</v>
      </c>
      <c r="C10251" s="330" t="s">
        <v>22770</v>
      </c>
      <c r="D10251" s="330" t="s">
        <v>22771</v>
      </c>
      <c r="E10251" s="330" t="s">
        <v>4634</v>
      </c>
      <c r="F10251" s="331">
        <v>0.21</v>
      </c>
      <c r="G10251" s="332">
        <v>372</v>
      </c>
      <c r="H10251" s="333">
        <v>451</v>
      </c>
    </row>
    <row r="10252" spans="1:8">
      <c r="A10252" s="317">
        <v>2601329074</v>
      </c>
      <c r="B10252" s="330" t="s">
        <v>54608</v>
      </c>
      <c r="C10252" s="330" t="s">
        <v>22772</v>
      </c>
      <c r="D10252" s="330" t="s">
        <v>22773</v>
      </c>
      <c r="E10252" s="330" t="s">
        <v>4634</v>
      </c>
      <c r="F10252" s="331">
        <v>0.21</v>
      </c>
      <c r="G10252" s="332">
        <v>584</v>
      </c>
      <c r="H10252" s="333">
        <v>707</v>
      </c>
    </row>
    <row r="10253" spans="1:8">
      <c r="A10253" s="317">
        <v>2601329097</v>
      </c>
      <c r="B10253" s="330" t="s">
        <v>54609</v>
      </c>
      <c r="C10253" s="330" t="s">
        <v>22774</v>
      </c>
      <c r="D10253" s="330" t="s">
        <v>22775</v>
      </c>
      <c r="E10253" s="330" t="s">
        <v>37248</v>
      </c>
      <c r="F10253" s="331">
        <v>0.21</v>
      </c>
      <c r="G10253" s="332">
        <v>3912</v>
      </c>
      <c r="H10253" s="333">
        <v>4734</v>
      </c>
    </row>
    <row r="10254" spans="1:8">
      <c r="A10254" s="317">
        <v>2601329104</v>
      </c>
      <c r="B10254" s="330" t="s">
        <v>54610</v>
      </c>
      <c r="C10254" s="330" t="s">
        <v>22776</v>
      </c>
      <c r="D10254" s="330" t="s">
        <v>22777</v>
      </c>
      <c r="E10254" s="330" t="s">
        <v>37248</v>
      </c>
      <c r="F10254" s="331">
        <v>0.21</v>
      </c>
      <c r="G10254" s="332">
        <v>3468</v>
      </c>
      <c r="H10254" s="333">
        <v>4197</v>
      </c>
    </row>
    <row r="10255" spans="1:8">
      <c r="A10255" s="317">
        <v>2601329110</v>
      </c>
      <c r="B10255" s="330" t="s">
        <v>54611</v>
      </c>
      <c r="C10255" s="330" t="s">
        <v>22778</v>
      </c>
      <c r="D10255" s="330" t="s">
        <v>22779</v>
      </c>
      <c r="E10255" s="330" t="s">
        <v>4634</v>
      </c>
      <c r="F10255" s="331">
        <v>0.21</v>
      </c>
      <c r="G10255" s="332">
        <v>274</v>
      </c>
      <c r="H10255" s="333">
        <v>332</v>
      </c>
    </row>
    <row r="10256" spans="1:8">
      <c r="A10256" s="317">
        <v>2601329113</v>
      </c>
      <c r="B10256" s="330" t="s">
        <v>54612</v>
      </c>
      <c r="C10256" s="330" t="s">
        <v>22780</v>
      </c>
      <c r="D10256" s="330" t="s">
        <v>22781</v>
      </c>
      <c r="E10256" s="330" t="s">
        <v>37248</v>
      </c>
      <c r="F10256" s="331">
        <v>0.21</v>
      </c>
      <c r="G10256" s="332">
        <v>5248</v>
      </c>
      <c r="H10256" s="333">
        <v>6351</v>
      </c>
    </row>
    <row r="10257" spans="1:8">
      <c r="A10257" s="317">
        <v>2601329127</v>
      </c>
      <c r="B10257" s="330" t="s">
        <v>54613</v>
      </c>
      <c r="C10257" s="330" t="s">
        <v>22782</v>
      </c>
      <c r="D10257" s="330" t="s">
        <v>22783</v>
      </c>
      <c r="E10257" s="330" t="s">
        <v>4819</v>
      </c>
      <c r="F10257" s="331">
        <v>0.21</v>
      </c>
      <c r="G10257" s="332">
        <v>4240</v>
      </c>
      <c r="H10257" s="333">
        <v>5131</v>
      </c>
    </row>
    <row r="10258" spans="1:8">
      <c r="A10258" s="317">
        <v>2601329900</v>
      </c>
      <c r="B10258" s="330" t="s">
        <v>54614</v>
      </c>
      <c r="C10258" s="330" t="s">
        <v>22784</v>
      </c>
      <c r="D10258" s="330" t="s">
        <v>22785</v>
      </c>
      <c r="E10258" s="330" t="s">
        <v>4634</v>
      </c>
      <c r="F10258" s="331">
        <v>0.21</v>
      </c>
      <c r="G10258" s="332">
        <v>8336</v>
      </c>
      <c r="H10258" s="333">
        <v>10087</v>
      </c>
    </row>
    <row r="10259" spans="1:8">
      <c r="A10259" s="317">
        <v>2601330002</v>
      </c>
      <c r="B10259" s="330" t="s">
        <v>54615</v>
      </c>
      <c r="C10259" s="330" t="s">
        <v>22786</v>
      </c>
      <c r="D10259" s="330" t="s">
        <v>22787</v>
      </c>
      <c r="E10259" s="330" t="s">
        <v>4634</v>
      </c>
      <c r="F10259" s="331">
        <v>0.21</v>
      </c>
      <c r="G10259" s="332">
        <v>372</v>
      </c>
      <c r="H10259" s="333">
        <v>451</v>
      </c>
    </row>
    <row r="10260" spans="1:8">
      <c r="A10260" s="317">
        <v>2601331005</v>
      </c>
      <c r="B10260" s="330" t="s">
        <v>54616</v>
      </c>
      <c r="C10260" s="330" t="s">
        <v>22788</v>
      </c>
      <c r="D10260" s="330" t="s">
        <v>8281</v>
      </c>
      <c r="E10260" s="330" t="s">
        <v>4634</v>
      </c>
      <c r="F10260" s="331">
        <v>0.21</v>
      </c>
      <c r="G10260" s="332">
        <v>564</v>
      </c>
      <c r="H10260" s="333">
        <v>683</v>
      </c>
    </row>
    <row r="10261" spans="1:8">
      <c r="A10261" s="317">
        <v>2601332005</v>
      </c>
      <c r="B10261" s="330" t="s">
        <v>54617</v>
      </c>
      <c r="C10261" s="330" t="s">
        <v>22789</v>
      </c>
      <c r="D10261" s="330" t="s">
        <v>22790</v>
      </c>
      <c r="E10261" s="330" t="s">
        <v>4634</v>
      </c>
      <c r="F10261" s="331">
        <v>0.21</v>
      </c>
      <c r="G10261" s="332">
        <v>58</v>
      </c>
      <c r="H10261" s="333">
        <v>71</v>
      </c>
    </row>
    <row r="10262" spans="1:8">
      <c r="A10262" s="317">
        <v>2601334002</v>
      </c>
      <c r="B10262" s="330" t="s">
        <v>54618</v>
      </c>
      <c r="C10262" s="330" t="s">
        <v>22791</v>
      </c>
      <c r="D10262" s="330" t="s">
        <v>22792</v>
      </c>
      <c r="E10262" s="330" t="s">
        <v>4634</v>
      </c>
      <c r="F10262" s="331">
        <v>0.21</v>
      </c>
      <c r="G10262" s="332">
        <v>348</v>
      </c>
      <c r="H10262" s="333">
        <v>422</v>
      </c>
    </row>
    <row r="10263" spans="1:8">
      <c r="A10263" s="317">
        <v>2601334006</v>
      </c>
      <c r="B10263" s="330" t="s">
        <v>54619</v>
      </c>
      <c r="C10263" s="330" t="s">
        <v>22793</v>
      </c>
      <c r="D10263" s="330" t="s">
        <v>22794</v>
      </c>
      <c r="E10263" s="330" t="s">
        <v>4634</v>
      </c>
      <c r="F10263" s="331">
        <v>0.21</v>
      </c>
      <c r="G10263" s="332">
        <v>584</v>
      </c>
      <c r="H10263" s="333">
        <v>707</v>
      </c>
    </row>
    <row r="10264" spans="1:8">
      <c r="A10264" s="317">
        <v>2601334009</v>
      </c>
      <c r="B10264" s="330" t="s">
        <v>54620</v>
      </c>
      <c r="C10264" s="330" t="s">
        <v>22795</v>
      </c>
      <c r="D10264" s="330" t="s">
        <v>22796</v>
      </c>
      <c r="E10264" s="330" t="s">
        <v>4634</v>
      </c>
      <c r="F10264" s="331">
        <v>0.21</v>
      </c>
      <c r="G10264" s="332">
        <v>387</v>
      </c>
      <c r="H10264" s="333">
        <v>469</v>
      </c>
    </row>
    <row r="10265" spans="1:8">
      <c r="A10265" s="317">
        <v>2601334011</v>
      </c>
      <c r="B10265" s="330" t="s">
        <v>54621</v>
      </c>
      <c r="C10265" s="330" t="s">
        <v>22797</v>
      </c>
      <c r="D10265" s="330" t="s">
        <v>22798</v>
      </c>
      <c r="E10265" s="330" t="s">
        <v>4634</v>
      </c>
      <c r="F10265" s="331">
        <v>0.21</v>
      </c>
      <c r="G10265" s="332">
        <v>455</v>
      </c>
      <c r="H10265" s="333">
        <v>551</v>
      </c>
    </row>
    <row r="10266" spans="1:8">
      <c r="A10266" s="317">
        <v>2601334012</v>
      </c>
      <c r="B10266" s="330" t="s">
        <v>54622</v>
      </c>
      <c r="C10266" s="330" t="s">
        <v>22799</v>
      </c>
      <c r="D10266" s="330" t="s">
        <v>22800</v>
      </c>
      <c r="E10266" s="330" t="s">
        <v>4634</v>
      </c>
      <c r="F10266" s="331">
        <v>0.21</v>
      </c>
      <c r="G10266" s="332">
        <v>348</v>
      </c>
      <c r="H10266" s="333">
        <v>422</v>
      </c>
    </row>
    <row r="10267" spans="1:8">
      <c r="A10267" s="317">
        <v>2601389900</v>
      </c>
      <c r="B10267" s="330" t="s">
        <v>54623</v>
      </c>
      <c r="C10267" s="330" t="s">
        <v>22801</v>
      </c>
      <c r="D10267" s="330" t="s">
        <v>22802</v>
      </c>
      <c r="E10267" s="330" t="s">
        <v>4634</v>
      </c>
      <c r="F10267" s="331">
        <v>0.21</v>
      </c>
      <c r="G10267" s="332">
        <v>8336</v>
      </c>
      <c r="H10267" s="333">
        <v>10087</v>
      </c>
    </row>
    <row r="10268" spans="1:8">
      <c r="A10268" s="317">
        <v>2601901006</v>
      </c>
      <c r="B10268" s="330" t="s">
        <v>54624</v>
      </c>
      <c r="C10268" s="330" t="s">
        <v>22803</v>
      </c>
      <c r="D10268" s="330" t="s">
        <v>22804</v>
      </c>
      <c r="E10268" s="330" t="s">
        <v>4634</v>
      </c>
      <c r="F10268" s="331">
        <v>0.21</v>
      </c>
      <c r="G10268" s="332">
        <v>791</v>
      </c>
      <c r="H10268" s="333">
        <v>958</v>
      </c>
    </row>
    <row r="10269" spans="1:8">
      <c r="A10269" s="317">
        <v>2601923000</v>
      </c>
      <c r="B10269" s="330" t="s">
        <v>54625</v>
      </c>
      <c r="C10269" s="330" t="s">
        <v>22805</v>
      </c>
      <c r="D10269" s="330" t="s">
        <v>22806</v>
      </c>
      <c r="E10269" s="330" t="s">
        <v>4634</v>
      </c>
      <c r="F10269" s="331">
        <v>0.21</v>
      </c>
      <c r="G10269" s="332">
        <v>37</v>
      </c>
      <c r="H10269" s="333">
        <v>45</v>
      </c>
    </row>
    <row r="10270" spans="1:8">
      <c r="A10270" s="317">
        <v>2601923003</v>
      </c>
      <c r="B10270" s="330" t="s">
        <v>54626</v>
      </c>
      <c r="C10270" s="330" t="s">
        <v>22807</v>
      </c>
      <c r="D10270" s="330" t="s">
        <v>22808</v>
      </c>
      <c r="E10270" s="330" t="s">
        <v>4634</v>
      </c>
      <c r="F10270" s="331">
        <v>0.21</v>
      </c>
      <c r="G10270" s="332">
        <v>564</v>
      </c>
      <c r="H10270" s="333">
        <v>683</v>
      </c>
    </row>
    <row r="10271" spans="1:8">
      <c r="A10271" s="317">
        <v>2601923004</v>
      </c>
      <c r="B10271" s="330" t="s">
        <v>54627</v>
      </c>
      <c r="C10271" s="330" t="s">
        <v>22809</v>
      </c>
      <c r="D10271" s="330" t="s">
        <v>22810</v>
      </c>
      <c r="E10271" s="330" t="s">
        <v>37248</v>
      </c>
      <c r="F10271" s="331">
        <v>0.21</v>
      </c>
      <c r="G10271" s="332">
        <v>4240</v>
      </c>
      <c r="H10271" s="333">
        <v>5131</v>
      </c>
    </row>
    <row r="10272" spans="1:8">
      <c r="A10272" s="317">
        <v>2601923006</v>
      </c>
      <c r="B10272" s="330" t="s">
        <v>54628</v>
      </c>
      <c r="C10272" s="330" t="s">
        <v>22811</v>
      </c>
      <c r="D10272" s="330" t="s">
        <v>22812</v>
      </c>
      <c r="E10272" s="330" t="s">
        <v>4634</v>
      </c>
      <c r="F10272" s="331">
        <v>0.21</v>
      </c>
      <c r="G10272" s="332">
        <v>1030</v>
      </c>
      <c r="H10272" s="333">
        <v>1247</v>
      </c>
    </row>
    <row r="10273" spans="1:8">
      <c r="A10273" s="317">
        <v>2601923010</v>
      </c>
      <c r="B10273" s="330" t="s">
        <v>54629</v>
      </c>
      <c r="C10273" s="330" t="s">
        <v>22813</v>
      </c>
      <c r="D10273" s="330" t="s">
        <v>22814</v>
      </c>
      <c r="E10273" s="330" t="s">
        <v>4634</v>
      </c>
      <c r="F10273" s="331">
        <v>0.21</v>
      </c>
      <c r="G10273" s="332">
        <v>928</v>
      </c>
      <c r="H10273" s="333">
        <v>1123</v>
      </c>
    </row>
    <row r="10274" spans="1:8">
      <c r="A10274" s="317">
        <v>2601923011</v>
      </c>
      <c r="B10274" s="330" t="s">
        <v>54630</v>
      </c>
      <c r="C10274" s="330" t="s">
        <v>22815</v>
      </c>
      <c r="D10274" s="330" t="s">
        <v>22816</v>
      </c>
      <c r="E10274" s="330" t="s">
        <v>4634</v>
      </c>
      <c r="F10274" s="331">
        <v>0.21</v>
      </c>
      <c r="G10274" s="332">
        <v>1547</v>
      </c>
      <c r="H10274" s="333">
        <v>1872</v>
      </c>
    </row>
    <row r="10275" spans="1:8">
      <c r="A10275" s="317">
        <v>2601923012</v>
      </c>
      <c r="B10275" s="330" t="s">
        <v>54631</v>
      </c>
      <c r="C10275" s="330" t="s">
        <v>22817</v>
      </c>
      <c r="D10275" s="330" t="s">
        <v>22818</v>
      </c>
      <c r="E10275" s="330" t="s">
        <v>4819</v>
      </c>
      <c r="F10275" s="331">
        <v>0.21</v>
      </c>
      <c r="G10275" s="332">
        <v>4932</v>
      </c>
      <c r="H10275" s="333">
        <v>5968</v>
      </c>
    </row>
    <row r="10276" spans="1:8">
      <c r="A10276" s="317">
        <v>2601923015</v>
      </c>
      <c r="B10276" s="330" t="s">
        <v>54632</v>
      </c>
      <c r="C10276" s="330" t="s">
        <v>22819</v>
      </c>
      <c r="D10276" s="330" t="s">
        <v>22820</v>
      </c>
      <c r="E10276" s="330" t="s">
        <v>4819</v>
      </c>
      <c r="F10276" s="331">
        <v>0.21</v>
      </c>
      <c r="G10276" s="332">
        <v>3828</v>
      </c>
      <c r="H10276" s="333">
        <v>4632</v>
      </c>
    </row>
    <row r="10277" spans="1:8">
      <c r="A10277" s="317">
        <v>2601990000</v>
      </c>
      <c r="B10277" s="330" t="s">
        <v>54633</v>
      </c>
      <c r="C10277" s="330" t="s">
        <v>22821</v>
      </c>
      <c r="D10277" s="330" t="s">
        <v>22822</v>
      </c>
      <c r="E10277" s="330" t="s">
        <v>4634</v>
      </c>
      <c r="F10277" s="331">
        <v>0.21</v>
      </c>
      <c r="G10277" s="332">
        <v>372</v>
      </c>
      <c r="H10277" s="333">
        <v>451</v>
      </c>
    </row>
    <row r="10278" spans="1:8">
      <c r="A10278" s="317">
        <v>2601990001</v>
      </c>
      <c r="B10278" s="330" t="s">
        <v>54634</v>
      </c>
      <c r="C10278" s="330" t="s">
        <v>22823</v>
      </c>
      <c r="D10278" s="330" t="s">
        <v>22824</v>
      </c>
      <c r="E10278" s="330" t="s">
        <v>4634</v>
      </c>
      <c r="F10278" s="331">
        <v>0.21</v>
      </c>
      <c r="G10278" s="332">
        <v>372</v>
      </c>
      <c r="H10278" s="333">
        <v>451</v>
      </c>
    </row>
    <row r="10279" spans="1:8">
      <c r="A10279" s="317">
        <v>2601990003</v>
      </c>
      <c r="B10279" s="330" t="s">
        <v>54635</v>
      </c>
      <c r="C10279" s="330" t="s">
        <v>22825</v>
      </c>
      <c r="D10279" s="330" t="s">
        <v>22826</v>
      </c>
      <c r="E10279" s="330" t="s">
        <v>4634</v>
      </c>
      <c r="F10279" s="331">
        <v>0.21</v>
      </c>
      <c r="G10279" s="332">
        <v>58</v>
      </c>
      <c r="H10279" s="333">
        <v>71</v>
      </c>
    </row>
    <row r="10280" spans="1:8">
      <c r="A10280" s="317">
        <v>2601990010</v>
      </c>
      <c r="B10280" s="330" t="s">
        <v>54636</v>
      </c>
      <c r="C10280" s="330" t="s">
        <v>22827</v>
      </c>
      <c r="D10280" s="330" t="s">
        <v>22828</v>
      </c>
      <c r="E10280" s="330" t="s">
        <v>4623</v>
      </c>
      <c r="F10280" s="331">
        <v>0.21</v>
      </c>
      <c r="G10280" s="332">
        <v>2041</v>
      </c>
      <c r="H10280" s="333">
        <v>2470</v>
      </c>
    </row>
    <row r="10281" spans="1:8">
      <c r="A10281" s="317">
        <v>2601990011</v>
      </c>
      <c r="B10281" s="330" t="s">
        <v>54637</v>
      </c>
      <c r="C10281" s="330" t="s">
        <v>22829</v>
      </c>
      <c r="D10281" s="330" t="s">
        <v>22830</v>
      </c>
      <c r="E10281" s="330" t="s">
        <v>4634</v>
      </c>
      <c r="F10281" s="331">
        <v>0.21</v>
      </c>
      <c r="G10281" s="332">
        <v>791</v>
      </c>
      <c r="H10281" s="333">
        <v>958</v>
      </c>
    </row>
    <row r="10282" spans="1:8">
      <c r="A10282" s="317">
        <v>2601990018</v>
      </c>
      <c r="B10282" s="330" t="s">
        <v>54638</v>
      </c>
      <c r="C10282" s="330" t="s">
        <v>22831</v>
      </c>
      <c r="D10282" s="330" t="s">
        <v>22832</v>
      </c>
      <c r="E10282" s="330" t="s">
        <v>4634</v>
      </c>
      <c r="F10282" s="331">
        <v>0.21</v>
      </c>
      <c r="G10282" s="332">
        <v>348</v>
      </c>
      <c r="H10282" s="333">
        <v>422</v>
      </c>
    </row>
    <row r="10283" spans="1:8">
      <c r="A10283" s="317">
        <v>2601990027</v>
      </c>
      <c r="B10283" s="330" t="s">
        <v>54639</v>
      </c>
      <c r="C10283" s="330" t="s">
        <v>22833</v>
      </c>
      <c r="D10283" s="330" t="s">
        <v>22834</v>
      </c>
      <c r="E10283" s="330" t="s">
        <v>4634</v>
      </c>
      <c r="F10283" s="331">
        <v>0.21</v>
      </c>
      <c r="G10283" s="332">
        <v>387</v>
      </c>
      <c r="H10283" s="333">
        <v>469</v>
      </c>
    </row>
    <row r="10284" spans="1:8">
      <c r="A10284" s="317">
        <v>2601990029</v>
      </c>
      <c r="B10284" s="330" t="s">
        <v>54640</v>
      </c>
      <c r="C10284" s="330" t="s">
        <v>22835</v>
      </c>
      <c r="D10284" s="330" t="s">
        <v>22836</v>
      </c>
      <c r="E10284" s="330" t="s">
        <v>4634</v>
      </c>
      <c r="F10284" s="331">
        <v>0.21</v>
      </c>
      <c r="G10284" s="332">
        <v>1090</v>
      </c>
      <c r="H10284" s="333">
        <v>1319</v>
      </c>
    </row>
    <row r="10285" spans="1:8">
      <c r="A10285" s="317">
        <v>2601990056</v>
      </c>
      <c r="B10285" s="330" t="s">
        <v>54641</v>
      </c>
      <c r="C10285" s="330" t="s">
        <v>22837</v>
      </c>
      <c r="D10285" s="330" t="s">
        <v>21286</v>
      </c>
      <c r="E10285" s="330" t="s">
        <v>37248</v>
      </c>
      <c r="F10285" s="331">
        <v>0.21</v>
      </c>
      <c r="G10285" s="332">
        <v>4305</v>
      </c>
      <c r="H10285" s="333">
        <v>5210</v>
      </c>
    </row>
    <row r="10286" spans="1:8">
      <c r="A10286" s="317">
        <v>2601990900</v>
      </c>
      <c r="B10286" s="330" t="s">
        <v>54642</v>
      </c>
      <c r="C10286" s="330" t="s">
        <v>22838</v>
      </c>
      <c r="D10286" s="330" t="s">
        <v>22839</v>
      </c>
      <c r="E10286" s="330" t="s">
        <v>4634</v>
      </c>
      <c r="F10286" s="331">
        <v>0.21</v>
      </c>
      <c r="G10286" s="332">
        <v>1170</v>
      </c>
      <c r="H10286" s="333">
        <v>1416</v>
      </c>
    </row>
    <row r="10287" spans="1:8">
      <c r="A10287" s="317">
        <v>2601990901</v>
      </c>
      <c r="B10287" s="330" t="s">
        <v>54643</v>
      </c>
      <c r="C10287" s="330" t="s">
        <v>22840</v>
      </c>
      <c r="D10287" s="330" t="s">
        <v>22839</v>
      </c>
      <c r="E10287" s="330" t="s">
        <v>4634</v>
      </c>
      <c r="F10287" s="331">
        <v>0.21</v>
      </c>
      <c r="G10287" s="332">
        <v>1030</v>
      </c>
      <c r="H10287" s="333">
        <v>1247</v>
      </c>
    </row>
    <row r="10288" spans="1:8">
      <c r="A10288" s="317">
        <v>2601990902</v>
      </c>
      <c r="B10288" s="330" t="s">
        <v>54644</v>
      </c>
      <c r="C10288" s="330" t="s">
        <v>22841</v>
      </c>
      <c r="D10288" s="330" t="s">
        <v>22842</v>
      </c>
      <c r="E10288" s="330" t="s">
        <v>4634</v>
      </c>
      <c r="F10288" s="331">
        <v>0.21</v>
      </c>
      <c r="G10288" s="332">
        <v>678</v>
      </c>
      <c r="H10288" s="333">
        <v>821</v>
      </c>
    </row>
    <row r="10289" spans="1:8">
      <c r="A10289" s="317">
        <v>2601990903</v>
      </c>
      <c r="B10289" s="330" t="s">
        <v>54645</v>
      </c>
      <c r="C10289" s="330" t="s">
        <v>22843</v>
      </c>
      <c r="D10289" s="330" t="s">
        <v>22844</v>
      </c>
      <c r="E10289" s="330" t="s">
        <v>4634</v>
      </c>
      <c r="F10289" s="331">
        <v>0.21</v>
      </c>
      <c r="G10289" s="332">
        <v>5844</v>
      </c>
      <c r="H10289" s="333">
        <v>7072</v>
      </c>
    </row>
    <row r="10290" spans="1:8">
      <c r="A10290" s="317">
        <v>2601990906</v>
      </c>
      <c r="B10290" s="330" t="s">
        <v>54646</v>
      </c>
      <c r="C10290" s="330" t="s">
        <v>22845</v>
      </c>
      <c r="D10290" s="330" t="s">
        <v>22846</v>
      </c>
      <c r="E10290" s="330" t="s">
        <v>4634</v>
      </c>
      <c r="F10290" s="331">
        <v>0.21</v>
      </c>
      <c r="G10290" s="332">
        <v>2968</v>
      </c>
      <c r="H10290" s="333">
        <v>3592</v>
      </c>
    </row>
    <row r="10291" spans="1:8">
      <c r="A10291" s="317">
        <v>2601990907</v>
      </c>
      <c r="B10291" s="330" t="s">
        <v>54647</v>
      </c>
      <c r="C10291" s="330" t="s">
        <v>22847</v>
      </c>
      <c r="D10291" s="330" t="s">
        <v>22848</v>
      </c>
      <c r="E10291" s="330" t="s">
        <v>4634</v>
      </c>
      <c r="F10291" s="331">
        <v>0.21</v>
      </c>
      <c r="G10291" s="332">
        <v>2707</v>
      </c>
      <c r="H10291" s="333">
        <v>3276</v>
      </c>
    </row>
    <row r="10292" spans="1:8">
      <c r="A10292" s="317">
        <v>2601990911</v>
      </c>
      <c r="B10292" s="330" t="s">
        <v>54648</v>
      </c>
      <c r="C10292" s="330" t="s">
        <v>22849</v>
      </c>
      <c r="D10292" s="330" t="s">
        <v>6782</v>
      </c>
      <c r="E10292" s="330" t="s">
        <v>4634</v>
      </c>
      <c r="F10292" s="331">
        <v>0.21</v>
      </c>
      <c r="G10292" s="332">
        <v>13846</v>
      </c>
      <c r="H10292" s="333">
        <v>16754</v>
      </c>
    </row>
    <row r="10293" spans="1:8">
      <c r="A10293" s="317">
        <v>2602001000</v>
      </c>
      <c r="B10293" s="330" t="s">
        <v>54649</v>
      </c>
      <c r="C10293" s="330" t="s">
        <v>22850</v>
      </c>
      <c r="D10293" s="330" t="s">
        <v>22851</v>
      </c>
      <c r="E10293" s="330" t="s">
        <v>4634</v>
      </c>
      <c r="F10293" s="331">
        <v>0.21</v>
      </c>
      <c r="G10293" s="332">
        <v>3852</v>
      </c>
      <c r="H10293" s="333">
        <v>4661</v>
      </c>
    </row>
    <row r="10294" spans="1:8">
      <c r="A10294" s="317">
        <v>2602001001</v>
      </c>
      <c r="B10294" s="330" t="s">
        <v>54650</v>
      </c>
      <c r="C10294" s="330" t="s">
        <v>22852</v>
      </c>
      <c r="D10294" s="330" t="s">
        <v>22853</v>
      </c>
      <c r="E10294" s="330" t="s">
        <v>4634</v>
      </c>
      <c r="F10294" s="331">
        <v>0.21</v>
      </c>
      <c r="G10294" s="332">
        <v>13721</v>
      </c>
      <c r="H10294" s="333">
        <v>16603</v>
      </c>
    </row>
    <row r="10295" spans="1:8">
      <c r="A10295" s="317">
        <v>2602001006</v>
      </c>
      <c r="B10295" s="330" t="s">
        <v>54651</v>
      </c>
      <c r="C10295" s="330" t="s">
        <v>22854</v>
      </c>
      <c r="D10295" s="330" t="s">
        <v>22855</v>
      </c>
      <c r="E10295" s="330" t="s">
        <v>4634</v>
      </c>
      <c r="F10295" s="331">
        <v>0.21</v>
      </c>
      <c r="G10295" s="332">
        <v>2250</v>
      </c>
      <c r="H10295" s="333">
        <v>2723</v>
      </c>
    </row>
    <row r="10296" spans="1:8">
      <c r="A10296" s="317">
        <v>2602025025</v>
      </c>
      <c r="B10296" s="330" t="s">
        <v>54652</v>
      </c>
      <c r="C10296" s="330" t="s">
        <v>22856</v>
      </c>
      <c r="D10296" s="330" t="s">
        <v>22857</v>
      </c>
      <c r="E10296" s="330" t="s">
        <v>4634</v>
      </c>
      <c r="F10296" s="331">
        <v>0.21</v>
      </c>
      <c r="G10296" s="332">
        <v>776</v>
      </c>
      <c r="H10296" s="333">
        <v>939</v>
      </c>
    </row>
    <row r="10297" spans="1:8">
      <c r="A10297" s="317">
        <v>2602025026</v>
      </c>
      <c r="B10297" s="330" t="s">
        <v>54653</v>
      </c>
      <c r="C10297" s="330" t="s">
        <v>22858</v>
      </c>
      <c r="D10297" s="330" t="s">
        <v>22859</v>
      </c>
      <c r="E10297" s="330" t="s">
        <v>4634</v>
      </c>
      <c r="F10297" s="331">
        <v>0.21</v>
      </c>
      <c r="G10297" s="332">
        <v>396</v>
      </c>
      <c r="H10297" s="333">
        <v>480</v>
      </c>
    </row>
    <row r="10298" spans="1:8">
      <c r="A10298" s="317">
        <v>2602025059</v>
      </c>
      <c r="B10298" s="330" t="s">
        <v>54654</v>
      </c>
      <c r="C10298" s="330" t="s">
        <v>22860</v>
      </c>
      <c r="D10298" s="330" t="s">
        <v>22861</v>
      </c>
      <c r="E10298" s="330" t="s">
        <v>4634</v>
      </c>
      <c r="F10298" s="331">
        <v>0.21</v>
      </c>
      <c r="G10298" s="332">
        <v>3283</v>
      </c>
      <c r="H10298" s="333">
        <v>3973</v>
      </c>
    </row>
    <row r="10299" spans="1:8">
      <c r="A10299" s="317">
        <v>2602025060</v>
      </c>
      <c r="B10299" s="330" t="s">
        <v>54655</v>
      </c>
      <c r="C10299" s="330" t="s">
        <v>22862</v>
      </c>
      <c r="D10299" s="330" t="s">
        <v>22863</v>
      </c>
      <c r="E10299" s="330" t="s">
        <v>4634</v>
      </c>
      <c r="F10299" s="331">
        <v>0.21</v>
      </c>
      <c r="G10299" s="332">
        <v>2707</v>
      </c>
      <c r="H10299" s="333">
        <v>3276</v>
      </c>
    </row>
    <row r="10300" spans="1:8">
      <c r="A10300" s="317">
        <v>2602025068</v>
      </c>
      <c r="B10300" s="330" t="s">
        <v>54656</v>
      </c>
      <c r="C10300" s="330" t="s">
        <v>22864</v>
      </c>
      <c r="D10300" s="330" t="s">
        <v>22865</v>
      </c>
      <c r="E10300" s="330" t="s">
        <v>4634</v>
      </c>
      <c r="F10300" s="331">
        <v>0.21</v>
      </c>
      <c r="G10300" s="332">
        <v>963</v>
      </c>
      <c r="H10300" s="333">
        <v>1166</v>
      </c>
    </row>
    <row r="10301" spans="1:8">
      <c r="A10301" s="317">
        <v>2602025079</v>
      </c>
      <c r="B10301" s="330" t="s">
        <v>54657</v>
      </c>
      <c r="C10301" s="330" t="s">
        <v>22866</v>
      </c>
      <c r="D10301" s="330" t="s">
        <v>22867</v>
      </c>
      <c r="E10301" s="330" t="s">
        <v>4634</v>
      </c>
      <c r="F10301" s="331">
        <v>0.21</v>
      </c>
      <c r="G10301" s="332">
        <v>14310</v>
      </c>
      <c r="H10301" s="333">
        <v>17316</v>
      </c>
    </row>
    <row r="10302" spans="1:8">
      <c r="A10302" s="317">
        <v>2602025106</v>
      </c>
      <c r="B10302" s="330" t="s">
        <v>54658</v>
      </c>
      <c r="C10302" s="330" t="s">
        <v>22868</v>
      </c>
      <c r="D10302" s="330" t="s">
        <v>22869</v>
      </c>
      <c r="E10302" s="330" t="s">
        <v>4634</v>
      </c>
      <c r="F10302" s="331">
        <v>0.21</v>
      </c>
      <c r="G10302" s="332">
        <v>5344</v>
      </c>
      <c r="H10302" s="333">
        <v>6467</v>
      </c>
    </row>
    <row r="10303" spans="1:8">
      <c r="A10303" s="317">
        <v>2602025118</v>
      </c>
      <c r="B10303" s="330" t="s">
        <v>54659</v>
      </c>
      <c r="C10303" s="330" t="s">
        <v>22870</v>
      </c>
      <c r="D10303" s="330" t="s">
        <v>22871</v>
      </c>
      <c r="E10303" s="330" t="s">
        <v>37248</v>
      </c>
      <c r="F10303" s="331">
        <v>0.21</v>
      </c>
      <c r="G10303" s="332">
        <v>5471</v>
      </c>
      <c r="H10303" s="333">
        <v>6620</v>
      </c>
    </row>
    <row r="10304" spans="1:8">
      <c r="A10304" s="317">
        <v>2602025158</v>
      </c>
      <c r="B10304" s="330" t="s">
        <v>54660</v>
      </c>
      <c r="C10304" s="330" t="s">
        <v>22872</v>
      </c>
      <c r="D10304" s="330" t="s">
        <v>22873</v>
      </c>
      <c r="E10304" s="330" t="s">
        <v>4819</v>
      </c>
      <c r="F10304" s="331">
        <v>0.21</v>
      </c>
      <c r="G10304" s="332">
        <v>20670</v>
      </c>
      <c r="H10304" s="333">
        <v>25011</v>
      </c>
    </row>
    <row r="10305" spans="1:8">
      <c r="A10305" s="317">
        <v>2602025166</v>
      </c>
      <c r="B10305" s="330" t="s">
        <v>54661</v>
      </c>
      <c r="C10305" s="330" t="s">
        <v>22874</v>
      </c>
      <c r="D10305" s="330" t="s">
        <v>22875</v>
      </c>
      <c r="E10305" s="330" t="s">
        <v>37248</v>
      </c>
      <c r="F10305" s="331">
        <v>0.21</v>
      </c>
      <c r="G10305" s="332">
        <v>12403</v>
      </c>
      <c r="H10305" s="333">
        <v>15008</v>
      </c>
    </row>
    <row r="10306" spans="1:8">
      <c r="A10306" s="317">
        <v>2602025901</v>
      </c>
      <c r="B10306" s="330" t="s">
        <v>54662</v>
      </c>
      <c r="C10306" s="330" t="s">
        <v>22876</v>
      </c>
      <c r="D10306" s="330" t="s">
        <v>22877</v>
      </c>
      <c r="E10306" s="330" t="s">
        <v>37248</v>
      </c>
      <c r="F10306" s="331">
        <v>0.21</v>
      </c>
      <c r="G10306" s="332">
        <v>15989</v>
      </c>
      <c r="H10306" s="333">
        <v>19347</v>
      </c>
    </row>
    <row r="10307" spans="1:8">
      <c r="A10307" s="317">
        <v>2602026001</v>
      </c>
      <c r="B10307" s="330" t="s">
        <v>54663</v>
      </c>
      <c r="C10307" s="330" t="s">
        <v>22878</v>
      </c>
      <c r="D10307" s="330" t="s">
        <v>22879</v>
      </c>
      <c r="E10307" s="330" t="s">
        <v>4819</v>
      </c>
      <c r="F10307" s="331">
        <v>0.21</v>
      </c>
      <c r="G10307" s="332">
        <v>4932</v>
      </c>
      <c r="H10307" s="333">
        <v>5968</v>
      </c>
    </row>
    <row r="10308" spans="1:8">
      <c r="A10308" s="317">
        <v>2602026004</v>
      </c>
      <c r="B10308" s="330" t="s">
        <v>54664</v>
      </c>
      <c r="C10308" s="330" t="s">
        <v>22880</v>
      </c>
      <c r="D10308" s="330" t="s">
        <v>22881</v>
      </c>
      <c r="E10308" s="330" t="s">
        <v>4634</v>
      </c>
      <c r="F10308" s="331">
        <v>0.21</v>
      </c>
      <c r="G10308" s="332">
        <v>776</v>
      </c>
      <c r="H10308" s="333">
        <v>939</v>
      </c>
    </row>
    <row r="10309" spans="1:8">
      <c r="A10309" s="317">
        <v>2602026006</v>
      </c>
      <c r="B10309" s="330" t="s">
        <v>54665</v>
      </c>
      <c r="C10309" s="330" t="s">
        <v>22882</v>
      </c>
      <c r="D10309" s="330" t="s">
        <v>22883</v>
      </c>
      <c r="E10309" s="330" t="s">
        <v>4634</v>
      </c>
      <c r="F10309" s="331">
        <v>0.21</v>
      </c>
      <c r="G10309" s="332">
        <v>678</v>
      </c>
      <c r="H10309" s="333">
        <v>821</v>
      </c>
    </row>
    <row r="10310" spans="1:8">
      <c r="A10310" s="317">
        <v>2602026014</v>
      </c>
      <c r="B10310" s="330" t="s">
        <v>54666</v>
      </c>
      <c r="C10310" s="330" t="s">
        <v>22884</v>
      </c>
      <c r="D10310" s="330" t="s">
        <v>22885</v>
      </c>
      <c r="E10310" s="330" t="s">
        <v>4634</v>
      </c>
      <c r="F10310" s="331">
        <v>0.21</v>
      </c>
      <c r="G10310" s="332">
        <v>564</v>
      </c>
      <c r="H10310" s="333">
        <v>683</v>
      </c>
    </row>
    <row r="10311" spans="1:8">
      <c r="A10311" s="317">
        <v>2602026015</v>
      </c>
      <c r="B10311" s="330" t="s">
        <v>54667</v>
      </c>
      <c r="C10311" s="330" t="s">
        <v>22886</v>
      </c>
      <c r="D10311" s="330" t="s">
        <v>22887</v>
      </c>
      <c r="E10311" s="330" t="s">
        <v>37248</v>
      </c>
      <c r="F10311" s="331">
        <v>0.21</v>
      </c>
      <c r="G10311" s="332">
        <v>2328</v>
      </c>
      <c r="H10311" s="333">
        <v>2817</v>
      </c>
    </row>
    <row r="10312" spans="1:8">
      <c r="A10312" s="317">
        <v>2602026017</v>
      </c>
      <c r="B10312" s="330" t="s">
        <v>54668</v>
      </c>
      <c r="C10312" s="330" t="s">
        <v>22888</v>
      </c>
      <c r="D10312" s="330" t="s">
        <v>22889</v>
      </c>
      <c r="E10312" s="330" t="s">
        <v>4634</v>
      </c>
      <c r="F10312" s="331">
        <v>0.21</v>
      </c>
      <c r="G10312" s="332">
        <v>1479</v>
      </c>
      <c r="H10312" s="333">
        <v>1790</v>
      </c>
    </row>
    <row r="10313" spans="1:8">
      <c r="A10313" s="317">
        <v>2602026031</v>
      </c>
      <c r="B10313" s="330" t="s">
        <v>54669</v>
      </c>
      <c r="C10313" s="330" t="s">
        <v>22890</v>
      </c>
      <c r="D10313" s="330" t="s">
        <v>22891</v>
      </c>
      <c r="E10313" s="330" t="s">
        <v>4634</v>
      </c>
      <c r="F10313" s="331">
        <v>0.21</v>
      </c>
      <c r="G10313" s="332">
        <v>1126</v>
      </c>
      <c r="H10313" s="333">
        <v>1363</v>
      </c>
    </row>
    <row r="10314" spans="1:8">
      <c r="A10314" s="317">
        <v>2602026032</v>
      </c>
      <c r="B10314" s="330" t="s">
        <v>54670</v>
      </c>
      <c r="C10314" s="330" t="s">
        <v>22892</v>
      </c>
      <c r="D10314" s="330" t="s">
        <v>22893</v>
      </c>
      <c r="E10314" s="330" t="s">
        <v>4634</v>
      </c>
      <c r="F10314" s="331">
        <v>0.21</v>
      </c>
      <c r="G10314" s="332">
        <v>348</v>
      </c>
      <c r="H10314" s="333">
        <v>422</v>
      </c>
    </row>
    <row r="10315" spans="1:8">
      <c r="A10315" s="317">
        <v>2602026035</v>
      </c>
      <c r="B10315" s="330" t="s">
        <v>54671</v>
      </c>
      <c r="C10315" s="330" t="s">
        <v>22894</v>
      </c>
      <c r="D10315" s="330" t="s">
        <v>22895</v>
      </c>
      <c r="E10315" s="330" t="s">
        <v>4634</v>
      </c>
      <c r="F10315" s="331">
        <v>0.21</v>
      </c>
      <c r="G10315" s="332">
        <v>564</v>
      </c>
      <c r="H10315" s="333">
        <v>683</v>
      </c>
    </row>
    <row r="10316" spans="1:8">
      <c r="A10316" s="317">
        <v>2602026036</v>
      </c>
      <c r="B10316" s="330" t="s">
        <v>54672</v>
      </c>
      <c r="C10316" s="330" t="s">
        <v>22896</v>
      </c>
      <c r="D10316" s="330" t="s">
        <v>22897</v>
      </c>
      <c r="E10316" s="330" t="s">
        <v>4634</v>
      </c>
      <c r="F10316" s="331">
        <v>0.21</v>
      </c>
      <c r="G10316" s="332">
        <v>584</v>
      </c>
      <c r="H10316" s="333">
        <v>707</v>
      </c>
    </row>
    <row r="10317" spans="1:8">
      <c r="A10317" s="317">
        <v>2602026037</v>
      </c>
      <c r="B10317" s="330" t="s">
        <v>54673</v>
      </c>
      <c r="C10317" s="330" t="s">
        <v>22898</v>
      </c>
      <c r="D10317" s="330" t="s">
        <v>22899</v>
      </c>
      <c r="E10317" s="330" t="s">
        <v>4634</v>
      </c>
      <c r="F10317" s="331">
        <v>0.21</v>
      </c>
      <c r="G10317" s="332">
        <v>348</v>
      </c>
      <c r="H10317" s="333">
        <v>422</v>
      </c>
    </row>
    <row r="10318" spans="1:8">
      <c r="A10318" s="317">
        <v>2602026038</v>
      </c>
      <c r="B10318" s="330" t="s">
        <v>54674</v>
      </c>
      <c r="C10318" s="330" t="s">
        <v>22900</v>
      </c>
      <c r="D10318" s="330" t="s">
        <v>22901</v>
      </c>
      <c r="E10318" s="330" t="s">
        <v>4634</v>
      </c>
      <c r="F10318" s="331">
        <v>0.21</v>
      </c>
      <c r="G10318" s="332">
        <v>1431</v>
      </c>
      <c r="H10318" s="333">
        <v>1732</v>
      </c>
    </row>
    <row r="10319" spans="1:8">
      <c r="A10319" s="317">
        <v>2602026041</v>
      </c>
      <c r="B10319" s="330" t="s">
        <v>54675</v>
      </c>
      <c r="C10319" s="330" t="s">
        <v>22902</v>
      </c>
      <c r="D10319" s="330" t="s">
        <v>22903</v>
      </c>
      <c r="E10319" s="330" t="s">
        <v>4634</v>
      </c>
      <c r="F10319" s="331">
        <v>0.21</v>
      </c>
      <c r="G10319" s="332">
        <v>702</v>
      </c>
      <c r="H10319" s="333">
        <v>850</v>
      </c>
    </row>
    <row r="10320" spans="1:8">
      <c r="A10320" s="317">
        <v>2602026044</v>
      </c>
      <c r="B10320" s="330" t="s">
        <v>54676</v>
      </c>
      <c r="C10320" s="330" t="s">
        <v>22904</v>
      </c>
      <c r="D10320" s="330" t="s">
        <v>22905</v>
      </c>
      <c r="E10320" s="330" t="s">
        <v>4634</v>
      </c>
      <c r="F10320" s="331">
        <v>0.21</v>
      </c>
      <c r="G10320" s="332">
        <v>2063</v>
      </c>
      <c r="H10320" s="333">
        <v>2497</v>
      </c>
    </row>
    <row r="10321" spans="1:8">
      <c r="A10321" s="317">
        <v>2602026045</v>
      </c>
      <c r="B10321" s="330" t="s">
        <v>54677</v>
      </c>
      <c r="C10321" s="330" t="s">
        <v>22906</v>
      </c>
      <c r="D10321" s="330" t="s">
        <v>22907</v>
      </c>
      <c r="E10321" s="330" t="s">
        <v>4634</v>
      </c>
      <c r="F10321" s="331">
        <v>0.21</v>
      </c>
      <c r="G10321" s="332">
        <v>455</v>
      </c>
      <c r="H10321" s="333">
        <v>551</v>
      </c>
    </row>
    <row r="10322" spans="1:8">
      <c r="A10322" s="317">
        <v>2602026052</v>
      </c>
      <c r="B10322" s="330" t="s">
        <v>54678</v>
      </c>
      <c r="C10322" s="330" t="s">
        <v>22908</v>
      </c>
      <c r="D10322" s="330" t="s">
        <v>22909</v>
      </c>
      <c r="E10322" s="330" t="s">
        <v>4634</v>
      </c>
      <c r="F10322" s="331">
        <v>0.21</v>
      </c>
      <c r="G10322" s="332">
        <v>3203</v>
      </c>
      <c r="H10322" s="333">
        <v>3876</v>
      </c>
    </row>
    <row r="10323" spans="1:8">
      <c r="A10323" s="317">
        <v>2602026053</v>
      </c>
      <c r="B10323" s="330" t="s">
        <v>54679</v>
      </c>
      <c r="C10323" s="330" t="s">
        <v>22910</v>
      </c>
      <c r="D10323" s="330" t="s">
        <v>22911</v>
      </c>
      <c r="E10323" s="330" t="s">
        <v>4634</v>
      </c>
      <c r="F10323" s="331">
        <v>0.21</v>
      </c>
      <c r="G10323" s="332">
        <v>892</v>
      </c>
      <c r="H10323" s="333">
        <v>1080</v>
      </c>
    </row>
    <row r="10324" spans="1:8">
      <c r="A10324" s="317">
        <v>2602026063</v>
      </c>
      <c r="B10324" s="330" t="s">
        <v>54680</v>
      </c>
      <c r="C10324" s="330" t="s">
        <v>22912</v>
      </c>
      <c r="D10324" s="330" t="s">
        <v>8595</v>
      </c>
      <c r="E10324" s="330" t="s">
        <v>4634</v>
      </c>
      <c r="F10324" s="331">
        <v>0.21</v>
      </c>
      <c r="G10324" s="332">
        <v>791</v>
      </c>
      <c r="H10324" s="333">
        <v>958</v>
      </c>
    </row>
    <row r="10325" spans="1:8">
      <c r="A10325" s="317">
        <v>2602026065</v>
      </c>
      <c r="B10325" s="330" t="s">
        <v>54681</v>
      </c>
      <c r="C10325" s="330" t="s">
        <v>22913</v>
      </c>
      <c r="D10325" s="330" t="s">
        <v>22914</v>
      </c>
      <c r="E10325" s="330" t="s">
        <v>4634</v>
      </c>
      <c r="F10325" s="331">
        <v>0.21</v>
      </c>
      <c r="G10325" s="332">
        <v>372</v>
      </c>
      <c r="H10325" s="333">
        <v>451</v>
      </c>
    </row>
    <row r="10326" spans="1:8">
      <c r="A10326" s="317">
        <v>2602026066</v>
      </c>
      <c r="B10326" s="330" t="s">
        <v>54682</v>
      </c>
      <c r="C10326" s="330" t="s">
        <v>22915</v>
      </c>
      <c r="D10326" s="330" t="s">
        <v>22916</v>
      </c>
      <c r="E10326" s="330" t="s">
        <v>4634</v>
      </c>
      <c r="F10326" s="331">
        <v>0.21</v>
      </c>
      <c r="G10326" s="332">
        <v>372</v>
      </c>
      <c r="H10326" s="333">
        <v>451</v>
      </c>
    </row>
    <row r="10327" spans="1:8">
      <c r="A10327" s="317">
        <v>2602026069</v>
      </c>
      <c r="B10327" s="330" t="s">
        <v>54683</v>
      </c>
      <c r="C10327" s="330" t="s">
        <v>22917</v>
      </c>
      <c r="D10327" s="330" t="s">
        <v>22918</v>
      </c>
      <c r="E10327" s="330" t="s">
        <v>4819</v>
      </c>
      <c r="F10327" s="331">
        <v>0.21</v>
      </c>
      <c r="G10327" s="332">
        <v>7173</v>
      </c>
      <c r="H10327" s="333">
        <v>8680</v>
      </c>
    </row>
    <row r="10328" spans="1:8">
      <c r="A10328" s="317">
        <v>2602026091</v>
      </c>
      <c r="B10328" s="330" t="s">
        <v>54684</v>
      </c>
      <c r="C10328" s="330" t="s">
        <v>22919</v>
      </c>
      <c r="D10328" s="330" t="s">
        <v>8595</v>
      </c>
      <c r="E10328" s="330" t="s">
        <v>4634</v>
      </c>
      <c r="F10328" s="331">
        <v>0.21</v>
      </c>
      <c r="G10328" s="332">
        <v>791</v>
      </c>
      <c r="H10328" s="333">
        <v>958</v>
      </c>
    </row>
    <row r="10329" spans="1:8">
      <c r="A10329" s="317">
        <v>2602026094</v>
      </c>
      <c r="B10329" s="330" t="s">
        <v>54685</v>
      </c>
      <c r="C10329" s="330" t="s">
        <v>22920</v>
      </c>
      <c r="D10329" s="330" t="s">
        <v>22921</v>
      </c>
      <c r="E10329" s="330" t="s">
        <v>4634</v>
      </c>
      <c r="F10329" s="331">
        <v>0.21</v>
      </c>
      <c r="G10329" s="332">
        <v>1411</v>
      </c>
      <c r="H10329" s="333">
        <v>1708</v>
      </c>
    </row>
    <row r="10330" spans="1:8">
      <c r="A10330" s="317">
        <v>2602026107</v>
      </c>
      <c r="B10330" s="330" t="s">
        <v>54686</v>
      </c>
      <c r="C10330" s="330" t="s">
        <v>22922</v>
      </c>
      <c r="D10330" s="330" t="s">
        <v>22923</v>
      </c>
      <c r="E10330" s="330" t="s">
        <v>4634</v>
      </c>
      <c r="F10330" s="331">
        <v>0.21</v>
      </c>
      <c r="G10330" s="332">
        <v>348</v>
      </c>
      <c r="H10330" s="333">
        <v>422</v>
      </c>
    </row>
    <row r="10331" spans="1:8">
      <c r="A10331" s="317">
        <v>2602026109</v>
      </c>
      <c r="B10331" s="330" t="s">
        <v>54687</v>
      </c>
      <c r="C10331" s="330" t="s">
        <v>22924</v>
      </c>
      <c r="D10331" s="330" t="s">
        <v>22925</v>
      </c>
      <c r="E10331" s="330" t="s">
        <v>4634</v>
      </c>
      <c r="F10331" s="331">
        <v>0.21</v>
      </c>
      <c r="G10331" s="332">
        <v>584</v>
      </c>
      <c r="H10331" s="333">
        <v>707</v>
      </c>
    </row>
    <row r="10332" spans="1:8">
      <c r="A10332" s="317">
        <v>2602026116</v>
      </c>
      <c r="B10332" s="330" t="s">
        <v>54688</v>
      </c>
      <c r="C10332" s="330" t="s">
        <v>22926</v>
      </c>
      <c r="D10332" s="330" t="s">
        <v>22927</v>
      </c>
      <c r="E10332" s="330" t="s">
        <v>4634</v>
      </c>
      <c r="F10332" s="331">
        <v>0.21</v>
      </c>
      <c r="G10332" s="332">
        <v>1170</v>
      </c>
      <c r="H10332" s="333">
        <v>1416</v>
      </c>
    </row>
    <row r="10333" spans="1:8">
      <c r="A10333" s="317">
        <v>2602026117</v>
      </c>
      <c r="B10333" s="330" t="s">
        <v>54689</v>
      </c>
      <c r="C10333" s="330" t="s">
        <v>22928</v>
      </c>
      <c r="D10333" s="330" t="s">
        <v>8595</v>
      </c>
      <c r="E10333" s="330" t="s">
        <v>37248</v>
      </c>
      <c r="F10333" s="331">
        <v>0.21</v>
      </c>
      <c r="G10333" s="332">
        <v>3616</v>
      </c>
      <c r="H10333" s="333">
        <v>4376</v>
      </c>
    </row>
    <row r="10334" spans="1:8">
      <c r="A10334" s="317">
        <v>2602026118</v>
      </c>
      <c r="B10334" s="330" t="s">
        <v>54690</v>
      </c>
      <c r="C10334" s="330" t="s">
        <v>22929</v>
      </c>
      <c r="D10334" s="330" t="s">
        <v>22930</v>
      </c>
      <c r="E10334" s="330" t="s">
        <v>4634</v>
      </c>
      <c r="F10334" s="331">
        <v>0.21</v>
      </c>
      <c r="G10334" s="332">
        <v>2215</v>
      </c>
      <c r="H10334" s="333">
        <v>2681</v>
      </c>
    </row>
    <row r="10335" spans="1:8">
      <c r="A10335" s="317">
        <v>2602026120</v>
      </c>
      <c r="B10335" s="330" t="s">
        <v>54691</v>
      </c>
      <c r="C10335" s="330" t="s">
        <v>22931</v>
      </c>
      <c r="D10335" s="330" t="s">
        <v>22932</v>
      </c>
      <c r="E10335" s="330" t="s">
        <v>4819</v>
      </c>
      <c r="F10335" s="331">
        <v>0.21</v>
      </c>
      <c r="G10335" s="332">
        <v>1487</v>
      </c>
      <c r="H10335" s="333">
        <v>1800</v>
      </c>
    </row>
    <row r="10336" spans="1:8">
      <c r="A10336" s="317">
        <v>2602026123</v>
      </c>
      <c r="B10336" s="330" t="s">
        <v>54692</v>
      </c>
      <c r="C10336" s="330" t="s">
        <v>22933</v>
      </c>
      <c r="D10336" s="330" t="s">
        <v>22934</v>
      </c>
      <c r="E10336" s="330" t="s">
        <v>37248</v>
      </c>
      <c r="F10336" s="331">
        <v>0.21</v>
      </c>
      <c r="G10336" s="332">
        <v>10143</v>
      </c>
      <c r="H10336" s="333">
        <v>12274</v>
      </c>
    </row>
    <row r="10337" spans="1:8">
      <c r="A10337" s="317">
        <v>2602026154</v>
      </c>
      <c r="B10337" s="330" t="s">
        <v>54693</v>
      </c>
      <c r="C10337" s="330" t="s">
        <v>22935</v>
      </c>
      <c r="D10337" s="330" t="s">
        <v>22936</v>
      </c>
      <c r="E10337" s="330" t="s">
        <v>4634</v>
      </c>
      <c r="F10337" s="331">
        <v>0.21</v>
      </c>
      <c r="G10337" s="332">
        <v>791</v>
      </c>
      <c r="H10337" s="333">
        <v>958</v>
      </c>
    </row>
    <row r="10338" spans="1:8">
      <c r="A10338" s="317">
        <v>2602026158</v>
      </c>
      <c r="B10338" s="330" t="s">
        <v>54694</v>
      </c>
      <c r="C10338" s="330" t="s">
        <v>22937</v>
      </c>
      <c r="D10338" s="330" t="s">
        <v>22938</v>
      </c>
      <c r="E10338" s="330" t="s">
        <v>37248</v>
      </c>
      <c r="F10338" s="331">
        <v>0.21</v>
      </c>
      <c r="G10338" s="332">
        <v>2128</v>
      </c>
      <c r="H10338" s="333">
        <v>2575</v>
      </c>
    </row>
    <row r="10339" spans="1:8">
      <c r="A10339" s="317">
        <v>2602026175</v>
      </c>
      <c r="B10339" s="330" t="s">
        <v>54695</v>
      </c>
      <c r="C10339" s="330" t="s">
        <v>22939</v>
      </c>
      <c r="D10339" s="330" t="s">
        <v>22940</v>
      </c>
      <c r="E10339" s="330" t="s">
        <v>37248</v>
      </c>
      <c r="F10339" s="331">
        <v>0.21</v>
      </c>
      <c r="G10339" s="332">
        <v>4095</v>
      </c>
      <c r="H10339" s="333">
        <v>4955</v>
      </c>
    </row>
    <row r="10340" spans="1:8">
      <c r="A10340" s="317">
        <v>2602026180</v>
      </c>
      <c r="B10340" s="330" t="s">
        <v>54696</v>
      </c>
      <c r="C10340" s="330" t="s">
        <v>22941</v>
      </c>
      <c r="D10340" s="330" t="s">
        <v>22942</v>
      </c>
      <c r="E10340" s="330" t="s">
        <v>37248</v>
      </c>
      <c r="F10340" s="331">
        <v>0.21</v>
      </c>
      <c r="G10340" s="332">
        <v>9458</v>
      </c>
      <c r="H10340" s="333">
        <v>11445</v>
      </c>
    </row>
    <row r="10341" spans="1:8">
      <c r="A10341" s="317">
        <v>2602026200</v>
      </c>
      <c r="B10341" s="330" t="s">
        <v>54697</v>
      </c>
      <c r="C10341" s="330" t="s">
        <v>22943</v>
      </c>
      <c r="D10341" s="330" t="s">
        <v>7506</v>
      </c>
      <c r="E10341" s="330" t="s">
        <v>37248</v>
      </c>
      <c r="F10341" s="331">
        <v>0.21</v>
      </c>
      <c r="G10341" s="332">
        <v>689</v>
      </c>
      <c r="H10341" s="333">
        <v>834</v>
      </c>
    </row>
    <row r="10342" spans="1:8">
      <c r="A10342" s="317">
        <v>2602026201</v>
      </c>
      <c r="B10342" s="330" t="s">
        <v>54698</v>
      </c>
      <c r="C10342" s="330" t="s">
        <v>22944</v>
      </c>
      <c r="D10342" s="330" t="s">
        <v>22945</v>
      </c>
      <c r="E10342" s="330" t="s">
        <v>37248</v>
      </c>
      <c r="F10342" s="331">
        <v>0.21</v>
      </c>
      <c r="G10342" s="332">
        <v>689</v>
      </c>
      <c r="H10342" s="333">
        <v>834</v>
      </c>
    </row>
    <row r="10343" spans="1:8">
      <c r="A10343" s="317">
        <v>2602026902</v>
      </c>
      <c r="B10343" s="330" t="s">
        <v>54699</v>
      </c>
      <c r="C10343" s="330" t="s">
        <v>22946</v>
      </c>
      <c r="D10343" s="330" t="s">
        <v>22947</v>
      </c>
      <c r="E10343" s="330" t="s">
        <v>4634</v>
      </c>
      <c r="F10343" s="331">
        <v>0.21</v>
      </c>
      <c r="G10343" s="332">
        <v>580</v>
      </c>
      <c r="H10343" s="333">
        <v>702</v>
      </c>
    </row>
    <row r="10344" spans="1:8">
      <c r="A10344" s="317">
        <v>2602026908</v>
      </c>
      <c r="B10344" s="330" t="s">
        <v>54700</v>
      </c>
      <c r="C10344" s="330" t="s">
        <v>22948</v>
      </c>
      <c r="D10344" s="330" t="s">
        <v>22949</v>
      </c>
      <c r="E10344" s="330" t="s">
        <v>4819</v>
      </c>
      <c r="F10344" s="331">
        <v>0.21</v>
      </c>
      <c r="G10344" s="332">
        <v>5605</v>
      </c>
      <c r="H10344" s="333">
        <v>6783</v>
      </c>
    </row>
    <row r="10345" spans="1:8">
      <c r="A10345" s="317">
        <v>2602026909</v>
      </c>
      <c r="B10345" s="330" t="s">
        <v>54701</v>
      </c>
      <c r="C10345" s="330" t="s">
        <v>22950</v>
      </c>
      <c r="D10345" s="330" t="s">
        <v>22938</v>
      </c>
      <c r="E10345" s="330" t="s">
        <v>37248</v>
      </c>
      <c r="F10345" s="331">
        <v>0.21</v>
      </c>
      <c r="G10345" s="332">
        <v>3731</v>
      </c>
      <c r="H10345" s="333">
        <v>4515</v>
      </c>
    </row>
    <row r="10346" spans="1:8">
      <c r="A10346" s="317">
        <v>2602033003</v>
      </c>
      <c r="B10346" s="330" t="s">
        <v>54702</v>
      </c>
      <c r="C10346" s="330" t="s">
        <v>22951</v>
      </c>
      <c r="D10346" s="330" t="s">
        <v>22952</v>
      </c>
      <c r="E10346" s="330" t="s">
        <v>4634</v>
      </c>
      <c r="F10346" s="331">
        <v>0.21</v>
      </c>
      <c r="G10346" s="332">
        <v>97</v>
      </c>
      <c r="H10346" s="333">
        <v>118</v>
      </c>
    </row>
    <row r="10347" spans="1:8">
      <c r="A10347" s="317">
        <v>2602033005</v>
      </c>
      <c r="B10347" s="330" t="s">
        <v>54703</v>
      </c>
      <c r="C10347" s="330" t="s">
        <v>22953</v>
      </c>
      <c r="D10347" s="330" t="s">
        <v>22954</v>
      </c>
      <c r="E10347" s="330" t="s">
        <v>4634</v>
      </c>
      <c r="F10347" s="331">
        <v>0.21</v>
      </c>
      <c r="G10347" s="332">
        <v>387</v>
      </c>
      <c r="H10347" s="333">
        <v>469</v>
      </c>
    </row>
    <row r="10348" spans="1:8">
      <c r="A10348" s="317">
        <v>2602033007</v>
      </c>
      <c r="B10348" s="330" t="s">
        <v>54704</v>
      </c>
      <c r="C10348" s="330" t="s">
        <v>22955</v>
      </c>
      <c r="D10348" s="330" t="s">
        <v>22956</v>
      </c>
      <c r="E10348" s="330" t="s">
        <v>4634</v>
      </c>
      <c r="F10348" s="331">
        <v>0.21</v>
      </c>
      <c r="G10348" s="332">
        <v>648</v>
      </c>
      <c r="H10348" s="333">
        <v>785</v>
      </c>
    </row>
    <row r="10349" spans="1:8">
      <c r="A10349" s="317">
        <v>2602033008</v>
      </c>
      <c r="B10349" s="330" t="s">
        <v>54705</v>
      </c>
      <c r="C10349" s="330" t="s">
        <v>22957</v>
      </c>
      <c r="D10349" s="330" t="s">
        <v>22958</v>
      </c>
      <c r="E10349" s="330" t="s">
        <v>4634</v>
      </c>
      <c r="F10349" s="331">
        <v>0.21</v>
      </c>
      <c r="G10349" s="332">
        <v>372</v>
      </c>
      <c r="H10349" s="333">
        <v>451</v>
      </c>
    </row>
    <row r="10350" spans="1:8">
      <c r="A10350" s="317">
        <v>2602033018</v>
      </c>
      <c r="B10350" s="330" t="s">
        <v>54706</v>
      </c>
      <c r="C10350" s="330" t="s">
        <v>22959</v>
      </c>
      <c r="D10350" s="330" t="s">
        <v>22960</v>
      </c>
      <c r="E10350" s="330" t="s">
        <v>37248</v>
      </c>
      <c r="F10350" s="331">
        <v>0.21</v>
      </c>
      <c r="G10350" s="332">
        <v>5353</v>
      </c>
      <c r="H10350" s="333">
        <v>6478</v>
      </c>
    </row>
    <row r="10351" spans="1:8">
      <c r="A10351" s="317">
        <v>2602051000</v>
      </c>
      <c r="B10351" s="330" t="s">
        <v>54707</v>
      </c>
      <c r="C10351" s="330" t="s">
        <v>22961</v>
      </c>
      <c r="D10351" s="330" t="s">
        <v>22962</v>
      </c>
      <c r="E10351" s="330" t="s">
        <v>4634</v>
      </c>
      <c r="F10351" s="331">
        <v>0.21</v>
      </c>
      <c r="G10351" s="332">
        <v>372</v>
      </c>
      <c r="H10351" s="333">
        <v>451</v>
      </c>
    </row>
    <row r="10352" spans="1:8">
      <c r="A10352" s="317">
        <v>2602051002</v>
      </c>
      <c r="B10352" s="330" t="s">
        <v>54708</v>
      </c>
      <c r="C10352" s="330" t="s">
        <v>22963</v>
      </c>
      <c r="D10352" s="330" t="s">
        <v>22964</v>
      </c>
      <c r="E10352" s="330" t="s">
        <v>4634</v>
      </c>
      <c r="F10352" s="331">
        <v>0.21</v>
      </c>
      <c r="G10352" s="332">
        <v>678</v>
      </c>
      <c r="H10352" s="333">
        <v>821</v>
      </c>
    </row>
    <row r="10353" spans="1:8">
      <c r="A10353" s="317">
        <v>2602051004</v>
      </c>
      <c r="B10353" s="330" t="s">
        <v>54709</v>
      </c>
      <c r="C10353" s="330" t="s">
        <v>22965</v>
      </c>
      <c r="D10353" s="330" t="s">
        <v>7851</v>
      </c>
      <c r="E10353" s="330" t="s">
        <v>37248</v>
      </c>
      <c r="F10353" s="331">
        <v>0.21</v>
      </c>
      <c r="G10353" s="332">
        <v>689</v>
      </c>
      <c r="H10353" s="333">
        <v>834</v>
      </c>
    </row>
    <row r="10354" spans="1:8">
      <c r="A10354" s="317">
        <v>2602053001</v>
      </c>
      <c r="B10354" s="330" t="s">
        <v>54710</v>
      </c>
      <c r="C10354" s="330" t="s">
        <v>22966</v>
      </c>
      <c r="D10354" s="330" t="s">
        <v>22967</v>
      </c>
      <c r="E10354" s="330" t="s">
        <v>4634</v>
      </c>
      <c r="F10354" s="331">
        <v>0.21</v>
      </c>
      <c r="G10354" s="332">
        <v>372</v>
      </c>
      <c r="H10354" s="333">
        <v>451</v>
      </c>
    </row>
    <row r="10355" spans="1:8">
      <c r="A10355" s="317">
        <v>2602098008</v>
      </c>
      <c r="B10355" s="330" t="s">
        <v>54711</v>
      </c>
      <c r="C10355" s="330" t="s">
        <v>22968</v>
      </c>
      <c r="D10355" s="330" t="s">
        <v>22969</v>
      </c>
      <c r="E10355" s="330" t="s">
        <v>37248</v>
      </c>
      <c r="F10355" s="331">
        <v>0.21</v>
      </c>
      <c r="G10355" s="332">
        <v>1769</v>
      </c>
      <c r="H10355" s="333">
        <v>2141</v>
      </c>
    </row>
    <row r="10356" spans="1:8">
      <c r="A10356" s="317">
        <v>2602098011</v>
      </c>
      <c r="B10356" s="330" t="s">
        <v>54712</v>
      </c>
      <c r="C10356" s="330" t="s">
        <v>22970</v>
      </c>
      <c r="D10356" s="330" t="s">
        <v>22971</v>
      </c>
      <c r="E10356" s="330" t="s">
        <v>4634</v>
      </c>
      <c r="F10356" s="331">
        <v>0.21</v>
      </c>
      <c r="G10356" s="332">
        <v>584</v>
      </c>
      <c r="H10356" s="333">
        <v>707</v>
      </c>
    </row>
    <row r="10357" spans="1:8">
      <c r="A10357" s="317">
        <v>2602123010</v>
      </c>
      <c r="B10357" s="330" t="s">
        <v>54713</v>
      </c>
      <c r="C10357" s="330" t="s">
        <v>22972</v>
      </c>
      <c r="D10357" s="330" t="s">
        <v>22973</v>
      </c>
      <c r="E10357" s="330" t="s">
        <v>37248</v>
      </c>
      <c r="F10357" s="331">
        <v>0.21</v>
      </c>
      <c r="G10357" s="332">
        <v>515</v>
      </c>
      <c r="H10357" s="333">
        <v>624</v>
      </c>
    </row>
    <row r="10358" spans="1:8">
      <c r="A10358" s="317">
        <v>2602130900</v>
      </c>
      <c r="B10358" s="330" t="s">
        <v>54714</v>
      </c>
      <c r="C10358" s="330" t="s">
        <v>22974</v>
      </c>
      <c r="D10358" s="330" t="s">
        <v>22975</v>
      </c>
      <c r="E10358" s="330" t="s">
        <v>4634</v>
      </c>
      <c r="F10358" s="331">
        <v>0.21</v>
      </c>
      <c r="G10358" s="332">
        <v>10825</v>
      </c>
      <c r="H10358" s="333">
        <v>13099</v>
      </c>
    </row>
    <row r="10359" spans="1:8">
      <c r="A10359" s="317">
        <v>2602130901</v>
      </c>
      <c r="B10359" s="330" t="s">
        <v>54715</v>
      </c>
      <c r="C10359" s="330" t="s">
        <v>22976</v>
      </c>
      <c r="D10359" s="330" t="s">
        <v>22977</v>
      </c>
      <c r="E10359" s="330" t="s">
        <v>4634</v>
      </c>
      <c r="F10359" s="331">
        <v>0.21</v>
      </c>
      <c r="G10359" s="332">
        <v>4233</v>
      </c>
      <c r="H10359" s="333">
        <v>5122</v>
      </c>
    </row>
    <row r="10360" spans="1:8">
      <c r="A10360" s="317">
        <v>2602130903</v>
      </c>
      <c r="B10360" s="330" t="s">
        <v>54716</v>
      </c>
      <c r="C10360" s="330" t="s">
        <v>22978</v>
      </c>
      <c r="D10360" s="330" t="s">
        <v>22979</v>
      </c>
      <c r="E10360" s="330" t="s">
        <v>4634</v>
      </c>
      <c r="F10360" s="331">
        <v>0.21</v>
      </c>
      <c r="G10360" s="332">
        <v>5819</v>
      </c>
      <c r="H10360" s="333">
        <v>7041</v>
      </c>
    </row>
    <row r="10361" spans="1:8">
      <c r="A10361" s="317">
        <v>2602210001</v>
      </c>
      <c r="B10361" s="330" t="s">
        <v>54717</v>
      </c>
      <c r="C10361" s="330" t="s">
        <v>22980</v>
      </c>
      <c r="D10361" s="330" t="s">
        <v>22981</v>
      </c>
      <c r="E10361" s="330" t="s">
        <v>4634</v>
      </c>
      <c r="F10361" s="331">
        <v>0.21</v>
      </c>
      <c r="G10361" s="332">
        <v>2775</v>
      </c>
      <c r="H10361" s="333">
        <v>3358</v>
      </c>
    </row>
    <row r="10362" spans="1:8">
      <c r="A10362" s="317">
        <v>2602210009</v>
      </c>
      <c r="B10362" s="330" t="s">
        <v>54718</v>
      </c>
      <c r="C10362" s="330" t="s">
        <v>22982</v>
      </c>
      <c r="D10362" s="330" t="s">
        <v>8616</v>
      </c>
      <c r="E10362" s="330" t="s">
        <v>4634</v>
      </c>
      <c r="F10362" s="331">
        <v>0.21</v>
      </c>
      <c r="G10362" s="332">
        <v>2163</v>
      </c>
      <c r="H10362" s="333">
        <v>2618</v>
      </c>
    </row>
    <row r="10363" spans="1:8">
      <c r="A10363" s="317">
        <v>2602210011</v>
      </c>
      <c r="B10363" s="330" t="s">
        <v>54719</v>
      </c>
      <c r="C10363" s="330" t="s">
        <v>22983</v>
      </c>
      <c r="D10363" s="330" t="s">
        <v>22984</v>
      </c>
      <c r="E10363" s="330" t="s">
        <v>4634</v>
      </c>
      <c r="F10363" s="331">
        <v>0.21</v>
      </c>
      <c r="G10363" s="332">
        <v>348</v>
      </c>
      <c r="H10363" s="333">
        <v>422</v>
      </c>
    </row>
    <row r="10364" spans="1:8">
      <c r="A10364" s="317">
        <v>2602210014</v>
      </c>
      <c r="B10364" s="330" t="s">
        <v>54720</v>
      </c>
      <c r="C10364" s="330" t="s">
        <v>22985</v>
      </c>
      <c r="D10364" s="330" t="s">
        <v>22986</v>
      </c>
      <c r="E10364" s="330" t="s">
        <v>4634</v>
      </c>
      <c r="F10364" s="331">
        <v>0.21</v>
      </c>
      <c r="G10364" s="332">
        <v>3171</v>
      </c>
      <c r="H10364" s="333">
        <v>3837</v>
      </c>
    </row>
    <row r="10365" spans="1:8">
      <c r="A10365" s="317">
        <v>2602210900</v>
      </c>
      <c r="B10365" s="330" t="s">
        <v>54721</v>
      </c>
      <c r="C10365" s="330" t="s">
        <v>22987</v>
      </c>
      <c r="D10365" s="330" t="s">
        <v>22988</v>
      </c>
      <c r="E10365" s="330" t="s">
        <v>4634</v>
      </c>
      <c r="F10365" s="331">
        <v>0.21</v>
      </c>
      <c r="G10365" s="332">
        <v>2491</v>
      </c>
      <c r="H10365" s="333">
        <v>3015</v>
      </c>
    </row>
    <row r="10366" spans="1:8">
      <c r="A10366" s="317">
        <v>2602210907</v>
      </c>
      <c r="B10366" s="330" t="s">
        <v>54722</v>
      </c>
      <c r="C10366" s="330" t="s">
        <v>22989</v>
      </c>
      <c r="D10366" s="330" t="s">
        <v>22990</v>
      </c>
      <c r="E10366" s="330" t="s">
        <v>4634</v>
      </c>
      <c r="F10366" s="331">
        <v>0.21</v>
      </c>
      <c r="G10366" s="332">
        <v>2748</v>
      </c>
      <c r="H10366" s="333">
        <v>3326</v>
      </c>
    </row>
    <row r="10367" spans="1:8">
      <c r="A10367" s="317">
        <v>2602300008</v>
      </c>
      <c r="B10367" s="330" t="s">
        <v>54723</v>
      </c>
      <c r="C10367" s="330" t="s">
        <v>22991</v>
      </c>
      <c r="D10367" s="330" t="s">
        <v>22992</v>
      </c>
      <c r="E10367" s="330" t="s">
        <v>4634</v>
      </c>
      <c r="F10367" s="331">
        <v>0.21</v>
      </c>
      <c r="G10367" s="332">
        <v>1730</v>
      </c>
      <c r="H10367" s="333">
        <v>2094</v>
      </c>
    </row>
    <row r="10368" spans="1:8">
      <c r="A10368" s="317">
        <v>2602300026</v>
      </c>
      <c r="B10368" s="330" t="s">
        <v>54724</v>
      </c>
      <c r="C10368" s="330" t="s">
        <v>22993</v>
      </c>
      <c r="D10368" s="330" t="s">
        <v>22994</v>
      </c>
      <c r="E10368" s="330" t="s">
        <v>4634</v>
      </c>
      <c r="F10368" s="331">
        <v>0.21</v>
      </c>
      <c r="G10368" s="332">
        <v>1782</v>
      </c>
      <c r="H10368" s="333">
        <v>2157</v>
      </c>
    </row>
    <row r="10369" spans="1:8">
      <c r="A10369" s="317">
        <v>2602300028</v>
      </c>
      <c r="B10369" s="330" t="s">
        <v>54725</v>
      </c>
      <c r="C10369" s="330" t="s">
        <v>22995</v>
      </c>
      <c r="D10369" s="330" t="s">
        <v>22996</v>
      </c>
      <c r="E10369" s="330" t="s">
        <v>4634</v>
      </c>
      <c r="F10369" s="331">
        <v>0.21</v>
      </c>
      <c r="G10369" s="332">
        <v>1188</v>
      </c>
      <c r="H10369" s="333">
        <v>1438</v>
      </c>
    </row>
    <row r="10370" spans="1:8">
      <c r="A10370" s="317">
        <v>2602300033</v>
      </c>
      <c r="B10370" s="330" t="s">
        <v>54726</v>
      </c>
      <c r="C10370" s="330" t="s">
        <v>22997</v>
      </c>
      <c r="D10370" s="330" t="s">
        <v>22998</v>
      </c>
      <c r="E10370" s="330" t="s">
        <v>37248</v>
      </c>
      <c r="F10370" s="331">
        <v>0.21</v>
      </c>
      <c r="G10370" s="332">
        <v>2417</v>
      </c>
      <c r="H10370" s="333">
        <v>2925</v>
      </c>
    </row>
    <row r="10371" spans="1:8">
      <c r="A10371" s="317">
        <v>2602305014</v>
      </c>
      <c r="B10371" s="330" t="s">
        <v>54727</v>
      </c>
      <c r="C10371" s="330" t="s">
        <v>22999</v>
      </c>
      <c r="D10371" s="330" t="s">
        <v>23000</v>
      </c>
      <c r="E10371" s="330" t="s">
        <v>4634</v>
      </c>
      <c r="F10371" s="331">
        <v>0.21</v>
      </c>
      <c r="G10371" s="332">
        <v>13804</v>
      </c>
      <c r="H10371" s="333">
        <v>16703</v>
      </c>
    </row>
    <row r="10372" spans="1:8">
      <c r="A10372" s="317">
        <v>2602305016</v>
      </c>
      <c r="B10372" s="330" t="s">
        <v>54728</v>
      </c>
      <c r="C10372" s="330" t="s">
        <v>23001</v>
      </c>
      <c r="D10372" s="330" t="s">
        <v>23000</v>
      </c>
      <c r="E10372" s="330" t="s">
        <v>4634</v>
      </c>
      <c r="F10372" s="331">
        <v>0.21</v>
      </c>
      <c r="G10372" s="332">
        <v>12789</v>
      </c>
      <c r="H10372" s="333">
        <v>15475</v>
      </c>
    </row>
    <row r="10373" spans="1:8">
      <c r="A10373" s="317">
        <v>2602305041</v>
      </c>
      <c r="B10373" s="330" t="s">
        <v>54729</v>
      </c>
      <c r="C10373" s="330" t="s">
        <v>23002</v>
      </c>
      <c r="D10373" s="330" t="s">
        <v>23003</v>
      </c>
      <c r="E10373" s="330" t="s">
        <v>4634</v>
      </c>
      <c r="F10373" s="331">
        <v>0.21</v>
      </c>
      <c r="G10373" s="332">
        <v>325</v>
      </c>
      <c r="H10373" s="333">
        <v>394</v>
      </c>
    </row>
    <row r="10374" spans="1:8">
      <c r="A10374" s="317">
        <v>2602305048</v>
      </c>
      <c r="B10374" s="330" t="s">
        <v>54730</v>
      </c>
      <c r="C10374" s="330" t="s">
        <v>23004</v>
      </c>
      <c r="D10374" s="330" t="s">
        <v>23005</v>
      </c>
      <c r="E10374" s="330" t="s">
        <v>4634</v>
      </c>
      <c r="F10374" s="331">
        <v>0.21</v>
      </c>
      <c r="G10374" s="332">
        <v>348</v>
      </c>
      <c r="H10374" s="333">
        <v>422</v>
      </c>
    </row>
    <row r="10375" spans="1:8">
      <c r="A10375" s="317">
        <v>2602305050</v>
      </c>
      <c r="B10375" s="330" t="s">
        <v>54731</v>
      </c>
      <c r="C10375" s="330" t="s">
        <v>23006</v>
      </c>
      <c r="D10375" s="330" t="s">
        <v>23007</v>
      </c>
      <c r="E10375" s="330" t="s">
        <v>4634</v>
      </c>
      <c r="F10375" s="331">
        <v>0.21</v>
      </c>
      <c r="G10375" s="332">
        <v>648</v>
      </c>
      <c r="H10375" s="333">
        <v>785</v>
      </c>
    </row>
    <row r="10376" spans="1:8">
      <c r="A10376" s="317">
        <v>2602305051</v>
      </c>
      <c r="B10376" s="330" t="s">
        <v>54732</v>
      </c>
      <c r="C10376" s="330" t="s">
        <v>23008</v>
      </c>
      <c r="D10376" s="330" t="s">
        <v>23009</v>
      </c>
      <c r="E10376" s="330" t="s">
        <v>4634</v>
      </c>
      <c r="F10376" s="331">
        <v>0.21</v>
      </c>
      <c r="G10376" s="332">
        <v>348</v>
      </c>
      <c r="H10376" s="333">
        <v>422</v>
      </c>
    </row>
    <row r="10377" spans="1:8">
      <c r="A10377" s="317">
        <v>2602316000</v>
      </c>
      <c r="B10377" s="330" t="s">
        <v>54733</v>
      </c>
      <c r="C10377" s="330" t="s">
        <v>23010</v>
      </c>
      <c r="D10377" s="330" t="s">
        <v>23011</v>
      </c>
      <c r="E10377" s="330" t="s">
        <v>4634</v>
      </c>
      <c r="F10377" s="331">
        <v>0.21</v>
      </c>
      <c r="G10377" s="332">
        <v>1030</v>
      </c>
      <c r="H10377" s="333">
        <v>1247</v>
      </c>
    </row>
    <row r="10378" spans="1:8">
      <c r="A10378" s="317">
        <v>2602316001</v>
      </c>
      <c r="B10378" s="330" t="s">
        <v>54734</v>
      </c>
      <c r="C10378" s="330" t="s">
        <v>23012</v>
      </c>
      <c r="D10378" s="330" t="s">
        <v>23013</v>
      </c>
      <c r="E10378" s="330" t="s">
        <v>4819</v>
      </c>
      <c r="F10378" s="331">
        <v>0.21</v>
      </c>
      <c r="G10378" s="332">
        <v>2900</v>
      </c>
      <c r="H10378" s="333">
        <v>3509</v>
      </c>
    </row>
    <row r="10379" spans="1:8">
      <c r="A10379" s="317">
        <v>2602316006</v>
      </c>
      <c r="B10379" s="330" t="s">
        <v>54735</v>
      </c>
      <c r="C10379" s="330" t="s">
        <v>23014</v>
      </c>
      <c r="D10379" s="330" t="s">
        <v>23015</v>
      </c>
      <c r="E10379" s="330" t="s">
        <v>4634</v>
      </c>
      <c r="F10379" s="331">
        <v>0.21</v>
      </c>
      <c r="G10379" s="332">
        <v>348</v>
      </c>
      <c r="H10379" s="333">
        <v>422</v>
      </c>
    </row>
    <row r="10380" spans="1:8">
      <c r="A10380" s="317">
        <v>2602316007</v>
      </c>
      <c r="B10380" s="330" t="s">
        <v>54736</v>
      </c>
      <c r="C10380" s="330" t="s">
        <v>23016</v>
      </c>
      <c r="D10380" s="330" t="s">
        <v>23017</v>
      </c>
      <c r="E10380" s="330" t="s">
        <v>4634</v>
      </c>
      <c r="F10380" s="331">
        <v>0.21</v>
      </c>
      <c r="G10380" s="332">
        <v>348</v>
      </c>
      <c r="H10380" s="333">
        <v>422</v>
      </c>
    </row>
    <row r="10381" spans="1:8">
      <c r="A10381" s="317">
        <v>2602316011</v>
      </c>
      <c r="B10381" s="330" t="s">
        <v>54737</v>
      </c>
      <c r="C10381" s="330" t="s">
        <v>23018</v>
      </c>
      <c r="D10381" s="330" t="s">
        <v>23019</v>
      </c>
      <c r="E10381" s="330" t="s">
        <v>4634</v>
      </c>
      <c r="F10381" s="331">
        <v>0.21</v>
      </c>
      <c r="G10381" s="332">
        <v>348</v>
      </c>
      <c r="H10381" s="333">
        <v>422</v>
      </c>
    </row>
    <row r="10382" spans="1:8">
      <c r="A10382" s="317">
        <v>2602316900</v>
      </c>
      <c r="B10382" s="330" t="s">
        <v>54738</v>
      </c>
      <c r="C10382" s="330" t="s">
        <v>23020</v>
      </c>
      <c r="D10382" s="330" t="s">
        <v>8321</v>
      </c>
      <c r="E10382" s="330" t="s">
        <v>4634</v>
      </c>
      <c r="F10382" s="331">
        <v>0.21</v>
      </c>
      <c r="G10382" s="332">
        <v>702</v>
      </c>
      <c r="H10382" s="333">
        <v>850</v>
      </c>
    </row>
    <row r="10383" spans="1:8">
      <c r="A10383" s="317">
        <v>2602316902</v>
      </c>
      <c r="B10383" s="330" t="s">
        <v>54739</v>
      </c>
      <c r="C10383" s="330" t="s">
        <v>23021</v>
      </c>
      <c r="D10383" s="330" t="s">
        <v>23022</v>
      </c>
      <c r="E10383" s="330" t="s">
        <v>4634</v>
      </c>
      <c r="F10383" s="331">
        <v>0.21</v>
      </c>
      <c r="G10383" s="332">
        <v>791</v>
      </c>
      <c r="H10383" s="333">
        <v>958</v>
      </c>
    </row>
    <row r="10384" spans="1:8">
      <c r="A10384" s="317">
        <v>2602317025</v>
      </c>
      <c r="B10384" s="330" t="s">
        <v>54740</v>
      </c>
      <c r="C10384" s="330" t="s">
        <v>23023</v>
      </c>
      <c r="D10384" s="330" t="s">
        <v>23024</v>
      </c>
      <c r="E10384" s="330" t="s">
        <v>4634</v>
      </c>
      <c r="F10384" s="331">
        <v>0.21</v>
      </c>
      <c r="G10384" s="332">
        <v>580</v>
      </c>
      <c r="H10384" s="333">
        <v>702</v>
      </c>
    </row>
    <row r="10385" spans="1:8">
      <c r="A10385" s="317">
        <v>2602317037</v>
      </c>
      <c r="B10385" s="330" t="s">
        <v>54741</v>
      </c>
      <c r="C10385" s="330" t="s">
        <v>23025</v>
      </c>
      <c r="D10385" s="330" t="s">
        <v>23026</v>
      </c>
      <c r="E10385" s="330" t="s">
        <v>4634</v>
      </c>
      <c r="F10385" s="331">
        <v>0.21</v>
      </c>
      <c r="G10385" s="332">
        <v>584</v>
      </c>
      <c r="H10385" s="333">
        <v>707</v>
      </c>
    </row>
    <row r="10386" spans="1:8">
      <c r="A10386" s="317">
        <v>2602317053</v>
      </c>
      <c r="B10386" s="330" t="s">
        <v>54742</v>
      </c>
      <c r="C10386" s="330" t="s">
        <v>23027</v>
      </c>
      <c r="D10386" s="330" t="s">
        <v>23028</v>
      </c>
      <c r="E10386" s="330" t="s">
        <v>4634</v>
      </c>
      <c r="F10386" s="331">
        <v>0.21</v>
      </c>
      <c r="G10386" s="332">
        <v>5849</v>
      </c>
      <c r="H10386" s="333">
        <v>7078</v>
      </c>
    </row>
    <row r="10387" spans="1:8">
      <c r="A10387" s="317">
        <v>2602317900</v>
      </c>
      <c r="B10387" s="330" t="s">
        <v>54743</v>
      </c>
      <c r="C10387" s="330" t="s">
        <v>23029</v>
      </c>
      <c r="D10387" s="330" t="s">
        <v>23030</v>
      </c>
      <c r="E10387" s="330" t="s">
        <v>4634</v>
      </c>
      <c r="F10387" s="331">
        <v>0.21</v>
      </c>
      <c r="G10387" s="332">
        <v>1547</v>
      </c>
      <c r="H10387" s="333">
        <v>1872</v>
      </c>
    </row>
    <row r="10388" spans="1:8">
      <c r="A10388" s="317">
        <v>2602319004</v>
      </c>
      <c r="B10388" s="330" t="s">
        <v>54744</v>
      </c>
      <c r="C10388" s="330" t="s">
        <v>23031</v>
      </c>
      <c r="D10388" s="330" t="s">
        <v>15243</v>
      </c>
      <c r="E10388" s="330" t="s">
        <v>4634</v>
      </c>
      <c r="F10388" s="331">
        <v>0.21</v>
      </c>
      <c r="G10388" s="332">
        <v>84</v>
      </c>
      <c r="H10388" s="333">
        <v>102</v>
      </c>
    </row>
    <row r="10389" spans="1:8">
      <c r="A10389" s="317">
        <v>2602319005</v>
      </c>
      <c r="B10389" s="330" t="s">
        <v>54745</v>
      </c>
      <c r="C10389" s="330" t="s">
        <v>23032</v>
      </c>
      <c r="D10389" s="330" t="s">
        <v>23033</v>
      </c>
      <c r="E10389" s="330" t="s">
        <v>4819</v>
      </c>
      <c r="F10389" s="331">
        <v>0.21</v>
      </c>
      <c r="G10389" s="332">
        <v>1701</v>
      </c>
      <c r="H10389" s="333">
        <v>2059</v>
      </c>
    </row>
    <row r="10390" spans="1:8">
      <c r="A10390" s="317">
        <v>2602319008</v>
      </c>
      <c r="B10390" s="330" t="s">
        <v>54746</v>
      </c>
      <c r="C10390" s="330" t="s">
        <v>23034</v>
      </c>
      <c r="D10390" s="330" t="s">
        <v>23035</v>
      </c>
      <c r="E10390" s="330" t="s">
        <v>4634</v>
      </c>
      <c r="F10390" s="331">
        <v>0.21</v>
      </c>
      <c r="G10390" s="332">
        <v>372</v>
      </c>
      <c r="H10390" s="333">
        <v>451</v>
      </c>
    </row>
    <row r="10391" spans="1:8">
      <c r="A10391" s="317">
        <v>2602319009</v>
      </c>
      <c r="B10391" s="330" t="s">
        <v>54747</v>
      </c>
      <c r="C10391" s="330" t="s">
        <v>23036</v>
      </c>
      <c r="D10391" s="330" t="s">
        <v>23037</v>
      </c>
      <c r="E10391" s="330" t="s">
        <v>4634</v>
      </c>
      <c r="F10391" s="331">
        <v>0.21</v>
      </c>
      <c r="G10391" s="332">
        <v>584</v>
      </c>
      <c r="H10391" s="333">
        <v>707</v>
      </c>
    </row>
    <row r="10392" spans="1:8">
      <c r="A10392" s="317">
        <v>2602319013</v>
      </c>
      <c r="B10392" s="330" t="s">
        <v>54748</v>
      </c>
      <c r="C10392" s="330" t="s">
        <v>23038</v>
      </c>
      <c r="D10392" s="330" t="s">
        <v>23039</v>
      </c>
      <c r="E10392" s="330" t="s">
        <v>4634</v>
      </c>
      <c r="F10392" s="331">
        <v>0.21</v>
      </c>
      <c r="G10392" s="332">
        <v>348</v>
      </c>
      <c r="H10392" s="333">
        <v>422</v>
      </c>
    </row>
    <row r="10393" spans="1:8">
      <c r="A10393" s="317">
        <v>2602319014</v>
      </c>
      <c r="B10393" s="330" t="s">
        <v>54749</v>
      </c>
      <c r="C10393" s="330" t="s">
        <v>23040</v>
      </c>
      <c r="D10393" s="330" t="s">
        <v>23041</v>
      </c>
      <c r="E10393" s="330" t="s">
        <v>4634</v>
      </c>
      <c r="F10393" s="331">
        <v>0.21</v>
      </c>
      <c r="G10393" s="332">
        <v>455</v>
      </c>
      <c r="H10393" s="333">
        <v>551</v>
      </c>
    </row>
    <row r="10394" spans="1:8">
      <c r="A10394" s="317">
        <v>2602319021</v>
      </c>
      <c r="B10394" s="330" t="s">
        <v>54750</v>
      </c>
      <c r="C10394" s="330" t="s">
        <v>23042</v>
      </c>
      <c r="D10394" s="330" t="s">
        <v>23043</v>
      </c>
      <c r="E10394" s="330" t="s">
        <v>4634</v>
      </c>
      <c r="F10394" s="331">
        <v>0.21</v>
      </c>
      <c r="G10394" s="332">
        <v>412</v>
      </c>
      <c r="H10394" s="333">
        <v>499</v>
      </c>
    </row>
    <row r="10395" spans="1:8">
      <c r="A10395" s="317">
        <v>2602329011</v>
      </c>
      <c r="B10395" s="330" t="s">
        <v>54751</v>
      </c>
      <c r="C10395" s="330" t="s">
        <v>23044</v>
      </c>
      <c r="D10395" s="330" t="s">
        <v>23045</v>
      </c>
      <c r="E10395" s="330" t="s">
        <v>4819</v>
      </c>
      <c r="F10395" s="331">
        <v>0.21</v>
      </c>
      <c r="G10395" s="332">
        <v>3707</v>
      </c>
      <c r="H10395" s="333">
        <v>4486</v>
      </c>
    </row>
    <row r="10396" spans="1:8">
      <c r="A10396" s="317">
        <v>2602329022</v>
      </c>
      <c r="B10396" s="330" t="s">
        <v>54752</v>
      </c>
      <c r="C10396" s="330" t="s">
        <v>23046</v>
      </c>
      <c r="D10396" s="330" t="s">
        <v>23047</v>
      </c>
      <c r="E10396" s="330" t="s">
        <v>4634</v>
      </c>
      <c r="F10396" s="331">
        <v>0.21</v>
      </c>
      <c r="G10396" s="332">
        <v>372</v>
      </c>
      <c r="H10396" s="333">
        <v>451</v>
      </c>
    </row>
    <row r="10397" spans="1:8">
      <c r="A10397" s="317">
        <v>2602380003</v>
      </c>
      <c r="B10397" s="330" t="s">
        <v>54753</v>
      </c>
      <c r="C10397" s="330" t="s">
        <v>23048</v>
      </c>
      <c r="D10397" s="330" t="s">
        <v>23049</v>
      </c>
      <c r="E10397" s="330" t="s">
        <v>4634</v>
      </c>
      <c r="F10397" s="331">
        <v>0.21</v>
      </c>
      <c r="G10397" s="332">
        <v>372</v>
      </c>
      <c r="H10397" s="333">
        <v>451</v>
      </c>
    </row>
    <row r="10398" spans="1:8">
      <c r="A10398" s="317">
        <v>2602388004</v>
      </c>
      <c r="B10398" s="330" t="s">
        <v>54754</v>
      </c>
      <c r="C10398" s="330" t="s">
        <v>23050</v>
      </c>
      <c r="D10398" s="330" t="s">
        <v>23051</v>
      </c>
      <c r="E10398" s="330" t="s">
        <v>4634</v>
      </c>
      <c r="F10398" s="331">
        <v>0.21</v>
      </c>
      <c r="G10398" s="332">
        <v>450</v>
      </c>
      <c r="H10398" s="333">
        <v>545</v>
      </c>
    </row>
    <row r="10399" spans="1:8">
      <c r="A10399" s="317">
        <v>2602388010</v>
      </c>
      <c r="B10399" s="330" t="s">
        <v>54755</v>
      </c>
      <c r="C10399" s="330" t="s">
        <v>23052</v>
      </c>
      <c r="D10399" s="330" t="s">
        <v>23053</v>
      </c>
      <c r="E10399" s="330" t="s">
        <v>4634</v>
      </c>
      <c r="F10399" s="331">
        <v>0.21</v>
      </c>
      <c r="G10399" s="332">
        <v>1030</v>
      </c>
      <c r="H10399" s="333">
        <v>1247</v>
      </c>
    </row>
    <row r="10400" spans="1:8">
      <c r="A10400" s="317">
        <v>2602388026</v>
      </c>
      <c r="B10400" s="330" t="s">
        <v>54756</v>
      </c>
      <c r="C10400" s="330" t="s">
        <v>23054</v>
      </c>
      <c r="D10400" s="330" t="s">
        <v>23055</v>
      </c>
      <c r="E10400" s="330" t="s">
        <v>37248</v>
      </c>
      <c r="F10400" s="331">
        <v>0.21</v>
      </c>
      <c r="G10400" s="332">
        <v>452</v>
      </c>
      <c r="H10400" s="333">
        <v>547</v>
      </c>
    </row>
    <row r="10401" spans="1:8">
      <c r="A10401" s="317">
        <v>2602389001</v>
      </c>
      <c r="B10401" s="330" t="s">
        <v>54757</v>
      </c>
      <c r="C10401" s="330" t="s">
        <v>23056</v>
      </c>
      <c r="D10401" s="330" t="s">
        <v>23057</v>
      </c>
      <c r="E10401" s="330" t="s">
        <v>4634</v>
      </c>
      <c r="F10401" s="331">
        <v>0.21</v>
      </c>
      <c r="G10401" s="332">
        <v>437</v>
      </c>
      <c r="H10401" s="333">
        <v>529</v>
      </c>
    </row>
    <row r="10402" spans="1:8">
      <c r="A10402" s="317">
        <v>2602391004</v>
      </c>
      <c r="B10402" s="330" t="s">
        <v>54758</v>
      </c>
      <c r="C10402" s="330" t="s">
        <v>23058</v>
      </c>
      <c r="D10402" s="330" t="s">
        <v>23059</v>
      </c>
      <c r="E10402" s="330" t="s">
        <v>4623</v>
      </c>
      <c r="F10402" s="331">
        <v>0.21</v>
      </c>
      <c r="G10402" s="332">
        <v>1344</v>
      </c>
      <c r="H10402" s="333">
        <v>1627</v>
      </c>
    </row>
    <row r="10403" spans="1:8">
      <c r="A10403" s="317">
        <v>2603000016</v>
      </c>
      <c r="B10403" s="330" t="s">
        <v>54759</v>
      </c>
      <c r="C10403" s="330" t="s">
        <v>23060</v>
      </c>
      <c r="D10403" s="330" t="s">
        <v>23061</v>
      </c>
      <c r="E10403" s="330" t="s">
        <v>4634</v>
      </c>
      <c r="F10403" s="331">
        <v>0.21</v>
      </c>
      <c r="G10403" s="332">
        <v>5909</v>
      </c>
      <c r="H10403" s="333">
        <v>7150</v>
      </c>
    </row>
    <row r="10404" spans="1:8">
      <c r="A10404" s="317">
        <v>2603001009</v>
      </c>
      <c r="B10404" s="330" t="s">
        <v>54760</v>
      </c>
      <c r="C10404" s="330" t="s">
        <v>23062</v>
      </c>
      <c r="D10404" s="330" t="s">
        <v>23063</v>
      </c>
      <c r="E10404" s="330" t="s">
        <v>4819</v>
      </c>
      <c r="F10404" s="331">
        <v>0.21</v>
      </c>
      <c r="G10404" s="332">
        <v>1505</v>
      </c>
      <c r="H10404" s="333">
        <v>1822</v>
      </c>
    </row>
    <row r="10405" spans="1:8">
      <c r="A10405" s="317">
        <v>2603010002</v>
      </c>
      <c r="B10405" s="330" t="s">
        <v>54761</v>
      </c>
      <c r="C10405" s="330" t="s">
        <v>23064</v>
      </c>
      <c r="D10405" s="330" t="s">
        <v>23065</v>
      </c>
      <c r="E10405" s="330" t="s">
        <v>4634</v>
      </c>
      <c r="F10405" s="331">
        <v>0.21</v>
      </c>
      <c r="G10405" s="332">
        <v>8178</v>
      </c>
      <c r="H10405" s="333">
        <v>9896</v>
      </c>
    </row>
    <row r="10406" spans="1:8">
      <c r="A10406" s="317">
        <v>2603070005</v>
      </c>
      <c r="B10406" s="330" t="s">
        <v>54762</v>
      </c>
      <c r="C10406" s="330" t="s">
        <v>23066</v>
      </c>
      <c r="D10406" s="330" t="s">
        <v>23067</v>
      </c>
      <c r="E10406" s="330" t="s">
        <v>4634</v>
      </c>
      <c r="F10406" s="331">
        <v>0.21</v>
      </c>
      <c r="G10406" s="332">
        <v>3852</v>
      </c>
      <c r="H10406" s="333">
        <v>4661</v>
      </c>
    </row>
    <row r="10407" spans="1:8">
      <c r="A10407" s="317">
        <v>2603070008</v>
      </c>
      <c r="B10407" s="330" t="s">
        <v>54763</v>
      </c>
      <c r="C10407" s="330" t="s">
        <v>23068</v>
      </c>
      <c r="D10407" s="330" t="s">
        <v>23069</v>
      </c>
      <c r="E10407" s="330" t="s">
        <v>4819</v>
      </c>
      <c r="F10407" s="331">
        <v>0.21</v>
      </c>
      <c r="G10407" s="332">
        <v>66574</v>
      </c>
      <c r="H10407" s="333">
        <v>80555</v>
      </c>
    </row>
    <row r="10408" spans="1:8">
      <c r="A10408" s="317">
        <v>2603100000</v>
      </c>
      <c r="B10408" s="330" t="s">
        <v>54764</v>
      </c>
      <c r="C10408" s="330" t="s">
        <v>23070</v>
      </c>
      <c r="D10408" s="330" t="s">
        <v>23071</v>
      </c>
      <c r="E10408" s="330" t="s">
        <v>4634</v>
      </c>
      <c r="F10408" s="331">
        <v>0.21</v>
      </c>
      <c r="G10408" s="332">
        <v>111</v>
      </c>
      <c r="H10408" s="333">
        <v>135</v>
      </c>
    </row>
    <row r="10409" spans="1:8">
      <c r="A10409" s="317">
        <v>2603100003</v>
      </c>
      <c r="B10409" s="330" t="s">
        <v>54765</v>
      </c>
      <c r="C10409" s="330" t="s">
        <v>23072</v>
      </c>
      <c r="D10409" s="330" t="s">
        <v>23073</v>
      </c>
      <c r="E10409" s="330" t="s">
        <v>4634</v>
      </c>
      <c r="F10409" s="331">
        <v>0.21</v>
      </c>
      <c r="G10409" s="332">
        <v>584</v>
      </c>
      <c r="H10409" s="333">
        <v>707</v>
      </c>
    </row>
    <row r="10410" spans="1:8">
      <c r="A10410" s="317">
        <v>2603100031</v>
      </c>
      <c r="B10410" s="330" t="s">
        <v>54766</v>
      </c>
      <c r="C10410" s="330" t="s">
        <v>23074</v>
      </c>
      <c r="D10410" s="330" t="s">
        <v>8670</v>
      </c>
      <c r="E10410" s="330" t="s">
        <v>4634</v>
      </c>
      <c r="F10410" s="331">
        <v>0.21</v>
      </c>
      <c r="G10410" s="332">
        <v>174</v>
      </c>
      <c r="H10410" s="333">
        <v>211</v>
      </c>
    </row>
    <row r="10411" spans="1:8">
      <c r="A10411" s="317">
        <v>2603100032</v>
      </c>
      <c r="B10411" s="330" t="s">
        <v>54767</v>
      </c>
      <c r="C10411" s="330" t="s">
        <v>23075</v>
      </c>
      <c r="D10411" s="330" t="s">
        <v>8670</v>
      </c>
      <c r="E10411" s="330" t="s">
        <v>4634</v>
      </c>
      <c r="F10411" s="331">
        <v>0.21</v>
      </c>
      <c r="G10411" s="332">
        <v>278</v>
      </c>
      <c r="H10411" s="333">
        <v>337</v>
      </c>
    </row>
    <row r="10412" spans="1:8">
      <c r="A10412" s="317">
        <v>2603100047</v>
      </c>
      <c r="B10412" s="330" t="s">
        <v>54768</v>
      </c>
      <c r="C10412" s="330" t="s">
        <v>23076</v>
      </c>
      <c r="D10412" s="330" t="s">
        <v>23077</v>
      </c>
      <c r="E10412" s="330" t="s">
        <v>4634</v>
      </c>
      <c r="F10412" s="331">
        <v>0.21</v>
      </c>
      <c r="G10412" s="332">
        <v>58</v>
      </c>
      <c r="H10412" s="333">
        <v>71</v>
      </c>
    </row>
    <row r="10413" spans="1:8">
      <c r="A10413" s="317">
        <v>2603100056</v>
      </c>
      <c r="B10413" s="330" t="s">
        <v>54769</v>
      </c>
      <c r="C10413" s="330" t="s">
        <v>23078</v>
      </c>
      <c r="D10413" s="330" t="s">
        <v>23079</v>
      </c>
      <c r="E10413" s="330" t="s">
        <v>4819</v>
      </c>
      <c r="F10413" s="331">
        <v>0.21</v>
      </c>
      <c r="G10413" s="332">
        <v>2328</v>
      </c>
      <c r="H10413" s="333">
        <v>2817</v>
      </c>
    </row>
    <row r="10414" spans="1:8">
      <c r="A10414" s="317">
        <v>2603100057</v>
      </c>
      <c r="B10414" s="330" t="s">
        <v>54770</v>
      </c>
      <c r="C10414" s="330" t="s">
        <v>23080</v>
      </c>
      <c r="D10414" s="330" t="s">
        <v>23081</v>
      </c>
      <c r="E10414" s="330" t="s">
        <v>4634</v>
      </c>
      <c r="F10414" s="331">
        <v>0.21</v>
      </c>
      <c r="G10414" s="332">
        <v>372</v>
      </c>
      <c r="H10414" s="333">
        <v>451</v>
      </c>
    </row>
    <row r="10415" spans="1:8">
      <c r="A10415" s="317">
        <v>2603100069</v>
      </c>
      <c r="B10415" s="330" t="s">
        <v>54771</v>
      </c>
      <c r="C10415" s="330" t="s">
        <v>23082</v>
      </c>
      <c r="D10415" s="330" t="s">
        <v>23083</v>
      </c>
      <c r="E10415" s="330" t="s">
        <v>4634</v>
      </c>
      <c r="F10415" s="331">
        <v>0.21</v>
      </c>
      <c r="G10415" s="332">
        <v>432</v>
      </c>
      <c r="H10415" s="333">
        <v>523</v>
      </c>
    </row>
    <row r="10416" spans="1:8">
      <c r="A10416" s="317">
        <v>2603101002</v>
      </c>
      <c r="B10416" s="330" t="s">
        <v>54772</v>
      </c>
      <c r="C10416" s="330" t="s">
        <v>23084</v>
      </c>
      <c r="D10416" s="330" t="s">
        <v>23085</v>
      </c>
      <c r="E10416" s="330" t="s">
        <v>4634</v>
      </c>
      <c r="F10416" s="331">
        <v>0.21</v>
      </c>
      <c r="G10416" s="332">
        <v>437</v>
      </c>
      <c r="H10416" s="333">
        <v>529</v>
      </c>
    </row>
    <row r="10417" spans="1:8">
      <c r="A10417" s="317">
        <v>2603101046</v>
      </c>
      <c r="B10417" s="330" t="s">
        <v>54773</v>
      </c>
      <c r="C10417" s="330" t="s">
        <v>23086</v>
      </c>
      <c r="D10417" s="330" t="s">
        <v>23087</v>
      </c>
      <c r="E10417" s="330" t="s">
        <v>4634</v>
      </c>
      <c r="F10417" s="331">
        <v>0.21</v>
      </c>
      <c r="G10417" s="332">
        <v>372</v>
      </c>
      <c r="H10417" s="333">
        <v>451</v>
      </c>
    </row>
    <row r="10418" spans="1:8">
      <c r="A10418" s="317">
        <v>2603101056</v>
      </c>
      <c r="B10418" s="330" t="s">
        <v>54774</v>
      </c>
      <c r="C10418" s="330" t="s">
        <v>23088</v>
      </c>
      <c r="D10418" s="330" t="s">
        <v>23089</v>
      </c>
      <c r="E10418" s="330" t="s">
        <v>4634</v>
      </c>
      <c r="F10418" s="331">
        <v>0.21</v>
      </c>
      <c r="G10418" s="332">
        <v>372</v>
      </c>
      <c r="H10418" s="333">
        <v>451</v>
      </c>
    </row>
    <row r="10419" spans="1:8">
      <c r="A10419" s="317">
        <v>2603101065</v>
      </c>
      <c r="B10419" s="330" t="s">
        <v>54775</v>
      </c>
      <c r="C10419" s="330" t="s">
        <v>23090</v>
      </c>
      <c r="D10419" s="330" t="s">
        <v>18850</v>
      </c>
      <c r="E10419" s="330" t="s">
        <v>37248</v>
      </c>
      <c r="F10419" s="331">
        <v>0.21</v>
      </c>
      <c r="G10419" s="332">
        <v>600</v>
      </c>
      <c r="H10419" s="333">
        <v>726</v>
      </c>
    </row>
    <row r="10420" spans="1:8">
      <c r="A10420" s="317">
        <v>2603101070</v>
      </c>
      <c r="B10420" s="330" t="s">
        <v>54776</v>
      </c>
      <c r="C10420" s="330" t="s">
        <v>23091</v>
      </c>
      <c r="D10420" s="330" t="s">
        <v>23092</v>
      </c>
      <c r="E10420" s="330" t="s">
        <v>37248</v>
      </c>
      <c r="F10420" s="331">
        <v>0.21</v>
      </c>
      <c r="G10420" s="332">
        <v>515</v>
      </c>
      <c r="H10420" s="333">
        <v>624</v>
      </c>
    </row>
    <row r="10421" spans="1:8">
      <c r="A10421" s="317">
        <v>2603102007</v>
      </c>
      <c r="B10421" s="330" t="s">
        <v>54777</v>
      </c>
      <c r="C10421" s="330" t="s">
        <v>23093</v>
      </c>
      <c r="D10421" s="330" t="s">
        <v>23094</v>
      </c>
      <c r="E10421" s="330" t="s">
        <v>4634</v>
      </c>
      <c r="F10421" s="331">
        <v>0.21</v>
      </c>
      <c r="G10421" s="332">
        <v>437</v>
      </c>
      <c r="H10421" s="333">
        <v>529</v>
      </c>
    </row>
    <row r="10422" spans="1:8">
      <c r="A10422" s="317">
        <v>2603104001</v>
      </c>
      <c r="B10422" s="330" t="s">
        <v>54778</v>
      </c>
      <c r="C10422" s="330" t="s">
        <v>23095</v>
      </c>
      <c r="D10422" s="330" t="s">
        <v>23096</v>
      </c>
      <c r="E10422" s="330" t="s">
        <v>4634</v>
      </c>
      <c r="F10422" s="331">
        <v>0.21</v>
      </c>
      <c r="G10422" s="332">
        <v>14694</v>
      </c>
      <c r="H10422" s="333">
        <v>17780</v>
      </c>
    </row>
    <row r="10423" spans="1:8">
      <c r="A10423" s="317">
        <v>2603105015</v>
      </c>
      <c r="B10423" s="330" t="s">
        <v>54779</v>
      </c>
      <c r="C10423" s="330" t="s">
        <v>23097</v>
      </c>
      <c r="D10423" s="330" t="s">
        <v>23098</v>
      </c>
      <c r="E10423" s="330" t="s">
        <v>4634</v>
      </c>
      <c r="F10423" s="331">
        <v>0.21</v>
      </c>
      <c r="G10423" s="332">
        <v>455</v>
      </c>
      <c r="H10423" s="333">
        <v>551</v>
      </c>
    </row>
    <row r="10424" spans="1:8">
      <c r="A10424" s="317">
        <v>2603105021</v>
      </c>
      <c r="B10424" s="330" t="s">
        <v>54780</v>
      </c>
      <c r="C10424" s="330" t="s">
        <v>23099</v>
      </c>
      <c r="D10424" s="330" t="s">
        <v>8702</v>
      </c>
      <c r="E10424" s="330" t="s">
        <v>4634</v>
      </c>
      <c r="F10424" s="331">
        <v>0.21</v>
      </c>
      <c r="G10424" s="332">
        <v>584</v>
      </c>
      <c r="H10424" s="333">
        <v>707</v>
      </c>
    </row>
    <row r="10425" spans="1:8">
      <c r="A10425" s="317">
        <v>2603105022</v>
      </c>
      <c r="B10425" s="330" t="s">
        <v>54781</v>
      </c>
      <c r="C10425" s="330" t="s">
        <v>23100</v>
      </c>
      <c r="D10425" s="330" t="s">
        <v>23098</v>
      </c>
      <c r="E10425" s="330" t="s">
        <v>4634</v>
      </c>
      <c r="F10425" s="331">
        <v>0.21</v>
      </c>
      <c r="G10425" s="332">
        <v>455</v>
      </c>
      <c r="H10425" s="333">
        <v>551</v>
      </c>
    </row>
    <row r="10426" spans="1:8">
      <c r="A10426" s="317">
        <v>2603105027</v>
      </c>
      <c r="B10426" s="330" t="s">
        <v>54782</v>
      </c>
      <c r="C10426" s="330" t="s">
        <v>23101</v>
      </c>
      <c r="D10426" s="330" t="s">
        <v>8670</v>
      </c>
      <c r="E10426" s="330" t="s">
        <v>4634</v>
      </c>
      <c r="F10426" s="331">
        <v>0.21</v>
      </c>
      <c r="G10426" s="332">
        <v>372</v>
      </c>
      <c r="H10426" s="333">
        <v>451</v>
      </c>
    </row>
    <row r="10427" spans="1:8">
      <c r="A10427" s="317">
        <v>2603105038</v>
      </c>
      <c r="B10427" s="330" t="s">
        <v>54783</v>
      </c>
      <c r="C10427" s="330" t="s">
        <v>23102</v>
      </c>
      <c r="D10427" s="330" t="s">
        <v>23103</v>
      </c>
      <c r="E10427" s="330" t="s">
        <v>4634</v>
      </c>
      <c r="F10427" s="331">
        <v>0.21</v>
      </c>
      <c r="G10427" s="332">
        <v>372</v>
      </c>
      <c r="H10427" s="333">
        <v>451</v>
      </c>
    </row>
    <row r="10428" spans="1:8">
      <c r="A10428" s="317">
        <v>2603105044</v>
      </c>
      <c r="B10428" s="330" t="s">
        <v>54784</v>
      </c>
      <c r="C10428" s="330" t="s">
        <v>23104</v>
      </c>
      <c r="D10428" s="330" t="s">
        <v>23105</v>
      </c>
      <c r="E10428" s="330" t="s">
        <v>4634</v>
      </c>
      <c r="F10428" s="331">
        <v>0.21</v>
      </c>
      <c r="G10428" s="332">
        <v>1170</v>
      </c>
      <c r="H10428" s="333">
        <v>1416</v>
      </c>
    </row>
    <row r="10429" spans="1:8">
      <c r="A10429" s="317">
        <v>2603105050</v>
      </c>
      <c r="B10429" s="330" t="s">
        <v>54785</v>
      </c>
      <c r="C10429" s="330" t="s">
        <v>23106</v>
      </c>
      <c r="D10429" s="330" t="s">
        <v>23107</v>
      </c>
      <c r="E10429" s="330" t="s">
        <v>4634</v>
      </c>
      <c r="F10429" s="331">
        <v>0.21</v>
      </c>
      <c r="G10429" s="332">
        <v>372</v>
      </c>
      <c r="H10429" s="333">
        <v>451</v>
      </c>
    </row>
    <row r="10430" spans="1:8">
      <c r="A10430" s="317">
        <v>2603105051</v>
      </c>
      <c r="B10430" s="330" t="s">
        <v>54786</v>
      </c>
      <c r="C10430" s="330" t="s">
        <v>23108</v>
      </c>
      <c r="D10430" s="330" t="s">
        <v>23109</v>
      </c>
      <c r="E10430" s="330" t="s">
        <v>4634</v>
      </c>
      <c r="F10430" s="331">
        <v>0.21</v>
      </c>
      <c r="G10430" s="332">
        <v>153</v>
      </c>
      <c r="H10430" s="333">
        <v>186</v>
      </c>
    </row>
    <row r="10431" spans="1:8">
      <c r="A10431" s="317">
        <v>2603105052</v>
      </c>
      <c r="B10431" s="330" t="s">
        <v>54787</v>
      </c>
      <c r="C10431" s="330" t="s">
        <v>23110</v>
      </c>
      <c r="D10431" s="330" t="s">
        <v>23111</v>
      </c>
      <c r="E10431" s="330" t="s">
        <v>4634</v>
      </c>
      <c r="F10431" s="331">
        <v>0.21</v>
      </c>
      <c r="G10431" s="332">
        <v>280</v>
      </c>
      <c r="H10431" s="333">
        <v>339</v>
      </c>
    </row>
    <row r="10432" spans="1:8">
      <c r="A10432" s="317">
        <v>2603105053</v>
      </c>
      <c r="B10432" s="330" t="s">
        <v>54788</v>
      </c>
      <c r="C10432" s="330" t="s">
        <v>23112</v>
      </c>
      <c r="D10432" s="330" t="s">
        <v>23113</v>
      </c>
      <c r="E10432" s="330" t="s">
        <v>4634</v>
      </c>
      <c r="F10432" s="331">
        <v>0.21</v>
      </c>
      <c r="G10432" s="332">
        <v>432</v>
      </c>
      <c r="H10432" s="333">
        <v>523</v>
      </c>
    </row>
    <row r="10433" spans="1:8">
      <c r="A10433" s="317">
        <v>2603105054</v>
      </c>
      <c r="B10433" s="330" t="s">
        <v>54789</v>
      </c>
      <c r="C10433" s="330" t="s">
        <v>23114</v>
      </c>
      <c r="D10433" s="330" t="s">
        <v>23115</v>
      </c>
      <c r="E10433" s="330" t="s">
        <v>4634</v>
      </c>
      <c r="F10433" s="331">
        <v>0.21</v>
      </c>
      <c r="G10433" s="332">
        <v>678</v>
      </c>
      <c r="H10433" s="333">
        <v>821</v>
      </c>
    </row>
    <row r="10434" spans="1:8">
      <c r="A10434" s="317">
        <v>2603105065</v>
      </c>
      <c r="B10434" s="330" t="s">
        <v>54790</v>
      </c>
      <c r="C10434" s="330" t="s">
        <v>23116</v>
      </c>
      <c r="D10434" s="330" t="s">
        <v>23117</v>
      </c>
      <c r="E10434" s="330" t="s">
        <v>4634</v>
      </c>
      <c r="F10434" s="331">
        <v>0.21</v>
      </c>
      <c r="G10434" s="332">
        <v>678</v>
      </c>
      <c r="H10434" s="333">
        <v>821</v>
      </c>
    </row>
    <row r="10435" spans="1:8">
      <c r="A10435" s="317">
        <v>2603105067</v>
      </c>
      <c r="B10435" s="330" t="s">
        <v>54791</v>
      </c>
      <c r="C10435" s="330" t="s">
        <v>23118</v>
      </c>
      <c r="D10435" s="330" t="s">
        <v>23119</v>
      </c>
      <c r="E10435" s="330" t="s">
        <v>4634</v>
      </c>
      <c r="F10435" s="331">
        <v>0.21</v>
      </c>
      <c r="G10435" s="332">
        <v>387</v>
      </c>
      <c r="H10435" s="333">
        <v>469</v>
      </c>
    </row>
    <row r="10436" spans="1:8">
      <c r="A10436" s="317">
        <v>2603105080</v>
      </c>
      <c r="B10436" s="330" t="s">
        <v>54792</v>
      </c>
      <c r="C10436" s="330" t="s">
        <v>23120</v>
      </c>
      <c r="D10436" s="330" t="s">
        <v>8702</v>
      </c>
      <c r="E10436" s="330" t="s">
        <v>4634</v>
      </c>
      <c r="F10436" s="331">
        <v>0.21</v>
      </c>
      <c r="G10436" s="332">
        <v>648</v>
      </c>
      <c r="H10436" s="333">
        <v>785</v>
      </c>
    </row>
    <row r="10437" spans="1:8">
      <c r="A10437" s="317">
        <v>2603105083</v>
      </c>
      <c r="B10437" s="330" t="s">
        <v>54793</v>
      </c>
      <c r="C10437" s="330" t="s">
        <v>23121</v>
      </c>
      <c r="D10437" s="330" t="s">
        <v>23122</v>
      </c>
      <c r="E10437" s="330" t="s">
        <v>4634</v>
      </c>
      <c r="F10437" s="331">
        <v>0.21</v>
      </c>
      <c r="G10437" s="332">
        <v>1505</v>
      </c>
      <c r="H10437" s="333">
        <v>1822</v>
      </c>
    </row>
    <row r="10438" spans="1:8">
      <c r="A10438" s="317">
        <v>2603105084</v>
      </c>
      <c r="B10438" s="330" t="s">
        <v>54794</v>
      </c>
      <c r="C10438" s="330" t="s">
        <v>23123</v>
      </c>
      <c r="D10438" s="330" t="s">
        <v>8702</v>
      </c>
      <c r="E10438" s="330" t="s">
        <v>4634</v>
      </c>
      <c r="F10438" s="331">
        <v>0.21</v>
      </c>
      <c r="G10438" s="332">
        <v>455</v>
      </c>
      <c r="H10438" s="333">
        <v>551</v>
      </c>
    </row>
    <row r="10439" spans="1:8">
      <c r="A10439" s="317">
        <v>2603105088</v>
      </c>
      <c r="B10439" s="330" t="s">
        <v>54795</v>
      </c>
      <c r="C10439" s="330" t="s">
        <v>23124</v>
      </c>
      <c r="D10439" s="330" t="s">
        <v>23125</v>
      </c>
      <c r="E10439" s="330" t="s">
        <v>4819</v>
      </c>
      <c r="F10439" s="331">
        <v>0.21</v>
      </c>
      <c r="G10439" s="332">
        <v>2094</v>
      </c>
      <c r="H10439" s="333">
        <v>2534</v>
      </c>
    </row>
    <row r="10440" spans="1:8">
      <c r="A10440" s="317">
        <v>2603105091</v>
      </c>
      <c r="B10440" s="330" t="s">
        <v>54796</v>
      </c>
      <c r="C10440" s="330" t="s">
        <v>23126</v>
      </c>
      <c r="D10440" s="330" t="s">
        <v>8702</v>
      </c>
      <c r="E10440" s="330" t="s">
        <v>4634</v>
      </c>
      <c r="F10440" s="331">
        <v>0.21</v>
      </c>
      <c r="G10440" s="332">
        <v>648</v>
      </c>
      <c r="H10440" s="333">
        <v>785</v>
      </c>
    </row>
    <row r="10441" spans="1:8">
      <c r="A10441" s="317">
        <v>2603105104</v>
      </c>
      <c r="B10441" s="330" t="s">
        <v>54797</v>
      </c>
      <c r="C10441" s="330" t="s">
        <v>23127</v>
      </c>
      <c r="D10441" s="330" t="s">
        <v>23128</v>
      </c>
      <c r="E10441" s="330" t="s">
        <v>4634</v>
      </c>
      <c r="F10441" s="331">
        <v>0.21</v>
      </c>
      <c r="G10441" s="332">
        <v>372</v>
      </c>
      <c r="H10441" s="333">
        <v>451</v>
      </c>
    </row>
    <row r="10442" spans="1:8">
      <c r="A10442" s="317">
        <v>2603105131</v>
      </c>
      <c r="B10442" s="330" t="s">
        <v>54798</v>
      </c>
      <c r="C10442" s="330" t="s">
        <v>23129</v>
      </c>
      <c r="D10442" s="330" t="s">
        <v>23130</v>
      </c>
      <c r="E10442" s="330" t="s">
        <v>4634</v>
      </c>
      <c r="F10442" s="331">
        <v>0.21</v>
      </c>
      <c r="G10442" s="332">
        <v>455</v>
      </c>
      <c r="H10442" s="333">
        <v>551</v>
      </c>
    </row>
    <row r="10443" spans="1:8">
      <c r="A10443" s="317">
        <v>2603105136</v>
      </c>
      <c r="B10443" s="330" t="s">
        <v>54799</v>
      </c>
      <c r="C10443" s="330" t="s">
        <v>23131</v>
      </c>
      <c r="D10443" s="330" t="s">
        <v>18334</v>
      </c>
      <c r="E10443" s="330" t="s">
        <v>4819</v>
      </c>
      <c r="F10443" s="331">
        <v>0.21</v>
      </c>
      <c r="G10443" s="332">
        <v>537</v>
      </c>
      <c r="H10443" s="333">
        <v>650</v>
      </c>
    </row>
    <row r="10444" spans="1:8">
      <c r="A10444" s="317">
        <v>2603105143</v>
      </c>
      <c r="B10444" s="330" t="s">
        <v>54800</v>
      </c>
      <c r="C10444" s="330" t="s">
        <v>23132</v>
      </c>
      <c r="D10444" s="330" t="s">
        <v>23133</v>
      </c>
      <c r="E10444" s="330" t="s">
        <v>37248</v>
      </c>
      <c r="F10444" s="331">
        <v>0.21</v>
      </c>
      <c r="G10444" s="332">
        <v>452</v>
      </c>
      <c r="H10444" s="333">
        <v>547</v>
      </c>
    </row>
    <row r="10445" spans="1:8">
      <c r="A10445" s="317">
        <v>2603105200</v>
      </c>
      <c r="B10445" s="330" t="s">
        <v>54801</v>
      </c>
      <c r="C10445" s="330" t="s">
        <v>23134</v>
      </c>
      <c r="D10445" s="330" t="s">
        <v>4879</v>
      </c>
      <c r="E10445" s="330" t="s">
        <v>37248</v>
      </c>
      <c r="F10445" s="331">
        <v>0.21</v>
      </c>
      <c r="G10445" s="332">
        <v>3506</v>
      </c>
      <c r="H10445" s="333">
        <v>4243</v>
      </c>
    </row>
    <row r="10446" spans="1:8">
      <c r="A10446" s="317">
        <v>2603111001</v>
      </c>
      <c r="B10446" s="330" t="s">
        <v>54802</v>
      </c>
      <c r="C10446" s="330" t="s">
        <v>23135</v>
      </c>
      <c r="D10446" s="330" t="s">
        <v>23136</v>
      </c>
      <c r="E10446" s="330" t="s">
        <v>37248</v>
      </c>
      <c r="F10446" s="331">
        <v>0.21</v>
      </c>
      <c r="G10446" s="332">
        <v>18066</v>
      </c>
      <c r="H10446" s="333">
        <v>21860</v>
      </c>
    </row>
    <row r="10447" spans="1:8">
      <c r="A10447" s="317">
        <v>2603120001</v>
      </c>
      <c r="B10447" s="330" t="s">
        <v>54803</v>
      </c>
      <c r="C10447" s="330" t="s">
        <v>23137</v>
      </c>
      <c r="D10447" s="330" t="s">
        <v>23138</v>
      </c>
      <c r="E10447" s="330" t="s">
        <v>4634</v>
      </c>
      <c r="F10447" s="331">
        <v>0.21</v>
      </c>
      <c r="G10447" s="332">
        <v>58</v>
      </c>
      <c r="H10447" s="333">
        <v>71</v>
      </c>
    </row>
    <row r="10448" spans="1:8">
      <c r="A10448" s="317">
        <v>2603120008</v>
      </c>
      <c r="B10448" s="330" t="s">
        <v>54804</v>
      </c>
      <c r="C10448" s="330" t="s">
        <v>23139</v>
      </c>
      <c r="D10448" s="330" t="s">
        <v>13152</v>
      </c>
      <c r="E10448" s="330" t="s">
        <v>4634</v>
      </c>
      <c r="F10448" s="331">
        <v>0.21</v>
      </c>
      <c r="G10448" s="332">
        <v>274</v>
      </c>
      <c r="H10448" s="333">
        <v>332</v>
      </c>
    </row>
    <row r="10449" spans="1:8">
      <c r="A10449" s="317">
        <v>2603120019</v>
      </c>
      <c r="B10449" s="330" t="s">
        <v>54805</v>
      </c>
      <c r="C10449" s="330" t="s">
        <v>23140</v>
      </c>
      <c r="D10449" s="330" t="s">
        <v>23141</v>
      </c>
      <c r="E10449" s="330" t="s">
        <v>37248</v>
      </c>
      <c r="F10449" s="331">
        <v>0.21</v>
      </c>
      <c r="G10449" s="332">
        <v>1744</v>
      </c>
      <c r="H10449" s="333">
        <v>2111</v>
      </c>
    </row>
    <row r="10450" spans="1:8">
      <c r="A10450" s="317">
        <v>2603120037</v>
      </c>
      <c r="B10450" s="330" t="s">
        <v>54806</v>
      </c>
      <c r="C10450" s="330" t="s">
        <v>23142</v>
      </c>
      <c r="D10450" s="330" t="s">
        <v>23143</v>
      </c>
      <c r="E10450" s="330" t="s">
        <v>4634</v>
      </c>
      <c r="F10450" s="331">
        <v>0.21</v>
      </c>
      <c r="G10450" s="332">
        <v>372</v>
      </c>
      <c r="H10450" s="333">
        <v>451</v>
      </c>
    </row>
    <row r="10451" spans="1:8">
      <c r="A10451" s="317">
        <v>2603120064</v>
      </c>
      <c r="B10451" s="330" t="s">
        <v>54807</v>
      </c>
      <c r="C10451" s="330" t="s">
        <v>23144</v>
      </c>
      <c r="D10451" s="330" t="s">
        <v>18356</v>
      </c>
      <c r="E10451" s="330" t="s">
        <v>4819</v>
      </c>
      <c r="F10451" s="331">
        <v>0.21</v>
      </c>
      <c r="G10451" s="332">
        <v>4568</v>
      </c>
      <c r="H10451" s="333">
        <v>5528</v>
      </c>
    </row>
    <row r="10452" spans="1:8">
      <c r="A10452" s="317">
        <v>2603123013</v>
      </c>
      <c r="B10452" s="330" t="s">
        <v>54808</v>
      </c>
      <c r="C10452" s="330" t="s">
        <v>23145</v>
      </c>
      <c r="D10452" s="330" t="s">
        <v>23146</v>
      </c>
      <c r="E10452" s="330" t="s">
        <v>4634</v>
      </c>
      <c r="F10452" s="331">
        <v>0.21</v>
      </c>
      <c r="G10452" s="332">
        <v>37</v>
      </c>
      <c r="H10452" s="333">
        <v>45</v>
      </c>
    </row>
    <row r="10453" spans="1:8">
      <c r="A10453" s="317">
        <v>2603124002</v>
      </c>
      <c r="B10453" s="330" t="s">
        <v>54809</v>
      </c>
      <c r="C10453" s="330" t="s">
        <v>23147</v>
      </c>
      <c r="D10453" s="330" t="s">
        <v>13519</v>
      </c>
      <c r="E10453" s="330" t="s">
        <v>4634</v>
      </c>
      <c r="F10453" s="331">
        <v>0.21</v>
      </c>
      <c r="G10453" s="332">
        <v>23326</v>
      </c>
      <c r="H10453" s="333">
        <v>28225</v>
      </c>
    </row>
    <row r="10454" spans="1:8">
      <c r="A10454" s="317">
        <v>2603124016</v>
      </c>
      <c r="B10454" s="330" t="s">
        <v>54810</v>
      </c>
      <c r="C10454" s="330" t="s">
        <v>23148</v>
      </c>
      <c r="D10454" s="330" t="s">
        <v>23149</v>
      </c>
      <c r="E10454" s="330" t="s">
        <v>4634</v>
      </c>
      <c r="F10454" s="331">
        <v>0.21</v>
      </c>
      <c r="G10454" s="332">
        <v>9610</v>
      </c>
      <c r="H10454" s="333">
        <v>11629</v>
      </c>
    </row>
    <row r="10455" spans="1:8">
      <c r="A10455" s="317">
        <v>2603124043</v>
      </c>
      <c r="B10455" s="330" t="s">
        <v>54811</v>
      </c>
      <c r="C10455" s="330" t="s">
        <v>23150</v>
      </c>
      <c r="D10455" s="330" t="s">
        <v>23151</v>
      </c>
      <c r="E10455" s="330" t="s">
        <v>4634</v>
      </c>
      <c r="F10455" s="331">
        <v>0.21</v>
      </c>
      <c r="G10455" s="332">
        <v>2137</v>
      </c>
      <c r="H10455" s="333">
        <v>2586</v>
      </c>
    </row>
    <row r="10456" spans="1:8">
      <c r="A10456" s="317">
        <v>2603124097</v>
      </c>
      <c r="B10456" s="330" t="s">
        <v>54812</v>
      </c>
      <c r="C10456" s="330" t="s">
        <v>23152</v>
      </c>
      <c r="D10456" s="330" t="s">
        <v>23153</v>
      </c>
      <c r="E10456" s="330" t="s">
        <v>4634</v>
      </c>
      <c r="F10456" s="331">
        <v>0.21</v>
      </c>
      <c r="G10456" s="332">
        <v>2232</v>
      </c>
      <c r="H10456" s="333">
        <v>2701</v>
      </c>
    </row>
    <row r="10457" spans="1:8">
      <c r="A10457" s="317">
        <v>2603124116</v>
      </c>
      <c r="B10457" s="330" t="s">
        <v>54813</v>
      </c>
      <c r="C10457" s="330" t="s">
        <v>23154</v>
      </c>
      <c r="D10457" s="330" t="s">
        <v>23155</v>
      </c>
      <c r="E10457" s="330" t="s">
        <v>4634</v>
      </c>
      <c r="F10457" s="331">
        <v>0.21</v>
      </c>
      <c r="G10457" s="332">
        <v>2748</v>
      </c>
      <c r="H10457" s="333">
        <v>3326</v>
      </c>
    </row>
    <row r="10458" spans="1:8">
      <c r="A10458" s="317">
        <v>2603124155</v>
      </c>
      <c r="B10458" s="330" t="s">
        <v>54814</v>
      </c>
      <c r="C10458" s="330" t="s">
        <v>23156</v>
      </c>
      <c r="D10458" s="330" t="s">
        <v>18356</v>
      </c>
      <c r="E10458" s="330" t="s">
        <v>4634</v>
      </c>
      <c r="F10458" s="331">
        <v>0.21</v>
      </c>
      <c r="G10458" s="332">
        <v>280</v>
      </c>
      <c r="H10458" s="333">
        <v>339</v>
      </c>
    </row>
    <row r="10459" spans="1:8">
      <c r="A10459" s="317">
        <v>2603124156</v>
      </c>
      <c r="B10459" s="330" t="s">
        <v>54815</v>
      </c>
      <c r="C10459" s="330" t="s">
        <v>23157</v>
      </c>
      <c r="D10459" s="330" t="s">
        <v>23158</v>
      </c>
      <c r="E10459" s="330" t="s">
        <v>37248</v>
      </c>
      <c r="F10459" s="331">
        <v>0.21</v>
      </c>
      <c r="G10459" s="332">
        <v>1487</v>
      </c>
      <c r="H10459" s="333">
        <v>1800</v>
      </c>
    </row>
    <row r="10460" spans="1:8">
      <c r="A10460" s="317">
        <v>2603124904</v>
      </c>
      <c r="B10460" s="330" t="s">
        <v>54816</v>
      </c>
      <c r="C10460" s="330" t="s">
        <v>23159</v>
      </c>
      <c r="D10460" s="330" t="s">
        <v>20998</v>
      </c>
      <c r="E10460" s="330" t="s">
        <v>4634</v>
      </c>
      <c r="F10460" s="331">
        <v>0.21</v>
      </c>
      <c r="G10460" s="332">
        <v>5342</v>
      </c>
      <c r="H10460" s="333">
        <v>6464</v>
      </c>
    </row>
    <row r="10461" spans="1:8">
      <c r="A10461" s="317">
        <v>2603124906</v>
      </c>
      <c r="B10461" s="330" t="s">
        <v>54817</v>
      </c>
      <c r="C10461" s="330" t="s">
        <v>23160</v>
      </c>
      <c r="D10461" s="330" t="s">
        <v>23161</v>
      </c>
      <c r="E10461" s="330" t="s">
        <v>4634</v>
      </c>
      <c r="F10461" s="331">
        <v>0.21</v>
      </c>
      <c r="G10461" s="332">
        <v>3528</v>
      </c>
      <c r="H10461" s="333">
        <v>4269</v>
      </c>
    </row>
    <row r="10462" spans="1:8">
      <c r="A10462" s="317">
        <v>2603126008</v>
      </c>
      <c r="B10462" s="330" t="s">
        <v>54818</v>
      </c>
      <c r="C10462" s="330" t="s">
        <v>23162</v>
      </c>
      <c r="D10462" s="330" t="s">
        <v>12626</v>
      </c>
      <c r="E10462" s="330" t="s">
        <v>4634</v>
      </c>
      <c r="F10462" s="331">
        <v>0.21</v>
      </c>
      <c r="G10462" s="332">
        <v>28</v>
      </c>
      <c r="H10462" s="333">
        <v>34</v>
      </c>
    </row>
    <row r="10463" spans="1:8">
      <c r="A10463" s="317">
        <v>2603126011</v>
      </c>
      <c r="B10463" s="330" t="s">
        <v>54819</v>
      </c>
      <c r="C10463" s="330" t="s">
        <v>23163</v>
      </c>
      <c r="D10463" s="330" t="s">
        <v>23164</v>
      </c>
      <c r="E10463" s="330" t="s">
        <v>4634</v>
      </c>
      <c r="F10463" s="331">
        <v>0.21</v>
      </c>
      <c r="G10463" s="332">
        <v>348</v>
      </c>
      <c r="H10463" s="333">
        <v>422</v>
      </c>
    </row>
    <row r="10464" spans="1:8">
      <c r="A10464" s="317">
        <v>2603126014</v>
      </c>
      <c r="B10464" s="330" t="s">
        <v>54820</v>
      </c>
      <c r="C10464" s="330" t="s">
        <v>23165</v>
      </c>
      <c r="D10464" s="330" t="s">
        <v>23166</v>
      </c>
      <c r="E10464" s="330" t="s">
        <v>4634</v>
      </c>
      <c r="F10464" s="331">
        <v>0.21</v>
      </c>
      <c r="G10464" s="332">
        <v>348</v>
      </c>
      <c r="H10464" s="333">
        <v>422</v>
      </c>
    </row>
    <row r="10465" spans="1:8">
      <c r="A10465" s="317">
        <v>2603132002</v>
      </c>
      <c r="B10465" s="330" t="s">
        <v>54821</v>
      </c>
      <c r="C10465" s="330" t="s">
        <v>23167</v>
      </c>
      <c r="D10465" s="330" t="s">
        <v>23168</v>
      </c>
      <c r="E10465" s="330" t="s">
        <v>4634</v>
      </c>
      <c r="F10465" s="331">
        <v>0.21</v>
      </c>
      <c r="G10465" s="332">
        <v>58</v>
      </c>
      <c r="H10465" s="333">
        <v>71</v>
      </c>
    </row>
    <row r="10466" spans="1:8">
      <c r="A10466" s="317">
        <v>2603200020</v>
      </c>
      <c r="B10466" s="330" t="s">
        <v>54822</v>
      </c>
      <c r="C10466" s="330" t="s">
        <v>23169</v>
      </c>
      <c r="D10466" s="330" t="s">
        <v>8670</v>
      </c>
      <c r="E10466" s="330" t="s">
        <v>4634</v>
      </c>
      <c r="F10466" s="331">
        <v>0.21</v>
      </c>
      <c r="G10466" s="332">
        <v>372</v>
      </c>
      <c r="H10466" s="333">
        <v>451</v>
      </c>
    </row>
    <row r="10467" spans="1:8">
      <c r="A10467" s="317">
        <v>2603201020</v>
      </c>
      <c r="B10467" s="330" t="s">
        <v>54823</v>
      </c>
      <c r="C10467" s="330" t="s">
        <v>23170</v>
      </c>
      <c r="D10467" s="330" t="s">
        <v>23171</v>
      </c>
      <c r="E10467" s="330" t="s">
        <v>4634</v>
      </c>
      <c r="F10467" s="331">
        <v>0.21</v>
      </c>
      <c r="G10467" s="332">
        <v>372</v>
      </c>
      <c r="H10467" s="333">
        <v>451</v>
      </c>
    </row>
    <row r="10468" spans="1:8">
      <c r="A10468" s="317">
        <v>2603201037</v>
      </c>
      <c r="B10468" s="330" t="s">
        <v>54824</v>
      </c>
      <c r="C10468" s="330" t="s">
        <v>23172</v>
      </c>
      <c r="D10468" s="330" t="s">
        <v>23173</v>
      </c>
      <c r="E10468" s="330" t="s">
        <v>4634</v>
      </c>
      <c r="F10468" s="331">
        <v>0.21</v>
      </c>
      <c r="G10468" s="332">
        <v>372</v>
      </c>
      <c r="H10468" s="333">
        <v>451</v>
      </c>
    </row>
    <row r="10469" spans="1:8">
      <c r="A10469" s="317">
        <v>2603201041</v>
      </c>
      <c r="B10469" s="330" t="s">
        <v>54825</v>
      </c>
      <c r="C10469" s="330" t="s">
        <v>23174</v>
      </c>
      <c r="D10469" s="330" t="s">
        <v>23175</v>
      </c>
      <c r="E10469" s="330" t="s">
        <v>4634</v>
      </c>
      <c r="F10469" s="331">
        <v>0.21</v>
      </c>
      <c r="G10469" s="332">
        <v>387</v>
      </c>
      <c r="H10469" s="333">
        <v>469</v>
      </c>
    </row>
    <row r="10470" spans="1:8">
      <c r="A10470" s="317">
        <v>2603201055</v>
      </c>
      <c r="B10470" s="330" t="s">
        <v>54826</v>
      </c>
      <c r="C10470" s="330" t="s">
        <v>23176</v>
      </c>
      <c r="D10470" s="330" t="s">
        <v>18345</v>
      </c>
      <c r="E10470" s="330" t="s">
        <v>37248</v>
      </c>
      <c r="F10470" s="331">
        <v>0.21</v>
      </c>
      <c r="G10470" s="332">
        <v>600</v>
      </c>
      <c r="H10470" s="333">
        <v>726</v>
      </c>
    </row>
    <row r="10471" spans="1:8">
      <c r="A10471" s="317">
        <v>2603201089</v>
      </c>
      <c r="B10471" s="330" t="s">
        <v>54827</v>
      </c>
      <c r="C10471" s="330" t="s">
        <v>23177</v>
      </c>
      <c r="D10471" s="330" t="s">
        <v>18345</v>
      </c>
      <c r="E10471" s="330" t="s">
        <v>4634</v>
      </c>
      <c r="F10471" s="331">
        <v>0.21</v>
      </c>
      <c r="G10471" s="332">
        <v>274</v>
      </c>
      <c r="H10471" s="333">
        <v>332</v>
      </c>
    </row>
    <row r="10472" spans="1:8">
      <c r="A10472" s="317">
        <v>2603203041</v>
      </c>
      <c r="B10472" s="330" t="s">
        <v>54828</v>
      </c>
      <c r="C10472" s="330" t="s">
        <v>23178</v>
      </c>
      <c r="D10472" s="330" t="s">
        <v>23179</v>
      </c>
      <c r="E10472" s="330" t="s">
        <v>37248</v>
      </c>
      <c r="F10472" s="331">
        <v>0.21</v>
      </c>
      <c r="G10472" s="332">
        <v>410</v>
      </c>
      <c r="H10472" s="333">
        <v>497</v>
      </c>
    </row>
    <row r="10473" spans="1:8">
      <c r="A10473" s="317">
        <v>2603204900</v>
      </c>
      <c r="B10473" s="330" t="s">
        <v>54829</v>
      </c>
      <c r="C10473" s="330" t="s">
        <v>23180</v>
      </c>
      <c r="D10473" s="330" t="s">
        <v>23181</v>
      </c>
      <c r="E10473" s="330" t="s">
        <v>4634</v>
      </c>
      <c r="F10473" s="331">
        <v>0.21</v>
      </c>
      <c r="G10473" s="332">
        <v>22263</v>
      </c>
      <c r="H10473" s="333">
        <v>26939</v>
      </c>
    </row>
    <row r="10474" spans="1:8">
      <c r="A10474" s="317">
        <v>2603204903</v>
      </c>
      <c r="B10474" s="330" t="s">
        <v>54830</v>
      </c>
      <c r="C10474" s="330" t="s">
        <v>23182</v>
      </c>
      <c r="D10474" s="330" t="s">
        <v>23183</v>
      </c>
      <c r="E10474" s="330" t="s">
        <v>4634</v>
      </c>
      <c r="F10474" s="331">
        <v>0.21</v>
      </c>
      <c r="G10474" s="332">
        <v>12168</v>
      </c>
      <c r="H10474" s="333">
        <v>14724</v>
      </c>
    </row>
    <row r="10475" spans="1:8">
      <c r="A10475" s="317">
        <v>2603204906</v>
      </c>
      <c r="B10475" s="330" t="s">
        <v>54831</v>
      </c>
      <c r="C10475" s="330" t="s">
        <v>23184</v>
      </c>
      <c r="D10475" s="330" t="s">
        <v>23185</v>
      </c>
      <c r="E10475" s="330" t="s">
        <v>4634</v>
      </c>
      <c r="F10475" s="331">
        <v>0.21</v>
      </c>
      <c r="G10475" s="332">
        <v>33437</v>
      </c>
      <c r="H10475" s="333">
        <v>40459</v>
      </c>
    </row>
    <row r="10476" spans="1:8">
      <c r="A10476" s="317">
        <v>2603204908</v>
      </c>
      <c r="B10476" s="330" t="s">
        <v>54832</v>
      </c>
      <c r="C10476" s="330" t="s">
        <v>23186</v>
      </c>
      <c r="D10476" s="330" t="s">
        <v>23187</v>
      </c>
      <c r="E10476" s="330" t="s">
        <v>4634</v>
      </c>
      <c r="F10476" s="331">
        <v>0.21</v>
      </c>
      <c r="G10476" s="332">
        <v>22367</v>
      </c>
      <c r="H10476" s="333">
        <v>27065</v>
      </c>
    </row>
    <row r="10477" spans="1:8">
      <c r="A10477" s="317">
        <v>2603212001</v>
      </c>
      <c r="B10477" s="330" t="s">
        <v>54833</v>
      </c>
      <c r="C10477" s="330" t="s">
        <v>23188</v>
      </c>
      <c r="D10477" s="330" t="s">
        <v>23189</v>
      </c>
      <c r="E10477" s="330" t="s">
        <v>4634</v>
      </c>
      <c r="F10477" s="331">
        <v>0.21</v>
      </c>
      <c r="G10477" s="332">
        <v>62448</v>
      </c>
      <c r="H10477" s="333">
        <v>75563</v>
      </c>
    </row>
    <row r="10478" spans="1:8">
      <c r="A10478" s="317">
        <v>2603230000</v>
      </c>
      <c r="B10478" s="330" t="s">
        <v>54834</v>
      </c>
      <c r="C10478" s="330" t="s">
        <v>23190</v>
      </c>
      <c r="D10478" s="330" t="s">
        <v>23191</v>
      </c>
      <c r="E10478" s="330" t="s">
        <v>4634</v>
      </c>
      <c r="F10478" s="331">
        <v>0.21</v>
      </c>
      <c r="G10478" s="332">
        <v>372</v>
      </c>
      <c r="H10478" s="333">
        <v>451</v>
      </c>
    </row>
    <row r="10479" spans="1:8">
      <c r="A10479" s="317">
        <v>2603230007</v>
      </c>
      <c r="B10479" s="330" t="s">
        <v>54835</v>
      </c>
      <c r="C10479" s="330" t="s">
        <v>23192</v>
      </c>
      <c r="D10479" s="330" t="s">
        <v>23193</v>
      </c>
      <c r="E10479" s="330" t="s">
        <v>4634</v>
      </c>
      <c r="F10479" s="331">
        <v>0.21</v>
      </c>
      <c r="G10479" s="332">
        <v>274</v>
      </c>
      <c r="H10479" s="333">
        <v>332</v>
      </c>
    </row>
    <row r="10480" spans="1:8">
      <c r="A10480" s="317">
        <v>2603231040</v>
      </c>
      <c r="B10480" s="330" t="s">
        <v>54836</v>
      </c>
      <c r="C10480" s="330" t="s">
        <v>23194</v>
      </c>
      <c r="D10480" s="330" t="s">
        <v>23195</v>
      </c>
      <c r="E10480" s="330" t="s">
        <v>4634</v>
      </c>
      <c r="F10480" s="331">
        <v>0.21</v>
      </c>
      <c r="G10480" s="332">
        <v>648</v>
      </c>
      <c r="H10480" s="333">
        <v>785</v>
      </c>
    </row>
    <row r="10481" spans="1:8">
      <c r="A10481" s="317">
        <v>2603239006</v>
      </c>
      <c r="B10481" s="330" t="s">
        <v>54837</v>
      </c>
      <c r="C10481" s="330" t="s">
        <v>23196</v>
      </c>
      <c r="D10481" s="330" t="s">
        <v>23197</v>
      </c>
      <c r="E10481" s="330" t="s">
        <v>4634</v>
      </c>
      <c r="F10481" s="331">
        <v>0.21</v>
      </c>
      <c r="G10481" s="332">
        <v>372</v>
      </c>
      <c r="H10481" s="333">
        <v>451</v>
      </c>
    </row>
    <row r="10482" spans="1:8">
      <c r="A10482" s="317">
        <v>2603239024</v>
      </c>
      <c r="B10482" s="330" t="s">
        <v>54838</v>
      </c>
      <c r="C10482" s="330" t="s">
        <v>23198</v>
      </c>
      <c r="D10482" s="330" t="s">
        <v>23199</v>
      </c>
      <c r="E10482" s="330" t="s">
        <v>4634</v>
      </c>
      <c r="F10482" s="331">
        <v>0.21</v>
      </c>
      <c r="G10482" s="332">
        <v>387</v>
      </c>
      <c r="H10482" s="333">
        <v>469</v>
      </c>
    </row>
    <row r="10483" spans="1:8">
      <c r="A10483" s="317">
        <v>2603239027</v>
      </c>
      <c r="B10483" s="330" t="s">
        <v>54839</v>
      </c>
      <c r="C10483" s="330" t="s">
        <v>23200</v>
      </c>
      <c r="D10483" s="330" t="s">
        <v>23201</v>
      </c>
      <c r="E10483" s="330" t="s">
        <v>4634</v>
      </c>
      <c r="F10483" s="331">
        <v>0.21</v>
      </c>
      <c r="G10483" s="332">
        <v>678</v>
      </c>
      <c r="H10483" s="333">
        <v>821</v>
      </c>
    </row>
    <row r="10484" spans="1:8">
      <c r="A10484" s="317">
        <v>2603300001</v>
      </c>
      <c r="B10484" s="330" t="s">
        <v>54840</v>
      </c>
      <c r="C10484" s="330" t="s">
        <v>23202</v>
      </c>
      <c r="D10484" s="330" t="s">
        <v>23203</v>
      </c>
      <c r="E10484" s="330" t="s">
        <v>4634</v>
      </c>
      <c r="F10484" s="331">
        <v>0.21</v>
      </c>
      <c r="G10484" s="332">
        <v>58</v>
      </c>
      <c r="H10484" s="333">
        <v>71</v>
      </c>
    </row>
    <row r="10485" spans="1:8">
      <c r="A10485" s="317">
        <v>2603312001</v>
      </c>
      <c r="B10485" s="330" t="s">
        <v>54841</v>
      </c>
      <c r="C10485" s="330" t="s">
        <v>23204</v>
      </c>
      <c r="D10485" s="330" t="s">
        <v>23205</v>
      </c>
      <c r="E10485" s="330" t="s">
        <v>4634</v>
      </c>
      <c r="F10485" s="331">
        <v>0.21</v>
      </c>
      <c r="G10485" s="332">
        <v>1086</v>
      </c>
      <c r="H10485" s="333">
        <v>1315</v>
      </c>
    </row>
    <row r="10486" spans="1:8">
      <c r="A10486" s="317">
        <v>2603314001</v>
      </c>
      <c r="B10486" s="330" t="s">
        <v>54842</v>
      </c>
      <c r="C10486" s="330" t="s">
        <v>23206</v>
      </c>
      <c r="D10486" s="330" t="s">
        <v>6109</v>
      </c>
      <c r="E10486" s="330" t="s">
        <v>4634</v>
      </c>
      <c r="F10486" s="331">
        <v>0.21</v>
      </c>
      <c r="G10486" s="332">
        <v>5500</v>
      </c>
      <c r="H10486" s="333">
        <v>6655</v>
      </c>
    </row>
    <row r="10487" spans="1:8">
      <c r="A10487" s="317">
        <v>2603320003</v>
      </c>
      <c r="B10487" s="330" t="s">
        <v>54843</v>
      </c>
      <c r="C10487" s="330" t="s">
        <v>23207</v>
      </c>
      <c r="D10487" s="330" t="s">
        <v>23208</v>
      </c>
      <c r="E10487" s="330" t="s">
        <v>4634</v>
      </c>
      <c r="F10487" s="331">
        <v>0.21</v>
      </c>
      <c r="G10487" s="332">
        <v>372</v>
      </c>
      <c r="H10487" s="333">
        <v>451</v>
      </c>
    </row>
    <row r="10488" spans="1:8">
      <c r="A10488" s="317">
        <v>2603320004</v>
      </c>
      <c r="B10488" s="330" t="s">
        <v>54844</v>
      </c>
      <c r="C10488" s="330" t="s">
        <v>23209</v>
      </c>
      <c r="D10488" s="330" t="s">
        <v>23210</v>
      </c>
      <c r="E10488" s="330" t="s">
        <v>4634</v>
      </c>
      <c r="F10488" s="331">
        <v>0.21</v>
      </c>
      <c r="G10488" s="332">
        <v>455</v>
      </c>
      <c r="H10488" s="333">
        <v>551</v>
      </c>
    </row>
    <row r="10489" spans="1:8">
      <c r="A10489" s="317">
        <v>2603339005</v>
      </c>
      <c r="B10489" s="330" t="s">
        <v>54845</v>
      </c>
      <c r="C10489" s="330" t="s">
        <v>23211</v>
      </c>
      <c r="D10489" s="330" t="s">
        <v>23212</v>
      </c>
      <c r="E10489" s="330" t="s">
        <v>4819</v>
      </c>
      <c r="F10489" s="331">
        <v>0.21</v>
      </c>
      <c r="G10489" s="332">
        <v>3035</v>
      </c>
      <c r="H10489" s="333">
        <v>3673</v>
      </c>
    </row>
    <row r="10490" spans="1:8">
      <c r="A10490" s="317">
        <v>2603340002</v>
      </c>
      <c r="B10490" s="330" t="s">
        <v>54846</v>
      </c>
      <c r="C10490" s="330" t="s">
        <v>23213</v>
      </c>
      <c r="D10490" s="330" t="s">
        <v>23214</v>
      </c>
      <c r="E10490" s="330" t="s">
        <v>4634</v>
      </c>
      <c r="F10490" s="331">
        <v>0.21</v>
      </c>
      <c r="G10490" s="332">
        <v>437</v>
      </c>
      <c r="H10490" s="333">
        <v>529</v>
      </c>
    </row>
    <row r="10491" spans="1:8">
      <c r="A10491" s="317">
        <v>2603341002</v>
      </c>
      <c r="B10491" s="330" t="s">
        <v>54847</v>
      </c>
      <c r="C10491" s="330" t="s">
        <v>23215</v>
      </c>
      <c r="D10491" s="330" t="s">
        <v>19427</v>
      </c>
      <c r="E10491" s="330" t="s">
        <v>4634</v>
      </c>
      <c r="F10491" s="331">
        <v>0.21</v>
      </c>
      <c r="G10491" s="332">
        <v>107</v>
      </c>
      <c r="H10491" s="333">
        <v>130</v>
      </c>
    </row>
    <row r="10492" spans="1:8">
      <c r="A10492" s="317">
        <v>2603341007</v>
      </c>
      <c r="B10492" s="330" t="s">
        <v>54848</v>
      </c>
      <c r="C10492" s="330" t="s">
        <v>23216</v>
      </c>
      <c r="D10492" s="330" t="s">
        <v>23217</v>
      </c>
      <c r="E10492" s="330" t="s">
        <v>4634</v>
      </c>
      <c r="F10492" s="331">
        <v>0.21</v>
      </c>
      <c r="G10492" s="332">
        <v>387</v>
      </c>
      <c r="H10492" s="333">
        <v>469</v>
      </c>
    </row>
    <row r="10493" spans="1:8">
      <c r="A10493" s="317">
        <v>2603342004</v>
      </c>
      <c r="B10493" s="330" t="s">
        <v>54849</v>
      </c>
      <c r="C10493" s="330" t="s">
        <v>23218</v>
      </c>
      <c r="D10493" s="330" t="s">
        <v>23219</v>
      </c>
      <c r="E10493" s="330" t="s">
        <v>4634</v>
      </c>
      <c r="F10493" s="331">
        <v>0.21</v>
      </c>
      <c r="G10493" s="332">
        <v>82</v>
      </c>
      <c r="H10493" s="333">
        <v>100</v>
      </c>
    </row>
    <row r="10494" spans="1:8">
      <c r="A10494" s="317">
        <v>2603342006</v>
      </c>
      <c r="B10494" s="330" t="s">
        <v>54850</v>
      </c>
      <c r="C10494" s="330" t="s">
        <v>23220</v>
      </c>
      <c r="D10494" s="330" t="s">
        <v>23221</v>
      </c>
      <c r="E10494" s="330" t="s">
        <v>4819</v>
      </c>
      <c r="F10494" s="331">
        <v>0.21</v>
      </c>
      <c r="G10494" s="332">
        <v>2150</v>
      </c>
      <c r="H10494" s="333">
        <v>2602</v>
      </c>
    </row>
    <row r="10495" spans="1:8">
      <c r="A10495" s="317">
        <v>2603342010</v>
      </c>
      <c r="B10495" s="330" t="s">
        <v>54851</v>
      </c>
      <c r="C10495" s="330" t="s">
        <v>23222</v>
      </c>
      <c r="D10495" s="330" t="s">
        <v>23223</v>
      </c>
      <c r="E10495" s="330" t="s">
        <v>4634</v>
      </c>
      <c r="F10495" s="331">
        <v>0.21</v>
      </c>
      <c r="G10495" s="332">
        <v>992</v>
      </c>
      <c r="H10495" s="333">
        <v>1201</v>
      </c>
    </row>
    <row r="10496" spans="1:8">
      <c r="A10496" s="317">
        <v>2603345000</v>
      </c>
      <c r="B10496" s="330" t="s">
        <v>54852</v>
      </c>
      <c r="C10496" s="330" t="s">
        <v>23224</v>
      </c>
      <c r="D10496" s="330" t="s">
        <v>23225</v>
      </c>
      <c r="E10496" s="330" t="s">
        <v>4634</v>
      </c>
      <c r="F10496" s="331">
        <v>0.21</v>
      </c>
      <c r="G10496" s="332">
        <v>602</v>
      </c>
      <c r="H10496" s="333">
        <v>729</v>
      </c>
    </row>
    <row r="10497" spans="1:8">
      <c r="A10497" s="317">
        <v>2603345015</v>
      </c>
      <c r="B10497" s="330" t="s">
        <v>54853</v>
      </c>
      <c r="C10497" s="330" t="s">
        <v>23226</v>
      </c>
      <c r="D10497" s="330" t="s">
        <v>13481</v>
      </c>
      <c r="E10497" s="330" t="s">
        <v>4634</v>
      </c>
      <c r="F10497" s="331">
        <v>0.21</v>
      </c>
      <c r="G10497" s="332">
        <v>372</v>
      </c>
      <c r="H10497" s="333">
        <v>451</v>
      </c>
    </row>
    <row r="10498" spans="1:8">
      <c r="A10498" s="317">
        <v>2603386002</v>
      </c>
      <c r="B10498" s="330" t="s">
        <v>54854</v>
      </c>
      <c r="C10498" s="330" t="s">
        <v>23227</v>
      </c>
      <c r="D10498" s="330" t="s">
        <v>23228</v>
      </c>
      <c r="E10498" s="330" t="s">
        <v>4634</v>
      </c>
      <c r="F10498" s="331">
        <v>0.21</v>
      </c>
      <c r="G10498" s="332">
        <v>1566</v>
      </c>
      <c r="H10498" s="333">
        <v>1895</v>
      </c>
    </row>
    <row r="10499" spans="1:8">
      <c r="A10499" s="317">
        <v>2603400001</v>
      </c>
      <c r="B10499" s="330" t="s">
        <v>54855</v>
      </c>
      <c r="C10499" s="330" t="s">
        <v>23229</v>
      </c>
      <c r="D10499" s="330" t="s">
        <v>23230</v>
      </c>
      <c r="E10499" s="330" t="s">
        <v>4634</v>
      </c>
      <c r="F10499" s="331">
        <v>0.21</v>
      </c>
      <c r="G10499" s="332">
        <v>82</v>
      </c>
      <c r="H10499" s="333">
        <v>100</v>
      </c>
    </row>
    <row r="10500" spans="1:8">
      <c r="A10500" s="317">
        <v>2603400011</v>
      </c>
      <c r="B10500" s="330" t="s">
        <v>54856</v>
      </c>
      <c r="C10500" s="330" t="s">
        <v>23231</v>
      </c>
      <c r="D10500" s="330" t="s">
        <v>23232</v>
      </c>
      <c r="E10500" s="330" t="s">
        <v>4634</v>
      </c>
      <c r="F10500" s="331">
        <v>0.21</v>
      </c>
      <c r="G10500" s="332">
        <v>564</v>
      </c>
      <c r="H10500" s="333">
        <v>683</v>
      </c>
    </row>
    <row r="10501" spans="1:8">
      <c r="A10501" s="317">
        <v>2603400014</v>
      </c>
      <c r="B10501" s="330" t="s">
        <v>54857</v>
      </c>
      <c r="C10501" s="330" t="s">
        <v>23233</v>
      </c>
      <c r="D10501" s="330" t="s">
        <v>23234</v>
      </c>
      <c r="E10501" s="330" t="s">
        <v>4634</v>
      </c>
      <c r="F10501" s="331">
        <v>0.21</v>
      </c>
      <c r="G10501" s="332">
        <v>372</v>
      </c>
      <c r="H10501" s="333">
        <v>451</v>
      </c>
    </row>
    <row r="10502" spans="1:8">
      <c r="A10502" s="317">
        <v>2603400016</v>
      </c>
      <c r="B10502" s="330" t="s">
        <v>54858</v>
      </c>
      <c r="C10502" s="330" t="s">
        <v>23235</v>
      </c>
      <c r="D10502" s="330" t="s">
        <v>23236</v>
      </c>
      <c r="E10502" s="330" t="s">
        <v>4634</v>
      </c>
      <c r="F10502" s="331">
        <v>0.21</v>
      </c>
      <c r="G10502" s="332">
        <v>455</v>
      </c>
      <c r="H10502" s="333">
        <v>551</v>
      </c>
    </row>
    <row r="10503" spans="1:8">
      <c r="A10503" s="317">
        <v>2603410001</v>
      </c>
      <c r="B10503" s="330" t="s">
        <v>54859</v>
      </c>
      <c r="C10503" s="330" t="s">
        <v>23237</v>
      </c>
      <c r="D10503" s="330" t="s">
        <v>23238</v>
      </c>
      <c r="E10503" s="330" t="s">
        <v>4634</v>
      </c>
      <c r="F10503" s="331">
        <v>0.21</v>
      </c>
      <c r="G10503" s="332">
        <v>153</v>
      </c>
      <c r="H10503" s="333">
        <v>186</v>
      </c>
    </row>
    <row r="10504" spans="1:8">
      <c r="A10504" s="317">
        <v>2603410028</v>
      </c>
      <c r="B10504" s="330" t="s">
        <v>54860</v>
      </c>
      <c r="C10504" s="330" t="s">
        <v>23239</v>
      </c>
      <c r="D10504" s="330" t="s">
        <v>7235</v>
      </c>
      <c r="E10504" s="330" t="s">
        <v>4634</v>
      </c>
      <c r="F10504" s="331">
        <v>0.21</v>
      </c>
      <c r="G10504" s="332">
        <v>29</v>
      </c>
      <c r="H10504" s="333">
        <v>36</v>
      </c>
    </row>
    <row r="10505" spans="1:8">
      <c r="A10505" s="317">
        <v>2603410045</v>
      </c>
      <c r="B10505" s="330" t="s">
        <v>54861</v>
      </c>
      <c r="C10505" s="330" t="s">
        <v>23240</v>
      </c>
      <c r="D10505" s="330" t="s">
        <v>23241</v>
      </c>
      <c r="E10505" s="330" t="s">
        <v>4819</v>
      </c>
      <c r="F10505" s="331">
        <v>0.21</v>
      </c>
      <c r="G10505" s="332">
        <v>579</v>
      </c>
      <c r="H10505" s="333">
        <v>701</v>
      </c>
    </row>
    <row r="10506" spans="1:8">
      <c r="A10506" s="317">
        <v>2603410046</v>
      </c>
      <c r="B10506" s="330" t="s">
        <v>54862</v>
      </c>
      <c r="C10506" s="330" t="s">
        <v>23242</v>
      </c>
      <c r="D10506" s="330" t="s">
        <v>23243</v>
      </c>
      <c r="E10506" s="330" t="s">
        <v>4634</v>
      </c>
      <c r="F10506" s="331">
        <v>0.21</v>
      </c>
      <c r="G10506" s="332">
        <v>412</v>
      </c>
      <c r="H10506" s="333">
        <v>499</v>
      </c>
    </row>
    <row r="10507" spans="1:8">
      <c r="A10507" s="317">
        <v>2603410048</v>
      </c>
      <c r="B10507" s="330" t="s">
        <v>54863</v>
      </c>
      <c r="C10507" s="330" t="s">
        <v>23244</v>
      </c>
      <c r="D10507" s="330" t="s">
        <v>23245</v>
      </c>
      <c r="E10507" s="330" t="s">
        <v>4819</v>
      </c>
      <c r="F10507" s="331">
        <v>0.21</v>
      </c>
      <c r="G10507" s="332">
        <v>702</v>
      </c>
      <c r="H10507" s="333">
        <v>850</v>
      </c>
    </row>
    <row r="10508" spans="1:8">
      <c r="A10508" s="317">
        <v>2603410049</v>
      </c>
      <c r="B10508" s="330" t="s">
        <v>54864</v>
      </c>
      <c r="C10508" s="330" t="s">
        <v>23246</v>
      </c>
      <c r="D10508" s="330" t="s">
        <v>15466</v>
      </c>
      <c r="E10508" s="330" t="s">
        <v>37248</v>
      </c>
      <c r="F10508" s="331">
        <v>0.21</v>
      </c>
      <c r="G10508" s="332">
        <v>383</v>
      </c>
      <c r="H10508" s="333">
        <v>464</v>
      </c>
    </row>
    <row r="10509" spans="1:8">
      <c r="A10509" s="317">
        <v>2603410051</v>
      </c>
      <c r="B10509" s="330" t="s">
        <v>54865</v>
      </c>
      <c r="C10509" s="330" t="s">
        <v>23247</v>
      </c>
      <c r="D10509" s="330" t="s">
        <v>15466</v>
      </c>
      <c r="E10509" s="330" t="s">
        <v>4819</v>
      </c>
      <c r="F10509" s="331">
        <v>0.21</v>
      </c>
      <c r="G10509" s="332">
        <v>410</v>
      </c>
      <c r="H10509" s="333">
        <v>497</v>
      </c>
    </row>
    <row r="10510" spans="1:8">
      <c r="A10510" s="317">
        <v>2603413003</v>
      </c>
      <c r="B10510" s="330" t="s">
        <v>54866</v>
      </c>
      <c r="C10510" s="330" t="s">
        <v>23248</v>
      </c>
      <c r="D10510" s="330" t="s">
        <v>23249</v>
      </c>
      <c r="E10510" s="330" t="s">
        <v>4634</v>
      </c>
      <c r="F10510" s="331">
        <v>0.21</v>
      </c>
      <c r="G10510" s="332">
        <v>437</v>
      </c>
      <c r="H10510" s="333">
        <v>529</v>
      </c>
    </row>
    <row r="10511" spans="1:8">
      <c r="A10511" s="317">
        <v>2603413026</v>
      </c>
      <c r="B10511" s="330" t="s">
        <v>54867</v>
      </c>
      <c r="C10511" s="330" t="s">
        <v>23250</v>
      </c>
      <c r="D10511" s="330" t="s">
        <v>23251</v>
      </c>
      <c r="E10511" s="330" t="s">
        <v>4634</v>
      </c>
      <c r="F10511" s="331">
        <v>0.21</v>
      </c>
      <c r="G10511" s="332">
        <v>637</v>
      </c>
      <c r="H10511" s="333">
        <v>771</v>
      </c>
    </row>
    <row r="10512" spans="1:8">
      <c r="A10512" s="317">
        <v>2603413031</v>
      </c>
      <c r="B10512" s="330" t="s">
        <v>54868</v>
      </c>
      <c r="C10512" s="330" t="s">
        <v>23252</v>
      </c>
      <c r="D10512" s="330" t="s">
        <v>23253</v>
      </c>
      <c r="E10512" s="330" t="s">
        <v>4634</v>
      </c>
      <c r="F10512" s="331">
        <v>0.21</v>
      </c>
      <c r="G10512" s="332">
        <v>648</v>
      </c>
      <c r="H10512" s="333">
        <v>785</v>
      </c>
    </row>
    <row r="10513" spans="1:8">
      <c r="A10513" s="317">
        <v>2603413035</v>
      </c>
      <c r="B10513" s="330" t="s">
        <v>54869</v>
      </c>
      <c r="C10513" s="330" t="s">
        <v>23254</v>
      </c>
      <c r="D10513" s="330" t="s">
        <v>23255</v>
      </c>
      <c r="E10513" s="330" t="s">
        <v>37248</v>
      </c>
      <c r="F10513" s="331">
        <v>0.21</v>
      </c>
      <c r="G10513" s="332">
        <v>240</v>
      </c>
      <c r="H10513" s="333">
        <v>291</v>
      </c>
    </row>
    <row r="10514" spans="1:8">
      <c r="A10514" s="317">
        <v>2603414026</v>
      </c>
      <c r="B10514" s="330" t="s">
        <v>54870</v>
      </c>
      <c r="C10514" s="330" t="s">
        <v>23256</v>
      </c>
      <c r="D10514" s="330" t="s">
        <v>23257</v>
      </c>
      <c r="E10514" s="330" t="s">
        <v>4634</v>
      </c>
      <c r="F10514" s="331">
        <v>0.21</v>
      </c>
      <c r="G10514" s="332">
        <v>892</v>
      </c>
      <c r="H10514" s="333">
        <v>1080</v>
      </c>
    </row>
    <row r="10515" spans="1:8">
      <c r="A10515" s="317">
        <v>2603414027</v>
      </c>
      <c r="B10515" s="330" t="s">
        <v>54871</v>
      </c>
      <c r="C10515" s="330" t="s">
        <v>23258</v>
      </c>
      <c r="D10515" s="330" t="s">
        <v>23259</v>
      </c>
      <c r="E10515" s="330" t="s">
        <v>4634</v>
      </c>
      <c r="F10515" s="331">
        <v>0.21</v>
      </c>
      <c r="G10515" s="332">
        <v>455</v>
      </c>
      <c r="H10515" s="333">
        <v>551</v>
      </c>
    </row>
    <row r="10516" spans="1:8">
      <c r="A10516" s="317">
        <v>2603414048</v>
      </c>
      <c r="B10516" s="330" t="s">
        <v>54872</v>
      </c>
      <c r="C10516" s="330" t="s">
        <v>23260</v>
      </c>
      <c r="D10516" s="330" t="s">
        <v>23261</v>
      </c>
      <c r="E10516" s="330" t="s">
        <v>4819</v>
      </c>
      <c r="F10516" s="331">
        <v>0.21</v>
      </c>
      <c r="G10516" s="332">
        <v>2478</v>
      </c>
      <c r="H10516" s="333">
        <v>2999</v>
      </c>
    </row>
    <row r="10517" spans="1:8">
      <c r="A10517" s="317">
        <v>2603414050</v>
      </c>
      <c r="B10517" s="330" t="s">
        <v>54873</v>
      </c>
      <c r="C10517" s="330" t="s">
        <v>23262</v>
      </c>
      <c r="D10517" s="330" t="s">
        <v>23263</v>
      </c>
      <c r="E10517" s="330" t="s">
        <v>4634</v>
      </c>
      <c r="F10517" s="331">
        <v>0.21</v>
      </c>
      <c r="G10517" s="332">
        <v>892</v>
      </c>
      <c r="H10517" s="333">
        <v>1080</v>
      </c>
    </row>
    <row r="10518" spans="1:8">
      <c r="A10518" s="317">
        <v>2603414062</v>
      </c>
      <c r="B10518" s="330" t="s">
        <v>54874</v>
      </c>
      <c r="C10518" s="330" t="s">
        <v>23264</v>
      </c>
      <c r="D10518" s="330" t="s">
        <v>23265</v>
      </c>
      <c r="E10518" s="330" t="s">
        <v>37248</v>
      </c>
      <c r="F10518" s="331">
        <v>0.21</v>
      </c>
      <c r="G10518" s="332">
        <v>1164</v>
      </c>
      <c r="H10518" s="333">
        <v>1409</v>
      </c>
    </row>
    <row r="10519" spans="1:8">
      <c r="A10519" s="317">
        <v>2603415206</v>
      </c>
      <c r="B10519" s="330" t="s">
        <v>54875</v>
      </c>
      <c r="C10519" s="330" t="s">
        <v>23266</v>
      </c>
      <c r="D10519" s="330" t="s">
        <v>23267</v>
      </c>
      <c r="E10519" s="330" t="s">
        <v>4634</v>
      </c>
      <c r="F10519" s="331">
        <v>0.21</v>
      </c>
      <c r="G10519" s="332">
        <v>180</v>
      </c>
      <c r="H10519" s="333">
        <v>218</v>
      </c>
    </row>
    <row r="10520" spans="1:8">
      <c r="A10520" s="317">
        <v>2603421006</v>
      </c>
      <c r="B10520" s="330" t="s">
        <v>54876</v>
      </c>
      <c r="C10520" s="330" t="s">
        <v>23268</v>
      </c>
      <c r="D10520" s="330" t="s">
        <v>23269</v>
      </c>
      <c r="E10520" s="330" t="s">
        <v>4634</v>
      </c>
      <c r="F10520" s="331">
        <v>0.21</v>
      </c>
      <c r="G10520" s="332">
        <v>372</v>
      </c>
      <c r="H10520" s="333">
        <v>451</v>
      </c>
    </row>
    <row r="10521" spans="1:8">
      <c r="A10521" s="317">
        <v>2603421009</v>
      </c>
      <c r="B10521" s="330" t="s">
        <v>54877</v>
      </c>
      <c r="C10521" s="330" t="s">
        <v>23270</v>
      </c>
      <c r="D10521" s="330" t="s">
        <v>23271</v>
      </c>
      <c r="E10521" s="330" t="s">
        <v>4634</v>
      </c>
      <c r="F10521" s="331">
        <v>0.21</v>
      </c>
      <c r="G10521" s="332">
        <v>412</v>
      </c>
      <c r="H10521" s="333">
        <v>499</v>
      </c>
    </row>
    <row r="10522" spans="1:8">
      <c r="A10522" s="317">
        <v>2603421040</v>
      </c>
      <c r="B10522" s="330" t="s">
        <v>54878</v>
      </c>
      <c r="C10522" s="330" t="s">
        <v>23272</v>
      </c>
      <c r="D10522" s="330" t="s">
        <v>23273</v>
      </c>
      <c r="E10522" s="330" t="s">
        <v>4819</v>
      </c>
      <c r="F10522" s="331">
        <v>0.21</v>
      </c>
      <c r="G10522" s="332">
        <v>2094</v>
      </c>
      <c r="H10522" s="333">
        <v>2534</v>
      </c>
    </row>
    <row r="10523" spans="1:8">
      <c r="A10523" s="317">
        <v>2603421207</v>
      </c>
      <c r="B10523" s="330" t="s">
        <v>54879</v>
      </c>
      <c r="C10523" s="330" t="s">
        <v>23274</v>
      </c>
      <c r="D10523" s="330" t="s">
        <v>23275</v>
      </c>
      <c r="E10523" s="330" t="s">
        <v>4634</v>
      </c>
      <c r="F10523" s="331">
        <v>0.21</v>
      </c>
      <c r="G10523" s="332">
        <v>309</v>
      </c>
      <c r="H10523" s="333">
        <v>374</v>
      </c>
    </row>
    <row r="10524" spans="1:8">
      <c r="A10524" s="317">
        <v>2603421215</v>
      </c>
      <c r="B10524" s="330" t="s">
        <v>54880</v>
      </c>
      <c r="C10524" s="330" t="s">
        <v>23276</v>
      </c>
      <c r="D10524" s="330" t="s">
        <v>23277</v>
      </c>
      <c r="E10524" s="330" t="s">
        <v>4634</v>
      </c>
      <c r="F10524" s="331">
        <v>0.21</v>
      </c>
      <c r="G10524" s="332">
        <v>84</v>
      </c>
      <c r="H10524" s="333">
        <v>102</v>
      </c>
    </row>
    <row r="10525" spans="1:8">
      <c r="A10525" s="317">
        <v>2603421217</v>
      </c>
      <c r="B10525" s="330" t="s">
        <v>54881</v>
      </c>
      <c r="C10525" s="330" t="s">
        <v>23278</v>
      </c>
      <c r="D10525" s="330" t="s">
        <v>23279</v>
      </c>
      <c r="E10525" s="330" t="s">
        <v>4634</v>
      </c>
      <c r="F10525" s="331">
        <v>0.21</v>
      </c>
      <c r="G10525" s="332">
        <v>437</v>
      </c>
      <c r="H10525" s="333">
        <v>529</v>
      </c>
    </row>
    <row r="10526" spans="1:8">
      <c r="A10526" s="317">
        <v>2603421222</v>
      </c>
      <c r="B10526" s="330" t="s">
        <v>54882</v>
      </c>
      <c r="C10526" s="330" t="s">
        <v>23280</v>
      </c>
      <c r="D10526" s="330" t="s">
        <v>23281</v>
      </c>
      <c r="E10526" s="330" t="s">
        <v>4634</v>
      </c>
      <c r="F10526" s="331">
        <v>0.21</v>
      </c>
      <c r="G10526" s="332">
        <v>29</v>
      </c>
      <c r="H10526" s="333">
        <v>36</v>
      </c>
    </row>
    <row r="10527" spans="1:8">
      <c r="A10527" s="317">
        <v>2603421226</v>
      </c>
      <c r="B10527" s="330" t="s">
        <v>54883</v>
      </c>
      <c r="C10527" s="330" t="s">
        <v>23282</v>
      </c>
      <c r="D10527" s="330" t="s">
        <v>23283</v>
      </c>
      <c r="E10527" s="330" t="s">
        <v>4634</v>
      </c>
      <c r="F10527" s="331">
        <v>0.21</v>
      </c>
      <c r="G10527" s="332">
        <v>711</v>
      </c>
      <c r="H10527" s="333">
        <v>861</v>
      </c>
    </row>
    <row r="10528" spans="1:8">
      <c r="A10528" s="317">
        <v>2603421227</v>
      </c>
      <c r="B10528" s="330" t="s">
        <v>54884</v>
      </c>
      <c r="C10528" s="330" t="s">
        <v>23284</v>
      </c>
      <c r="D10528" s="330" t="s">
        <v>23285</v>
      </c>
      <c r="E10528" s="330" t="s">
        <v>4634</v>
      </c>
      <c r="F10528" s="331">
        <v>0.21</v>
      </c>
      <c r="G10528" s="332">
        <v>372</v>
      </c>
      <c r="H10528" s="333">
        <v>451</v>
      </c>
    </row>
    <row r="10529" spans="1:8">
      <c r="A10529" s="317">
        <v>2603421228</v>
      </c>
      <c r="B10529" s="330" t="s">
        <v>54885</v>
      </c>
      <c r="C10529" s="330" t="s">
        <v>23286</v>
      </c>
      <c r="D10529" s="330" t="s">
        <v>23287</v>
      </c>
      <c r="E10529" s="330" t="s">
        <v>4634</v>
      </c>
      <c r="F10529" s="331">
        <v>0.21</v>
      </c>
      <c r="G10529" s="332">
        <v>580</v>
      </c>
      <c r="H10529" s="333">
        <v>702</v>
      </c>
    </row>
    <row r="10530" spans="1:8">
      <c r="A10530" s="317">
        <v>2603421229</v>
      </c>
      <c r="B10530" s="330" t="s">
        <v>54886</v>
      </c>
      <c r="C10530" s="330" t="s">
        <v>23288</v>
      </c>
      <c r="D10530" s="330" t="s">
        <v>19810</v>
      </c>
      <c r="E10530" s="330" t="s">
        <v>37248</v>
      </c>
      <c r="F10530" s="331">
        <v>0.21</v>
      </c>
      <c r="G10530" s="332">
        <v>1320</v>
      </c>
      <c r="H10530" s="333">
        <v>1598</v>
      </c>
    </row>
    <row r="10531" spans="1:8">
      <c r="A10531" s="317">
        <v>2603433000</v>
      </c>
      <c r="B10531" s="330" t="s">
        <v>54887</v>
      </c>
      <c r="C10531" s="330" t="s">
        <v>23289</v>
      </c>
      <c r="D10531" s="330" t="s">
        <v>23290</v>
      </c>
      <c r="E10531" s="330" t="s">
        <v>4634</v>
      </c>
      <c r="F10531" s="331">
        <v>0.21</v>
      </c>
      <c r="G10531" s="332">
        <v>455</v>
      </c>
      <c r="H10531" s="333">
        <v>551</v>
      </c>
    </row>
    <row r="10532" spans="1:8">
      <c r="A10532" s="317">
        <v>2603433001</v>
      </c>
      <c r="B10532" s="330" t="s">
        <v>54888</v>
      </c>
      <c r="C10532" s="330" t="s">
        <v>23291</v>
      </c>
      <c r="D10532" s="330" t="s">
        <v>23292</v>
      </c>
      <c r="E10532" s="330" t="s">
        <v>4819</v>
      </c>
      <c r="F10532" s="331">
        <v>0.21</v>
      </c>
      <c r="G10532" s="332">
        <v>2128</v>
      </c>
      <c r="H10532" s="333">
        <v>2575</v>
      </c>
    </row>
    <row r="10533" spans="1:8">
      <c r="A10533" s="317">
        <v>2603435012</v>
      </c>
      <c r="B10533" s="330" t="s">
        <v>54889</v>
      </c>
      <c r="C10533" s="330" t="s">
        <v>23293</v>
      </c>
      <c r="D10533" s="330" t="s">
        <v>7235</v>
      </c>
      <c r="E10533" s="330" t="s">
        <v>4634</v>
      </c>
      <c r="F10533" s="331">
        <v>0.21</v>
      </c>
      <c r="G10533" s="332">
        <v>1034</v>
      </c>
      <c r="H10533" s="333">
        <v>1252</v>
      </c>
    </row>
    <row r="10534" spans="1:8">
      <c r="A10534" s="317">
        <v>2603435013</v>
      </c>
      <c r="B10534" s="330" t="s">
        <v>54890</v>
      </c>
      <c r="C10534" s="330" t="s">
        <v>23294</v>
      </c>
      <c r="D10534" s="330" t="s">
        <v>7235</v>
      </c>
      <c r="E10534" s="330" t="s">
        <v>4634</v>
      </c>
      <c r="F10534" s="331">
        <v>0.21</v>
      </c>
      <c r="G10534" s="332">
        <v>1034</v>
      </c>
      <c r="H10534" s="333">
        <v>1252</v>
      </c>
    </row>
    <row r="10535" spans="1:8">
      <c r="A10535" s="317">
        <v>2603435015</v>
      </c>
      <c r="B10535" s="330" t="s">
        <v>54891</v>
      </c>
      <c r="C10535" s="330" t="s">
        <v>23295</v>
      </c>
      <c r="D10535" s="330" t="s">
        <v>23296</v>
      </c>
      <c r="E10535" s="330" t="s">
        <v>4819</v>
      </c>
      <c r="F10535" s="331">
        <v>0.21</v>
      </c>
      <c r="G10535" s="332">
        <v>1373</v>
      </c>
      <c r="H10535" s="333">
        <v>1662</v>
      </c>
    </row>
    <row r="10536" spans="1:8">
      <c r="A10536" s="317">
        <v>2603435018</v>
      </c>
      <c r="B10536" s="330" t="s">
        <v>54892</v>
      </c>
      <c r="C10536" s="330" t="s">
        <v>23297</v>
      </c>
      <c r="D10536" s="330" t="s">
        <v>23298</v>
      </c>
      <c r="E10536" s="330" t="s">
        <v>4634</v>
      </c>
      <c r="F10536" s="331">
        <v>0.21</v>
      </c>
      <c r="G10536" s="332">
        <v>541</v>
      </c>
      <c r="H10536" s="333">
        <v>655</v>
      </c>
    </row>
    <row r="10537" spans="1:8">
      <c r="A10537" s="317">
        <v>2603435020</v>
      </c>
      <c r="B10537" s="330" t="s">
        <v>54893</v>
      </c>
      <c r="C10537" s="330" t="s">
        <v>23299</v>
      </c>
      <c r="D10537" s="330" t="s">
        <v>23300</v>
      </c>
      <c r="E10537" s="330" t="s">
        <v>4634</v>
      </c>
      <c r="F10537" s="331">
        <v>0.21</v>
      </c>
      <c r="G10537" s="332">
        <v>711</v>
      </c>
      <c r="H10537" s="333">
        <v>861</v>
      </c>
    </row>
    <row r="10538" spans="1:8">
      <c r="A10538" s="317">
        <v>2603435042</v>
      </c>
      <c r="B10538" s="330" t="s">
        <v>54894</v>
      </c>
      <c r="C10538" s="330" t="s">
        <v>23301</v>
      </c>
      <c r="D10538" s="330" t="s">
        <v>23302</v>
      </c>
      <c r="E10538" s="330" t="s">
        <v>4819</v>
      </c>
      <c r="F10538" s="331">
        <v>0.21</v>
      </c>
      <c r="G10538" s="332">
        <v>454</v>
      </c>
      <c r="H10538" s="333">
        <v>550</v>
      </c>
    </row>
    <row r="10539" spans="1:8">
      <c r="A10539" s="317">
        <v>2603435043</v>
      </c>
      <c r="B10539" s="330" t="s">
        <v>54895</v>
      </c>
      <c r="C10539" s="330" t="s">
        <v>23303</v>
      </c>
      <c r="D10539" s="330" t="s">
        <v>23304</v>
      </c>
      <c r="E10539" s="330" t="s">
        <v>4634</v>
      </c>
      <c r="F10539" s="331">
        <v>0.21</v>
      </c>
      <c r="G10539" s="332">
        <v>580</v>
      </c>
      <c r="H10539" s="333">
        <v>702</v>
      </c>
    </row>
    <row r="10540" spans="1:8">
      <c r="A10540" s="317">
        <v>2603435070</v>
      </c>
      <c r="B10540" s="330" t="s">
        <v>54896</v>
      </c>
      <c r="C10540" s="330" t="s">
        <v>23305</v>
      </c>
      <c r="D10540" s="330" t="s">
        <v>23306</v>
      </c>
      <c r="E10540" s="330" t="s">
        <v>4634</v>
      </c>
      <c r="F10540" s="331">
        <v>0.21</v>
      </c>
      <c r="G10540" s="332">
        <v>387</v>
      </c>
      <c r="H10540" s="333">
        <v>469</v>
      </c>
    </row>
    <row r="10541" spans="1:8">
      <c r="A10541" s="317">
        <v>2603435071</v>
      </c>
      <c r="B10541" s="330" t="s">
        <v>54897</v>
      </c>
      <c r="C10541" s="330" t="s">
        <v>23307</v>
      </c>
      <c r="D10541" s="330" t="s">
        <v>23306</v>
      </c>
      <c r="E10541" s="330" t="s">
        <v>4634</v>
      </c>
      <c r="F10541" s="331">
        <v>0.21</v>
      </c>
      <c r="G10541" s="332">
        <v>455</v>
      </c>
      <c r="H10541" s="333">
        <v>551</v>
      </c>
    </row>
    <row r="10542" spans="1:8">
      <c r="A10542" s="317">
        <v>2603435084</v>
      </c>
      <c r="B10542" s="330" t="s">
        <v>54898</v>
      </c>
      <c r="C10542" s="330" t="s">
        <v>23308</v>
      </c>
      <c r="D10542" s="330" t="s">
        <v>23309</v>
      </c>
      <c r="E10542" s="330" t="s">
        <v>4634</v>
      </c>
      <c r="F10542" s="331">
        <v>0.21</v>
      </c>
      <c r="G10542" s="332">
        <v>180</v>
      </c>
      <c r="H10542" s="333">
        <v>218</v>
      </c>
    </row>
    <row r="10543" spans="1:8">
      <c r="A10543" s="317">
        <v>2603435085</v>
      </c>
      <c r="B10543" s="330" t="s">
        <v>54899</v>
      </c>
      <c r="C10543" s="330" t="s">
        <v>23310</v>
      </c>
      <c r="D10543" s="330" t="s">
        <v>23309</v>
      </c>
      <c r="E10543" s="330" t="s">
        <v>4634</v>
      </c>
      <c r="F10543" s="331">
        <v>0.21</v>
      </c>
      <c r="G10543" s="332">
        <v>180</v>
      </c>
      <c r="H10543" s="333">
        <v>218</v>
      </c>
    </row>
    <row r="10544" spans="1:8">
      <c r="A10544" s="317">
        <v>2603435086</v>
      </c>
      <c r="B10544" s="330" t="s">
        <v>54900</v>
      </c>
      <c r="C10544" s="330" t="s">
        <v>23311</v>
      </c>
      <c r="D10544" s="330" t="s">
        <v>23312</v>
      </c>
      <c r="E10544" s="330" t="s">
        <v>4634</v>
      </c>
      <c r="F10544" s="331">
        <v>0.21</v>
      </c>
      <c r="G10544" s="332">
        <v>180</v>
      </c>
      <c r="H10544" s="333">
        <v>218</v>
      </c>
    </row>
    <row r="10545" spans="1:8">
      <c r="A10545" s="317">
        <v>2603435096</v>
      </c>
      <c r="B10545" s="330" t="s">
        <v>54901</v>
      </c>
      <c r="C10545" s="330" t="s">
        <v>23313</v>
      </c>
      <c r="D10545" s="330" t="s">
        <v>23314</v>
      </c>
      <c r="E10545" s="330" t="s">
        <v>4819</v>
      </c>
      <c r="F10545" s="331">
        <v>0.21</v>
      </c>
      <c r="G10545" s="332">
        <v>579</v>
      </c>
      <c r="H10545" s="333">
        <v>701</v>
      </c>
    </row>
    <row r="10546" spans="1:8">
      <c r="A10546" s="317">
        <v>2603450005</v>
      </c>
      <c r="B10546" s="330" t="s">
        <v>54902</v>
      </c>
      <c r="C10546" s="330" t="s">
        <v>23315</v>
      </c>
      <c r="D10546" s="330" t="s">
        <v>23316</v>
      </c>
      <c r="E10546" s="330" t="s">
        <v>4634</v>
      </c>
      <c r="F10546" s="331">
        <v>0.21</v>
      </c>
      <c r="G10546" s="332">
        <v>372</v>
      </c>
      <c r="H10546" s="333">
        <v>451</v>
      </c>
    </row>
    <row r="10547" spans="1:8">
      <c r="A10547" s="317">
        <v>2603455006</v>
      </c>
      <c r="B10547" s="330" t="s">
        <v>54903</v>
      </c>
      <c r="C10547" s="330" t="s">
        <v>23317</v>
      </c>
      <c r="D10547" s="330" t="s">
        <v>23318</v>
      </c>
      <c r="E10547" s="330" t="s">
        <v>4634</v>
      </c>
      <c r="F10547" s="331">
        <v>0.21</v>
      </c>
      <c r="G10547" s="332">
        <v>678</v>
      </c>
      <c r="H10547" s="333">
        <v>821</v>
      </c>
    </row>
    <row r="10548" spans="1:8">
      <c r="A10548" s="317">
        <v>2603463001</v>
      </c>
      <c r="B10548" s="330" t="s">
        <v>54904</v>
      </c>
      <c r="C10548" s="330" t="s">
        <v>23319</v>
      </c>
      <c r="D10548" s="330" t="s">
        <v>19429</v>
      </c>
      <c r="E10548" s="330" t="s">
        <v>4634</v>
      </c>
      <c r="F10548" s="331">
        <v>0.21</v>
      </c>
      <c r="G10548" s="332">
        <v>111</v>
      </c>
      <c r="H10548" s="333">
        <v>135</v>
      </c>
    </row>
    <row r="10549" spans="1:8">
      <c r="A10549" s="317">
        <v>2603480003</v>
      </c>
      <c r="B10549" s="330" t="s">
        <v>54905</v>
      </c>
      <c r="C10549" s="330" t="s">
        <v>23320</v>
      </c>
      <c r="D10549" s="330" t="s">
        <v>8890</v>
      </c>
      <c r="E10549" s="330" t="s">
        <v>4634</v>
      </c>
      <c r="F10549" s="331">
        <v>0.21</v>
      </c>
      <c r="G10549" s="332">
        <v>564</v>
      </c>
      <c r="H10549" s="333">
        <v>683</v>
      </c>
    </row>
    <row r="10550" spans="1:8">
      <c r="A10550" s="317">
        <v>2603490005</v>
      </c>
      <c r="B10550" s="330" t="s">
        <v>54906</v>
      </c>
      <c r="C10550" s="330" t="s">
        <v>23321</v>
      </c>
      <c r="D10550" s="330" t="s">
        <v>23322</v>
      </c>
      <c r="E10550" s="330" t="s">
        <v>4634</v>
      </c>
      <c r="F10550" s="331">
        <v>0.21</v>
      </c>
      <c r="G10550" s="332">
        <v>1474</v>
      </c>
      <c r="H10550" s="333">
        <v>1784</v>
      </c>
    </row>
    <row r="10551" spans="1:8">
      <c r="A10551" s="317">
        <v>2603490011</v>
      </c>
      <c r="B10551" s="330" t="s">
        <v>54907</v>
      </c>
      <c r="C10551" s="330" t="s">
        <v>23323</v>
      </c>
      <c r="D10551" s="330" t="s">
        <v>23324</v>
      </c>
      <c r="E10551" s="330" t="s">
        <v>4819</v>
      </c>
      <c r="F10551" s="331">
        <v>0.21</v>
      </c>
      <c r="G10551" s="332">
        <v>9179</v>
      </c>
      <c r="H10551" s="333">
        <v>11107</v>
      </c>
    </row>
    <row r="10552" spans="1:8">
      <c r="A10552" s="317">
        <v>2603490016</v>
      </c>
      <c r="B10552" s="330" t="s">
        <v>54908</v>
      </c>
      <c r="C10552" s="330" t="s">
        <v>23325</v>
      </c>
      <c r="D10552" s="330" t="s">
        <v>23326</v>
      </c>
      <c r="E10552" s="330" t="s">
        <v>37248</v>
      </c>
      <c r="F10552" s="331">
        <v>0.21</v>
      </c>
      <c r="G10552" s="332">
        <v>383</v>
      </c>
      <c r="H10552" s="333">
        <v>464</v>
      </c>
    </row>
    <row r="10553" spans="1:8">
      <c r="A10553" s="317">
        <v>2603490017</v>
      </c>
      <c r="B10553" s="330" t="s">
        <v>54909</v>
      </c>
      <c r="C10553" s="330" t="s">
        <v>23327</v>
      </c>
      <c r="D10553" s="330" t="s">
        <v>8783</v>
      </c>
      <c r="E10553" s="330" t="s">
        <v>4634</v>
      </c>
      <c r="F10553" s="331">
        <v>0.21</v>
      </c>
      <c r="G10553" s="332">
        <v>274</v>
      </c>
      <c r="H10553" s="333">
        <v>332</v>
      </c>
    </row>
    <row r="10554" spans="1:8">
      <c r="A10554" s="317">
        <v>2603490020</v>
      </c>
      <c r="B10554" s="330" t="s">
        <v>54910</v>
      </c>
      <c r="C10554" s="330" t="s">
        <v>23328</v>
      </c>
      <c r="D10554" s="330" t="s">
        <v>23329</v>
      </c>
      <c r="E10554" s="330" t="s">
        <v>4819</v>
      </c>
      <c r="F10554" s="331">
        <v>0.21</v>
      </c>
      <c r="G10554" s="332">
        <v>994</v>
      </c>
      <c r="H10554" s="333">
        <v>1203</v>
      </c>
    </row>
    <row r="10555" spans="1:8">
      <c r="A10555" s="317">
        <v>2603490021</v>
      </c>
      <c r="B10555" s="330" t="s">
        <v>54911</v>
      </c>
      <c r="C10555" s="330" t="s">
        <v>23330</v>
      </c>
      <c r="D10555" s="330" t="s">
        <v>8783</v>
      </c>
      <c r="E10555" s="330" t="s">
        <v>37248</v>
      </c>
      <c r="F10555" s="331">
        <v>0.21</v>
      </c>
      <c r="G10555" s="332">
        <v>339</v>
      </c>
      <c r="H10555" s="333">
        <v>411</v>
      </c>
    </row>
    <row r="10556" spans="1:8">
      <c r="A10556" s="317">
        <v>2603490022</v>
      </c>
      <c r="B10556" s="330" t="s">
        <v>54912</v>
      </c>
      <c r="C10556" s="330" t="s">
        <v>23331</v>
      </c>
      <c r="D10556" s="330" t="s">
        <v>7653</v>
      </c>
      <c r="E10556" s="330" t="s">
        <v>37248</v>
      </c>
      <c r="F10556" s="331">
        <v>0.21</v>
      </c>
      <c r="G10556" s="332">
        <v>1438</v>
      </c>
      <c r="H10556" s="333">
        <v>1740</v>
      </c>
    </row>
    <row r="10557" spans="1:8">
      <c r="A10557" s="317">
        <v>2603490023</v>
      </c>
      <c r="B10557" s="330" t="s">
        <v>54913</v>
      </c>
      <c r="C10557" s="330" t="s">
        <v>23332</v>
      </c>
      <c r="D10557" s="330" t="s">
        <v>15481</v>
      </c>
      <c r="E10557" s="330" t="s">
        <v>37248</v>
      </c>
      <c r="F10557" s="331">
        <v>0.21</v>
      </c>
      <c r="G10557" s="332">
        <v>435</v>
      </c>
      <c r="H10557" s="333">
        <v>527</v>
      </c>
    </row>
    <row r="10558" spans="1:8">
      <c r="A10558" s="317">
        <v>2603490024</v>
      </c>
      <c r="B10558" s="330" t="s">
        <v>54914</v>
      </c>
      <c r="C10558" s="330" t="s">
        <v>23333</v>
      </c>
      <c r="D10558" s="330" t="s">
        <v>8783</v>
      </c>
      <c r="E10558" s="330" t="s">
        <v>4634</v>
      </c>
      <c r="F10558" s="331">
        <v>0.21</v>
      </c>
      <c r="G10558" s="332">
        <v>455</v>
      </c>
      <c r="H10558" s="333">
        <v>551</v>
      </c>
    </row>
    <row r="10559" spans="1:8">
      <c r="A10559" s="317">
        <v>2603490025</v>
      </c>
      <c r="B10559" s="330" t="s">
        <v>54915</v>
      </c>
      <c r="C10559" s="330" t="s">
        <v>23334</v>
      </c>
      <c r="D10559" s="330" t="s">
        <v>8783</v>
      </c>
      <c r="E10559" s="330" t="s">
        <v>37248</v>
      </c>
      <c r="F10559" s="331">
        <v>0.21</v>
      </c>
      <c r="G10559" s="332">
        <v>1579</v>
      </c>
      <c r="H10559" s="333">
        <v>1911</v>
      </c>
    </row>
    <row r="10560" spans="1:8">
      <c r="A10560" s="317">
        <v>2603490026</v>
      </c>
      <c r="B10560" s="330" t="s">
        <v>54916</v>
      </c>
      <c r="C10560" s="330" t="s">
        <v>23335</v>
      </c>
      <c r="D10560" s="330" t="s">
        <v>23336</v>
      </c>
      <c r="E10560" s="330" t="s">
        <v>4819</v>
      </c>
      <c r="F10560" s="331">
        <v>0.21</v>
      </c>
      <c r="G10560" s="332">
        <v>758</v>
      </c>
      <c r="H10560" s="333">
        <v>918</v>
      </c>
    </row>
    <row r="10561" spans="1:8">
      <c r="A10561" s="317">
        <v>2603490027</v>
      </c>
      <c r="B10561" s="330" t="s">
        <v>54917</v>
      </c>
      <c r="C10561" s="330" t="s">
        <v>23337</v>
      </c>
      <c r="D10561" s="330" t="s">
        <v>8783</v>
      </c>
      <c r="E10561" s="330" t="s">
        <v>4819</v>
      </c>
      <c r="F10561" s="331">
        <v>0.21</v>
      </c>
      <c r="G10561" s="332">
        <v>410</v>
      </c>
      <c r="H10561" s="333">
        <v>497</v>
      </c>
    </row>
    <row r="10562" spans="1:8">
      <c r="A10562" s="317">
        <v>2603502015</v>
      </c>
      <c r="B10562" s="330" t="s">
        <v>54918</v>
      </c>
      <c r="C10562" s="330" t="s">
        <v>23338</v>
      </c>
      <c r="D10562" s="330" t="s">
        <v>23339</v>
      </c>
      <c r="E10562" s="330" t="s">
        <v>4634</v>
      </c>
      <c r="F10562" s="331">
        <v>0.21</v>
      </c>
      <c r="G10562" s="332">
        <v>711</v>
      </c>
      <c r="H10562" s="333">
        <v>861</v>
      </c>
    </row>
    <row r="10563" spans="1:8">
      <c r="A10563" s="317">
        <v>2603520001</v>
      </c>
      <c r="B10563" s="330" t="s">
        <v>54919</v>
      </c>
      <c r="C10563" s="330" t="s">
        <v>23340</v>
      </c>
      <c r="D10563" s="330" t="s">
        <v>23341</v>
      </c>
      <c r="E10563" s="330" t="s">
        <v>4634</v>
      </c>
      <c r="F10563" s="331">
        <v>0.21</v>
      </c>
      <c r="G10563" s="332">
        <v>1267</v>
      </c>
      <c r="H10563" s="333">
        <v>1534</v>
      </c>
    </row>
    <row r="10564" spans="1:8">
      <c r="A10564" s="317">
        <v>2603520010</v>
      </c>
      <c r="B10564" s="330" t="s">
        <v>54920</v>
      </c>
      <c r="C10564" s="330" t="s">
        <v>23342</v>
      </c>
      <c r="D10564" s="330" t="s">
        <v>23343</v>
      </c>
      <c r="E10564" s="330" t="s">
        <v>4634</v>
      </c>
      <c r="F10564" s="331">
        <v>0.21</v>
      </c>
      <c r="G10564" s="332">
        <v>3673</v>
      </c>
      <c r="H10564" s="333">
        <v>4445</v>
      </c>
    </row>
    <row r="10565" spans="1:8">
      <c r="A10565" s="317">
        <v>2603523006</v>
      </c>
      <c r="B10565" s="330" t="s">
        <v>54921</v>
      </c>
      <c r="C10565" s="330" t="s">
        <v>23344</v>
      </c>
      <c r="D10565" s="330" t="s">
        <v>7916</v>
      </c>
      <c r="E10565" s="330" t="s">
        <v>4634</v>
      </c>
      <c r="F10565" s="331">
        <v>0.21</v>
      </c>
      <c r="G10565" s="332">
        <v>4481</v>
      </c>
      <c r="H10565" s="333">
        <v>5423</v>
      </c>
    </row>
    <row r="10566" spans="1:8">
      <c r="A10566" s="317">
        <v>2603523019</v>
      </c>
      <c r="B10566" s="330" t="s">
        <v>54922</v>
      </c>
      <c r="C10566" s="330" t="s">
        <v>23345</v>
      </c>
      <c r="D10566" s="330" t="s">
        <v>23346</v>
      </c>
      <c r="E10566" s="330" t="s">
        <v>4634</v>
      </c>
      <c r="F10566" s="331">
        <v>0.21</v>
      </c>
      <c r="G10566" s="332">
        <v>938</v>
      </c>
      <c r="H10566" s="333">
        <v>1135</v>
      </c>
    </row>
    <row r="10567" spans="1:8">
      <c r="A10567" s="317">
        <v>2603527004</v>
      </c>
      <c r="B10567" s="330" t="s">
        <v>54923</v>
      </c>
      <c r="C10567" s="330" t="s">
        <v>23347</v>
      </c>
      <c r="D10567" s="330" t="s">
        <v>23348</v>
      </c>
      <c r="E10567" s="330" t="s">
        <v>4634</v>
      </c>
      <c r="F10567" s="331">
        <v>0.21</v>
      </c>
      <c r="G10567" s="332">
        <v>180</v>
      </c>
      <c r="H10567" s="333">
        <v>218</v>
      </c>
    </row>
    <row r="10568" spans="1:8">
      <c r="A10568" s="317">
        <v>2604010524</v>
      </c>
      <c r="B10568" s="330" t="s">
        <v>54924</v>
      </c>
      <c r="C10568" s="330" t="s">
        <v>23349</v>
      </c>
      <c r="D10568" s="330" t="s">
        <v>23350</v>
      </c>
      <c r="E10568" s="330" t="s">
        <v>4634</v>
      </c>
      <c r="F10568" s="331">
        <v>0.21</v>
      </c>
      <c r="G10568" s="332">
        <v>9904</v>
      </c>
      <c r="H10568" s="333">
        <v>11984</v>
      </c>
    </row>
    <row r="10569" spans="1:8">
      <c r="A10569" s="317">
        <v>2604010529</v>
      </c>
      <c r="B10569" s="330" t="s">
        <v>54925</v>
      </c>
      <c r="C10569" s="330" t="s">
        <v>23351</v>
      </c>
      <c r="D10569" s="330" t="s">
        <v>23352</v>
      </c>
      <c r="E10569" s="330" t="s">
        <v>4634</v>
      </c>
      <c r="F10569" s="331">
        <v>0.21</v>
      </c>
      <c r="G10569" s="332">
        <v>9000</v>
      </c>
      <c r="H10569" s="333">
        <v>10890</v>
      </c>
    </row>
    <row r="10570" spans="1:8">
      <c r="A10570" s="317">
        <v>2604010551</v>
      </c>
      <c r="B10570" s="330" t="s">
        <v>54926</v>
      </c>
      <c r="C10570" s="330" t="s">
        <v>23353</v>
      </c>
      <c r="D10570" s="330" t="s">
        <v>23354</v>
      </c>
      <c r="E10570" s="330" t="s">
        <v>4634</v>
      </c>
      <c r="F10570" s="331">
        <v>0.21</v>
      </c>
      <c r="G10570" s="332">
        <v>5583</v>
      </c>
      <c r="H10570" s="333">
        <v>6756</v>
      </c>
    </row>
    <row r="10571" spans="1:8">
      <c r="A10571" s="317">
        <v>2604010553</v>
      </c>
      <c r="B10571" s="330" t="s">
        <v>54927</v>
      </c>
      <c r="C10571" s="330" t="s">
        <v>23355</v>
      </c>
      <c r="D10571" s="330" t="s">
        <v>23356</v>
      </c>
      <c r="E10571" s="330" t="s">
        <v>4634</v>
      </c>
      <c r="F10571" s="331">
        <v>0.21</v>
      </c>
      <c r="G10571" s="332">
        <v>11555</v>
      </c>
      <c r="H10571" s="333">
        <v>13982</v>
      </c>
    </row>
    <row r="10572" spans="1:8">
      <c r="A10572" s="317">
        <v>2604010558</v>
      </c>
      <c r="B10572" s="330" t="s">
        <v>54928</v>
      </c>
      <c r="C10572" s="330" t="s">
        <v>23357</v>
      </c>
      <c r="D10572" s="330" t="s">
        <v>23358</v>
      </c>
      <c r="E10572" s="330" t="s">
        <v>4634</v>
      </c>
      <c r="F10572" s="331">
        <v>0.21</v>
      </c>
      <c r="G10572" s="332">
        <v>8918</v>
      </c>
      <c r="H10572" s="333">
        <v>10791</v>
      </c>
    </row>
    <row r="10573" spans="1:8">
      <c r="A10573" s="317">
        <v>2604010574</v>
      </c>
      <c r="B10573" s="330" t="s">
        <v>54929</v>
      </c>
      <c r="C10573" s="330" t="s">
        <v>23359</v>
      </c>
      <c r="D10573" s="330" t="s">
        <v>5155</v>
      </c>
      <c r="E10573" s="330" t="s">
        <v>4634</v>
      </c>
      <c r="F10573" s="331">
        <v>0.21</v>
      </c>
      <c r="G10573" s="332">
        <v>128492</v>
      </c>
      <c r="H10573" s="333">
        <v>155476</v>
      </c>
    </row>
    <row r="10574" spans="1:8">
      <c r="A10574" s="317">
        <v>2604010578</v>
      </c>
      <c r="B10574" s="330" t="s">
        <v>54930</v>
      </c>
      <c r="C10574" s="330" t="s">
        <v>23360</v>
      </c>
      <c r="D10574" s="330" t="s">
        <v>23361</v>
      </c>
      <c r="E10574" s="330" t="s">
        <v>37248</v>
      </c>
      <c r="F10574" s="331">
        <v>0.21</v>
      </c>
      <c r="G10574" s="332">
        <v>53185</v>
      </c>
      <c r="H10574" s="333">
        <v>64354</v>
      </c>
    </row>
    <row r="10575" spans="1:8">
      <c r="A10575" s="317">
        <v>2604010604</v>
      </c>
      <c r="B10575" s="330" t="s">
        <v>54931</v>
      </c>
      <c r="C10575" s="330" t="s">
        <v>23362</v>
      </c>
      <c r="D10575" s="330" t="s">
        <v>23363</v>
      </c>
      <c r="E10575" s="330" t="s">
        <v>4634</v>
      </c>
      <c r="F10575" s="331">
        <v>0.21</v>
      </c>
      <c r="G10575" s="332">
        <v>10339</v>
      </c>
      <c r="H10575" s="333">
        <v>12511</v>
      </c>
    </row>
    <row r="10576" spans="1:8">
      <c r="A10576" s="317">
        <v>2604010605</v>
      </c>
      <c r="B10576" s="330" t="s">
        <v>54932</v>
      </c>
      <c r="C10576" s="330" t="s">
        <v>23364</v>
      </c>
      <c r="D10576" s="330" t="s">
        <v>23365</v>
      </c>
      <c r="E10576" s="330" t="s">
        <v>4634</v>
      </c>
      <c r="F10576" s="331">
        <v>0.21</v>
      </c>
      <c r="G10576" s="332">
        <v>1867</v>
      </c>
      <c r="H10576" s="333">
        <v>2260</v>
      </c>
    </row>
    <row r="10577" spans="1:8">
      <c r="A10577" s="317">
        <v>2604010608</v>
      </c>
      <c r="B10577" s="330" t="s">
        <v>54933</v>
      </c>
      <c r="C10577" s="330" t="s">
        <v>23366</v>
      </c>
      <c r="D10577" s="330" t="s">
        <v>23367</v>
      </c>
      <c r="E10577" s="330" t="s">
        <v>4634</v>
      </c>
      <c r="F10577" s="331">
        <v>0.21</v>
      </c>
      <c r="G10577" s="332">
        <v>20351</v>
      </c>
      <c r="H10577" s="333">
        <v>24625</v>
      </c>
    </row>
    <row r="10578" spans="1:8">
      <c r="A10578" s="317">
        <v>2604010629</v>
      </c>
      <c r="B10578" s="330" t="s">
        <v>54934</v>
      </c>
      <c r="C10578" s="330" t="s">
        <v>23368</v>
      </c>
      <c r="D10578" s="330" t="s">
        <v>8976</v>
      </c>
      <c r="E10578" s="330" t="s">
        <v>37248</v>
      </c>
      <c r="F10578" s="331">
        <v>0.21</v>
      </c>
      <c r="G10578" s="332">
        <v>92694</v>
      </c>
      <c r="H10578" s="333">
        <v>112160</v>
      </c>
    </row>
    <row r="10579" spans="1:8">
      <c r="A10579" s="317">
        <v>2604010639</v>
      </c>
      <c r="B10579" s="330" t="s">
        <v>54935</v>
      </c>
      <c r="C10579" s="330" t="s">
        <v>23369</v>
      </c>
      <c r="D10579" s="330" t="s">
        <v>23370</v>
      </c>
      <c r="E10579" s="330" t="s">
        <v>37248</v>
      </c>
      <c r="F10579" s="331">
        <v>0.21</v>
      </c>
      <c r="G10579" s="332">
        <v>63927</v>
      </c>
      <c r="H10579" s="333">
        <v>77352</v>
      </c>
    </row>
    <row r="10580" spans="1:8">
      <c r="A10580" s="317">
        <v>2604010648</v>
      </c>
      <c r="B10580" s="330" t="s">
        <v>54936</v>
      </c>
      <c r="C10580" s="330" t="s">
        <v>23371</v>
      </c>
      <c r="D10580" s="330" t="s">
        <v>23372</v>
      </c>
      <c r="E10580" s="330" t="s">
        <v>4634</v>
      </c>
      <c r="F10580" s="331">
        <v>0.21</v>
      </c>
      <c r="G10580" s="332">
        <v>11517</v>
      </c>
      <c r="H10580" s="333">
        <v>13936</v>
      </c>
    </row>
    <row r="10581" spans="1:8">
      <c r="A10581" s="317">
        <v>2604010658</v>
      </c>
      <c r="B10581" s="330" t="s">
        <v>54937</v>
      </c>
      <c r="C10581" s="330" t="s">
        <v>23373</v>
      </c>
      <c r="D10581" s="330" t="s">
        <v>23374</v>
      </c>
      <c r="E10581" s="330" t="s">
        <v>4634</v>
      </c>
      <c r="F10581" s="331">
        <v>0.21</v>
      </c>
      <c r="G10581" s="332">
        <v>53930</v>
      </c>
      <c r="H10581" s="333">
        <v>65256</v>
      </c>
    </row>
    <row r="10582" spans="1:8">
      <c r="A10582" s="317">
        <v>2604010707</v>
      </c>
      <c r="B10582" s="330" t="s">
        <v>54938</v>
      </c>
      <c r="C10582" s="330" t="s">
        <v>23375</v>
      </c>
      <c r="D10582" s="330" t="s">
        <v>23376</v>
      </c>
      <c r="E10582" s="330" t="s">
        <v>4634</v>
      </c>
      <c r="F10582" s="331">
        <v>0.21</v>
      </c>
      <c r="G10582" s="332">
        <v>9712</v>
      </c>
      <c r="H10582" s="333">
        <v>11752</v>
      </c>
    </row>
    <row r="10583" spans="1:8">
      <c r="A10583" s="317">
        <v>2604010715</v>
      </c>
      <c r="B10583" s="330" t="s">
        <v>54939</v>
      </c>
      <c r="C10583" s="330" t="s">
        <v>23377</v>
      </c>
      <c r="D10583" s="330" t="s">
        <v>23378</v>
      </c>
      <c r="E10583" s="330" t="s">
        <v>4634</v>
      </c>
      <c r="F10583" s="331">
        <v>0.21</v>
      </c>
      <c r="G10583" s="332">
        <v>10808</v>
      </c>
      <c r="H10583" s="333">
        <v>13078</v>
      </c>
    </row>
    <row r="10584" spans="1:8">
      <c r="A10584" s="317">
        <v>2604010727</v>
      </c>
      <c r="B10584" s="330" t="s">
        <v>54940</v>
      </c>
      <c r="C10584" s="330" t="s">
        <v>23379</v>
      </c>
      <c r="D10584" s="330" t="s">
        <v>23380</v>
      </c>
      <c r="E10584" s="330" t="s">
        <v>4634</v>
      </c>
      <c r="F10584" s="331">
        <v>0.21</v>
      </c>
      <c r="G10584" s="332">
        <v>10319</v>
      </c>
      <c r="H10584" s="333">
        <v>12486</v>
      </c>
    </row>
    <row r="10585" spans="1:8">
      <c r="A10585" s="317">
        <v>2604010735</v>
      </c>
      <c r="B10585" s="330" t="s">
        <v>54941</v>
      </c>
      <c r="C10585" s="330" t="s">
        <v>23381</v>
      </c>
      <c r="D10585" s="330" t="s">
        <v>23382</v>
      </c>
      <c r="E10585" s="330" t="s">
        <v>4634</v>
      </c>
      <c r="F10585" s="331">
        <v>0.21</v>
      </c>
      <c r="G10585" s="332">
        <v>9478</v>
      </c>
      <c r="H10585" s="333">
        <v>11469</v>
      </c>
    </row>
    <row r="10586" spans="1:8">
      <c r="A10586" s="317">
        <v>2604010736</v>
      </c>
      <c r="B10586" s="330" t="s">
        <v>54942</v>
      </c>
      <c r="C10586" s="330" t="s">
        <v>23383</v>
      </c>
      <c r="D10586" s="330" t="s">
        <v>23384</v>
      </c>
      <c r="E10586" s="330" t="s">
        <v>4634</v>
      </c>
      <c r="F10586" s="331">
        <v>0.21</v>
      </c>
      <c r="G10586" s="332">
        <v>10489</v>
      </c>
      <c r="H10586" s="333">
        <v>12692</v>
      </c>
    </row>
    <row r="10587" spans="1:8">
      <c r="A10587" s="317">
        <v>2604010739</v>
      </c>
      <c r="B10587" s="330" t="s">
        <v>54943</v>
      </c>
      <c r="C10587" s="330" t="s">
        <v>23385</v>
      </c>
      <c r="D10587" s="330" t="s">
        <v>23386</v>
      </c>
      <c r="E10587" s="330" t="s">
        <v>4634</v>
      </c>
      <c r="F10587" s="331">
        <v>0.21</v>
      </c>
      <c r="G10587" s="332">
        <v>56357</v>
      </c>
      <c r="H10587" s="333">
        <v>68192</v>
      </c>
    </row>
    <row r="10588" spans="1:8">
      <c r="A10588" s="317">
        <v>2604010744</v>
      </c>
      <c r="B10588" s="330" t="s">
        <v>54944</v>
      </c>
      <c r="C10588" s="330" t="s">
        <v>23387</v>
      </c>
      <c r="D10588" s="330" t="s">
        <v>23388</v>
      </c>
      <c r="E10588" s="330" t="s">
        <v>4634</v>
      </c>
      <c r="F10588" s="331">
        <v>0.21</v>
      </c>
      <c r="G10588" s="332">
        <v>10382</v>
      </c>
      <c r="H10588" s="333">
        <v>12563</v>
      </c>
    </row>
    <row r="10589" spans="1:8">
      <c r="A10589" s="317">
        <v>2604010751</v>
      </c>
      <c r="B10589" s="330" t="s">
        <v>54945</v>
      </c>
      <c r="C10589" s="330" t="s">
        <v>23389</v>
      </c>
      <c r="D10589" s="330" t="s">
        <v>23390</v>
      </c>
      <c r="E10589" s="330" t="s">
        <v>4634</v>
      </c>
      <c r="F10589" s="331">
        <v>0.21</v>
      </c>
      <c r="G10589" s="332">
        <v>11075</v>
      </c>
      <c r="H10589" s="333">
        <v>13401</v>
      </c>
    </row>
    <row r="10590" spans="1:8">
      <c r="A10590" s="317">
        <v>2604010763</v>
      </c>
      <c r="B10590" s="330" t="s">
        <v>54946</v>
      </c>
      <c r="C10590" s="330" t="s">
        <v>23391</v>
      </c>
      <c r="D10590" s="330" t="s">
        <v>23392</v>
      </c>
      <c r="E10590" s="330" t="s">
        <v>4634</v>
      </c>
      <c r="F10590" s="331">
        <v>0.21</v>
      </c>
      <c r="G10590" s="332">
        <v>44450</v>
      </c>
      <c r="H10590" s="333">
        <v>53785</v>
      </c>
    </row>
    <row r="10591" spans="1:8">
      <c r="A10591" s="317">
        <v>2604010784</v>
      </c>
      <c r="B10591" s="330" t="s">
        <v>54947</v>
      </c>
      <c r="C10591" s="330" t="s">
        <v>23393</v>
      </c>
      <c r="D10591" s="330" t="s">
        <v>23394</v>
      </c>
      <c r="E10591" s="330" t="s">
        <v>4634</v>
      </c>
      <c r="F10591" s="331">
        <v>0.21</v>
      </c>
      <c r="G10591" s="332">
        <v>9904</v>
      </c>
      <c r="H10591" s="333">
        <v>11984</v>
      </c>
    </row>
    <row r="10592" spans="1:8">
      <c r="A10592" s="317">
        <v>2604010826</v>
      </c>
      <c r="B10592" s="330" t="s">
        <v>54948</v>
      </c>
      <c r="C10592" s="330" t="s">
        <v>23395</v>
      </c>
      <c r="D10592" s="330" t="s">
        <v>23396</v>
      </c>
      <c r="E10592" s="330" t="s">
        <v>4634</v>
      </c>
      <c r="F10592" s="331">
        <v>0.21</v>
      </c>
      <c r="G10592" s="332">
        <v>16951</v>
      </c>
      <c r="H10592" s="333">
        <v>20511</v>
      </c>
    </row>
    <row r="10593" spans="1:8">
      <c r="A10593" s="317">
        <v>2604010846</v>
      </c>
      <c r="B10593" s="330" t="s">
        <v>54949</v>
      </c>
      <c r="C10593" s="330" t="s">
        <v>23397</v>
      </c>
      <c r="D10593" s="330" t="s">
        <v>23398</v>
      </c>
      <c r="E10593" s="330" t="s">
        <v>4634</v>
      </c>
      <c r="F10593" s="331">
        <v>0.21</v>
      </c>
      <c r="G10593" s="332">
        <v>6203</v>
      </c>
      <c r="H10593" s="333">
        <v>7506</v>
      </c>
    </row>
    <row r="10594" spans="1:8">
      <c r="A10594" s="317">
        <v>2604010863</v>
      </c>
      <c r="B10594" s="330" t="s">
        <v>54950</v>
      </c>
      <c r="C10594" s="330" t="s">
        <v>23399</v>
      </c>
      <c r="D10594" s="330" t="s">
        <v>23400</v>
      </c>
      <c r="E10594" s="330" t="s">
        <v>4634</v>
      </c>
      <c r="F10594" s="331">
        <v>0.21</v>
      </c>
      <c r="G10594" s="332">
        <v>10962</v>
      </c>
      <c r="H10594" s="333">
        <v>13265</v>
      </c>
    </row>
    <row r="10595" spans="1:8">
      <c r="A10595" s="317">
        <v>2604010872</v>
      </c>
      <c r="B10595" s="330" t="s">
        <v>54951</v>
      </c>
      <c r="C10595" s="330" t="s">
        <v>23401</v>
      </c>
      <c r="D10595" s="330" t="s">
        <v>23402</v>
      </c>
      <c r="E10595" s="330" t="s">
        <v>4634</v>
      </c>
      <c r="F10595" s="331">
        <v>0.21</v>
      </c>
      <c r="G10595" s="332">
        <v>71011</v>
      </c>
      <c r="H10595" s="333">
        <v>85924</v>
      </c>
    </row>
    <row r="10596" spans="1:8">
      <c r="A10596" s="317">
        <v>2604010881</v>
      </c>
      <c r="B10596" s="330" t="s">
        <v>54952</v>
      </c>
      <c r="C10596" s="330" t="s">
        <v>23403</v>
      </c>
      <c r="D10596" s="330" t="s">
        <v>23404</v>
      </c>
      <c r="E10596" s="330" t="s">
        <v>4634</v>
      </c>
      <c r="F10596" s="331">
        <v>0.21</v>
      </c>
      <c r="G10596" s="332">
        <v>10808</v>
      </c>
      <c r="H10596" s="333">
        <v>13078</v>
      </c>
    </row>
    <row r="10597" spans="1:8">
      <c r="A10597" s="317">
        <v>2604010889</v>
      </c>
      <c r="B10597" s="330" t="s">
        <v>54953</v>
      </c>
      <c r="C10597" s="330" t="s">
        <v>23405</v>
      </c>
      <c r="D10597" s="330" t="s">
        <v>23406</v>
      </c>
      <c r="E10597" s="330" t="s">
        <v>4634</v>
      </c>
      <c r="F10597" s="331">
        <v>0.21</v>
      </c>
      <c r="G10597" s="332">
        <v>13710</v>
      </c>
      <c r="H10597" s="333">
        <v>16590</v>
      </c>
    </row>
    <row r="10598" spans="1:8">
      <c r="A10598" s="317">
        <v>2604010911</v>
      </c>
      <c r="B10598" s="330" t="s">
        <v>54954</v>
      </c>
      <c r="C10598" s="330" t="s">
        <v>23407</v>
      </c>
      <c r="D10598" s="330" t="s">
        <v>23408</v>
      </c>
      <c r="E10598" s="330" t="s">
        <v>4634</v>
      </c>
      <c r="F10598" s="331">
        <v>0.21</v>
      </c>
      <c r="G10598" s="332">
        <v>21787</v>
      </c>
      <c r="H10598" s="333">
        <v>26363</v>
      </c>
    </row>
    <row r="10599" spans="1:8">
      <c r="A10599" s="317">
        <v>2604010932</v>
      </c>
      <c r="B10599" s="330" t="s">
        <v>54955</v>
      </c>
      <c r="C10599" s="330" t="s">
        <v>23409</v>
      </c>
      <c r="D10599" s="330" t="s">
        <v>23410</v>
      </c>
      <c r="E10599" s="330" t="s">
        <v>4634</v>
      </c>
      <c r="F10599" s="331">
        <v>0.21</v>
      </c>
      <c r="G10599" s="332">
        <v>14370</v>
      </c>
      <c r="H10599" s="333">
        <v>17388</v>
      </c>
    </row>
    <row r="10600" spans="1:8">
      <c r="A10600" s="317">
        <v>2604010940</v>
      </c>
      <c r="B10600" s="330" t="s">
        <v>54956</v>
      </c>
      <c r="C10600" s="330" t="s">
        <v>23411</v>
      </c>
      <c r="D10600" s="330" t="s">
        <v>23412</v>
      </c>
      <c r="E10600" s="330" t="s">
        <v>4634</v>
      </c>
      <c r="F10600" s="331">
        <v>0.21</v>
      </c>
      <c r="G10600" s="332">
        <v>8414</v>
      </c>
      <c r="H10600" s="333">
        <v>10181</v>
      </c>
    </row>
    <row r="10601" spans="1:8">
      <c r="A10601" s="317">
        <v>2604010944</v>
      </c>
      <c r="B10601" s="330" t="s">
        <v>54957</v>
      </c>
      <c r="C10601" s="330" t="s">
        <v>23413</v>
      </c>
      <c r="D10601" s="330" t="s">
        <v>23414</v>
      </c>
      <c r="E10601" s="330" t="s">
        <v>4634</v>
      </c>
      <c r="F10601" s="331">
        <v>0.21</v>
      </c>
      <c r="G10601" s="332">
        <v>10297</v>
      </c>
      <c r="H10601" s="333">
        <v>12460</v>
      </c>
    </row>
    <row r="10602" spans="1:8">
      <c r="A10602" s="317">
        <v>2604010962</v>
      </c>
      <c r="B10602" s="330" t="s">
        <v>54958</v>
      </c>
      <c r="C10602" s="330" t="s">
        <v>23415</v>
      </c>
      <c r="D10602" s="330" t="s">
        <v>23416</v>
      </c>
      <c r="E10602" s="330" t="s">
        <v>4634</v>
      </c>
      <c r="F10602" s="331">
        <v>0.21</v>
      </c>
      <c r="G10602" s="332">
        <v>10150</v>
      </c>
      <c r="H10602" s="333">
        <v>12282</v>
      </c>
    </row>
    <row r="10603" spans="1:8">
      <c r="A10603" s="317">
        <v>2604010974</v>
      </c>
      <c r="B10603" s="330" t="s">
        <v>54959</v>
      </c>
      <c r="C10603" s="330" t="s">
        <v>23417</v>
      </c>
      <c r="D10603" s="330" t="s">
        <v>23418</v>
      </c>
      <c r="E10603" s="330" t="s">
        <v>4634</v>
      </c>
      <c r="F10603" s="331">
        <v>0.21</v>
      </c>
      <c r="G10603" s="332">
        <v>9841</v>
      </c>
      <c r="H10603" s="333">
        <v>11908</v>
      </c>
    </row>
    <row r="10604" spans="1:8">
      <c r="A10604" s="317">
        <v>2604010998</v>
      </c>
      <c r="B10604" s="330" t="s">
        <v>54960</v>
      </c>
      <c r="C10604" s="330" t="s">
        <v>23419</v>
      </c>
      <c r="D10604" s="330" t="s">
        <v>23420</v>
      </c>
      <c r="E10604" s="330" t="s">
        <v>4634</v>
      </c>
      <c r="F10604" s="331">
        <v>0.21</v>
      </c>
      <c r="G10604" s="332">
        <v>20877</v>
      </c>
      <c r="H10604" s="333">
        <v>25262</v>
      </c>
    </row>
    <row r="10605" spans="1:8">
      <c r="A10605" s="317">
        <v>2604011003</v>
      </c>
      <c r="B10605" s="330" t="s">
        <v>54961</v>
      </c>
      <c r="C10605" s="330" t="s">
        <v>23421</v>
      </c>
      <c r="D10605" s="330" t="s">
        <v>23422</v>
      </c>
      <c r="E10605" s="330" t="s">
        <v>4819</v>
      </c>
      <c r="F10605" s="331">
        <v>0.21</v>
      </c>
      <c r="G10605" s="332">
        <v>102985</v>
      </c>
      <c r="H10605" s="333">
        <v>124612</v>
      </c>
    </row>
    <row r="10606" spans="1:8">
      <c r="A10606" s="317">
        <v>2604011014</v>
      </c>
      <c r="B10606" s="330" t="s">
        <v>54962</v>
      </c>
      <c r="C10606" s="330" t="s">
        <v>23423</v>
      </c>
      <c r="D10606" s="330" t="s">
        <v>23424</v>
      </c>
      <c r="E10606" s="330" t="s">
        <v>4634</v>
      </c>
      <c r="F10606" s="331">
        <v>0.21</v>
      </c>
      <c r="G10606" s="332">
        <v>9567</v>
      </c>
      <c r="H10606" s="333">
        <v>11577</v>
      </c>
    </row>
    <row r="10607" spans="1:8">
      <c r="A10607" s="317">
        <v>2604011018</v>
      </c>
      <c r="B10607" s="330" t="s">
        <v>54963</v>
      </c>
      <c r="C10607" s="330" t="s">
        <v>23425</v>
      </c>
      <c r="D10607" s="330" t="s">
        <v>23426</v>
      </c>
      <c r="E10607" s="330" t="s">
        <v>4634</v>
      </c>
      <c r="F10607" s="331">
        <v>0.21</v>
      </c>
      <c r="G10607" s="332">
        <v>8075</v>
      </c>
      <c r="H10607" s="333">
        <v>9771</v>
      </c>
    </row>
    <row r="10608" spans="1:8">
      <c r="A10608" s="317">
        <v>2604011028</v>
      </c>
      <c r="B10608" s="330" t="s">
        <v>54964</v>
      </c>
      <c r="C10608" s="330" t="s">
        <v>23427</v>
      </c>
      <c r="D10608" s="330" t="s">
        <v>23428</v>
      </c>
      <c r="E10608" s="330" t="s">
        <v>37248</v>
      </c>
      <c r="F10608" s="331">
        <v>0.21</v>
      </c>
      <c r="G10608" s="332">
        <v>80967</v>
      </c>
      <c r="H10608" s="333">
        <v>97971</v>
      </c>
    </row>
    <row r="10609" spans="1:8">
      <c r="A10609" s="317">
        <v>2604011077</v>
      </c>
      <c r="B10609" s="330" t="s">
        <v>54965</v>
      </c>
      <c r="C10609" s="330" t="s">
        <v>23429</v>
      </c>
      <c r="D10609" s="330" t="s">
        <v>23430</v>
      </c>
      <c r="E10609" s="330" t="s">
        <v>4634</v>
      </c>
      <c r="F10609" s="331">
        <v>0.21</v>
      </c>
      <c r="G10609" s="332">
        <v>13263</v>
      </c>
      <c r="H10609" s="333">
        <v>16049</v>
      </c>
    </row>
    <row r="10610" spans="1:8">
      <c r="A10610" s="317">
        <v>2604011084</v>
      </c>
      <c r="B10610" s="330" t="s">
        <v>54966</v>
      </c>
      <c r="C10610" s="330" t="s">
        <v>23431</v>
      </c>
      <c r="D10610" s="330" t="s">
        <v>23432</v>
      </c>
      <c r="E10610" s="330" t="s">
        <v>4634</v>
      </c>
      <c r="F10610" s="331">
        <v>0.21</v>
      </c>
      <c r="G10610" s="332">
        <v>10257</v>
      </c>
      <c r="H10610" s="333">
        <v>12411</v>
      </c>
    </row>
    <row r="10611" spans="1:8">
      <c r="A10611" s="317">
        <v>2604011085</v>
      </c>
      <c r="B10611" s="330" t="s">
        <v>54967</v>
      </c>
      <c r="C10611" s="330" t="s">
        <v>23433</v>
      </c>
      <c r="D10611" s="330" t="s">
        <v>23434</v>
      </c>
      <c r="E10611" s="330" t="s">
        <v>4634</v>
      </c>
      <c r="F10611" s="331">
        <v>0.21</v>
      </c>
      <c r="G10611" s="332">
        <v>10808</v>
      </c>
      <c r="H10611" s="333">
        <v>13078</v>
      </c>
    </row>
    <row r="10612" spans="1:8">
      <c r="A10612" s="317">
        <v>2604011097</v>
      </c>
      <c r="B10612" s="330" t="s">
        <v>54968</v>
      </c>
      <c r="C10612" s="330" t="s">
        <v>23435</v>
      </c>
      <c r="D10612" s="330" t="s">
        <v>23436</v>
      </c>
      <c r="E10612" s="330" t="s">
        <v>4634</v>
      </c>
      <c r="F10612" s="331">
        <v>0.21</v>
      </c>
      <c r="G10612" s="332">
        <v>8075</v>
      </c>
      <c r="H10612" s="333">
        <v>9771</v>
      </c>
    </row>
    <row r="10613" spans="1:8">
      <c r="A10613" s="317">
        <v>2604011110</v>
      </c>
      <c r="B10613" s="330" t="s">
        <v>54969</v>
      </c>
      <c r="C10613" s="330" t="s">
        <v>23437</v>
      </c>
      <c r="D10613" s="330" t="s">
        <v>23438</v>
      </c>
      <c r="E10613" s="330" t="s">
        <v>37248</v>
      </c>
      <c r="F10613" s="331">
        <v>0.21</v>
      </c>
      <c r="G10613" s="332">
        <v>62954</v>
      </c>
      <c r="H10613" s="333">
        <v>76175</v>
      </c>
    </row>
    <row r="10614" spans="1:8">
      <c r="A10614" s="317">
        <v>2604011115</v>
      </c>
      <c r="B10614" s="330" t="s">
        <v>54970</v>
      </c>
      <c r="C10614" s="330" t="s">
        <v>23439</v>
      </c>
      <c r="D10614" s="330" t="s">
        <v>23440</v>
      </c>
      <c r="E10614" s="330" t="s">
        <v>4634</v>
      </c>
      <c r="F10614" s="331">
        <v>0.21</v>
      </c>
      <c r="G10614" s="332">
        <v>34523</v>
      </c>
      <c r="H10614" s="333">
        <v>41773</v>
      </c>
    </row>
    <row r="10615" spans="1:8">
      <c r="A10615" s="317">
        <v>2604011153</v>
      </c>
      <c r="B10615" s="330" t="s">
        <v>54971</v>
      </c>
      <c r="C10615" s="330" t="s">
        <v>23441</v>
      </c>
      <c r="D10615" s="330" t="s">
        <v>23442</v>
      </c>
      <c r="E10615" s="330" t="s">
        <v>4634</v>
      </c>
      <c r="F10615" s="331">
        <v>0.21</v>
      </c>
      <c r="G10615" s="332">
        <v>35177</v>
      </c>
      <c r="H10615" s="333">
        <v>42565</v>
      </c>
    </row>
    <row r="10616" spans="1:8">
      <c r="A10616" s="317">
        <v>2604011154</v>
      </c>
      <c r="B10616" s="330" t="s">
        <v>54972</v>
      </c>
      <c r="C10616" s="330" t="s">
        <v>23443</v>
      </c>
      <c r="D10616" s="330" t="s">
        <v>23444</v>
      </c>
      <c r="E10616" s="330" t="s">
        <v>4634</v>
      </c>
      <c r="F10616" s="331">
        <v>0.21</v>
      </c>
      <c r="G10616" s="332">
        <v>53417</v>
      </c>
      <c r="H10616" s="333">
        <v>64635</v>
      </c>
    </row>
    <row r="10617" spans="1:8">
      <c r="A10617" s="317">
        <v>2604011173</v>
      </c>
      <c r="B10617" s="330" t="s">
        <v>54973</v>
      </c>
      <c r="C10617" s="330" t="s">
        <v>23445</v>
      </c>
      <c r="D10617" s="330" t="s">
        <v>23446</v>
      </c>
      <c r="E10617" s="330" t="s">
        <v>4634</v>
      </c>
      <c r="F10617" s="331">
        <v>0.21</v>
      </c>
      <c r="G10617" s="332">
        <v>8414</v>
      </c>
      <c r="H10617" s="333">
        <v>10181</v>
      </c>
    </row>
    <row r="10618" spans="1:8">
      <c r="A10618" s="317">
        <v>2604011185</v>
      </c>
      <c r="B10618" s="330" t="s">
        <v>54974</v>
      </c>
      <c r="C10618" s="330" t="s">
        <v>23447</v>
      </c>
      <c r="D10618" s="330" t="s">
        <v>23448</v>
      </c>
      <c r="E10618" s="330" t="s">
        <v>4634</v>
      </c>
      <c r="F10618" s="331">
        <v>0.21</v>
      </c>
      <c r="G10618" s="332">
        <v>9712</v>
      </c>
      <c r="H10618" s="333">
        <v>11752</v>
      </c>
    </row>
    <row r="10619" spans="1:8">
      <c r="A10619" s="317">
        <v>2604011196</v>
      </c>
      <c r="B10619" s="330" t="s">
        <v>54975</v>
      </c>
      <c r="C10619" s="330" t="s">
        <v>23449</v>
      </c>
      <c r="D10619" s="330" t="s">
        <v>23450</v>
      </c>
      <c r="E10619" s="330" t="s">
        <v>4634</v>
      </c>
      <c r="F10619" s="331">
        <v>0.21</v>
      </c>
      <c r="G10619" s="332">
        <v>10382</v>
      </c>
      <c r="H10619" s="333">
        <v>12563</v>
      </c>
    </row>
    <row r="10620" spans="1:8">
      <c r="A10620" s="317">
        <v>2604011219</v>
      </c>
      <c r="B10620" s="330" t="s">
        <v>54976</v>
      </c>
      <c r="C10620" s="330" t="s">
        <v>23451</v>
      </c>
      <c r="D10620" s="330" t="s">
        <v>23452</v>
      </c>
      <c r="E10620" s="330" t="s">
        <v>4634</v>
      </c>
      <c r="F10620" s="331">
        <v>0.21</v>
      </c>
      <c r="G10620" s="332">
        <v>13872</v>
      </c>
      <c r="H10620" s="333">
        <v>16786</v>
      </c>
    </row>
    <row r="10621" spans="1:8">
      <c r="A10621" s="317">
        <v>2604011231</v>
      </c>
      <c r="B10621" s="330" t="s">
        <v>54977</v>
      </c>
      <c r="C10621" s="330" t="s">
        <v>23453</v>
      </c>
      <c r="D10621" s="330" t="s">
        <v>23454</v>
      </c>
      <c r="E10621" s="330" t="s">
        <v>4634</v>
      </c>
      <c r="F10621" s="331">
        <v>0.21</v>
      </c>
      <c r="G10621" s="332">
        <v>8414</v>
      </c>
      <c r="H10621" s="333">
        <v>10181</v>
      </c>
    </row>
    <row r="10622" spans="1:8">
      <c r="A10622" s="317">
        <v>2604011241</v>
      </c>
      <c r="B10622" s="330" t="s">
        <v>54978</v>
      </c>
      <c r="C10622" s="330" t="s">
        <v>23455</v>
      </c>
      <c r="D10622" s="330" t="s">
        <v>23456</v>
      </c>
      <c r="E10622" s="330" t="s">
        <v>4634</v>
      </c>
      <c r="F10622" s="331">
        <v>0.21</v>
      </c>
      <c r="G10622" s="332">
        <v>9712</v>
      </c>
      <c r="H10622" s="333">
        <v>11752</v>
      </c>
    </row>
    <row r="10623" spans="1:8">
      <c r="A10623" s="317">
        <v>2604011248</v>
      </c>
      <c r="B10623" s="330" t="s">
        <v>54979</v>
      </c>
      <c r="C10623" s="330" t="s">
        <v>23457</v>
      </c>
      <c r="D10623" s="330" t="s">
        <v>23458</v>
      </c>
      <c r="E10623" s="330" t="s">
        <v>4634</v>
      </c>
      <c r="F10623" s="331">
        <v>0.21</v>
      </c>
      <c r="G10623" s="332">
        <v>10319</v>
      </c>
      <c r="H10623" s="333">
        <v>12486</v>
      </c>
    </row>
    <row r="10624" spans="1:8">
      <c r="A10624" s="317">
        <v>2604011254</v>
      </c>
      <c r="B10624" s="330" t="s">
        <v>54980</v>
      </c>
      <c r="C10624" s="330" t="s">
        <v>23459</v>
      </c>
      <c r="D10624" s="330" t="s">
        <v>23460</v>
      </c>
      <c r="E10624" s="330" t="s">
        <v>4634</v>
      </c>
      <c r="F10624" s="331">
        <v>0.21</v>
      </c>
      <c r="G10624" s="332">
        <v>61644</v>
      </c>
      <c r="H10624" s="333">
        <v>74590</v>
      </c>
    </row>
    <row r="10625" spans="1:8">
      <c r="A10625" s="317">
        <v>2604011265</v>
      </c>
      <c r="B10625" s="330" t="s">
        <v>54981</v>
      </c>
      <c r="C10625" s="330" t="s">
        <v>23461</v>
      </c>
      <c r="D10625" s="330" t="s">
        <v>23462</v>
      </c>
      <c r="E10625" s="330" t="s">
        <v>4634</v>
      </c>
      <c r="F10625" s="331">
        <v>0.21</v>
      </c>
      <c r="G10625" s="332">
        <v>10745</v>
      </c>
      <c r="H10625" s="333">
        <v>13002</v>
      </c>
    </row>
    <row r="10626" spans="1:8">
      <c r="A10626" s="317">
        <v>2604011276</v>
      </c>
      <c r="B10626" s="330" t="s">
        <v>54982</v>
      </c>
      <c r="C10626" s="330" t="s">
        <v>23463</v>
      </c>
      <c r="D10626" s="330" t="s">
        <v>23464</v>
      </c>
      <c r="E10626" s="330" t="s">
        <v>4819</v>
      </c>
      <c r="F10626" s="331">
        <v>0.21</v>
      </c>
      <c r="G10626" s="332">
        <v>29488</v>
      </c>
      <c r="H10626" s="333">
        <v>35681</v>
      </c>
    </row>
    <row r="10627" spans="1:8">
      <c r="A10627" s="317">
        <v>2604011319</v>
      </c>
      <c r="B10627" s="330" t="s">
        <v>54983</v>
      </c>
      <c r="C10627" s="330" t="s">
        <v>23465</v>
      </c>
      <c r="D10627" s="330" t="s">
        <v>23466</v>
      </c>
      <c r="E10627" s="330" t="s">
        <v>4819</v>
      </c>
      <c r="F10627" s="331">
        <v>0.21</v>
      </c>
      <c r="G10627" s="332">
        <v>60737</v>
      </c>
      <c r="H10627" s="333">
        <v>73492</v>
      </c>
    </row>
    <row r="10628" spans="1:8">
      <c r="A10628" s="317">
        <v>2604011322</v>
      </c>
      <c r="B10628" s="330" t="s">
        <v>54984</v>
      </c>
      <c r="C10628" s="330" t="s">
        <v>23467</v>
      </c>
      <c r="D10628" s="330" t="s">
        <v>23468</v>
      </c>
      <c r="E10628" s="330" t="s">
        <v>4819</v>
      </c>
      <c r="F10628" s="331">
        <v>0.21</v>
      </c>
      <c r="G10628" s="332">
        <v>23204</v>
      </c>
      <c r="H10628" s="333">
        <v>28077</v>
      </c>
    </row>
    <row r="10629" spans="1:8">
      <c r="A10629" s="317">
        <v>2604011331</v>
      </c>
      <c r="B10629" s="330" t="s">
        <v>54985</v>
      </c>
      <c r="C10629" s="330" t="s">
        <v>23469</v>
      </c>
      <c r="D10629" s="330" t="s">
        <v>23470</v>
      </c>
      <c r="E10629" s="330" t="s">
        <v>4634</v>
      </c>
      <c r="F10629" s="331">
        <v>0.21</v>
      </c>
      <c r="G10629" s="332">
        <v>54301</v>
      </c>
      <c r="H10629" s="333">
        <v>65705</v>
      </c>
    </row>
    <row r="10630" spans="1:8">
      <c r="A10630" s="317">
        <v>2604011343</v>
      </c>
      <c r="B10630" s="330" t="s">
        <v>54986</v>
      </c>
      <c r="C10630" s="330" t="s">
        <v>23471</v>
      </c>
      <c r="D10630" s="330" t="s">
        <v>23472</v>
      </c>
      <c r="E10630" s="330" t="s">
        <v>4819</v>
      </c>
      <c r="F10630" s="331">
        <v>0.21</v>
      </c>
      <c r="G10630" s="332">
        <v>52617</v>
      </c>
      <c r="H10630" s="333">
        <v>63667</v>
      </c>
    </row>
    <row r="10631" spans="1:8">
      <c r="A10631" s="317">
        <v>2604011394</v>
      </c>
      <c r="B10631" s="330" t="s">
        <v>54987</v>
      </c>
      <c r="C10631" s="330" t="s">
        <v>23473</v>
      </c>
      <c r="D10631" s="330" t="s">
        <v>23474</v>
      </c>
      <c r="E10631" s="330" t="s">
        <v>4819</v>
      </c>
      <c r="F10631" s="331">
        <v>0.21</v>
      </c>
      <c r="G10631" s="332">
        <v>65109</v>
      </c>
      <c r="H10631" s="333">
        <v>78782</v>
      </c>
    </row>
    <row r="10632" spans="1:8">
      <c r="A10632" s="317">
        <v>2604011445</v>
      </c>
      <c r="B10632" s="330" t="s">
        <v>54988</v>
      </c>
      <c r="C10632" s="330" t="s">
        <v>23475</v>
      </c>
      <c r="D10632" s="330" t="s">
        <v>23476</v>
      </c>
      <c r="E10632" s="330" t="s">
        <v>4634</v>
      </c>
      <c r="F10632" s="331">
        <v>0.21</v>
      </c>
      <c r="G10632" s="332">
        <v>18802</v>
      </c>
      <c r="H10632" s="333">
        <v>22751</v>
      </c>
    </row>
    <row r="10633" spans="1:8">
      <c r="A10633" s="317">
        <v>2604011900</v>
      </c>
      <c r="B10633" s="330" t="s">
        <v>54989</v>
      </c>
      <c r="C10633" s="330" t="s">
        <v>23477</v>
      </c>
      <c r="D10633" s="330" t="s">
        <v>23478</v>
      </c>
      <c r="E10633" s="330" t="s">
        <v>4819</v>
      </c>
      <c r="F10633" s="331">
        <v>0.21</v>
      </c>
      <c r="G10633" s="332">
        <v>110017</v>
      </c>
      <c r="H10633" s="333">
        <v>133121</v>
      </c>
    </row>
    <row r="10634" spans="1:8">
      <c r="A10634" s="317">
        <v>2604011905</v>
      </c>
      <c r="B10634" s="330" t="s">
        <v>54990</v>
      </c>
      <c r="C10634" s="330" t="s">
        <v>23479</v>
      </c>
      <c r="D10634" s="330" t="s">
        <v>23480</v>
      </c>
      <c r="E10634" s="330" t="s">
        <v>4634</v>
      </c>
      <c r="F10634" s="331">
        <v>0.21</v>
      </c>
      <c r="G10634" s="332">
        <v>24812</v>
      </c>
      <c r="H10634" s="333">
        <v>30023</v>
      </c>
    </row>
    <row r="10635" spans="1:8">
      <c r="A10635" s="317">
        <v>2604011908</v>
      </c>
      <c r="B10635" s="330" t="s">
        <v>54991</v>
      </c>
      <c r="C10635" s="330" t="s">
        <v>23481</v>
      </c>
      <c r="D10635" s="330" t="s">
        <v>23482</v>
      </c>
      <c r="E10635" s="330" t="s">
        <v>4634</v>
      </c>
      <c r="F10635" s="331">
        <v>0.21</v>
      </c>
      <c r="G10635" s="332">
        <v>17957</v>
      </c>
      <c r="H10635" s="333">
        <v>21728</v>
      </c>
    </row>
    <row r="10636" spans="1:8">
      <c r="A10636" s="317">
        <v>2604011910</v>
      </c>
      <c r="B10636" s="330" t="s">
        <v>54992</v>
      </c>
      <c r="C10636" s="330" t="s">
        <v>23483</v>
      </c>
      <c r="D10636" s="330" t="s">
        <v>23484</v>
      </c>
      <c r="E10636" s="330" t="s">
        <v>4634</v>
      </c>
      <c r="F10636" s="331">
        <v>0.21</v>
      </c>
      <c r="G10636" s="332">
        <v>56976</v>
      </c>
      <c r="H10636" s="333">
        <v>68941</v>
      </c>
    </row>
    <row r="10637" spans="1:8">
      <c r="A10637" s="317">
        <v>2604011924</v>
      </c>
      <c r="B10637" s="330" t="s">
        <v>54993</v>
      </c>
      <c r="C10637" s="330" t="s">
        <v>23485</v>
      </c>
      <c r="D10637" s="330" t="s">
        <v>23486</v>
      </c>
      <c r="E10637" s="330" t="s">
        <v>4634</v>
      </c>
      <c r="F10637" s="331">
        <v>0.21</v>
      </c>
      <c r="G10637" s="332">
        <v>9309</v>
      </c>
      <c r="H10637" s="333">
        <v>11264</v>
      </c>
    </row>
    <row r="10638" spans="1:8">
      <c r="A10638" s="317">
        <v>2604011926</v>
      </c>
      <c r="B10638" s="330" t="s">
        <v>54994</v>
      </c>
      <c r="C10638" s="330" t="s">
        <v>23487</v>
      </c>
      <c r="D10638" s="330" t="s">
        <v>23488</v>
      </c>
      <c r="E10638" s="330" t="s">
        <v>37248</v>
      </c>
      <c r="F10638" s="331">
        <v>0.21</v>
      </c>
      <c r="G10638" s="332">
        <v>72642</v>
      </c>
      <c r="H10638" s="333">
        <v>87897</v>
      </c>
    </row>
    <row r="10639" spans="1:8">
      <c r="A10639" s="317">
        <v>2604011928</v>
      </c>
      <c r="B10639" s="330" t="s">
        <v>54995</v>
      </c>
      <c r="C10639" s="330" t="s">
        <v>23489</v>
      </c>
      <c r="D10639" s="330" t="s">
        <v>23490</v>
      </c>
      <c r="E10639" s="330" t="s">
        <v>37248</v>
      </c>
      <c r="F10639" s="331">
        <v>0.21</v>
      </c>
      <c r="G10639" s="332">
        <v>92556</v>
      </c>
      <c r="H10639" s="333">
        <v>111993</v>
      </c>
    </row>
    <row r="10640" spans="1:8">
      <c r="A10640" s="317">
        <v>2604011934</v>
      </c>
      <c r="B10640" s="330" t="s">
        <v>54996</v>
      </c>
      <c r="C10640" s="330" t="s">
        <v>23491</v>
      </c>
      <c r="D10640" s="330" t="s">
        <v>23492</v>
      </c>
      <c r="E10640" s="330" t="s">
        <v>4634</v>
      </c>
      <c r="F10640" s="331">
        <v>0.21</v>
      </c>
      <c r="G10640" s="332">
        <v>20090</v>
      </c>
      <c r="H10640" s="333">
        <v>24309</v>
      </c>
    </row>
    <row r="10641" spans="1:8">
      <c r="A10641" s="317">
        <v>2604011941</v>
      </c>
      <c r="B10641" s="330" t="s">
        <v>54997</v>
      </c>
      <c r="C10641" s="330" t="s">
        <v>23493</v>
      </c>
      <c r="D10641" s="330" t="s">
        <v>23494</v>
      </c>
      <c r="E10641" s="330" t="s">
        <v>37248</v>
      </c>
      <c r="F10641" s="331">
        <v>0.21</v>
      </c>
      <c r="G10641" s="332">
        <v>77140</v>
      </c>
      <c r="H10641" s="333">
        <v>93340</v>
      </c>
    </row>
    <row r="10642" spans="1:8">
      <c r="A10642" s="317">
        <v>2604011943</v>
      </c>
      <c r="B10642" s="330" t="s">
        <v>54998</v>
      </c>
      <c r="C10642" s="330" t="s">
        <v>23495</v>
      </c>
      <c r="D10642" s="330" t="s">
        <v>23496</v>
      </c>
      <c r="E10642" s="330" t="s">
        <v>37248</v>
      </c>
      <c r="F10642" s="331">
        <v>0.21</v>
      </c>
      <c r="G10642" s="332">
        <v>79689</v>
      </c>
      <c r="H10642" s="333">
        <v>96424</v>
      </c>
    </row>
    <row r="10643" spans="1:8">
      <c r="A10643" s="317">
        <v>2604011945</v>
      </c>
      <c r="B10643" s="330" t="s">
        <v>54999</v>
      </c>
      <c r="C10643" s="330" t="s">
        <v>23497</v>
      </c>
      <c r="D10643" s="330" t="s">
        <v>23498</v>
      </c>
      <c r="E10643" s="330" t="s">
        <v>37248</v>
      </c>
      <c r="F10643" s="331">
        <v>0.21</v>
      </c>
      <c r="G10643" s="332">
        <v>76618</v>
      </c>
      <c r="H10643" s="333">
        <v>92708</v>
      </c>
    </row>
    <row r="10644" spans="1:8">
      <c r="A10644" s="317">
        <v>2604200261</v>
      </c>
      <c r="B10644" s="330" t="s">
        <v>55000</v>
      </c>
      <c r="C10644" s="330" t="s">
        <v>23499</v>
      </c>
      <c r="D10644" s="330" t="s">
        <v>23500</v>
      </c>
      <c r="E10644" s="330" t="s">
        <v>4634</v>
      </c>
      <c r="F10644" s="331">
        <v>0.21</v>
      </c>
      <c r="G10644" s="332">
        <v>82</v>
      </c>
      <c r="H10644" s="333">
        <v>100</v>
      </c>
    </row>
    <row r="10645" spans="1:8">
      <c r="A10645" s="317">
        <v>2604220398</v>
      </c>
      <c r="B10645" s="330" t="s">
        <v>55001</v>
      </c>
      <c r="C10645" s="330" t="s">
        <v>23501</v>
      </c>
      <c r="D10645" s="330" t="s">
        <v>23502</v>
      </c>
      <c r="E10645" s="330" t="s">
        <v>4634</v>
      </c>
      <c r="F10645" s="331">
        <v>0.21</v>
      </c>
      <c r="G10645" s="332">
        <v>1592</v>
      </c>
      <c r="H10645" s="333">
        <v>1927</v>
      </c>
    </row>
    <row r="10646" spans="1:8">
      <c r="A10646" s="317">
        <v>2604220409</v>
      </c>
      <c r="B10646" s="330" t="s">
        <v>55002</v>
      </c>
      <c r="C10646" s="330" t="s">
        <v>23503</v>
      </c>
      <c r="D10646" s="330" t="s">
        <v>23504</v>
      </c>
      <c r="E10646" s="330" t="s">
        <v>4634</v>
      </c>
      <c r="F10646" s="331">
        <v>0.21</v>
      </c>
      <c r="G10646" s="332">
        <v>8766</v>
      </c>
      <c r="H10646" s="333">
        <v>10607</v>
      </c>
    </row>
    <row r="10647" spans="1:8">
      <c r="A10647" s="317">
        <v>2604220411</v>
      </c>
      <c r="B10647" s="330" t="s">
        <v>55003</v>
      </c>
      <c r="C10647" s="330" t="s">
        <v>23505</v>
      </c>
      <c r="D10647" s="330" t="s">
        <v>23506</v>
      </c>
      <c r="E10647" s="330" t="s">
        <v>4623</v>
      </c>
      <c r="F10647" s="331">
        <v>0.21</v>
      </c>
      <c r="G10647" s="332">
        <v>23855</v>
      </c>
      <c r="H10647" s="333">
        <v>28865</v>
      </c>
    </row>
    <row r="10648" spans="1:8">
      <c r="A10648" s="317">
        <v>2604220421</v>
      </c>
      <c r="B10648" s="330" t="s">
        <v>55004</v>
      </c>
      <c r="C10648" s="330" t="s">
        <v>23507</v>
      </c>
      <c r="D10648" s="330" t="s">
        <v>8006</v>
      </c>
      <c r="E10648" s="330" t="s">
        <v>4634</v>
      </c>
      <c r="F10648" s="331">
        <v>0.21</v>
      </c>
      <c r="G10648" s="332">
        <v>1922</v>
      </c>
      <c r="H10648" s="333">
        <v>2326</v>
      </c>
    </row>
    <row r="10649" spans="1:8">
      <c r="A10649" s="317">
        <v>2604220423</v>
      </c>
      <c r="B10649" s="330" t="s">
        <v>55005</v>
      </c>
      <c r="C10649" s="330" t="s">
        <v>23508</v>
      </c>
      <c r="D10649" s="330" t="s">
        <v>23509</v>
      </c>
      <c r="E10649" s="330" t="s">
        <v>4634</v>
      </c>
      <c r="F10649" s="331">
        <v>0.21</v>
      </c>
      <c r="G10649" s="332">
        <v>4650</v>
      </c>
      <c r="H10649" s="333">
        <v>5627</v>
      </c>
    </row>
    <row r="10650" spans="1:8">
      <c r="A10650" s="317">
        <v>2604220429</v>
      </c>
      <c r="B10650" s="330" t="s">
        <v>55006</v>
      </c>
      <c r="C10650" s="330" t="s">
        <v>23510</v>
      </c>
      <c r="D10650" s="330" t="s">
        <v>5175</v>
      </c>
      <c r="E10650" s="330" t="s">
        <v>4819</v>
      </c>
      <c r="F10650" s="331">
        <v>0.21</v>
      </c>
      <c r="G10650" s="332">
        <v>28488</v>
      </c>
      <c r="H10650" s="333">
        <v>34471</v>
      </c>
    </row>
    <row r="10651" spans="1:8">
      <c r="A10651" s="317">
        <v>2604220430</v>
      </c>
      <c r="B10651" s="330" t="s">
        <v>55007</v>
      </c>
      <c r="C10651" s="330" t="s">
        <v>23511</v>
      </c>
      <c r="D10651" s="330" t="s">
        <v>23512</v>
      </c>
      <c r="E10651" s="330" t="s">
        <v>4819</v>
      </c>
      <c r="F10651" s="331">
        <v>0.21</v>
      </c>
      <c r="G10651" s="332">
        <v>25970</v>
      </c>
      <c r="H10651" s="333">
        <v>31424</v>
      </c>
    </row>
    <row r="10652" spans="1:8">
      <c r="A10652" s="317">
        <v>2604220438</v>
      </c>
      <c r="B10652" s="330" t="s">
        <v>55008</v>
      </c>
      <c r="C10652" s="330" t="s">
        <v>23513</v>
      </c>
      <c r="D10652" s="330" t="s">
        <v>23514</v>
      </c>
      <c r="E10652" s="330" t="s">
        <v>37248</v>
      </c>
      <c r="F10652" s="331">
        <v>0.21</v>
      </c>
      <c r="G10652" s="332">
        <v>31964</v>
      </c>
      <c r="H10652" s="333">
        <v>38677</v>
      </c>
    </row>
    <row r="10653" spans="1:8">
      <c r="A10653" s="317">
        <v>2604220445</v>
      </c>
      <c r="B10653" s="330" t="s">
        <v>55009</v>
      </c>
      <c r="C10653" s="330" t="s">
        <v>23515</v>
      </c>
      <c r="D10653" s="330" t="s">
        <v>23516</v>
      </c>
      <c r="E10653" s="330" t="s">
        <v>37248</v>
      </c>
      <c r="F10653" s="331">
        <v>0.21</v>
      </c>
      <c r="G10653" s="332">
        <v>23697</v>
      </c>
      <c r="H10653" s="333">
        <v>28674</v>
      </c>
    </row>
    <row r="10654" spans="1:8">
      <c r="A10654" s="317">
        <v>2604220447</v>
      </c>
      <c r="B10654" s="330" t="s">
        <v>55010</v>
      </c>
      <c r="C10654" s="330" t="s">
        <v>23517</v>
      </c>
      <c r="D10654" s="330" t="s">
        <v>23518</v>
      </c>
      <c r="E10654" s="330" t="s">
        <v>37248</v>
      </c>
      <c r="F10654" s="331">
        <v>0.21</v>
      </c>
      <c r="G10654" s="332">
        <v>27628</v>
      </c>
      <c r="H10654" s="333">
        <v>33430</v>
      </c>
    </row>
    <row r="10655" spans="1:8">
      <c r="A10655" s="317">
        <v>2604220466</v>
      </c>
      <c r="B10655" s="330" t="s">
        <v>55011</v>
      </c>
      <c r="C10655" s="330" t="s">
        <v>23519</v>
      </c>
      <c r="D10655" s="330" t="s">
        <v>23520</v>
      </c>
      <c r="E10655" s="330" t="s">
        <v>4634</v>
      </c>
      <c r="F10655" s="331">
        <v>0.21</v>
      </c>
      <c r="G10655" s="332">
        <v>3966</v>
      </c>
      <c r="H10655" s="333">
        <v>4799</v>
      </c>
    </row>
    <row r="10656" spans="1:8">
      <c r="A10656" s="317">
        <v>2604220480</v>
      </c>
      <c r="B10656" s="330" t="s">
        <v>55012</v>
      </c>
      <c r="C10656" s="330" t="s">
        <v>23521</v>
      </c>
      <c r="D10656" s="330" t="s">
        <v>23522</v>
      </c>
      <c r="E10656" s="330" t="s">
        <v>37248</v>
      </c>
      <c r="F10656" s="331">
        <v>0.21</v>
      </c>
      <c r="G10656" s="332">
        <v>34172</v>
      </c>
      <c r="H10656" s="333">
        <v>41349</v>
      </c>
    </row>
    <row r="10657" spans="1:8">
      <c r="A10657" s="317">
        <v>2604220491</v>
      </c>
      <c r="B10657" s="330" t="s">
        <v>55013</v>
      </c>
      <c r="C10657" s="330" t="s">
        <v>23523</v>
      </c>
      <c r="D10657" s="330" t="s">
        <v>23524</v>
      </c>
      <c r="E10657" s="330" t="s">
        <v>37248</v>
      </c>
      <c r="F10657" s="331">
        <v>0.21</v>
      </c>
      <c r="G10657" s="332">
        <v>32919</v>
      </c>
      <c r="H10657" s="333">
        <v>39832</v>
      </c>
    </row>
    <row r="10658" spans="1:8">
      <c r="A10658" s="317">
        <v>2604220502</v>
      </c>
      <c r="B10658" s="330" t="s">
        <v>55014</v>
      </c>
      <c r="C10658" s="330" t="s">
        <v>23525</v>
      </c>
      <c r="D10658" s="330" t="s">
        <v>23526</v>
      </c>
      <c r="E10658" s="330" t="s">
        <v>4634</v>
      </c>
      <c r="F10658" s="331">
        <v>0.21</v>
      </c>
      <c r="G10658" s="332">
        <v>8336</v>
      </c>
      <c r="H10658" s="333">
        <v>10087</v>
      </c>
    </row>
    <row r="10659" spans="1:8">
      <c r="A10659" s="317">
        <v>2604220507</v>
      </c>
      <c r="B10659" s="330" t="s">
        <v>55015</v>
      </c>
      <c r="C10659" s="330" t="s">
        <v>23527</v>
      </c>
      <c r="D10659" s="330" t="s">
        <v>23528</v>
      </c>
      <c r="E10659" s="330" t="s">
        <v>4634</v>
      </c>
      <c r="F10659" s="331">
        <v>0.21</v>
      </c>
      <c r="G10659" s="332">
        <v>4778</v>
      </c>
      <c r="H10659" s="333">
        <v>5782</v>
      </c>
    </row>
    <row r="10660" spans="1:8">
      <c r="A10660" s="317">
        <v>2604220515</v>
      </c>
      <c r="B10660" s="330" t="s">
        <v>55016</v>
      </c>
      <c r="C10660" s="330" t="s">
        <v>23529</v>
      </c>
      <c r="D10660" s="330" t="s">
        <v>23530</v>
      </c>
      <c r="E10660" s="330" t="s">
        <v>4634</v>
      </c>
      <c r="F10660" s="331">
        <v>0.21</v>
      </c>
      <c r="G10660" s="332">
        <v>5559</v>
      </c>
      <c r="H10660" s="333">
        <v>6727</v>
      </c>
    </row>
    <row r="10661" spans="1:8">
      <c r="A10661" s="317">
        <v>2604220518</v>
      </c>
      <c r="B10661" s="330" t="s">
        <v>55017</v>
      </c>
      <c r="C10661" s="330" t="s">
        <v>23531</v>
      </c>
      <c r="D10661" s="330" t="s">
        <v>23532</v>
      </c>
      <c r="E10661" s="330" t="s">
        <v>4634</v>
      </c>
      <c r="F10661" s="331">
        <v>0.21</v>
      </c>
      <c r="G10661" s="332">
        <v>8597</v>
      </c>
      <c r="H10661" s="333">
        <v>10403</v>
      </c>
    </row>
    <row r="10662" spans="1:8">
      <c r="A10662" s="317">
        <v>2604220526</v>
      </c>
      <c r="B10662" s="330" t="s">
        <v>55018</v>
      </c>
      <c r="C10662" s="330" t="s">
        <v>23533</v>
      </c>
      <c r="D10662" s="330" t="s">
        <v>23534</v>
      </c>
      <c r="E10662" s="330" t="s">
        <v>37248</v>
      </c>
      <c r="F10662" s="331">
        <v>0.21</v>
      </c>
      <c r="G10662" s="332">
        <v>33985</v>
      </c>
      <c r="H10662" s="333">
        <v>41122</v>
      </c>
    </row>
    <row r="10663" spans="1:8">
      <c r="A10663" s="317">
        <v>2604220529</v>
      </c>
      <c r="B10663" s="330" t="s">
        <v>55019</v>
      </c>
      <c r="C10663" s="330" t="s">
        <v>23535</v>
      </c>
      <c r="D10663" s="330" t="s">
        <v>23536</v>
      </c>
      <c r="E10663" s="330" t="s">
        <v>4819</v>
      </c>
      <c r="F10663" s="331">
        <v>0.21</v>
      </c>
      <c r="G10663" s="332">
        <v>35743</v>
      </c>
      <c r="H10663" s="333">
        <v>43250</v>
      </c>
    </row>
    <row r="10664" spans="1:8">
      <c r="A10664" s="317">
        <v>2604220535</v>
      </c>
      <c r="B10664" s="330" t="s">
        <v>55020</v>
      </c>
      <c r="C10664" s="330" t="s">
        <v>23537</v>
      </c>
      <c r="D10664" s="330" t="s">
        <v>23538</v>
      </c>
      <c r="E10664" s="330" t="s">
        <v>4634</v>
      </c>
      <c r="F10664" s="331">
        <v>0.21</v>
      </c>
      <c r="G10664" s="332">
        <v>3464</v>
      </c>
      <c r="H10664" s="333">
        <v>4192</v>
      </c>
    </row>
    <row r="10665" spans="1:8">
      <c r="A10665" s="317">
        <v>2604220538</v>
      </c>
      <c r="B10665" s="330" t="s">
        <v>55021</v>
      </c>
      <c r="C10665" s="330" t="s">
        <v>23539</v>
      </c>
      <c r="D10665" s="330" t="s">
        <v>23540</v>
      </c>
      <c r="E10665" s="330" t="s">
        <v>4634</v>
      </c>
      <c r="F10665" s="331">
        <v>0.21</v>
      </c>
      <c r="G10665" s="332">
        <v>4592</v>
      </c>
      <c r="H10665" s="333">
        <v>5557</v>
      </c>
    </row>
    <row r="10666" spans="1:8">
      <c r="A10666" s="317">
        <v>2604220541</v>
      </c>
      <c r="B10666" s="330" t="s">
        <v>55022</v>
      </c>
      <c r="C10666" s="330" t="s">
        <v>23541</v>
      </c>
      <c r="D10666" s="330" t="s">
        <v>23542</v>
      </c>
      <c r="E10666" s="330" t="s">
        <v>4634</v>
      </c>
      <c r="F10666" s="331">
        <v>0.21</v>
      </c>
      <c r="G10666" s="332">
        <v>7787</v>
      </c>
      <c r="H10666" s="333">
        <v>9423</v>
      </c>
    </row>
    <row r="10667" spans="1:8">
      <c r="A10667" s="317">
        <v>2604220549</v>
      </c>
      <c r="B10667" s="330" t="s">
        <v>55023</v>
      </c>
      <c r="C10667" s="330" t="s">
        <v>23543</v>
      </c>
      <c r="D10667" s="330" t="s">
        <v>23544</v>
      </c>
      <c r="E10667" s="330" t="s">
        <v>37248</v>
      </c>
      <c r="F10667" s="331">
        <v>0.21</v>
      </c>
      <c r="G10667" s="332">
        <v>52356</v>
      </c>
      <c r="H10667" s="333">
        <v>63351</v>
      </c>
    </row>
    <row r="10668" spans="1:8">
      <c r="A10668" s="317">
        <v>2604220562</v>
      </c>
      <c r="B10668" s="330" t="s">
        <v>55024</v>
      </c>
      <c r="C10668" s="330" t="s">
        <v>23545</v>
      </c>
      <c r="D10668" s="330" t="s">
        <v>23546</v>
      </c>
      <c r="E10668" s="330" t="s">
        <v>4634</v>
      </c>
      <c r="F10668" s="331">
        <v>0.21</v>
      </c>
      <c r="G10668" s="332">
        <v>3966</v>
      </c>
      <c r="H10668" s="333">
        <v>4799</v>
      </c>
    </row>
    <row r="10669" spans="1:8">
      <c r="A10669" s="317">
        <v>2604220565</v>
      </c>
      <c r="B10669" s="330" t="s">
        <v>55025</v>
      </c>
      <c r="C10669" s="330" t="s">
        <v>23547</v>
      </c>
      <c r="D10669" s="330" t="s">
        <v>23548</v>
      </c>
      <c r="E10669" s="330" t="s">
        <v>4634</v>
      </c>
      <c r="F10669" s="331">
        <v>0.21</v>
      </c>
      <c r="G10669" s="332">
        <v>9850</v>
      </c>
      <c r="H10669" s="333">
        <v>11919</v>
      </c>
    </row>
    <row r="10670" spans="1:8">
      <c r="A10670" s="317">
        <v>2604220568</v>
      </c>
      <c r="B10670" s="330" t="s">
        <v>55026</v>
      </c>
      <c r="C10670" s="330" t="s">
        <v>23549</v>
      </c>
      <c r="D10670" s="330" t="s">
        <v>23550</v>
      </c>
      <c r="E10670" s="330" t="s">
        <v>4634</v>
      </c>
      <c r="F10670" s="331">
        <v>0.21</v>
      </c>
      <c r="G10670" s="332">
        <v>3490</v>
      </c>
      <c r="H10670" s="333">
        <v>4223</v>
      </c>
    </row>
    <row r="10671" spans="1:8">
      <c r="A10671" s="317">
        <v>2604220578</v>
      </c>
      <c r="B10671" s="330" t="s">
        <v>55027</v>
      </c>
      <c r="C10671" s="330" t="s">
        <v>23551</v>
      </c>
      <c r="D10671" s="330" t="s">
        <v>23552</v>
      </c>
      <c r="E10671" s="330" t="s">
        <v>4634</v>
      </c>
      <c r="F10671" s="331">
        <v>0.21</v>
      </c>
      <c r="G10671" s="332">
        <v>4349</v>
      </c>
      <c r="H10671" s="333">
        <v>5263</v>
      </c>
    </row>
    <row r="10672" spans="1:8">
      <c r="A10672" s="317">
        <v>2604220584</v>
      </c>
      <c r="B10672" s="330" t="s">
        <v>55028</v>
      </c>
      <c r="C10672" s="330" t="s">
        <v>23553</v>
      </c>
      <c r="D10672" s="330" t="s">
        <v>23554</v>
      </c>
      <c r="E10672" s="330" t="s">
        <v>37248</v>
      </c>
      <c r="F10672" s="331">
        <v>0.21</v>
      </c>
      <c r="G10672" s="332">
        <v>20335</v>
      </c>
      <c r="H10672" s="333">
        <v>24606</v>
      </c>
    </row>
    <row r="10673" spans="1:8">
      <c r="A10673" s="317">
        <v>2604220588</v>
      </c>
      <c r="B10673" s="330" t="s">
        <v>55029</v>
      </c>
      <c r="C10673" s="330" t="s">
        <v>23555</v>
      </c>
      <c r="D10673" s="330" t="s">
        <v>23556</v>
      </c>
      <c r="E10673" s="330" t="s">
        <v>4634</v>
      </c>
      <c r="F10673" s="331">
        <v>0.21</v>
      </c>
      <c r="G10673" s="332">
        <v>3966</v>
      </c>
      <c r="H10673" s="333">
        <v>4799</v>
      </c>
    </row>
    <row r="10674" spans="1:8">
      <c r="A10674" s="317">
        <v>2604220593</v>
      </c>
      <c r="B10674" s="330" t="s">
        <v>55030</v>
      </c>
      <c r="C10674" s="330" t="s">
        <v>23557</v>
      </c>
      <c r="D10674" s="330" t="s">
        <v>23558</v>
      </c>
      <c r="E10674" s="330" t="s">
        <v>4634</v>
      </c>
      <c r="F10674" s="331">
        <v>0.21</v>
      </c>
      <c r="G10674" s="332">
        <v>722</v>
      </c>
      <c r="H10674" s="333">
        <v>874</v>
      </c>
    </row>
    <row r="10675" spans="1:8">
      <c r="A10675" s="317">
        <v>2604220594</v>
      </c>
      <c r="B10675" s="330" t="s">
        <v>55031</v>
      </c>
      <c r="C10675" s="330" t="s">
        <v>23559</v>
      </c>
      <c r="D10675" s="330" t="s">
        <v>23560</v>
      </c>
      <c r="E10675" s="330" t="s">
        <v>4634</v>
      </c>
      <c r="F10675" s="331">
        <v>0.21</v>
      </c>
      <c r="G10675" s="332">
        <v>5781</v>
      </c>
      <c r="H10675" s="333">
        <v>6996</v>
      </c>
    </row>
    <row r="10676" spans="1:8">
      <c r="A10676" s="317">
        <v>2604220601</v>
      </c>
      <c r="B10676" s="330" t="s">
        <v>55032</v>
      </c>
      <c r="C10676" s="330" t="s">
        <v>23561</v>
      </c>
      <c r="D10676" s="330" t="s">
        <v>23562</v>
      </c>
      <c r="E10676" s="330" t="s">
        <v>4634</v>
      </c>
      <c r="F10676" s="331">
        <v>0.21</v>
      </c>
      <c r="G10676" s="332">
        <v>3283</v>
      </c>
      <c r="H10676" s="333">
        <v>3973</v>
      </c>
    </row>
    <row r="10677" spans="1:8">
      <c r="A10677" s="317">
        <v>2604220612</v>
      </c>
      <c r="B10677" s="330" t="s">
        <v>55033</v>
      </c>
      <c r="C10677" s="330" t="s">
        <v>23563</v>
      </c>
      <c r="D10677" s="330" t="s">
        <v>23564</v>
      </c>
      <c r="E10677" s="330" t="s">
        <v>4634</v>
      </c>
      <c r="F10677" s="331">
        <v>0.21</v>
      </c>
      <c r="G10677" s="332">
        <v>4233</v>
      </c>
      <c r="H10677" s="333">
        <v>5122</v>
      </c>
    </row>
    <row r="10678" spans="1:8">
      <c r="A10678" s="317">
        <v>2604220624</v>
      </c>
      <c r="B10678" s="330" t="s">
        <v>55034</v>
      </c>
      <c r="C10678" s="330" t="s">
        <v>23565</v>
      </c>
      <c r="D10678" s="330" t="s">
        <v>23566</v>
      </c>
      <c r="E10678" s="330" t="s">
        <v>4634</v>
      </c>
      <c r="F10678" s="331">
        <v>0.21</v>
      </c>
      <c r="G10678" s="332">
        <v>6984</v>
      </c>
      <c r="H10678" s="333">
        <v>8451</v>
      </c>
    </row>
    <row r="10679" spans="1:8">
      <c r="A10679" s="317">
        <v>2604220636</v>
      </c>
      <c r="B10679" s="330" t="s">
        <v>55035</v>
      </c>
      <c r="C10679" s="330" t="s">
        <v>23567</v>
      </c>
      <c r="D10679" s="330" t="s">
        <v>23568</v>
      </c>
      <c r="E10679" s="330" t="s">
        <v>4634</v>
      </c>
      <c r="F10679" s="331">
        <v>0.21</v>
      </c>
      <c r="G10679" s="332">
        <v>3966</v>
      </c>
      <c r="H10679" s="333">
        <v>4799</v>
      </c>
    </row>
    <row r="10680" spans="1:8">
      <c r="A10680" s="317">
        <v>2604220639</v>
      </c>
      <c r="B10680" s="330" t="s">
        <v>55036</v>
      </c>
      <c r="C10680" s="330" t="s">
        <v>23569</v>
      </c>
      <c r="D10680" s="330" t="s">
        <v>23570</v>
      </c>
      <c r="E10680" s="330" t="s">
        <v>4634</v>
      </c>
      <c r="F10680" s="331">
        <v>0.21</v>
      </c>
      <c r="G10680" s="332">
        <v>3935</v>
      </c>
      <c r="H10680" s="333">
        <v>4762</v>
      </c>
    </row>
    <row r="10681" spans="1:8">
      <c r="A10681" s="317">
        <v>2604220647</v>
      </c>
      <c r="B10681" s="330" t="s">
        <v>55037</v>
      </c>
      <c r="C10681" s="330" t="s">
        <v>23571</v>
      </c>
      <c r="D10681" s="330" t="s">
        <v>23572</v>
      </c>
      <c r="E10681" s="330" t="s">
        <v>37248</v>
      </c>
      <c r="F10681" s="331">
        <v>0.21</v>
      </c>
      <c r="G10681" s="332">
        <v>24386</v>
      </c>
      <c r="H10681" s="333">
        <v>29508</v>
      </c>
    </row>
    <row r="10682" spans="1:8">
      <c r="A10682" s="317">
        <v>2604220651</v>
      </c>
      <c r="B10682" s="330" t="s">
        <v>55038</v>
      </c>
      <c r="C10682" s="330" t="s">
        <v>23573</v>
      </c>
      <c r="D10682" s="330" t="s">
        <v>23574</v>
      </c>
      <c r="E10682" s="330" t="s">
        <v>4634</v>
      </c>
      <c r="F10682" s="331">
        <v>0.21</v>
      </c>
      <c r="G10682" s="332">
        <v>4004</v>
      </c>
      <c r="H10682" s="333">
        <v>4845</v>
      </c>
    </row>
    <row r="10683" spans="1:8">
      <c r="A10683" s="317">
        <v>2604220652</v>
      </c>
      <c r="B10683" s="330" t="s">
        <v>55039</v>
      </c>
      <c r="C10683" s="330" t="s">
        <v>23575</v>
      </c>
      <c r="D10683" s="330" t="s">
        <v>23576</v>
      </c>
      <c r="E10683" s="330" t="s">
        <v>4634</v>
      </c>
      <c r="F10683" s="331">
        <v>0.21</v>
      </c>
      <c r="G10683" s="332">
        <v>6085</v>
      </c>
      <c r="H10683" s="333">
        <v>7363</v>
      </c>
    </row>
    <row r="10684" spans="1:8">
      <c r="A10684" s="317">
        <v>2604220663</v>
      </c>
      <c r="B10684" s="330" t="s">
        <v>55040</v>
      </c>
      <c r="C10684" s="330" t="s">
        <v>23577</v>
      </c>
      <c r="D10684" s="330" t="s">
        <v>23578</v>
      </c>
      <c r="E10684" s="330" t="s">
        <v>4819</v>
      </c>
      <c r="F10684" s="331">
        <v>0.21</v>
      </c>
      <c r="G10684" s="332">
        <v>11421</v>
      </c>
      <c r="H10684" s="333">
        <v>13820</v>
      </c>
    </row>
    <row r="10685" spans="1:8">
      <c r="A10685" s="317">
        <v>2604220673</v>
      </c>
      <c r="B10685" s="330" t="s">
        <v>55041</v>
      </c>
      <c r="C10685" s="330" t="s">
        <v>23579</v>
      </c>
      <c r="D10685" s="330" t="s">
        <v>23580</v>
      </c>
      <c r="E10685" s="330" t="s">
        <v>4634</v>
      </c>
      <c r="F10685" s="331">
        <v>0.21</v>
      </c>
      <c r="G10685" s="332">
        <v>6834</v>
      </c>
      <c r="H10685" s="333">
        <v>8270</v>
      </c>
    </row>
    <row r="10686" spans="1:8">
      <c r="A10686" s="317">
        <v>2604220682</v>
      </c>
      <c r="B10686" s="330" t="s">
        <v>55042</v>
      </c>
      <c r="C10686" s="330" t="s">
        <v>23581</v>
      </c>
      <c r="D10686" s="330" t="s">
        <v>23582</v>
      </c>
      <c r="E10686" s="330" t="s">
        <v>4634</v>
      </c>
      <c r="F10686" s="331">
        <v>0.21</v>
      </c>
      <c r="G10686" s="332">
        <v>4650</v>
      </c>
      <c r="H10686" s="333">
        <v>5627</v>
      </c>
    </row>
    <row r="10687" spans="1:8">
      <c r="A10687" s="317">
        <v>2604220683</v>
      </c>
      <c r="B10687" s="330" t="s">
        <v>55043</v>
      </c>
      <c r="C10687" s="330" t="s">
        <v>23583</v>
      </c>
      <c r="D10687" s="330" t="s">
        <v>23584</v>
      </c>
      <c r="E10687" s="330" t="s">
        <v>4634</v>
      </c>
      <c r="F10687" s="331">
        <v>0.21</v>
      </c>
      <c r="G10687" s="332">
        <v>4004</v>
      </c>
      <c r="H10687" s="333">
        <v>4845</v>
      </c>
    </row>
    <row r="10688" spans="1:8">
      <c r="A10688" s="317">
        <v>2604220688</v>
      </c>
      <c r="B10688" s="330" t="s">
        <v>55044</v>
      </c>
      <c r="C10688" s="330" t="s">
        <v>23585</v>
      </c>
      <c r="D10688" s="330" t="s">
        <v>23586</v>
      </c>
      <c r="E10688" s="330" t="s">
        <v>4634</v>
      </c>
      <c r="F10688" s="331">
        <v>0.21</v>
      </c>
      <c r="G10688" s="332">
        <v>4778</v>
      </c>
      <c r="H10688" s="333">
        <v>5782</v>
      </c>
    </row>
    <row r="10689" spans="1:8">
      <c r="A10689" s="317">
        <v>2604220690</v>
      </c>
      <c r="B10689" s="330" t="s">
        <v>55045</v>
      </c>
      <c r="C10689" s="330" t="s">
        <v>23587</v>
      </c>
      <c r="D10689" s="330" t="s">
        <v>23588</v>
      </c>
      <c r="E10689" s="330" t="s">
        <v>4634</v>
      </c>
      <c r="F10689" s="331">
        <v>0.21</v>
      </c>
      <c r="G10689" s="332">
        <v>27105</v>
      </c>
      <c r="H10689" s="333">
        <v>32798</v>
      </c>
    </row>
    <row r="10690" spans="1:8">
      <c r="A10690" s="317">
        <v>2604220692</v>
      </c>
      <c r="B10690" s="330" t="s">
        <v>55046</v>
      </c>
      <c r="C10690" s="330" t="s">
        <v>23589</v>
      </c>
      <c r="D10690" s="330" t="s">
        <v>23590</v>
      </c>
      <c r="E10690" s="330" t="s">
        <v>4634</v>
      </c>
      <c r="F10690" s="331">
        <v>0.21</v>
      </c>
      <c r="G10690" s="332">
        <v>6799</v>
      </c>
      <c r="H10690" s="333">
        <v>8227</v>
      </c>
    </row>
    <row r="10691" spans="1:8">
      <c r="A10691" s="317">
        <v>2604220702</v>
      </c>
      <c r="B10691" s="330" t="s">
        <v>55047</v>
      </c>
      <c r="C10691" s="330" t="s">
        <v>23591</v>
      </c>
      <c r="D10691" s="330" t="s">
        <v>23592</v>
      </c>
      <c r="E10691" s="330" t="s">
        <v>4819</v>
      </c>
      <c r="F10691" s="331">
        <v>0.21</v>
      </c>
      <c r="G10691" s="332">
        <v>25298</v>
      </c>
      <c r="H10691" s="333">
        <v>30611</v>
      </c>
    </row>
    <row r="10692" spans="1:8">
      <c r="A10692" s="317">
        <v>2604220704</v>
      </c>
      <c r="B10692" s="330" t="s">
        <v>55048</v>
      </c>
      <c r="C10692" s="330" t="s">
        <v>23593</v>
      </c>
      <c r="D10692" s="330" t="s">
        <v>9137</v>
      </c>
      <c r="E10692" s="330" t="s">
        <v>4634</v>
      </c>
      <c r="F10692" s="331">
        <v>0.21</v>
      </c>
      <c r="G10692" s="332">
        <v>8704</v>
      </c>
      <c r="H10692" s="333">
        <v>10532</v>
      </c>
    </row>
    <row r="10693" spans="1:8">
      <c r="A10693" s="317">
        <v>2604220705</v>
      </c>
      <c r="B10693" s="330" t="s">
        <v>55049</v>
      </c>
      <c r="C10693" s="330" t="s">
        <v>23594</v>
      </c>
      <c r="D10693" s="330" t="s">
        <v>23595</v>
      </c>
      <c r="E10693" s="330" t="s">
        <v>4634</v>
      </c>
      <c r="F10693" s="331">
        <v>0.21</v>
      </c>
      <c r="G10693" s="332">
        <v>7618</v>
      </c>
      <c r="H10693" s="333">
        <v>9218</v>
      </c>
    </row>
    <row r="10694" spans="1:8">
      <c r="A10694" s="317">
        <v>2604220715</v>
      </c>
      <c r="B10694" s="330" t="s">
        <v>55050</v>
      </c>
      <c r="C10694" s="330" t="s">
        <v>23596</v>
      </c>
      <c r="D10694" s="330" t="s">
        <v>23597</v>
      </c>
      <c r="E10694" s="330" t="s">
        <v>4634</v>
      </c>
      <c r="F10694" s="331">
        <v>0.21</v>
      </c>
      <c r="G10694" s="332">
        <v>6234</v>
      </c>
      <c r="H10694" s="333">
        <v>7544</v>
      </c>
    </row>
    <row r="10695" spans="1:8">
      <c r="A10695" s="317">
        <v>2604220741</v>
      </c>
      <c r="B10695" s="330" t="s">
        <v>55051</v>
      </c>
      <c r="C10695" s="330" t="s">
        <v>23598</v>
      </c>
      <c r="D10695" s="330" t="s">
        <v>23599</v>
      </c>
      <c r="E10695" s="330" t="s">
        <v>37248</v>
      </c>
      <c r="F10695" s="331">
        <v>0.21</v>
      </c>
      <c r="G10695" s="332">
        <v>18318</v>
      </c>
      <c r="H10695" s="333">
        <v>22165</v>
      </c>
    </row>
    <row r="10696" spans="1:8">
      <c r="A10696" s="317">
        <v>2604220743</v>
      </c>
      <c r="B10696" s="330" t="s">
        <v>55052</v>
      </c>
      <c r="C10696" s="330" t="s">
        <v>23600</v>
      </c>
      <c r="D10696" s="330" t="s">
        <v>23601</v>
      </c>
      <c r="E10696" s="330" t="s">
        <v>4623</v>
      </c>
      <c r="F10696" s="331">
        <v>0.21</v>
      </c>
      <c r="G10696" s="332">
        <v>38199</v>
      </c>
      <c r="H10696" s="333">
        <v>46221</v>
      </c>
    </row>
    <row r="10697" spans="1:8">
      <c r="A10697" s="317">
        <v>2604320902</v>
      </c>
      <c r="B10697" s="330" t="s">
        <v>55053</v>
      </c>
      <c r="C10697" s="330" t="s">
        <v>23602</v>
      </c>
      <c r="D10697" s="330" t="s">
        <v>23603</v>
      </c>
      <c r="E10697" s="330" t="s">
        <v>4634</v>
      </c>
      <c r="F10697" s="331">
        <v>0.21</v>
      </c>
      <c r="G10697" s="332">
        <v>4653</v>
      </c>
      <c r="H10697" s="333">
        <v>5631</v>
      </c>
    </row>
    <row r="10698" spans="1:8">
      <c r="A10698" s="317">
        <v>2604320905</v>
      </c>
      <c r="B10698" s="330" t="s">
        <v>55054</v>
      </c>
      <c r="C10698" s="330" t="s">
        <v>23604</v>
      </c>
      <c r="D10698" s="330" t="s">
        <v>23605</v>
      </c>
      <c r="E10698" s="330" t="s">
        <v>4634</v>
      </c>
      <c r="F10698" s="331">
        <v>0.21</v>
      </c>
      <c r="G10698" s="332">
        <v>2146</v>
      </c>
      <c r="H10698" s="333">
        <v>2597</v>
      </c>
    </row>
    <row r="10699" spans="1:8">
      <c r="A10699" s="317">
        <v>2604320906</v>
      </c>
      <c r="B10699" s="330" t="s">
        <v>55055</v>
      </c>
      <c r="C10699" s="330" t="s">
        <v>23606</v>
      </c>
      <c r="D10699" s="330" t="s">
        <v>23607</v>
      </c>
      <c r="E10699" s="330" t="s">
        <v>4634</v>
      </c>
      <c r="F10699" s="331">
        <v>0.21</v>
      </c>
      <c r="G10699" s="332">
        <v>416</v>
      </c>
      <c r="H10699" s="333">
        <v>504</v>
      </c>
    </row>
    <row r="10700" spans="1:8">
      <c r="A10700" s="317">
        <v>2604320911</v>
      </c>
      <c r="B10700" s="330" t="s">
        <v>55056</v>
      </c>
      <c r="C10700" s="330" t="s">
        <v>23608</v>
      </c>
      <c r="D10700" s="330" t="s">
        <v>23609</v>
      </c>
      <c r="E10700" s="330" t="s">
        <v>4634</v>
      </c>
      <c r="F10700" s="331">
        <v>0.21</v>
      </c>
      <c r="G10700" s="332">
        <v>2232</v>
      </c>
      <c r="H10700" s="333">
        <v>2701</v>
      </c>
    </row>
    <row r="10701" spans="1:8">
      <c r="A10701" s="317">
        <v>2604320912</v>
      </c>
      <c r="B10701" s="330" t="s">
        <v>55057</v>
      </c>
      <c r="C10701" s="330" t="s">
        <v>23610</v>
      </c>
      <c r="D10701" s="330" t="s">
        <v>23611</v>
      </c>
      <c r="E10701" s="330" t="s">
        <v>37248</v>
      </c>
      <c r="F10701" s="331">
        <v>0.21</v>
      </c>
      <c r="G10701" s="332">
        <v>9784</v>
      </c>
      <c r="H10701" s="333">
        <v>11839</v>
      </c>
    </row>
    <row r="10702" spans="1:8">
      <c r="A10702" s="317">
        <v>2604320914</v>
      </c>
      <c r="B10702" s="330" t="s">
        <v>55058</v>
      </c>
      <c r="C10702" s="330" t="s">
        <v>23612</v>
      </c>
      <c r="D10702" s="330" t="s">
        <v>23613</v>
      </c>
      <c r="E10702" s="330" t="s">
        <v>4634</v>
      </c>
      <c r="F10702" s="331">
        <v>0.21</v>
      </c>
      <c r="G10702" s="332">
        <v>7700</v>
      </c>
      <c r="H10702" s="333">
        <v>9317</v>
      </c>
    </row>
    <row r="10703" spans="1:8">
      <c r="A10703" s="317">
        <v>2604321904</v>
      </c>
      <c r="B10703" s="330" t="s">
        <v>55059</v>
      </c>
      <c r="C10703" s="330" t="s">
        <v>23614</v>
      </c>
      <c r="D10703" s="330" t="s">
        <v>5876</v>
      </c>
      <c r="E10703" s="330" t="s">
        <v>37248</v>
      </c>
      <c r="F10703" s="331">
        <v>0.21</v>
      </c>
      <c r="G10703" s="332">
        <v>11704</v>
      </c>
      <c r="H10703" s="333">
        <v>14162</v>
      </c>
    </row>
    <row r="10704" spans="1:8">
      <c r="A10704" s="317">
        <v>2604321905</v>
      </c>
      <c r="B10704" s="330" t="s">
        <v>55060</v>
      </c>
      <c r="C10704" s="330" t="s">
        <v>23615</v>
      </c>
      <c r="D10704" s="330" t="s">
        <v>23616</v>
      </c>
      <c r="E10704" s="330" t="s">
        <v>37248</v>
      </c>
      <c r="F10704" s="331">
        <v>0.21</v>
      </c>
      <c r="G10704" s="332">
        <v>10065</v>
      </c>
      <c r="H10704" s="333">
        <v>12179</v>
      </c>
    </row>
    <row r="10705" spans="1:8">
      <c r="A10705" s="317">
        <v>2604321909</v>
      </c>
      <c r="B10705" s="330" t="s">
        <v>55061</v>
      </c>
      <c r="C10705" s="330" t="s">
        <v>23617</v>
      </c>
      <c r="D10705" s="330" t="s">
        <v>23618</v>
      </c>
      <c r="E10705" s="330" t="s">
        <v>4634</v>
      </c>
      <c r="F10705" s="331">
        <v>0.21</v>
      </c>
      <c r="G10705" s="332">
        <v>2146</v>
      </c>
      <c r="H10705" s="333">
        <v>2597</v>
      </c>
    </row>
    <row r="10706" spans="1:8">
      <c r="A10706" s="317">
        <v>2604321913</v>
      </c>
      <c r="B10706" s="330" t="s">
        <v>55062</v>
      </c>
      <c r="C10706" s="330" t="s">
        <v>23619</v>
      </c>
      <c r="D10706" s="330" t="s">
        <v>23620</v>
      </c>
      <c r="E10706" s="330" t="s">
        <v>4634</v>
      </c>
      <c r="F10706" s="331">
        <v>0.21</v>
      </c>
      <c r="G10706" s="332">
        <v>2183</v>
      </c>
      <c r="H10706" s="333">
        <v>2642</v>
      </c>
    </row>
    <row r="10707" spans="1:8">
      <c r="A10707" s="317">
        <v>2604321914</v>
      </c>
      <c r="B10707" s="330" t="s">
        <v>55063</v>
      </c>
      <c r="C10707" s="330" t="s">
        <v>23621</v>
      </c>
      <c r="D10707" s="330" t="s">
        <v>23622</v>
      </c>
      <c r="E10707" s="330" t="s">
        <v>4634</v>
      </c>
      <c r="F10707" s="331">
        <v>0.21</v>
      </c>
      <c r="G10707" s="332">
        <v>3569</v>
      </c>
      <c r="H10707" s="333">
        <v>4319</v>
      </c>
    </row>
    <row r="10708" spans="1:8">
      <c r="A10708" s="317">
        <v>2604321917</v>
      </c>
      <c r="B10708" s="330" t="s">
        <v>55064</v>
      </c>
      <c r="C10708" s="330" t="s">
        <v>23623</v>
      </c>
      <c r="D10708" s="330" t="s">
        <v>23624</v>
      </c>
      <c r="E10708" s="330" t="s">
        <v>4634</v>
      </c>
      <c r="F10708" s="331">
        <v>0.21</v>
      </c>
      <c r="G10708" s="332">
        <v>1735</v>
      </c>
      <c r="H10708" s="333">
        <v>2100</v>
      </c>
    </row>
    <row r="10709" spans="1:8">
      <c r="A10709" s="317">
        <v>2604321920</v>
      </c>
      <c r="B10709" s="330" t="s">
        <v>55065</v>
      </c>
      <c r="C10709" s="330" t="s">
        <v>23625</v>
      </c>
      <c r="D10709" s="330" t="s">
        <v>23626</v>
      </c>
      <c r="E10709" s="330" t="s">
        <v>4634</v>
      </c>
      <c r="F10709" s="331">
        <v>0.21</v>
      </c>
      <c r="G10709" s="332">
        <v>1217</v>
      </c>
      <c r="H10709" s="333">
        <v>1473</v>
      </c>
    </row>
    <row r="10710" spans="1:8">
      <c r="A10710" s="317">
        <v>2604321921</v>
      </c>
      <c r="B10710" s="330" t="s">
        <v>55066</v>
      </c>
      <c r="C10710" s="330" t="s">
        <v>23627</v>
      </c>
      <c r="D10710" s="330" t="s">
        <v>23628</v>
      </c>
      <c r="E10710" s="330" t="s">
        <v>4634</v>
      </c>
      <c r="F10710" s="331">
        <v>0.21</v>
      </c>
      <c r="G10710" s="332">
        <v>3283</v>
      </c>
      <c r="H10710" s="333">
        <v>3973</v>
      </c>
    </row>
    <row r="10711" spans="1:8">
      <c r="A10711" s="317">
        <v>2604321923</v>
      </c>
      <c r="B10711" s="330" t="s">
        <v>55067</v>
      </c>
      <c r="C10711" s="330" t="s">
        <v>23629</v>
      </c>
      <c r="D10711" s="330" t="s">
        <v>23630</v>
      </c>
      <c r="E10711" s="330" t="s">
        <v>4634</v>
      </c>
      <c r="F10711" s="331">
        <v>0.21</v>
      </c>
      <c r="G10711" s="332">
        <v>1217</v>
      </c>
      <c r="H10711" s="333">
        <v>1473</v>
      </c>
    </row>
    <row r="10712" spans="1:8">
      <c r="A10712" s="317">
        <v>2604321925</v>
      </c>
      <c r="B10712" s="330" t="s">
        <v>55068</v>
      </c>
      <c r="C10712" s="330" t="s">
        <v>23631</v>
      </c>
      <c r="D10712" s="330" t="s">
        <v>23632</v>
      </c>
      <c r="E10712" s="330" t="s">
        <v>37248</v>
      </c>
      <c r="F10712" s="331">
        <v>0.21</v>
      </c>
      <c r="G10712" s="332">
        <v>12215</v>
      </c>
      <c r="H10712" s="333">
        <v>14781</v>
      </c>
    </row>
    <row r="10713" spans="1:8">
      <c r="A10713" s="317">
        <v>2604321928</v>
      </c>
      <c r="B10713" s="330" t="s">
        <v>55069</v>
      </c>
      <c r="C10713" s="330" t="s">
        <v>23633</v>
      </c>
      <c r="D10713" s="330" t="s">
        <v>23634</v>
      </c>
      <c r="E10713" s="330" t="s">
        <v>4634</v>
      </c>
      <c r="F10713" s="331">
        <v>0.21</v>
      </c>
      <c r="G10713" s="332">
        <v>1759</v>
      </c>
      <c r="H10713" s="333">
        <v>2129</v>
      </c>
    </row>
    <row r="10714" spans="1:8">
      <c r="A10714" s="317">
        <v>2604321930</v>
      </c>
      <c r="B10714" s="330" t="s">
        <v>55070</v>
      </c>
      <c r="C10714" s="330" t="s">
        <v>23635</v>
      </c>
      <c r="D10714" s="330" t="s">
        <v>23636</v>
      </c>
      <c r="E10714" s="330" t="s">
        <v>4634</v>
      </c>
      <c r="F10714" s="331">
        <v>0.21</v>
      </c>
      <c r="G10714" s="332">
        <v>3879</v>
      </c>
      <c r="H10714" s="333">
        <v>4694</v>
      </c>
    </row>
    <row r="10715" spans="1:8">
      <c r="A10715" s="317">
        <v>2604321941</v>
      </c>
      <c r="B10715" s="330" t="s">
        <v>55071</v>
      </c>
      <c r="C10715" s="330" t="s">
        <v>23637</v>
      </c>
      <c r="D10715" s="330" t="s">
        <v>23638</v>
      </c>
      <c r="E10715" s="330" t="s">
        <v>37248</v>
      </c>
      <c r="F10715" s="331">
        <v>0.21</v>
      </c>
      <c r="G10715" s="332">
        <v>5670</v>
      </c>
      <c r="H10715" s="333">
        <v>6861</v>
      </c>
    </row>
    <row r="10716" spans="1:8">
      <c r="A10716" s="317">
        <v>2604330016</v>
      </c>
      <c r="B10716" s="330" t="s">
        <v>55072</v>
      </c>
      <c r="C10716" s="330" t="s">
        <v>23639</v>
      </c>
      <c r="D10716" s="330" t="s">
        <v>23640</v>
      </c>
      <c r="E10716" s="330" t="s">
        <v>4634</v>
      </c>
      <c r="F10716" s="331">
        <v>0.21</v>
      </c>
      <c r="G10716" s="332">
        <v>348</v>
      </c>
      <c r="H10716" s="333">
        <v>422</v>
      </c>
    </row>
    <row r="10717" spans="1:8">
      <c r="A10717" s="317">
        <v>2604337003</v>
      </c>
      <c r="B10717" s="330" t="s">
        <v>55073</v>
      </c>
      <c r="C10717" s="330" t="s">
        <v>23641</v>
      </c>
      <c r="D10717" s="330" t="s">
        <v>23642</v>
      </c>
      <c r="E10717" s="330" t="s">
        <v>37248</v>
      </c>
      <c r="F10717" s="331">
        <v>0.21</v>
      </c>
      <c r="G10717" s="332">
        <v>3499</v>
      </c>
      <c r="H10717" s="333">
        <v>4234</v>
      </c>
    </row>
    <row r="10718" spans="1:8">
      <c r="A10718" s="317">
        <v>2604337005</v>
      </c>
      <c r="B10718" s="330" t="s">
        <v>55074</v>
      </c>
      <c r="C10718" s="330" t="s">
        <v>23643</v>
      </c>
      <c r="D10718" s="330" t="s">
        <v>23644</v>
      </c>
      <c r="E10718" s="330" t="s">
        <v>4634</v>
      </c>
      <c r="F10718" s="331">
        <v>0.21</v>
      </c>
      <c r="G10718" s="332">
        <v>716</v>
      </c>
      <c r="H10718" s="333">
        <v>867</v>
      </c>
    </row>
    <row r="10719" spans="1:8">
      <c r="A10719" s="317">
        <v>2604337012</v>
      </c>
      <c r="B10719" s="330" t="s">
        <v>55075</v>
      </c>
      <c r="C10719" s="330" t="s">
        <v>23645</v>
      </c>
      <c r="D10719" s="330" t="s">
        <v>23646</v>
      </c>
      <c r="E10719" s="330" t="s">
        <v>4634</v>
      </c>
      <c r="F10719" s="331">
        <v>0.21</v>
      </c>
      <c r="G10719" s="332">
        <v>1690</v>
      </c>
      <c r="H10719" s="333">
        <v>2045</v>
      </c>
    </row>
    <row r="10720" spans="1:8">
      <c r="A10720" s="317">
        <v>2604337016</v>
      </c>
      <c r="B10720" s="330" t="s">
        <v>55076</v>
      </c>
      <c r="C10720" s="330" t="s">
        <v>23647</v>
      </c>
      <c r="D10720" s="330" t="s">
        <v>23648</v>
      </c>
      <c r="E10720" s="330" t="s">
        <v>4819</v>
      </c>
      <c r="F10720" s="331">
        <v>0.21</v>
      </c>
      <c r="G10720" s="332">
        <v>2380</v>
      </c>
      <c r="H10720" s="333">
        <v>2880</v>
      </c>
    </row>
    <row r="10721" spans="1:8">
      <c r="A10721" s="317">
        <v>2604337034</v>
      </c>
      <c r="B10721" s="330" t="s">
        <v>55077</v>
      </c>
      <c r="C10721" s="330" t="s">
        <v>23649</v>
      </c>
      <c r="D10721" s="330" t="s">
        <v>23650</v>
      </c>
      <c r="E10721" s="330" t="s">
        <v>4634</v>
      </c>
      <c r="F10721" s="331">
        <v>0.21</v>
      </c>
      <c r="G10721" s="332">
        <v>5117</v>
      </c>
      <c r="H10721" s="333">
        <v>6192</v>
      </c>
    </row>
    <row r="10722" spans="1:8">
      <c r="A10722" s="317">
        <v>2604337054</v>
      </c>
      <c r="B10722" s="330" t="s">
        <v>55078</v>
      </c>
      <c r="C10722" s="330" t="s">
        <v>23651</v>
      </c>
      <c r="D10722" s="330" t="s">
        <v>23652</v>
      </c>
      <c r="E10722" s="330" t="s">
        <v>4634</v>
      </c>
      <c r="F10722" s="331">
        <v>0.21</v>
      </c>
      <c r="G10722" s="332">
        <v>6467</v>
      </c>
      <c r="H10722" s="333">
        <v>7826</v>
      </c>
    </row>
    <row r="10723" spans="1:8">
      <c r="A10723" s="317">
        <v>2604337060</v>
      </c>
      <c r="B10723" s="330" t="s">
        <v>55079</v>
      </c>
      <c r="C10723" s="330" t="s">
        <v>23653</v>
      </c>
      <c r="D10723" s="330" t="s">
        <v>23654</v>
      </c>
      <c r="E10723" s="330" t="s">
        <v>4634</v>
      </c>
      <c r="F10723" s="331">
        <v>0.21</v>
      </c>
      <c r="G10723" s="332">
        <v>3189</v>
      </c>
      <c r="H10723" s="333">
        <v>3859</v>
      </c>
    </row>
    <row r="10724" spans="1:8">
      <c r="A10724" s="317">
        <v>2604337061</v>
      </c>
      <c r="B10724" s="330" t="s">
        <v>55080</v>
      </c>
      <c r="C10724" s="330" t="s">
        <v>23655</v>
      </c>
      <c r="D10724" s="330" t="s">
        <v>23656</v>
      </c>
      <c r="E10724" s="330" t="s">
        <v>37248</v>
      </c>
      <c r="F10724" s="331">
        <v>0.21</v>
      </c>
      <c r="G10724" s="332">
        <v>16425</v>
      </c>
      <c r="H10724" s="333">
        <v>19875</v>
      </c>
    </row>
    <row r="10725" spans="1:8">
      <c r="A10725" s="317">
        <v>2604337085</v>
      </c>
      <c r="B10725" s="330" t="s">
        <v>55081</v>
      </c>
      <c r="C10725" s="330" t="s">
        <v>23657</v>
      </c>
      <c r="D10725" s="330" t="s">
        <v>23658</v>
      </c>
      <c r="E10725" s="330" t="s">
        <v>4634</v>
      </c>
      <c r="F10725" s="331">
        <v>0.21</v>
      </c>
      <c r="G10725" s="332">
        <v>9549</v>
      </c>
      <c r="H10725" s="333">
        <v>11555</v>
      </c>
    </row>
    <row r="10726" spans="1:8">
      <c r="A10726" s="317">
        <v>2604337086</v>
      </c>
      <c r="B10726" s="330" t="s">
        <v>55082</v>
      </c>
      <c r="C10726" s="330" t="s">
        <v>23659</v>
      </c>
      <c r="D10726" s="330" t="s">
        <v>23660</v>
      </c>
      <c r="E10726" s="330" t="s">
        <v>4819</v>
      </c>
      <c r="F10726" s="331">
        <v>0.21</v>
      </c>
      <c r="G10726" s="332">
        <v>12469</v>
      </c>
      <c r="H10726" s="333">
        <v>15088</v>
      </c>
    </row>
    <row r="10727" spans="1:8">
      <c r="A10727" s="317">
        <v>2604337087</v>
      </c>
      <c r="B10727" s="330" t="s">
        <v>55083</v>
      </c>
      <c r="C10727" s="330" t="s">
        <v>23661</v>
      </c>
      <c r="D10727" s="330" t="s">
        <v>23662</v>
      </c>
      <c r="E10727" s="330" t="s">
        <v>4634</v>
      </c>
      <c r="F10727" s="331">
        <v>0.21</v>
      </c>
      <c r="G10727" s="332">
        <v>13185</v>
      </c>
      <c r="H10727" s="333">
        <v>15954</v>
      </c>
    </row>
    <row r="10728" spans="1:8">
      <c r="A10728" s="317">
        <v>2604337091</v>
      </c>
      <c r="B10728" s="330" t="s">
        <v>55084</v>
      </c>
      <c r="C10728" s="330" t="s">
        <v>23663</v>
      </c>
      <c r="D10728" s="330" t="s">
        <v>23664</v>
      </c>
      <c r="E10728" s="330" t="s">
        <v>4634</v>
      </c>
      <c r="F10728" s="331">
        <v>0.21</v>
      </c>
      <c r="G10728" s="332">
        <v>2186</v>
      </c>
      <c r="H10728" s="333">
        <v>2646</v>
      </c>
    </row>
    <row r="10729" spans="1:8">
      <c r="A10729" s="317">
        <v>2604337118</v>
      </c>
      <c r="B10729" s="330" t="s">
        <v>55085</v>
      </c>
      <c r="C10729" s="330" t="s">
        <v>23665</v>
      </c>
      <c r="D10729" s="330" t="s">
        <v>23666</v>
      </c>
      <c r="E10729" s="330" t="s">
        <v>37248</v>
      </c>
      <c r="F10729" s="331">
        <v>0.21</v>
      </c>
      <c r="G10729" s="332">
        <v>12342</v>
      </c>
      <c r="H10729" s="333">
        <v>14934</v>
      </c>
    </row>
    <row r="10730" spans="1:8">
      <c r="A10730" s="317">
        <v>2604337902</v>
      </c>
      <c r="B10730" s="330" t="s">
        <v>55086</v>
      </c>
      <c r="C10730" s="330" t="s">
        <v>23667</v>
      </c>
      <c r="D10730" s="330" t="s">
        <v>23668</v>
      </c>
      <c r="E10730" s="330" t="s">
        <v>4634</v>
      </c>
      <c r="F10730" s="331">
        <v>0.21</v>
      </c>
      <c r="G10730" s="332">
        <v>5741</v>
      </c>
      <c r="H10730" s="333">
        <v>6947</v>
      </c>
    </row>
    <row r="10731" spans="1:8">
      <c r="A10731" s="317">
        <v>2604448001</v>
      </c>
      <c r="B10731" s="330" t="s">
        <v>55087</v>
      </c>
      <c r="C10731" s="330" t="s">
        <v>23669</v>
      </c>
      <c r="D10731" s="330" t="s">
        <v>23670</v>
      </c>
      <c r="E10731" s="330" t="s">
        <v>4634</v>
      </c>
      <c r="F10731" s="331">
        <v>0.21</v>
      </c>
      <c r="G10731" s="332">
        <v>426</v>
      </c>
      <c r="H10731" s="333">
        <v>516</v>
      </c>
    </row>
    <row r="10732" spans="1:8">
      <c r="A10732" s="317">
        <v>2604448005</v>
      </c>
      <c r="B10732" s="330" t="s">
        <v>55088</v>
      </c>
      <c r="C10732" s="330" t="s">
        <v>23671</v>
      </c>
      <c r="D10732" s="330" t="s">
        <v>23672</v>
      </c>
      <c r="E10732" s="330" t="s">
        <v>37248</v>
      </c>
      <c r="F10732" s="331">
        <v>0.21</v>
      </c>
      <c r="G10732" s="332">
        <v>2328</v>
      </c>
      <c r="H10732" s="333">
        <v>2817</v>
      </c>
    </row>
    <row r="10733" spans="1:8">
      <c r="A10733" s="317">
        <v>2604448034</v>
      </c>
      <c r="B10733" s="330" t="s">
        <v>55089</v>
      </c>
      <c r="C10733" s="330" t="s">
        <v>23673</v>
      </c>
      <c r="D10733" s="330" t="s">
        <v>23674</v>
      </c>
      <c r="E10733" s="330" t="s">
        <v>37248</v>
      </c>
      <c r="F10733" s="331">
        <v>0.21</v>
      </c>
      <c r="G10733" s="332">
        <v>1835</v>
      </c>
      <c r="H10733" s="333">
        <v>2221</v>
      </c>
    </row>
    <row r="10734" spans="1:8">
      <c r="A10734" s="317">
        <v>2604448118</v>
      </c>
      <c r="B10734" s="330" t="s">
        <v>55090</v>
      </c>
      <c r="C10734" s="330" t="s">
        <v>23675</v>
      </c>
      <c r="D10734" s="330" t="s">
        <v>15670</v>
      </c>
      <c r="E10734" s="330" t="s">
        <v>4819</v>
      </c>
      <c r="F10734" s="331">
        <v>0.21</v>
      </c>
      <c r="G10734" s="332">
        <v>3366</v>
      </c>
      <c r="H10734" s="333">
        <v>4073</v>
      </c>
    </row>
    <row r="10735" spans="1:8">
      <c r="A10735" s="317">
        <v>2604448137</v>
      </c>
      <c r="B10735" s="330" t="s">
        <v>55091</v>
      </c>
      <c r="C10735" s="330" t="s">
        <v>23676</v>
      </c>
      <c r="D10735" s="330" t="s">
        <v>23677</v>
      </c>
      <c r="E10735" s="330" t="s">
        <v>4634</v>
      </c>
      <c r="F10735" s="331">
        <v>0.21</v>
      </c>
      <c r="G10735" s="332">
        <v>432</v>
      </c>
      <c r="H10735" s="333">
        <v>523</v>
      </c>
    </row>
    <row r="10736" spans="1:8">
      <c r="A10736" s="317">
        <v>2604448181</v>
      </c>
      <c r="B10736" s="330" t="s">
        <v>55092</v>
      </c>
      <c r="C10736" s="330" t="s">
        <v>23678</v>
      </c>
      <c r="D10736" s="330" t="s">
        <v>15670</v>
      </c>
      <c r="E10736" s="330" t="s">
        <v>4819</v>
      </c>
      <c r="F10736" s="331">
        <v>0.21</v>
      </c>
      <c r="G10736" s="332">
        <v>4427</v>
      </c>
      <c r="H10736" s="333">
        <v>5357</v>
      </c>
    </row>
    <row r="10737" spans="1:8">
      <c r="A10737" s="317">
        <v>2604448335</v>
      </c>
      <c r="B10737" s="330" t="s">
        <v>55093</v>
      </c>
      <c r="C10737" s="330" t="s">
        <v>23679</v>
      </c>
      <c r="D10737" s="330" t="s">
        <v>23680</v>
      </c>
      <c r="E10737" s="330" t="s">
        <v>37248</v>
      </c>
      <c r="F10737" s="331">
        <v>0.21</v>
      </c>
      <c r="G10737" s="332">
        <v>807</v>
      </c>
      <c r="H10737" s="333">
        <v>977</v>
      </c>
    </row>
    <row r="10738" spans="1:8">
      <c r="A10738" s="317">
        <v>2604448336</v>
      </c>
      <c r="B10738" s="330" t="s">
        <v>55094</v>
      </c>
      <c r="C10738" s="330" t="s">
        <v>23681</v>
      </c>
      <c r="D10738" s="330" t="s">
        <v>23680</v>
      </c>
      <c r="E10738" s="330" t="s">
        <v>37248</v>
      </c>
      <c r="F10738" s="331">
        <v>0.21</v>
      </c>
      <c r="G10738" s="332">
        <v>807</v>
      </c>
      <c r="H10738" s="333">
        <v>977</v>
      </c>
    </row>
    <row r="10739" spans="1:8">
      <c r="A10739" s="317">
        <v>2604448343</v>
      </c>
      <c r="B10739" s="330" t="s">
        <v>55095</v>
      </c>
      <c r="C10739" s="330" t="s">
        <v>23682</v>
      </c>
      <c r="D10739" s="330" t="s">
        <v>23683</v>
      </c>
      <c r="E10739" s="330" t="s">
        <v>4634</v>
      </c>
      <c r="F10739" s="331">
        <v>0.21</v>
      </c>
      <c r="G10739" s="332">
        <v>564</v>
      </c>
      <c r="H10739" s="333">
        <v>683</v>
      </c>
    </row>
    <row r="10740" spans="1:8">
      <c r="A10740" s="317">
        <v>2604448368</v>
      </c>
      <c r="B10740" s="330" t="s">
        <v>55096</v>
      </c>
      <c r="C10740" s="330" t="s">
        <v>23684</v>
      </c>
      <c r="D10740" s="330" t="s">
        <v>23685</v>
      </c>
      <c r="E10740" s="330" t="s">
        <v>4819</v>
      </c>
      <c r="F10740" s="331">
        <v>0.21</v>
      </c>
      <c r="G10740" s="332">
        <v>600</v>
      </c>
      <c r="H10740" s="333">
        <v>726</v>
      </c>
    </row>
    <row r="10741" spans="1:8">
      <c r="A10741" s="317">
        <v>2604448382</v>
      </c>
      <c r="B10741" s="330" t="s">
        <v>55097</v>
      </c>
      <c r="C10741" s="330" t="s">
        <v>23686</v>
      </c>
      <c r="D10741" s="330" t="s">
        <v>23687</v>
      </c>
      <c r="E10741" s="330" t="s">
        <v>37248</v>
      </c>
      <c r="F10741" s="331">
        <v>0.21</v>
      </c>
      <c r="G10741" s="332">
        <v>194</v>
      </c>
      <c r="H10741" s="333">
        <v>235</v>
      </c>
    </row>
    <row r="10742" spans="1:8">
      <c r="A10742" s="317">
        <v>2604449026</v>
      </c>
      <c r="B10742" s="330" t="s">
        <v>55098</v>
      </c>
      <c r="C10742" s="330" t="s">
        <v>23688</v>
      </c>
      <c r="D10742" s="330" t="s">
        <v>23689</v>
      </c>
      <c r="E10742" s="330" t="s">
        <v>4819</v>
      </c>
      <c r="F10742" s="331">
        <v>0.21</v>
      </c>
      <c r="G10742" s="332">
        <v>2059</v>
      </c>
      <c r="H10742" s="333">
        <v>2492</v>
      </c>
    </row>
    <row r="10743" spans="1:8">
      <c r="A10743" s="317">
        <v>2604449027</v>
      </c>
      <c r="B10743" s="330" t="s">
        <v>55099</v>
      </c>
      <c r="C10743" s="330" t="s">
        <v>23690</v>
      </c>
      <c r="D10743" s="330" t="s">
        <v>5912</v>
      </c>
      <c r="E10743" s="330" t="s">
        <v>4634</v>
      </c>
      <c r="F10743" s="331">
        <v>0.21</v>
      </c>
      <c r="G10743" s="332">
        <v>2040</v>
      </c>
      <c r="H10743" s="333">
        <v>2469</v>
      </c>
    </row>
    <row r="10744" spans="1:8">
      <c r="A10744" s="317">
        <v>2604449055</v>
      </c>
      <c r="B10744" s="330" t="s">
        <v>55100</v>
      </c>
      <c r="C10744" s="330" t="s">
        <v>23691</v>
      </c>
      <c r="D10744" s="330" t="s">
        <v>23692</v>
      </c>
      <c r="E10744" s="330" t="s">
        <v>4819</v>
      </c>
      <c r="F10744" s="331">
        <v>0.21</v>
      </c>
      <c r="G10744" s="332">
        <v>1769</v>
      </c>
      <c r="H10744" s="333">
        <v>2141</v>
      </c>
    </row>
    <row r="10745" spans="1:8">
      <c r="A10745" s="317">
        <v>2604460107</v>
      </c>
      <c r="B10745" s="330" t="s">
        <v>55101</v>
      </c>
      <c r="C10745" s="330" t="s">
        <v>23693</v>
      </c>
      <c r="D10745" s="330" t="s">
        <v>9257</v>
      </c>
      <c r="E10745" s="330" t="s">
        <v>4634</v>
      </c>
      <c r="F10745" s="331">
        <v>0.21</v>
      </c>
      <c r="G10745" s="332">
        <v>1581</v>
      </c>
      <c r="H10745" s="333">
        <v>1914</v>
      </c>
    </row>
    <row r="10746" spans="1:8">
      <c r="A10746" s="317">
        <v>2604460277</v>
      </c>
      <c r="B10746" s="330" t="s">
        <v>55102</v>
      </c>
      <c r="C10746" s="330" t="s">
        <v>23694</v>
      </c>
      <c r="D10746" s="330" t="s">
        <v>23695</v>
      </c>
      <c r="E10746" s="330" t="s">
        <v>37248</v>
      </c>
      <c r="F10746" s="331">
        <v>0.21</v>
      </c>
      <c r="G10746" s="332">
        <v>6315</v>
      </c>
      <c r="H10746" s="333">
        <v>7642</v>
      </c>
    </row>
    <row r="10747" spans="1:8">
      <c r="A10747" s="317">
        <v>2604460300</v>
      </c>
      <c r="B10747" s="330" t="s">
        <v>55103</v>
      </c>
      <c r="C10747" s="330" t="s">
        <v>23696</v>
      </c>
      <c r="D10747" s="330" t="s">
        <v>23697</v>
      </c>
      <c r="E10747" s="330" t="s">
        <v>37248</v>
      </c>
      <c r="F10747" s="331">
        <v>0.21</v>
      </c>
      <c r="G10747" s="332">
        <v>6147</v>
      </c>
      <c r="H10747" s="333">
        <v>7438</v>
      </c>
    </row>
    <row r="10748" spans="1:8">
      <c r="A10748" s="317">
        <v>2604465035</v>
      </c>
      <c r="B10748" s="330" t="s">
        <v>55104</v>
      </c>
      <c r="C10748" s="330" t="s">
        <v>23698</v>
      </c>
      <c r="D10748" s="330" t="s">
        <v>23699</v>
      </c>
      <c r="E10748" s="330" t="s">
        <v>4634</v>
      </c>
      <c r="F10748" s="331">
        <v>0.21</v>
      </c>
      <c r="G10748" s="332">
        <v>1030</v>
      </c>
      <c r="H10748" s="333">
        <v>1247</v>
      </c>
    </row>
    <row r="10749" spans="1:8">
      <c r="A10749" s="317">
        <v>2604465075</v>
      </c>
      <c r="B10749" s="330" t="s">
        <v>55105</v>
      </c>
      <c r="C10749" s="330" t="s">
        <v>23700</v>
      </c>
      <c r="D10749" s="330" t="s">
        <v>23701</v>
      </c>
      <c r="E10749" s="330" t="s">
        <v>4634</v>
      </c>
      <c r="F10749" s="331">
        <v>0.21</v>
      </c>
      <c r="G10749" s="332">
        <v>1030</v>
      </c>
      <c r="H10749" s="333">
        <v>1247</v>
      </c>
    </row>
    <row r="10750" spans="1:8">
      <c r="A10750" s="317">
        <v>2604465077</v>
      </c>
      <c r="B10750" s="330" t="s">
        <v>55106</v>
      </c>
      <c r="C10750" s="330" t="s">
        <v>23702</v>
      </c>
      <c r="D10750" s="330" t="s">
        <v>23703</v>
      </c>
      <c r="E10750" s="330" t="s">
        <v>4634</v>
      </c>
      <c r="F10750" s="331">
        <v>0.21</v>
      </c>
      <c r="G10750" s="332">
        <v>1030</v>
      </c>
      <c r="H10750" s="333">
        <v>1247</v>
      </c>
    </row>
    <row r="10751" spans="1:8">
      <c r="A10751" s="317">
        <v>2604465081</v>
      </c>
      <c r="B10751" s="330" t="s">
        <v>55107</v>
      </c>
      <c r="C10751" s="330" t="s">
        <v>23704</v>
      </c>
      <c r="D10751" s="330" t="s">
        <v>23705</v>
      </c>
      <c r="E10751" s="330" t="s">
        <v>4634</v>
      </c>
      <c r="F10751" s="331">
        <v>0.21</v>
      </c>
      <c r="G10751" s="332">
        <v>1030</v>
      </c>
      <c r="H10751" s="333">
        <v>1247</v>
      </c>
    </row>
    <row r="10752" spans="1:8">
      <c r="A10752" s="317">
        <v>2604465086</v>
      </c>
      <c r="B10752" s="330" t="s">
        <v>55108</v>
      </c>
      <c r="C10752" s="330" t="s">
        <v>23706</v>
      </c>
      <c r="D10752" s="330" t="s">
        <v>23707</v>
      </c>
      <c r="E10752" s="330" t="s">
        <v>4819</v>
      </c>
      <c r="F10752" s="331">
        <v>0.21</v>
      </c>
      <c r="G10752" s="332">
        <v>8137</v>
      </c>
      <c r="H10752" s="333">
        <v>9846</v>
      </c>
    </row>
    <row r="10753" spans="1:8">
      <c r="A10753" s="317">
        <v>2604465097</v>
      </c>
      <c r="B10753" s="330" t="s">
        <v>55109</v>
      </c>
      <c r="C10753" s="330" t="s">
        <v>23708</v>
      </c>
      <c r="D10753" s="330" t="s">
        <v>23709</v>
      </c>
      <c r="E10753" s="330" t="s">
        <v>37248</v>
      </c>
      <c r="F10753" s="331">
        <v>0.21</v>
      </c>
      <c r="G10753" s="332">
        <v>7825</v>
      </c>
      <c r="H10753" s="333">
        <v>9469</v>
      </c>
    </row>
    <row r="10754" spans="1:8">
      <c r="A10754" s="317">
        <v>2604465099</v>
      </c>
      <c r="B10754" s="330" t="s">
        <v>55110</v>
      </c>
      <c r="C10754" s="330" t="s">
        <v>23710</v>
      </c>
      <c r="D10754" s="330" t="s">
        <v>23711</v>
      </c>
      <c r="E10754" s="330" t="s">
        <v>4634</v>
      </c>
      <c r="F10754" s="331">
        <v>0.21</v>
      </c>
      <c r="G10754" s="332">
        <v>1170</v>
      </c>
      <c r="H10754" s="333">
        <v>1416</v>
      </c>
    </row>
    <row r="10755" spans="1:8">
      <c r="A10755" s="317">
        <v>2604465110</v>
      </c>
      <c r="B10755" s="330" t="s">
        <v>55111</v>
      </c>
      <c r="C10755" s="330" t="s">
        <v>23712</v>
      </c>
      <c r="D10755" s="330" t="s">
        <v>23713</v>
      </c>
      <c r="E10755" s="330" t="s">
        <v>4634</v>
      </c>
      <c r="F10755" s="331">
        <v>0.21</v>
      </c>
      <c r="G10755" s="332">
        <v>1371</v>
      </c>
      <c r="H10755" s="333">
        <v>1659</v>
      </c>
    </row>
    <row r="10756" spans="1:8">
      <c r="A10756" s="317">
        <v>2604465111</v>
      </c>
      <c r="B10756" s="330" t="s">
        <v>55112</v>
      </c>
      <c r="C10756" s="330" t="s">
        <v>23714</v>
      </c>
      <c r="D10756" s="330" t="s">
        <v>23713</v>
      </c>
      <c r="E10756" s="330" t="s">
        <v>4634</v>
      </c>
      <c r="F10756" s="331">
        <v>0.21</v>
      </c>
      <c r="G10756" s="332">
        <v>1371</v>
      </c>
      <c r="H10756" s="333">
        <v>1659</v>
      </c>
    </row>
    <row r="10757" spans="1:8">
      <c r="A10757" s="317">
        <v>2604601004</v>
      </c>
      <c r="B10757" s="330" t="s">
        <v>55113</v>
      </c>
      <c r="C10757" s="330" t="s">
        <v>23715</v>
      </c>
      <c r="D10757" s="330" t="s">
        <v>23716</v>
      </c>
      <c r="E10757" s="330" t="s">
        <v>4634</v>
      </c>
      <c r="F10757" s="331">
        <v>0.21</v>
      </c>
      <c r="G10757" s="332">
        <v>372</v>
      </c>
      <c r="H10757" s="333">
        <v>451</v>
      </c>
    </row>
    <row r="10758" spans="1:8">
      <c r="A10758" s="317">
        <v>2604610007</v>
      </c>
      <c r="B10758" s="330" t="s">
        <v>55114</v>
      </c>
      <c r="C10758" s="330" t="s">
        <v>23717</v>
      </c>
      <c r="D10758" s="330" t="s">
        <v>23718</v>
      </c>
      <c r="E10758" s="330" t="s">
        <v>4634</v>
      </c>
      <c r="F10758" s="331">
        <v>0.21</v>
      </c>
      <c r="G10758" s="332">
        <v>372</v>
      </c>
      <c r="H10758" s="333">
        <v>451</v>
      </c>
    </row>
    <row r="10759" spans="1:8">
      <c r="A10759" s="317">
        <v>2604610009</v>
      </c>
      <c r="B10759" s="330" t="s">
        <v>55115</v>
      </c>
      <c r="C10759" s="330" t="s">
        <v>23719</v>
      </c>
      <c r="D10759" s="330" t="s">
        <v>23720</v>
      </c>
      <c r="E10759" s="330" t="s">
        <v>4634</v>
      </c>
      <c r="F10759" s="331">
        <v>0.21</v>
      </c>
      <c r="G10759" s="332">
        <v>372</v>
      </c>
      <c r="H10759" s="333">
        <v>451</v>
      </c>
    </row>
    <row r="10760" spans="1:8">
      <c r="A10760" s="317">
        <v>2604610026</v>
      </c>
      <c r="B10760" s="330" t="s">
        <v>55116</v>
      </c>
      <c r="C10760" s="330" t="s">
        <v>23721</v>
      </c>
      <c r="D10760" s="330" t="s">
        <v>23722</v>
      </c>
      <c r="E10760" s="330" t="s">
        <v>4634</v>
      </c>
      <c r="F10760" s="331">
        <v>0.21</v>
      </c>
      <c r="G10760" s="332">
        <v>387</v>
      </c>
      <c r="H10760" s="333">
        <v>469</v>
      </c>
    </row>
    <row r="10761" spans="1:8">
      <c r="A10761" s="317">
        <v>2604610028</v>
      </c>
      <c r="B10761" s="330" t="s">
        <v>55117</v>
      </c>
      <c r="C10761" s="330" t="s">
        <v>23723</v>
      </c>
      <c r="D10761" s="330" t="s">
        <v>6179</v>
      </c>
      <c r="E10761" s="330" t="s">
        <v>4634</v>
      </c>
      <c r="F10761" s="331">
        <v>0.21</v>
      </c>
      <c r="G10761" s="332">
        <v>387</v>
      </c>
      <c r="H10761" s="333">
        <v>469</v>
      </c>
    </row>
    <row r="10762" spans="1:8">
      <c r="A10762" s="317">
        <v>2604610032</v>
      </c>
      <c r="B10762" s="330" t="s">
        <v>55118</v>
      </c>
      <c r="C10762" s="330" t="s">
        <v>23724</v>
      </c>
      <c r="D10762" s="330" t="s">
        <v>23725</v>
      </c>
      <c r="E10762" s="330" t="s">
        <v>4634</v>
      </c>
      <c r="F10762" s="331">
        <v>0.21</v>
      </c>
      <c r="G10762" s="332">
        <v>372</v>
      </c>
      <c r="H10762" s="333">
        <v>451</v>
      </c>
    </row>
    <row r="10763" spans="1:8">
      <c r="A10763" s="317">
        <v>2604610033</v>
      </c>
      <c r="B10763" s="330" t="s">
        <v>55119</v>
      </c>
      <c r="C10763" s="330" t="s">
        <v>23726</v>
      </c>
      <c r="D10763" s="330" t="s">
        <v>23727</v>
      </c>
      <c r="E10763" s="330" t="s">
        <v>4634</v>
      </c>
      <c r="F10763" s="331">
        <v>0.21</v>
      </c>
      <c r="G10763" s="332">
        <v>372</v>
      </c>
      <c r="H10763" s="333">
        <v>451</v>
      </c>
    </row>
    <row r="10764" spans="1:8">
      <c r="A10764" s="317">
        <v>2604610034</v>
      </c>
      <c r="B10764" s="330" t="s">
        <v>55120</v>
      </c>
      <c r="C10764" s="330" t="s">
        <v>23728</v>
      </c>
      <c r="D10764" s="330" t="s">
        <v>23729</v>
      </c>
      <c r="E10764" s="330" t="s">
        <v>4634</v>
      </c>
      <c r="F10764" s="331">
        <v>0.21</v>
      </c>
      <c r="G10764" s="332">
        <v>387</v>
      </c>
      <c r="H10764" s="333">
        <v>469</v>
      </c>
    </row>
    <row r="10765" spans="1:8">
      <c r="A10765" s="317">
        <v>2604610038</v>
      </c>
      <c r="B10765" s="330" t="s">
        <v>55121</v>
      </c>
      <c r="C10765" s="330" t="s">
        <v>23730</v>
      </c>
      <c r="D10765" s="330" t="s">
        <v>23731</v>
      </c>
      <c r="E10765" s="330" t="s">
        <v>4634</v>
      </c>
      <c r="F10765" s="331">
        <v>0.21</v>
      </c>
      <c r="G10765" s="332">
        <v>678</v>
      </c>
      <c r="H10765" s="333">
        <v>821</v>
      </c>
    </row>
    <row r="10766" spans="1:8">
      <c r="A10766" s="317">
        <v>2604610039</v>
      </c>
      <c r="B10766" s="330" t="s">
        <v>55122</v>
      </c>
      <c r="C10766" s="330" t="s">
        <v>23732</v>
      </c>
      <c r="D10766" s="330" t="s">
        <v>23733</v>
      </c>
      <c r="E10766" s="330" t="s">
        <v>4634</v>
      </c>
      <c r="F10766" s="331">
        <v>0.21</v>
      </c>
      <c r="G10766" s="332">
        <v>372</v>
      </c>
      <c r="H10766" s="333">
        <v>451</v>
      </c>
    </row>
    <row r="10767" spans="1:8">
      <c r="A10767" s="317">
        <v>2604610040</v>
      </c>
      <c r="B10767" s="330" t="s">
        <v>55123</v>
      </c>
      <c r="C10767" s="330" t="s">
        <v>23734</v>
      </c>
      <c r="D10767" s="330" t="s">
        <v>23735</v>
      </c>
      <c r="E10767" s="330" t="s">
        <v>37248</v>
      </c>
      <c r="F10767" s="331">
        <v>0.21</v>
      </c>
      <c r="G10767" s="332">
        <v>2596</v>
      </c>
      <c r="H10767" s="333">
        <v>3142</v>
      </c>
    </row>
    <row r="10768" spans="1:8">
      <c r="A10768" s="317">
        <v>2604610042</v>
      </c>
      <c r="B10768" s="330" t="s">
        <v>55124</v>
      </c>
      <c r="C10768" s="330" t="s">
        <v>23736</v>
      </c>
      <c r="D10768" s="330" t="s">
        <v>23737</v>
      </c>
      <c r="E10768" s="330" t="s">
        <v>4634</v>
      </c>
      <c r="F10768" s="331">
        <v>0.21</v>
      </c>
      <c r="G10768" s="332">
        <v>432</v>
      </c>
      <c r="H10768" s="333">
        <v>523</v>
      </c>
    </row>
    <row r="10769" spans="1:8">
      <c r="A10769" s="317">
        <v>2604610045</v>
      </c>
      <c r="B10769" s="330" t="s">
        <v>55125</v>
      </c>
      <c r="C10769" s="330" t="s">
        <v>23738</v>
      </c>
      <c r="D10769" s="330" t="s">
        <v>23739</v>
      </c>
      <c r="E10769" s="330" t="s">
        <v>4634</v>
      </c>
      <c r="F10769" s="331">
        <v>0.21</v>
      </c>
      <c r="G10769" s="332">
        <v>372</v>
      </c>
      <c r="H10769" s="333">
        <v>451</v>
      </c>
    </row>
    <row r="10770" spans="1:8">
      <c r="A10770" s="317">
        <v>2604610047</v>
      </c>
      <c r="B10770" s="330" t="s">
        <v>55126</v>
      </c>
      <c r="C10770" s="330" t="s">
        <v>23740</v>
      </c>
      <c r="D10770" s="330" t="s">
        <v>23741</v>
      </c>
      <c r="E10770" s="330" t="s">
        <v>4634</v>
      </c>
      <c r="F10770" s="331">
        <v>0.21</v>
      </c>
      <c r="G10770" s="332">
        <v>372</v>
      </c>
      <c r="H10770" s="333">
        <v>451</v>
      </c>
    </row>
    <row r="10771" spans="1:8">
      <c r="A10771" s="317">
        <v>2604610140</v>
      </c>
      <c r="B10771" s="330" t="s">
        <v>55127</v>
      </c>
      <c r="C10771" s="330" t="s">
        <v>23742</v>
      </c>
      <c r="D10771" s="330" t="s">
        <v>23743</v>
      </c>
      <c r="E10771" s="330" t="s">
        <v>37248</v>
      </c>
      <c r="F10771" s="331">
        <v>0.21</v>
      </c>
      <c r="G10771" s="332">
        <v>361</v>
      </c>
      <c r="H10771" s="333">
        <v>437</v>
      </c>
    </row>
    <row r="10772" spans="1:8">
      <c r="A10772" s="317">
        <v>2604610152</v>
      </c>
      <c r="B10772" s="330" t="s">
        <v>55128</v>
      </c>
      <c r="C10772" s="330" t="s">
        <v>23744</v>
      </c>
      <c r="D10772" s="330" t="s">
        <v>12410</v>
      </c>
      <c r="E10772" s="330" t="s">
        <v>37248</v>
      </c>
      <c r="F10772" s="331">
        <v>0.21</v>
      </c>
      <c r="G10772" s="332">
        <v>240</v>
      </c>
      <c r="H10772" s="333">
        <v>291</v>
      </c>
    </row>
    <row r="10773" spans="1:8">
      <c r="A10773" s="317">
        <v>2604610156</v>
      </c>
      <c r="B10773" s="330" t="s">
        <v>55129</v>
      </c>
      <c r="C10773" s="330" t="s">
        <v>23745</v>
      </c>
      <c r="D10773" s="330" t="s">
        <v>6179</v>
      </c>
      <c r="E10773" s="330" t="s">
        <v>37248</v>
      </c>
      <c r="F10773" s="331">
        <v>0.21</v>
      </c>
      <c r="G10773" s="332">
        <v>240</v>
      </c>
      <c r="H10773" s="333">
        <v>291</v>
      </c>
    </row>
    <row r="10774" spans="1:8">
      <c r="A10774" s="317">
        <v>2604611002</v>
      </c>
      <c r="B10774" s="330" t="s">
        <v>55130</v>
      </c>
      <c r="C10774" s="330" t="s">
        <v>23746</v>
      </c>
      <c r="D10774" s="330" t="s">
        <v>7991</v>
      </c>
      <c r="E10774" s="330" t="s">
        <v>4634</v>
      </c>
      <c r="F10774" s="331">
        <v>0.21</v>
      </c>
      <c r="G10774" s="332">
        <v>903</v>
      </c>
      <c r="H10774" s="333">
        <v>1093</v>
      </c>
    </row>
    <row r="10775" spans="1:8">
      <c r="A10775" s="317">
        <v>2604611010</v>
      </c>
      <c r="B10775" s="330" t="s">
        <v>55131</v>
      </c>
      <c r="C10775" s="330" t="s">
        <v>23747</v>
      </c>
      <c r="D10775" s="330" t="s">
        <v>23748</v>
      </c>
      <c r="E10775" s="330" t="s">
        <v>4634</v>
      </c>
      <c r="F10775" s="331">
        <v>0.21</v>
      </c>
      <c r="G10775" s="332">
        <v>387</v>
      </c>
      <c r="H10775" s="333">
        <v>469</v>
      </c>
    </row>
    <row r="10776" spans="1:8">
      <c r="A10776" s="317">
        <v>2604611016</v>
      </c>
      <c r="B10776" s="330" t="s">
        <v>55132</v>
      </c>
      <c r="C10776" s="330" t="s">
        <v>23749</v>
      </c>
      <c r="D10776" s="330" t="s">
        <v>23750</v>
      </c>
      <c r="E10776" s="330" t="s">
        <v>4634</v>
      </c>
      <c r="F10776" s="331">
        <v>0.21</v>
      </c>
      <c r="G10776" s="332">
        <v>437</v>
      </c>
      <c r="H10776" s="333">
        <v>529</v>
      </c>
    </row>
    <row r="10777" spans="1:8">
      <c r="A10777" s="317">
        <v>2604611023</v>
      </c>
      <c r="B10777" s="330" t="s">
        <v>55133</v>
      </c>
      <c r="C10777" s="330" t="s">
        <v>23751</v>
      </c>
      <c r="D10777" s="330" t="s">
        <v>23752</v>
      </c>
      <c r="E10777" s="330" t="s">
        <v>4634</v>
      </c>
      <c r="F10777" s="331">
        <v>0.21</v>
      </c>
      <c r="G10777" s="332">
        <v>437</v>
      </c>
      <c r="H10777" s="333">
        <v>529</v>
      </c>
    </row>
    <row r="10778" spans="1:8">
      <c r="A10778" s="317">
        <v>2604611024</v>
      </c>
      <c r="B10778" s="330" t="s">
        <v>55134</v>
      </c>
      <c r="C10778" s="330" t="s">
        <v>23753</v>
      </c>
      <c r="D10778" s="330" t="s">
        <v>23754</v>
      </c>
      <c r="E10778" s="330" t="s">
        <v>4634</v>
      </c>
      <c r="F10778" s="331">
        <v>0.21</v>
      </c>
      <c r="G10778" s="332">
        <v>412</v>
      </c>
      <c r="H10778" s="333">
        <v>499</v>
      </c>
    </row>
    <row r="10779" spans="1:8">
      <c r="A10779" s="317">
        <v>2604611025</v>
      </c>
      <c r="B10779" s="330" t="s">
        <v>55135</v>
      </c>
      <c r="C10779" s="330" t="s">
        <v>23755</v>
      </c>
      <c r="D10779" s="330" t="s">
        <v>23756</v>
      </c>
      <c r="E10779" s="330" t="s">
        <v>4634</v>
      </c>
      <c r="F10779" s="331">
        <v>0.21</v>
      </c>
      <c r="G10779" s="332">
        <v>280</v>
      </c>
      <c r="H10779" s="333">
        <v>339</v>
      </c>
    </row>
    <row r="10780" spans="1:8">
      <c r="A10780" s="317">
        <v>2604611026</v>
      </c>
      <c r="B10780" s="330" t="s">
        <v>55136</v>
      </c>
      <c r="C10780" s="330" t="s">
        <v>23757</v>
      </c>
      <c r="D10780" s="330" t="s">
        <v>23758</v>
      </c>
      <c r="E10780" s="330" t="s">
        <v>4634</v>
      </c>
      <c r="F10780" s="331">
        <v>0.21</v>
      </c>
      <c r="G10780" s="332">
        <v>372</v>
      </c>
      <c r="H10780" s="333">
        <v>451</v>
      </c>
    </row>
    <row r="10781" spans="1:8">
      <c r="A10781" s="317">
        <v>2604611033</v>
      </c>
      <c r="B10781" s="330" t="s">
        <v>55137</v>
      </c>
      <c r="C10781" s="330" t="s">
        <v>23759</v>
      </c>
      <c r="D10781" s="330" t="s">
        <v>23760</v>
      </c>
      <c r="E10781" s="330" t="s">
        <v>4819</v>
      </c>
      <c r="F10781" s="331">
        <v>0.21</v>
      </c>
      <c r="G10781" s="332">
        <v>2094</v>
      </c>
      <c r="H10781" s="333">
        <v>2534</v>
      </c>
    </row>
    <row r="10782" spans="1:8">
      <c r="A10782" s="317">
        <v>2604611040</v>
      </c>
      <c r="B10782" s="330" t="s">
        <v>55138</v>
      </c>
      <c r="C10782" s="330" t="s">
        <v>23761</v>
      </c>
      <c r="D10782" s="330" t="s">
        <v>23762</v>
      </c>
      <c r="E10782" s="330" t="s">
        <v>4634</v>
      </c>
      <c r="F10782" s="331">
        <v>0.21</v>
      </c>
      <c r="G10782" s="332">
        <v>37</v>
      </c>
      <c r="H10782" s="333">
        <v>45</v>
      </c>
    </row>
    <row r="10783" spans="1:8">
      <c r="A10783" s="317">
        <v>2604612005</v>
      </c>
      <c r="B10783" s="330" t="s">
        <v>55139</v>
      </c>
      <c r="C10783" s="330" t="s">
        <v>23763</v>
      </c>
      <c r="D10783" s="330" t="s">
        <v>23764</v>
      </c>
      <c r="E10783" s="330" t="s">
        <v>4634</v>
      </c>
      <c r="F10783" s="331">
        <v>0.21</v>
      </c>
      <c r="G10783" s="332">
        <v>584</v>
      </c>
      <c r="H10783" s="333">
        <v>707</v>
      </c>
    </row>
    <row r="10784" spans="1:8">
      <c r="A10784" s="317">
        <v>2604612006</v>
      </c>
      <c r="B10784" s="330" t="s">
        <v>55140</v>
      </c>
      <c r="C10784" s="330" t="s">
        <v>23765</v>
      </c>
      <c r="D10784" s="330" t="s">
        <v>23766</v>
      </c>
      <c r="E10784" s="330" t="s">
        <v>4634</v>
      </c>
      <c r="F10784" s="331">
        <v>0.21</v>
      </c>
      <c r="G10784" s="332">
        <v>372</v>
      </c>
      <c r="H10784" s="333">
        <v>451</v>
      </c>
    </row>
    <row r="10785" spans="1:8">
      <c r="A10785" s="317">
        <v>2604613000</v>
      </c>
      <c r="B10785" s="330" t="s">
        <v>55141</v>
      </c>
      <c r="C10785" s="330" t="s">
        <v>23767</v>
      </c>
      <c r="D10785" s="330" t="s">
        <v>23768</v>
      </c>
      <c r="E10785" s="330" t="s">
        <v>4634</v>
      </c>
      <c r="F10785" s="331">
        <v>0.21</v>
      </c>
      <c r="G10785" s="332">
        <v>254</v>
      </c>
      <c r="H10785" s="333">
        <v>308</v>
      </c>
    </row>
    <row r="10786" spans="1:8">
      <c r="A10786" s="317">
        <v>2604613004</v>
      </c>
      <c r="B10786" s="330" t="s">
        <v>55142</v>
      </c>
      <c r="C10786" s="330" t="s">
        <v>23769</v>
      </c>
      <c r="D10786" s="330" t="s">
        <v>7818</v>
      </c>
      <c r="E10786" s="330" t="s">
        <v>4634</v>
      </c>
      <c r="F10786" s="331">
        <v>0.21</v>
      </c>
      <c r="G10786" s="332">
        <v>580</v>
      </c>
      <c r="H10786" s="333">
        <v>702</v>
      </c>
    </row>
    <row r="10787" spans="1:8">
      <c r="A10787" s="317">
        <v>2604616002</v>
      </c>
      <c r="B10787" s="330" t="s">
        <v>55143</v>
      </c>
      <c r="C10787" s="330" t="s">
        <v>23770</v>
      </c>
      <c r="D10787" s="330" t="s">
        <v>23771</v>
      </c>
      <c r="E10787" s="330" t="s">
        <v>4634</v>
      </c>
      <c r="F10787" s="331">
        <v>0.21</v>
      </c>
      <c r="G10787" s="332">
        <v>254</v>
      </c>
      <c r="H10787" s="333">
        <v>308</v>
      </c>
    </row>
    <row r="10788" spans="1:8">
      <c r="A10788" s="317">
        <v>2604616005</v>
      </c>
      <c r="B10788" s="330" t="s">
        <v>55144</v>
      </c>
      <c r="C10788" s="330" t="s">
        <v>23772</v>
      </c>
      <c r="D10788" s="330" t="s">
        <v>23764</v>
      </c>
      <c r="E10788" s="330" t="s">
        <v>4634</v>
      </c>
      <c r="F10788" s="331">
        <v>0.21</v>
      </c>
      <c r="G10788" s="332">
        <v>584</v>
      </c>
      <c r="H10788" s="333">
        <v>707</v>
      </c>
    </row>
    <row r="10789" spans="1:8">
      <c r="A10789" s="317">
        <v>2604616006</v>
      </c>
      <c r="B10789" s="330" t="s">
        <v>55145</v>
      </c>
      <c r="C10789" s="330" t="s">
        <v>23773</v>
      </c>
      <c r="D10789" s="330" t="s">
        <v>6179</v>
      </c>
      <c r="E10789" s="330" t="s">
        <v>37248</v>
      </c>
      <c r="F10789" s="331">
        <v>0.21</v>
      </c>
      <c r="G10789" s="332">
        <v>1353</v>
      </c>
      <c r="H10789" s="333">
        <v>1638</v>
      </c>
    </row>
    <row r="10790" spans="1:8">
      <c r="A10790" s="317">
        <v>2604616013</v>
      </c>
      <c r="B10790" s="330" t="s">
        <v>55146</v>
      </c>
      <c r="C10790" s="330" t="s">
        <v>23774</v>
      </c>
      <c r="D10790" s="330" t="s">
        <v>23775</v>
      </c>
      <c r="E10790" s="330" t="s">
        <v>4819</v>
      </c>
      <c r="F10790" s="331">
        <v>0.21</v>
      </c>
      <c r="G10790" s="332">
        <v>2330</v>
      </c>
      <c r="H10790" s="333">
        <v>2820</v>
      </c>
    </row>
    <row r="10791" spans="1:8">
      <c r="A10791" s="317">
        <v>2604616014</v>
      </c>
      <c r="B10791" s="330" t="s">
        <v>55147</v>
      </c>
      <c r="C10791" s="330" t="s">
        <v>23776</v>
      </c>
      <c r="D10791" s="330" t="s">
        <v>23777</v>
      </c>
      <c r="E10791" s="330" t="s">
        <v>4819</v>
      </c>
      <c r="F10791" s="331">
        <v>0.21</v>
      </c>
      <c r="G10791" s="332">
        <v>1610</v>
      </c>
      <c r="H10791" s="333">
        <v>1949</v>
      </c>
    </row>
    <row r="10792" spans="1:8">
      <c r="A10792" s="317">
        <v>2604617000</v>
      </c>
      <c r="B10792" s="330" t="s">
        <v>55148</v>
      </c>
      <c r="C10792" s="330" t="s">
        <v>23778</v>
      </c>
      <c r="D10792" s="330" t="s">
        <v>23779</v>
      </c>
      <c r="E10792" s="330" t="s">
        <v>4634</v>
      </c>
      <c r="F10792" s="331">
        <v>0.21</v>
      </c>
      <c r="G10792" s="332">
        <v>387</v>
      </c>
      <c r="H10792" s="333">
        <v>469</v>
      </c>
    </row>
    <row r="10793" spans="1:8">
      <c r="A10793" s="317">
        <v>2604617001</v>
      </c>
      <c r="B10793" s="330" t="s">
        <v>55149</v>
      </c>
      <c r="C10793" s="330" t="s">
        <v>23780</v>
      </c>
      <c r="D10793" s="330" t="s">
        <v>23781</v>
      </c>
      <c r="E10793" s="330" t="s">
        <v>4634</v>
      </c>
      <c r="F10793" s="331">
        <v>0.21</v>
      </c>
      <c r="G10793" s="332">
        <v>519</v>
      </c>
      <c r="H10793" s="333">
        <v>628</v>
      </c>
    </row>
    <row r="10794" spans="1:8">
      <c r="A10794" s="317">
        <v>2604617002</v>
      </c>
      <c r="B10794" s="330" t="s">
        <v>55150</v>
      </c>
      <c r="C10794" s="330" t="s">
        <v>23782</v>
      </c>
      <c r="D10794" s="330" t="s">
        <v>23783</v>
      </c>
      <c r="E10794" s="330" t="s">
        <v>4634</v>
      </c>
      <c r="F10794" s="331">
        <v>0.21</v>
      </c>
      <c r="G10794" s="332">
        <v>372</v>
      </c>
      <c r="H10794" s="333">
        <v>451</v>
      </c>
    </row>
    <row r="10795" spans="1:8">
      <c r="A10795" s="317">
        <v>2604617004</v>
      </c>
      <c r="B10795" s="330" t="s">
        <v>55151</v>
      </c>
      <c r="C10795" s="330" t="s">
        <v>23784</v>
      </c>
      <c r="D10795" s="330" t="s">
        <v>23785</v>
      </c>
      <c r="E10795" s="330" t="s">
        <v>4819</v>
      </c>
      <c r="F10795" s="331">
        <v>0.21</v>
      </c>
      <c r="G10795" s="332">
        <v>2875</v>
      </c>
      <c r="H10795" s="333">
        <v>3479</v>
      </c>
    </row>
    <row r="10796" spans="1:8">
      <c r="A10796" s="317">
        <v>2604617005</v>
      </c>
      <c r="B10796" s="330" t="s">
        <v>55152</v>
      </c>
      <c r="C10796" s="330" t="s">
        <v>23786</v>
      </c>
      <c r="D10796" s="330" t="s">
        <v>23787</v>
      </c>
      <c r="E10796" s="330" t="s">
        <v>4634</v>
      </c>
      <c r="F10796" s="331">
        <v>0.21</v>
      </c>
      <c r="G10796" s="332">
        <v>372</v>
      </c>
      <c r="H10796" s="333">
        <v>451</v>
      </c>
    </row>
    <row r="10797" spans="1:8">
      <c r="A10797" s="317">
        <v>2604617006</v>
      </c>
      <c r="B10797" s="330" t="s">
        <v>55153</v>
      </c>
      <c r="C10797" s="330" t="s">
        <v>23788</v>
      </c>
      <c r="D10797" s="330" t="s">
        <v>23789</v>
      </c>
      <c r="E10797" s="330" t="s">
        <v>4634</v>
      </c>
      <c r="F10797" s="331">
        <v>0.21</v>
      </c>
      <c r="G10797" s="332">
        <v>372</v>
      </c>
      <c r="H10797" s="333">
        <v>451</v>
      </c>
    </row>
    <row r="10798" spans="1:8">
      <c r="A10798" s="317">
        <v>2604618014</v>
      </c>
      <c r="B10798" s="330" t="s">
        <v>55154</v>
      </c>
      <c r="C10798" s="330" t="s">
        <v>23790</v>
      </c>
      <c r="D10798" s="330" t="s">
        <v>7818</v>
      </c>
      <c r="E10798" s="330" t="s">
        <v>37248</v>
      </c>
      <c r="F10798" s="331">
        <v>0.21</v>
      </c>
      <c r="G10798" s="332">
        <v>305</v>
      </c>
      <c r="H10798" s="333">
        <v>370</v>
      </c>
    </row>
    <row r="10799" spans="1:8">
      <c r="A10799" s="317">
        <v>2604618015</v>
      </c>
      <c r="B10799" s="330" t="s">
        <v>55155</v>
      </c>
      <c r="C10799" s="330" t="s">
        <v>23791</v>
      </c>
      <c r="D10799" s="330" t="s">
        <v>7818</v>
      </c>
      <c r="E10799" s="330" t="s">
        <v>37248</v>
      </c>
      <c r="F10799" s="331">
        <v>0.21</v>
      </c>
      <c r="G10799" s="332">
        <v>305</v>
      </c>
      <c r="H10799" s="333">
        <v>370</v>
      </c>
    </row>
    <row r="10800" spans="1:8">
      <c r="A10800" s="317">
        <v>2604618020</v>
      </c>
      <c r="B10800" s="330" t="s">
        <v>55156</v>
      </c>
      <c r="C10800" s="330" t="s">
        <v>23792</v>
      </c>
      <c r="D10800" s="330" t="s">
        <v>6179</v>
      </c>
      <c r="E10800" s="330" t="s">
        <v>37248</v>
      </c>
      <c r="F10800" s="331">
        <v>0.21</v>
      </c>
      <c r="G10800" s="332">
        <v>240</v>
      </c>
      <c r="H10800" s="333">
        <v>291</v>
      </c>
    </row>
    <row r="10801" spans="1:8">
      <c r="A10801" s="317">
        <v>2604618021</v>
      </c>
      <c r="B10801" s="330" t="s">
        <v>55157</v>
      </c>
      <c r="C10801" s="330" t="s">
        <v>23793</v>
      </c>
      <c r="D10801" s="330" t="s">
        <v>6179</v>
      </c>
      <c r="E10801" s="330" t="s">
        <v>37248</v>
      </c>
      <c r="F10801" s="331">
        <v>0.21</v>
      </c>
      <c r="G10801" s="332">
        <v>240</v>
      </c>
      <c r="H10801" s="333">
        <v>291</v>
      </c>
    </row>
    <row r="10802" spans="1:8">
      <c r="A10802" s="317">
        <v>2604619009</v>
      </c>
      <c r="B10802" s="330" t="s">
        <v>55158</v>
      </c>
      <c r="C10802" s="330" t="s">
        <v>23794</v>
      </c>
      <c r="D10802" s="330" t="s">
        <v>23795</v>
      </c>
      <c r="E10802" s="330" t="s">
        <v>4634</v>
      </c>
      <c r="F10802" s="331">
        <v>0.21</v>
      </c>
      <c r="G10802" s="332">
        <v>678</v>
      </c>
      <c r="H10802" s="333">
        <v>821</v>
      </c>
    </row>
    <row r="10803" spans="1:8">
      <c r="A10803" s="317">
        <v>2604619013</v>
      </c>
      <c r="B10803" s="330" t="s">
        <v>55159</v>
      </c>
      <c r="C10803" s="330" t="s">
        <v>23796</v>
      </c>
      <c r="D10803" s="330" t="s">
        <v>23797</v>
      </c>
      <c r="E10803" s="330" t="s">
        <v>4634</v>
      </c>
      <c r="F10803" s="331">
        <v>0.21</v>
      </c>
      <c r="G10803" s="332">
        <v>372</v>
      </c>
      <c r="H10803" s="333">
        <v>451</v>
      </c>
    </row>
    <row r="10804" spans="1:8">
      <c r="A10804" s="317">
        <v>2604619016</v>
      </c>
      <c r="B10804" s="330" t="s">
        <v>55160</v>
      </c>
      <c r="C10804" s="330" t="s">
        <v>23798</v>
      </c>
      <c r="D10804" s="330" t="s">
        <v>23731</v>
      </c>
      <c r="E10804" s="330" t="s">
        <v>4634</v>
      </c>
      <c r="F10804" s="331">
        <v>0.21</v>
      </c>
      <c r="G10804" s="332">
        <v>791</v>
      </c>
      <c r="H10804" s="333">
        <v>958</v>
      </c>
    </row>
    <row r="10805" spans="1:8">
      <c r="A10805" s="317">
        <v>2604630000</v>
      </c>
      <c r="B10805" s="330" t="s">
        <v>55161</v>
      </c>
      <c r="C10805" s="330" t="s">
        <v>23799</v>
      </c>
      <c r="D10805" s="330" t="s">
        <v>7991</v>
      </c>
      <c r="E10805" s="330" t="s">
        <v>4634</v>
      </c>
      <c r="F10805" s="331">
        <v>0.21</v>
      </c>
      <c r="G10805" s="332">
        <v>372</v>
      </c>
      <c r="H10805" s="333">
        <v>451</v>
      </c>
    </row>
    <row r="10806" spans="1:8">
      <c r="A10806" s="317">
        <v>2604630001</v>
      </c>
      <c r="B10806" s="330" t="s">
        <v>55162</v>
      </c>
      <c r="C10806" s="330" t="s">
        <v>23800</v>
      </c>
      <c r="D10806" s="330" t="s">
        <v>23801</v>
      </c>
      <c r="E10806" s="330" t="s">
        <v>4634</v>
      </c>
      <c r="F10806" s="331">
        <v>0.21</v>
      </c>
      <c r="G10806" s="332">
        <v>1505</v>
      </c>
      <c r="H10806" s="333">
        <v>1822</v>
      </c>
    </row>
    <row r="10807" spans="1:8">
      <c r="A10807" s="317">
        <v>2604630002</v>
      </c>
      <c r="B10807" s="330" t="s">
        <v>55163</v>
      </c>
      <c r="C10807" s="330" t="s">
        <v>23802</v>
      </c>
      <c r="D10807" s="330" t="s">
        <v>23803</v>
      </c>
      <c r="E10807" s="330" t="s">
        <v>4819</v>
      </c>
      <c r="F10807" s="331">
        <v>0.21</v>
      </c>
      <c r="G10807" s="332">
        <v>2094</v>
      </c>
      <c r="H10807" s="333">
        <v>2534</v>
      </c>
    </row>
    <row r="10808" spans="1:8">
      <c r="A10808" s="317">
        <v>2604651007</v>
      </c>
      <c r="B10808" s="330" t="s">
        <v>55164</v>
      </c>
      <c r="C10808" s="330" t="s">
        <v>23804</v>
      </c>
      <c r="D10808" s="330" t="s">
        <v>23805</v>
      </c>
      <c r="E10808" s="330" t="s">
        <v>4634</v>
      </c>
      <c r="F10808" s="331">
        <v>0.21</v>
      </c>
      <c r="G10808" s="332">
        <v>432</v>
      </c>
      <c r="H10808" s="333">
        <v>523</v>
      </c>
    </row>
    <row r="10809" spans="1:8">
      <c r="A10809" s="317">
        <v>2604651009</v>
      </c>
      <c r="B10809" s="330" t="s">
        <v>55165</v>
      </c>
      <c r="C10809" s="330" t="s">
        <v>23806</v>
      </c>
      <c r="D10809" s="330" t="s">
        <v>23807</v>
      </c>
      <c r="E10809" s="330" t="s">
        <v>4634</v>
      </c>
      <c r="F10809" s="331">
        <v>0.21</v>
      </c>
      <c r="G10809" s="332">
        <v>372</v>
      </c>
      <c r="H10809" s="333">
        <v>451</v>
      </c>
    </row>
    <row r="10810" spans="1:8">
      <c r="A10810" s="317">
        <v>2604651011</v>
      </c>
      <c r="B10810" s="330" t="s">
        <v>55166</v>
      </c>
      <c r="C10810" s="330" t="s">
        <v>23808</v>
      </c>
      <c r="D10810" s="330" t="s">
        <v>23809</v>
      </c>
      <c r="E10810" s="330" t="s">
        <v>4634</v>
      </c>
      <c r="F10810" s="331">
        <v>0.21</v>
      </c>
      <c r="G10810" s="332">
        <v>432</v>
      </c>
      <c r="H10810" s="333">
        <v>523</v>
      </c>
    </row>
    <row r="10811" spans="1:8">
      <c r="A10811" s="317">
        <v>2604651016</v>
      </c>
      <c r="B10811" s="330" t="s">
        <v>55167</v>
      </c>
      <c r="C10811" s="330" t="s">
        <v>23810</v>
      </c>
      <c r="D10811" s="330" t="s">
        <v>23811</v>
      </c>
      <c r="E10811" s="330" t="s">
        <v>4819</v>
      </c>
      <c r="F10811" s="331">
        <v>0.21</v>
      </c>
      <c r="G10811" s="332">
        <v>1505</v>
      </c>
      <c r="H10811" s="333">
        <v>1822</v>
      </c>
    </row>
    <row r="10812" spans="1:8">
      <c r="A10812" s="317">
        <v>2604651020</v>
      </c>
      <c r="B10812" s="330" t="s">
        <v>55168</v>
      </c>
      <c r="C10812" s="330" t="s">
        <v>23812</v>
      </c>
      <c r="D10812" s="330" t="s">
        <v>23813</v>
      </c>
      <c r="E10812" s="330" t="s">
        <v>4634</v>
      </c>
      <c r="F10812" s="331">
        <v>0.21</v>
      </c>
      <c r="G10812" s="332">
        <v>432</v>
      </c>
      <c r="H10812" s="333">
        <v>523</v>
      </c>
    </row>
    <row r="10813" spans="1:8">
      <c r="A10813" s="317">
        <v>2604651026</v>
      </c>
      <c r="B10813" s="330" t="s">
        <v>55169</v>
      </c>
      <c r="C10813" s="330" t="s">
        <v>23814</v>
      </c>
      <c r="D10813" s="330" t="s">
        <v>21427</v>
      </c>
      <c r="E10813" s="330" t="s">
        <v>37248</v>
      </c>
      <c r="F10813" s="331">
        <v>0.21</v>
      </c>
      <c r="G10813" s="332">
        <v>3988</v>
      </c>
      <c r="H10813" s="333">
        <v>4826</v>
      </c>
    </row>
    <row r="10814" spans="1:8">
      <c r="A10814" s="317">
        <v>2604651034</v>
      </c>
      <c r="B10814" s="330" t="s">
        <v>55170</v>
      </c>
      <c r="C10814" s="330" t="s">
        <v>23815</v>
      </c>
      <c r="D10814" s="330" t="s">
        <v>12410</v>
      </c>
      <c r="E10814" s="330" t="s">
        <v>37248</v>
      </c>
      <c r="F10814" s="331">
        <v>0.21</v>
      </c>
      <c r="G10814" s="332">
        <v>240</v>
      </c>
      <c r="H10814" s="333">
        <v>291</v>
      </c>
    </row>
    <row r="10815" spans="1:8">
      <c r="A10815" s="317">
        <v>2604652000</v>
      </c>
      <c r="B10815" s="330" t="s">
        <v>55171</v>
      </c>
      <c r="C10815" s="330" t="s">
        <v>23816</v>
      </c>
      <c r="D10815" s="330" t="s">
        <v>23754</v>
      </c>
      <c r="E10815" s="330" t="s">
        <v>4634</v>
      </c>
      <c r="F10815" s="331">
        <v>0.21</v>
      </c>
      <c r="G10815" s="332">
        <v>236</v>
      </c>
      <c r="H10815" s="333">
        <v>286</v>
      </c>
    </row>
    <row r="10816" spans="1:8">
      <c r="A10816" s="317">
        <v>2604652009</v>
      </c>
      <c r="B10816" s="330" t="s">
        <v>55172</v>
      </c>
      <c r="C10816" s="330" t="s">
        <v>23817</v>
      </c>
      <c r="D10816" s="330" t="s">
        <v>23818</v>
      </c>
      <c r="E10816" s="330" t="s">
        <v>37248</v>
      </c>
      <c r="F10816" s="331">
        <v>0.21</v>
      </c>
      <c r="G10816" s="332">
        <v>2935</v>
      </c>
      <c r="H10816" s="333">
        <v>3552</v>
      </c>
    </row>
    <row r="10817" spans="1:8">
      <c r="A10817" s="317">
        <v>2604680000</v>
      </c>
      <c r="B10817" s="330" t="s">
        <v>55173</v>
      </c>
      <c r="C10817" s="330" t="s">
        <v>23819</v>
      </c>
      <c r="D10817" s="330" t="s">
        <v>23820</v>
      </c>
      <c r="E10817" s="330" t="s">
        <v>4634</v>
      </c>
      <c r="F10817" s="331">
        <v>0.21</v>
      </c>
      <c r="G10817" s="332">
        <v>372</v>
      </c>
      <c r="H10817" s="333">
        <v>451</v>
      </c>
    </row>
    <row r="10818" spans="1:8">
      <c r="A10818" s="317">
        <v>2604680002</v>
      </c>
      <c r="B10818" s="330" t="s">
        <v>55174</v>
      </c>
      <c r="C10818" s="330" t="s">
        <v>23821</v>
      </c>
      <c r="D10818" s="330" t="s">
        <v>23822</v>
      </c>
      <c r="E10818" s="330" t="s">
        <v>4634</v>
      </c>
      <c r="F10818" s="331">
        <v>0.21</v>
      </c>
      <c r="G10818" s="332">
        <v>372</v>
      </c>
      <c r="H10818" s="333">
        <v>451</v>
      </c>
    </row>
    <row r="10819" spans="1:8">
      <c r="A10819" s="317">
        <v>2604681001</v>
      </c>
      <c r="B10819" s="330" t="s">
        <v>55175</v>
      </c>
      <c r="C10819" s="330" t="s">
        <v>23823</v>
      </c>
      <c r="D10819" s="330" t="s">
        <v>23824</v>
      </c>
      <c r="E10819" s="330" t="s">
        <v>4634</v>
      </c>
      <c r="F10819" s="331">
        <v>0.21</v>
      </c>
      <c r="G10819" s="332">
        <v>372</v>
      </c>
      <c r="H10819" s="333">
        <v>451</v>
      </c>
    </row>
    <row r="10820" spans="1:8">
      <c r="A10820" s="317">
        <v>2604682001</v>
      </c>
      <c r="B10820" s="330" t="s">
        <v>55176</v>
      </c>
      <c r="C10820" s="330" t="s">
        <v>23825</v>
      </c>
      <c r="D10820" s="330" t="s">
        <v>23826</v>
      </c>
      <c r="E10820" s="330" t="s">
        <v>4634</v>
      </c>
      <c r="F10820" s="331">
        <v>0.21</v>
      </c>
      <c r="G10820" s="332">
        <v>2500</v>
      </c>
      <c r="H10820" s="333">
        <v>3025</v>
      </c>
    </row>
    <row r="10821" spans="1:8">
      <c r="A10821" s="317">
        <v>2604690007</v>
      </c>
      <c r="B10821" s="330" t="s">
        <v>55177</v>
      </c>
      <c r="C10821" s="330" t="s">
        <v>23827</v>
      </c>
      <c r="D10821" s="330" t="s">
        <v>22177</v>
      </c>
      <c r="E10821" s="330" t="s">
        <v>4634</v>
      </c>
      <c r="F10821" s="331">
        <v>0.21</v>
      </c>
      <c r="G10821" s="332">
        <v>541</v>
      </c>
      <c r="H10821" s="333">
        <v>655</v>
      </c>
    </row>
    <row r="10822" spans="1:8">
      <c r="A10822" s="317">
        <v>2604690022</v>
      </c>
      <c r="B10822" s="330" t="s">
        <v>55178</v>
      </c>
      <c r="C10822" s="330" t="s">
        <v>23828</v>
      </c>
      <c r="D10822" s="330" t="s">
        <v>23829</v>
      </c>
      <c r="E10822" s="330" t="s">
        <v>4634</v>
      </c>
      <c r="F10822" s="331">
        <v>0.21</v>
      </c>
      <c r="G10822" s="332">
        <v>432</v>
      </c>
      <c r="H10822" s="333">
        <v>523</v>
      </c>
    </row>
    <row r="10823" spans="1:8">
      <c r="A10823" s="317">
        <v>2604690026</v>
      </c>
      <c r="B10823" s="330" t="s">
        <v>55179</v>
      </c>
      <c r="C10823" s="330" t="s">
        <v>23830</v>
      </c>
      <c r="D10823" s="330" t="s">
        <v>23831</v>
      </c>
      <c r="E10823" s="330" t="s">
        <v>4634</v>
      </c>
      <c r="F10823" s="331">
        <v>0.21</v>
      </c>
      <c r="G10823" s="332">
        <v>274</v>
      </c>
      <c r="H10823" s="333">
        <v>332</v>
      </c>
    </row>
    <row r="10824" spans="1:8">
      <c r="A10824" s="317">
        <v>2604690043</v>
      </c>
      <c r="B10824" s="330" t="s">
        <v>55180</v>
      </c>
      <c r="C10824" s="330" t="s">
        <v>23832</v>
      </c>
      <c r="D10824" s="330" t="s">
        <v>23833</v>
      </c>
      <c r="E10824" s="330" t="s">
        <v>4634</v>
      </c>
      <c r="F10824" s="331">
        <v>0.21</v>
      </c>
      <c r="G10824" s="332">
        <v>274</v>
      </c>
      <c r="H10824" s="333">
        <v>332</v>
      </c>
    </row>
    <row r="10825" spans="1:8">
      <c r="A10825" s="317">
        <v>2604690055</v>
      </c>
      <c r="B10825" s="330" t="s">
        <v>55181</v>
      </c>
      <c r="C10825" s="330" t="s">
        <v>23834</v>
      </c>
      <c r="D10825" s="330" t="s">
        <v>6179</v>
      </c>
      <c r="E10825" s="330" t="s">
        <v>4819</v>
      </c>
      <c r="F10825" s="331">
        <v>0.21</v>
      </c>
      <c r="G10825" s="332">
        <v>1164</v>
      </c>
      <c r="H10825" s="333">
        <v>1409</v>
      </c>
    </row>
    <row r="10826" spans="1:8">
      <c r="A10826" s="317">
        <v>2604690056</v>
      </c>
      <c r="B10826" s="330" t="s">
        <v>55182</v>
      </c>
      <c r="C10826" s="330" t="s">
        <v>23835</v>
      </c>
      <c r="D10826" s="330" t="s">
        <v>23836</v>
      </c>
      <c r="E10826" s="330" t="s">
        <v>4819</v>
      </c>
      <c r="F10826" s="331">
        <v>0.21</v>
      </c>
      <c r="G10826" s="332">
        <v>2900</v>
      </c>
      <c r="H10826" s="333">
        <v>3509</v>
      </c>
    </row>
    <row r="10827" spans="1:8">
      <c r="A10827" s="317">
        <v>2604690067</v>
      </c>
      <c r="B10827" s="330" t="s">
        <v>55183</v>
      </c>
      <c r="C10827" s="330" t="s">
        <v>23837</v>
      </c>
      <c r="D10827" s="330" t="s">
        <v>12410</v>
      </c>
      <c r="E10827" s="330" t="s">
        <v>37248</v>
      </c>
      <c r="F10827" s="331">
        <v>0.21</v>
      </c>
      <c r="G10827" s="332">
        <v>240</v>
      </c>
      <c r="H10827" s="333">
        <v>291</v>
      </c>
    </row>
    <row r="10828" spans="1:8">
      <c r="A10828" s="317">
        <v>2604735002</v>
      </c>
      <c r="B10828" s="330" t="s">
        <v>55184</v>
      </c>
      <c r="C10828" s="330" t="s">
        <v>23838</v>
      </c>
      <c r="D10828" s="330" t="s">
        <v>23839</v>
      </c>
      <c r="E10828" s="330" t="s">
        <v>4634</v>
      </c>
      <c r="F10828" s="331">
        <v>0.21</v>
      </c>
      <c r="G10828" s="332">
        <v>4115</v>
      </c>
      <c r="H10828" s="333">
        <v>4980</v>
      </c>
    </row>
    <row r="10829" spans="1:8">
      <c r="A10829" s="317">
        <v>2604736001</v>
      </c>
      <c r="B10829" s="330" t="s">
        <v>55185</v>
      </c>
      <c r="C10829" s="330" t="s">
        <v>23840</v>
      </c>
      <c r="D10829" s="330" t="s">
        <v>23841</v>
      </c>
      <c r="E10829" s="330" t="s">
        <v>37248</v>
      </c>
      <c r="F10829" s="331">
        <v>0.21</v>
      </c>
      <c r="G10829" s="332">
        <v>12857</v>
      </c>
      <c r="H10829" s="333">
        <v>15557</v>
      </c>
    </row>
    <row r="10830" spans="1:8">
      <c r="A10830" s="317">
        <v>2604736003</v>
      </c>
      <c r="B10830" s="330" t="s">
        <v>55186</v>
      </c>
      <c r="C10830" s="330" t="s">
        <v>23842</v>
      </c>
      <c r="D10830" s="330" t="s">
        <v>23843</v>
      </c>
      <c r="E10830" s="330" t="s">
        <v>4819</v>
      </c>
      <c r="F10830" s="331">
        <v>0.21</v>
      </c>
      <c r="G10830" s="332">
        <v>10698</v>
      </c>
      <c r="H10830" s="333">
        <v>12945</v>
      </c>
    </row>
    <row r="10831" spans="1:8">
      <c r="A10831" s="317">
        <v>2604736004</v>
      </c>
      <c r="B10831" s="330" t="s">
        <v>55187</v>
      </c>
      <c r="C10831" s="330" t="s">
        <v>23844</v>
      </c>
      <c r="D10831" s="330" t="s">
        <v>23845</v>
      </c>
      <c r="E10831" s="330" t="s">
        <v>37248</v>
      </c>
      <c r="F10831" s="331">
        <v>0.21</v>
      </c>
      <c r="G10831" s="332">
        <v>12335</v>
      </c>
      <c r="H10831" s="333">
        <v>14926</v>
      </c>
    </row>
    <row r="10832" spans="1:8">
      <c r="A10832" s="317">
        <v>2604736018</v>
      </c>
      <c r="B10832" s="330" t="s">
        <v>55188</v>
      </c>
      <c r="C10832" s="330" t="s">
        <v>23846</v>
      </c>
      <c r="D10832" s="330" t="s">
        <v>23847</v>
      </c>
      <c r="E10832" s="330" t="s">
        <v>37248</v>
      </c>
      <c r="F10832" s="331">
        <v>0.21</v>
      </c>
      <c r="G10832" s="332">
        <v>890</v>
      </c>
      <c r="H10832" s="333">
        <v>1077</v>
      </c>
    </row>
    <row r="10833" spans="1:8">
      <c r="A10833" s="317">
        <v>2605104116</v>
      </c>
      <c r="B10833" s="330" t="s">
        <v>55189</v>
      </c>
      <c r="C10833" s="330" t="s">
        <v>23848</v>
      </c>
      <c r="D10833" s="330" t="s">
        <v>23849</v>
      </c>
      <c r="E10833" s="330" t="s">
        <v>4634</v>
      </c>
      <c r="F10833" s="331">
        <v>0.21</v>
      </c>
      <c r="G10833" s="332">
        <v>2436</v>
      </c>
      <c r="H10833" s="333">
        <v>2948</v>
      </c>
    </row>
    <row r="10834" spans="1:8">
      <c r="A10834" s="317">
        <v>2605104142</v>
      </c>
      <c r="B10834" s="330" t="s">
        <v>55190</v>
      </c>
      <c r="C10834" s="330" t="s">
        <v>23850</v>
      </c>
      <c r="D10834" s="330" t="s">
        <v>23851</v>
      </c>
      <c r="E10834" s="330" t="s">
        <v>4634</v>
      </c>
      <c r="F10834" s="331">
        <v>0.21</v>
      </c>
      <c r="G10834" s="332">
        <v>5819</v>
      </c>
      <c r="H10834" s="333">
        <v>7041</v>
      </c>
    </row>
    <row r="10835" spans="1:8">
      <c r="A10835" s="317">
        <v>2605104180</v>
      </c>
      <c r="B10835" s="330" t="s">
        <v>55191</v>
      </c>
      <c r="C10835" s="330" t="s">
        <v>23852</v>
      </c>
      <c r="D10835" s="330" t="s">
        <v>23853</v>
      </c>
      <c r="E10835" s="330" t="s">
        <v>4634</v>
      </c>
      <c r="F10835" s="331">
        <v>0.21</v>
      </c>
      <c r="G10835" s="332">
        <v>7250</v>
      </c>
      <c r="H10835" s="333">
        <v>8773</v>
      </c>
    </row>
    <row r="10836" spans="1:8">
      <c r="A10836" s="317">
        <v>2605104214</v>
      </c>
      <c r="B10836" s="330" t="s">
        <v>55192</v>
      </c>
      <c r="C10836" s="330" t="s">
        <v>23854</v>
      </c>
      <c r="D10836" s="330" t="s">
        <v>23855</v>
      </c>
      <c r="E10836" s="330" t="s">
        <v>4634</v>
      </c>
      <c r="F10836" s="331">
        <v>0.21</v>
      </c>
      <c r="G10836" s="332">
        <v>12815</v>
      </c>
      <c r="H10836" s="333">
        <v>15507</v>
      </c>
    </row>
    <row r="10837" spans="1:8">
      <c r="A10837" s="317">
        <v>2605104215</v>
      </c>
      <c r="B10837" s="330" t="s">
        <v>55193</v>
      </c>
      <c r="C10837" s="330" t="s">
        <v>23856</v>
      </c>
      <c r="D10837" s="330" t="s">
        <v>23857</v>
      </c>
      <c r="E10837" s="330" t="s">
        <v>4634</v>
      </c>
      <c r="F10837" s="331">
        <v>0.21</v>
      </c>
      <c r="G10837" s="332">
        <v>6085</v>
      </c>
      <c r="H10837" s="333">
        <v>7363</v>
      </c>
    </row>
    <row r="10838" spans="1:8">
      <c r="A10838" s="317">
        <v>2605104227</v>
      </c>
      <c r="B10838" s="330" t="s">
        <v>55194</v>
      </c>
      <c r="C10838" s="330" t="s">
        <v>23858</v>
      </c>
      <c r="D10838" s="330" t="s">
        <v>5822</v>
      </c>
      <c r="E10838" s="330" t="s">
        <v>4634</v>
      </c>
      <c r="F10838" s="331">
        <v>0.21</v>
      </c>
      <c r="G10838" s="332">
        <v>8579</v>
      </c>
      <c r="H10838" s="333">
        <v>10381</v>
      </c>
    </row>
    <row r="10839" spans="1:8">
      <c r="A10839" s="317">
        <v>2605104238</v>
      </c>
      <c r="B10839" s="330" t="s">
        <v>55195</v>
      </c>
      <c r="C10839" s="330" t="s">
        <v>23859</v>
      </c>
      <c r="D10839" s="330" t="s">
        <v>5822</v>
      </c>
      <c r="E10839" s="330" t="s">
        <v>4634</v>
      </c>
      <c r="F10839" s="331">
        <v>0.21</v>
      </c>
      <c r="G10839" s="332">
        <v>2801</v>
      </c>
      <c r="H10839" s="333">
        <v>3390</v>
      </c>
    </row>
    <row r="10840" spans="1:8">
      <c r="A10840" s="317">
        <v>2605104253</v>
      </c>
      <c r="B10840" s="330" t="s">
        <v>55196</v>
      </c>
      <c r="C10840" s="330" t="s">
        <v>23860</v>
      </c>
      <c r="D10840" s="330" t="s">
        <v>23861</v>
      </c>
      <c r="E10840" s="330" t="s">
        <v>4634</v>
      </c>
      <c r="F10840" s="331">
        <v>0.21</v>
      </c>
      <c r="G10840" s="332">
        <v>2330</v>
      </c>
      <c r="H10840" s="333">
        <v>2820</v>
      </c>
    </row>
    <row r="10841" spans="1:8">
      <c r="A10841" s="317">
        <v>2605104254</v>
      </c>
      <c r="B10841" s="330" t="s">
        <v>55197</v>
      </c>
      <c r="C10841" s="330" t="s">
        <v>23862</v>
      </c>
      <c r="D10841" s="330" t="s">
        <v>23863</v>
      </c>
      <c r="E10841" s="330" t="s">
        <v>4634</v>
      </c>
      <c r="F10841" s="331">
        <v>0.21</v>
      </c>
      <c r="G10841" s="332">
        <v>4737</v>
      </c>
      <c r="H10841" s="333">
        <v>5732</v>
      </c>
    </row>
    <row r="10842" spans="1:8">
      <c r="A10842" s="317">
        <v>2605104270</v>
      </c>
      <c r="B10842" s="330" t="s">
        <v>55198</v>
      </c>
      <c r="C10842" s="330" t="s">
        <v>23864</v>
      </c>
      <c r="D10842" s="330" t="s">
        <v>23865</v>
      </c>
      <c r="E10842" s="330" t="s">
        <v>4634</v>
      </c>
      <c r="F10842" s="331">
        <v>0.21</v>
      </c>
      <c r="G10842" s="332">
        <v>5819</v>
      </c>
      <c r="H10842" s="333">
        <v>7041</v>
      </c>
    </row>
    <row r="10843" spans="1:8">
      <c r="A10843" s="317">
        <v>2605104309</v>
      </c>
      <c r="B10843" s="330" t="s">
        <v>55199</v>
      </c>
      <c r="C10843" s="330" t="s">
        <v>23866</v>
      </c>
      <c r="D10843" s="330" t="s">
        <v>23867</v>
      </c>
      <c r="E10843" s="330" t="s">
        <v>37248</v>
      </c>
      <c r="F10843" s="331">
        <v>0.21</v>
      </c>
      <c r="G10843" s="332">
        <v>39386</v>
      </c>
      <c r="H10843" s="333">
        <v>47658</v>
      </c>
    </row>
    <row r="10844" spans="1:8">
      <c r="A10844" s="317">
        <v>2605104316</v>
      </c>
      <c r="B10844" s="330" t="s">
        <v>55200</v>
      </c>
      <c r="C10844" s="330" t="s">
        <v>23868</v>
      </c>
      <c r="D10844" s="330" t="s">
        <v>5822</v>
      </c>
      <c r="E10844" s="330" t="s">
        <v>4634</v>
      </c>
      <c r="F10844" s="331">
        <v>0.21</v>
      </c>
      <c r="G10844" s="332">
        <v>4432</v>
      </c>
      <c r="H10844" s="333">
        <v>5363</v>
      </c>
    </row>
    <row r="10845" spans="1:8">
      <c r="A10845" s="317">
        <v>2605104332</v>
      </c>
      <c r="B10845" s="330" t="s">
        <v>55201</v>
      </c>
      <c r="C10845" s="330" t="s">
        <v>23869</v>
      </c>
      <c r="D10845" s="330" t="s">
        <v>23870</v>
      </c>
      <c r="E10845" s="330" t="s">
        <v>4634</v>
      </c>
      <c r="F10845" s="331">
        <v>0.21</v>
      </c>
      <c r="G10845" s="332">
        <v>25970</v>
      </c>
      <c r="H10845" s="333">
        <v>31424</v>
      </c>
    </row>
    <row r="10846" spans="1:8">
      <c r="A10846" s="317">
        <v>2605104338</v>
      </c>
      <c r="B10846" s="330" t="s">
        <v>55202</v>
      </c>
      <c r="C10846" s="330" t="s">
        <v>23871</v>
      </c>
      <c r="D10846" s="330" t="s">
        <v>23872</v>
      </c>
      <c r="E10846" s="330" t="s">
        <v>4634</v>
      </c>
      <c r="F10846" s="331">
        <v>0.21</v>
      </c>
      <c r="G10846" s="332">
        <v>3673</v>
      </c>
      <c r="H10846" s="333">
        <v>4445</v>
      </c>
    </row>
    <row r="10847" spans="1:8">
      <c r="A10847" s="317">
        <v>2605104339</v>
      </c>
      <c r="B10847" s="330" t="s">
        <v>55203</v>
      </c>
      <c r="C10847" s="330" t="s">
        <v>23873</v>
      </c>
      <c r="D10847" s="330" t="s">
        <v>23874</v>
      </c>
      <c r="E10847" s="330" t="s">
        <v>4634</v>
      </c>
      <c r="F10847" s="331">
        <v>0.21</v>
      </c>
      <c r="G10847" s="332">
        <v>3047</v>
      </c>
      <c r="H10847" s="333">
        <v>3687</v>
      </c>
    </row>
    <row r="10848" spans="1:8">
      <c r="A10848" s="317">
        <v>2605104344</v>
      </c>
      <c r="B10848" s="330" t="s">
        <v>55204</v>
      </c>
      <c r="C10848" s="330" t="s">
        <v>23875</v>
      </c>
      <c r="D10848" s="330" t="s">
        <v>23876</v>
      </c>
      <c r="E10848" s="330" t="s">
        <v>4634</v>
      </c>
      <c r="F10848" s="331">
        <v>0.21</v>
      </c>
      <c r="G10848" s="332">
        <v>4950</v>
      </c>
      <c r="H10848" s="333">
        <v>5990</v>
      </c>
    </row>
    <row r="10849" spans="1:8">
      <c r="A10849" s="317">
        <v>2605104375</v>
      </c>
      <c r="B10849" s="330" t="s">
        <v>55205</v>
      </c>
      <c r="C10849" s="330" t="s">
        <v>23877</v>
      </c>
      <c r="D10849" s="330" t="s">
        <v>23878</v>
      </c>
      <c r="E10849" s="330" t="s">
        <v>4634</v>
      </c>
      <c r="F10849" s="331">
        <v>0.21</v>
      </c>
      <c r="G10849" s="332">
        <v>1547</v>
      </c>
      <c r="H10849" s="333">
        <v>1872</v>
      </c>
    </row>
    <row r="10850" spans="1:8">
      <c r="A10850" s="317">
        <v>2605104388</v>
      </c>
      <c r="B10850" s="330" t="s">
        <v>55206</v>
      </c>
      <c r="C10850" s="330" t="s">
        <v>23879</v>
      </c>
      <c r="D10850" s="330" t="s">
        <v>23880</v>
      </c>
      <c r="E10850" s="330" t="s">
        <v>4634</v>
      </c>
      <c r="F10850" s="331">
        <v>0.21</v>
      </c>
      <c r="G10850" s="332">
        <v>5344</v>
      </c>
      <c r="H10850" s="333">
        <v>6467</v>
      </c>
    </row>
    <row r="10851" spans="1:8">
      <c r="A10851" s="317">
        <v>2605104408</v>
      </c>
      <c r="B10851" s="330" t="s">
        <v>55207</v>
      </c>
      <c r="C10851" s="330" t="s">
        <v>23881</v>
      </c>
      <c r="D10851" s="330" t="s">
        <v>23882</v>
      </c>
      <c r="E10851" s="330" t="s">
        <v>4634</v>
      </c>
      <c r="F10851" s="331">
        <v>0.21</v>
      </c>
      <c r="G10851" s="332">
        <v>3383</v>
      </c>
      <c r="H10851" s="333">
        <v>4094</v>
      </c>
    </row>
    <row r="10852" spans="1:8">
      <c r="A10852" s="317">
        <v>2605104410</v>
      </c>
      <c r="B10852" s="330" t="s">
        <v>55208</v>
      </c>
      <c r="C10852" s="330" t="s">
        <v>23883</v>
      </c>
      <c r="D10852" s="330" t="s">
        <v>23884</v>
      </c>
      <c r="E10852" s="330" t="s">
        <v>4819</v>
      </c>
      <c r="F10852" s="331">
        <v>0.21</v>
      </c>
      <c r="G10852" s="332">
        <v>23635</v>
      </c>
      <c r="H10852" s="333">
        <v>28599</v>
      </c>
    </row>
    <row r="10853" spans="1:8">
      <c r="A10853" s="317">
        <v>2605104424</v>
      </c>
      <c r="B10853" s="330" t="s">
        <v>55209</v>
      </c>
      <c r="C10853" s="330" t="s">
        <v>23885</v>
      </c>
      <c r="D10853" s="330" t="s">
        <v>23886</v>
      </c>
      <c r="E10853" s="330" t="s">
        <v>4634</v>
      </c>
      <c r="F10853" s="331">
        <v>0.21</v>
      </c>
      <c r="G10853" s="332">
        <v>3490</v>
      </c>
      <c r="H10853" s="333">
        <v>4223</v>
      </c>
    </row>
    <row r="10854" spans="1:8">
      <c r="A10854" s="317">
        <v>2605104436</v>
      </c>
      <c r="B10854" s="330" t="s">
        <v>55210</v>
      </c>
      <c r="C10854" s="330" t="s">
        <v>23887</v>
      </c>
      <c r="D10854" s="330" t="s">
        <v>5822</v>
      </c>
      <c r="E10854" s="330" t="s">
        <v>4634</v>
      </c>
      <c r="F10854" s="331">
        <v>0.21</v>
      </c>
      <c r="G10854" s="332">
        <v>6902</v>
      </c>
      <c r="H10854" s="333">
        <v>8352</v>
      </c>
    </row>
    <row r="10855" spans="1:8">
      <c r="A10855" s="317">
        <v>2605104437</v>
      </c>
      <c r="B10855" s="330" t="s">
        <v>55211</v>
      </c>
      <c r="C10855" s="330" t="s">
        <v>23888</v>
      </c>
      <c r="D10855" s="330" t="s">
        <v>23889</v>
      </c>
      <c r="E10855" s="330" t="s">
        <v>4634</v>
      </c>
      <c r="F10855" s="331">
        <v>0.21</v>
      </c>
      <c r="G10855" s="332">
        <v>7069</v>
      </c>
      <c r="H10855" s="333">
        <v>8554</v>
      </c>
    </row>
    <row r="10856" spans="1:8">
      <c r="A10856" s="317">
        <v>2605104438</v>
      </c>
      <c r="B10856" s="330" t="s">
        <v>55212</v>
      </c>
      <c r="C10856" s="330" t="s">
        <v>23890</v>
      </c>
      <c r="D10856" s="330" t="s">
        <v>23891</v>
      </c>
      <c r="E10856" s="330" t="s">
        <v>4634</v>
      </c>
      <c r="F10856" s="331">
        <v>0.21</v>
      </c>
      <c r="G10856" s="332">
        <v>3490</v>
      </c>
      <c r="H10856" s="333">
        <v>4223</v>
      </c>
    </row>
    <row r="10857" spans="1:8">
      <c r="A10857" s="317">
        <v>2605104442</v>
      </c>
      <c r="B10857" s="330" t="s">
        <v>55213</v>
      </c>
      <c r="C10857" s="330" t="s">
        <v>23892</v>
      </c>
      <c r="D10857" s="330" t="s">
        <v>23893</v>
      </c>
      <c r="E10857" s="330" t="s">
        <v>4634</v>
      </c>
      <c r="F10857" s="331">
        <v>0.21</v>
      </c>
      <c r="G10857" s="332">
        <v>3696</v>
      </c>
      <c r="H10857" s="333">
        <v>4473</v>
      </c>
    </row>
    <row r="10858" spans="1:8">
      <c r="A10858" s="317">
        <v>2605104474</v>
      </c>
      <c r="B10858" s="330" t="s">
        <v>55214</v>
      </c>
      <c r="C10858" s="330" t="s">
        <v>23894</v>
      </c>
      <c r="D10858" s="330" t="s">
        <v>23895</v>
      </c>
      <c r="E10858" s="330" t="s">
        <v>4634</v>
      </c>
      <c r="F10858" s="331">
        <v>0.21</v>
      </c>
      <c r="G10858" s="332">
        <v>3490</v>
      </c>
      <c r="H10858" s="333">
        <v>4223</v>
      </c>
    </row>
    <row r="10859" spans="1:8">
      <c r="A10859" s="317">
        <v>2605104506</v>
      </c>
      <c r="B10859" s="330" t="s">
        <v>55215</v>
      </c>
      <c r="C10859" s="330" t="s">
        <v>23896</v>
      </c>
      <c r="D10859" s="330" t="s">
        <v>23897</v>
      </c>
      <c r="E10859" s="330" t="s">
        <v>4634</v>
      </c>
      <c r="F10859" s="331">
        <v>0.21</v>
      </c>
      <c r="G10859" s="332">
        <v>4432</v>
      </c>
      <c r="H10859" s="333">
        <v>5363</v>
      </c>
    </row>
    <row r="10860" spans="1:8">
      <c r="A10860" s="317">
        <v>2605104509</v>
      </c>
      <c r="B10860" s="330" t="s">
        <v>55216</v>
      </c>
      <c r="C10860" s="330" t="s">
        <v>23898</v>
      </c>
      <c r="D10860" s="330" t="s">
        <v>23899</v>
      </c>
      <c r="E10860" s="330" t="s">
        <v>4634</v>
      </c>
      <c r="F10860" s="331">
        <v>0.21</v>
      </c>
      <c r="G10860" s="332">
        <v>1336</v>
      </c>
      <c r="H10860" s="333">
        <v>1617</v>
      </c>
    </row>
    <row r="10861" spans="1:8">
      <c r="A10861" s="317">
        <v>2605104510</v>
      </c>
      <c r="B10861" s="330" t="s">
        <v>55217</v>
      </c>
      <c r="C10861" s="330" t="s">
        <v>23900</v>
      </c>
      <c r="D10861" s="330" t="s">
        <v>23901</v>
      </c>
      <c r="E10861" s="330" t="s">
        <v>4634</v>
      </c>
      <c r="F10861" s="331">
        <v>0.21</v>
      </c>
      <c r="G10861" s="332">
        <v>2491</v>
      </c>
      <c r="H10861" s="333">
        <v>3015</v>
      </c>
    </row>
    <row r="10862" spans="1:8">
      <c r="A10862" s="317">
        <v>2605104512</v>
      </c>
      <c r="B10862" s="330" t="s">
        <v>55218</v>
      </c>
      <c r="C10862" s="330" t="s">
        <v>23902</v>
      </c>
      <c r="D10862" s="330" t="s">
        <v>23903</v>
      </c>
      <c r="E10862" s="330" t="s">
        <v>4634</v>
      </c>
      <c r="F10862" s="331">
        <v>0.21</v>
      </c>
      <c r="G10862" s="332">
        <v>9540</v>
      </c>
      <c r="H10862" s="333">
        <v>11544</v>
      </c>
    </row>
    <row r="10863" spans="1:8">
      <c r="A10863" s="317">
        <v>2605104526</v>
      </c>
      <c r="B10863" s="330" t="s">
        <v>55219</v>
      </c>
      <c r="C10863" s="330" t="s">
        <v>23904</v>
      </c>
      <c r="D10863" s="330" t="s">
        <v>23905</v>
      </c>
      <c r="E10863" s="330" t="s">
        <v>4634</v>
      </c>
      <c r="F10863" s="331">
        <v>0.21</v>
      </c>
      <c r="G10863" s="332">
        <v>4737</v>
      </c>
      <c r="H10863" s="333">
        <v>5732</v>
      </c>
    </row>
    <row r="10864" spans="1:8">
      <c r="A10864" s="317">
        <v>2605104538</v>
      </c>
      <c r="B10864" s="330" t="s">
        <v>55220</v>
      </c>
      <c r="C10864" s="330" t="s">
        <v>23906</v>
      </c>
      <c r="D10864" s="330" t="s">
        <v>23907</v>
      </c>
      <c r="E10864" s="330" t="s">
        <v>37248</v>
      </c>
      <c r="F10864" s="331">
        <v>0.21</v>
      </c>
      <c r="G10864" s="332">
        <v>27328</v>
      </c>
      <c r="H10864" s="333">
        <v>33067</v>
      </c>
    </row>
    <row r="10865" spans="1:8">
      <c r="A10865" s="317">
        <v>2605104540</v>
      </c>
      <c r="B10865" s="330" t="s">
        <v>55221</v>
      </c>
      <c r="C10865" s="330" t="s">
        <v>23908</v>
      </c>
      <c r="D10865" s="330" t="s">
        <v>23909</v>
      </c>
      <c r="E10865" s="330" t="s">
        <v>4634</v>
      </c>
      <c r="F10865" s="331">
        <v>0.21</v>
      </c>
      <c r="G10865" s="332">
        <v>4115</v>
      </c>
      <c r="H10865" s="333">
        <v>4980</v>
      </c>
    </row>
    <row r="10866" spans="1:8">
      <c r="A10866" s="317">
        <v>2605104544</v>
      </c>
      <c r="B10866" s="330" t="s">
        <v>55222</v>
      </c>
      <c r="C10866" s="330" t="s">
        <v>23910</v>
      </c>
      <c r="D10866" s="330" t="s">
        <v>23911</v>
      </c>
      <c r="E10866" s="330" t="s">
        <v>4634</v>
      </c>
      <c r="F10866" s="331">
        <v>0.21</v>
      </c>
      <c r="G10866" s="332">
        <v>4737</v>
      </c>
      <c r="H10866" s="333">
        <v>5732</v>
      </c>
    </row>
    <row r="10867" spans="1:8">
      <c r="A10867" s="317">
        <v>2605104548</v>
      </c>
      <c r="B10867" s="330" t="s">
        <v>55223</v>
      </c>
      <c r="C10867" s="330" t="s">
        <v>23912</v>
      </c>
      <c r="D10867" s="330" t="s">
        <v>23913</v>
      </c>
      <c r="E10867" s="330" t="s">
        <v>4634</v>
      </c>
      <c r="F10867" s="331">
        <v>0.21</v>
      </c>
      <c r="G10867" s="332">
        <v>31904</v>
      </c>
      <c r="H10867" s="333">
        <v>38604</v>
      </c>
    </row>
    <row r="10868" spans="1:8">
      <c r="A10868" s="317">
        <v>2605104549</v>
      </c>
      <c r="B10868" s="330" t="s">
        <v>55224</v>
      </c>
      <c r="C10868" s="330" t="s">
        <v>23914</v>
      </c>
      <c r="D10868" s="330" t="s">
        <v>9487</v>
      </c>
      <c r="E10868" s="330" t="s">
        <v>37248</v>
      </c>
      <c r="F10868" s="331">
        <v>0.21</v>
      </c>
      <c r="G10868" s="332">
        <v>35406</v>
      </c>
      <c r="H10868" s="333">
        <v>42842</v>
      </c>
    </row>
    <row r="10869" spans="1:8">
      <c r="A10869" s="317">
        <v>2605104557</v>
      </c>
      <c r="B10869" s="330" t="s">
        <v>55225</v>
      </c>
      <c r="C10869" s="330" t="s">
        <v>23915</v>
      </c>
      <c r="D10869" s="330" t="s">
        <v>23916</v>
      </c>
      <c r="E10869" s="330" t="s">
        <v>4634</v>
      </c>
      <c r="F10869" s="331">
        <v>0.21</v>
      </c>
      <c r="G10869" s="332">
        <v>4115</v>
      </c>
      <c r="H10869" s="333">
        <v>4980</v>
      </c>
    </row>
    <row r="10870" spans="1:8">
      <c r="A10870" s="317">
        <v>2605104561</v>
      </c>
      <c r="B10870" s="330" t="s">
        <v>55226</v>
      </c>
      <c r="C10870" s="330" t="s">
        <v>23917</v>
      </c>
      <c r="D10870" s="330" t="s">
        <v>23918</v>
      </c>
      <c r="E10870" s="330" t="s">
        <v>4634</v>
      </c>
      <c r="F10870" s="331">
        <v>0.21</v>
      </c>
      <c r="G10870" s="332">
        <v>3673</v>
      </c>
      <c r="H10870" s="333">
        <v>4445</v>
      </c>
    </row>
    <row r="10871" spans="1:8">
      <c r="A10871" s="317">
        <v>2605104565</v>
      </c>
      <c r="B10871" s="330" t="s">
        <v>55227</v>
      </c>
      <c r="C10871" s="330" t="s">
        <v>23919</v>
      </c>
      <c r="D10871" s="330" t="s">
        <v>23920</v>
      </c>
      <c r="E10871" s="330" t="s">
        <v>4634</v>
      </c>
      <c r="F10871" s="331">
        <v>0.21</v>
      </c>
      <c r="G10871" s="332">
        <v>2491</v>
      </c>
      <c r="H10871" s="333">
        <v>3015</v>
      </c>
    </row>
    <row r="10872" spans="1:8">
      <c r="A10872" s="317">
        <v>2605104575</v>
      </c>
      <c r="B10872" s="330" t="s">
        <v>55228</v>
      </c>
      <c r="C10872" s="330" t="s">
        <v>23921</v>
      </c>
      <c r="D10872" s="330" t="s">
        <v>23922</v>
      </c>
      <c r="E10872" s="330" t="s">
        <v>4634</v>
      </c>
      <c r="F10872" s="331">
        <v>0.21</v>
      </c>
      <c r="G10872" s="332">
        <v>5123</v>
      </c>
      <c r="H10872" s="333">
        <v>6199</v>
      </c>
    </row>
    <row r="10873" spans="1:8">
      <c r="A10873" s="317">
        <v>2605104581</v>
      </c>
      <c r="B10873" s="330" t="s">
        <v>55229</v>
      </c>
      <c r="C10873" s="330" t="s">
        <v>23923</v>
      </c>
      <c r="D10873" s="330" t="s">
        <v>23924</v>
      </c>
      <c r="E10873" s="330" t="s">
        <v>4634</v>
      </c>
      <c r="F10873" s="331">
        <v>0.21</v>
      </c>
      <c r="G10873" s="332">
        <v>1581</v>
      </c>
      <c r="H10873" s="333">
        <v>1914</v>
      </c>
    </row>
    <row r="10874" spans="1:8">
      <c r="A10874" s="317">
        <v>2605104599</v>
      </c>
      <c r="B10874" s="330" t="s">
        <v>55230</v>
      </c>
      <c r="C10874" s="330" t="s">
        <v>23925</v>
      </c>
      <c r="D10874" s="330" t="s">
        <v>23926</v>
      </c>
      <c r="E10874" s="330" t="s">
        <v>4634</v>
      </c>
      <c r="F10874" s="331">
        <v>0.21</v>
      </c>
      <c r="G10874" s="332">
        <v>3383</v>
      </c>
      <c r="H10874" s="333">
        <v>4094</v>
      </c>
    </row>
    <row r="10875" spans="1:8">
      <c r="A10875" s="317">
        <v>2605104604</v>
      </c>
      <c r="B10875" s="330" t="s">
        <v>55231</v>
      </c>
      <c r="C10875" s="330" t="s">
        <v>23927</v>
      </c>
      <c r="D10875" s="330" t="s">
        <v>23928</v>
      </c>
      <c r="E10875" s="330" t="s">
        <v>4634</v>
      </c>
      <c r="F10875" s="331">
        <v>0.21</v>
      </c>
      <c r="G10875" s="332">
        <v>6542</v>
      </c>
      <c r="H10875" s="333">
        <v>7916</v>
      </c>
    </row>
    <row r="10876" spans="1:8">
      <c r="A10876" s="317">
        <v>2605104637</v>
      </c>
      <c r="B10876" s="330" t="s">
        <v>55232</v>
      </c>
      <c r="C10876" s="330" t="s">
        <v>23929</v>
      </c>
      <c r="D10876" s="330" t="s">
        <v>23930</v>
      </c>
      <c r="E10876" s="330" t="s">
        <v>4634</v>
      </c>
      <c r="F10876" s="331">
        <v>0.21</v>
      </c>
      <c r="G10876" s="332">
        <v>6509</v>
      </c>
      <c r="H10876" s="333">
        <v>7876</v>
      </c>
    </row>
    <row r="10877" spans="1:8">
      <c r="A10877" s="317">
        <v>2605104640</v>
      </c>
      <c r="B10877" s="330" t="s">
        <v>55233</v>
      </c>
      <c r="C10877" s="330" t="s">
        <v>23931</v>
      </c>
      <c r="D10877" s="330" t="s">
        <v>23932</v>
      </c>
      <c r="E10877" s="330" t="s">
        <v>4634</v>
      </c>
      <c r="F10877" s="331">
        <v>0.21</v>
      </c>
      <c r="G10877" s="332">
        <v>3966</v>
      </c>
      <c r="H10877" s="333">
        <v>4799</v>
      </c>
    </row>
    <row r="10878" spans="1:8">
      <c r="A10878" s="317">
        <v>2605104641</v>
      </c>
      <c r="B10878" s="330" t="s">
        <v>55234</v>
      </c>
      <c r="C10878" s="330" t="s">
        <v>23933</v>
      </c>
      <c r="D10878" s="330" t="s">
        <v>23934</v>
      </c>
      <c r="E10878" s="330" t="s">
        <v>4634</v>
      </c>
      <c r="F10878" s="331">
        <v>0.21</v>
      </c>
      <c r="G10878" s="332">
        <v>5474</v>
      </c>
      <c r="H10878" s="333">
        <v>6624</v>
      </c>
    </row>
    <row r="10879" spans="1:8">
      <c r="A10879" s="317">
        <v>2605104648</v>
      </c>
      <c r="B10879" s="330" t="s">
        <v>55235</v>
      </c>
      <c r="C10879" s="330" t="s">
        <v>23935</v>
      </c>
      <c r="D10879" s="330" t="s">
        <v>23936</v>
      </c>
      <c r="E10879" s="330" t="s">
        <v>4634</v>
      </c>
      <c r="F10879" s="331">
        <v>0.21</v>
      </c>
      <c r="G10879" s="332">
        <v>3154</v>
      </c>
      <c r="H10879" s="333">
        <v>3817</v>
      </c>
    </row>
    <row r="10880" spans="1:8">
      <c r="A10880" s="317">
        <v>2605104649</v>
      </c>
      <c r="B10880" s="330" t="s">
        <v>55236</v>
      </c>
      <c r="C10880" s="330" t="s">
        <v>23937</v>
      </c>
      <c r="D10880" s="330" t="s">
        <v>23938</v>
      </c>
      <c r="E10880" s="330" t="s">
        <v>4634</v>
      </c>
      <c r="F10880" s="331">
        <v>0.21</v>
      </c>
      <c r="G10880" s="332">
        <v>3189</v>
      </c>
      <c r="H10880" s="333">
        <v>3859</v>
      </c>
    </row>
    <row r="10881" spans="1:8">
      <c r="A10881" s="317">
        <v>2605104650</v>
      </c>
      <c r="B10881" s="330" t="s">
        <v>55237</v>
      </c>
      <c r="C10881" s="330" t="s">
        <v>23939</v>
      </c>
      <c r="D10881" s="330" t="s">
        <v>23940</v>
      </c>
      <c r="E10881" s="330" t="s">
        <v>4634</v>
      </c>
      <c r="F10881" s="331">
        <v>0.21</v>
      </c>
      <c r="G10881" s="332">
        <v>3421</v>
      </c>
      <c r="H10881" s="333">
        <v>4140</v>
      </c>
    </row>
    <row r="10882" spans="1:8">
      <c r="A10882" s="317">
        <v>2605104652</v>
      </c>
      <c r="B10882" s="330" t="s">
        <v>55238</v>
      </c>
      <c r="C10882" s="330" t="s">
        <v>23941</v>
      </c>
      <c r="D10882" s="330" t="s">
        <v>23942</v>
      </c>
      <c r="E10882" s="330" t="s">
        <v>4634</v>
      </c>
      <c r="F10882" s="331">
        <v>0.21</v>
      </c>
      <c r="G10882" s="332">
        <v>3966</v>
      </c>
      <c r="H10882" s="333">
        <v>4799</v>
      </c>
    </row>
    <row r="10883" spans="1:8">
      <c r="A10883" s="317">
        <v>2605104658</v>
      </c>
      <c r="B10883" s="330" t="s">
        <v>55239</v>
      </c>
      <c r="C10883" s="330" t="s">
        <v>23943</v>
      </c>
      <c r="D10883" s="330" t="s">
        <v>23944</v>
      </c>
      <c r="E10883" s="330" t="s">
        <v>4634</v>
      </c>
      <c r="F10883" s="331">
        <v>0.21</v>
      </c>
      <c r="G10883" s="332">
        <v>13721</v>
      </c>
      <c r="H10883" s="333">
        <v>16603</v>
      </c>
    </row>
    <row r="10884" spans="1:8">
      <c r="A10884" s="317">
        <v>2605104661</v>
      </c>
      <c r="B10884" s="330" t="s">
        <v>55240</v>
      </c>
      <c r="C10884" s="330" t="s">
        <v>23945</v>
      </c>
      <c r="D10884" s="330" t="s">
        <v>23946</v>
      </c>
      <c r="E10884" s="330" t="s">
        <v>4634</v>
      </c>
      <c r="F10884" s="331">
        <v>0.21</v>
      </c>
      <c r="G10884" s="332">
        <v>3297</v>
      </c>
      <c r="H10884" s="333">
        <v>3990</v>
      </c>
    </row>
    <row r="10885" spans="1:8">
      <c r="A10885" s="317">
        <v>2605104711</v>
      </c>
      <c r="B10885" s="330" t="s">
        <v>55241</v>
      </c>
      <c r="C10885" s="330" t="s">
        <v>23947</v>
      </c>
      <c r="D10885" s="330" t="s">
        <v>23948</v>
      </c>
      <c r="E10885" s="330" t="s">
        <v>4634</v>
      </c>
      <c r="F10885" s="331">
        <v>0.21</v>
      </c>
      <c r="G10885" s="332">
        <v>4432</v>
      </c>
      <c r="H10885" s="333">
        <v>5363</v>
      </c>
    </row>
    <row r="10886" spans="1:8">
      <c r="A10886" s="317">
        <v>2605104719</v>
      </c>
      <c r="B10886" s="330" t="s">
        <v>55242</v>
      </c>
      <c r="C10886" s="330" t="s">
        <v>23949</v>
      </c>
      <c r="D10886" s="330" t="s">
        <v>23950</v>
      </c>
      <c r="E10886" s="330" t="s">
        <v>4634</v>
      </c>
      <c r="F10886" s="331">
        <v>0.21</v>
      </c>
      <c r="G10886" s="332">
        <v>9128</v>
      </c>
      <c r="H10886" s="333">
        <v>11045</v>
      </c>
    </row>
    <row r="10887" spans="1:8">
      <c r="A10887" s="317">
        <v>2605104741</v>
      </c>
      <c r="B10887" s="330" t="s">
        <v>55243</v>
      </c>
      <c r="C10887" s="330" t="s">
        <v>23951</v>
      </c>
      <c r="D10887" s="330" t="s">
        <v>23952</v>
      </c>
      <c r="E10887" s="330" t="s">
        <v>4634</v>
      </c>
      <c r="F10887" s="331">
        <v>0.21</v>
      </c>
      <c r="G10887" s="332">
        <v>8898</v>
      </c>
      <c r="H10887" s="333">
        <v>10767</v>
      </c>
    </row>
    <row r="10888" spans="1:8">
      <c r="A10888" s="317">
        <v>2605104773</v>
      </c>
      <c r="B10888" s="330" t="s">
        <v>55244</v>
      </c>
      <c r="C10888" s="330" t="s">
        <v>23953</v>
      </c>
      <c r="D10888" s="330" t="s">
        <v>23954</v>
      </c>
      <c r="E10888" s="330" t="s">
        <v>4634</v>
      </c>
      <c r="F10888" s="331">
        <v>0.21</v>
      </c>
      <c r="G10888" s="332">
        <v>6902</v>
      </c>
      <c r="H10888" s="333">
        <v>8352</v>
      </c>
    </row>
    <row r="10889" spans="1:8">
      <c r="A10889" s="317">
        <v>2605104776</v>
      </c>
      <c r="B10889" s="330" t="s">
        <v>55245</v>
      </c>
      <c r="C10889" s="330" t="s">
        <v>23955</v>
      </c>
      <c r="D10889" s="330" t="s">
        <v>23956</v>
      </c>
      <c r="E10889" s="330" t="s">
        <v>4634</v>
      </c>
      <c r="F10889" s="331">
        <v>0.21</v>
      </c>
      <c r="G10889" s="332">
        <v>5123</v>
      </c>
      <c r="H10889" s="333">
        <v>6199</v>
      </c>
    </row>
    <row r="10890" spans="1:8">
      <c r="A10890" s="317">
        <v>2605104790</v>
      </c>
      <c r="B10890" s="330" t="s">
        <v>55246</v>
      </c>
      <c r="C10890" s="330" t="s">
        <v>23957</v>
      </c>
      <c r="D10890" s="330" t="s">
        <v>23958</v>
      </c>
      <c r="E10890" s="330" t="s">
        <v>4634</v>
      </c>
      <c r="F10890" s="331">
        <v>0.21</v>
      </c>
      <c r="G10890" s="332">
        <v>4737</v>
      </c>
      <c r="H10890" s="333">
        <v>5732</v>
      </c>
    </row>
    <row r="10891" spans="1:8">
      <c r="A10891" s="317">
        <v>2605104796</v>
      </c>
      <c r="B10891" s="330" t="s">
        <v>55247</v>
      </c>
      <c r="C10891" s="330" t="s">
        <v>23959</v>
      </c>
      <c r="D10891" s="330" t="s">
        <v>23960</v>
      </c>
      <c r="E10891" s="330" t="s">
        <v>4634</v>
      </c>
      <c r="F10891" s="331">
        <v>0.21</v>
      </c>
      <c r="G10891" s="332">
        <v>6651</v>
      </c>
      <c r="H10891" s="333">
        <v>8048</v>
      </c>
    </row>
    <row r="10892" spans="1:8">
      <c r="A10892" s="317">
        <v>2605104811</v>
      </c>
      <c r="B10892" s="330" t="s">
        <v>55248</v>
      </c>
      <c r="C10892" s="330" t="s">
        <v>23961</v>
      </c>
      <c r="D10892" s="330" t="s">
        <v>23962</v>
      </c>
      <c r="E10892" s="330" t="s">
        <v>4634</v>
      </c>
      <c r="F10892" s="331">
        <v>0.21</v>
      </c>
      <c r="G10892" s="332">
        <v>7879</v>
      </c>
      <c r="H10892" s="333">
        <v>9534</v>
      </c>
    </row>
    <row r="10893" spans="1:8">
      <c r="A10893" s="317">
        <v>2605104813</v>
      </c>
      <c r="B10893" s="330" t="s">
        <v>55249</v>
      </c>
      <c r="C10893" s="330" t="s">
        <v>23963</v>
      </c>
      <c r="D10893" s="330" t="s">
        <v>23964</v>
      </c>
      <c r="E10893" s="330" t="s">
        <v>4634</v>
      </c>
      <c r="F10893" s="331">
        <v>0.21</v>
      </c>
      <c r="G10893" s="332">
        <v>6542</v>
      </c>
      <c r="H10893" s="333">
        <v>7916</v>
      </c>
    </row>
    <row r="10894" spans="1:8">
      <c r="A10894" s="317">
        <v>2605104825</v>
      </c>
      <c r="B10894" s="330" t="s">
        <v>55250</v>
      </c>
      <c r="C10894" s="330" t="s">
        <v>23965</v>
      </c>
      <c r="D10894" s="330" t="s">
        <v>23966</v>
      </c>
      <c r="E10894" s="330" t="s">
        <v>4634</v>
      </c>
      <c r="F10894" s="331">
        <v>0.21</v>
      </c>
      <c r="G10894" s="332">
        <v>3383</v>
      </c>
      <c r="H10894" s="333">
        <v>4094</v>
      </c>
    </row>
    <row r="10895" spans="1:8">
      <c r="A10895" s="317">
        <v>2605104826</v>
      </c>
      <c r="B10895" s="330" t="s">
        <v>55251</v>
      </c>
      <c r="C10895" s="330" t="s">
        <v>23967</v>
      </c>
      <c r="D10895" s="330" t="s">
        <v>23968</v>
      </c>
      <c r="E10895" s="330" t="s">
        <v>4634</v>
      </c>
      <c r="F10895" s="331">
        <v>0.21</v>
      </c>
      <c r="G10895" s="332">
        <v>3154</v>
      </c>
      <c r="H10895" s="333">
        <v>3817</v>
      </c>
    </row>
    <row r="10896" spans="1:8">
      <c r="A10896" s="317">
        <v>2605104828</v>
      </c>
      <c r="B10896" s="330" t="s">
        <v>55252</v>
      </c>
      <c r="C10896" s="330" t="s">
        <v>23969</v>
      </c>
      <c r="D10896" s="330" t="s">
        <v>23970</v>
      </c>
      <c r="E10896" s="330" t="s">
        <v>4634</v>
      </c>
      <c r="F10896" s="331">
        <v>0.21</v>
      </c>
      <c r="G10896" s="332">
        <v>10767</v>
      </c>
      <c r="H10896" s="333">
        <v>13029</v>
      </c>
    </row>
    <row r="10897" spans="1:8">
      <c r="A10897" s="317">
        <v>2605104837</v>
      </c>
      <c r="B10897" s="330" t="s">
        <v>55253</v>
      </c>
      <c r="C10897" s="330" t="s">
        <v>23971</v>
      </c>
      <c r="D10897" s="330" t="s">
        <v>23972</v>
      </c>
      <c r="E10897" s="330" t="s">
        <v>4634</v>
      </c>
      <c r="F10897" s="331">
        <v>0.21</v>
      </c>
      <c r="G10897" s="332">
        <v>4432</v>
      </c>
      <c r="H10897" s="333">
        <v>5363</v>
      </c>
    </row>
    <row r="10898" spans="1:8">
      <c r="A10898" s="317">
        <v>2605104856</v>
      </c>
      <c r="B10898" s="330" t="s">
        <v>55254</v>
      </c>
      <c r="C10898" s="330" t="s">
        <v>23973</v>
      </c>
      <c r="D10898" s="330" t="s">
        <v>23974</v>
      </c>
      <c r="E10898" s="330" t="s">
        <v>4634</v>
      </c>
      <c r="F10898" s="331">
        <v>0.21</v>
      </c>
      <c r="G10898" s="332">
        <v>4115</v>
      </c>
      <c r="H10898" s="333">
        <v>4980</v>
      </c>
    </row>
    <row r="10899" spans="1:8">
      <c r="A10899" s="317">
        <v>2605104865</v>
      </c>
      <c r="B10899" s="330" t="s">
        <v>55255</v>
      </c>
      <c r="C10899" s="330" t="s">
        <v>23975</v>
      </c>
      <c r="D10899" s="330" t="s">
        <v>23976</v>
      </c>
      <c r="E10899" s="330" t="s">
        <v>4634</v>
      </c>
      <c r="F10899" s="331">
        <v>0.21</v>
      </c>
      <c r="G10899" s="332">
        <v>8731</v>
      </c>
      <c r="H10899" s="333">
        <v>10565</v>
      </c>
    </row>
    <row r="10900" spans="1:8">
      <c r="A10900" s="317">
        <v>2605104866</v>
      </c>
      <c r="B10900" s="330" t="s">
        <v>55256</v>
      </c>
      <c r="C10900" s="330" t="s">
        <v>23977</v>
      </c>
      <c r="D10900" s="330" t="s">
        <v>23978</v>
      </c>
      <c r="E10900" s="330" t="s">
        <v>37248</v>
      </c>
      <c r="F10900" s="331">
        <v>0.21</v>
      </c>
      <c r="G10900" s="332">
        <v>48657</v>
      </c>
      <c r="H10900" s="333">
        <v>58875</v>
      </c>
    </row>
    <row r="10901" spans="1:8">
      <c r="A10901" s="317">
        <v>2605104888</v>
      </c>
      <c r="B10901" s="330" t="s">
        <v>55257</v>
      </c>
      <c r="C10901" s="330" t="s">
        <v>23979</v>
      </c>
      <c r="D10901" s="330" t="s">
        <v>23980</v>
      </c>
      <c r="E10901" s="330" t="s">
        <v>4634</v>
      </c>
      <c r="F10901" s="331">
        <v>0.21</v>
      </c>
      <c r="G10901" s="332">
        <v>3096</v>
      </c>
      <c r="H10901" s="333">
        <v>3747</v>
      </c>
    </row>
    <row r="10902" spans="1:8">
      <c r="A10902" s="317">
        <v>2605104892</v>
      </c>
      <c r="B10902" s="330" t="s">
        <v>55258</v>
      </c>
      <c r="C10902" s="330" t="s">
        <v>23981</v>
      </c>
      <c r="D10902" s="330" t="s">
        <v>23982</v>
      </c>
      <c r="E10902" s="330" t="s">
        <v>4634</v>
      </c>
      <c r="F10902" s="331">
        <v>0.21</v>
      </c>
      <c r="G10902" s="332">
        <v>5559</v>
      </c>
      <c r="H10902" s="333">
        <v>6727</v>
      </c>
    </row>
    <row r="10903" spans="1:8">
      <c r="A10903" s="317">
        <v>2605104894</v>
      </c>
      <c r="B10903" s="330" t="s">
        <v>55259</v>
      </c>
      <c r="C10903" s="330" t="s">
        <v>23983</v>
      </c>
      <c r="D10903" s="330" t="s">
        <v>23984</v>
      </c>
      <c r="E10903" s="330" t="s">
        <v>4634</v>
      </c>
      <c r="F10903" s="331">
        <v>0.21</v>
      </c>
      <c r="G10903" s="332">
        <v>9540</v>
      </c>
      <c r="H10903" s="333">
        <v>11544</v>
      </c>
    </row>
    <row r="10904" spans="1:8">
      <c r="A10904" s="317">
        <v>2605104897</v>
      </c>
      <c r="B10904" s="330" t="s">
        <v>55260</v>
      </c>
      <c r="C10904" s="330" t="s">
        <v>23985</v>
      </c>
      <c r="D10904" s="330" t="s">
        <v>23986</v>
      </c>
      <c r="E10904" s="330" t="s">
        <v>4634</v>
      </c>
      <c r="F10904" s="331">
        <v>0.21</v>
      </c>
      <c r="G10904" s="332">
        <v>10125</v>
      </c>
      <c r="H10904" s="333">
        <v>12252</v>
      </c>
    </row>
    <row r="10905" spans="1:8">
      <c r="A10905" s="317">
        <v>2605104902</v>
      </c>
      <c r="B10905" s="330" t="s">
        <v>55261</v>
      </c>
      <c r="C10905" s="330" t="s">
        <v>23987</v>
      </c>
      <c r="D10905" s="330" t="s">
        <v>23988</v>
      </c>
      <c r="E10905" s="330" t="s">
        <v>4634</v>
      </c>
      <c r="F10905" s="331">
        <v>0.21</v>
      </c>
      <c r="G10905" s="332">
        <v>4389</v>
      </c>
      <c r="H10905" s="333">
        <v>5311</v>
      </c>
    </row>
    <row r="10906" spans="1:8">
      <c r="A10906" s="317">
        <v>2605104949</v>
      </c>
      <c r="B10906" s="330" t="s">
        <v>55262</v>
      </c>
      <c r="C10906" s="330" t="s">
        <v>23989</v>
      </c>
      <c r="D10906" s="330" t="s">
        <v>23990</v>
      </c>
      <c r="E10906" s="330" t="s">
        <v>4634</v>
      </c>
      <c r="F10906" s="331">
        <v>0.21</v>
      </c>
      <c r="G10906" s="332">
        <v>2569</v>
      </c>
      <c r="H10906" s="333">
        <v>3109</v>
      </c>
    </row>
    <row r="10907" spans="1:8">
      <c r="A10907" s="317">
        <v>2605104961</v>
      </c>
      <c r="B10907" s="330" t="s">
        <v>55263</v>
      </c>
      <c r="C10907" s="330" t="s">
        <v>23991</v>
      </c>
      <c r="D10907" s="330" t="s">
        <v>23992</v>
      </c>
      <c r="E10907" s="330" t="s">
        <v>4634</v>
      </c>
      <c r="F10907" s="331">
        <v>0.21</v>
      </c>
      <c r="G10907" s="332">
        <v>4080</v>
      </c>
      <c r="H10907" s="333">
        <v>4937</v>
      </c>
    </row>
    <row r="10908" spans="1:8">
      <c r="A10908" s="317">
        <v>2605104965</v>
      </c>
      <c r="B10908" s="330" t="s">
        <v>55264</v>
      </c>
      <c r="C10908" s="330" t="s">
        <v>23993</v>
      </c>
      <c r="D10908" s="330" t="s">
        <v>23994</v>
      </c>
      <c r="E10908" s="330" t="s">
        <v>4634</v>
      </c>
      <c r="F10908" s="331">
        <v>0.21</v>
      </c>
      <c r="G10908" s="332">
        <v>903</v>
      </c>
      <c r="H10908" s="333">
        <v>1093</v>
      </c>
    </row>
    <row r="10909" spans="1:8">
      <c r="A10909" s="317">
        <v>2605104976</v>
      </c>
      <c r="B10909" s="330" t="s">
        <v>55265</v>
      </c>
      <c r="C10909" s="330" t="s">
        <v>23995</v>
      </c>
      <c r="D10909" s="330" t="s">
        <v>23996</v>
      </c>
      <c r="E10909" s="330" t="s">
        <v>4634</v>
      </c>
      <c r="F10909" s="331">
        <v>0.21</v>
      </c>
      <c r="G10909" s="332">
        <v>437</v>
      </c>
      <c r="H10909" s="333">
        <v>529</v>
      </c>
    </row>
    <row r="10910" spans="1:8">
      <c r="A10910" s="317">
        <v>2605104980</v>
      </c>
      <c r="B10910" s="330" t="s">
        <v>55266</v>
      </c>
      <c r="C10910" s="330" t="s">
        <v>23997</v>
      </c>
      <c r="D10910" s="330" t="s">
        <v>23998</v>
      </c>
      <c r="E10910" s="330" t="s">
        <v>4634</v>
      </c>
      <c r="F10910" s="331">
        <v>0.21</v>
      </c>
      <c r="G10910" s="332">
        <v>11189</v>
      </c>
      <c r="H10910" s="333">
        <v>13539</v>
      </c>
    </row>
    <row r="10911" spans="1:8">
      <c r="A10911" s="317">
        <v>2605104982</v>
      </c>
      <c r="B10911" s="330" t="s">
        <v>55267</v>
      </c>
      <c r="C10911" s="330" t="s">
        <v>23999</v>
      </c>
      <c r="D10911" s="330" t="s">
        <v>24000</v>
      </c>
      <c r="E10911" s="330" t="s">
        <v>4634</v>
      </c>
      <c r="F10911" s="331">
        <v>0.21</v>
      </c>
      <c r="G10911" s="332">
        <v>8981</v>
      </c>
      <c r="H10911" s="333">
        <v>10868</v>
      </c>
    </row>
    <row r="10912" spans="1:8">
      <c r="A10912" s="317">
        <v>2605104994</v>
      </c>
      <c r="B10912" s="330" t="s">
        <v>55268</v>
      </c>
      <c r="C10912" s="330" t="s">
        <v>24001</v>
      </c>
      <c r="D10912" s="330" t="s">
        <v>24002</v>
      </c>
      <c r="E10912" s="330" t="s">
        <v>4634</v>
      </c>
      <c r="F10912" s="331">
        <v>0.21</v>
      </c>
      <c r="G10912" s="332">
        <v>10125</v>
      </c>
      <c r="H10912" s="333">
        <v>12252</v>
      </c>
    </row>
    <row r="10913" spans="1:8">
      <c r="A10913" s="317">
        <v>2605104997</v>
      </c>
      <c r="B10913" s="330" t="s">
        <v>55269</v>
      </c>
      <c r="C10913" s="330" t="s">
        <v>24003</v>
      </c>
      <c r="D10913" s="330" t="s">
        <v>24004</v>
      </c>
      <c r="E10913" s="330" t="s">
        <v>4634</v>
      </c>
      <c r="F10913" s="331">
        <v>0.21</v>
      </c>
      <c r="G10913" s="332">
        <v>5626</v>
      </c>
      <c r="H10913" s="333">
        <v>6808</v>
      </c>
    </row>
    <row r="10914" spans="1:8">
      <c r="A10914" s="317">
        <v>2605104998</v>
      </c>
      <c r="B10914" s="330" t="s">
        <v>55270</v>
      </c>
      <c r="C10914" s="330" t="s">
        <v>24005</v>
      </c>
      <c r="D10914" s="330" t="s">
        <v>24006</v>
      </c>
      <c r="E10914" s="330" t="s">
        <v>4634</v>
      </c>
      <c r="F10914" s="331">
        <v>0.21</v>
      </c>
      <c r="G10914" s="332">
        <v>3903</v>
      </c>
      <c r="H10914" s="333">
        <v>4723</v>
      </c>
    </row>
    <row r="10915" spans="1:8">
      <c r="A10915" s="317">
        <v>2605105000</v>
      </c>
      <c r="B10915" s="330" t="s">
        <v>55271</v>
      </c>
      <c r="C10915" s="330" t="s">
        <v>24007</v>
      </c>
      <c r="D10915" s="330" t="s">
        <v>24008</v>
      </c>
      <c r="E10915" s="330" t="s">
        <v>4634</v>
      </c>
      <c r="F10915" s="331">
        <v>0.21</v>
      </c>
      <c r="G10915" s="332">
        <v>3966</v>
      </c>
      <c r="H10915" s="333">
        <v>4799</v>
      </c>
    </row>
    <row r="10916" spans="1:8">
      <c r="A10916" s="317">
        <v>2605105001</v>
      </c>
      <c r="B10916" s="330" t="s">
        <v>55272</v>
      </c>
      <c r="C10916" s="330" t="s">
        <v>24009</v>
      </c>
      <c r="D10916" s="330" t="s">
        <v>24010</v>
      </c>
      <c r="E10916" s="330" t="s">
        <v>4634</v>
      </c>
      <c r="F10916" s="331">
        <v>0.21</v>
      </c>
      <c r="G10916" s="332">
        <v>3966</v>
      </c>
      <c r="H10916" s="333">
        <v>4799</v>
      </c>
    </row>
    <row r="10917" spans="1:8">
      <c r="A10917" s="317">
        <v>2605105002</v>
      </c>
      <c r="B10917" s="330" t="s">
        <v>55273</v>
      </c>
      <c r="C10917" s="330" t="s">
        <v>24011</v>
      </c>
      <c r="D10917" s="330" t="s">
        <v>24012</v>
      </c>
      <c r="E10917" s="330" t="s">
        <v>4634</v>
      </c>
      <c r="F10917" s="331">
        <v>0.21</v>
      </c>
      <c r="G10917" s="332">
        <v>4115</v>
      </c>
      <c r="H10917" s="333">
        <v>4980</v>
      </c>
    </row>
    <row r="10918" spans="1:8">
      <c r="A10918" s="317">
        <v>2605105016</v>
      </c>
      <c r="B10918" s="330" t="s">
        <v>55274</v>
      </c>
      <c r="C10918" s="330" t="s">
        <v>24013</v>
      </c>
      <c r="D10918" s="330" t="s">
        <v>24014</v>
      </c>
      <c r="E10918" s="330" t="s">
        <v>4634</v>
      </c>
      <c r="F10918" s="331">
        <v>0.21</v>
      </c>
      <c r="G10918" s="332">
        <v>7069</v>
      </c>
      <c r="H10918" s="333">
        <v>8554</v>
      </c>
    </row>
    <row r="10919" spans="1:8">
      <c r="A10919" s="317">
        <v>2605105023</v>
      </c>
      <c r="B10919" s="330" t="s">
        <v>55275</v>
      </c>
      <c r="C10919" s="330" t="s">
        <v>24015</v>
      </c>
      <c r="D10919" s="330" t="s">
        <v>24016</v>
      </c>
      <c r="E10919" s="330" t="s">
        <v>4634</v>
      </c>
      <c r="F10919" s="331">
        <v>0.21</v>
      </c>
      <c r="G10919" s="332">
        <v>7879</v>
      </c>
      <c r="H10919" s="333">
        <v>9534</v>
      </c>
    </row>
    <row r="10920" spans="1:8">
      <c r="A10920" s="317">
        <v>2605105033</v>
      </c>
      <c r="B10920" s="330" t="s">
        <v>55276</v>
      </c>
      <c r="C10920" s="330" t="s">
        <v>24017</v>
      </c>
      <c r="D10920" s="330" t="s">
        <v>24018</v>
      </c>
      <c r="E10920" s="330" t="s">
        <v>4634</v>
      </c>
      <c r="F10920" s="331">
        <v>0.21</v>
      </c>
      <c r="G10920" s="332">
        <v>6065</v>
      </c>
      <c r="H10920" s="333">
        <v>7339</v>
      </c>
    </row>
    <row r="10921" spans="1:8">
      <c r="A10921" s="317">
        <v>2605105036</v>
      </c>
      <c r="B10921" s="330" t="s">
        <v>55277</v>
      </c>
      <c r="C10921" s="330" t="s">
        <v>24019</v>
      </c>
      <c r="D10921" s="330" t="s">
        <v>24020</v>
      </c>
      <c r="E10921" s="330" t="s">
        <v>37248</v>
      </c>
      <c r="F10921" s="331">
        <v>0.21</v>
      </c>
      <c r="G10921" s="332">
        <v>40700</v>
      </c>
      <c r="H10921" s="333">
        <v>49247</v>
      </c>
    </row>
    <row r="10922" spans="1:8">
      <c r="A10922" s="317">
        <v>2605105037</v>
      </c>
      <c r="B10922" s="330" t="s">
        <v>55278</v>
      </c>
      <c r="C10922" s="330" t="s">
        <v>24021</v>
      </c>
      <c r="D10922" s="330" t="s">
        <v>24022</v>
      </c>
      <c r="E10922" s="330" t="s">
        <v>4634</v>
      </c>
      <c r="F10922" s="331">
        <v>0.21</v>
      </c>
      <c r="G10922" s="332">
        <v>34887</v>
      </c>
      <c r="H10922" s="333">
        <v>42214</v>
      </c>
    </row>
    <row r="10923" spans="1:8">
      <c r="A10923" s="317">
        <v>2605105045</v>
      </c>
      <c r="B10923" s="330" t="s">
        <v>55279</v>
      </c>
      <c r="C10923" s="330" t="s">
        <v>24023</v>
      </c>
      <c r="D10923" s="330" t="s">
        <v>24024</v>
      </c>
      <c r="E10923" s="330" t="s">
        <v>4634</v>
      </c>
      <c r="F10923" s="331">
        <v>0.21</v>
      </c>
      <c r="G10923" s="332">
        <v>1507</v>
      </c>
      <c r="H10923" s="333">
        <v>1824</v>
      </c>
    </row>
    <row r="10924" spans="1:8">
      <c r="A10924" s="317">
        <v>2605105101</v>
      </c>
      <c r="B10924" s="330" t="s">
        <v>55280</v>
      </c>
      <c r="C10924" s="330" t="s">
        <v>24025</v>
      </c>
      <c r="D10924" s="330" t="s">
        <v>24026</v>
      </c>
      <c r="E10924" s="330" t="s">
        <v>4634</v>
      </c>
      <c r="F10924" s="331">
        <v>0.21</v>
      </c>
      <c r="G10924" s="332">
        <v>6593</v>
      </c>
      <c r="H10924" s="333">
        <v>7978</v>
      </c>
    </row>
    <row r="10925" spans="1:8">
      <c r="A10925" s="317">
        <v>2605105106</v>
      </c>
      <c r="B10925" s="330" t="s">
        <v>55281</v>
      </c>
      <c r="C10925" s="330" t="s">
        <v>24027</v>
      </c>
      <c r="D10925" s="330" t="s">
        <v>24028</v>
      </c>
      <c r="E10925" s="330" t="s">
        <v>4634</v>
      </c>
      <c r="F10925" s="331">
        <v>0.21</v>
      </c>
      <c r="G10925" s="332">
        <v>4389</v>
      </c>
      <c r="H10925" s="333">
        <v>5311</v>
      </c>
    </row>
    <row r="10926" spans="1:8">
      <c r="A10926" s="317">
        <v>2605105112</v>
      </c>
      <c r="B10926" s="330" t="s">
        <v>55282</v>
      </c>
      <c r="C10926" s="330" t="s">
        <v>24029</v>
      </c>
      <c r="D10926" s="330" t="s">
        <v>24030</v>
      </c>
      <c r="E10926" s="330" t="s">
        <v>4819</v>
      </c>
      <c r="F10926" s="331">
        <v>0.21</v>
      </c>
      <c r="G10926" s="332">
        <v>65825</v>
      </c>
      <c r="H10926" s="333">
        <v>79649</v>
      </c>
    </row>
    <row r="10927" spans="1:8">
      <c r="A10927" s="317">
        <v>2605105128</v>
      </c>
      <c r="B10927" s="330" t="s">
        <v>55283</v>
      </c>
      <c r="C10927" s="330" t="s">
        <v>24031</v>
      </c>
      <c r="D10927" s="330" t="s">
        <v>7369</v>
      </c>
      <c r="E10927" s="330" t="s">
        <v>4634</v>
      </c>
      <c r="F10927" s="331">
        <v>0.21</v>
      </c>
      <c r="G10927" s="332">
        <v>7231</v>
      </c>
      <c r="H10927" s="333">
        <v>8750</v>
      </c>
    </row>
    <row r="10928" spans="1:8">
      <c r="A10928" s="317">
        <v>2605105134</v>
      </c>
      <c r="B10928" s="330" t="s">
        <v>55284</v>
      </c>
      <c r="C10928" s="330" t="s">
        <v>24032</v>
      </c>
      <c r="D10928" s="330" t="s">
        <v>24033</v>
      </c>
      <c r="E10928" s="330" t="s">
        <v>4819</v>
      </c>
      <c r="F10928" s="331">
        <v>0.21</v>
      </c>
      <c r="G10928" s="332">
        <v>27384</v>
      </c>
      <c r="H10928" s="333">
        <v>33135</v>
      </c>
    </row>
    <row r="10929" spans="1:8">
      <c r="A10929" s="317">
        <v>2605105140</v>
      </c>
      <c r="B10929" s="330" t="s">
        <v>55285</v>
      </c>
      <c r="C10929" s="330" t="s">
        <v>24034</v>
      </c>
      <c r="D10929" s="330" t="s">
        <v>24035</v>
      </c>
      <c r="E10929" s="330" t="s">
        <v>4634</v>
      </c>
      <c r="F10929" s="331">
        <v>0.21</v>
      </c>
      <c r="G10929" s="332">
        <v>5869</v>
      </c>
      <c r="H10929" s="333">
        <v>7102</v>
      </c>
    </row>
    <row r="10930" spans="1:8">
      <c r="A10930" s="317">
        <v>2605105177</v>
      </c>
      <c r="B10930" s="330" t="s">
        <v>55286</v>
      </c>
      <c r="C10930" s="330" t="s">
        <v>24036</v>
      </c>
      <c r="D10930" s="330" t="s">
        <v>7369</v>
      </c>
      <c r="E10930" s="330" t="s">
        <v>4634</v>
      </c>
      <c r="F10930" s="331">
        <v>0.21</v>
      </c>
      <c r="G10930" s="332">
        <v>8048</v>
      </c>
      <c r="H10930" s="333">
        <v>9739</v>
      </c>
    </row>
    <row r="10931" spans="1:8">
      <c r="A10931" s="317">
        <v>2605105217</v>
      </c>
      <c r="B10931" s="330" t="s">
        <v>55287</v>
      </c>
      <c r="C10931" s="330" t="s">
        <v>24037</v>
      </c>
      <c r="D10931" s="330" t="s">
        <v>24038</v>
      </c>
      <c r="E10931" s="330" t="s">
        <v>37248</v>
      </c>
      <c r="F10931" s="331">
        <v>0.21</v>
      </c>
      <c r="G10931" s="332">
        <v>3517</v>
      </c>
      <c r="H10931" s="333">
        <v>4256</v>
      </c>
    </row>
    <row r="10932" spans="1:8">
      <c r="A10932" s="317">
        <v>2605105218</v>
      </c>
      <c r="B10932" s="330" t="s">
        <v>55288</v>
      </c>
      <c r="C10932" s="330" t="s">
        <v>24039</v>
      </c>
      <c r="D10932" s="330" t="s">
        <v>9480</v>
      </c>
      <c r="E10932" s="330" t="s">
        <v>37248</v>
      </c>
      <c r="F10932" s="331">
        <v>0.21</v>
      </c>
      <c r="G10932" s="332">
        <v>6690</v>
      </c>
      <c r="H10932" s="333">
        <v>8095</v>
      </c>
    </row>
    <row r="10933" spans="1:8">
      <c r="A10933" s="317">
        <v>2605105221</v>
      </c>
      <c r="B10933" s="330" t="s">
        <v>55289</v>
      </c>
      <c r="C10933" s="330" t="s">
        <v>24040</v>
      </c>
      <c r="D10933" s="330" t="s">
        <v>9480</v>
      </c>
      <c r="E10933" s="330" t="s">
        <v>37248</v>
      </c>
      <c r="F10933" s="331">
        <v>0.21</v>
      </c>
      <c r="G10933" s="332">
        <v>3517</v>
      </c>
      <c r="H10933" s="333">
        <v>4256</v>
      </c>
    </row>
    <row r="10934" spans="1:8">
      <c r="A10934" s="317">
        <v>2605105901</v>
      </c>
      <c r="B10934" s="330" t="s">
        <v>55290</v>
      </c>
      <c r="C10934" s="330" t="s">
        <v>24041</v>
      </c>
      <c r="D10934" s="330" t="s">
        <v>24042</v>
      </c>
      <c r="E10934" s="330" t="s">
        <v>4634</v>
      </c>
      <c r="F10934" s="331">
        <v>0.21</v>
      </c>
      <c r="G10934" s="332">
        <v>6212</v>
      </c>
      <c r="H10934" s="333">
        <v>7517</v>
      </c>
    </row>
    <row r="10935" spans="1:8">
      <c r="A10935" s="317">
        <v>2605105903</v>
      </c>
      <c r="B10935" s="330" t="s">
        <v>55291</v>
      </c>
      <c r="C10935" s="330" t="s">
        <v>24043</v>
      </c>
      <c r="D10935" s="330" t="s">
        <v>24044</v>
      </c>
      <c r="E10935" s="330" t="s">
        <v>4634</v>
      </c>
      <c r="F10935" s="331">
        <v>0.21</v>
      </c>
      <c r="G10935" s="332">
        <v>8075</v>
      </c>
      <c r="H10935" s="333">
        <v>9771</v>
      </c>
    </row>
    <row r="10936" spans="1:8">
      <c r="A10936" s="317">
        <v>2605105904</v>
      </c>
      <c r="B10936" s="330" t="s">
        <v>55292</v>
      </c>
      <c r="C10936" s="330" t="s">
        <v>24045</v>
      </c>
      <c r="D10936" s="330" t="s">
        <v>24046</v>
      </c>
      <c r="E10936" s="330" t="s">
        <v>4634</v>
      </c>
      <c r="F10936" s="331">
        <v>0.21</v>
      </c>
      <c r="G10936" s="332">
        <v>3555</v>
      </c>
      <c r="H10936" s="333">
        <v>4302</v>
      </c>
    </row>
    <row r="10937" spans="1:8">
      <c r="A10937" s="317">
        <v>2605105905</v>
      </c>
      <c r="B10937" s="330" t="s">
        <v>55293</v>
      </c>
      <c r="C10937" s="330" t="s">
        <v>24047</v>
      </c>
      <c r="D10937" s="330" t="s">
        <v>24048</v>
      </c>
      <c r="E10937" s="330" t="s">
        <v>4634</v>
      </c>
      <c r="F10937" s="331">
        <v>0.21</v>
      </c>
      <c r="G10937" s="332">
        <v>4432</v>
      </c>
      <c r="H10937" s="333">
        <v>5363</v>
      </c>
    </row>
    <row r="10938" spans="1:8">
      <c r="A10938" s="317">
        <v>2605105906</v>
      </c>
      <c r="B10938" s="330" t="s">
        <v>55294</v>
      </c>
      <c r="C10938" s="330" t="s">
        <v>24049</v>
      </c>
      <c r="D10938" s="330" t="s">
        <v>24050</v>
      </c>
      <c r="E10938" s="330" t="s">
        <v>4634</v>
      </c>
      <c r="F10938" s="331">
        <v>0.21</v>
      </c>
      <c r="G10938" s="332">
        <v>4432</v>
      </c>
      <c r="H10938" s="333">
        <v>5363</v>
      </c>
    </row>
    <row r="10939" spans="1:8">
      <c r="A10939" s="317">
        <v>2605105912</v>
      </c>
      <c r="B10939" s="330" t="s">
        <v>55295</v>
      </c>
      <c r="C10939" s="330" t="s">
        <v>24051</v>
      </c>
      <c r="D10939" s="330" t="s">
        <v>24052</v>
      </c>
      <c r="E10939" s="330" t="s">
        <v>4819</v>
      </c>
      <c r="F10939" s="331">
        <v>0.21</v>
      </c>
      <c r="G10939" s="332">
        <v>74014</v>
      </c>
      <c r="H10939" s="333">
        <v>89557</v>
      </c>
    </row>
    <row r="10940" spans="1:8">
      <c r="A10940" s="317">
        <v>2605105914</v>
      </c>
      <c r="B10940" s="330" t="s">
        <v>55296</v>
      </c>
      <c r="C10940" s="330" t="s">
        <v>24053</v>
      </c>
      <c r="D10940" s="330" t="s">
        <v>24054</v>
      </c>
      <c r="E10940" s="330" t="s">
        <v>4634</v>
      </c>
      <c r="F10940" s="331">
        <v>0.21</v>
      </c>
      <c r="G10940" s="332">
        <v>13721</v>
      </c>
      <c r="H10940" s="333">
        <v>16603</v>
      </c>
    </row>
    <row r="10941" spans="1:8">
      <c r="A10941" s="317">
        <v>2605105921</v>
      </c>
      <c r="B10941" s="330" t="s">
        <v>55297</v>
      </c>
      <c r="C10941" s="330" t="s">
        <v>24055</v>
      </c>
      <c r="D10941" s="330" t="s">
        <v>23954</v>
      </c>
      <c r="E10941" s="330" t="s">
        <v>4634</v>
      </c>
      <c r="F10941" s="331">
        <v>0.21</v>
      </c>
      <c r="G10941" s="332">
        <v>22367</v>
      </c>
      <c r="H10941" s="333">
        <v>27065</v>
      </c>
    </row>
    <row r="10942" spans="1:8">
      <c r="A10942" s="317">
        <v>2605105922</v>
      </c>
      <c r="B10942" s="330" t="s">
        <v>55298</v>
      </c>
      <c r="C10942" s="330" t="s">
        <v>24056</v>
      </c>
      <c r="D10942" s="330" t="s">
        <v>24057</v>
      </c>
      <c r="E10942" s="330" t="s">
        <v>4634</v>
      </c>
      <c r="F10942" s="331">
        <v>0.21</v>
      </c>
      <c r="G10942" s="332">
        <v>31340</v>
      </c>
      <c r="H10942" s="333">
        <v>37922</v>
      </c>
    </row>
    <row r="10943" spans="1:8">
      <c r="A10943" s="317">
        <v>2605105964</v>
      </c>
      <c r="B10943" s="330" t="s">
        <v>55299</v>
      </c>
      <c r="C10943" s="330" t="s">
        <v>24058</v>
      </c>
      <c r="D10943" s="330" t="s">
        <v>24059</v>
      </c>
      <c r="E10943" s="330" t="s">
        <v>37248</v>
      </c>
      <c r="F10943" s="331">
        <v>0.21</v>
      </c>
      <c r="G10943" s="332">
        <v>34141</v>
      </c>
      <c r="H10943" s="333">
        <v>41311</v>
      </c>
    </row>
    <row r="10944" spans="1:8">
      <c r="A10944" s="317">
        <v>2605105966</v>
      </c>
      <c r="B10944" s="330" t="s">
        <v>55300</v>
      </c>
      <c r="C10944" s="330" t="s">
        <v>24060</v>
      </c>
      <c r="D10944" s="330" t="s">
        <v>24059</v>
      </c>
      <c r="E10944" s="330" t="s">
        <v>37248</v>
      </c>
      <c r="F10944" s="331">
        <v>0.21</v>
      </c>
      <c r="G10944" s="332">
        <v>23025</v>
      </c>
      <c r="H10944" s="333">
        <v>27861</v>
      </c>
    </row>
    <row r="10945" spans="1:8">
      <c r="A10945" s="317">
        <v>2605105967</v>
      </c>
      <c r="B10945" s="330" t="s">
        <v>55301</v>
      </c>
      <c r="C10945" s="330" t="s">
        <v>24061</v>
      </c>
      <c r="D10945" s="330" t="s">
        <v>7369</v>
      </c>
      <c r="E10945" s="330" t="s">
        <v>37248</v>
      </c>
      <c r="F10945" s="331">
        <v>0.21</v>
      </c>
      <c r="G10945" s="332">
        <v>16420</v>
      </c>
      <c r="H10945" s="333">
        <v>19869</v>
      </c>
    </row>
    <row r="10946" spans="1:8">
      <c r="A10946" s="317">
        <v>2605108051</v>
      </c>
      <c r="B10946" s="330" t="s">
        <v>55302</v>
      </c>
      <c r="C10946" s="330" t="s">
        <v>24062</v>
      </c>
      <c r="D10946" s="330" t="s">
        <v>24063</v>
      </c>
      <c r="E10946" s="330" t="s">
        <v>4819</v>
      </c>
      <c r="F10946" s="331">
        <v>0.21</v>
      </c>
      <c r="G10946" s="332">
        <v>29606</v>
      </c>
      <c r="H10946" s="333">
        <v>35824</v>
      </c>
    </row>
    <row r="10947" spans="1:8">
      <c r="A10947" s="317">
        <v>2605108083</v>
      </c>
      <c r="B10947" s="330" t="s">
        <v>55303</v>
      </c>
      <c r="C10947" s="330" t="s">
        <v>24064</v>
      </c>
      <c r="D10947" s="330" t="s">
        <v>24065</v>
      </c>
      <c r="E10947" s="330" t="s">
        <v>37248</v>
      </c>
      <c r="F10947" s="331">
        <v>0.21</v>
      </c>
      <c r="G10947" s="332">
        <v>43578</v>
      </c>
      <c r="H10947" s="333">
        <v>52730</v>
      </c>
    </row>
    <row r="10948" spans="1:8">
      <c r="A10948" s="317">
        <v>2605108904</v>
      </c>
      <c r="B10948" s="330" t="s">
        <v>55304</v>
      </c>
      <c r="C10948" s="330" t="s">
        <v>24066</v>
      </c>
      <c r="D10948" s="330" t="s">
        <v>24067</v>
      </c>
      <c r="E10948" s="330" t="s">
        <v>4634</v>
      </c>
      <c r="F10948" s="331">
        <v>0.21</v>
      </c>
      <c r="G10948" s="332">
        <v>32196</v>
      </c>
      <c r="H10948" s="333">
        <v>38958</v>
      </c>
    </row>
    <row r="10949" spans="1:8">
      <c r="A10949" s="317">
        <v>2605108908</v>
      </c>
      <c r="B10949" s="330" t="s">
        <v>55305</v>
      </c>
      <c r="C10949" s="330" t="s">
        <v>24068</v>
      </c>
      <c r="D10949" s="330" t="s">
        <v>24069</v>
      </c>
      <c r="E10949" s="330" t="s">
        <v>4634</v>
      </c>
      <c r="F10949" s="331">
        <v>0.21</v>
      </c>
      <c r="G10949" s="332">
        <v>19933</v>
      </c>
      <c r="H10949" s="333">
        <v>24119</v>
      </c>
    </row>
    <row r="10950" spans="1:8">
      <c r="A10950" s="317">
        <v>2605108912</v>
      </c>
      <c r="B10950" s="330" t="s">
        <v>55306</v>
      </c>
      <c r="C10950" s="330" t="s">
        <v>24070</v>
      </c>
      <c r="D10950" s="330" t="s">
        <v>24071</v>
      </c>
      <c r="E10950" s="330" t="s">
        <v>4634</v>
      </c>
      <c r="F10950" s="331">
        <v>0.21</v>
      </c>
      <c r="G10950" s="332">
        <v>4432</v>
      </c>
      <c r="H10950" s="333">
        <v>5363</v>
      </c>
    </row>
    <row r="10951" spans="1:8">
      <c r="A10951" s="317">
        <v>2605132025</v>
      </c>
      <c r="B10951" s="330" t="s">
        <v>55307</v>
      </c>
      <c r="C10951" s="330" t="s">
        <v>24072</v>
      </c>
      <c r="D10951" s="330" t="s">
        <v>24073</v>
      </c>
      <c r="E10951" s="330" t="s">
        <v>37248</v>
      </c>
      <c r="F10951" s="331">
        <v>0.21</v>
      </c>
      <c r="G10951" s="332">
        <v>8860</v>
      </c>
      <c r="H10951" s="333">
        <v>10721</v>
      </c>
    </row>
    <row r="10952" spans="1:8">
      <c r="A10952" s="317">
        <v>2605132049</v>
      </c>
      <c r="B10952" s="330" t="s">
        <v>55308</v>
      </c>
      <c r="C10952" s="330" t="s">
        <v>24074</v>
      </c>
      <c r="D10952" s="330" t="s">
        <v>24075</v>
      </c>
      <c r="E10952" s="330" t="s">
        <v>37248</v>
      </c>
      <c r="F10952" s="331">
        <v>0.21</v>
      </c>
      <c r="G10952" s="332">
        <v>8860</v>
      </c>
      <c r="H10952" s="333">
        <v>10721</v>
      </c>
    </row>
    <row r="10953" spans="1:8">
      <c r="A10953" s="317">
        <v>2605132050</v>
      </c>
      <c r="B10953" s="330" t="s">
        <v>55309</v>
      </c>
      <c r="C10953" s="330" t="s">
        <v>24076</v>
      </c>
      <c r="D10953" s="330" t="s">
        <v>24077</v>
      </c>
      <c r="E10953" s="330" t="s">
        <v>4634</v>
      </c>
      <c r="F10953" s="331">
        <v>0.21</v>
      </c>
      <c r="G10953" s="332">
        <v>1882</v>
      </c>
      <c r="H10953" s="333">
        <v>2278</v>
      </c>
    </row>
    <row r="10954" spans="1:8">
      <c r="A10954" s="317">
        <v>2605132055</v>
      </c>
      <c r="B10954" s="330" t="s">
        <v>55310</v>
      </c>
      <c r="C10954" s="330" t="s">
        <v>24078</v>
      </c>
      <c r="D10954" s="330" t="s">
        <v>13103</v>
      </c>
      <c r="E10954" s="330" t="s">
        <v>4819</v>
      </c>
      <c r="F10954" s="331">
        <v>0.21</v>
      </c>
      <c r="G10954" s="332">
        <v>15427</v>
      </c>
      <c r="H10954" s="333">
        <v>18667</v>
      </c>
    </row>
    <row r="10955" spans="1:8">
      <c r="A10955" s="317">
        <v>2605132061</v>
      </c>
      <c r="B10955" s="330" t="s">
        <v>55311</v>
      </c>
      <c r="C10955" s="330" t="s">
        <v>24079</v>
      </c>
      <c r="D10955" s="330" t="s">
        <v>24080</v>
      </c>
      <c r="E10955" s="330" t="s">
        <v>37248</v>
      </c>
      <c r="F10955" s="331">
        <v>0.21</v>
      </c>
      <c r="G10955" s="332">
        <v>18769</v>
      </c>
      <c r="H10955" s="333">
        <v>22711</v>
      </c>
    </row>
    <row r="10956" spans="1:8">
      <c r="A10956" s="317">
        <v>2605132073</v>
      </c>
      <c r="B10956" s="330" t="s">
        <v>55312</v>
      </c>
      <c r="C10956" s="330" t="s">
        <v>24081</v>
      </c>
      <c r="D10956" s="330" t="s">
        <v>24082</v>
      </c>
      <c r="E10956" s="330" t="s">
        <v>37248</v>
      </c>
      <c r="F10956" s="331">
        <v>0.21</v>
      </c>
      <c r="G10956" s="332">
        <v>11963</v>
      </c>
      <c r="H10956" s="333">
        <v>14476</v>
      </c>
    </row>
    <row r="10957" spans="1:8">
      <c r="A10957" s="317">
        <v>2605132901</v>
      </c>
      <c r="B10957" s="330" t="s">
        <v>55313</v>
      </c>
      <c r="C10957" s="330" t="s">
        <v>24083</v>
      </c>
      <c r="D10957" s="330" t="s">
        <v>24084</v>
      </c>
      <c r="E10957" s="330" t="s">
        <v>4634</v>
      </c>
      <c r="F10957" s="331">
        <v>0.21</v>
      </c>
      <c r="G10957" s="332">
        <v>3395</v>
      </c>
      <c r="H10957" s="333">
        <v>4108</v>
      </c>
    </row>
    <row r="10958" spans="1:8">
      <c r="A10958" s="317">
        <v>2605133014</v>
      </c>
      <c r="B10958" s="330" t="s">
        <v>55314</v>
      </c>
      <c r="C10958" s="330" t="s">
        <v>24085</v>
      </c>
      <c r="D10958" s="330" t="s">
        <v>24086</v>
      </c>
      <c r="E10958" s="330" t="s">
        <v>4634</v>
      </c>
      <c r="F10958" s="331">
        <v>0.21</v>
      </c>
      <c r="G10958" s="332">
        <v>1566</v>
      </c>
      <c r="H10958" s="333">
        <v>1895</v>
      </c>
    </row>
    <row r="10959" spans="1:8">
      <c r="A10959" s="317">
        <v>2605133022</v>
      </c>
      <c r="B10959" s="330" t="s">
        <v>55315</v>
      </c>
      <c r="C10959" s="330" t="s">
        <v>24087</v>
      </c>
      <c r="D10959" s="330" t="s">
        <v>24088</v>
      </c>
      <c r="E10959" s="330" t="s">
        <v>4634</v>
      </c>
      <c r="F10959" s="331">
        <v>0.21</v>
      </c>
      <c r="G10959" s="332">
        <v>2881</v>
      </c>
      <c r="H10959" s="333">
        <v>3487</v>
      </c>
    </row>
    <row r="10960" spans="1:8">
      <c r="A10960" s="317">
        <v>2605133024</v>
      </c>
      <c r="B10960" s="330" t="s">
        <v>55316</v>
      </c>
      <c r="C10960" s="330" t="s">
        <v>24089</v>
      </c>
      <c r="D10960" s="330" t="s">
        <v>24090</v>
      </c>
      <c r="E10960" s="330" t="s">
        <v>4634</v>
      </c>
      <c r="F10960" s="331">
        <v>0.21</v>
      </c>
      <c r="G10960" s="332">
        <v>2775</v>
      </c>
      <c r="H10960" s="333">
        <v>3358</v>
      </c>
    </row>
    <row r="10961" spans="1:8">
      <c r="A10961" s="317">
        <v>2605133027</v>
      </c>
      <c r="B10961" s="330" t="s">
        <v>55317</v>
      </c>
      <c r="C10961" s="330" t="s">
        <v>24091</v>
      </c>
      <c r="D10961" s="330" t="s">
        <v>24092</v>
      </c>
      <c r="E10961" s="330" t="s">
        <v>4634</v>
      </c>
      <c r="F10961" s="331">
        <v>0.21</v>
      </c>
      <c r="G10961" s="332">
        <v>1713</v>
      </c>
      <c r="H10961" s="333">
        <v>2073</v>
      </c>
    </row>
    <row r="10962" spans="1:8">
      <c r="A10962" s="317">
        <v>2605133029</v>
      </c>
      <c r="B10962" s="330" t="s">
        <v>55318</v>
      </c>
      <c r="C10962" s="330" t="s">
        <v>24093</v>
      </c>
      <c r="D10962" s="330" t="s">
        <v>24094</v>
      </c>
      <c r="E10962" s="330" t="s">
        <v>4634</v>
      </c>
      <c r="F10962" s="331">
        <v>0.21</v>
      </c>
      <c r="G10962" s="332">
        <v>1641</v>
      </c>
      <c r="H10962" s="333">
        <v>1986</v>
      </c>
    </row>
    <row r="10963" spans="1:8">
      <c r="A10963" s="317">
        <v>2605133032</v>
      </c>
      <c r="B10963" s="330" t="s">
        <v>55319</v>
      </c>
      <c r="C10963" s="330" t="s">
        <v>24095</v>
      </c>
      <c r="D10963" s="330" t="s">
        <v>9598</v>
      </c>
      <c r="E10963" s="330" t="s">
        <v>37248</v>
      </c>
      <c r="F10963" s="331">
        <v>0.21</v>
      </c>
      <c r="G10963" s="332">
        <v>15998</v>
      </c>
      <c r="H10963" s="333">
        <v>19358</v>
      </c>
    </row>
    <row r="10964" spans="1:8">
      <c r="A10964" s="317">
        <v>2605190014</v>
      </c>
      <c r="B10964" s="330" t="s">
        <v>55320</v>
      </c>
      <c r="C10964" s="330" t="s">
        <v>24096</v>
      </c>
      <c r="D10964" s="330" t="s">
        <v>24097</v>
      </c>
      <c r="E10964" s="330" t="s">
        <v>4634</v>
      </c>
      <c r="F10964" s="331">
        <v>0.21</v>
      </c>
      <c r="G10964" s="332">
        <v>1474</v>
      </c>
      <c r="H10964" s="333">
        <v>1784</v>
      </c>
    </row>
    <row r="10965" spans="1:8">
      <c r="A10965" s="317">
        <v>2605190037</v>
      </c>
      <c r="B10965" s="330" t="s">
        <v>55321</v>
      </c>
      <c r="C10965" s="330" t="s">
        <v>24098</v>
      </c>
      <c r="D10965" s="330" t="s">
        <v>24099</v>
      </c>
      <c r="E10965" s="330" t="s">
        <v>4634</v>
      </c>
      <c r="F10965" s="331">
        <v>0.21</v>
      </c>
      <c r="G10965" s="332">
        <v>791</v>
      </c>
      <c r="H10965" s="333">
        <v>958</v>
      </c>
    </row>
    <row r="10966" spans="1:8">
      <c r="A10966" s="317">
        <v>2605190130</v>
      </c>
      <c r="B10966" s="330" t="s">
        <v>55322</v>
      </c>
      <c r="C10966" s="330" t="s">
        <v>24100</v>
      </c>
      <c r="D10966" s="330" t="s">
        <v>24101</v>
      </c>
      <c r="E10966" s="330" t="s">
        <v>4634</v>
      </c>
      <c r="F10966" s="331">
        <v>0.21</v>
      </c>
      <c r="G10966" s="332">
        <v>1043</v>
      </c>
      <c r="H10966" s="333">
        <v>1263</v>
      </c>
    </row>
    <row r="10967" spans="1:8">
      <c r="A10967" s="317">
        <v>2605190219</v>
      </c>
      <c r="B10967" s="330" t="s">
        <v>55323</v>
      </c>
      <c r="C10967" s="330" t="s">
        <v>24102</v>
      </c>
      <c r="D10967" s="330" t="s">
        <v>24103</v>
      </c>
      <c r="E10967" s="330" t="s">
        <v>4634</v>
      </c>
      <c r="F10967" s="331">
        <v>0.21</v>
      </c>
      <c r="G10967" s="332">
        <v>2063</v>
      </c>
      <c r="H10967" s="333">
        <v>2497</v>
      </c>
    </row>
    <row r="10968" spans="1:8">
      <c r="A10968" s="317">
        <v>2605190442</v>
      </c>
      <c r="B10968" s="330" t="s">
        <v>55324</v>
      </c>
      <c r="C10968" s="330" t="s">
        <v>24104</v>
      </c>
      <c r="D10968" s="330" t="s">
        <v>24105</v>
      </c>
      <c r="E10968" s="330" t="s">
        <v>4634</v>
      </c>
      <c r="F10968" s="331">
        <v>0.21</v>
      </c>
      <c r="G10968" s="332">
        <v>1170</v>
      </c>
      <c r="H10968" s="333">
        <v>1416</v>
      </c>
    </row>
    <row r="10969" spans="1:8">
      <c r="A10969" s="317">
        <v>2605190895</v>
      </c>
      <c r="B10969" s="330" t="s">
        <v>55325</v>
      </c>
      <c r="C10969" s="330" t="s">
        <v>24106</v>
      </c>
      <c r="D10969" s="330" t="s">
        <v>24107</v>
      </c>
      <c r="E10969" s="330" t="s">
        <v>4634</v>
      </c>
      <c r="F10969" s="331">
        <v>0.21</v>
      </c>
      <c r="G10969" s="332">
        <v>153</v>
      </c>
      <c r="H10969" s="333">
        <v>186</v>
      </c>
    </row>
    <row r="10970" spans="1:8">
      <c r="A10970" s="317">
        <v>2605190901</v>
      </c>
      <c r="B10970" s="330" t="s">
        <v>55326</v>
      </c>
      <c r="C10970" s="330" t="s">
        <v>24108</v>
      </c>
      <c r="D10970" s="330" t="s">
        <v>24109</v>
      </c>
      <c r="E10970" s="330" t="s">
        <v>4634</v>
      </c>
      <c r="F10970" s="331">
        <v>0.21</v>
      </c>
      <c r="G10970" s="332">
        <v>6631</v>
      </c>
      <c r="H10970" s="333">
        <v>8024</v>
      </c>
    </row>
    <row r="10971" spans="1:8">
      <c r="A10971" s="317">
        <v>2605190904</v>
      </c>
      <c r="B10971" s="330" t="s">
        <v>55327</v>
      </c>
      <c r="C10971" s="330" t="s">
        <v>24110</v>
      </c>
      <c r="D10971" s="330" t="s">
        <v>24111</v>
      </c>
      <c r="E10971" s="330" t="s">
        <v>4634</v>
      </c>
      <c r="F10971" s="331">
        <v>0.21</v>
      </c>
      <c r="G10971" s="332">
        <v>17043</v>
      </c>
      <c r="H10971" s="333">
        <v>20623</v>
      </c>
    </row>
    <row r="10972" spans="1:8">
      <c r="A10972" s="317">
        <v>2605190905</v>
      </c>
      <c r="B10972" s="330" t="s">
        <v>55328</v>
      </c>
      <c r="C10972" s="330" t="s">
        <v>24112</v>
      </c>
      <c r="D10972" s="330" t="s">
        <v>24113</v>
      </c>
      <c r="E10972" s="330" t="s">
        <v>4634</v>
      </c>
      <c r="F10972" s="331">
        <v>0.21</v>
      </c>
      <c r="G10972" s="332">
        <v>5451</v>
      </c>
      <c r="H10972" s="333">
        <v>6596</v>
      </c>
    </row>
    <row r="10973" spans="1:8">
      <c r="A10973" s="317">
        <v>2605190908</v>
      </c>
      <c r="B10973" s="330" t="s">
        <v>55329</v>
      </c>
      <c r="C10973" s="330" t="s">
        <v>24114</v>
      </c>
      <c r="D10973" s="330" t="s">
        <v>24115</v>
      </c>
      <c r="E10973" s="330" t="s">
        <v>4634</v>
      </c>
      <c r="F10973" s="331">
        <v>0.21</v>
      </c>
      <c r="G10973" s="332">
        <v>823</v>
      </c>
      <c r="H10973" s="333">
        <v>996</v>
      </c>
    </row>
    <row r="10974" spans="1:8">
      <c r="A10974" s="317">
        <v>2605190914</v>
      </c>
      <c r="B10974" s="330" t="s">
        <v>55330</v>
      </c>
      <c r="C10974" s="330" t="s">
        <v>24116</v>
      </c>
      <c r="D10974" s="330" t="s">
        <v>24117</v>
      </c>
      <c r="E10974" s="330" t="s">
        <v>4634</v>
      </c>
      <c r="F10974" s="331">
        <v>0.21</v>
      </c>
      <c r="G10974" s="332">
        <v>18671</v>
      </c>
      <c r="H10974" s="333">
        <v>22592</v>
      </c>
    </row>
    <row r="10975" spans="1:8">
      <c r="A10975" s="317">
        <v>2605190917</v>
      </c>
      <c r="B10975" s="330" t="s">
        <v>55331</v>
      </c>
      <c r="C10975" s="330" t="s">
        <v>24118</v>
      </c>
      <c r="D10975" s="330" t="s">
        <v>24119</v>
      </c>
      <c r="E10975" s="330" t="s">
        <v>4819</v>
      </c>
      <c r="F10975" s="331">
        <v>0.21</v>
      </c>
      <c r="G10975" s="332">
        <v>110577</v>
      </c>
      <c r="H10975" s="333">
        <v>133799</v>
      </c>
    </row>
    <row r="10976" spans="1:8">
      <c r="A10976" s="317">
        <v>2605191323</v>
      </c>
      <c r="B10976" s="330" t="s">
        <v>55332</v>
      </c>
      <c r="C10976" s="330" t="s">
        <v>24120</v>
      </c>
      <c r="D10976" s="330" t="s">
        <v>7002</v>
      </c>
      <c r="E10976" s="330" t="s">
        <v>37248</v>
      </c>
      <c r="F10976" s="331">
        <v>0.21</v>
      </c>
      <c r="G10976" s="332">
        <v>339</v>
      </c>
      <c r="H10976" s="333">
        <v>411</v>
      </c>
    </row>
    <row r="10977" spans="1:8">
      <c r="A10977" s="317">
        <v>2605191328</v>
      </c>
      <c r="B10977" s="330" t="s">
        <v>55333</v>
      </c>
      <c r="C10977" s="330" t="s">
        <v>24121</v>
      </c>
      <c r="D10977" s="330" t="s">
        <v>12578</v>
      </c>
      <c r="E10977" s="330" t="s">
        <v>37248</v>
      </c>
      <c r="F10977" s="331">
        <v>0.21</v>
      </c>
      <c r="G10977" s="332">
        <v>194</v>
      </c>
      <c r="H10977" s="333">
        <v>235</v>
      </c>
    </row>
    <row r="10978" spans="1:8">
      <c r="A10978" s="317">
        <v>2605411228</v>
      </c>
      <c r="B10978" s="330" t="s">
        <v>55334</v>
      </c>
      <c r="C10978" s="330" t="s">
        <v>24122</v>
      </c>
      <c r="D10978" s="330" t="s">
        <v>24123</v>
      </c>
      <c r="E10978" s="330" t="s">
        <v>37248</v>
      </c>
      <c r="F10978" s="331">
        <v>0.21</v>
      </c>
      <c r="G10978" s="332">
        <v>17009</v>
      </c>
      <c r="H10978" s="333">
        <v>20581</v>
      </c>
    </row>
    <row r="10979" spans="1:8">
      <c r="A10979" s="317">
        <v>2605439016</v>
      </c>
      <c r="B10979" s="330" t="s">
        <v>55335</v>
      </c>
      <c r="C10979" s="330" t="s">
        <v>24124</v>
      </c>
      <c r="D10979" s="330" t="s">
        <v>24125</v>
      </c>
      <c r="E10979" s="330" t="s">
        <v>4634</v>
      </c>
      <c r="F10979" s="331">
        <v>0.21</v>
      </c>
      <c r="G10979" s="332">
        <v>216</v>
      </c>
      <c r="H10979" s="333">
        <v>262</v>
      </c>
    </row>
    <row r="10980" spans="1:8">
      <c r="A10980" s="317">
        <v>2605500017</v>
      </c>
      <c r="B10980" s="330" t="s">
        <v>55336</v>
      </c>
      <c r="C10980" s="330" t="s">
        <v>24126</v>
      </c>
      <c r="D10980" s="330" t="s">
        <v>24127</v>
      </c>
      <c r="E10980" s="330" t="s">
        <v>4634</v>
      </c>
      <c r="F10980" s="331">
        <v>0.21</v>
      </c>
      <c r="G10980" s="332">
        <v>87</v>
      </c>
      <c r="H10980" s="333">
        <v>106</v>
      </c>
    </row>
    <row r="10981" spans="1:8">
      <c r="A10981" s="317">
        <v>2605500028</v>
      </c>
      <c r="B10981" s="330" t="s">
        <v>55337</v>
      </c>
      <c r="C10981" s="330" t="s">
        <v>24128</v>
      </c>
      <c r="D10981" s="330" t="s">
        <v>24129</v>
      </c>
      <c r="E10981" s="330" t="s">
        <v>4634</v>
      </c>
      <c r="F10981" s="331">
        <v>0.21</v>
      </c>
      <c r="G10981" s="332">
        <v>309</v>
      </c>
      <c r="H10981" s="333">
        <v>374</v>
      </c>
    </row>
    <row r="10982" spans="1:8">
      <c r="A10982" s="317">
        <v>2605500042</v>
      </c>
      <c r="B10982" s="330" t="s">
        <v>55338</v>
      </c>
      <c r="C10982" s="330" t="s">
        <v>24130</v>
      </c>
      <c r="D10982" s="330" t="s">
        <v>24131</v>
      </c>
      <c r="E10982" s="330" t="s">
        <v>4634</v>
      </c>
      <c r="F10982" s="331">
        <v>0.21</v>
      </c>
      <c r="G10982" s="332">
        <v>11477</v>
      </c>
      <c r="H10982" s="333">
        <v>13888</v>
      </c>
    </row>
    <row r="10983" spans="1:8">
      <c r="A10983" s="317">
        <v>2605500054</v>
      </c>
      <c r="B10983" s="330" t="s">
        <v>55339</v>
      </c>
      <c r="C10983" s="330" t="s">
        <v>24132</v>
      </c>
      <c r="D10983" s="330" t="s">
        <v>24133</v>
      </c>
      <c r="E10983" s="330" t="s">
        <v>4634</v>
      </c>
      <c r="F10983" s="331">
        <v>0.21</v>
      </c>
      <c r="G10983" s="332">
        <v>31359</v>
      </c>
      <c r="H10983" s="333">
        <v>37945</v>
      </c>
    </row>
    <row r="10984" spans="1:8">
      <c r="A10984" s="317">
        <v>2605500056</v>
      </c>
      <c r="B10984" s="330" t="s">
        <v>55340</v>
      </c>
      <c r="C10984" s="330" t="s">
        <v>24134</v>
      </c>
      <c r="D10984" s="330" t="s">
        <v>24135</v>
      </c>
      <c r="E10984" s="330" t="s">
        <v>4634</v>
      </c>
      <c r="F10984" s="331">
        <v>0.21</v>
      </c>
      <c r="G10984" s="332">
        <v>20449</v>
      </c>
      <c r="H10984" s="333">
        <v>24744</v>
      </c>
    </row>
    <row r="10985" spans="1:8">
      <c r="A10985" s="317">
        <v>2605500077</v>
      </c>
      <c r="B10985" s="330" t="s">
        <v>55341</v>
      </c>
      <c r="C10985" s="330" t="s">
        <v>24136</v>
      </c>
      <c r="D10985" s="330" t="s">
        <v>24137</v>
      </c>
      <c r="E10985" s="330" t="s">
        <v>4634</v>
      </c>
      <c r="F10985" s="331">
        <v>0.21</v>
      </c>
      <c r="G10985" s="332">
        <v>1431</v>
      </c>
      <c r="H10985" s="333">
        <v>1732</v>
      </c>
    </row>
    <row r="10986" spans="1:8">
      <c r="A10986" s="317">
        <v>2605500078</v>
      </c>
      <c r="B10986" s="330" t="s">
        <v>55342</v>
      </c>
      <c r="C10986" s="330" t="s">
        <v>24138</v>
      </c>
      <c r="D10986" s="330" t="s">
        <v>24139</v>
      </c>
      <c r="E10986" s="330" t="s">
        <v>4634</v>
      </c>
      <c r="F10986" s="331">
        <v>0.21</v>
      </c>
      <c r="G10986" s="332">
        <v>903</v>
      </c>
      <c r="H10986" s="333">
        <v>1093</v>
      </c>
    </row>
    <row r="10987" spans="1:8">
      <c r="A10987" s="317">
        <v>2605500083</v>
      </c>
      <c r="B10987" s="330" t="s">
        <v>55343</v>
      </c>
      <c r="C10987" s="330" t="s">
        <v>24140</v>
      </c>
      <c r="D10987" s="330" t="s">
        <v>24141</v>
      </c>
      <c r="E10987" s="330" t="s">
        <v>4634</v>
      </c>
      <c r="F10987" s="331">
        <v>0.21</v>
      </c>
      <c r="G10987" s="332">
        <v>678</v>
      </c>
      <c r="H10987" s="333">
        <v>821</v>
      </c>
    </row>
    <row r="10988" spans="1:8">
      <c r="A10988" s="317">
        <v>2605500099</v>
      </c>
      <c r="B10988" s="330" t="s">
        <v>55344</v>
      </c>
      <c r="C10988" s="330" t="s">
        <v>24142</v>
      </c>
      <c r="D10988" s="330" t="s">
        <v>24143</v>
      </c>
      <c r="E10988" s="330" t="s">
        <v>4634</v>
      </c>
      <c r="F10988" s="331">
        <v>0.21</v>
      </c>
      <c r="G10988" s="332">
        <v>437</v>
      </c>
      <c r="H10988" s="333">
        <v>529</v>
      </c>
    </row>
    <row r="10989" spans="1:8">
      <c r="A10989" s="317">
        <v>2605500100</v>
      </c>
      <c r="B10989" s="330" t="s">
        <v>55345</v>
      </c>
      <c r="C10989" s="330" t="s">
        <v>24144</v>
      </c>
      <c r="D10989" s="330" t="s">
        <v>24145</v>
      </c>
      <c r="E10989" s="330" t="s">
        <v>4634</v>
      </c>
      <c r="F10989" s="331">
        <v>0.21</v>
      </c>
      <c r="G10989" s="332">
        <v>928</v>
      </c>
      <c r="H10989" s="333">
        <v>1123</v>
      </c>
    </row>
    <row r="10990" spans="1:8">
      <c r="A10990" s="317">
        <v>2605500105</v>
      </c>
      <c r="B10990" s="330" t="s">
        <v>55346</v>
      </c>
      <c r="C10990" s="330" t="s">
        <v>24146</v>
      </c>
      <c r="D10990" s="330" t="s">
        <v>24147</v>
      </c>
      <c r="E10990" s="330" t="s">
        <v>4623</v>
      </c>
      <c r="F10990" s="331">
        <v>0.21</v>
      </c>
      <c r="G10990" s="332">
        <v>3515</v>
      </c>
      <c r="H10990" s="333">
        <v>4254</v>
      </c>
    </row>
    <row r="10991" spans="1:8">
      <c r="A10991" s="317">
        <v>2605500124</v>
      </c>
      <c r="B10991" s="330" t="s">
        <v>55347</v>
      </c>
      <c r="C10991" s="330" t="s">
        <v>24148</v>
      </c>
      <c r="D10991" s="330" t="s">
        <v>24149</v>
      </c>
      <c r="E10991" s="330" t="s">
        <v>37248</v>
      </c>
      <c r="F10991" s="331">
        <v>0.21</v>
      </c>
      <c r="G10991" s="332">
        <v>13467</v>
      </c>
      <c r="H10991" s="333">
        <v>16296</v>
      </c>
    </row>
    <row r="10992" spans="1:8">
      <c r="A10992" s="317">
        <v>2605500125</v>
      </c>
      <c r="B10992" s="330" t="s">
        <v>55348</v>
      </c>
      <c r="C10992" s="330" t="s">
        <v>24150</v>
      </c>
      <c r="D10992" s="330" t="s">
        <v>6109</v>
      </c>
      <c r="E10992" s="330" t="s">
        <v>37248</v>
      </c>
      <c r="F10992" s="331">
        <v>0.21</v>
      </c>
      <c r="G10992" s="332">
        <v>14711</v>
      </c>
      <c r="H10992" s="333">
        <v>17801</v>
      </c>
    </row>
    <row r="10993" spans="1:8">
      <c r="A10993" s="317">
        <v>2605500138</v>
      </c>
      <c r="B10993" s="330" t="s">
        <v>55349</v>
      </c>
      <c r="C10993" s="330" t="s">
        <v>24151</v>
      </c>
      <c r="D10993" s="330" t="s">
        <v>24152</v>
      </c>
      <c r="E10993" s="330" t="s">
        <v>4634</v>
      </c>
      <c r="F10993" s="331">
        <v>0.21</v>
      </c>
      <c r="G10993" s="332">
        <v>348</v>
      </c>
      <c r="H10993" s="333">
        <v>422</v>
      </c>
    </row>
    <row r="10994" spans="1:8">
      <c r="A10994" s="317">
        <v>2605500142</v>
      </c>
      <c r="B10994" s="330" t="s">
        <v>55350</v>
      </c>
      <c r="C10994" s="330" t="s">
        <v>24153</v>
      </c>
      <c r="D10994" s="330" t="s">
        <v>24154</v>
      </c>
      <c r="E10994" s="330" t="s">
        <v>4634</v>
      </c>
      <c r="F10994" s="331">
        <v>0.21</v>
      </c>
      <c r="G10994" s="332">
        <v>1450</v>
      </c>
      <c r="H10994" s="333">
        <v>1755</v>
      </c>
    </row>
    <row r="10995" spans="1:8">
      <c r="A10995" s="317">
        <v>2605500149</v>
      </c>
      <c r="B10995" s="330" t="s">
        <v>55351</v>
      </c>
      <c r="C10995" s="330" t="s">
        <v>24155</v>
      </c>
      <c r="D10995" s="330" t="s">
        <v>24156</v>
      </c>
      <c r="E10995" s="330" t="s">
        <v>4634</v>
      </c>
      <c r="F10995" s="331">
        <v>0.21</v>
      </c>
      <c r="G10995" s="332">
        <v>1581</v>
      </c>
      <c r="H10995" s="333">
        <v>1914</v>
      </c>
    </row>
    <row r="10996" spans="1:8">
      <c r="A10996" s="317">
        <v>2605500163</v>
      </c>
      <c r="B10996" s="330" t="s">
        <v>55352</v>
      </c>
      <c r="C10996" s="330" t="s">
        <v>24157</v>
      </c>
      <c r="D10996" s="330" t="s">
        <v>24158</v>
      </c>
      <c r="E10996" s="330" t="s">
        <v>4819</v>
      </c>
      <c r="F10996" s="331">
        <v>0.21</v>
      </c>
      <c r="G10996" s="332">
        <v>12150</v>
      </c>
      <c r="H10996" s="333">
        <v>14702</v>
      </c>
    </row>
    <row r="10997" spans="1:8">
      <c r="A10997" s="317">
        <v>2605500166</v>
      </c>
      <c r="B10997" s="330" t="s">
        <v>55353</v>
      </c>
      <c r="C10997" s="330" t="s">
        <v>24159</v>
      </c>
      <c r="D10997" s="330" t="s">
        <v>24160</v>
      </c>
      <c r="E10997" s="330" t="s">
        <v>4634</v>
      </c>
      <c r="F10997" s="331">
        <v>0.21</v>
      </c>
      <c r="G10997" s="332">
        <v>2330</v>
      </c>
      <c r="H10997" s="333">
        <v>2820</v>
      </c>
    </row>
    <row r="10998" spans="1:8">
      <c r="A10998" s="317">
        <v>2605500168</v>
      </c>
      <c r="B10998" s="330" t="s">
        <v>55354</v>
      </c>
      <c r="C10998" s="330" t="s">
        <v>24161</v>
      </c>
      <c r="D10998" s="330" t="s">
        <v>24162</v>
      </c>
      <c r="E10998" s="330" t="s">
        <v>4634</v>
      </c>
      <c r="F10998" s="331">
        <v>0.21</v>
      </c>
      <c r="G10998" s="332">
        <v>2491</v>
      </c>
      <c r="H10998" s="333">
        <v>3015</v>
      </c>
    </row>
    <row r="10999" spans="1:8">
      <c r="A10999" s="317">
        <v>2605500169</v>
      </c>
      <c r="B10999" s="330" t="s">
        <v>55355</v>
      </c>
      <c r="C10999" s="330" t="s">
        <v>24163</v>
      </c>
      <c r="D10999" s="330" t="s">
        <v>24162</v>
      </c>
      <c r="E10999" s="330" t="s">
        <v>4623</v>
      </c>
      <c r="F10999" s="331">
        <v>0.21</v>
      </c>
      <c r="G10999" s="332">
        <v>10718</v>
      </c>
      <c r="H10999" s="333">
        <v>12969</v>
      </c>
    </row>
    <row r="11000" spans="1:8">
      <c r="A11000" s="317">
        <v>2605500178</v>
      </c>
      <c r="B11000" s="330" t="s">
        <v>55356</v>
      </c>
      <c r="C11000" s="330" t="s">
        <v>24164</v>
      </c>
      <c r="D11000" s="330" t="s">
        <v>24165</v>
      </c>
      <c r="E11000" s="330" t="s">
        <v>4634</v>
      </c>
      <c r="F11000" s="331">
        <v>0.21</v>
      </c>
      <c r="G11000" s="332">
        <v>1423</v>
      </c>
      <c r="H11000" s="333">
        <v>1722</v>
      </c>
    </row>
    <row r="11001" spans="1:8">
      <c r="A11001" s="317">
        <v>2605500181</v>
      </c>
      <c r="B11001" s="330" t="s">
        <v>55357</v>
      </c>
      <c r="C11001" s="330" t="s">
        <v>24166</v>
      </c>
      <c r="D11001" s="330" t="s">
        <v>24167</v>
      </c>
      <c r="E11001" s="330" t="s">
        <v>4634</v>
      </c>
      <c r="F11001" s="331">
        <v>0.21</v>
      </c>
      <c r="G11001" s="332">
        <v>1641</v>
      </c>
      <c r="H11001" s="333">
        <v>1986</v>
      </c>
    </row>
    <row r="11002" spans="1:8">
      <c r="A11002" s="317">
        <v>2605500189</v>
      </c>
      <c r="B11002" s="330" t="s">
        <v>55358</v>
      </c>
      <c r="C11002" s="330" t="s">
        <v>24168</v>
      </c>
      <c r="D11002" s="330" t="s">
        <v>24169</v>
      </c>
      <c r="E11002" s="330" t="s">
        <v>4634</v>
      </c>
      <c r="F11002" s="331">
        <v>0.21</v>
      </c>
      <c r="G11002" s="332">
        <v>1199</v>
      </c>
      <c r="H11002" s="333">
        <v>1451</v>
      </c>
    </row>
    <row r="11003" spans="1:8">
      <c r="A11003" s="317">
        <v>2605500196</v>
      </c>
      <c r="B11003" s="330" t="s">
        <v>55359</v>
      </c>
      <c r="C11003" s="330" t="s">
        <v>24170</v>
      </c>
      <c r="D11003" s="330" t="s">
        <v>24171</v>
      </c>
      <c r="E11003" s="330" t="s">
        <v>4819</v>
      </c>
      <c r="F11003" s="331">
        <v>0.21</v>
      </c>
      <c r="G11003" s="332">
        <v>3934</v>
      </c>
      <c r="H11003" s="333">
        <v>4761</v>
      </c>
    </row>
    <row r="11004" spans="1:8">
      <c r="A11004" s="317">
        <v>2605500203</v>
      </c>
      <c r="B11004" s="330" t="s">
        <v>55360</v>
      </c>
      <c r="C11004" s="330" t="s">
        <v>24172</v>
      </c>
      <c r="D11004" s="330" t="s">
        <v>24173</v>
      </c>
      <c r="E11004" s="330" t="s">
        <v>4634</v>
      </c>
      <c r="F11004" s="331">
        <v>0.21</v>
      </c>
      <c r="G11004" s="332">
        <v>584</v>
      </c>
      <c r="H11004" s="333">
        <v>707</v>
      </c>
    </row>
    <row r="11005" spans="1:8">
      <c r="A11005" s="317">
        <v>2605500207</v>
      </c>
      <c r="B11005" s="330" t="s">
        <v>55361</v>
      </c>
      <c r="C11005" s="330" t="s">
        <v>24174</v>
      </c>
      <c r="D11005" s="330" t="s">
        <v>24175</v>
      </c>
      <c r="E11005" s="330" t="s">
        <v>4634</v>
      </c>
      <c r="F11005" s="331">
        <v>0.21</v>
      </c>
      <c r="G11005" s="332">
        <v>1798</v>
      </c>
      <c r="H11005" s="333">
        <v>2176</v>
      </c>
    </row>
    <row r="11006" spans="1:8">
      <c r="A11006" s="317">
        <v>2605500208</v>
      </c>
      <c r="B11006" s="330" t="s">
        <v>55362</v>
      </c>
      <c r="C11006" s="330" t="s">
        <v>24176</v>
      </c>
      <c r="D11006" s="330" t="s">
        <v>24177</v>
      </c>
      <c r="E11006" s="330" t="s">
        <v>4819</v>
      </c>
      <c r="F11006" s="331">
        <v>0.21</v>
      </c>
      <c r="G11006" s="332">
        <v>9195</v>
      </c>
      <c r="H11006" s="333">
        <v>11126</v>
      </c>
    </row>
    <row r="11007" spans="1:8">
      <c r="A11007" s="317">
        <v>2605500209</v>
      </c>
      <c r="B11007" s="330" t="s">
        <v>55363</v>
      </c>
      <c r="C11007" s="330" t="s">
        <v>24178</v>
      </c>
      <c r="D11007" s="330" t="s">
        <v>24179</v>
      </c>
      <c r="E11007" s="330" t="s">
        <v>37248</v>
      </c>
      <c r="F11007" s="331">
        <v>0.21</v>
      </c>
      <c r="G11007" s="332">
        <v>5326</v>
      </c>
      <c r="H11007" s="333">
        <v>6445</v>
      </c>
    </row>
    <row r="11008" spans="1:8">
      <c r="A11008" s="317">
        <v>2605500230</v>
      </c>
      <c r="B11008" s="330" t="s">
        <v>55364</v>
      </c>
      <c r="C11008" s="330" t="s">
        <v>24180</v>
      </c>
      <c r="D11008" s="330" t="s">
        <v>12624</v>
      </c>
      <c r="E11008" s="330" t="s">
        <v>37248</v>
      </c>
      <c r="F11008" s="331">
        <v>0.21</v>
      </c>
      <c r="G11008" s="332">
        <v>515</v>
      </c>
      <c r="H11008" s="333">
        <v>624</v>
      </c>
    </row>
    <row r="11009" spans="1:8">
      <c r="A11009" s="317">
        <v>2605500900</v>
      </c>
      <c r="B11009" s="330" t="s">
        <v>55365</v>
      </c>
      <c r="C11009" s="330" t="s">
        <v>24181</v>
      </c>
      <c r="D11009" s="330" t="s">
        <v>24182</v>
      </c>
      <c r="E11009" s="330" t="s">
        <v>4634</v>
      </c>
      <c r="F11009" s="331">
        <v>0.21</v>
      </c>
      <c r="G11009" s="332">
        <v>678</v>
      </c>
      <c r="H11009" s="333">
        <v>821</v>
      </c>
    </row>
    <row r="11010" spans="1:8">
      <c r="A11010" s="317">
        <v>2605500907</v>
      </c>
      <c r="B11010" s="330" t="s">
        <v>55366</v>
      </c>
      <c r="C11010" s="330" t="s">
        <v>24183</v>
      </c>
      <c r="D11010" s="330" t="s">
        <v>24184</v>
      </c>
      <c r="E11010" s="330" t="s">
        <v>4634</v>
      </c>
      <c r="F11010" s="331">
        <v>0.21</v>
      </c>
      <c r="G11010" s="332">
        <v>2270</v>
      </c>
      <c r="H11010" s="333">
        <v>2747</v>
      </c>
    </row>
    <row r="11011" spans="1:8">
      <c r="A11011" s="317">
        <v>2605500908</v>
      </c>
      <c r="B11011" s="330" t="s">
        <v>55367</v>
      </c>
      <c r="C11011" s="330" t="s">
        <v>24185</v>
      </c>
      <c r="D11011" s="330" t="s">
        <v>24186</v>
      </c>
      <c r="E11011" s="330" t="s">
        <v>4634</v>
      </c>
      <c r="F11011" s="331">
        <v>0.21</v>
      </c>
      <c r="G11011" s="332">
        <v>455</v>
      </c>
      <c r="H11011" s="333">
        <v>551</v>
      </c>
    </row>
    <row r="11012" spans="1:8">
      <c r="A11012" s="317">
        <v>2605500910</v>
      </c>
      <c r="B11012" s="330" t="s">
        <v>55368</v>
      </c>
      <c r="C11012" s="330" t="s">
        <v>24187</v>
      </c>
      <c r="D11012" s="330" t="s">
        <v>24188</v>
      </c>
      <c r="E11012" s="330" t="s">
        <v>4634</v>
      </c>
      <c r="F11012" s="331">
        <v>0.21</v>
      </c>
      <c r="G11012" s="332">
        <v>928</v>
      </c>
      <c r="H11012" s="333">
        <v>1123</v>
      </c>
    </row>
    <row r="11013" spans="1:8">
      <c r="A11013" s="317">
        <v>2605500911</v>
      </c>
      <c r="B11013" s="330" t="s">
        <v>55369</v>
      </c>
      <c r="C11013" s="330" t="s">
        <v>24189</v>
      </c>
      <c r="D11013" s="330" t="s">
        <v>24190</v>
      </c>
      <c r="E11013" s="330" t="s">
        <v>4634</v>
      </c>
      <c r="F11013" s="331">
        <v>0.21</v>
      </c>
      <c r="G11013" s="332">
        <v>928</v>
      </c>
      <c r="H11013" s="333">
        <v>1123</v>
      </c>
    </row>
    <row r="11014" spans="1:8">
      <c r="A11014" s="317">
        <v>2605510007</v>
      </c>
      <c r="B11014" s="330" t="s">
        <v>55370</v>
      </c>
      <c r="C11014" s="330" t="s">
        <v>24191</v>
      </c>
      <c r="D11014" s="330" t="s">
        <v>24192</v>
      </c>
      <c r="E11014" s="330" t="s">
        <v>4634</v>
      </c>
      <c r="F11014" s="331">
        <v>0.21</v>
      </c>
      <c r="G11014" s="332">
        <v>791</v>
      </c>
      <c r="H11014" s="333">
        <v>958</v>
      </c>
    </row>
    <row r="11015" spans="1:8">
      <c r="A11015" s="317">
        <v>2605510008</v>
      </c>
      <c r="B11015" s="330" t="s">
        <v>55371</v>
      </c>
      <c r="C11015" s="330" t="s">
        <v>24193</v>
      </c>
      <c r="D11015" s="330" t="s">
        <v>24194</v>
      </c>
      <c r="E11015" s="330" t="s">
        <v>4634</v>
      </c>
      <c r="F11015" s="331">
        <v>0.21</v>
      </c>
      <c r="G11015" s="332">
        <v>564</v>
      </c>
      <c r="H11015" s="333">
        <v>683</v>
      </c>
    </row>
    <row r="11016" spans="1:8">
      <c r="A11016" s="317">
        <v>2605510039</v>
      </c>
      <c r="B11016" s="330" t="s">
        <v>55372</v>
      </c>
      <c r="C11016" s="330" t="s">
        <v>24195</v>
      </c>
      <c r="D11016" s="330" t="s">
        <v>8219</v>
      </c>
      <c r="E11016" s="330" t="s">
        <v>4634</v>
      </c>
      <c r="F11016" s="331">
        <v>0.21</v>
      </c>
      <c r="G11016" s="332">
        <v>1030</v>
      </c>
      <c r="H11016" s="333">
        <v>1247</v>
      </c>
    </row>
    <row r="11017" spans="1:8">
      <c r="A11017" s="317">
        <v>2605510041</v>
      </c>
      <c r="B11017" s="330" t="s">
        <v>55373</v>
      </c>
      <c r="C11017" s="330" t="s">
        <v>24196</v>
      </c>
      <c r="D11017" s="330" t="s">
        <v>24197</v>
      </c>
      <c r="E11017" s="330" t="s">
        <v>4634</v>
      </c>
      <c r="F11017" s="331">
        <v>0.21</v>
      </c>
      <c r="G11017" s="332">
        <v>1581</v>
      </c>
      <c r="H11017" s="333">
        <v>1914</v>
      </c>
    </row>
    <row r="11018" spans="1:8">
      <c r="A11018" s="317">
        <v>2605510052</v>
      </c>
      <c r="B11018" s="330" t="s">
        <v>55374</v>
      </c>
      <c r="C11018" s="330" t="s">
        <v>24198</v>
      </c>
      <c r="D11018" s="330" t="s">
        <v>24199</v>
      </c>
      <c r="E11018" s="330" t="s">
        <v>4634</v>
      </c>
      <c r="F11018" s="331">
        <v>0.21</v>
      </c>
      <c r="G11018" s="332">
        <v>584</v>
      </c>
      <c r="H11018" s="333">
        <v>707</v>
      </c>
    </row>
    <row r="11019" spans="1:8">
      <c r="A11019" s="317">
        <v>2605510063</v>
      </c>
      <c r="B11019" s="330" t="s">
        <v>55375</v>
      </c>
      <c r="C11019" s="330" t="s">
        <v>24200</v>
      </c>
      <c r="D11019" s="330" t="s">
        <v>24201</v>
      </c>
      <c r="E11019" s="330" t="s">
        <v>4634</v>
      </c>
      <c r="F11019" s="331">
        <v>0.21</v>
      </c>
      <c r="G11019" s="332">
        <v>1170</v>
      </c>
      <c r="H11019" s="333">
        <v>1416</v>
      </c>
    </row>
    <row r="11020" spans="1:8">
      <c r="A11020" s="317">
        <v>2605510064</v>
      </c>
      <c r="B11020" s="330" t="s">
        <v>55376</v>
      </c>
      <c r="C11020" s="330" t="s">
        <v>24202</v>
      </c>
      <c r="D11020" s="330" t="s">
        <v>24203</v>
      </c>
      <c r="E11020" s="330" t="s">
        <v>4634</v>
      </c>
      <c r="F11020" s="331">
        <v>0.21</v>
      </c>
      <c r="G11020" s="332">
        <v>1126</v>
      </c>
      <c r="H11020" s="333">
        <v>1363</v>
      </c>
    </row>
    <row r="11021" spans="1:8">
      <c r="A11021" s="317">
        <v>2605510130</v>
      </c>
      <c r="B11021" s="330" t="s">
        <v>55377</v>
      </c>
      <c r="C11021" s="330" t="s">
        <v>24204</v>
      </c>
      <c r="D11021" s="330" t="s">
        <v>24205</v>
      </c>
      <c r="E11021" s="330" t="s">
        <v>4634</v>
      </c>
      <c r="F11021" s="331">
        <v>0.21</v>
      </c>
      <c r="G11021" s="332">
        <v>791</v>
      </c>
      <c r="H11021" s="333">
        <v>958</v>
      </c>
    </row>
    <row r="11022" spans="1:8">
      <c r="A11022" s="317">
        <v>2605510135</v>
      </c>
      <c r="B11022" s="330" t="s">
        <v>55378</v>
      </c>
      <c r="C11022" s="330" t="s">
        <v>24206</v>
      </c>
      <c r="D11022" s="330" t="s">
        <v>24207</v>
      </c>
      <c r="E11022" s="330" t="s">
        <v>4634</v>
      </c>
      <c r="F11022" s="331">
        <v>0.21</v>
      </c>
      <c r="G11022" s="332">
        <v>791</v>
      </c>
      <c r="H11022" s="333">
        <v>958</v>
      </c>
    </row>
    <row r="11023" spans="1:8">
      <c r="A11023" s="317">
        <v>2605510136</v>
      </c>
      <c r="B11023" s="330" t="s">
        <v>55379</v>
      </c>
      <c r="C11023" s="330" t="s">
        <v>24208</v>
      </c>
      <c r="D11023" s="330" t="s">
        <v>24209</v>
      </c>
      <c r="E11023" s="330" t="s">
        <v>4634</v>
      </c>
      <c r="F11023" s="331">
        <v>0.21</v>
      </c>
      <c r="G11023" s="332">
        <v>648</v>
      </c>
      <c r="H11023" s="333">
        <v>785</v>
      </c>
    </row>
    <row r="11024" spans="1:8">
      <c r="A11024" s="317">
        <v>2605510143</v>
      </c>
      <c r="B11024" s="330" t="s">
        <v>55380</v>
      </c>
      <c r="C11024" s="330" t="s">
        <v>24210</v>
      </c>
      <c r="D11024" s="330" t="s">
        <v>24211</v>
      </c>
      <c r="E11024" s="330" t="s">
        <v>4634</v>
      </c>
      <c r="F11024" s="331">
        <v>0.21</v>
      </c>
      <c r="G11024" s="332">
        <v>396</v>
      </c>
      <c r="H11024" s="333">
        <v>480</v>
      </c>
    </row>
    <row r="11025" spans="1:8">
      <c r="A11025" s="317">
        <v>2605510159</v>
      </c>
      <c r="B11025" s="330" t="s">
        <v>55381</v>
      </c>
      <c r="C11025" s="330" t="s">
        <v>24212</v>
      </c>
      <c r="D11025" s="330" t="s">
        <v>24213</v>
      </c>
      <c r="E11025" s="330" t="s">
        <v>4634</v>
      </c>
      <c r="F11025" s="331">
        <v>0.21</v>
      </c>
      <c r="G11025" s="332">
        <v>455</v>
      </c>
      <c r="H11025" s="333">
        <v>551</v>
      </c>
    </row>
    <row r="11026" spans="1:8">
      <c r="A11026" s="317">
        <v>2605510160</v>
      </c>
      <c r="B11026" s="330" t="s">
        <v>55382</v>
      </c>
      <c r="C11026" s="330" t="s">
        <v>24214</v>
      </c>
      <c r="D11026" s="330" t="s">
        <v>24215</v>
      </c>
      <c r="E11026" s="330" t="s">
        <v>4634</v>
      </c>
      <c r="F11026" s="331">
        <v>0.21</v>
      </c>
      <c r="G11026" s="332">
        <v>372</v>
      </c>
      <c r="H11026" s="333">
        <v>451</v>
      </c>
    </row>
    <row r="11027" spans="1:8">
      <c r="A11027" s="317">
        <v>2605510169</v>
      </c>
      <c r="B11027" s="330" t="s">
        <v>55383</v>
      </c>
      <c r="C11027" s="330" t="s">
        <v>24216</v>
      </c>
      <c r="D11027" s="330" t="s">
        <v>24217</v>
      </c>
      <c r="E11027" s="330" t="s">
        <v>4634</v>
      </c>
      <c r="F11027" s="331">
        <v>0.21</v>
      </c>
      <c r="G11027" s="332">
        <v>564</v>
      </c>
      <c r="H11027" s="333">
        <v>683</v>
      </c>
    </row>
    <row r="11028" spans="1:8">
      <c r="A11028" s="317">
        <v>2605510170</v>
      </c>
      <c r="B11028" s="330" t="s">
        <v>55384</v>
      </c>
      <c r="C11028" s="330" t="s">
        <v>24218</v>
      </c>
      <c r="D11028" s="330" t="s">
        <v>24219</v>
      </c>
      <c r="E11028" s="330" t="s">
        <v>4623</v>
      </c>
      <c r="F11028" s="331">
        <v>0.21</v>
      </c>
      <c r="G11028" s="332">
        <v>1373</v>
      </c>
      <c r="H11028" s="333">
        <v>1662</v>
      </c>
    </row>
    <row r="11029" spans="1:8">
      <c r="A11029" s="317">
        <v>2605510205</v>
      </c>
      <c r="B11029" s="330" t="s">
        <v>55385</v>
      </c>
      <c r="C11029" s="330" t="s">
        <v>24220</v>
      </c>
      <c r="D11029" s="330" t="s">
        <v>24221</v>
      </c>
      <c r="E11029" s="330" t="s">
        <v>4634</v>
      </c>
      <c r="F11029" s="331">
        <v>0.21</v>
      </c>
      <c r="G11029" s="332">
        <v>455</v>
      </c>
      <c r="H11029" s="333">
        <v>551</v>
      </c>
    </row>
    <row r="11030" spans="1:8">
      <c r="A11030" s="317">
        <v>2605510206</v>
      </c>
      <c r="B11030" s="330" t="s">
        <v>55386</v>
      </c>
      <c r="C11030" s="330" t="s">
        <v>24222</v>
      </c>
      <c r="D11030" s="330" t="s">
        <v>24223</v>
      </c>
      <c r="E11030" s="330" t="s">
        <v>4819</v>
      </c>
      <c r="F11030" s="331">
        <v>0.21</v>
      </c>
      <c r="G11030" s="332">
        <v>3468</v>
      </c>
      <c r="H11030" s="333">
        <v>4197</v>
      </c>
    </row>
    <row r="11031" spans="1:8">
      <c r="A11031" s="317">
        <v>2605510207</v>
      </c>
      <c r="B11031" s="330" t="s">
        <v>55387</v>
      </c>
      <c r="C11031" s="330" t="s">
        <v>24224</v>
      </c>
      <c r="D11031" s="330" t="s">
        <v>24225</v>
      </c>
      <c r="E11031" s="330" t="s">
        <v>4634</v>
      </c>
      <c r="F11031" s="331">
        <v>0.21</v>
      </c>
      <c r="G11031" s="332">
        <v>1126</v>
      </c>
      <c r="H11031" s="333">
        <v>1363</v>
      </c>
    </row>
    <row r="11032" spans="1:8">
      <c r="A11032" s="317">
        <v>2605510208</v>
      </c>
      <c r="B11032" s="330" t="s">
        <v>55388</v>
      </c>
      <c r="C11032" s="330" t="s">
        <v>24226</v>
      </c>
      <c r="D11032" s="330" t="s">
        <v>24227</v>
      </c>
      <c r="E11032" s="330" t="s">
        <v>4634</v>
      </c>
      <c r="F11032" s="331">
        <v>0.21</v>
      </c>
      <c r="G11032" s="332">
        <v>1713</v>
      </c>
      <c r="H11032" s="333">
        <v>2073</v>
      </c>
    </row>
    <row r="11033" spans="1:8">
      <c r="A11033" s="317">
        <v>2605510255</v>
      </c>
      <c r="B11033" s="330" t="s">
        <v>55389</v>
      </c>
      <c r="C11033" s="330" t="s">
        <v>24228</v>
      </c>
      <c r="D11033" s="330" t="s">
        <v>24229</v>
      </c>
      <c r="E11033" s="330" t="s">
        <v>4634</v>
      </c>
      <c r="F11033" s="331">
        <v>0.21</v>
      </c>
      <c r="G11033" s="332">
        <v>1547</v>
      </c>
      <c r="H11033" s="333">
        <v>1872</v>
      </c>
    </row>
    <row r="11034" spans="1:8">
      <c r="A11034" s="317">
        <v>2605510293</v>
      </c>
      <c r="B11034" s="330" t="s">
        <v>55390</v>
      </c>
      <c r="C11034" s="330" t="s">
        <v>24230</v>
      </c>
      <c r="D11034" s="330" t="s">
        <v>24231</v>
      </c>
      <c r="E11034" s="330" t="s">
        <v>4634</v>
      </c>
      <c r="F11034" s="331">
        <v>0.21</v>
      </c>
      <c r="G11034" s="332">
        <v>372</v>
      </c>
      <c r="H11034" s="333">
        <v>451</v>
      </c>
    </row>
    <row r="11035" spans="1:8">
      <c r="A11035" s="317">
        <v>2605510323</v>
      </c>
      <c r="B11035" s="330" t="s">
        <v>55391</v>
      </c>
      <c r="C11035" s="330" t="s">
        <v>24232</v>
      </c>
      <c r="D11035" s="330" t="s">
        <v>7590</v>
      </c>
      <c r="E11035" s="330" t="s">
        <v>37248</v>
      </c>
      <c r="F11035" s="331">
        <v>0.21</v>
      </c>
      <c r="G11035" s="332">
        <v>10953</v>
      </c>
      <c r="H11035" s="333">
        <v>13254</v>
      </c>
    </row>
    <row r="11036" spans="1:8">
      <c r="A11036" s="317">
        <v>2605700015</v>
      </c>
      <c r="B11036" s="330" t="s">
        <v>55392</v>
      </c>
      <c r="C11036" s="330" t="s">
        <v>24233</v>
      </c>
      <c r="D11036" s="330" t="s">
        <v>24234</v>
      </c>
      <c r="E11036" s="330" t="s">
        <v>4634</v>
      </c>
      <c r="F11036" s="331">
        <v>0.21</v>
      </c>
      <c r="G11036" s="332">
        <v>2359</v>
      </c>
      <c r="H11036" s="333">
        <v>2855</v>
      </c>
    </row>
    <row r="11037" spans="1:8">
      <c r="A11037" s="317">
        <v>2605700052</v>
      </c>
      <c r="B11037" s="330" t="s">
        <v>55393</v>
      </c>
      <c r="C11037" s="330" t="s">
        <v>24235</v>
      </c>
      <c r="D11037" s="330" t="s">
        <v>5822</v>
      </c>
      <c r="E11037" s="330" t="s">
        <v>4634</v>
      </c>
      <c r="F11037" s="331">
        <v>0.21</v>
      </c>
      <c r="G11037" s="332">
        <v>2319</v>
      </c>
      <c r="H11037" s="333">
        <v>2806</v>
      </c>
    </row>
    <row r="11038" spans="1:8">
      <c r="A11038" s="317">
        <v>2605700215</v>
      </c>
      <c r="B11038" s="330" t="s">
        <v>55394</v>
      </c>
      <c r="C11038" s="330" t="s">
        <v>24236</v>
      </c>
      <c r="D11038" s="330" t="s">
        <v>24237</v>
      </c>
      <c r="E11038" s="330" t="s">
        <v>4623</v>
      </c>
      <c r="F11038" s="331">
        <v>0.21</v>
      </c>
      <c r="G11038" s="332">
        <v>11416</v>
      </c>
      <c r="H11038" s="333">
        <v>13814</v>
      </c>
    </row>
    <row r="11039" spans="1:8">
      <c r="A11039" s="317">
        <v>2605700219</v>
      </c>
      <c r="B11039" s="330" t="s">
        <v>55395</v>
      </c>
      <c r="C11039" s="330" t="s">
        <v>24238</v>
      </c>
      <c r="D11039" s="330" t="s">
        <v>24239</v>
      </c>
      <c r="E11039" s="330" t="s">
        <v>4634</v>
      </c>
      <c r="F11039" s="331">
        <v>0.21</v>
      </c>
      <c r="G11039" s="332">
        <v>5652</v>
      </c>
      <c r="H11039" s="333">
        <v>6839</v>
      </c>
    </row>
    <row r="11040" spans="1:8">
      <c r="A11040" s="317">
        <v>2605700221</v>
      </c>
      <c r="B11040" s="330" t="s">
        <v>55396</v>
      </c>
      <c r="C11040" s="330" t="s">
        <v>24240</v>
      </c>
      <c r="D11040" s="330" t="s">
        <v>24241</v>
      </c>
      <c r="E11040" s="330" t="s">
        <v>4634</v>
      </c>
      <c r="F11040" s="331">
        <v>0.21</v>
      </c>
      <c r="G11040" s="332">
        <v>6792</v>
      </c>
      <c r="H11040" s="333">
        <v>8219</v>
      </c>
    </row>
    <row r="11041" spans="1:8">
      <c r="A11041" s="317">
        <v>2605700231</v>
      </c>
      <c r="B11041" s="330" t="s">
        <v>55397</v>
      </c>
      <c r="C11041" s="330" t="s">
        <v>24242</v>
      </c>
      <c r="D11041" s="330" t="s">
        <v>24243</v>
      </c>
      <c r="E11041" s="330" t="s">
        <v>4634</v>
      </c>
      <c r="F11041" s="331">
        <v>0.21</v>
      </c>
      <c r="G11041" s="332">
        <v>584</v>
      </c>
      <c r="H11041" s="333">
        <v>707</v>
      </c>
    </row>
    <row r="11042" spans="1:8">
      <c r="A11042" s="317">
        <v>2605700908</v>
      </c>
      <c r="B11042" s="330" t="s">
        <v>55398</v>
      </c>
      <c r="C11042" s="330" t="s">
        <v>24244</v>
      </c>
      <c r="D11042" s="330" t="s">
        <v>6109</v>
      </c>
      <c r="E11042" s="330" t="s">
        <v>4634</v>
      </c>
      <c r="F11042" s="331">
        <v>0.21</v>
      </c>
      <c r="G11042" s="332">
        <v>1985</v>
      </c>
      <c r="H11042" s="333">
        <v>2402</v>
      </c>
    </row>
    <row r="11043" spans="1:8">
      <c r="A11043" s="317">
        <v>2605700918</v>
      </c>
      <c r="B11043" s="330" t="s">
        <v>55399</v>
      </c>
      <c r="C11043" s="330" t="s">
        <v>24245</v>
      </c>
      <c r="D11043" s="330" t="s">
        <v>24246</v>
      </c>
      <c r="E11043" s="330" t="s">
        <v>4634</v>
      </c>
      <c r="F11043" s="331">
        <v>0.21</v>
      </c>
      <c r="G11043" s="332">
        <v>2232</v>
      </c>
      <c r="H11043" s="333">
        <v>2701</v>
      </c>
    </row>
    <row r="11044" spans="1:8">
      <c r="A11044" s="317">
        <v>2605700920</v>
      </c>
      <c r="B11044" s="330" t="s">
        <v>55400</v>
      </c>
      <c r="C11044" s="330" t="s">
        <v>24247</v>
      </c>
      <c r="D11044" s="330" t="s">
        <v>24248</v>
      </c>
      <c r="E11044" s="330" t="s">
        <v>4634</v>
      </c>
      <c r="F11044" s="331">
        <v>0.21</v>
      </c>
      <c r="G11044" s="332">
        <v>16469</v>
      </c>
      <c r="H11044" s="333">
        <v>19928</v>
      </c>
    </row>
    <row r="11045" spans="1:8">
      <c r="A11045" s="317">
        <v>2605700936</v>
      </c>
      <c r="B11045" s="330" t="s">
        <v>55401</v>
      </c>
      <c r="C11045" s="330" t="s">
        <v>24249</v>
      </c>
      <c r="D11045" s="330" t="s">
        <v>24250</v>
      </c>
      <c r="E11045" s="330" t="s">
        <v>4634</v>
      </c>
      <c r="F11045" s="331">
        <v>0.21</v>
      </c>
      <c r="G11045" s="332">
        <v>30164</v>
      </c>
      <c r="H11045" s="333">
        <v>36499</v>
      </c>
    </row>
    <row r="11046" spans="1:8">
      <c r="A11046" s="317">
        <v>2605700940</v>
      </c>
      <c r="B11046" s="330" t="s">
        <v>55402</v>
      </c>
      <c r="C11046" s="330" t="s">
        <v>24251</v>
      </c>
      <c r="D11046" s="330" t="s">
        <v>24252</v>
      </c>
      <c r="E11046" s="330" t="s">
        <v>4634</v>
      </c>
      <c r="F11046" s="331">
        <v>0.21</v>
      </c>
      <c r="G11046" s="332">
        <v>13966</v>
      </c>
      <c r="H11046" s="333">
        <v>16899</v>
      </c>
    </row>
    <row r="11047" spans="1:8">
      <c r="A11047" s="317">
        <v>2605700943</v>
      </c>
      <c r="B11047" s="330" t="s">
        <v>55403</v>
      </c>
      <c r="C11047" s="330" t="s">
        <v>24253</v>
      </c>
      <c r="D11047" s="330" t="s">
        <v>24254</v>
      </c>
      <c r="E11047" s="330" t="s">
        <v>4819</v>
      </c>
      <c r="F11047" s="331">
        <v>0.21</v>
      </c>
      <c r="G11047" s="332">
        <v>57426</v>
      </c>
      <c r="H11047" s="333">
        <v>69486</v>
      </c>
    </row>
    <row r="11048" spans="1:8">
      <c r="A11048" s="317">
        <v>2605703023</v>
      </c>
      <c r="B11048" s="330" t="s">
        <v>55404</v>
      </c>
      <c r="C11048" s="330" t="s">
        <v>24255</v>
      </c>
      <c r="D11048" s="330" t="s">
        <v>24256</v>
      </c>
      <c r="E11048" s="330" t="s">
        <v>4634</v>
      </c>
      <c r="F11048" s="331">
        <v>0.21</v>
      </c>
      <c r="G11048" s="332">
        <v>122</v>
      </c>
      <c r="H11048" s="333">
        <v>148</v>
      </c>
    </row>
    <row r="11049" spans="1:8">
      <c r="A11049" s="317">
        <v>2605703900</v>
      </c>
      <c r="B11049" s="330" t="s">
        <v>55405</v>
      </c>
      <c r="C11049" s="330" t="s">
        <v>24257</v>
      </c>
      <c r="D11049" s="330" t="s">
        <v>24258</v>
      </c>
      <c r="E11049" s="330" t="s">
        <v>4634</v>
      </c>
      <c r="F11049" s="331">
        <v>0.21</v>
      </c>
      <c r="G11049" s="332">
        <v>7250</v>
      </c>
      <c r="H11049" s="333">
        <v>8773</v>
      </c>
    </row>
    <row r="11050" spans="1:8">
      <c r="A11050" s="317">
        <v>2605719001</v>
      </c>
      <c r="B11050" s="330" t="s">
        <v>55406</v>
      </c>
      <c r="C11050" s="330" t="s">
        <v>24259</v>
      </c>
      <c r="D11050" s="330" t="s">
        <v>24260</v>
      </c>
      <c r="E11050" s="330" t="s">
        <v>4634</v>
      </c>
      <c r="F11050" s="331">
        <v>0.21</v>
      </c>
      <c r="G11050" s="332">
        <v>9065</v>
      </c>
      <c r="H11050" s="333">
        <v>10969</v>
      </c>
    </row>
    <row r="11051" spans="1:8">
      <c r="A11051" s="317">
        <v>2605719003</v>
      </c>
      <c r="B11051" s="330" t="s">
        <v>55407</v>
      </c>
      <c r="C11051" s="330" t="s">
        <v>24261</v>
      </c>
      <c r="D11051" s="330" t="s">
        <v>24262</v>
      </c>
      <c r="E11051" s="330" t="s">
        <v>4634</v>
      </c>
      <c r="F11051" s="331">
        <v>0.21</v>
      </c>
      <c r="G11051" s="332">
        <v>1954</v>
      </c>
      <c r="H11051" s="333">
        <v>2365</v>
      </c>
    </row>
    <row r="11052" spans="1:8">
      <c r="A11052" s="317">
        <v>2605719008</v>
      </c>
      <c r="B11052" s="330" t="s">
        <v>55408</v>
      </c>
      <c r="C11052" s="330" t="s">
        <v>24263</v>
      </c>
      <c r="D11052" s="330" t="s">
        <v>24264</v>
      </c>
      <c r="E11052" s="330" t="s">
        <v>4634</v>
      </c>
      <c r="F11052" s="331">
        <v>0.21</v>
      </c>
      <c r="G11052" s="332">
        <v>820</v>
      </c>
      <c r="H11052" s="333">
        <v>993</v>
      </c>
    </row>
    <row r="11053" spans="1:8">
      <c r="A11053" s="317">
        <v>2605719011</v>
      </c>
      <c r="B11053" s="330" t="s">
        <v>55409</v>
      </c>
      <c r="C11053" s="330" t="s">
        <v>24265</v>
      </c>
      <c r="D11053" s="330" t="s">
        <v>24266</v>
      </c>
      <c r="E11053" s="330" t="s">
        <v>4634</v>
      </c>
      <c r="F11053" s="331">
        <v>0.21</v>
      </c>
      <c r="G11053" s="332">
        <v>3203</v>
      </c>
      <c r="H11053" s="333">
        <v>3876</v>
      </c>
    </row>
    <row r="11054" spans="1:8">
      <c r="A11054" s="317">
        <v>2605719027</v>
      </c>
      <c r="B11054" s="330" t="s">
        <v>55410</v>
      </c>
      <c r="C11054" s="330" t="s">
        <v>24267</v>
      </c>
      <c r="D11054" s="330" t="s">
        <v>24268</v>
      </c>
      <c r="E11054" s="330" t="s">
        <v>4634</v>
      </c>
      <c r="F11054" s="331">
        <v>0.21</v>
      </c>
      <c r="G11054" s="332">
        <v>584</v>
      </c>
      <c r="H11054" s="333">
        <v>707</v>
      </c>
    </row>
    <row r="11055" spans="1:8">
      <c r="A11055" s="317">
        <v>2605719028</v>
      </c>
      <c r="B11055" s="330" t="s">
        <v>55411</v>
      </c>
      <c r="C11055" s="330" t="s">
        <v>24269</v>
      </c>
      <c r="D11055" s="330" t="s">
        <v>24270</v>
      </c>
      <c r="E11055" s="330" t="s">
        <v>4634</v>
      </c>
      <c r="F11055" s="331">
        <v>0.21</v>
      </c>
      <c r="G11055" s="332">
        <v>992</v>
      </c>
      <c r="H11055" s="333">
        <v>1201</v>
      </c>
    </row>
    <row r="11056" spans="1:8">
      <c r="A11056" s="317">
        <v>2605719033</v>
      </c>
      <c r="B11056" s="330" t="s">
        <v>55412</v>
      </c>
      <c r="C11056" s="330" t="s">
        <v>24271</v>
      </c>
      <c r="D11056" s="330" t="s">
        <v>24272</v>
      </c>
      <c r="E11056" s="330" t="s">
        <v>4634</v>
      </c>
      <c r="F11056" s="331">
        <v>0.21</v>
      </c>
      <c r="G11056" s="332">
        <v>6902</v>
      </c>
      <c r="H11056" s="333">
        <v>8352</v>
      </c>
    </row>
    <row r="11057" spans="1:8">
      <c r="A11057" s="317">
        <v>2605719049</v>
      </c>
      <c r="B11057" s="330" t="s">
        <v>55413</v>
      </c>
      <c r="C11057" s="330" t="s">
        <v>24273</v>
      </c>
      <c r="D11057" s="330" t="s">
        <v>24274</v>
      </c>
      <c r="E11057" s="330" t="s">
        <v>37248</v>
      </c>
      <c r="F11057" s="331">
        <v>0.21</v>
      </c>
      <c r="G11057" s="332">
        <v>1853</v>
      </c>
      <c r="H11057" s="333">
        <v>2243</v>
      </c>
    </row>
    <row r="11058" spans="1:8">
      <c r="A11058" s="317">
        <v>2605719051</v>
      </c>
      <c r="B11058" s="330" t="s">
        <v>55414</v>
      </c>
      <c r="C11058" s="330" t="s">
        <v>24275</v>
      </c>
      <c r="D11058" s="330" t="s">
        <v>24274</v>
      </c>
      <c r="E11058" s="330" t="s">
        <v>37248</v>
      </c>
      <c r="F11058" s="331">
        <v>0.21</v>
      </c>
      <c r="G11058" s="332">
        <v>2476</v>
      </c>
      <c r="H11058" s="333">
        <v>2996</v>
      </c>
    </row>
    <row r="11059" spans="1:8">
      <c r="A11059" s="317">
        <v>2605719901</v>
      </c>
      <c r="B11059" s="330" t="s">
        <v>55415</v>
      </c>
      <c r="C11059" s="330" t="s">
        <v>24276</v>
      </c>
      <c r="D11059" s="330" t="s">
        <v>24277</v>
      </c>
      <c r="E11059" s="330" t="s">
        <v>4634</v>
      </c>
      <c r="F11059" s="331">
        <v>0.21</v>
      </c>
      <c r="G11059" s="332">
        <v>1474</v>
      </c>
      <c r="H11059" s="333">
        <v>1784</v>
      </c>
    </row>
    <row r="11060" spans="1:8">
      <c r="A11060" s="317">
        <v>2605730038</v>
      </c>
      <c r="B11060" s="330" t="s">
        <v>55416</v>
      </c>
      <c r="C11060" s="330" t="s">
        <v>24278</v>
      </c>
      <c r="D11060" s="330" t="s">
        <v>24279</v>
      </c>
      <c r="E11060" s="330" t="s">
        <v>4634</v>
      </c>
      <c r="F11060" s="331">
        <v>0.21</v>
      </c>
      <c r="G11060" s="332">
        <v>1170</v>
      </c>
      <c r="H11060" s="333">
        <v>1416</v>
      </c>
    </row>
    <row r="11061" spans="1:8">
      <c r="A11061" s="317">
        <v>2605730055</v>
      </c>
      <c r="B11061" s="330" t="s">
        <v>55417</v>
      </c>
      <c r="C11061" s="330" t="s">
        <v>24280</v>
      </c>
      <c r="D11061" s="330" t="s">
        <v>24281</v>
      </c>
      <c r="E11061" s="330" t="s">
        <v>4634</v>
      </c>
      <c r="F11061" s="331">
        <v>0.21</v>
      </c>
      <c r="G11061" s="332">
        <v>702</v>
      </c>
      <c r="H11061" s="333">
        <v>850</v>
      </c>
    </row>
    <row r="11062" spans="1:8">
      <c r="A11062" s="317">
        <v>2605730067</v>
      </c>
      <c r="B11062" s="330" t="s">
        <v>55418</v>
      </c>
      <c r="C11062" s="330" t="s">
        <v>24282</v>
      </c>
      <c r="D11062" s="330" t="s">
        <v>19431</v>
      </c>
      <c r="E11062" s="330" t="s">
        <v>37248</v>
      </c>
      <c r="F11062" s="331">
        <v>0.21</v>
      </c>
      <c r="G11062" s="332">
        <v>1072</v>
      </c>
      <c r="H11062" s="333">
        <v>1298</v>
      </c>
    </row>
    <row r="11063" spans="1:8">
      <c r="A11063" s="317">
        <v>2605801015</v>
      </c>
      <c r="B11063" s="330" t="s">
        <v>55419</v>
      </c>
      <c r="C11063" s="330" t="s">
        <v>24283</v>
      </c>
      <c r="D11063" s="330" t="s">
        <v>6458</v>
      </c>
      <c r="E11063" s="330" t="s">
        <v>4634</v>
      </c>
      <c r="F11063" s="331">
        <v>0.21</v>
      </c>
      <c r="G11063" s="332">
        <v>4459</v>
      </c>
      <c r="H11063" s="333">
        <v>5396</v>
      </c>
    </row>
    <row r="11064" spans="1:8">
      <c r="A11064" s="317">
        <v>2605801018</v>
      </c>
      <c r="B11064" s="330" t="s">
        <v>55420</v>
      </c>
      <c r="C11064" s="330" t="s">
        <v>24284</v>
      </c>
      <c r="D11064" s="330" t="s">
        <v>24285</v>
      </c>
      <c r="E11064" s="330" t="s">
        <v>4634</v>
      </c>
      <c r="F11064" s="331">
        <v>0.21</v>
      </c>
      <c r="G11064" s="332">
        <v>387</v>
      </c>
      <c r="H11064" s="333">
        <v>469</v>
      </c>
    </row>
    <row r="11065" spans="1:8">
      <c r="A11065" s="317">
        <v>2605801044</v>
      </c>
      <c r="B11065" s="330" t="s">
        <v>55421</v>
      </c>
      <c r="C11065" s="330" t="s">
        <v>24286</v>
      </c>
      <c r="D11065" s="330" t="s">
        <v>24287</v>
      </c>
      <c r="E11065" s="330" t="s">
        <v>37248</v>
      </c>
      <c r="F11065" s="331">
        <v>0.21</v>
      </c>
      <c r="G11065" s="332">
        <v>3471</v>
      </c>
      <c r="H11065" s="333">
        <v>4200</v>
      </c>
    </row>
    <row r="11066" spans="1:8">
      <c r="A11066" s="317">
        <v>2605801900</v>
      </c>
      <c r="B11066" s="330" t="s">
        <v>55422</v>
      </c>
      <c r="C11066" s="330" t="s">
        <v>24288</v>
      </c>
      <c r="D11066" s="330" t="s">
        <v>22005</v>
      </c>
      <c r="E11066" s="330" t="s">
        <v>4634</v>
      </c>
      <c r="F11066" s="331">
        <v>0.21</v>
      </c>
      <c r="G11066" s="332">
        <v>1450</v>
      </c>
      <c r="H11066" s="333">
        <v>1755</v>
      </c>
    </row>
    <row r="11067" spans="1:8">
      <c r="A11067" s="317">
        <v>2605801901</v>
      </c>
      <c r="B11067" s="330" t="s">
        <v>55423</v>
      </c>
      <c r="C11067" s="330" t="s">
        <v>24289</v>
      </c>
      <c r="D11067" s="330" t="s">
        <v>24290</v>
      </c>
      <c r="E11067" s="330" t="s">
        <v>4634</v>
      </c>
      <c r="F11067" s="331">
        <v>0.21</v>
      </c>
      <c r="G11067" s="332">
        <v>2063</v>
      </c>
      <c r="H11067" s="333">
        <v>2497</v>
      </c>
    </row>
    <row r="11068" spans="1:8">
      <c r="A11068" s="317">
        <v>2605801902</v>
      </c>
      <c r="B11068" s="330" t="s">
        <v>55424</v>
      </c>
      <c r="C11068" s="330" t="s">
        <v>24291</v>
      </c>
      <c r="D11068" s="330" t="s">
        <v>24292</v>
      </c>
      <c r="E11068" s="330" t="s">
        <v>4634</v>
      </c>
      <c r="F11068" s="331">
        <v>0.21</v>
      </c>
      <c r="G11068" s="332">
        <v>403</v>
      </c>
      <c r="H11068" s="333">
        <v>488</v>
      </c>
    </row>
    <row r="11069" spans="1:8">
      <c r="A11069" s="317">
        <v>2605805004</v>
      </c>
      <c r="B11069" s="330" t="s">
        <v>55425</v>
      </c>
      <c r="C11069" s="330" t="s">
        <v>24293</v>
      </c>
      <c r="D11069" s="330" t="s">
        <v>24294</v>
      </c>
      <c r="E11069" s="330" t="s">
        <v>4634</v>
      </c>
      <c r="F11069" s="331">
        <v>0.21</v>
      </c>
      <c r="G11069" s="332">
        <v>1692</v>
      </c>
      <c r="H11069" s="333">
        <v>2048</v>
      </c>
    </row>
    <row r="11070" spans="1:8">
      <c r="A11070" s="317">
        <v>2605805005</v>
      </c>
      <c r="B11070" s="330" t="s">
        <v>55426</v>
      </c>
      <c r="C11070" s="330" t="s">
        <v>24295</v>
      </c>
      <c r="D11070" s="330" t="s">
        <v>24296</v>
      </c>
      <c r="E11070" s="330" t="s">
        <v>4634</v>
      </c>
      <c r="F11070" s="331">
        <v>0.21</v>
      </c>
      <c r="G11070" s="332">
        <v>1965</v>
      </c>
      <c r="H11070" s="333">
        <v>2378</v>
      </c>
    </row>
    <row r="11071" spans="1:8">
      <c r="A11071" s="317">
        <v>2605805008</v>
      </c>
      <c r="B11071" s="330" t="s">
        <v>55427</v>
      </c>
      <c r="C11071" s="330" t="s">
        <v>24297</v>
      </c>
      <c r="D11071" s="330" t="s">
        <v>24298</v>
      </c>
      <c r="E11071" s="330" t="s">
        <v>4634</v>
      </c>
      <c r="F11071" s="331">
        <v>0.21</v>
      </c>
      <c r="G11071" s="332">
        <v>1730</v>
      </c>
      <c r="H11071" s="333">
        <v>2094</v>
      </c>
    </row>
    <row r="11072" spans="1:8">
      <c r="A11072" s="317">
        <v>2605805009</v>
      </c>
      <c r="B11072" s="330" t="s">
        <v>55428</v>
      </c>
      <c r="C11072" s="330" t="s">
        <v>24299</v>
      </c>
      <c r="D11072" s="330" t="s">
        <v>24300</v>
      </c>
      <c r="E11072" s="330" t="s">
        <v>4634</v>
      </c>
      <c r="F11072" s="331">
        <v>0.21</v>
      </c>
      <c r="G11072" s="332">
        <v>2270</v>
      </c>
      <c r="H11072" s="333">
        <v>2747</v>
      </c>
    </row>
    <row r="11073" spans="1:8">
      <c r="A11073" s="317">
        <v>2605806014</v>
      </c>
      <c r="B11073" s="330" t="s">
        <v>55429</v>
      </c>
      <c r="C11073" s="330" t="s">
        <v>24301</v>
      </c>
      <c r="D11073" s="330" t="s">
        <v>24302</v>
      </c>
      <c r="E11073" s="330" t="s">
        <v>4634</v>
      </c>
      <c r="F11073" s="331">
        <v>0.21</v>
      </c>
      <c r="G11073" s="332">
        <v>12168</v>
      </c>
      <c r="H11073" s="333">
        <v>14724</v>
      </c>
    </row>
    <row r="11074" spans="1:8">
      <c r="A11074" s="317">
        <v>2605806032</v>
      </c>
      <c r="B11074" s="330" t="s">
        <v>55430</v>
      </c>
      <c r="C11074" s="330" t="s">
        <v>24303</v>
      </c>
      <c r="D11074" s="330" t="s">
        <v>24304</v>
      </c>
      <c r="E11074" s="330" t="s">
        <v>4634</v>
      </c>
      <c r="F11074" s="331">
        <v>0.21</v>
      </c>
      <c r="G11074" s="332">
        <v>9734</v>
      </c>
      <c r="H11074" s="333">
        <v>11779</v>
      </c>
    </row>
    <row r="11075" spans="1:8">
      <c r="A11075" s="317">
        <v>2605806082</v>
      </c>
      <c r="B11075" s="330" t="s">
        <v>55431</v>
      </c>
      <c r="C11075" s="330" t="s">
        <v>24305</v>
      </c>
      <c r="D11075" s="330" t="s">
        <v>24306</v>
      </c>
      <c r="E11075" s="330" t="s">
        <v>4634</v>
      </c>
      <c r="F11075" s="331">
        <v>0.21</v>
      </c>
      <c r="G11075" s="332">
        <v>19269</v>
      </c>
      <c r="H11075" s="333">
        <v>23316</v>
      </c>
    </row>
    <row r="11076" spans="1:8">
      <c r="A11076" s="317">
        <v>2605806280</v>
      </c>
      <c r="B11076" s="330" t="s">
        <v>55432</v>
      </c>
      <c r="C11076" s="330" t="s">
        <v>24307</v>
      </c>
      <c r="D11076" s="330" t="s">
        <v>24308</v>
      </c>
      <c r="E11076" s="330" t="s">
        <v>4634</v>
      </c>
      <c r="F11076" s="331">
        <v>0.21</v>
      </c>
      <c r="G11076" s="332">
        <v>8537</v>
      </c>
      <c r="H11076" s="333">
        <v>10330</v>
      </c>
    </row>
    <row r="11077" spans="1:8">
      <c r="A11077" s="317">
        <v>2605806312</v>
      </c>
      <c r="B11077" s="330" t="s">
        <v>55433</v>
      </c>
      <c r="C11077" s="330" t="s">
        <v>24309</v>
      </c>
      <c r="D11077" s="330" t="s">
        <v>5822</v>
      </c>
      <c r="E11077" s="330" t="s">
        <v>4634</v>
      </c>
      <c r="F11077" s="331">
        <v>0.21</v>
      </c>
      <c r="G11077" s="332">
        <v>12599</v>
      </c>
      <c r="H11077" s="333">
        <v>15245</v>
      </c>
    </row>
    <row r="11078" spans="1:8">
      <c r="A11078" s="317">
        <v>2605806365</v>
      </c>
      <c r="B11078" s="330" t="s">
        <v>55434</v>
      </c>
      <c r="C11078" s="330" t="s">
        <v>24310</v>
      </c>
      <c r="D11078" s="330" t="s">
        <v>24311</v>
      </c>
      <c r="E11078" s="330" t="s">
        <v>4634</v>
      </c>
      <c r="F11078" s="331">
        <v>0.21</v>
      </c>
      <c r="G11078" s="332">
        <v>37813</v>
      </c>
      <c r="H11078" s="333">
        <v>45754</v>
      </c>
    </row>
    <row r="11079" spans="1:8">
      <c r="A11079" s="317">
        <v>2605806366</v>
      </c>
      <c r="B11079" s="330" t="s">
        <v>55435</v>
      </c>
      <c r="C11079" s="330" t="s">
        <v>24312</v>
      </c>
      <c r="D11079" s="330" t="s">
        <v>24313</v>
      </c>
      <c r="E11079" s="330" t="s">
        <v>4634</v>
      </c>
      <c r="F11079" s="331">
        <v>0.21</v>
      </c>
      <c r="G11079" s="332">
        <v>4515</v>
      </c>
      <c r="H11079" s="333">
        <v>5464</v>
      </c>
    </row>
    <row r="11080" spans="1:8">
      <c r="A11080" s="317">
        <v>2605806375</v>
      </c>
      <c r="B11080" s="330" t="s">
        <v>55436</v>
      </c>
      <c r="C11080" s="330" t="s">
        <v>24314</v>
      </c>
      <c r="D11080" s="330" t="s">
        <v>24315</v>
      </c>
      <c r="E11080" s="330" t="s">
        <v>37248</v>
      </c>
      <c r="F11080" s="331">
        <v>0.21</v>
      </c>
      <c r="G11080" s="332">
        <v>30643</v>
      </c>
      <c r="H11080" s="333">
        <v>37079</v>
      </c>
    </row>
    <row r="11081" spans="1:8">
      <c r="A11081" s="317">
        <v>2605806376</v>
      </c>
      <c r="B11081" s="330" t="s">
        <v>55437</v>
      </c>
      <c r="C11081" s="330" t="s">
        <v>24316</v>
      </c>
      <c r="D11081" s="330" t="s">
        <v>24317</v>
      </c>
      <c r="E11081" s="330" t="s">
        <v>4634</v>
      </c>
      <c r="F11081" s="331">
        <v>0.21</v>
      </c>
      <c r="G11081" s="332">
        <v>722</v>
      </c>
      <c r="H11081" s="333">
        <v>874</v>
      </c>
    </row>
    <row r="11082" spans="1:8">
      <c r="A11082" s="317">
        <v>2605806394</v>
      </c>
      <c r="B11082" s="330" t="s">
        <v>55438</v>
      </c>
      <c r="C11082" s="330" t="s">
        <v>24318</v>
      </c>
      <c r="D11082" s="330" t="s">
        <v>9919</v>
      </c>
      <c r="E11082" s="330" t="s">
        <v>4634</v>
      </c>
      <c r="F11082" s="331">
        <v>0.21</v>
      </c>
      <c r="G11082" s="332">
        <v>15485</v>
      </c>
      <c r="H11082" s="333">
        <v>18737</v>
      </c>
    </row>
    <row r="11083" spans="1:8">
      <c r="A11083" s="317">
        <v>2605806412</v>
      </c>
      <c r="B11083" s="330" t="s">
        <v>55439</v>
      </c>
      <c r="C11083" s="330" t="s">
        <v>24319</v>
      </c>
      <c r="D11083" s="330" t="s">
        <v>24320</v>
      </c>
      <c r="E11083" s="330" t="s">
        <v>4634</v>
      </c>
      <c r="F11083" s="331">
        <v>0.21</v>
      </c>
      <c r="G11083" s="332">
        <v>2837</v>
      </c>
      <c r="H11083" s="333">
        <v>3433</v>
      </c>
    </row>
    <row r="11084" spans="1:8">
      <c r="A11084" s="317">
        <v>2605806428</v>
      </c>
      <c r="B11084" s="330" t="s">
        <v>55440</v>
      </c>
      <c r="C11084" s="330" t="s">
        <v>24321</v>
      </c>
      <c r="D11084" s="330" t="s">
        <v>24322</v>
      </c>
      <c r="E11084" s="330" t="s">
        <v>4634</v>
      </c>
      <c r="F11084" s="331">
        <v>0.21</v>
      </c>
      <c r="G11084" s="332">
        <v>1411</v>
      </c>
      <c r="H11084" s="333">
        <v>1708</v>
      </c>
    </row>
    <row r="11085" spans="1:8">
      <c r="A11085" s="317">
        <v>2605806881</v>
      </c>
      <c r="B11085" s="330" t="s">
        <v>55441</v>
      </c>
      <c r="C11085" s="330" t="s">
        <v>24323</v>
      </c>
      <c r="D11085" s="330" t="s">
        <v>24324</v>
      </c>
      <c r="E11085" s="330" t="s">
        <v>4819</v>
      </c>
      <c r="F11085" s="331">
        <v>0.21</v>
      </c>
      <c r="G11085" s="332">
        <v>38772</v>
      </c>
      <c r="H11085" s="333">
        <v>46915</v>
      </c>
    </row>
    <row r="11086" spans="1:8">
      <c r="A11086" s="317">
        <v>2605806889</v>
      </c>
      <c r="B11086" s="330" t="s">
        <v>55442</v>
      </c>
      <c r="C11086" s="330" t="s">
        <v>24325</v>
      </c>
      <c r="D11086" s="330" t="s">
        <v>24326</v>
      </c>
      <c r="E11086" s="330" t="s">
        <v>4634</v>
      </c>
      <c r="F11086" s="331">
        <v>0.21</v>
      </c>
      <c r="G11086" s="332">
        <v>12789</v>
      </c>
      <c r="H11086" s="333">
        <v>15475</v>
      </c>
    </row>
    <row r="11087" spans="1:8">
      <c r="A11087" s="317">
        <v>2605806892</v>
      </c>
      <c r="B11087" s="330" t="s">
        <v>55443</v>
      </c>
      <c r="C11087" s="330" t="s">
        <v>24327</v>
      </c>
      <c r="D11087" s="330" t="s">
        <v>24328</v>
      </c>
      <c r="E11087" s="330" t="s">
        <v>4819</v>
      </c>
      <c r="F11087" s="331">
        <v>0.21</v>
      </c>
      <c r="G11087" s="332">
        <v>61216</v>
      </c>
      <c r="H11087" s="333">
        <v>74072</v>
      </c>
    </row>
    <row r="11088" spans="1:8">
      <c r="A11088" s="317">
        <v>2605806896</v>
      </c>
      <c r="B11088" s="330" t="s">
        <v>55444</v>
      </c>
      <c r="C11088" s="330" t="s">
        <v>24329</v>
      </c>
      <c r="D11088" s="330" t="s">
        <v>24330</v>
      </c>
      <c r="E11088" s="330" t="s">
        <v>4819</v>
      </c>
      <c r="F11088" s="331">
        <v>0.21</v>
      </c>
      <c r="G11088" s="332">
        <v>71815</v>
      </c>
      <c r="H11088" s="333">
        <v>86897</v>
      </c>
    </row>
    <row r="11089" spans="1:8">
      <c r="A11089" s="317">
        <v>2605806897</v>
      </c>
      <c r="B11089" s="330" t="s">
        <v>55445</v>
      </c>
      <c r="C11089" s="330" t="s">
        <v>24331</v>
      </c>
      <c r="D11089" s="330" t="s">
        <v>24332</v>
      </c>
      <c r="E11089" s="330" t="s">
        <v>4634</v>
      </c>
      <c r="F11089" s="331">
        <v>0.21</v>
      </c>
      <c r="G11089" s="332">
        <v>19644</v>
      </c>
      <c r="H11089" s="333">
        <v>23770</v>
      </c>
    </row>
    <row r="11090" spans="1:8">
      <c r="A11090" s="317">
        <v>2605806916</v>
      </c>
      <c r="B11090" s="330" t="s">
        <v>55446</v>
      </c>
      <c r="C11090" s="330" t="s">
        <v>24333</v>
      </c>
      <c r="D11090" s="330" t="s">
        <v>24334</v>
      </c>
      <c r="E11090" s="330" t="s">
        <v>4634</v>
      </c>
      <c r="F11090" s="331">
        <v>0.21</v>
      </c>
      <c r="G11090" s="332">
        <v>17613</v>
      </c>
      <c r="H11090" s="333">
        <v>21312</v>
      </c>
    </row>
    <row r="11091" spans="1:8">
      <c r="A11091" s="317">
        <v>2605806918</v>
      </c>
      <c r="B11091" s="330" t="s">
        <v>55447</v>
      </c>
      <c r="C11091" s="330" t="s">
        <v>24335</v>
      </c>
      <c r="D11091" s="330" t="s">
        <v>24336</v>
      </c>
      <c r="E11091" s="330" t="s">
        <v>4634</v>
      </c>
      <c r="F11091" s="331">
        <v>0.21</v>
      </c>
      <c r="G11091" s="332">
        <v>3087</v>
      </c>
      <c r="H11091" s="333">
        <v>3736</v>
      </c>
    </row>
    <row r="11092" spans="1:8">
      <c r="A11092" s="317">
        <v>2605806919</v>
      </c>
      <c r="B11092" s="330" t="s">
        <v>55448</v>
      </c>
      <c r="C11092" s="330" t="s">
        <v>24337</v>
      </c>
      <c r="D11092" s="330" t="s">
        <v>24338</v>
      </c>
      <c r="E11092" s="330" t="s">
        <v>4634</v>
      </c>
      <c r="F11092" s="331">
        <v>0.21</v>
      </c>
      <c r="G11092" s="332">
        <v>3087</v>
      </c>
      <c r="H11092" s="333">
        <v>3736</v>
      </c>
    </row>
    <row r="11093" spans="1:8">
      <c r="A11093" s="317">
        <v>2605806968</v>
      </c>
      <c r="B11093" s="330" t="s">
        <v>55449</v>
      </c>
      <c r="C11093" s="330" t="s">
        <v>24339</v>
      </c>
      <c r="D11093" s="330" t="s">
        <v>24340</v>
      </c>
      <c r="E11093" s="330" t="s">
        <v>4634</v>
      </c>
      <c r="F11093" s="331">
        <v>0.21</v>
      </c>
      <c r="G11093" s="332">
        <v>3223</v>
      </c>
      <c r="H11093" s="333">
        <v>3900</v>
      </c>
    </row>
    <row r="11094" spans="1:8">
      <c r="A11094" s="317">
        <v>2605806989</v>
      </c>
      <c r="B11094" s="330" t="s">
        <v>55450</v>
      </c>
      <c r="C11094" s="330" t="s">
        <v>24341</v>
      </c>
      <c r="D11094" s="330" t="s">
        <v>24342</v>
      </c>
      <c r="E11094" s="330" t="s">
        <v>4634</v>
      </c>
      <c r="F11094" s="331">
        <v>0.21</v>
      </c>
      <c r="G11094" s="332">
        <v>24460</v>
      </c>
      <c r="H11094" s="333">
        <v>29597</v>
      </c>
    </row>
    <row r="11095" spans="1:8">
      <c r="A11095" s="317">
        <v>2605806990</v>
      </c>
      <c r="B11095" s="330" t="s">
        <v>55451</v>
      </c>
      <c r="C11095" s="330" t="s">
        <v>24343</v>
      </c>
      <c r="D11095" s="330" t="s">
        <v>24344</v>
      </c>
      <c r="E11095" s="330" t="s">
        <v>4634</v>
      </c>
      <c r="F11095" s="331">
        <v>0.21</v>
      </c>
      <c r="G11095" s="332">
        <v>5559</v>
      </c>
      <c r="H11095" s="333">
        <v>6727</v>
      </c>
    </row>
    <row r="11096" spans="1:8">
      <c r="A11096" s="317">
        <v>2605806997</v>
      </c>
      <c r="B11096" s="330" t="s">
        <v>55452</v>
      </c>
      <c r="C11096" s="330" t="s">
        <v>24345</v>
      </c>
      <c r="D11096" s="330" t="s">
        <v>24346</v>
      </c>
      <c r="E11096" s="330" t="s">
        <v>4634</v>
      </c>
      <c r="F11096" s="331">
        <v>0.21</v>
      </c>
      <c r="G11096" s="332">
        <v>11477</v>
      </c>
      <c r="H11096" s="333">
        <v>13888</v>
      </c>
    </row>
    <row r="11097" spans="1:8">
      <c r="A11097" s="317">
        <v>2605807000</v>
      </c>
      <c r="B11097" s="330" t="s">
        <v>55453</v>
      </c>
      <c r="C11097" s="330" t="s">
        <v>24347</v>
      </c>
      <c r="D11097" s="330" t="s">
        <v>24348</v>
      </c>
      <c r="E11097" s="330" t="s">
        <v>4634</v>
      </c>
      <c r="F11097" s="331">
        <v>0.21</v>
      </c>
      <c r="G11097" s="332">
        <v>437</v>
      </c>
      <c r="H11097" s="333">
        <v>529</v>
      </c>
    </row>
    <row r="11098" spans="1:8">
      <c r="A11098" s="317">
        <v>2605807010</v>
      </c>
      <c r="B11098" s="330" t="s">
        <v>55454</v>
      </c>
      <c r="C11098" s="330" t="s">
        <v>24349</v>
      </c>
      <c r="D11098" s="330" t="s">
        <v>24350</v>
      </c>
      <c r="E11098" s="330" t="s">
        <v>4634</v>
      </c>
      <c r="F11098" s="331">
        <v>0.21</v>
      </c>
      <c r="G11098" s="332">
        <v>1976</v>
      </c>
      <c r="H11098" s="333">
        <v>2391</v>
      </c>
    </row>
    <row r="11099" spans="1:8">
      <c r="A11099" s="317">
        <v>2605807016</v>
      </c>
      <c r="B11099" s="330" t="s">
        <v>55455</v>
      </c>
      <c r="C11099" s="330" t="s">
        <v>24351</v>
      </c>
      <c r="D11099" s="330" t="s">
        <v>24352</v>
      </c>
      <c r="E11099" s="330" t="s">
        <v>4634</v>
      </c>
      <c r="F11099" s="331">
        <v>0.21</v>
      </c>
      <c r="G11099" s="332">
        <v>1844</v>
      </c>
      <c r="H11099" s="333">
        <v>2232</v>
      </c>
    </row>
    <row r="11100" spans="1:8">
      <c r="A11100" s="317">
        <v>2605807049</v>
      </c>
      <c r="B11100" s="330" t="s">
        <v>55456</v>
      </c>
      <c r="C11100" s="330" t="s">
        <v>24353</v>
      </c>
      <c r="D11100" s="330" t="s">
        <v>24354</v>
      </c>
      <c r="E11100" s="330" t="s">
        <v>4634</v>
      </c>
      <c r="F11100" s="331">
        <v>0.21</v>
      </c>
      <c r="G11100" s="332">
        <v>202</v>
      </c>
      <c r="H11100" s="333">
        <v>245</v>
      </c>
    </row>
    <row r="11101" spans="1:8">
      <c r="A11101" s="317">
        <v>2605807050</v>
      </c>
      <c r="B11101" s="330" t="s">
        <v>55457</v>
      </c>
      <c r="C11101" s="330" t="s">
        <v>24355</v>
      </c>
      <c r="D11101" s="330" t="s">
        <v>24356</v>
      </c>
      <c r="E11101" s="330" t="s">
        <v>4634</v>
      </c>
      <c r="F11101" s="331">
        <v>0.21</v>
      </c>
      <c r="G11101" s="332">
        <v>401</v>
      </c>
      <c r="H11101" s="333">
        <v>486</v>
      </c>
    </row>
    <row r="11102" spans="1:8">
      <c r="A11102" s="317">
        <v>2605807060</v>
      </c>
      <c r="B11102" s="330" t="s">
        <v>55458</v>
      </c>
      <c r="C11102" s="330" t="s">
        <v>24357</v>
      </c>
      <c r="D11102" s="330" t="s">
        <v>24358</v>
      </c>
      <c r="E11102" s="330" t="s">
        <v>4634</v>
      </c>
      <c r="F11102" s="331">
        <v>0.21</v>
      </c>
      <c r="G11102" s="332">
        <v>13219</v>
      </c>
      <c r="H11102" s="333">
        <v>15995</v>
      </c>
    </row>
    <row r="11103" spans="1:8">
      <c r="A11103" s="317">
        <v>2605807080</v>
      </c>
      <c r="B11103" s="330" t="s">
        <v>55459</v>
      </c>
      <c r="C11103" s="330" t="s">
        <v>24359</v>
      </c>
      <c r="D11103" s="330" t="s">
        <v>24360</v>
      </c>
      <c r="E11103" s="330" t="s">
        <v>4634</v>
      </c>
      <c r="F11103" s="331">
        <v>0.21</v>
      </c>
      <c r="G11103" s="332">
        <v>214</v>
      </c>
      <c r="H11103" s="333">
        <v>259</v>
      </c>
    </row>
    <row r="11104" spans="1:8">
      <c r="A11104" s="317">
        <v>2605807082</v>
      </c>
      <c r="B11104" s="330" t="s">
        <v>55460</v>
      </c>
      <c r="C11104" s="330" t="s">
        <v>24361</v>
      </c>
      <c r="D11104" s="330" t="s">
        <v>24362</v>
      </c>
      <c r="E11104" s="330" t="s">
        <v>37248</v>
      </c>
      <c r="F11104" s="331">
        <v>0.21</v>
      </c>
      <c r="G11104" s="332">
        <v>25765</v>
      </c>
      <c r="H11104" s="333">
        <v>31176</v>
      </c>
    </row>
    <row r="11105" spans="1:8">
      <c r="A11105" s="317">
        <v>2605807093</v>
      </c>
      <c r="B11105" s="330" t="s">
        <v>55461</v>
      </c>
      <c r="C11105" s="330" t="s">
        <v>24363</v>
      </c>
      <c r="D11105" s="330" t="s">
        <v>24364</v>
      </c>
      <c r="E11105" s="330" t="s">
        <v>4634</v>
      </c>
      <c r="F11105" s="331">
        <v>0.21</v>
      </c>
      <c r="G11105" s="332">
        <v>5824</v>
      </c>
      <c r="H11105" s="333">
        <v>7048</v>
      </c>
    </row>
    <row r="11106" spans="1:8">
      <c r="A11106" s="317">
        <v>2605807095</v>
      </c>
      <c r="B11106" s="330" t="s">
        <v>55462</v>
      </c>
      <c r="C11106" s="330" t="s">
        <v>24365</v>
      </c>
      <c r="D11106" s="330" t="s">
        <v>24366</v>
      </c>
      <c r="E11106" s="330" t="s">
        <v>4634</v>
      </c>
      <c r="F11106" s="331">
        <v>0.21</v>
      </c>
      <c r="G11106" s="332">
        <v>5824</v>
      </c>
      <c r="H11106" s="333">
        <v>7048</v>
      </c>
    </row>
    <row r="11107" spans="1:8">
      <c r="A11107" s="317">
        <v>2605807108</v>
      </c>
      <c r="B11107" s="330" t="s">
        <v>55463</v>
      </c>
      <c r="C11107" s="330" t="s">
        <v>24367</v>
      </c>
      <c r="D11107" s="330" t="s">
        <v>24368</v>
      </c>
      <c r="E11107" s="330" t="s">
        <v>4819</v>
      </c>
      <c r="F11107" s="331">
        <v>0.21</v>
      </c>
      <c r="G11107" s="332">
        <v>21591</v>
      </c>
      <c r="H11107" s="333">
        <v>26126</v>
      </c>
    </row>
    <row r="11108" spans="1:8">
      <c r="A11108" s="317">
        <v>2605807109</v>
      </c>
      <c r="B11108" s="330" t="s">
        <v>55464</v>
      </c>
      <c r="C11108" s="330" t="s">
        <v>24369</v>
      </c>
      <c r="D11108" s="330" t="s">
        <v>15660</v>
      </c>
      <c r="E11108" s="330" t="s">
        <v>37248</v>
      </c>
      <c r="F11108" s="331">
        <v>0.21</v>
      </c>
      <c r="G11108" s="332">
        <v>10758</v>
      </c>
      <c r="H11108" s="333">
        <v>13018</v>
      </c>
    </row>
    <row r="11109" spans="1:8">
      <c r="A11109" s="317">
        <v>2605807902</v>
      </c>
      <c r="B11109" s="330" t="s">
        <v>55465</v>
      </c>
      <c r="C11109" s="330" t="s">
        <v>24370</v>
      </c>
      <c r="D11109" s="330" t="s">
        <v>24371</v>
      </c>
      <c r="E11109" s="330" t="s">
        <v>4634</v>
      </c>
      <c r="F11109" s="331">
        <v>0.21</v>
      </c>
      <c r="G11109" s="332">
        <v>437</v>
      </c>
      <c r="H11109" s="333">
        <v>529</v>
      </c>
    </row>
    <row r="11110" spans="1:8">
      <c r="A11110" s="317">
        <v>2605807904</v>
      </c>
      <c r="B11110" s="330" t="s">
        <v>55466</v>
      </c>
      <c r="C11110" s="330" t="s">
        <v>24372</v>
      </c>
      <c r="D11110" s="330" t="s">
        <v>24373</v>
      </c>
      <c r="E11110" s="330" t="s">
        <v>4634</v>
      </c>
      <c r="F11110" s="331">
        <v>0.21</v>
      </c>
      <c r="G11110" s="332">
        <v>894</v>
      </c>
      <c r="H11110" s="333">
        <v>1082</v>
      </c>
    </row>
    <row r="11111" spans="1:8">
      <c r="A11111" s="317">
        <v>2605807905</v>
      </c>
      <c r="B11111" s="330" t="s">
        <v>55467</v>
      </c>
      <c r="C11111" s="330" t="s">
        <v>24374</v>
      </c>
      <c r="D11111" s="330" t="s">
        <v>24375</v>
      </c>
      <c r="E11111" s="330" t="s">
        <v>4634</v>
      </c>
      <c r="F11111" s="331">
        <v>0.21</v>
      </c>
      <c r="G11111" s="332">
        <v>3189</v>
      </c>
      <c r="H11111" s="333">
        <v>3859</v>
      </c>
    </row>
    <row r="11112" spans="1:8">
      <c r="A11112" s="317">
        <v>2605807906</v>
      </c>
      <c r="B11112" s="330" t="s">
        <v>55468</v>
      </c>
      <c r="C11112" s="330" t="s">
        <v>24376</v>
      </c>
      <c r="D11112" s="330" t="s">
        <v>24377</v>
      </c>
      <c r="E11112" s="330" t="s">
        <v>4634</v>
      </c>
      <c r="F11112" s="331">
        <v>0.21</v>
      </c>
      <c r="G11112" s="332">
        <v>3297</v>
      </c>
      <c r="H11112" s="333">
        <v>3990</v>
      </c>
    </row>
    <row r="11113" spans="1:8">
      <c r="A11113" s="317">
        <v>2605807908</v>
      </c>
      <c r="B11113" s="330" t="s">
        <v>55469</v>
      </c>
      <c r="C11113" s="330" t="s">
        <v>24378</v>
      </c>
      <c r="D11113" s="330" t="s">
        <v>24379</v>
      </c>
      <c r="E11113" s="330" t="s">
        <v>4634</v>
      </c>
      <c r="F11113" s="331">
        <v>0.21</v>
      </c>
      <c r="G11113" s="332">
        <v>4115</v>
      </c>
      <c r="H11113" s="333">
        <v>4980</v>
      </c>
    </row>
    <row r="11114" spans="1:8">
      <c r="A11114" s="317">
        <v>2605807910</v>
      </c>
      <c r="B11114" s="330" t="s">
        <v>55470</v>
      </c>
      <c r="C11114" s="330" t="s">
        <v>24380</v>
      </c>
      <c r="D11114" s="330" t="s">
        <v>24381</v>
      </c>
      <c r="E11114" s="330" t="s">
        <v>4634</v>
      </c>
      <c r="F11114" s="331">
        <v>0.21</v>
      </c>
      <c r="G11114" s="332">
        <v>3490</v>
      </c>
      <c r="H11114" s="333">
        <v>4223</v>
      </c>
    </row>
    <row r="11115" spans="1:8">
      <c r="A11115" s="317">
        <v>2605807915</v>
      </c>
      <c r="B11115" s="330" t="s">
        <v>55471</v>
      </c>
      <c r="C11115" s="330" t="s">
        <v>24382</v>
      </c>
      <c r="D11115" s="330" t="s">
        <v>24383</v>
      </c>
      <c r="E11115" s="330" t="s">
        <v>4634</v>
      </c>
      <c r="F11115" s="331">
        <v>0.21</v>
      </c>
      <c r="G11115" s="332">
        <v>4432</v>
      </c>
      <c r="H11115" s="333">
        <v>5363</v>
      </c>
    </row>
    <row r="11116" spans="1:8">
      <c r="A11116" s="317">
        <v>2605807917</v>
      </c>
      <c r="B11116" s="330" t="s">
        <v>55472</v>
      </c>
      <c r="C11116" s="330" t="s">
        <v>24384</v>
      </c>
      <c r="D11116" s="330" t="s">
        <v>24385</v>
      </c>
      <c r="E11116" s="330" t="s">
        <v>4634</v>
      </c>
      <c r="F11116" s="331">
        <v>0.21</v>
      </c>
      <c r="G11116" s="332">
        <v>3490</v>
      </c>
      <c r="H11116" s="333">
        <v>4223</v>
      </c>
    </row>
    <row r="11117" spans="1:8">
      <c r="A11117" s="317">
        <v>2605807918</v>
      </c>
      <c r="B11117" s="330" t="s">
        <v>55473</v>
      </c>
      <c r="C11117" s="330" t="s">
        <v>24386</v>
      </c>
      <c r="D11117" s="330" t="s">
        <v>24387</v>
      </c>
      <c r="E11117" s="330" t="s">
        <v>4634</v>
      </c>
      <c r="F11117" s="331">
        <v>0.21</v>
      </c>
      <c r="G11117" s="332">
        <v>2462</v>
      </c>
      <c r="H11117" s="333">
        <v>2980</v>
      </c>
    </row>
    <row r="11118" spans="1:8">
      <c r="A11118" s="317">
        <v>2605807921</v>
      </c>
      <c r="B11118" s="330" t="s">
        <v>55474</v>
      </c>
      <c r="C11118" s="330" t="s">
        <v>24388</v>
      </c>
      <c r="D11118" s="330" t="s">
        <v>24389</v>
      </c>
      <c r="E11118" s="330" t="s">
        <v>4634</v>
      </c>
      <c r="F11118" s="331">
        <v>0.21</v>
      </c>
      <c r="G11118" s="332">
        <v>3383</v>
      </c>
      <c r="H11118" s="333">
        <v>4094</v>
      </c>
    </row>
    <row r="11119" spans="1:8">
      <c r="A11119" s="317">
        <v>2605807926</v>
      </c>
      <c r="B11119" s="330" t="s">
        <v>55475</v>
      </c>
      <c r="C11119" s="330" t="s">
        <v>24390</v>
      </c>
      <c r="D11119" s="330" t="s">
        <v>24391</v>
      </c>
      <c r="E11119" s="330" t="s">
        <v>4634</v>
      </c>
      <c r="F11119" s="331">
        <v>0.21</v>
      </c>
      <c r="G11119" s="332">
        <v>4233</v>
      </c>
      <c r="H11119" s="333">
        <v>5122</v>
      </c>
    </row>
    <row r="11120" spans="1:8">
      <c r="A11120" s="317">
        <v>2605807930</v>
      </c>
      <c r="B11120" s="330" t="s">
        <v>55476</v>
      </c>
      <c r="C11120" s="330" t="s">
        <v>24392</v>
      </c>
      <c r="D11120" s="330" t="s">
        <v>24393</v>
      </c>
      <c r="E11120" s="330" t="s">
        <v>4634</v>
      </c>
      <c r="F11120" s="331">
        <v>0.21</v>
      </c>
      <c r="G11120" s="332">
        <v>3966</v>
      </c>
      <c r="H11120" s="333">
        <v>4799</v>
      </c>
    </row>
    <row r="11121" spans="1:8">
      <c r="A11121" s="317">
        <v>2605807932</v>
      </c>
      <c r="B11121" s="330" t="s">
        <v>55477</v>
      </c>
      <c r="C11121" s="330" t="s">
        <v>24394</v>
      </c>
      <c r="D11121" s="330" t="s">
        <v>24395</v>
      </c>
      <c r="E11121" s="330" t="s">
        <v>4634</v>
      </c>
      <c r="F11121" s="331">
        <v>0.21</v>
      </c>
      <c r="G11121" s="332">
        <v>4737</v>
      </c>
      <c r="H11121" s="333">
        <v>5732</v>
      </c>
    </row>
    <row r="11122" spans="1:8">
      <c r="A11122" s="317">
        <v>2605807935</v>
      </c>
      <c r="B11122" s="330" t="s">
        <v>55478</v>
      </c>
      <c r="C11122" s="330" t="s">
        <v>24396</v>
      </c>
      <c r="D11122" s="330" t="s">
        <v>24397</v>
      </c>
      <c r="E11122" s="330" t="s">
        <v>4634</v>
      </c>
      <c r="F11122" s="331">
        <v>0.21</v>
      </c>
      <c r="G11122" s="332">
        <v>2755</v>
      </c>
      <c r="H11122" s="333">
        <v>3334</v>
      </c>
    </row>
    <row r="11123" spans="1:8">
      <c r="A11123" s="317">
        <v>2605807936</v>
      </c>
      <c r="B11123" s="330" t="s">
        <v>55479</v>
      </c>
      <c r="C11123" s="330" t="s">
        <v>24398</v>
      </c>
      <c r="D11123" s="330" t="s">
        <v>24399</v>
      </c>
      <c r="E11123" s="330" t="s">
        <v>4634</v>
      </c>
      <c r="F11123" s="331">
        <v>0.21</v>
      </c>
      <c r="G11123" s="332">
        <v>5123</v>
      </c>
      <c r="H11123" s="333">
        <v>6199</v>
      </c>
    </row>
    <row r="11124" spans="1:8">
      <c r="A11124" s="317">
        <v>2605807937</v>
      </c>
      <c r="B11124" s="330" t="s">
        <v>55480</v>
      </c>
      <c r="C11124" s="330" t="s">
        <v>24400</v>
      </c>
      <c r="D11124" s="330" t="s">
        <v>24401</v>
      </c>
      <c r="E11124" s="330" t="s">
        <v>4634</v>
      </c>
      <c r="F11124" s="331">
        <v>0.21</v>
      </c>
      <c r="G11124" s="332">
        <v>6542</v>
      </c>
      <c r="H11124" s="333">
        <v>7916</v>
      </c>
    </row>
    <row r="11125" spans="1:8">
      <c r="A11125" s="317">
        <v>2605807946</v>
      </c>
      <c r="B11125" s="330" t="s">
        <v>55481</v>
      </c>
      <c r="C11125" s="330" t="s">
        <v>24402</v>
      </c>
      <c r="D11125" s="330" t="s">
        <v>7959</v>
      </c>
      <c r="E11125" s="330" t="s">
        <v>4634</v>
      </c>
      <c r="F11125" s="331">
        <v>0.21</v>
      </c>
      <c r="G11125" s="332">
        <v>4004</v>
      </c>
      <c r="H11125" s="333">
        <v>4845</v>
      </c>
    </row>
    <row r="11126" spans="1:8">
      <c r="A11126" s="317">
        <v>2605808054</v>
      </c>
      <c r="B11126" s="330" t="s">
        <v>55482</v>
      </c>
      <c r="C11126" s="330" t="s">
        <v>24403</v>
      </c>
      <c r="D11126" s="330" t="s">
        <v>24404</v>
      </c>
      <c r="E11126" s="330" t="s">
        <v>4634</v>
      </c>
      <c r="F11126" s="331">
        <v>0.21</v>
      </c>
      <c r="G11126" s="332">
        <v>5143</v>
      </c>
      <c r="H11126" s="333">
        <v>6224</v>
      </c>
    </row>
    <row r="11127" spans="1:8">
      <c r="A11127" s="317">
        <v>2605808080</v>
      </c>
      <c r="B11127" s="330" t="s">
        <v>55483</v>
      </c>
      <c r="C11127" s="330" t="s">
        <v>24405</v>
      </c>
      <c r="D11127" s="330" t="s">
        <v>24406</v>
      </c>
      <c r="E11127" s="330" t="s">
        <v>4819</v>
      </c>
      <c r="F11127" s="331">
        <v>0.21</v>
      </c>
      <c r="G11127" s="332">
        <v>3310</v>
      </c>
      <c r="H11127" s="333">
        <v>4006</v>
      </c>
    </row>
    <row r="11128" spans="1:8">
      <c r="A11128" s="317">
        <v>2605808081</v>
      </c>
      <c r="B11128" s="330" t="s">
        <v>55484</v>
      </c>
      <c r="C11128" s="330" t="s">
        <v>24407</v>
      </c>
      <c r="D11128" s="330" t="s">
        <v>24408</v>
      </c>
      <c r="E11128" s="330" t="s">
        <v>4634</v>
      </c>
      <c r="F11128" s="331">
        <v>0.21</v>
      </c>
      <c r="G11128" s="332">
        <v>9540</v>
      </c>
      <c r="H11128" s="333">
        <v>11544</v>
      </c>
    </row>
    <row r="11129" spans="1:8">
      <c r="A11129" s="317">
        <v>2605808084</v>
      </c>
      <c r="B11129" s="330" t="s">
        <v>55485</v>
      </c>
      <c r="C11129" s="330" t="s">
        <v>24409</v>
      </c>
      <c r="D11129" s="330" t="s">
        <v>24410</v>
      </c>
      <c r="E11129" s="330" t="s">
        <v>4634</v>
      </c>
      <c r="F11129" s="331">
        <v>0.21</v>
      </c>
      <c r="G11129" s="332">
        <v>584</v>
      </c>
      <c r="H11129" s="333">
        <v>707</v>
      </c>
    </row>
    <row r="11130" spans="1:8">
      <c r="A11130" s="317">
        <v>2605808900</v>
      </c>
      <c r="B11130" s="330" t="s">
        <v>55486</v>
      </c>
      <c r="C11130" s="330" t="s">
        <v>24411</v>
      </c>
      <c r="D11130" s="330" t="s">
        <v>6109</v>
      </c>
      <c r="E11130" s="330" t="s">
        <v>4634</v>
      </c>
      <c r="F11130" s="331">
        <v>0.21</v>
      </c>
      <c r="G11130" s="332">
        <v>1119</v>
      </c>
      <c r="H11130" s="333">
        <v>1354</v>
      </c>
    </row>
    <row r="11131" spans="1:8">
      <c r="A11131" s="317">
        <v>2605808910</v>
      </c>
      <c r="B11131" s="330" t="s">
        <v>55487</v>
      </c>
      <c r="C11131" s="330" t="s">
        <v>24412</v>
      </c>
      <c r="D11131" s="330" t="s">
        <v>24413</v>
      </c>
      <c r="E11131" s="330" t="s">
        <v>4634</v>
      </c>
      <c r="F11131" s="331">
        <v>0.21</v>
      </c>
      <c r="G11131" s="332">
        <v>1264</v>
      </c>
      <c r="H11131" s="333">
        <v>1530</v>
      </c>
    </row>
    <row r="11132" spans="1:8">
      <c r="A11132" s="317">
        <v>2605808917</v>
      </c>
      <c r="B11132" s="330" t="s">
        <v>55488</v>
      </c>
      <c r="C11132" s="330" t="s">
        <v>24414</v>
      </c>
      <c r="D11132" s="330" t="s">
        <v>24415</v>
      </c>
      <c r="E11132" s="330" t="s">
        <v>4819</v>
      </c>
      <c r="F11132" s="331">
        <v>0.21</v>
      </c>
      <c r="G11132" s="332">
        <v>102097</v>
      </c>
      <c r="H11132" s="333">
        <v>123538</v>
      </c>
    </row>
    <row r="11133" spans="1:8">
      <c r="A11133" s="317">
        <v>2605808920</v>
      </c>
      <c r="B11133" s="330" t="s">
        <v>55489</v>
      </c>
      <c r="C11133" s="330" t="s">
        <v>24416</v>
      </c>
      <c r="D11133" s="330" t="s">
        <v>24417</v>
      </c>
      <c r="E11133" s="330" t="s">
        <v>4634</v>
      </c>
      <c r="F11133" s="331">
        <v>0.21</v>
      </c>
      <c r="G11133" s="332">
        <v>19188</v>
      </c>
      <c r="H11133" s="333">
        <v>23218</v>
      </c>
    </row>
    <row r="11134" spans="1:8">
      <c r="A11134" s="317">
        <v>2605808921</v>
      </c>
      <c r="B11134" s="330" t="s">
        <v>55490</v>
      </c>
      <c r="C11134" s="330" t="s">
        <v>24418</v>
      </c>
      <c r="D11134" s="330" t="s">
        <v>24419</v>
      </c>
      <c r="E11134" s="330" t="s">
        <v>4819</v>
      </c>
      <c r="F11134" s="331">
        <v>0.21</v>
      </c>
      <c r="G11134" s="332">
        <v>38772</v>
      </c>
      <c r="H11134" s="333">
        <v>46915</v>
      </c>
    </row>
    <row r="11135" spans="1:8">
      <c r="A11135" s="317">
        <v>2605808922</v>
      </c>
      <c r="B11135" s="330" t="s">
        <v>55491</v>
      </c>
      <c r="C11135" s="330" t="s">
        <v>24420</v>
      </c>
      <c r="D11135" s="330" t="s">
        <v>24421</v>
      </c>
      <c r="E11135" s="330" t="s">
        <v>4634</v>
      </c>
      <c r="F11135" s="331">
        <v>0.21</v>
      </c>
      <c r="G11135" s="332">
        <v>4234</v>
      </c>
      <c r="H11135" s="333">
        <v>5124</v>
      </c>
    </row>
    <row r="11136" spans="1:8">
      <c r="A11136" s="317">
        <v>2605808927</v>
      </c>
      <c r="B11136" s="330" t="s">
        <v>55492</v>
      </c>
      <c r="C11136" s="330" t="s">
        <v>24422</v>
      </c>
      <c r="D11136" s="330" t="s">
        <v>24423</v>
      </c>
      <c r="E11136" s="330" t="s">
        <v>4634</v>
      </c>
      <c r="F11136" s="331">
        <v>0.21</v>
      </c>
      <c r="G11136" s="332">
        <v>44680</v>
      </c>
      <c r="H11136" s="333">
        <v>54063</v>
      </c>
    </row>
    <row r="11137" spans="1:8">
      <c r="A11137" s="317">
        <v>2605808929</v>
      </c>
      <c r="B11137" s="330" t="s">
        <v>55493</v>
      </c>
      <c r="C11137" s="330" t="s">
        <v>24424</v>
      </c>
      <c r="D11137" s="330" t="s">
        <v>24425</v>
      </c>
      <c r="E11137" s="330" t="s">
        <v>4634</v>
      </c>
      <c r="F11137" s="331">
        <v>0.21</v>
      </c>
      <c r="G11137" s="332">
        <v>137105</v>
      </c>
      <c r="H11137" s="333">
        <v>165898</v>
      </c>
    </row>
    <row r="11138" spans="1:8">
      <c r="A11138" s="317">
        <v>2605808934</v>
      </c>
      <c r="B11138" s="330" t="s">
        <v>55494</v>
      </c>
      <c r="C11138" s="330" t="s">
        <v>24426</v>
      </c>
      <c r="D11138" s="330" t="s">
        <v>24427</v>
      </c>
      <c r="E11138" s="330" t="s">
        <v>4819</v>
      </c>
      <c r="F11138" s="331">
        <v>0.21</v>
      </c>
      <c r="G11138" s="332">
        <v>152992</v>
      </c>
      <c r="H11138" s="333">
        <v>185121</v>
      </c>
    </row>
    <row r="11139" spans="1:8">
      <c r="A11139" s="317">
        <v>2605819004</v>
      </c>
      <c r="B11139" s="330" t="s">
        <v>55495</v>
      </c>
      <c r="C11139" s="330" t="s">
        <v>24428</v>
      </c>
      <c r="D11139" s="330" t="s">
        <v>24429</v>
      </c>
      <c r="E11139" s="330" t="s">
        <v>4634</v>
      </c>
      <c r="F11139" s="331">
        <v>0.21</v>
      </c>
      <c r="G11139" s="332">
        <v>9375</v>
      </c>
      <c r="H11139" s="333">
        <v>11344</v>
      </c>
    </row>
    <row r="11140" spans="1:8">
      <c r="A11140" s="317">
        <v>2605819011</v>
      </c>
      <c r="B11140" s="330" t="s">
        <v>55496</v>
      </c>
      <c r="C11140" s="330" t="s">
        <v>24430</v>
      </c>
      <c r="D11140" s="330" t="s">
        <v>24431</v>
      </c>
      <c r="E11140" s="330" t="s">
        <v>4634</v>
      </c>
      <c r="F11140" s="331">
        <v>0.21</v>
      </c>
      <c r="G11140" s="332">
        <v>1713</v>
      </c>
      <c r="H11140" s="333">
        <v>2073</v>
      </c>
    </row>
    <row r="11141" spans="1:8">
      <c r="A11141" s="317">
        <v>2605819012</v>
      </c>
      <c r="B11141" s="330" t="s">
        <v>55497</v>
      </c>
      <c r="C11141" s="330" t="s">
        <v>24432</v>
      </c>
      <c r="D11141" s="330" t="s">
        <v>24433</v>
      </c>
      <c r="E11141" s="330" t="s">
        <v>4819</v>
      </c>
      <c r="F11141" s="331">
        <v>0.21</v>
      </c>
      <c r="G11141" s="332">
        <v>14674</v>
      </c>
      <c r="H11141" s="333">
        <v>17756</v>
      </c>
    </row>
    <row r="11142" spans="1:8">
      <c r="A11142" s="317">
        <v>2605820022</v>
      </c>
      <c r="B11142" s="330" t="s">
        <v>55498</v>
      </c>
      <c r="C11142" s="330" t="s">
        <v>24434</v>
      </c>
      <c r="D11142" s="330" t="s">
        <v>24435</v>
      </c>
      <c r="E11142" s="330" t="s">
        <v>4634</v>
      </c>
      <c r="F11142" s="331">
        <v>0.21</v>
      </c>
      <c r="G11142" s="332">
        <v>13995</v>
      </c>
      <c r="H11142" s="333">
        <v>16934</v>
      </c>
    </row>
    <row r="11143" spans="1:8">
      <c r="A11143" s="317">
        <v>2606100057</v>
      </c>
      <c r="B11143" s="330" t="s">
        <v>55499</v>
      </c>
      <c r="C11143" s="330" t="s">
        <v>24436</v>
      </c>
      <c r="D11143" s="330" t="s">
        <v>24437</v>
      </c>
      <c r="E11143" s="330" t="s">
        <v>4634</v>
      </c>
      <c r="F11143" s="331">
        <v>0.21</v>
      </c>
      <c r="G11143" s="332">
        <v>12280</v>
      </c>
      <c r="H11143" s="333">
        <v>14859</v>
      </c>
    </row>
    <row r="11144" spans="1:8">
      <c r="A11144" s="317">
        <v>2606100061</v>
      </c>
      <c r="B11144" s="330" t="s">
        <v>55500</v>
      </c>
      <c r="C11144" s="330" t="s">
        <v>24438</v>
      </c>
      <c r="D11144" s="330" t="s">
        <v>24439</v>
      </c>
      <c r="E11144" s="330" t="s">
        <v>4634</v>
      </c>
      <c r="F11144" s="331">
        <v>0.21</v>
      </c>
      <c r="G11144" s="332">
        <v>403</v>
      </c>
      <c r="H11144" s="333">
        <v>488</v>
      </c>
    </row>
    <row r="11145" spans="1:8">
      <c r="A11145" s="317">
        <v>2606100900</v>
      </c>
      <c r="B11145" s="330" t="s">
        <v>55501</v>
      </c>
      <c r="C11145" s="330" t="s">
        <v>24440</v>
      </c>
      <c r="D11145" s="330" t="s">
        <v>24441</v>
      </c>
      <c r="E11145" s="330" t="s">
        <v>4634</v>
      </c>
      <c r="F11145" s="331">
        <v>0.21</v>
      </c>
      <c r="G11145" s="332">
        <v>4851</v>
      </c>
      <c r="H11145" s="333">
        <v>5870</v>
      </c>
    </row>
    <row r="11146" spans="1:8">
      <c r="A11146" s="317">
        <v>2606100903</v>
      </c>
      <c r="B11146" s="330" t="s">
        <v>55502</v>
      </c>
      <c r="C11146" s="330" t="s">
        <v>24442</v>
      </c>
      <c r="D11146" s="330" t="s">
        <v>24443</v>
      </c>
      <c r="E11146" s="330" t="s">
        <v>4634</v>
      </c>
      <c r="F11146" s="331">
        <v>0.21</v>
      </c>
      <c r="G11146" s="332">
        <v>21870</v>
      </c>
      <c r="H11146" s="333">
        <v>26463</v>
      </c>
    </row>
    <row r="11147" spans="1:8">
      <c r="A11147" s="317">
        <v>2606100904</v>
      </c>
      <c r="B11147" s="330" t="s">
        <v>55503</v>
      </c>
      <c r="C11147" s="330" t="s">
        <v>24444</v>
      </c>
      <c r="D11147" s="330" t="s">
        <v>16547</v>
      </c>
      <c r="E11147" s="330" t="s">
        <v>4634</v>
      </c>
      <c r="F11147" s="331">
        <v>0.21</v>
      </c>
      <c r="G11147" s="332">
        <v>3888</v>
      </c>
      <c r="H11147" s="333">
        <v>4705</v>
      </c>
    </row>
    <row r="11148" spans="1:8">
      <c r="A11148" s="317">
        <v>2606100906</v>
      </c>
      <c r="B11148" s="330" t="s">
        <v>55504</v>
      </c>
      <c r="C11148" s="330" t="s">
        <v>24445</v>
      </c>
      <c r="D11148" s="330" t="s">
        <v>24446</v>
      </c>
      <c r="E11148" s="330" t="s">
        <v>4634</v>
      </c>
      <c r="F11148" s="331">
        <v>0.21</v>
      </c>
      <c r="G11148" s="332">
        <v>19733</v>
      </c>
      <c r="H11148" s="333">
        <v>23877</v>
      </c>
    </row>
    <row r="11149" spans="1:8">
      <c r="A11149" s="317">
        <v>2606100913</v>
      </c>
      <c r="B11149" s="330" t="s">
        <v>55505</v>
      </c>
      <c r="C11149" s="330" t="s">
        <v>24447</v>
      </c>
      <c r="D11149" s="330" t="s">
        <v>24448</v>
      </c>
      <c r="E11149" s="330" t="s">
        <v>4634</v>
      </c>
      <c r="F11149" s="331">
        <v>0.21</v>
      </c>
      <c r="G11149" s="332">
        <v>4365</v>
      </c>
      <c r="H11149" s="333">
        <v>5282</v>
      </c>
    </row>
    <row r="11150" spans="1:8">
      <c r="A11150" s="317">
        <v>2606100921</v>
      </c>
      <c r="B11150" s="330" t="s">
        <v>55506</v>
      </c>
      <c r="C11150" s="330" t="s">
        <v>24449</v>
      </c>
      <c r="D11150" s="330" t="s">
        <v>24450</v>
      </c>
      <c r="E11150" s="330" t="s">
        <v>4634</v>
      </c>
      <c r="F11150" s="331">
        <v>0.21</v>
      </c>
      <c r="G11150" s="332">
        <v>7943</v>
      </c>
      <c r="H11150" s="333">
        <v>9612</v>
      </c>
    </row>
    <row r="11151" spans="1:8">
      <c r="A11151" s="317">
        <v>2606100922</v>
      </c>
      <c r="B11151" s="330" t="s">
        <v>55507</v>
      </c>
      <c r="C11151" s="330" t="s">
        <v>24451</v>
      </c>
      <c r="D11151" s="330" t="s">
        <v>24452</v>
      </c>
      <c r="E11151" s="330" t="s">
        <v>4634</v>
      </c>
      <c r="F11151" s="331">
        <v>0.21</v>
      </c>
      <c r="G11151" s="332">
        <v>5523</v>
      </c>
      <c r="H11151" s="333">
        <v>6683</v>
      </c>
    </row>
    <row r="11152" spans="1:8">
      <c r="A11152" s="317">
        <v>2606110000</v>
      </c>
      <c r="B11152" s="330" t="s">
        <v>55508</v>
      </c>
      <c r="C11152" s="330" t="s">
        <v>24453</v>
      </c>
      <c r="D11152" s="330" t="s">
        <v>24454</v>
      </c>
      <c r="E11152" s="330" t="s">
        <v>4634</v>
      </c>
      <c r="F11152" s="331">
        <v>0.21</v>
      </c>
      <c r="G11152" s="332">
        <v>7069</v>
      </c>
      <c r="H11152" s="333">
        <v>8554</v>
      </c>
    </row>
    <row r="11153" spans="1:8">
      <c r="A11153" s="317">
        <v>2606110001</v>
      </c>
      <c r="B11153" s="330" t="s">
        <v>55509</v>
      </c>
      <c r="C11153" s="330" t="s">
        <v>24455</v>
      </c>
      <c r="D11153" s="330" t="s">
        <v>24456</v>
      </c>
      <c r="E11153" s="330" t="s">
        <v>37248</v>
      </c>
      <c r="F11153" s="331">
        <v>0.21</v>
      </c>
      <c r="G11153" s="332">
        <v>4515</v>
      </c>
      <c r="H11153" s="333">
        <v>5464</v>
      </c>
    </row>
    <row r="11154" spans="1:8">
      <c r="A11154" s="317">
        <v>2606122002</v>
      </c>
      <c r="B11154" s="330" t="s">
        <v>55510</v>
      </c>
      <c r="C11154" s="330" t="s">
        <v>24457</v>
      </c>
      <c r="D11154" s="330" t="s">
        <v>7916</v>
      </c>
      <c r="E11154" s="330" t="s">
        <v>4634</v>
      </c>
      <c r="F11154" s="331">
        <v>0.21</v>
      </c>
      <c r="G11154" s="332">
        <v>4481</v>
      </c>
      <c r="H11154" s="333">
        <v>5423</v>
      </c>
    </row>
    <row r="11155" spans="1:8">
      <c r="A11155" s="317">
        <v>2606122003</v>
      </c>
      <c r="B11155" s="330" t="s">
        <v>55511</v>
      </c>
      <c r="C11155" s="330" t="s">
        <v>24458</v>
      </c>
      <c r="D11155" s="330" t="s">
        <v>24459</v>
      </c>
      <c r="E11155" s="330" t="s">
        <v>4623</v>
      </c>
      <c r="F11155" s="331">
        <v>0.21</v>
      </c>
      <c r="G11155" s="332">
        <v>84458</v>
      </c>
      <c r="H11155" s="333">
        <v>102195</v>
      </c>
    </row>
    <row r="11156" spans="1:8">
      <c r="A11156" s="317">
        <v>2606122900</v>
      </c>
      <c r="B11156" s="330" t="s">
        <v>55512</v>
      </c>
      <c r="C11156" s="330" t="s">
        <v>24460</v>
      </c>
      <c r="D11156" s="330" t="s">
        <v>24461</v>
      </c>
      <c r="E11156" s="330" t="s">
        <v>4634</v>
      </c>
      <c r="F11156" s="331">
        <v>0.21</v>
      </c>
      <c r="G11156" s="332">
        <v>10676</v>
      </c>
      <c r="H11156" s="333">
        <v>12918</v>
      </c>
    </row>
    <row r="11157" spans="1:8">
      <c r="A11157" s="317">
        <v>2606122901</v>
      </c>
      <c r="B11157" s="330" t="s">
        <v>55513</v>
      </c>
      <c r="C11157" s="330" t="s">
        <v>24462</v>
      </c>
      <c r="D11157" s="330" t="s">
        <v>24463</v>
      </c>
      <c r="E11157" s="330" t="s">
        <v>4634</v>
      </c>
      <c r="F11157" s="331">
        <v>0.21</v>
      </c>
      <c r="G11157" s="332">
        <v>8537</v>
      </c>
      <c r="H11157" s="333">
        <v>10330</v>
      </c>
    </row>
    <row r="11158" spans="1:8">
      <c r="A11158" s="317">
        <v>2606135000</v>
      </c>
      <c r="B11158" s="330" t="s">
        <v>55514</v>
      </c>
      <c r="C11158" s="330" t="s">
        <v>24464</v>
      </c>
      <c r="D11158" s="330" t="s">
        <v>24465</v>
      </c>
      <c r="E11158" s="330" t="s">
        <v>4634</v>
      </c>
      <c r="F11158" s="331">
        <v>0.21</v>
      </c>
      <c r="G11158" s="332">
        <v>3946</v>
      </c>
      <c r="H11158" s="333">
        <v>4775</v>
      </c>
    </row>
    <row r="11159" spans="1:8">
      <c r="A11159" s="317">
        <v>2606135005</v>
      </c>
      <c r="B11159" s="330" t="s">
        <v>55515</v>
      </c>
      <c r="C11159" s="330" t="s">
        <v>24466</v>
      </c>
      <c r="D11159" s="330" t="s">
        <v>24467</v>
      </c>
      <c r="E11159" s="330" t="s">
        <v>4634</v>
      </c>
      <c r="F11159" s="331">
        <v>0.21</v>
      </c>
      <c r="G11159" s="332">
        <v>4833</v>
      </c>
      <c r="H11159" s="333">
        <v>5848</v>
      </c>
    </row>
    <row r="11160" spans="1:8">
      <c r="A11160" s="317">
        <v>2606135011</v>
      </c>
      <c r="B11160" s="330" t="s">
        <v>55516</v>
      </c>
      <c r="C11160" s="330" t="s">
        <v>24468</v>
      </c>
      <c r="D11160" s="330" t="s">
        <v>24469</v>
      </c>
      <c r="E11160" s="330" t="s">
        <v>4634</v>
      </c>
      <c r="F11160" s="331">
        <v>0.21</v>
      </c>
      <c r="G11160" s="332">
        <v>6234</v>
      </c>
      <c r="H11160" s="333">
        <v>7544</v>
      </c>
    </row>
    <row r="11161" spans="1:8">
      <c r="A11161" s="317">
        <v>2606135012</v>
      </c>
      <c r="B11161" s="330" t="s">
        <v>55517</v>
      </c>
      <c r="C11161" s="330" t="s">
        <v>24470</v>
      </c>
      <c r="D11161" s="330" t="s">
        <v>24471</v>
      </c>
      <c r="E11161" s="330" t="s">
        <v>4634</v>
      </c>
      <c r="F11161" s="331">
        <v>0.21</v>
      </c>
      <c r="G11161" s="332">
        <v>437</v>
      </c>
      <c r="H11161" s="333">
        <v>529</v>
      </c>
    </row>
    <row r="11162" spans="1:8">
      <c r="A11162" s="317">
        <v>2606135018</v>
      </c>
      <c r="B11162" s="330" t="s">
        <v>55518</v>
      </c>
      <c r="C11162" s="330" t="s">
        <v>24472</v>
      </c>
      <c r="D11162" s="330" t="s">
        <v>7916</v>
      </c>
      <c r="E11162" s="330" t="s">
        <v>4634</v>
      </c>
      <c r="F11162" s="331">
        <v>0.21</v>
      </c>
      <c r="G11162" s="332">
        <v>751</v>
      </c>
      <c r="H11162" s="333">
        <v>909</v>
      </c>
    </row>
    <row r="11163" spans="1:8">
      <c r="A11163" s="317">
        <v>2606135022</v>
      </c>
      <c r="B11163" s="330" t="s">
        <v>55519</v>
      </c>
      <c r="C11163" s="330" t="s">
        <v>24473</v>
      </c>
      <c r="D11163" s="330" t="s">
        <v>24474</v>
      </c>
      <c r="E11163" s="330" t="s">
        <v>4634</v>
      </c>
      <c r="F11163" s="331">
        <v>0.21</v>
      </c>
      <c r="G11163" s="332">
        <v>1798</v>
      </c>
      <c r="H11163" s="333">
        <v>2176</v>
      </c>
    </row>
    <row r="11164" spans="1:8">
      <c r="A11164" s="317">
        <v>2606135033</v>
      </c>
      <c r="B11164" s="330" t="s">
        <v>55520</v>
      </c>
      <c r="C11164" s="330" t="s">
        <v>24475</v>
      </c>
      <c r="D11164" s="330" t="s">
        <v>24476</v>
      </c>
      <c r="E11164" s="330" t="s">
        <v>4634</v>
      </c>
      <c r="F11164" s="331">
        <v>0.21</v>
      </c>
      <c r="G11164" s="332">
        <v>2806</v>
      </c>
      <c r="H11164" s="333">
        <v>3396</v>
      </c>
    </row>
    <row r="11165" spans="1:8">
      <c r="A11165" s="317">
        <v>2606135034</v>
      </c>
      <c r="B11165" s="330" t="s">
        <v>55521</v>
      </c>
      <c r="C11165" s="330" t="s">
        <v>24477</v>
      </c>
      <c r="D11165" s="330" t="s">
        <v>24478</v>
      </c>
      <c r="E11165" s="330" t="s">
        <v>4634</v>
      </c>
      <c r="F11165" s="331">
        <v>0.21</v>
      </c>
      <c r="G11165" s="332">
        <v>3154</v>
      </c>
      <c r="H11165" s="333">
        <v>3817</v>
      </c>
    </row>
    <row r="11166" spans="1:8">
      <c r="A11166" s="317">
        <v>2606135045</v>
      </c>
      <c r="B11166" s="330" t="s">
        <v>55522</v>
      </c>
      <c r="C11166" s="330" t="s">
        <v>24479</v>
      </c>
      <c r="D11166" s="330" t="s">
        <v>24480</v>
      </c>
      <c r="E11166" s="330" t="s">
        <v>4634</v>
      </c>
      <c r="F11166" s="331">
        <v>0.21</v>
      </c>
      <c r="G11166" s="332">
        <v>2806</v>
      </c>
      <c r="H11166" s="333">
        <v>3396</v>
      </c>
    </row>
    <row r="11167" spans="1:8">
      <c r="A11167" s="317">
        <v>2606135070</v>
      </c>
      <c r="B11167" s="330" t="s">
        <v>55523</v>
      </c>
      <c r="C11167" s="330" t="s">
        <v>24481</v>
      </c>
      <c r="D11167" s="330" t="s">
        <v>24482</v>
      </c>
      <c r="E11167" s="330" t="s">
        <v>4634</v>
      </c>
      <c r="F11167" s="331">
        <v>0.21</v>
      </c>
      <c r="G11167" s="332">
        <v>6660</v>
      </c>
      <c r="H11167" s="333">
        <v>8059</v>
      </c>
    </row>
    <row r="11168" spans="1:8">
      <c r="A11168" s="317">
        <v>2606135130</v>
      </c>
      <c r="B11168" s="330" t="s">
        <v>55524</v>
      </c>
      <c r="C11168" s="330" t="s">
        <v>24483</v>
      </c>
      <c r="D11168" s="330" t="s">
        <v>24484</v>
      </c>
      <c r="E11168" s="330" t="s">
        <v>37248</v>
      </c>
      <c r="F11168" s="331">
        <v>0.21</v>
      </c>
      <c r="G11168" s="332">
        <v>34211</v>
      </c>
      <c r="H11168" s="333">
        <v>41396</v>
      </c>
    </row>
    <row r="11169" spans="1:8">
      <c r="A11169" s="317">
        <v>2606135901</v>
      </c>
      <c r="B11169" s="330" t="s">
        <v>55525</v>
      </c>
      <c r="C11169" s="330" t="s">
        <v>24485</v>
      </c>
      <c r="D11169" s="330" t="s">
        <v>24486</v>
      </c>
      <c r="E11169" s="330" t="s">
        <v>4634</v>
      </c>
      <c r="F11169" s="331">
        <v>0.21</v>
      </c>
      <c r="G11169" s="332">
        <v>9547</v>
      </c>
      <c r="H11169" s="333">
        <v>11552</v>
      </c>
    </row>
    <row r="11170" spans="1:8">
      <c r="A11170" s="317">
        <v>2606135913</v>
      </c>
      <c r="B11170" s="330" t="s">
        <v>55526</v>
      </c>
      <c r="C11170" s="330" t="s">
        <v>24487</v>
      </c>
      <c r="D11170" s="330" t="s">
        <v>24488</v>
      </c>
      <c r="E11170" s="330" t="s">
        <v>4634</v>
      </c>
      <c r="F11170" s="331">
        <v>0.21</v>
      </c>
      <c r="G11170" s="332">
        <v>1345</v>
      </c>
      <c r="H11170" s="333">
        <v>1628</v>
      </c>
    </row>
    <row r="11171" spans="1:8">
      <c r="A11171" s="317">
        <v>2606135923</v>
      </c>
      <c r="B11171" s="330" t="s">
        <v>55527</v>
      </c>
      <c r="C11171" s="330" t="s">
        <v>24489</v>
      </c>
      <c r="D11171" s="330" t="s">
        <v>24490</v>
      </c>
      <c r="E11171" s="330" t="s">
        <v>4634</v>
      </c>
      <c r="F11171" s="331">
        <v>0.21</v>
      </c>
      <c r="G11171" s="332">
        <v>5239</v>
      </c>
      <c r="H11171" s="333">
        <v>6340</v>
      </c>
    </row>
    <row r="11172" spans="1:8">
      <c r="A11172" s="317">
        <v>2606135929</v>
      </c>
      <c r="B11172" s="330" t="s">
        <v>55528</v>
      </c>
      <c r="C11172" s="330" t="s">
        <v>24491</v>
      </c>
      <c r="D11172" s="330" t="s">
        <v>24492</v>
      </c>
      <c r="E11172" s="330" t="s">
        <v>4634</v>
      </c>
      <c r="F11172" s="331">
        <v>0.21</v>
      </c>
      <c r="G11172" s="332">
        <v>13736</v>
      </c>
      <c r="H11172" s="333">
        <v>16621</v>
      </c>
    </row>
    <row r="11173" spans="1:8">
      <c r="A11173" s="317">
        <v>2606135932</v>
      </c>
      <c r="B11173" s="330" t="s">
        <v>55529</v>
      </c>
      <c r="C11173" s="330" t="s">
        <v>24493</v>
      </c>
      <c r="D11173" s="330" t="s">
        <v>24494</v>
      </c>
      <c r="E11173" s="330" t="s">
        <v>4634</v>
      </c>
      <c r="F11173" s="331">
        <v>0.21</v>
      </c>
      <c r="G11173" s="332">
        <v>4115</v>
      </c>
      <c r="H11173" s="333">
        <v>4980</v>
      </c>
    </row>
    <row r="11174" spans="1:8">
      <c r="A11174" s="317">
        <v>2606200047</v>
      </c>
      <c r="B11174" s="330" t="s">
        <v>55530</v>
      </c>
      <c r="C11174" s="330" t="s">
        <v>24495</v>
      </c>
      <c r="D11174" s="330" t="s">
        <v>24496</v>
      </c>
      <c r="E11174" s="330" t="s">
        <v>4634</v>
      </c>
      <c r="F11174" s="331">
        <v>0.21</v>
      </c>
      <c r="G11174" s="332">
        <v>10767</v>
      </c>
      <c r="H11174" s="333">
        <v>13029</v>
      </c>
    </row>
    <row r="11175" spans="1:8">
      <c r="A11175" s="317">
        <v>2606200054</v>
      </c>
      <c r="B11175" s="330" t="s">
        <v>55531</v>
      </c>
      <c r="C11175" s="330" t="s">
        <v>24497</v>
      </c>
      <c r="D11175" s="330" t="s">
        <v>24498</v>
      </c>
      <c r="E11175" s="330" t="s">
        <v>4634</v>
      </c>
      <c r="F11175" s="331">
        <v>0.21</v>
      </c>
      <c r="G11175" s="332">
        <v>5123</v>
      </c>
      <c r="H11175" s="333">
        <v>6199</v>
      </c>
    </row>
    <row r="11176" spans="1:8">
      <c r="A11176" s="317">
        <v>2606200065</v>
      </c>
      <c r="B11176" s="330" t="s">
        <v>55532</v>
      </c>
      <c r="C11176" s="330" t="s">
        <v>24499</v>
      </c>
      <c r="D11176" s="330" t="s">
        <v>24500</v>
      </c>
      <c r="E11176" s="330" t="s">
        <v>4634</v>
      </c>
      <c r="F11176" s="331">
        <v>0.21</v>
      </c>
      <c r="G11176" s="332">
        <v>11925</v>
      </c>
      <c r="H11176" s="333">
        <v>14430</v>
      </c>
    </row>
    <row r="11177" spans="1:8">
      <c r="A11177" s="317">
        <v>2606200073</v>
      </c>
      <c r="B11177" s="330" t="s">
        <v>55533</v>
      </c>
      <c r="C11177" s="330" t="s">
        <v>24501</v>
      </c>
      <c r="D11177" s="330" t="s">
        <v>24502</v>
      </c>
      <c r="E11177" s="330" t="s">
        <v>4634</v>
      </c>
      <c r="F11177" s="331">
        <v>0.21</v>
      </c>
      <c r="G11177" s="332">
        <v>12447</v>
      </c>
      <c r="H11177" s="333">
        <v>15061</v>
      </c>
    </row>
    <row r="11178" spans="1:8">
      <c r="A11178" s="317">
        <v>2606200078</v>
      </c>
      <c r="B11178" s="330" t="s">
        <v>55534</v>
      </c>
      <c r="C11178" s="330" t="s">
        <v>24503</v>
      </c>
      <c r="D11178" s="330" t="s">
        <v>24504</v>
      </c>
      <c r="E11178" s="330" t="s">
        <v>4634</v>
      </c>
      <c r="F11178" s="331">
        <v>0.21</v>
      </c>
      <c r="G11178" s="332">
        <v>10125</v>
      </c>
      <c r="H11178" s="333">
        <v>12252</v>
      </c>
    </row>
    <row r="11179" spans="1:8">
      <c r="A11179" s="317">
        <v>2606200090</v>
      </c>
      <c r="B11179" s="330" t="s">
        <v>55535</v>
      </c>
      <c r="C11179" s="330" t="s">
        <v>24505</v>
      </c>
      <c r="D11179" s="330" t="s">
        <v>24506</v>
      </c>
      <c r="E11179" s="330" t="s">
        <v>4634</v>
      </c>
      <c r="F11179" s="331">
        <v>0.21</v>
      </c>
      <c r="G11179" s="332">
        <v>5123</v>
      </c>
      <c r="H11179" s="333">
        <v>6199</v>
      </c>
    </row>
    <row r="11180" spans="1:8">
      <c r="A11180" s="317">
        <v>2606200186</v>
      </c>
      <c r="B11180" s="330" t="s">
        <v>55536</v>
      </c>
      <c r="C11180" s="330" t="s">
        <v>24507</v>
      </c>
      <c r="D11180" s="330" t="s">
        <v>24508</v>
      </c>
      <c r="E11180" s="330" t="s">
        <v>4634</v>
      </c>
      <c r="F11180" s="331">
        <v>0.21</v>
      </c>
      <c r="G11180" s="332">
        <v>45498</v>
      </c>
      <c r="H11180" s="333">
        <v>55053</v>
      </c>
    </row>
    <row r="11181" spans="1:8">
      <c r="A11181" s="317">
        <v>2606200196</v>
      </c>
      <c r="B11181" s="330" t="s">
        <v>55537</v>
      </c>
      <c r="C11181" s="330" t="s">
        <v>24509</v>
      </c>
      <c r="D11181" s="330" t="s">
        <v>24510</v>
      </c>
      <c r="E11181" s="330" t="s">
        <v>4634</v>
      </c>
      <c r="F11181" s="331">
        <v>0.21</v>
      </c>
      <c r="G11181" s="332">
        <v>56779</v>
      </c>
      <c r="H11181" s="333">
        <v>68703</v>
      </c>
    </row>
    <row r="11182" spans="1:8">
      <c r="A11182" s="317">
        <v>2606200209</v>
      </c>
      <c r="B11182" s="330" t="s">
        <v>55538</v>
      </c>
      <c r="C11182" s="330" t="s">
        <v>24511</v>
      </c>
      <c r="D11182" s="330" t="s">
        <v>24512</v>
      </c>
      <c r="E11182" s="330" t="s">
        <v>37248</v>
      </c>
      <c r="F11182" s="331">
        <v>0.21</v>
      </c>
      <c r="G11182" s="332">
        <v>66177</v>
      </c>
      <c r="H11182" s="333">
        <v>80075</v>
      </c>
    </row>
    <row r="11183" spans="1:8">
      <c r="A11183" s="317">
        <v>2606200225</v>
      </c>
      <c r="B11183" s="330" t="s">
        <v>55539</v>
      </c>
      <c r="C11183" s="330" t="s">
        <v>24513</v>
      </c>
      <c r="D11183" s="330" t="s">
        <v>24514</v>
      </c>
      <c r="E11183" s="330" t="s">
        <v>4634</v>
      </c>
      <c r="F11183" s="331">
        <v>0.21</v>
      </c>
      <c r="G11183" s="332">
        <v>33331</v>
      </c>
      <c r="H11183" s="333">
        <v>40331</v>
      </c>
    </row>
    <row r="11184" spans="1:8">
      <c r="A11184" s="317">
        <v>2606200229</v>
      </c>
      <c r="B11184" s="330" t="s">
        <v>55540</v>
      </c>
      <c r="C11184" s="330" t="s">
        <v>24515</v>
      </c>
      <c r="D11184" s="330" t="s">
        <v>24516</v>
      </c>
      <c r="E11184" s="330" t="s">
        <v>4819</v>
      </c>
      <c r="F11184" s="331">
        <v>0.21</v>
      </c>
      <c r="G11184" s="332">
        <v>69590</v>
      </c>
      <c r="H11184" s="333">
        <v>84204</v>
      </c>
    </row>
    <row r="11185" spans="1:8">
      <c r="A11185" s="317">
        <v>2606200237</v>
      </c>
      <c r="B11185" s="330" t="s">
        <v>55541</v>
      </c>
      <c r="C11185" s="330" t="s">
        <v>24517</v>
      </c>
      <c r="D11185" s="330" t="s">
        <v>24518</v>
      </c>
      <c r="E11185" s="330" t="s">
        <v>4634</v>
      </c>
      <c r="F11185" s="331">
        <v>0.21</v>
      </c>
      <c r="G11185" s="332">
        <v>55864</v>
      </c>
      <c r="H11185" s="333">
        <v>67596</v>
      </c>
    </row>
    <row r="11186" spans="1:8">
      <c r="A11186" s="317">
        <v>2606200250</v>
      </c>
      <c r="B11186" s="330" t="s">
        <v>55542</v>
      </c>
      <c r="C11186" s="330" t="s">
        <v>24519</v>
      </c>
      <c r="D11186" s="330" t="s">
        <v>24520</v>
      </c>
      <c r="E11186" s="330" t="s">
        <v>4634</v>
      </c>
      <c r="F11186" s="331">
        <v>0.21</v>
      </c>
      <c r="G11186" s="332">
        <v>15771</v>
      </c>
      <c r="H11186" s="333">
        <v>19083</v>
      </c>
    </row>
    <row r="11187" spans="1:8">
      <c r="A11187" s="317">
        <v>2606200254</v>
      </c>
      <c r="B11187" s="330" t="s">
        <v>55543</v>
      </c>
      <c r="C11187" s="330" t="s">
        <v>24521</v>
      </c>
      <c r="D11187" s="330" t="s">
        <v>24522</v>
      </c>
      <c r="E11187" s="330" t="s">
        <v>4623</v>
      </c>
      <c r="F11187" s="331">
        <v>0.21</v>
      </c>
      <c r="G11187" s="332">
        <v>99041</v>
      </c>
      <c r="H11187" s="333">
        <v>119840</v>
      </c>
    </row>
    <row r="11188" spans="1:8">
      <c r="A11188" s="317">
        <v>2606200257</v>
      </c>
      <c r="B11188" s="330" t="s">
        <v>55544</v>
      </c>
      <c r="C11188" s="330" t="s">
        <v>24523</v>
      </c>
      <c r="D11188" s="330" t="s">
        <v>24524</v>
      </c>
      <c r="E11188" s="330" t="s">
        <v>4634</v>
      </c>
      <c r="F11188" s="331">
        <v>0.21</v>
      </c>
      <c r="G11188" s="332">
        <v>170062</v>
      </c>
      <c r="H11188" s="333">
        <v>205776</v>
      </c>
    </row>
    <row r="11189" spans="1:8">
      <c r="A11189" s="317">
        <v>2606200258</v>
      </c>
      <c r="B11189" s="330" t="s">
        <v>55545</v>
      </c>
      <c r="C11189" s="330" t="s">
        <v>24525</v>
      </c>
      <c r="D11189" s="330" t="s">
        <v>24526</v>
      </c>
      <c r="E11189" s="330" t="s">
        <v>4634</v>
      </c>
      <c r="F11189" s="331">
        <v>0.21</v>
      </c>
      <c r="G11189" s="332">
        <v>15633</v>
      </c>
      <c r="H11189" s="333">
        <v>18916</v>
      </c>
    </row>
    <row r="11190" spans="1:8">
      <c r="A11190" s="317">
        <v>2606200259</v>
      </c>
      <c r="B11190" s="330" t="s">
        <v>55546</v>
      </c>
      <c r="C11190" s="330" t="s">
        <v>24527</v>
      </c>
      <c r="D11190" s="330" t="s">
        <v>24528</v>
      </c>
      <c r="E11190" s="330" t="s">
        <v>37248</v>
      </c>
      <c r="F11190" s="331">
        <v>0.21</v>
      </c>
      <c r="G11190" s="332">
        <v>48599</v>
      </c>
      <c r="H11190" s="333">
        <v>58805</v>
      </c>
    </row>
    <row r="11191" spans="1:8">
      <c r="A11191" s="317">
        <v>2606200262</v>
      </c>
      <c r="B11191" s="330" t="s">
        <v>55547</v>
      </c>
      <c r="C11191" s="330" t="s">
        <v>24529</v>
      </c>
      <c r="D11191" s="330" t="s">
        <v>24530</v>
      </c>
      <c r="E11191" s="330" t="s">
        <v>4819</v>
      </c>
      <c r="F11191" s="331">
        <v>0.21</v>
      </c>
      <c r="G11191" s="332">
        <v>77804</v>
      </c>
      <c r="H11191" s="333">
        <v>94143</v>
      </c>
    </row>
    <row r="11192" spans="1:8">
      <c r="A11192" s="317">
        <v>2606200263</v>
      </c>
      <c r="B11192" s="330" t="s">
        <v>55548</v>
      </c>
      <c r="C11192" s="330" t="s">
        <v>24531</v>
      </c>
      <c r="D11192" s="330" t="s">
        <v>24532</v>
      </c>
      <c r="E11192" s="330" t="s">
        <v>37248</v>
      </c>
      <c r="F11192" s="331">
        <v>0.21</v>
      </c>
      <c r="G11192" s="332">
        <v>85674</v>
      </c>
      <c r="H11192" s="333">
        <v>103666</v>
      </c>
    </row>
    <row r="11193" spans="1:8">
      <c r="A11193" s="317">
        <v>2606200908</v>
      </c>
      <c r="B11193" s="330" t="s">
        <v>55549</v>
      </c>
      <c r="C11193" s="330" t="s">
        <v>24533</v>
      </c>
      <c r="D11193" s="330" t="s">
        <v>24534</v>
      </c>
      <c r="E11193" s="330" t="s">
        <v>4634</v>
      </c>
      <c r="F11193" s="331">
        <v>0.21</v>
      </c>
      <c r="G11193" s="332">
        <v>17669</v>
      </c>
      <c r="H11193" s="333">
        <v>21380</v>
      </c>
    </row>
    <row r="11194" spans="1:8">
      <c r="A11194" s="317">
        <v>2606200910</v>
      </c>
      <c r="B11194" s="330" t="s">
        <v>55550</v>
      </c>
      <c r="C11194" s="330" t="s">
        <v>24535</v>
      </c>
      <c r="D11194" s="330" t="s">
        <v>24536</v>
      </c>
      <c r="E11194" s="330" t="s">
        <v>4634</v>
      </c>
      <c r="F11194" s="331">
        <v>0.21</v>
      </c>
      <c r="G11194" s="332">
        <v>13721</v>
      </c>
      <c r="H11194" s="333">
        <v>16603</v>
      </c>
    </row>
    <row r="11195" spans="1:8">
      <c r="A11195" s="317">
        <v>2606200923</v>
      </c>
      <c r="B11195" s="330" t="s">
        <v>55551</v>
      </c>
      <c r="C11195" s="330" t="s">
        <v>24537</v>
      </c>
      <c r="D11195" s="330" t="s">
        <v>24538</v>
      </c>
      <c r="E11195" s="330" t="s">
        <v>4634</v>
      </c>
      <c r="F11195" s="331">
        <v>0.21</v>
      </c>
      <c r="G11195" s="332">
        <v>20119</v>
      </c>
      <c r="H11195" s="333">
        <v>24344</v>
      </c>
    </row>
    <row r="11196" spans="1:8">
      <c r="A11196" s="317">
        <v>2606200928</v>
      </c>
      <c r="B11196" s="330" t="s">
        <v>55552</v>
      </c>
      <c r="C11196" s="330" t="s">
        <v>24539</v>
      </c>
      <c r="D11196" s="330" t="s">
        <v>24540</v>
      </c>
      <c r="E11196" s="330" t="s">
        <v>4634</v>
      </c>
      <c r="F11196" s="331">
        <v>0.21</v>
      </c>
      <c r="G11196" s="332">
        <v>29809</v>
      </c>
      <c r="H11196" s="333">
        <v>36069</v>
      </c>
    </row>
    <row r="11197" spans="1:8">
      <c r="A11197" s="317">
        <v>2606200929</v>
      </c>
      <c r="B11197" s="330" t="s">
        <v>55553</v>
      </c>
      <c r="C11197" s="330" t="s">
        <v>24541</v>
      </c>
      <c r="D11197" s="330" t="s">
        <v>24542</v>
      </c>
      <c r="E11197" s="330" t="s">
        <v>4634</v>
      </c>
      <c r="F11197" s="331">
        <v>0.21</v>
      </c>
      <c r="G11197" s="332">
        <v>30586</v>
      </c>
      <c r="H11197" s="333">
        <v>37010</v>
      </c>
    </row>
    <row r="11198" spans="1:8">
      <c r="A11198" s="317">
        <v>2606200932</v>
      </c>
      <c r="B11198" s="330" t="s">
        <v>55554</v>
      </c>
      <c r="C11198" s="330" t="s">
        <v>24543</v>
      </c>
      <c r="D11198" s="330" t="s">
        <v>24544</v>
      </c>
      <c r="E11198" s="330" t="s">
        <v>4819</v>
      </c>
      <c r="F11198" s="331">
        <v>0.21</v>
      </c>
      <c r="G11198" s="332">
        <v>150059</v>
      </c>
      <c r="H11198" s="333">
        <v>181572</v>
      </c>
    </row>
    <row r="11199" spans="1:8">
      <c r="A11199" s="317">
        <v>2606200940</v>
      </c>
      <c r="B11199" s="330" t="s">
        <v>55555</v>
      </c>
      <c r="C11199" s="330" t="s">
        <v>24545</v>
      </c>
      <c r="D11199" s="330" t="s">
        <v>24546</v>
      </c>
      <c r="E11199" s="330" t="s">
        <v>4623</v>
      </c>
      <c r="F11199" s="331">
        <v>0.21</v>
      </c>
      <c r="G11199" s="332">
        <v>63237</v>
      </c>
      <c r="H11199" s="333">
        <v>76517</v>
      </c>
    </row>
    <row r="11200" spans="1:8">
      <c r="A11200" s="317">
        <v>2606200953</v>
      </c>
      <c r="B11200" s="330" t="s">
        <v>55556</v>
      </c>
      <c r="C11200" s="330" t="s">
        <v>24547</v>
      </c>
      <c r="D11200" s="330" t="s">
        <v>24548</v>
      </c>
      <c r="E11200" s="330" t="s">
        <v>4634</v>
      </c>
      <c r="F11200" s="331">
        <v>0.21</v>
      </c>
      <c r="G11200" s="332">
        <v>92761</v>
      </c>
      <c r="H11200" s="333">
        <v>112241</v>
      </c>
    </row>
    <row r="11201" spans="1:8">
      <c r="A11201" s="317">
        <v>2606200954</v>
      </c>
      <c r="B11201" s="330" t="s">
        <v>55557</v>
      </c>
      <c r="C11201" s="330" t="s">
        <v>24549</v>
      </c>
      <c r="D11201" s="330" t="s">
        <v>24550</v>
      </c>
      <c r="E11201" s="330" t="s">
        <v>37248</v>
      </c>
      <c r="F11201" s="331">
        <v>0.21</v>
      </c>
      <c r="G11201" s="332">
        <v>83472</v>
      </c>
      <c r="H11201" s="333">
        <v>101002</v>
      </c>
    </row>
    <row r="11202" spans="1:8">
      <c r="A11202" s="317">
        <v>2606200955</v>
      </c>
      <c r="B11202" s="330" t="s">
        <v>55558</v>
      </c>
      <c r="C11202" s="330" t="s">
        <v>24551</v>
      </c>
      <c r="D11202" s="330" t="s">
        <v>24552</v>
      </c>
      <c r="E11202" s="330" t="s">
        <v>4634</v>
      </c>
      <c r="F11202" s="331">
        <v>0.21</v>
      </c>
      <c r="G11202" s="332">
        <v>93768</v>
      </c>
      <c r="H11202" s="333">
        <v>113460</v>
      </c>
    </row>
    <row r="11203" spans="1:8">
      <c r="A11203" s="317">
        <v>2606308024</v>
      </c>
      <c r="B11203" s="330" t="s">
        <v>55559</v>
      </c>
      <c r="C11203" s="330" t="s">
        <v>24553</v>
      </c>
      <c r="D11203" s="330" t="s">
        <v>24554</v>
      </c>
      <c r="E11203" s="330" t="s">
        <v>4634</v>
      </c>
      <c r="F11203" s="331">
        <v>0.21</v>
      </c>
      <c r="G11203" s="332">
        <v>5652</v>
      </c>
      <c r="H11203" s="333">
        <v>6839</v>
      </c>
    </row>
    <row r="11204" spans="1:8">
      <c r="A11204" s="317">
        <v>2606308914</v>
      </c>
      <c r="B11204" s="330" t="s">
        <v>55560</v>
      </c>
      <c r="C11204" s="330" t="s">
        <v>24555</v>
      </c>
      <c r="D11204" s="330" t="s">
        <v>24556</v>
      </c>
      <c r="E11204" s="330" t="s">
        <v>4634</v>
      </c>
      <c r="F11204" s="331">
        <v>0.21</v>
      </c>
      <c r="G11204" s="332">
        <v>834</v>
      </c>
      <c r="H11204" s="333">
        <v>1010</v>
      </c>
    </row>
    <row r="11205" spans="1:8">
      <c r="A11205" s="317">
        <v>2606308915</v>
      </c>
      <c r="B11205" s="330" t="s">
        <v>55561</v>
      </c>
      <c r="C11205" s="330" t="s">
        <v>24557</v>
      </c>
      <c r="D11205" s="330" t="s">
        <v>24558</v>
      </c>
      <c r="E11205" s="330" t="s">
        <v>4634</v>
      </c>
      <c r="F11205" s="331">
        <v>0.21</v>
      </c>
      <c r="G11205" s="332">
        <v>14655</v>
      </c>
      <c r="H11205" s="333">
        <v>17733</v>
      </c>
    </row>
    <row r="11206" spans="1:8">
      <c r="A11206" s="317">
        <v>2606308925</v>
      </c>
      <c r="B11206" s="330" t="s">
        <v>55562</v>
      </c>
      <c r="C11206" s="330" t="s">
        <v>24559</v>
      </c>
      <c r="D11206" s="330" t="s">
        <v>24560</v>
      </c>
      <c r="E11206" s="330" t="s">
        <v>4634</v>
      </c>
      <c r="F11206" s="331">
        <v>0.21</v>
      </c>
      <c r="G11206" s="332">
        <v>1030</v>
      </c>
      <c r="H11206" s="333">
        <v>1247</v>
      </c>
    </row>
    <row r="11207" spans="1:8">
      <c r="A11207" s="317">
        <v>2606309003</v>
      </c>
      <c r="B11207" s="330" t="s">
        <v>55563</v>
      </c>
      <c r="C11207" s="330" t="s">
        <v>24561</v>
      </c>
      <c r="D11207" s="330" t="s">
        <v>24562</v>
      </c>
      <c r="E11207" s="330" t="s">
        <v>4634</v>
      </c>
      <c r="F11207" s="331">
        <v>0.21</v>
      </c>
      <c r="G11207" s="332">
        <v>1175</v>
      </c>
      <c r="H11207" s="333">
        <v>1422</v>
      </c>
    </row>
    <row r="11208" spans="1:8">
      <c r="A11208" s="317">
        <v>2606309007</v>
      </c>
      <c r="B11208" s="330" t="s">
        <v>55564</v>
      </c>
      <c r="C11208" s="330" t="s">
        <v>24563</v>
      </c>
      <c r="D11208" s="330" t="s">
        <v>24564</v>
      </c>
      <c r="E11208" s="330" t="s">
        <v>4634</v>
      </c>
      <c r="F11208" s="331">
        <v>0.21</v>
      </c>
      <c r="G11208" s="332">
        <v>622</v>
      </c>
      <c r="H11208" s="333">
        <v>753</v>
      </c>
    </row>
    <row r="11209" spans="1:8">
      <c r="A11209" s="317">
        <v>2606309013</v>
      </c>
      <c r="B11209" s="330" t="s">
        <v>55565</v>
      </c>
      <c r="C11209" s="330" t="s">
        <v>24565</v>
      </c>
      <c r="D11209" s="330" t="s">
        <v>24566</v>
      </c>
      <c r="E11209" s="330" t="s">
        <v>4634</v>
      </c>
      <c r="F11209" s="331">
        <v>0.21</v>
      </c>
      <c r="G11209" s="332">
        <v>1057</v>
      </c>
      <c r="H11209" s="333">
        <v>1279</v>
      </c>
    </row>
    <row r="11210" spans="1:8">
      <c r="A11210" s="317">
        <v>2606309027</v>
      </c>
      <c r="B11210" s="330" t="s">
        <v>55566</v>
      </c>
      <c r="C11210" s="330" t="s">
        <v>24567</v>
      </c>
      <c r="D11210" s="330" t="s">
        <v>24568</v>
      </c>
      <c r="E11210" s="330" t="s">
        <v>4634</v>
      </c>
      <c r="F11210" s="331">
        <v>0.21</v>
      </c>
      <c r="G11210" s="332">
        <v>2270</v>
      </c>
      <c r="H11210" s="333">
        <v>2747</v>
      </c>
    </row>
    <row r="11211" spans="1:8">
      <c r="A11211" s="317">
        <v>2606309045</v>
      </c>
      <c r="B11211" s="330" t="s">
        <v>55567</v>
      </c>
      <c r="C11211" s="330" t="s">
        <v>24569</v>
      </c>
      <c r="D11211" s="330" t="s">
        <v>24570</v>
      </c>
      <c r="E11211" s="330" t="s">
        <v>4634</v>
      </c>
      <c r="F11211" s="331">
        <v>0.21</v>
      </c>
      <c r="G11211" s="332">
        <v>3558</v>
      </c>
      <c r="H11211" s="333">
        <v>4306</v>
      </c>
    </row>
    <row r="11212" spans="1:8">
      <c r="A11212" s="317">
        <v>2606309904</v>
      </c>
      <c r="B11212" s="330" t="s">
        <v>55568</v>
      </c>
      <c r="C11212" s="330" t="s">
        <v>24571</v>
      </c>
      <c r="D11212" s="330" t="s">
        <v>24572</v>
      </c>
      <c r="E11212" s="330" t="s">
        <v>4634</v>
      </c>
      <c r="F11212" s="331">
        <v>0.21</v>
      </c>
      <c r="G11212" s="332">
        <v>6232</v>
      </c>
      <c r="H11212" s="333">
        <v>7541</v>
      </c>
    </row>
    <row r="11213" spans="1:8">
      <c r="A11213" s="317">
        <v>2606309918</v>
      </c>
      <c r="B11213" s="330" t="s">
        <v>55569</v>
      </c>
      <c r="C11213" s="330" t="s">
        <v>24573</v>
      </c>
      <c r="D11213" s="330" t="s">
        <v>24574</v>
      </c>
      <c r="E11213" s="330" t="s">
        <v>4634</v>
      </c>
      <c r="F11213" s="331">
        <v>0.21</v>
      </c>
      <c r="G11213" s="332">
        <v>2063</v>
      </c>
      <c r="H11213" s="333">
        <v>2497</v>
      </c>
    </row>
    <row r="11214" spans="1:8">
      <c r="A11214" s="317">
        <v>2606309928</v>
      </c>
      <c r="B11214" s="330" t="s">
        <v>55570</v>
      </c>
      <c r="C11214" s="330" t="s">
        <v>24575</v>
      </c>
      <c r="D11214" s="330" t="s">
        <v>24576</v>
      </c>
      <c r="E11214" s="330" t="s">
        <v>4634</v>
      </c>
      <c r="F11214" s="331">
        <v>0.21</v>
      </c>
      <c r="G11214" s="332">
        <v>9402</v>
      </c>
      <c r="H11214" s="333">
        <v>11377</v>
      </c>
    </row>
    <row r="11215" spans="1:8">
      <c r="A11215" s="317">
        <v>2606309934</v>
      </c>
      <c r="B11215" s="330" t="s">
        <v>55571</v>
      </c>
      <c r="C11215" s="330" t="s">
        <v>24577</v>
      </c>
      <c r="D11215" s="330" t="s">
        <v>24578</v>
      </c>
      <c r="E11215" s="330" t="s">
        <v>4634</v>
      </c>
      <c r="F11215" s="331">
        <v>0.21</v>
      </c>
      <c r="G11215" s="332">
        <v>22280</v>
      </c>
      <c r="H11215" s="333">
        <v>26959</v>
      </c>
    </row>
    <row r="11216" spans="1:8">
      <c r="A11216" s="317">
        <v>2606316077</v>
      </c>
      <c r="B11216" s="330" t="s">
        <v>55572</v>
      </c>
      <c r="C11216" s="330" t="s">
        <v>24579</v>
      </c>
      <c r="D11216" s="330" t="s">
        <v>24580</v>
      </c>
      <c r="E11216" s="330" t="s">
        <v>4634</v>
      </c>
      <c r="F11216" s="331">
        <v>0.21</v>
      </c>
      <c r="G11216" s="332">
        <v>2143</v>
      </c>
      <c r="H11216" s="333">
        <v>2594</v>
      </c>
    </row>
    <row r="11217" spans="1:8">
      <c r="A11217" s="317">
        <v>2606316092</v>
      </c>
      <c r="B11217" s="330" t="s">
        <v>55573</v>
      </c>
      <c r="C11217" s="330" t="s">
        <v>24581</v>
      </c>
      <c r="D11217" s="330" t="s">
        <v>24582</v>
      </c>
      <c r="E11217" s="330" t="s">
        <v>4634</v>
      </c>
      <c r="F11217" s="331">
        <v>0.21</v>
      </c>
      <c r="G11217" s="332">
        <v>1371</v>
      </c>
      <c r="H11217" s="333">
        <v>1659</v>
      </c>
    </row>
    <row r="11218" spans="1:8">
      <c r="A11218" s="317">
        <v>2606316102</v>
      </c>
      <c r="B11218" s="330" t="s">
        <v>55574</v>
      </c>
      <c r="C11218" s="330" t="s">
        <v>24583</v>
      </c>
      <c r="D11218" s="330" t="s">
        <v>24584</v>
      </c>
      <c r="E11218" s="330" t="s">
        <v>4634</v>
      </c>
      <c r="F11218" s="331">
        <v>0.21</v>
      </c>
      <c r="G11218" s="332">
        <v>1327</v>
      </c>
      <c r="H11218" s="333">
        <v>1606</v>
      </c>
    </row>
    <row r="11219" spans="1:8">
      <c r="A11219" s="317">
        <v>2606316107</v>
      </c>
      <c r="B11219" s="330" t="s">
        <v>55575</v>
      </c>
      <c r="C11219" s="330" t="s">
        <v>24585</v>
      </c>
      <c r="D11219" s="330" t="s">
        <v>16547</v>
      </c>
      <c r="E11219" s="330" t="s">
        <v>4634</v>
      </c>
      <c r="F11219" s="331">
        <v>0.21</v>
      </c>
      <c r="G11219" s="332">
        <v>3509</v>
      </c>
      <c r="H11219" s="333">
        <v>4246</v>
      </c>
    </row>
    <row r="11220" spans="1:8">
      <c r="A11220" s="317">
        <v>2606316112</v>
      </c>
      <c r="B11220" s="330" t="s">
        <v>55576</v>
      </c>
      <c r="C11220" s="330" t="s">
        <v>24586</v>
      </c>
      <c r="D11220" s="330" t="s">
        <v>24587</v>
      </c>
      <c r="E11220" s="330" t="s">
        <v>4634</v>
      </c>
      <c r="F11220" s="331">
        <v>0.21</v>
      </c>
      <c r="G11220" s="332">
        <v>928</v>
      </c>
      <c r="H11220" s="333">
        <v>1123</v>
      </c>
    </row>
    <row r="11221" spans="1:8">
      <c r="A11221" s="317">
        <v>2606316116</v>
      </c>
      <c r="B11221" s="330" t="s">
        <v>55577</v>
      </c>
      <c r="C11221" s="330" t="s">
        <v>24588</v>
      </c>
      <c r="D11221" s="330" t="s">
        <v>24589</v>
      </c>
      <c r="E11221" s="330" t="s">
        <v>4634</v>
      </c>
      <c r="F11221" s="331">
        <v>0.21</v>
      </c>
      <c r="G11221" s="332">
        <v>1115</v>
      </c>
      <c r="H11221" s="333">
        <v>1350</v>
      </c>
    </row>
    <row r="11222" spans="1:8">
      <c r="A11222" s="317">
        <v>2606316127</v>
      </c>
      <c r="B11222" s="330" t="s">
        <v>55578</v>
      </c>
      <c r="C11222" s="330" t="s">
        <v>24590</v>
      </c>
      <c r="D11222" s="330" t="s">
        <v>24584</v>
      </c>
      <c r="E11222" s="330" t="s">
        <v>4634</v>
      </c>
      <c r="F11222" s="331">
        <v>0.21</v>
      </c>
      <c r="G11222" s="332">
        <v>9059</v>
      </c>
      <c r="H11222" s="333">
        <v>10962</v>
      </c>
    </row>
    <row r="11223" spans="1:8">
      <c r="A11223" s="317">
        <v>2606316144</v>
      </c>
      <c r="B11223" s="330" t="s">
        <v>55579</v>
      </c>
      <c r="C11223" s="330" t="s">
        <v>24591</v>
      </c>
      <c r="D11223" s="330" t="s">
        <v>24592</v>
      </c>
      <c r="E11223" s="330" t="s">
        <v>4634</v>
      </c>
      <c r="F11223" s="331">
        <v>0.21</v>
      </c>
      <c r="G11223" s="332">
        <v>1170</v>
      </c>
      <c r="H11223" s="333">
        <v>1416</v>
      </c>
    </row>
    <row r="11224" spans="1:8">
      <c r="A11224" s="317">
        <v>2606316147</v>
      </c>
      <c r="B11224" s="330" t="s">
        <v>55580</v>
      </c>
      <c r="C11224" s="330" t="s">
        <v>24593</v>
      </c>
      <c r="D11224" s="330" t="s">
        <v>24594</v>
      </c>
      <c r="E11224" s="330" t="s">
        <v>4634</v>
      </c>
      <c r="F11224" s="331">
        <v>0.21</v>
      </c>
      <c r="G11224" s="332">
        <v>1170</v>
      </c>
      <c r="H11224" s="333">
        <v>1416</v>
      </c>
    </row>
    <row r="11225" spans="1:8">
      <c r="A11225" s="317">
        <v>2606316148</v>
      </c>
      <c r="B11225" s="330" t="s">
        <v>55581</v>
      </c>
      <c r="C11225" s="330" t="s">
        <v>24595</v>
      </c>
      <c r="D11225" s="330" t="s">
        <v>24596</v>
      </c>
      <c r="E11225" s="330" t="s">
        <v>4634</v>
      </c>
      <c r="F11225" s="331">
        <v>0.21</v>
      </c>
      <c r="G11225" s="332">
        <v>280</v>
      </c>
      <c r="H11225" s="333">
        <v>339</v>
      </c>
    </row>
    <row r="11226" spans="1:8">
      <c r="A11226" s="317">
        <v>2606316149</v>
      </c>
      <c r="B11226" s="330" t="s">
        <v>55582</v>
      </c>
      <c r="C11226" s="330" t="s">
        <v>24597</v>
      </c>
      <c r="D11226" s="330" t="s">
        <v>24598</v>
      </c>
      <c r="E11226" s="330" t="s">
        <v>4634</v>
      </c>
      <c r="F11226" s="331">
        <v>0.21</v>
      </c>
      <c r="G11226" s="332">
        <v>2059</v>
      </c>
      <c r="H11226" s="333">
        <v>2492</v>
      </c>
    </row>
    <row r="11227" spans="1:8">
      <c r="A11227" s="317">
        <v>2606316158</v>
      </c>
      <c r="B11227" s="330" t="s">
        <v>55583</v>
      </c>
      <c r="C11227" s="330" t="s">
        <v>24599</v>
      </c>
      <c r="D11227" s="330" t="s">
        <v>24600</v>
      </c>
      <c r="E11227" s="330" t="s">
        <v>4634</v>
      </c>
      <c r="F11227" s="331">
        <v>0.21</v>
      </c>
      <c r="G11227" s="332">
        <v>2059</v>
      </c>
      <c r="H11227" s="333">
        <v>2492</v>
      </c>
    </row>
    <row r="11228" spans="1:8">
      <c r="A11228" s="317">
        <v>2606316161</v>
      </c>
      <c r="B11228" s="330" t="s">
        <v>55584</v>
      </c>
      <c r="C11228" s="330" t="s">
        <v>24601</v>
      </c>
      <c r="D11228" s="330" t="s">
        <v>24602</v>
      </c>
      <c r="E11228" s="330" t="s">
        <v>4634</v>
      </c>
      <c r="F11228" s="331">
        <v>0.21</v>
      </c>
      <c r="G11228" s="332">
        <v>791</v>
      </c>
      <c r="H11228" s="333">
        <v>958</v>
      </c>
    </row>
    <row r="11229" spans="1:8">
      <c r="A11229" s="317">
        <v>2606316163</v>
      </c>
      <c r="B11229" s="330" t="s">
        <v>55585</v>
      </c>
      <c r="C11229" s="330" t="s">
        <v>24603</v>
      </c>
      <c r="D11229" s="330" t="s">
        <v>24604</v>
      </c>
      <c r="E11229" s="330" t="s">
        <v>4634</v>
      </c>
      <c r="F11229" s="331">
        <v>0.21</v>
      </c>
      <c r="G11229" s="332">
        <v>2775</v>
      </c>
      <c r="H11229" s="333">
        <v>3358</v>
      </c>
    </row>
    <row r="11230" spans="1:8">
      <c r="A11230" s="317">
        <v>2606316164</v>
      </c>
      <c r="B11230" s="330" t="s">
        <v>55586</v>
      </c>
      <c r="C11230" s="330" t="s">
        <v>24605</v>
      </c>
      <c r="D11230" s="330" t="s">
        <v>24606</v>
      </c>
      <c r="E11230" s="330" t="s">
        <v>4634</v>
      </c>
      <c r="F11230" s="331">
        <v>0.21</v>
      </c>
      <c r="G11230" s="332">
        <v>816</v>
      </c>
      <c r="H11230" s="333">
        <v>988</v>
      </c>
    </row>
    <row r="11231" spans="1:8">
      <c r="A11231" s="317">
        <v>2606316180</v>
      </c>
      <c r="B11231" s="330" t="s">
        <v>55587</v>
      </c>
      <c r="C11231" s="330" t="s">
        <v>24607</v>
      </c>
      <c r="D11231" s="330" t="s">
        <v>24608</v>
      </c>
      <c r="E11231" s="330" t="s">
        <v>4634</v>
      </c>
      <c r="F11231" s="331">
        <v>0.21</v>
      </c>
      <c r="G11231" s="332">
        <v>584</v>
      </c>
      <c r="H11231" s="333">
        <v>707</v>
      </c>
    </row>
    <row r="11232" spans="1:8">
      <c r="A11232" s="317">
        <v>2606316181</v>
      </c>
      <c r="B11232" s="330" t="s">
        <v>55588</v>
      </c>
      <c r="C11232" s="330" t="s">
        <v>24609</v>
      </c>
      <c r="D11232" s="330" t="s">
        <v>24610</v>
      </c>
      <c r="E11232" s="330" t="s">
        <v>4634</v>
      </c>
      <c r="F11232" s="331">
        <v>0.21</v>
      </c>
      <c r="G11232" s="332">
        <v>584</v>
      </c>
      <c r="H11232" s="333">
        <v>707</v>
      </c>
    </row>
    <row r="11233" spans="1:8">
      <c r="A11233" s="317">
        <v>2606316182</v>
      </c>
      <c r="B11233" s="330" t="s">
        <v>55589</v>
      </c>
      <c r="C11233" s="330" t="s">
        <v>24611</v>
      </c>
      <c r="D11233" s="330" t="s">
        <v>24612</v>
      </c>
      <c r="E11233" s="330" t="s">
        <v>4634</v>
      </c>
      <c r="F11233" s="331">
        <v>0.21</v>
      </c>
      <c r="G11233" s="332">
        <v>348</v>
      </c>
      <c r="H11233" s="333">
        <v>422</v>
      </c>
    </row>
    <row r="11234" spans="1:8">
      <c r="A11234" s="317">
        <v>2606316188</v>
      </c>
      <c r="B11234" s="330" t="s">
        <v>55590</v>
      </c>
      <c r="C11234" s="330" t="s">
        <v>24613</v>
      </c>
      <c r="D11234" s="330" t="s">
        <v>24614</v>
      </c>
      <c r="E11234" s="330" t="s">
        <v>4634</v>
      </c>
      <c r="F11234" s="331">
        <v>0.21</v>
      </c>
      <c r="G11234" s="332">
        <v>348</v>
      </c>
      <c r="H11234" s="333">
        <v>422</v>
      </c>
    </row>
    <row r="11235" spans="1:8">
      <c r="A11235" s="317">
        <v>2606316224</v>
      </c>
      <c r="B11235" s="330" t="s">
        <v>55591</v>
      </c>
      <c r="C11235" s="330" t="s">
        <v>24615</v>
      </c>
      <c r="D11235" s="330" t="s">
        <v>24616</v>
      </c>
      <c r="E11235" s="330" t="s">
        <v>4634</v>
      </c>
      <c r="F11235" s="331">
        <v>0.21</v>
      </c>
      <c r="G11235" s="332">
        <v>1450</v>
      </c>
      <c r="H11235" s="333">
        <v>1755</v>
      </c>
    </row>
    <row r="11236" spans="1:8">
      <c r="A11236" s="317">
        <v>2606316226</v>
      </c>
      <c r="B11236" s="330" t="s">
        <v>55592</v>
      </c>
      <c r="C11236" s="330" t="s">
        <v>24617</v>
      </c>
      <c r="D11236" s="330" t="s">
        <v>24618</v>
      </c>
      <c r="E11236" s="330" t="s">
        <v>4634</v>
      </c>
      <c r="F11236" s="331">
        <v>0.21</v>
      </c>
      <c r="G11236" s="332">
        <v>1126</v>
      </c>
      <c r="H11236" s="333">
        <v>1363</v>
      </c>
    </row>
    <row r="11237" spans="1:8">
      <c r="A11237" s="317">
        <v>2606316229</v>
      </c>
      <c r="B11237" s="330" t="s">
        <v>55593</v>
      </c>
      <c r="C11237" s="330" t="s">
        <v>24619</v>
      </c>
      <c r="D11237" s="330" t="s">
        <v>24620</v>
      </c>
      <c r="E11237" s="330" t="s">
        <v>4634</v>
      </c>
      <c r="F11237" s="331">
        <v>0.21</v>
      </c>
      <c r="G11237" s="332">
        <v>791</v>
      </c>
      <c r="H11237" s="333">
        <v>958</v>
      </c>
    </row>
    <row r="11238" spans="1:8">
      <c r="A11238" s="317">
        <v>2606316316</v>
      </c>
      <c r="B11238" s="330" t="s">
        <v>55594</v>
      </c>
      <c r="C11238" s="330" t="s">
        <v>24621</v>
      </c>
      <c r="D11238" s="330" t="s">
        <v>5832</v>
      </c>
      <c r="E11238" s="330" t="s">
        <v>4819</v>
      </c>
      <c r="F11238" s="331">
        <v>0.21</v>
      </c>
      <c r="G11238" s="332">
        <v>10816</v>
      </c>
      <c r="H11238" s="333">
        <v>13088</v>
      </c>
    </row>
    <row r="11239" spans="1:8">
      <c r="A11239" s="317">
        <v>2606316900</v>
      </c>
      <c r="B11239" s="330" t="s">
        <v>55595</v>
      </c>
      <c r="C11239" s="330" t="s">
        <v>24622</v>
      </c>
      <c r="D11239" s="330" t="s">
        <v>24623</v>
      </c>
      <c r="E11239" s="330" t="s">
        <v>4819</v>
      </c>
      <c r="F11239" s="331">
        <v>0.21</v>
      </c>
      <c r="G11239" s="332">
        <v>9679</v>
      </c>
      <c r="H11239" s="333">
        <v>11712</v>
      </c>
    </row>
    <row r="11240" spans="1:8">
      <c r="A11240" s="317">
        <v>2606317001</v>
      </c>
      <c r="B11240" s="330" t="s">
        <v>55596</v>
      </c>
      <c r="C11240" s="330" t="s">
        <v>24624</v>
      </c>
      <c r="D11240" s="330" t="s">
        <v>16494</v>
      </c>
      <c r="E11240" s="330" t="s">
        <v>4634</v>
      </c>
      <c r="F11240" s="331">
        <v>0.21</v>
      </c>
      <c r="G11240" s="332">
        <v>8075</v>
      </c>
      <c r="H11240" s="333">
        <v>9771</v>
      </c>
    </row>
    <row r="11241" spans="1:8">
      <c r="A11241" s="317">
        <v>2606317014</v>
      </c>
      <c r="B11241" s="330" t="s">
        <v>55597</v>
      </c>
      <c r="C11241" s="330" t="s">
        <v>24625</v>
      </c>
      <c r="D11241" s="330" t="s">
        <v>24626</v>
      </c>
      <c r="E11241" s="330" t="s">
        <v>4634</v>
      </c>
      <c r="F11241" s="331">
        <v>0.21</v>
      </c>
      <c r="G11241" s="332">
        <v>3096</v>
      </c>
      <c r="H11241" s="333">
        <v>3747</v>
      </c>
    </row>
    <row r="11242" spans="1:8">
      <c r="A11242" s="317">
        <v>2606317026</v>
      </c>
      <c r="B11242" s="330" t="s">
        <v>55598</v>
      </c>
      <c r="C11242" s="330" t="s">
        <v>24627</v>
      </c>
      <c r="D11242" s="330" t="s">
        <v>24628</v>
      </c>
      <c r="E11242" s="330" t="s">
        <v>4634</v>
      </c>
      <c r="F11242" s="331">
        <v>0.21</v>
      </c>
      <c r="G11242" s="332">
        <v>2748</v>
      </c>
      <c r="H11242" s="333">
        <v>3326</v>
      </c>
    </row>
    <row r="11243" spans="1:8">
      <c r="A11243" s="317">
        <v>2606317037</v>
      </c>
      <c r="B11243" s="330" t="s">
        <v>55599</v>
      </c>
      <c r="C11243" s="330" t="s">
        <v>24629</v>
      </c>
      <c r="D11243" s="330" t="s">
        <v>16547</v>
      </c>
      <c r="E11243" s="330" t="s">
        <v>4634</v>
      </c>
      <c r="F11243" s="331">
        <v>0.21</v>
      </c>
      <c r="G11243" s="332">
        <v>2554</v>
      </c>
      <c r="H11243" s="333">
        <v>3091</v>
      </c>
    </row>
    <row r="11244" spans="1:8">
      <c r="A11244" s="317">
        <v>2606317045</v>
      </c>
      <c r="B11244" s="330" t="s">
        <v>55600</v>
      </c>
      <c r="C11244" s="330" t="s">
        <v>24630</v>
      </c>
      <c r="D11244" s="330" t="s">
        <v>24631</v>
      </c>
      <c r="E11244" s="330" t="s">
        <v>4634</v>
      </c>
      <c r="F11244" s="331">
        <v>0.21</v>
      </c>
      <c r="G11244" s="332">
        <v>116</v>
      </c>
      <c r="H11244" s="333">
        <v>141</v>
      </c>
    </row>
    <row r="11245" spans="1:8">
      <c r="A11245" s="317">
        <v>2606317055</v>
      </c>
      <c r="B11245" s="330" t="s">
        <v>55601</v>
      </c>
      <c r="C11245" s="330" t="s">
        <v>24632</v>
      </c>
      <c r="D11245" s="330" t="s">
        <v>16547</v>
      </c>
      <c r="E11245" s="330" t="s">
        <v>4634</v>
      </c>
      <c r="F11245" s="331">
        <v>0.21</v>
      </c>
      <c r="G11245" s="332">
        <v>9737</v>
      </c>
      <c r="H11245" s="333">
        <v>11782</v>
      </c>
    </row>
    <row r="11246" spans="1:8">
      <c r="A11246" s="317">
        <v>2606317084</v>
      </c>
      <c r="B11246" s="330" t="s">
        <v>55602</v>
      </c>
      <c r="C11246" s="330" t="s">
        <v>24633</v>
      </c>
      <c r="D11246" s="330" t="s">
        <v>24634</v>
      </c>
      <c r="E11246" s="330" t="s">
        <v>37248</v>
      </c>
      <c r="F11246" s="331">
        <v>0.21</v>
      </c>
      <c r="G11246" s="332">
        <v>17585</v>
      </c>
      <c r="H11246" s="333">
        <v>21278</v>
      </c>
    </row>
    <row r="11247" spans="1:8">
      <c r="A11247" s="317">
        <v>2606317085</v>
      </c>
      <c r="B11247" s="330" t="s">
        <v>55603</v>
      </c>
      <c r="C11247" s="330" t="s">
        <v>24635</v>
      </c>
      <c r="D11247" s="330" t="s">
        <v>24636</v>
      </c>
      <c r="E11247" s="330" t="s">
        <v>4634</v>
      </c>
      <c r="F11247" s="331">
        <v>0.21</v>
      </c>
      <c r="G11247" s="332">
        <v>3421</v>
      </c>
      <c r="H11247" s="333">
        <v>4140</v>
      </c>
    </row>
    <row r="11248" spans="1:8">
      <c r="A11248" s="317">
        <v>2606319007</v>
      </c>
      <c r="B11248" s="330" t="s">
        <v>55604</v>
      </c>
      <c r="C11248" s="330" t="s">
        <v>24637</v>
      </c>
      <c r="D11248" s="330" t="s">
        <v>24638</v>
      </c>
      <c r="E11248" s="330" t="s">
        <v>4634</v>
      </c>
      <c r="F11248" s="331">
        <v>0.21</v>
      </c>
      <c r="G11248" s="332">
        <v>16467</v>
      </c>
      <c r="H11248" s="333">
        <v>19926</v>
      </c>
    </row>
    <row r="11249" spans="1:8">
      <c r="A11249" s="317">
        <v>2606319040</v>
      </c>
      <c r="B11249" s="330" t="s">
        <v>55605</v>
      </c>
      <c r="C11249" s="330" t="s">
        <v>24639</v>
      </c>
      <c r="D11249" s="330" t="s">
        <v>16547</v>
      </c>
      <c r="E11249" s="330" t="s">
        <v>4634</v>
      </c>
      <c r="F11249" s="331">
        <v>0.21</v>
      </c>
      <c r="G11249" s="332">
        <v>12447</v>
      </c>
      <c r="H11249" s="333">
        <v>15061</v>
      </c>
    </row>
    <row r="11250" spans="1:8">
      <c r="A11250" s="317">
        <v>2606319069</v>
      </c>
      <c r="B11250" s="330" t="s">
        <v>55606</v>
      </c>
      <c r="C11250" s="330" t="s">
        <v>24640</v>
      </c>
      <c r="D11250" s="330" t="s">
        <v>24641</v>
      </c>
      <c r="E11250" s="330" t="s">
        <v>4634</v>
      </c>
      <c r="F11250" s="331">
        <v>0.21</v>
      </c>
      <c r="G11250" s="332">
        <v>1305</v>
      </c>
      <c r="H11250" s="333">
        <v>1580</v>
      </c>
    </row>
    <row r="11251" spans="1:8">
      <c r="A11251" s="317">
        <v>2606319070</v>
      </c>
      <c r="B11251" s="330" t="s">
        <v>55607</v>
      </c>
      <c r="C11251" s="330" t="s">
        <v>24642</v>
      </c>
      <c r="D11251" s="330" t="s">
        <v>24643</v>
      </c>
      <c r="E11251" s="330" t="s">
        <v>4634</v>
      </c>
      <c r="F11251" s="331">
        <v>0.21</v>
      </c>
      <c r="G11251" s="332">
        <v>4389</v>
      </c>
      <c r="H11251" s="333">
        <v>5311</v>
      </c>
    </row>
    <row r="11252" spans="1:8">
      <c r="A11252" s="317">
        <v>2606319073</v>
      </c>
      <c r="B11252" s="330" t="s">
        <v>55608</v>
      </c>
      <c r="C11252" s="330" t="s">
        <v>24644</v>
      </c>
      <c r="D11252" s="330" t="s">
        <v>24645</v>
      </c>
      <c r="E11252" s="330" t="s">
        <v>4634</v>
      </c>
      <c r="F11252" s="331">
        <v>0.21</v>
      </c>
      <c r="G11252" s="332">
        <v>4737</v>
      </c>
      <c r="H11252" s="333">
        <v>5732</v>
      </c>
    </row>
    <row r="11253" spans="1:8">
      <c r="A11253" s="317">
        <v>2606319074</v>
      </c>
      <c r="B11253" s="330" t="s">
        <v>55609</v>
      </c>
      <c r="C11253" s="330" t="s">
        <v>24646</v>
      </c>
      <c r="D11253" s="330" t="s">
        <v>24647</v>
      </c>
      <c r="E11253" s="330" t="s">
        <v>4634</v>
      </c>
      <c r="F11253" s="331">
        <v>0.21</v>
      </c>
      <c r="G11253" s="332">
        <v>4389</v>
      </c>
      <c r="H11253" s="333">
        <v>5311</v>
      </c>
    </row>
    <row r="11254" spans="1:8">
      <c r="A11254" s="317">
        <v>2606319080</v>
      </c>
      <c r="B11254" s="330" t="s">
        <v>55610</v>
      </c>
      <c r="C11254" s="330" t="s">
        <v>24648</v>
      </c>
      <c r="D11254" s="330" t="s">
        <v>24649</v>
      </c>
      <c r="E11254" s="330" t="s">
        <v>4634</v>
      </c>
      <c r="F11254" s="331">
        <v>0.21</v>
      </c>
      <c r="G11254" s="332">
        <v>1153</v>
      </c>
      <c r="H11254" s="333">
        <v>1396</v>
      </c>
    </row>
    <row r="11255" spans="1:8">
      <c r="A11255" s="317">
        <v>2606319085</v>
      </c>
      <c r="B11255" s="330" t="s">
        <v>55611</v>
      </c>
      <c r="C11255" s="330" t="s">
        <v>24650</v>
      </c>
      <c r="D11255" s="330" t="s">
        <v>24651</v>
      </c>
      <c r="E11255" s="330" t="s">
        <v>4634</v>
      </c>
      <c r="F11255" s="331">
        <v>0.21</v>
      </c>
      <c r="G11255" s="332">
        <v>2270</v>
      </c>
      <c r="H11255" s="333">
        <v>2747</v>
      </c>
    </row>
    <row r="11256" spans="1:8">
      <c r="A11256" s="317">
        <v>2606319086</v>
      </c>
      <c r="B11256" s="330" t="s">
        <v>55612</v>
      </c>
      <c r="C11256" s="330" t="s">
        <v>24652</v>
      </c>
      <c r="D11256" s="330" t="s">
        <v>24653</v>
      </c>
      <c r="E11256" s="330" t="s">
        <v>4634</v>
      </c>
      <c r="F11256" s="331">
        <v>0.21</v>
      </c>
      <c r="G11256" s="332">
        <v>791</v>
      </c>
      <c r="H11256" s="333">
        <v>958</v>
      </c>
    </row>
    <row r="11257" spans="1:8">
      <c r="A11257" s="317">
        <v>2606319900</v>
      </c>
      <c r="B11257" s="330" t="s">
        <v>55613</v>
      </c>
      <c r="C11257" s="330" t="s">
        <v>24654</v>
      </c>
      <c r="D11257" s="330" t="s">
        <v>24655</v>
      </c>
      <c r="E11257" s="330" t="s">
        <v>4634</v>
      </c>
      <c r="F11257" s="331">
        <v>0.21</v>
      </c>
      <c r="G11257" s="332">
        <v>5819</v>
      </c>
      <c r="H11257" s="333">
        <v>7041</v>
      </c>
    </row>
    <row r="11258" spans="1:8">
      <c r="A11258" s="317">
        <v>2606319901</v>
      </c>
      <c r="B11258" s="330" t="s">
        <v>55614</v>
      </c>
      <c r="C11258" s="330" t="s">
        <v>24656</v>
      </c>
      <c r="D11258" s="330" t="s">
        <v>24657</v>
      </c>
      <c r="E11258" s="330" t="s">
        <v>4634</v>
      </c>
      <c r="F11258" s="331">
        <v>0.21</v>
      </c>
      <c r="G11258" s="332">
        <v>11124</v>
      </c>
      <c r="H11258" s="333">
        <v>13461</v>
      </c>
    </row>
    <row r="11259" spans="1:8">
      <c r="A11259" s="317">
        <v>2606320001</v>
      </c>
      <c r="B11259" s="330" t="s">
        <v>55615</v>
      </c>
      <c r="C11259" s="330" t="s">
        <v>24658</v>
      </c>
      <c r="D11259" s="330" t="s">
        <v>16547</v>
      </c>
      <c r="E11259" s="330" t="s">
        <v>4634</v>
      </c>
      <c r="F11259" s="331">
        <v>0.21</v>
      </c>
      <c r="G11259" s="332">
        <v>3096</v>
      </c>
      <c r="H11259" s="333">
        <v>3747</v>
      </c>
    </row>
    <row r="11260" spans="1:8">
      <c r="A11260" s="317">
        <v>2606320006</v>
      </c>
      <c r="B11260" s="330" t="s">
        <v>55616</v>
      </c>
      <c r="C11260" s="330" t="s">
        <v>24659</v>
      </c>
      <c r="D11260" s="330" t="s">
        <v>24660</v>
      </c>
      <c r="E11260" s="330" t="s">
        <v>4634</v>
      </c>
      <c r="F11260" s="331">
        <v>0.21</v>
      </c>
      <c r="G11260" s="332">
        <v>2186</v>
      </c>
      <c r="H11260" s="333">
        <v>2646</v>
      </c>
    </row>
    <row r="11261" spans="1:8">
      <c r="A11261" s="317">
        <v>2606320021</v>
      </c>
      <c r="B11261" s="330" t="s">
        <v>55617</v>
      </c>
      <c r="C11261" s="330" t="s">
        <v>24661</v>
      </c>
      <c r="D11261" s="330" t="s">
        <v>24662</v>
      </c>
      <c r="E11261" s="330" t="s">
        <v>4623</v>
      </c>
      <c r="F11261" s="331">
        <v>0.21</v>
      </c>
      <c r="G11261" s="332">
        <v>12233</v>
      </c>
      <c r="H11261" s="333">
        <v>14802</v>
      </c>
    </row>
    <row r="11262" spans="1:8">
      <c r="A11262" s="317">
        <v>2606320039</v>
      </c>
      <c r="B11262" s="330" t="s">
        <v>55618</v>
      </c>
      <c r="C11262" s="330" t="s">
        <v>24663</v>
      </c>
      <c r="D11262" s="330" t="s">
        <v>24664</v>
      </c>
      <c r="E11262" s="330" t="s">
        <v>4634</v>
      </c>
      <c r="F11262" s="331">
        <v>0.21</v>
      </c>
      <c r="G11262" s="332">
        <v>13366</v>
      </c>
      <c r="H11262" s="333">
        <v>16173</v>
      </c>
    </row>
    <row r="11263" spans="1:8">
      <c r="A11263" s="317">
        <v>2606320040</v>
      </c>
      <c r="B11263" s="330" t="s">
        <v>55619</v>
      </c>
      <c r="C11263" s="330" t="s">
        <v>24665</v>
      </c>
      <c r="D11263" s="330" t="s">
        <v>24666</v>
      </c>
      <c r="E11263" s="330" t="s">
        <v>4634</v>
      </c>
      <c r="F11263" s="331">
        <v>0.21</v>
      </c>
      <c r="G11263" s="332">
        <v>903</v>
      </c>
      <c r="H11263" s="333">
        <v>1093</v>
      </c>
    </row>
    <row r="11264" spans="1:8">
      <c r="A11264" s="317">
        <v>2606320043</v>
      </c>
      <c r="B11264" s="330" t="s">
        <v>55620</v>
      </c>
      <c r="C11264" s="330" t="s">
        <v>24667</v>
      </c>
      <c r="D11264" s="330" t="s">
        <v>24668</v>
      </c>
      <c r="E11264" s="330" t="s">
        <v>4634</v>
      </c>
      <c r="F11264" s="331">
        <v>0.21</v>
      </c>
      <c r="G11264" s="332">
        <v>10767</v>
      </c>
      <c r="H11264" s="333">
        <v>13029</v>
      </c>
    </row>
    <row r="11265" spans="1:8">
      <c r="A11265" s="317">
        <v>2606320047</v>
      </c>
      <c r="B11265" s="330" t="s">
        <v>55621</v>
      </c>
      <c r="C11265" s="330" t="s">
        <v>24669</v>
      </c>
      <c r="D11265" s="330" t="s">
        <v>24670</v>
      </c>
      <c r="E11265" s="330" t="s">
        <v>4634</v>
      </c>
      <c r="F11265" s="331">
        <v>0.21</v>
      </c>
      <c r="G11265" s="332">
        <v>2881</v>
      </c>
      <c r="H11265" s="333">
        <v>3487</v>
      </c>
    </row>
    <row r="11266" spans="1:8">
      <c r="A11266" s="317">
        <v>2606320048</v>
      </c>
      <c r="B11266" s="330" t="s">
        <v>55622</v>
      </c>
      <c r="C11266" s="330" t="s">
        <v>24671</v>
      </c>
      <c r="D11266" s="330" t="s">
        <v>24672</v>
      </c>
      <c r="E11266" s="330" t="s">
        <v>4634</v>
      </c>
      <c r="F11266" s="331">
        <v>0.21</v>
      </c>
      <c r="G11266" s="332">
        <v>10326</v>
      </c>
      <c r="H11266" s="333">
        <v>12495</v>
      </c>
    </row>
    <row r="11267" spans="1:8">
      <c r="A11267" s="317">
        <v>2606320050</v>
      </c>
      <c r="B11267" s="330" t="s">
        <v>55623</v>
      </c>
      <c r="C11267" s="330" t="s">
        <v>24673</v>
      </c>
      <c r="D11267" s="330" t="s">
        <v>24674</v>
      </c>
      <c r="E11267" s="330" t="s">
        <v>4634</v>
      </c>
      <c r="F11267" s="331">
        <v>0.21</v>
      </c>
      <c r="G11267" s="332">
        <v>11577</v>
      </c>
      <c r="H11267" s="333">
        <v>14009</v>
      </c>
    </row>
    <row r="11268" spans="1:8">
      <c r="A11268" s="317">
        <v>2606320051</v>
      </c>
      <c r="B11268" s="330" t="s">
        <v>55624</v>
      </c>
      <c r="C11268" s="330" t="s">
        <v>24675</v>
      </c>
      <c r="D11268" s="330" t="s">
        <v>24676</v>
      </c>
      <c r="E11268" s="330" t="s">
        <v>4634</v>
      </c>
      <c r="F11268" s="331">
        <v>0.21</v>
      </c>
      <c r="G11268" s="332">
        <v>2712</v>
      </c>
      <c r="H11268" s="333">
        <v>3282</v>
      </c>
    </row>
    <row r="11269" spans="1:8">
      <c r="A11269" s="317">
        <v>2606320054</v>
      </c>
      <c r="B11269" s="330" t="s">
        <v>55625</v>
      </c>
      <c r="C11269" s="330" t="s">
        <v>24677</v>
      </c>
      <c r="D11269" s="330" t="s">
        <v>24678</v>
      </c>
      <c r="E11269" s="330" t="s">
        <v>4634</v>
      </c>
      <c r="F11269" s="331">
        <v>0.21</v>
      </c>
      <c r="G11269" s="332">
        <v>12456</v>
      </c>
      <c r="H11269" s="333">
        <v>15072</v>
      </c>
    </row>
    <row r="11270" spans="1:8">
      <c r="A11270" s="317">
        <v>2606320055</v>
      </c>
      <c r="B11270" s="330" t="s">
        <v>55626</v>
      </c>
      <c r="C11270" s="330" t="s">
        <v>24679</v>
      </c>
      <c r="D11270" s="330" t="s">
        <v>24680</v>
      </c>
      <c r="E11270" s="330" t="s">
        <v>4634</v>
      </c>
      <c r="F11270" s="331">
        <v>0.21</v>
      </c>
      <c r="G11270" s="332">
        <v>10745</v>
      </c>
      <c r="H11270" s="333">
        <v>13002</v>
      </c>
    </row>
    <row r="11271" spans="1:8">
      <c r="A11271" s="317">
        <v>2606320056</v>
      </c>
      <c r="B11271" s="330" t="s">
        <v>55627</v>
      </c>
      <c r="C11271" s="330" t="s">
        <v>24681</v>
      </c>
      <c r="D11271" s="330" t="s">
        <v>24682</v>
      </c>
      <c r="E11271" s="330" t="s">
        <v>4634</v>
      </c>
      <c r="F11271" s="331">
        <v>0.21</v>
      </c>
      <c r="G11271" s="332">
        <v>8916</v>
      </c>
      <c r="H11271" s="333">
        <v>10789</v>
      </c>
    </row>
    <row r="11272" spans="1:8">
      <c r="A11272" s="317">
        <v>2606320062</v>
      </c>
      <c r="B11272" s="330" t="s">
        <v>55628</v>
      </c>
      <c r="C11272" s="330" t="s">
        <v>24683</v>
      </c>
      <c r="D11272" s="330" t="s">
        <v>24684</v>
      </c>
      <c r="E11272" s="330" t="s">
        <v>4634</v>
      </c>
      <c r="F11272" s="331">
        <v>0.21</v>
      </c>
      <c r="G11272" s="332">
        <v>7490</v>
      </c>
      <c r="H11272" s="333">
        <v>9063</v>
      </c>
    </row>
    <row r="11273" spans="1:8">
      <c r="A11273" s="317">
        <v>2606320088</v>
      </c>
      <c r="B11273" s="330" t="s">
        <v>55629</v>
      </c>
      <c r="C11273" s="330" t="s">
        <v>24685</v>
      </c>
      <c r="D11273" s="330" t="s">
        <v>24686</v>
      </c>
      <c r="E11273" s="330" t="s">
        <v>4634</v>
      </c>
      <c r="F11273" s="331">
        <v>0.21</v>
      </c>
      <c r="G11273" s="332">
        <v>5344</v>
      </c>
      <c r="H11273" s="333">
        <v>6467</v>
      </c>
    </row>
    <row r="11274" spans="1:8">
      <c r="A11274" s="317">
        <v>2606320092</v>
      </c>
      <c r="B11274" s="330" t="s">
        <v>55630</v>
      </c>
      <c r="C11274" s="330" t="s">
        <v>24687</v>
      </c>
      <c r="D11274" s="330" t="s">
        <v>24688</v>
      </c>
      <c r="E11274" s="330" t="s">
        <v>37248</v>
      </c>
      <c r="F11274" s="331">
        <v>0.21</v>
      </c>
      <c r="G11274" s="332">
        <v>14912</v>
      </c>
      <c r="H11274" s="333">
        <v>18044</v>
      </c>
    </row>
    <row r="11275" spans="1:8">
      <c r="A11275" s="317">
        <v>2606320099</v>
      </c>
      <c r="B11275" s="330" t="s">
        <v>55631</v>
      </c>
      <c r="C11275" s="330" t="s">
        <v>24689</v>
      </c>
      <c r="D11275" s="330" t="s">
        <v>24690</v>
      </c>
      <c r="E11275" s="330" t="s">
        <v>37248</v>
      </c>
      <c r="F11275" s="331">
        <v>0.21</v>
      </c>
      <c r="G11275" s="332">
        <v>23558</v>
      </c>
      <c r="H11275" s="333">
        <v>28506</v>
      </c>
    </row>
    <row r="11276" spans="1:8">
      <c r="A11276" s="317">
        <v>2606320101</v>
      </c>
      <c r="B11276" s="330" t="s">
        <v>55632</v>
      </c>
      <c r="C11276" s="330" t="s">
        <v>24691</v>
      </c>
      <c r="D11276" s="330" t="s">
        <v>24692</v>
      </c>
      <c r="E11276" s="330" t="s">
        <v>4819</v>
      </c>
      <c r="F11276" s="331">
        <v>0.21</v>
      </c>
      <c r="G11276" s="332">
        <v>27231</v>
      </c>
      <c r="H11276" s="333">
        <v>32950</v>
      </c>
    </row>
    <row r="11277" spans="1:8">
      <c r="A11277" s="317">
        <v>2606320900</v>
      </c>
      <c r="B11277" s="330" t="s">
        <v>55633</v>
      </c>
      <c r="C11277" s="330" t="s">
        <v>24693</v>
      </c>
      <c r="D11277" s="330" t="s">
        <v>24694</v>
      </c>
      <c r="E11277" s="330" t="s">
        <v>4634</v>
      </c>
      <c r="F11277" s="331">
        <v>0.21</v>
      </c>
      <c r="G11277" s="332">
        <v>18015</v>
      </c>
      <c r="H11277" s="333">
        <v>21799</v>
      </c>
    </row>
    <row r="11278" spans="1:8">
      <c r="A11278" s="317">
        <v>2606320903</v>
      </c>
      <c r="B11278" s="330" t="s">
        <v>55634</v>
      </c>
      <c r="C11278" s="330" t="s">
        <v>24695</v>
      </c>
      <c r="D11278" s="330" t="s">
        <v>24696</v>
      </c>
      <c r="E11278" s="330" t="s">
        <v>37248</v>
      </c>
      <c r="F11278" s="331">
        <v>0.21</v>
      </c>
      <c r="G11278" s="332">
        <v>15095</v>
      </c>
      <c r="H11278" s="333">
        <v>18265</v>
      </c>
    </row>
    <row r="11279" spans="1:8">
      <c r="A11279" s="317">
        <v>2606320904</v>
      </c>
      <c r="B11279" s="330" t="s">
        <v>55635</v>
      </c>
      <c r="C11279" s="330" t="s">
        <v>24697</v>
      </c>
      <c r="D11279" s="330" t="s">
        <v>24698</v>
      </c>
      <c r="E11279" s="330" t="s">
        <v>4634</v>
      </c>
      <c r="F11279" s="331">
        <v>0.21</v>
      </c>
      <c r="G11279" s="332">
        <v>3966</v>
      </c>
      <c r="H11279" s="333">
        <v>4799</v>
      </c>
    </row>
    <row r="11280" spans="1:8">
      <c r="A11280" s="317">
        <v>2606325003</v>
      </c>
      <c r="B11280" s="330" t="s">
        <v>55636</v>
      </c>
      <c r="C11280" s="330" t="s">
        <v>24699</v>
      </c>
      <c r="D11280" s="330" t="s">
        <v>24700</v>
      </c>
      <c r="E11280" s="330" t="s">
        <v>4634</v>
      </c>
      <c r="F11280" s="331">
        <v>0.21</v>
      </c>
      <c r="G11280" s="332">
        <v>7133</v>
      </c>
      <c r="H11280" s="333">
        <v>8631</v>
      </c>
    </row>
    <row r="11281" spans="1:8">
      <c r="A11281" s="317">
        <v>2606325004</v>
      </c>
      <c r="B11281" s="330" t="s">
        <v>55637</v>
      </c>
      <c r="C11281" s="330" t="s">
        <v>24701</v>
      </c>
      <c r="D11281" s="330" t="s">
        <v>24700</v>
      </c>
      <c r="E11281" s="330" t="s">
        <v>4634</v>
      </c>
      <c r="F11281" s="331">
        <v>0.21</v>
      </c>
      <c r="G11281" s="332">
        <v>7133</v>
      </c>
      <c r="H11281" s="333">
        <v>8631</v>
      </c>
    </row>
    <row r="11282" spans="1:8">
      <c r="A11282" s="317">
        <v>2606328900</v>
      </c>
      <c r="B11282" s="330" t="s">
        <v>55638</v>
      </c>
      <c r="C11282" s="330" t="s">
        <v>24702</v>
      </c>
      <c r="D11282" s="330" t="s">
        <v>16547</v>
      </c>
      <c r="E11282" s="330" t="s">
        <v>4634</v>
      </c>
      <c r="F11282" s="331">
        <v>0.21</v>
      </c>
      <c r="G11282" s="332">
        <v>104942</v>
      </c>
      <c r="H11282" s="333">
        <v>126980</v>
      </c>
    </row>
    <row r="11283" spans="1:8">
      <c r="A11283" s="317">
        <v>2606328901</v>
      </c>
      <c r="B11283" s="330" t="s">
        <v>55639</v>
      </c>
      <c r="C11283" s="330" t="s">
        <v>24703</v>
      </c>
      <c r="D11283" s="330" t="s">
        <v>16547</v>
      </c>
      <c r="E11283" s="330" t="s">
        <v>4634</v>
      </c>
      <c r="F11283" s="331">
        <v>0.21</v>
      </c>
      <c r="G11283" s="332">
        <v>4756</v>
      </c>
      <c r="H11283" s="333">
        <v>5755</v>
      </c>
    </row>
    <row r="11284" spans="1:8">
      <c r="A11284" s="317">
        <v>2606329001</v>
      </c>
      <c r="B11284" s="330" t="s">
        <v>55640</v>
      </c>
      <c r="C11284" s="330" t="s">
        <v>24704</v>
      </c>
      <c r="D11284" s="330" t="s">
        <v>24705</v>
      </c>
      <c r="E11284" s="330" t="s">
        <v>4634</v>
      </c>
      <c r="F11284" s="331">
        <v>0.21</v>
      </c>
      <c r="G11284" s="332">
        <v>1547</v>
      </c>
      <c r="H11284" s="333">
        <v>1872</v>
      </c>
    </row>
    <row r="11285" spans="1:8">
      <c r="A11285" s="317">
        <v>2606333024</v>
      </c>
      <c r="B11285" s="330" t="s">
        <v>55641</v>
      </c>
      <c r="C11285" s="330" t="s">
        <v>24706</v>
      </c>
      <c r="D11285" s="330" t="s">
        <v>24707</v>
      </c>
      <c r="E11285" s="330" t="s">
        <v>4634</v>
      </c>
      <c r="F11285" s="331">
        <v>0.21</v>
      </c>
      <c r="G11285" s="332">
        <v>1170</v>
      </c>
      <c r="H11285" s="333">
        <v>1416</v>
      </c>
    </row>
    <row r="11286" spans="1:8">
      <c r="A11286" s="317">
        <v>2606333025</v>
      </c>
      <c r="B11286" s="330" t="s">
        <v>55642</v>
      </c>
      <c r="C11286" s="330" t="s">
        <v>24708</v>
      </c>
      <c r="D11286" s="330" t="s">
        <v>24709</v>
      </c>
      <c r="E11286" s="330" t="s">
        <v>4634</v>
      </c>
      <c r="F11286" s="331">
        <v>0.21</v>
      </c>
      <c r="G11286" s="332">
        <v>455</v>
      </c>
      <c r="H11286" s="333">
        <v>551</v>
      </c>
    </row>
    <row r="11287" spans="1:8">
      <c r="A11287" s="317">
        <v>2606333901</v>
      </c>
      <c r="B11287" s="330" t="s">
        <v>55643</v>
      </c>
      <c r="C11287" s="330" t="s">
        <v>24710</v>
      </c>
      <c r="D11287" s="330" t="s">
        <v>24711</v>
      </c>
      <c r="E11287" s="330" t="s">
        <v>4634</v>
      </c>
      <c r="F11287" s="331">
        <v>0.21</v>
      </c>
      <c r="G11287" s="332">
        <v>4737</v>
      </c>
      <c r="H11287" s="333">
        <v>5732</v>
      </c>
    </row>
    <row r="11288" spans="1:8">
      <c r="A11288" s="317">
        <v>2606334040</v>
      </c>
      <c r="B11288" s="330" t="s">
        <v>55644</v>
      </c>
      <c r="C11288" s="330" t="s">
        <v>24712</v>
      </c>
      <c r="D11288" s="330" t="s">
        <v>24713</v>
      </c>
      <c r="E11288" s="330" t="s">
        <v>37248</v>
      </c>
      <c r="F11288" s="331">
        <v>0.21</v>
      </c>
      <c r="G11288" s="332">
        <v>37644</v>
      </c>
      <c r="H11288" s="333">
        <v>45550</v>
      </c>
    </row>
    <row r="11289" spans="1:8">
      <c r="A11289" s="317">
        <v>2606334902</v>
      </c>
      <c r="B11289" s="330" t="s">
        <v>55645</v>
      </c>
      <c r="C11289" s="330" t="s">
        <v>24714</v>
      </c>
      <c r="D11289" s="330" t="s">
        <v>24715</v>
      </c>
      <c r="E11289" s="330" t="s">
        <v>4634</v>
      </c>
      <c r="F11289" s="331">
        <v>0.21</v>
      </c>
      <c r="G11289" s="332">
        <v>3966</v>
      </c>
      <c r="H11289" s="333">
        <v>4799</v>
      </c>
    </row>
    <row r="11290" spans="1:8">
      <c r="A11290" s="317">
        <v>2606338001</v>
      </c>
      <c r="B11290" s="330" t="s">
        <v>55646</v>
      </c>
      <c r="C11290" s="330" t="s">
        <v>24716</v>
      </c>
      <c r="D11290" s="330" t="s">
        <v>7916</v>
      </c>
      <c r="E11290" s="330" t="s">
        <v>4634</v>
      </c>
      <c r="F11290" s="331">
        <v>0.21</v>
      </c>
      <c r="G11290" s="332">
        <v>2458</v>
      </c>
      <c r="H11290" s="333">
        <v>2975</v>
      </c>
    </row>
    <row r="11291" spans="1:8">
      <c r="A11291" s="317">
        <v>2606338002</v>
      </c>
      <c r="B11291" s="330" t="s">
        <v>55647</v>
      </c>
      <c r="C11291" s="330" t="s">
        <v>24717</v>
      </c>
      <c r="D11291" s="330" t="s">
        <v>24718</v>
      </c>
      <c r="E11291" s="330" t="s">
        <v>37248</v>
      </c>
      <c r="F11291" s="331">
        <v>0.21</v>
      </c>
      <c r="G11291" s="332">
        <v>25415</v>
      </c>
      <c r="H11291" s="333">
        <v>30753</v>
      </c>
    </row>
    <row r="11292" spans="1:8">
      <c r="A11292" s="317">
        <v>2606440000</v>
      </c>
      <c r="B11292" s="330" t="s">
        <v>55648</v>
      </c>
      <c r="C11292" s="330" t="s">
        <v>24719</v>
      </c>
      <c r="D11292" s="330" t="s">
        <v>24720</v>
      </c>
      <c r="E11292" s="330" t="s">
        <v>4634</v>
      </c>
      <c r="F11292" s="331">
        <v>0.21</v>
      </c>
      <c r="G11292" s="332">
        <v>711</v>
      </c>
      <c r="H11292" s="333">
        <v>861</v>
      </c>
    </row>
    <row r="11293" spans="1:8">
      <c r="A11293" s="317">
        <v>2606445010</v>
      </c>
      <c r="B11293" s="330" t="s">
        <v>55649</v>
      </c>
      <c r="C11293" s="330" t="s">
        <v>24721</v>
      </c>
      <c r="D11293" s="330" t="s">
        <v>24722</v>
      </c>
      <c r="E11293" s="330" t="s">
        <v>4634</v>
      </c>
      <c r="F11293" s="331">
        <v>0.21</v>
      </c>
      <c r="G11293" s="332">
        <v>8307</v>
      </c>
      <c r="H11293" s="333">
        <v>10052</v>
      </c>
    </row>
    <row r="11294" spans="1:8">
      <c r="A11294" s="317">
        <v>2606445016</v>
      </c>
      <c r="B11294" s="330" t="s">
        <v>55650</v>
      </c>
      <c r="C11294" s="330" t="s">
        <v>24723</v>
      </c>
      <c r="D11294" s="330" t="s">
        <v>24724</v>
      </c>
      <c r="E11294" s="330" t="s">
        <v>4634</v>
      </c>
      <c r="F11294" s="331">
        <v>0.21</v>
      </c>
      <c r="G11294" s="332">
        <v>2462</v>
      </c>
      <c r="H11294" s="333">
        <v>2980</v>
      </c>
    </row>
    <row r="11295" spans="1:8">
      <c r="A11295" s="317">
        <v>2606445901</v>
      </c>
      <c r="B11295" s="330" t="s">
        <v>55651</v>
      </c>
      <c r="C11295" s="330" t="s">
        <v>24725</v>
      </c>
      <c r="D11295" s="330" t="s">
        <v>24726</v>
      </c>
      <c r="E11295" s="330" t="s">
        <v>4634</v>
      </c>
      <c r="F11295" s="331">
        <v>0.21</v>
      </c>
      <c r="G11295" s="332">
        <v>3189</v>
      </c>
      <c r="H11295" s="333">
        <v>3859</v>
      </c>
    </row>
    <row r="11296" spans="1:8">
      <c r="A11296" s="317">
        <v>2606446001</v>
      </c>
      <c r="B11296" s="330" t="s">
        <v>55652</v>
      </c>
      <c r="C11296" s="330" t="s">
        <v>24727</v>
      </c>
      <c r="D11296" s="330" t="s">
        <v>24728</v>
      </c>
      <c r="E11296" s="330" t="s">
        <v>4634</v>
      </c>
      <c r="F11296" s="331">
        <v>0.21</v>
      </c>
      <c r="G11296" s="332">
        <v>455</v>
      </c>
      <c r="H11296" s="333">
        <v>551</v>
      </c>
    </row>
    <row r="11297" spans="1:8">
      <c r="A11297" s="317">
        <v>2606446002</v>
      </c>
      <c r="B11297" s="330" t="s">
        <v>55653</v>
      </c>
      <c r="C11297" s="330" t="s">
        <v>24729</v>
      </c>
      <c r="D11297" s="330" t="s">
        <v>24730</v>
      </c>
      <c r="E11297" s="330" t="s">
        <v>37248</v>
      </c>
      <c r="F11297" s="331">
        <v>0.21</v>
      </c>
      <c r="G11297" s="332">
        <v>10194</v>
      </c>
      <c r="H11297" s="333">
        <v>12335</v>
      </c>
    </row>
    <row r="11298" spans="1:8">
      <c r="A11298" s="317">
        <v>2606490027</v>
      </c>
      <c r="B11298" s="330" t="s">
        <v>55654</v>
      </c>
      <c r="C11298" s="330" t="s">
        <v>24731</v>
      </c>
      <c r="D11298" s="330" t="s">
        <v>24732</v>
      </c>
      <c r="E11298" s="330" t="s">
        <v>4634</v>
      </c>
      <c r="F11298" s="331">
        <v>0.21</v>
      </c>
      <c r="G11298" s="332">
        <v>4432</v>
      </c>
      <c r="H11298" s="333">
        <v>5363</v>
      </c>
    </row>
    <row r="11299" spans="1:8">
      <c r="A11299" s="317">
        <v>2606490031</v>
      </c>
      <c r="B11299" s="330" t="s">
        <v>55655</v>
      </c>
      <c r="C11299" s="330" t="s">
        <v>24733</v>
      </c>
      <c r="D11299" s="330" t="s">
        <v>24734</v>
      </c>
      <c r="E11299" s="330" t="s">
        <v>4634</v>
      </c>
      <c r="F11299" s="331">
        <v>0.21</v>
      </c>
      <c r="G11299" s="332">
        <v>1170</v>
      </c>
      <c r="H11299" s="333">
        <v>1416</v>
      </c>
    </row>
    <row r="11300" spans="1:8">
      <c r="A11300" s="317">
        <v>2606490036</v>
      </c>
      <c r="B11300" s="330" t="s">
        <v>55656</v>
      </c>
      <c r="C11300" s="330" t="s">
        <v>24735</v>
      </c>
      <c r="D11300" s="330" t="s">
        <v>5131</v>
      </c>
      <c r="E11300" s="330" t="s">
        <v>4634</v>
      </c>
      <c r="F11300" s="331">
        <v>0.21</v>
      </c>
      <c r="G11300" s="332">
        <v>2181</v>
      </c>
      <c r="H11300" s="333">
        <v>2640</v>
      </c>
    </row>
    <row r="11301" spans="1:8">
      <c r="A11301" s="317">
        <v>2606490040</v>
      </c>
      <c r="B11301" s="330" t="s">
        <v>55657</v>
      </c>
      <c r="C11301" s="330" t="s">
        <v>24736</v>
      </c>
      <c r="D11301" s="330" t="s">
        <v>24737</v>
      </c>
      <c r="E11301" s="330" t="s">
        <v>4634</v>
      </c>
      <c r="F11301" s="331">
        <v>0.21</v>
      </c>
      <c r="G11301" s="332">
        <v>2467</v>
      </c>
      <c r="H11301" s="333">
        <v>2986</v>
      </c>
    </row>
    <row r="11302" spans="1:8">
      <c r="A11302" s="317">
        <v>2606490047</v>
      </c>
      <c r="B11302" s="330" t="s">
        <v>55658</v>
      </c>
      <c r="C11302" s="330" t="s">
        <v>24738</v>
      </c>
      <c r="D11302" s="330" t="s">
        <v>24739</v>
      </c>
      <c r="E11302" s="330" t="s">
        <v>4634</v>
      </c>
      <c r="F11302" s="331">
        <v>0.21</v>
      </c>
      <c r="G11302" s="332">
        <v>1170</v>
      </c>
      <c r="H11302" s="333">
        <v>1416</v>
      </c>
    </row>
    <row r="11303" spans="1:8">
      <c r="A11303" s="317">
        <v>2606490053</v>
      </c>
      <c r="B11303" s="330" t="s">
        <v>55659</v>
      </c>
      <c r="C11303" s="330" t="s">
        <v>24740</v>
      </c>
      <c r="D11303" s="330" t="s">
        <v>24741</v>
      </c>
      <c r="E11303" s="330" t="s">
        <v>4634</v>
      </c>
      <c r="F11303" s="331">
        <v>0.21</v>
      </c>
      <c r="G11303" s="332">
        <v>1798</v>
      </c>
      <c r="H11303" s="333">
        <v>2176</v>
      </c>
    </row>
    <row r="11304" spans="1:8">
      <c r="A11304" s="317">
        <v>2606490056</v>
      </c>
      <c r="B11304" s="330" t="s">
        <v>55660</v>
      </c>
      <c r="C11304" s="330" t="s">
        <v>24742</v>
      </c>
      <c r="D11304" s="330" t="s">
        <v>24743</v>
      </c>
      <c r="E11304" s="330" t="s">
        <v>4634</v>
      </c>
      <c r="F11304" s="331">
        <v>0.21</v>
      </c>
      <c r="G11304" s="332">
        <v>2059</v>
      </c>
      <c r="H11304" s="333">
        <v>2492</v>
      </c>
    </row>
    <row r="11305" spans="1:8">
      <c r="A11305" s="317">
        <v>2606490060</v>
      </c>
      <c r="B11305" s="330" t="s">
        <v>55661</v>
      </c>
      <c r="C11305" s="330" t="s">
        <v>24744</v>
      </c>
      <c r="D11305" s="330" t="s">
        <v>24745</v>
      </c>
      <c r="E11305" s="330" t="s">
        <v>4634</v>
      </c>
      <c r="F11305" s="331">
        <v>0.21</v>
      </c>
      <c r="G11305" s="332">
        <v>678</v>
      </c>
      <c r="H11305" s="333">
        <v>821</v>
      </c>
    </row>
    <row r="11306" spans="1:8">
      <c r="A11306" s="317">
        <v>2606490088</v>
      </c>
      <c r="B11306" s="330" t="s">
        <v>55662</v>
      </c>
      <c r="C11306" s="330" t="s">
        <v>24746</v>
      </c>
      <c r="D11306" s="330" t="s">
        <v>24747</v>
      </c>
      <c r="E11306" s="330" t="s">
        <v>4634</v>
      </c>
      <c r="F11306" s="331">
        <v>0.21</v>
      </c>
      <c r="G11306" s="332">
        <v>791</v>
      </c>
      <c r="H11306" s="333">
        <v>958</v>
      </c>
    </row>
    <row r="11307" spans="1:8">
      <c r="A11307" s="317">
        <v>2606490900</v>
      </c>
      <c r="B11307" s="330" t="s">
        <v>55663</v>
      </c>
      <c r="C11307" s="330" t="s">
        <v>24748</v>
      </c>
      <c r="D11307" s="330" t="s">
        <v>24749</v>
      </c>
      <c r="E11307" s="330" t="s">
        <v>4634</v>
      </c>
      <c r="F11307" s="331">
        <v>0.21</v>
      </c>
      <c r="G11307" s="332">
        <v>4729</v>
      </c>
      <c r="H11307" s="333">
        <v>5723</v>
      </c>
    </row>
    <row r="11308" spans="1:8">
      <c r="A11308" s="317">
        <v>2606490913</v>
      </c>
      <c r="B11308" s="330" t="s">
        <v>55664</v>
      </c>
      <c r="C11308" s="330" t="s">
        <v>24750</v>
      </c>
      <c r="D11308" s="330" t="s">
        <v>5131</v>
      </c>
      <c r="E11308" s="330" t="s">
        <v>4634</v>
      </c>
      <c r="F11308" s="331">
        <v>0.21</v>
      </c>
      <c r="G11308" s="332">
        <v>6656</v>
      </c>
      <c r="H11308" s="333">
        <v>8054</v>
      </c>
    </row>
    <row r="11309" spans="1:8">
      <c r="A11309" s="317">
        <v>2606491007</v>
      </c>
      <c r="B11309" s="330" t="s">
        <v>55665</v>
      </c>
      <c r="C11309" s="330" t="s">
        <v>24751</v>
      </c>
      <c r="D11309" s="330" t="s">
        <v>24752</v>
      </c>
      <c r="E11309" s="330" t="s">
        <v>4634</v>
      </c>
      <c r="F11309" s="331">
        <v>0.21</v>
      </c>
      <c r="G11309" s="332">
        <v>348</v>
      </c>
      <c r="H11309" s="333">
        <v>422</v>
      </c>
    </row>
    <row r="11310" spans="1:8">
      <c r="A11310" s="317">
        <v>2606491008</v>
      </c>
      <c r="B11310" s="330" t="s">
        <v>55666</v>
      </c>
      <c r="C11310" s="330" t="s">
        <v>24753</v>
      </c>
      <c r="D11310" s="330" t="s">
        <v>24754</v>
      </c>
      <c r="E11310" s="330" t="s">
        <v>4634</v>
      </c>
      <c r="F11310" s="331">
        <v>0.21</v>
      </c>
      <c r="G11310" s="332">
        <v>216</v>
      </c>
      <c r="H11310" s="333">
        <v>262</v>
      </c>
    </row>
    <row r="11311" spans="1:8">
      <c r="A11311" s="317">
        <v>2606491010</v>
      </c>
      <c r="B11311" s="330" t="s">
        <v>55667</v>
      </c>
      <c r="C11311" s="330" t="s">
        <v>24755</v>
      </c>
      <c r="D11311" s="330" t="s">
        <v>24756</v>
      </c>
      <c r="E11311" s="330" t="s">
        <v>4634</v>
      </c>
      <c r="F11311" s="331">
        <v>0.21</v>
      </c>
      <c r="G11311" s="332">
        <v>93</v>
      </c>
      <c r="H11311" s="333">
        <v>113</v>
      </c>
    </row>
    <row r="11312" spans="1:8">
      <c r="A11312" s="317">
        <v>2606491011</v>
      </c>
      <c r="B11312" s="330" t="s">
        <v>55668</v>
      </c>
      <c r="C11312" s="330" t="s">
        <v>24757</v>
      </c>
      <c r="D11312" s="330" t="s">
        <v>24758</v>
      </c>
      <c r="E11312" s="330" t="s">
        <v>37248</v>
      </c>
      <c r="F11312" s="331">
        <v>0.21</v>
      </c>
      <c r="G11312" s="332">
        <v>2094</v>
      </c>
      <c r="H11312" s="333">
        <v>2534</v>
      </c>
    </row>
    <row r="11313" spans="1:8">
      <c r="A11313" s="317">
        <v>2606491014</v>
      </c>
      <c r="B11313" s="330" t="s">
        <v>55669</v>
      </c>
      <c r="C11313" s="330" t="s">
        <v>24759</v>
      </c>
      <c r="D11313" s="330" t="s">
        <v>24760</v>
      </c>
      <c r="E11313" s="330" t="s">
        <v>4819</v>
      </c>
      <c r="F11313" s="331">
        <v>0.21</v>
      </c>
      <c r="G11313" s="332">
        <v>7825</v>
      </c>
      <c r="H11313" s="333">
        <v>9469</v>
      </c>
    </row>
    <row r="11314" spans="1:8">
      <c r="A11314" s="317">
        <v>2606491917</v>
      </c>
      <c r="B11314" s="330" t="s">
        <v>55670</v>
      </c>
      <c r="C11314" s="330" t="s">
        <v>24761</v>
      </c>
      <c r="D11314" s="330" t="s">
        <v>24762</v>
      </c>
      <c r="E11314" s="330" t="s">
        <v>4819</v>
      </c>
      <c r="F11314" s="331">
        <v>0.21</v>
      </c>
      <c r="G11314" s="332">
        <v>5257</v>
      </c>
      <c r="H11314" s="333">
        <v>6361</v>
      </c>
    </row>
    <row r="11315" spans="1:8">
      <c r="A11315" s="317">
        <v>2606600900</v>
      </c>
      <c r="B11315" s="330" t="s">
        <v>55671</v>
      </c>
      <c r="C11315" s="330" t="s">
        <v>24763</v>
      </c>
      <c r="D11315" s="330" t="s">
        <v>24764</v>
      </c>
      <c r="E11315" s="330" t="s">
        <v>4634</v>
      </c>
      <c r="F11315" s="331">
        <v>0.21</v>
      </c>
      <c r="G11315" s="332">
        <v>1601</v>
      </c>
      <c r="H11315" s="333">
        <v>1938</v>
      </c>
    </row>
    <row r="11316" spans="1:8">
      <c r="A11316" s="317">
        <v>2606610013</v>
      </c>
      <c r="B11316" s="330" t="s">
        <v>55672</v>
      </c>
      <c r="C11316" s="330" t="s">
        <v>24765</v>
      </c>
      <c r="D11316" s="330" t="s">
        <v>24766</v>
      </c>
      <c r="E11316" s="330" t="s">
        <v>4634</v>
      </c>
      <c r="F11316" s="331">
        <v>0.21</v>
      </c>
      <c r="G11316" s="332">
        <v>274</v>
      </c>
      <c r="H11316" s="333">
        <v>332</v>
      </c>
    </row>
    <row r="11317" spans="1:8">
      <c r="A11317" s="317">
        <v>2606610016</v>
      </c>
      <c r="B11317" s="330" t="s">
        <v>55673</v>
      </c>
      <c r="C11317" s="330" t="s">
        <v>24767</v>
      </c>
      <c r="D11317" s="330" t="s">
        <v>10123</v>
      </c>
      <c r="E11317" s="330" t="s">
        <v>4634</v>
      </c>
      <c r="F11317" s="331">
        <v>0.21</v>
      </c>
      <c r="G11317" s="332">
        <v>126</v>
      </c>
      <c r="H11317" s="333">
        <v>153</v>
      </c>
    </row>
    <row r="11318" spans="1:8">
      <c r="A11318" s="317">
        <v>2606610022</v>
      </c>
      <c r="B11318" s="330" t="s">
        <v>55674</v>
      </c>
      <c r="C11318" s="330" t="s">
        <v>24768</v>
      </c>
      <c r="D11318" s="330" t="s">
        <v>10123</v>
      </c>
      <c r="E11318" s="330" t="s">
        <v>4634</v>
      </c>
      <c r="F11318" s="331">
        <v>0.21</v>
      </c>
      <c r="G11318" s="332">
        <v>372</v>
      </c>
      <c r="H11318" s="333">
        <v>451</v>
      </c>
    </row>
    <row r="11319" spans="1:8">
      <c r="A11319" s="317">
        <v>2606610026</v>
      </c>
      <c r="B11319" s="330" t="s">
        <v>55675</v>
      </c>
      <c r="C11319" s="330" t="s">
        <v>24769</v>
      </c>
      <c r="D11319" s="330" t="s">
        <v>24770</v>
      </c>
      <c r="E11319" s="330" t="s">
        <v>4634</v>
      </c>
      <c r="F11319" s="331">
        <v>0.21</v>
      </c>
      <c r="G11319" s="332">
        <v>648</v>
      </c>
      <c r="H11319" s="333">
        <v>785</v>
      </c>
    </row>
    <row r="11320" spans="1:8">
      <c r="A11320" s="317">
        <v>2606610027</v>
      </c>
      <c r="B11320" s="330" t="s">
        <v>55676</v>
      </c>
      <c r="C11320" s="330" t="s">
        <v>24771</v>
      </c>
      <c r="D11320" s="330" t="s">
        <v>24772</v>
      </c>
      <c r="E11320" s="330" t="s">
        <v>4634</v>
      </c>
      <c r="F11320" s="331">
        <v>0.21</v>
      </c>
      <c r="G11320" s="332">
        <v>455</v>
      </c>
      <c r="H11320" s="333">
        <v>551</v>
      </c>
    </row>
    <row r="11321" spans="1:8">
      <c r="A11321" s="317">
        <v>2606610029</v>
      </c>
      <c r="B11321" s="330" t="s">
        <v>55677</v>
      </c>
      <c r="C11321" s="330" t="s">
        <v>24773</v>
      </c>
      <c r="D11321" s="330" t="s">
        <v>24774</v>
      </c>
      <c r="E11321" s="330" t="s">
        <v>4634</v>
      </c>
      <c r="F11321" s="331">
        <v>0.21</v>
      </c>
      <c r="G11321" s="332">
        <v>432</v>
      </c>
      <c r="H11321" s="333">
        <v>523</v>
      </c>
    </row>
    <row r="11322" spans="1:8">
      <c r="A11322" s="317">
        <v>2606610041</v>
      </c>
      <c r="B11322" s="330" t="s">
        <v>55678</v>
      </c>
      <c r="C11322" s="330" t="s">
        <v>24775</v>
      </c>
      <c r="D11322" s="330" t="s">
        <v>24776</v>
      </c>
      <c r="E11322" s="330" t="s">
        <v>4634</v>
      </c>
      <c r="F11322" s="331">
        <v>0.21</v>
      </c>
      <c r="G11322" s="332">
        <v>648</v>
      </c>
      <c r="H11322" s="333">
        <v>785</v>
      </c>
    </row>
    <row r="11323" spans="1:8">
      <c r="A11323" s="317">
        <v>2606610043</v>
      </c>
      <c r="B11323" s="330" t="s">
        <v>55679</v>
      </c>
      <c r="C11323" s="330" t="s">
        <v>24777</v>
      </c>
      <c r="D11323" s="330" t="s">
        <v>10123</v>
      </c>
      <c r="E11323" s="330" t="s">
        <v>4634</v>
      </c>
      <c r="F11323" s="331">
        <v>0.21</v>
      </c>
      <c r="G11323" s="332">
        <v>274</v>
      </c>
      <c r="H11323" s="333">
        <v>332</v>
      </c>
    </row>
    <row r="11324" spans="1:8">
      <c r="A11324" s="317">
        <v>2606610049</v>
      </c>
      <c r="B11324" s="330" t="s">
        <v>55680</v>
      </c>
      <c r="C11324" s="330" t="s">
        <v>24778</v>
      </c>
      <c r="D11324" s="330" t="s">
        <v>24779</v>
      </c>
      <c r="E11324" s="330" t="s">
        <v>4634</v>
      </c>
      <c r="F11324" s="331">
        <v>0.21</v>
      </c>
      <c r="G11324" s="332">
        <v>564</v>
      </c>
      <c r="H11324" s="333">
        <v>683</v>
      </c>
    </row>
    <row r="11325" spans="1:8">
      <c r="A11325" s="317">
        <v>2606610052</v>
      </c>
      <c r="B11325" s="330" t="s">
        <v>55681</v>
      </c>
      <c r="C11325" s="330" t="s">
        <v>24780</v>
      </c>
      <c r="D11325" s="330" t="s">
        <v>10123</v>
      </c>
      <c r="E11325" s="330" t="s">
        <v>4634</v>
      </c>
      <c r="F11325" s="331">
        <v>0.21</v>
      </c>
      <c r="G11325" s="332">
        <v>126</v>
      </c>
      <c r="H11325" s="333">
        <v>153</v>
      </c>
    </row>
    <row r="11326" spans="1:8">
      <c r="A11326" s="317">
        <v>2606610055</v>
      </c>
      <c r="B11326" s="330" t="s">
        <v>55682</v>
      </c>
      <c r="C11326" s="330" t="s">
        <v>24781</v>
      </c>
      <c r="D11326" s="330" t="s">
        <v>24782</v>
      </c>
      <c r="E11326" s="330" t="s">
        <v>4634</v>
      </c>
      <c r="F11326" s="331">
        <v>0.21</v>
      </c>
      <c r="G11326" s="332">
        <v>372</v>
      </c>
      <c r="H11326" s="333">
        <v>451</v>
      </c>
    </row>
    <row r="11327" spans="1:8">
      <c r="A11327" s="317">
        <v>2606610066</v>
      </c>
      <c r="B11327" s="330" t="s">
        <v>55683</v>
      </c>
      <c r="C11327" s="330" t="s">
        <v>24783</v>
      </c>
      <c r="D11327" s="330" t="s">
        <v>24784</v>
      </c>
      <c r="E11327" s="330" t="s">
        <v>4634</v>
      </c>
      <c r="F11327" s="331">
        <v>0.21</v>
      </c>
      <c r="G11327" s="332">
        <v>4349</v>
      </c>
      <c r="H11327" s="333">
        <v>5263</v>
      </c>
    </row>
    <row r="11328" spans="1:8">
      <c r="A11328" s="317">
        <v>2606610072</v>
      </c>
      <c r="B11328" s="330" t="s">
        <v>55684</v>
      </c>
      <c r="C11328" s="330" t="s">
        <v>24785</v>
      </c>
      <c r="D11328" s="330" t="s">
        <v>24786</v>
      </c>
      <c r="E11328" s="330" t="s">
        <v>4634</v>
      </c>
      <c r="F11328" s="331">
        <v>0.21</v>
      </c>
      <c r="G11328" s="332">
        <v>3160</v>
      </c>
      <c r="H11328" s="333">
        <v>3824</v>
      </c>
    </row>
    <row r="11329" spans="1:8">
      <c r="A11329" s="317">
        <v>2606610076</v>
      </c>
      <c r="B11329" s="330" t="s">
        <v>55685</v>
      </c>
      <c r="C11329" s="330" t="s">
        <v>24787</v>
      </c>
      <c r="D11329" s="330" t="s">
        <v>24788</v>
      </c>
      <c r="E11329" s="330" t="s">
        <v>4634</v>
      </c>
      <c r="F11329" s="331">
        <v>0.21</v>
      </c>
      <c r="G11329" s="332">
        <v>791</v>
      </c>
      <c r="H11329" s="333">
        <v>958</v>
      </c>
    </row>
    <row r="11330" spans="1:8">
      <c r="A11330" s="317">
        <v>2606610079</v>
      </c>
      <c r="B11330" s="330" t="s">
        <v>55686</v>
      </c>
      <c r="C11330" s="330" t="s">
        <v>24789</v>
      </c>
      <c r="D11330" s="330" t="s">
        <v>24790</v>
      </c>
      <c r="E11330" s="330" t="s">
        <v>4634</v>
      </c>
      <c r="F11330" s="331">
        <v>0.21</v>
      </c>
      <c r="G11330" s="332">
        <v>963</v>
      </c>
      <c r="H11330" s="333">
        <v>1166</v>
      </c>
    </row>
    <row r="11331" spans="1:8">
      <c r="A11331" s="317">
        <v>2606610086</v>
      </c>
      <c r="B11331" s="330" t="s">
        <v>55687</v>
      </c>
      <c r="C11331" s="330" t="s">
        <v>24791</v>
      </c>
      <c r="D11331" s="330" t="s">
        <v>24792</v>
      </c>
      <c r="E11331" s="330" t="s">
        <v>4819</v>
      </c>
      <c r="F11331" s="331">
        <v>0.21</v>
      </c>
      <c r="G11331" s="332">
        <v>10091</v>
      </c>
      <c r="H11331" s="333">
        <v>12211</v>
      </c>
    </row>
    <row r="11332" spans="1:8">
      <c r="A11332" s="317">
        <v>2606610089</v>
      </c>
      <c r="B11332" s="330" t="s">
        <v>55688</v>
      </c>
      <c r="C11332" s="330" t="s">
        <v>24793</v>
      </c>
      <c r="D11332" s="330" t="s">
        <v>24794</v>
      </c>
      <c r="E11332" s="330" t="s">
        <v>4623</v>
      </c>
      <c r="F11332" s="331">
        <v>0.21</v>
      </c>
      <c r="G11332" s="332">
        <v>5204</v>
      </c>
      <c r="H11332" s="333">
        <v>6297</v>
      </c>
    </row>
    <row r="11333" spans="1:8">
      <c r="A11333" s="317">
        <v>2606610090</v>
      </c>
      <c r="B11333" s="330" t="s">
        <v>55689</v>
      </c>
      <c r="C11333" s="330" t="s">
        <v>24795</v>
      </c>
      <c r="D11333" s="330" t="s">
        <v>24796</v>
      </c>
      <c r="E11333" s="330" t="s">
        <v>4634</v>
      </c>
      <c r="F11333" s="331">
        <v>0.21</v>
      </c>
      <c r="G11333" s="332">
        <v>372</v>
      </c>
      <c r="H11333" s="333">
        <v>451</v>
      </c>
    </row>
    <row r="11334" spans="1:8">
      <c r="A11334" s="317">
        <v>2606610093</v>
      </c>
      <c r="B11334" s="330" t="s">
        <v>55690</v>
      </c>
      <c r="C11334" s="330" t="s">
        <v>24797</v>
      </c>
      <c r="D11334" s="330" t="s">
        <v>24798</v>
      </c>
      <c r="E11334" s="330" t="s">
        <v>4634</v>
      </c>
      <c r="F11334" s="331">
        <v>0.21</v>
      </c>
      <c r="G11334" s="332">
        <v>455</v>
      </c>
      <c r="H11334" s="333">
        <v>551</v>
      </c>
    </row>
    <row r="11335" spans="1:8">
      <c r="A11335" s="317">
        <v>2606610096</v>
      </c>
      <c r="B11335" s="330" t="s">
        <v>55691</v>
      </c>
      <c r="C11335" s="330" t="s">
        <v>24799</v>
      </c>
      <c r="D11335" s="330" t="s">
        <v>24800</v>
      </c>
      <c r="E11335" s="330" t="s">
        <v>4634</v>
      </c>
      <c r="F11335" s="331">
        <v>0.21</v>
      </c>
      <c r="G11335" s="332">
        <v>648</v>
      </c>
      <c r="H11335" s="333">
        <v>785</v>
      </c>
    </row>
    <row r="11336" spans="1:8">
      <c r="A11336" s="317">
        <v>2606610113</v>
      </c>
      <c r="B11336" s="330" t="s">
        <v>55692</v>
      </c>
      <c r="C11336" s="330" t="s">
        <v>24801</v>
      </c>
      <c r="D11336" s="330" t="s">
        <v>24802</v>
      </c>
      <c r="E11336" s="330" t="s">
        <v>4819</v>
      </c>
      <c r="F11336" s="331">
        <v>0.21</v>
      </c>
      <c r="G11336" s="332">
        <v>9105</v>
      </c>
      <c r="H11336" s="333">
        <v>11018</v>
      </c>
    </row>
    <row r="11337" spans="1:8">
      <c r="A11337" s="317">
        <v>2606610116</v>
      </c>
      <c r="B11337" s="330" t="s">
        <v>55693</v>
      </c>
      <c r="C11337" s="330" t="s">
        <v>24803</v>
      </c>
      <c r="D11337" s="330" t="s">
        <v>24804</v>
      </c>
      <c r="E11337" s="330" t="s">
        <v>4634</v>
      </c>
      <c r="F11337" s="331">
        <v>0.21</v>
      </c>
      <c r="G11337" s="332">
        <v>564</v>
      </c>
      <c r="H11337" s="333">
        <v>683</v>
      </c>
    </row>
    <row r="11338" spans="1:8">
      <c r="A11338" s="317">
        <v>2606610123</v>
      </c>
      <c r="B11338" s="330" t="s">
        <v>55694</v>
      </c>
      <c r="C11338" s="330" t="s">
        <v>24805</v>
      </c>
      <c r="D11338" s="330" t="s">
        <v>24806</v>
      </c>
      <c r="E11338" s="330" t="s">
        <v>4634</v>
      </c>
      <c r="F11338" s="331">
        <v>0.21</v>
      </c>
      <c r="G11338" s="332">
        <v>648</v>
      </c>
      <c r="H11338" s="333">
        <v>785</v>
      </c>
    </row>
    <row r="11339" spans="1:8">
      <c r="A11339" s="317">
        <v>2606610900</v>
      </c>
      <c r="B11339" s="330" t="s">
        <v>55695</v>
      </c>
      <c r="C11339" s="330" t="s">
        <v>24807</v>
      </c>
      <c r="D11339" s="330" t="s">
        <v>24808</v>
      </c>
      <c r="E11339" s="330" t="s">
        <v>4634</v>
      </c>
      <c r="F11339" s="331">
        <v>0.21</v>
      </c>
      <c r="G11339" s="332">
        <v>6542</v>
      </c>
      <c r="H11339" s="333">
        <v>7916</v>
      </c>
    </row>
    <row r="11340" spans="1:8">
      <c r="A11340" s="317">
        <v>2606610901</v>
      </c>
      <c r="B11340" s="330" t="s">
        <v>55696</v>
      </c>
      <c r="C11340" s="330" t="s">
        <v>24809</v>
      </c>
      <c r="D11340" s="330" t="s">
        <v>24810</v>
      </c>
      <c r="E11340" s="330" t="s">
        <v>4634</v>
      </c>
      <c r="F11340" s="331">
        <v>0.21</v>
      </c>
      <c r="G11340" s="332">
        <v>11223</v>
      </c>
      <c r="H11340" s="333">
        <v>13580</v>
      </c>
    </row>
    <row r="11341" spans="1:8">
      <c r="A11341" s="317">
        <v>2606610903</v>
      </c>
      <c r="B11341" s="330" t="s">
        <v>55697</v>
      </c>
      <c r="C11341" s="330" t="s">
        <v>24811</v>
      </c>
      <c r="D11341" s="330" t="s">
        <v>24812</v>
      </c>
      <c r="E11341" s="330" t="s">
        <v>37248</v>
      </c>
      <c r="F11341" s="331">
        <v>0.21</v>
      </c>
      <c r="G11341" s="332">
        <v>37004</v>
      </c>
      <c r="H11341" s="333">
        <v>44775</v>
      </c>
    </row>
    <row r="11342" spans="1:8">
      <c r="A11342" s="317">
        <v>2606621001</v>
      </c>
      <c r="B11342" s="330" t="s">
        <v>55698</v>
      </c>
      <c r="C11342" s="330" t="s">
        <v>24813</v>
      </c>
      <c r="D11342" s="330" t="s">
        <v>24814</v>
      </c>
      <c r="E11342" s="330" t="s">
        <v>4634</v>
      </c>
      <c r="F11342" s="331">
        <v>0.21</v>
      </c>
      <c r="G11342" s="332">
        <v>245</v>
      </c>
      <c r="H11342" s="333">
        <v>297</v>
      </c>
    </row>
    <row r="11343" spans="1:8">
      <c r="A11343" s="317">
        <v>2606621011</v>
      </c>
      <c r="B11343" s="330" t="s">
        <v>55699</v>
      </c>
      <c r="C11343" s="330" t="s">
        <v>24815</v>
      </c>
      <c r="D11343" s="330" t="s">
        <v>24816</v>
      </c>
      <c r="E11343" s="330" t="s">
        <v>4634</v>
      </c>
      <c r="F11343" s="331">
        <v>0.21</v>
      </c>
      <c r="G11343" s="332">
        <v>372</v>
      </c>
      <c r="H11343" s="333">
        <v>451</v>
      </c>
    </row>
    <row r="11344" spans="1:8">
      <c r="A11344" s="317">
        <v>2606625001</v>
      </c>
      <c r="B11344" s="330" t="s">
        <v>55700</v>
      </c>
      <c r="C11344" s="330" t="s">
        <v>24817</v>
      </c>
      <c r="D11344" s="330" t="s">
        <v>24818</v>
      </c>
      <c r="E11344" s="330" t="s">
        <v>4634</v>
      </c>
      <c r="F11344" s="331">
        <v>0.21</v>
      </c>
      <c r="G11344" s="332">
        <v>5771</v>
      </c>
      <c r="H11344" s="333">
        <v>6983</v>
      </c>
    </row>
    <row r="11345" spans="1:8">
      <c r="A11345" s="317">
        <v>2606625002</v>
      </c>
      <c r="B11345" s="330" t="s">
        <v>55701</v>
      </c>
      <c r="C11345" s="330" t="s">
        <v>24819</v>
      </c>
      <c r="D11345" s="330" t="s">
        <v>24818</v>
      </c>
      <c r="E11345" s="330" t="s">
        <v>4819</v>
      </c>
      <c r="F11345" s="331">
        <v>0.21</v>
      </c>
      <c r="G11345" s="332">
        <v>8148</v>
      </c>
      <c r="H11345" s="333">
        <v>9860</v>
      </c>
    </row>
    <row r="11346" spans="1:8">
      <c r="A11346" s="317">
        <v>2606625005</v>
      </c>
      <c r="B11346" s="330" t="s">
        <v>55702</v>
      </c>
      <c r="C11346" s="330" t="s">
        <v>24820</v>
      </c>
      <c r="D11346" s="330" t="s">
        <v>24821</v>
      </c>
      <c r="E11346" s="330" t="s">
        <v>4634</v>
      </c>
      <c r="F11346" s="331">
        <v>0.21</v>
      </c>
      <c r="G11346" s="332">
        <v>820</v>
      </c>
      <c r="H11346" s="333">
        <v>993</v>
      </c>
    </row>
    <row r="11347" spans="1:8">
      <c r="A11347" s="317">
        <v>2606625006</v>
      </c>
      <c r="B11347" s="330" t="s">
        <v>55703</v>
      </c>
      <c r="C11347" s="330" t="s">
        <v>24822</v>
      </c>
      <c r="D11347" s="330" t="s">
        <v>24821</v>
      </c>
      <c r="E11347" s="330" t="s">
        <v>4634</v>
      </c>
      <c r="F11347" s="331">
        <v>0.21</v>
      </c>
      <c r="G11347" s="332">
        <v>3696</v>
      </c>
      <c r="H11347" s="333">
        <v>4473</v>
      </c>
    </row>
    <row r="11348" spans="1:8">
      <c r="A11348" s="317">
        <v>2606625009</v>
      </c>
      <c r="B11348" s="330" t="s">
        <v>55704</v>
      </c>
      <c r="C11348" s="330" t="s">
        <v>24823</v>
      </c>
      <c r="D11348" s="330" t="s">
        <v>22040</v>
      </c>
      <c r="E11348" s="330" t="s">
        <v>37248</v>
      </c>
      <c r="F11348" s="331">
        <v>0.21</v>
      </c>
      <c r="G11348" s="332">
        <v>5759</v>
      </c>
      <c r="H11348" s="333">
        <v>6969</v>
      </c>
    </row>
    <row r="11349" spans="1:8">
      <c r="A11349" s="317">
        <v>2606625014</v>
      </c>
      <c r="B11349" s="330" t="s">
        <v>55705</v>
      </c>
      <c r="C11349" s="330" t="s">
        <v>24824</v>
      </c>
      <c r="D11349" s="330" t="s">
        <v>24825</v>
      </c>
      <c r="E11349" s="330" t="s">
        <v>4634</v>
      </c>
      <c r="F11349" s="331">
        <v>0.21</v>
      </c>
      <c r="G11349" s="332">
        <v>1199</v>
      </c>
      <c r="H11349" s="333">
        <v>1451</v>
      </c>
    </row>
    <row r="11350" spans="1:8">
      <c r="A11350" s="317">
        <v>2606625015</v>
      </c>
      <c r="B11350" s="330" t="s">
        <v>55706</v>
      </c>
      <c r="C11350" s="330" t="s">
        <v>24826</v>
      </c>
      <c r="D11350" s="330" t="s">
        <v>24825</v>
      </c>
      <c r="E11350" s="330" t="s">
        <v>4634</v>
      </c>
      <c r="F11350" s="331">
        <v>0.21</v>
      </c>
      <c r="G11350" s="332">
        <v>1217</v>
      </c>
      <c r="H11350" s="333">
        <v>1473</v>
      </c>
    </row>
    <row r="11351" spans="1:8">
      <c r="A11351" s="317">
        <v>2606625026</v>
      </c>
      <c r="B11351" s="330" t="s">
        <v>55707</v>
      </c>
      <c r="C11351" s="330" t="s">
        <v>24827</v>
      </c>
      <c r="D11351" s="330" t="s">
        <v>24828</v>
      </c>
      <c r="E11351" s="330" t="s">
        <v>4634</v>
      </c>
      <c r="F11351" s="331">
        <v>0.21</v>
      </c>
      <c r="G11351" s="332">
        <v>791</v>
      </c>
      <c r="H11351" s="333">
        <v>958</v>
      </c>
    </row>
    <row r="11352" spans="1:8">
      <c r="A11352" s="317">
        <v>2606625030</v>
      </c>
      <c r="B11352" s="330" t="s">
        <v>55708</v>
      </c>
      <c r="C11352" s="330" t="s">
        <v>24829</v>
      </c>
      <c r="D11352" s="330" t="s">
        <v>24830</v>
      </c>
      <c r="E11352" s="330" t="s">
        <v>37248</v>
      </c>
      <c r="F11352" s="331">
        <v>0.21</v>
      </c>
      <c r="G11352" s="332">
        <v>4755</v>
      </c>
      <c r="H11352" s="333">
        <v>5754</v>
      </c>
    </row>
    <row r="11353" spans="1:8">
      <c r="A11353" s="317">
        <v>2606625032</v>
      </c>
      <c r="B11353" s="330" t="s">
        <v>55709</v>
      </c>
      <c r="C11353" s="330" t="s">
        <v>24831</v>
      </c>
      <c r="D11353" s="330" t="s">
        <v>24832</v>
      </c>
      <c r="E11353" s="330" t="s">
        <v>37248</v>
      </c>
      <c r="F11353" s="331">
        <v>0.21</v>
      </c>
      <c r="G11353" s="332">
        <v>11089</v>
      </c>
      <c r="H11353" s="333">
        <v>13418</v>
      </c>
    </row>
    <row r="11354" spans="1:8">
      <c r="A11354" s="317">
        <v>2606625034</v>
      </c>
      <c r="B11354" s="330" t="s">
        <v>55710</v>
      </c>
      <c r="C11354" s="330" t="s">
        <v>24833</v>
      </c>
      <c r="D11354" s="330" t="s">
        <v>24834</v>
      </c>
      <c r="E11354" s="330" t="s">
        <v>4634</v>
      </c>
      <c r="F11354" s="331">
        <v>0.21</v>
      </c>
      <c r="G11354" s="332">
        <v>5344</v>
      </c>
      <c r="H11354" s="333">
        <v>6467</v>
      </c>
    </row>
    <row r="11355" spans="1:8">
      <c r="A11355" s="317">
        <v>2606625041</v>
      </c>
      <c r="B11355" s="330" t="s">
        <v>55711</v>
      </c>
      <c r="C11355" s="330" t="s">
        <v>24835</v>
      </c>
      <c r="D11355" s="330" t="s">
        <v>24836</v>
      </c>
      <c r="E11355" s="330" t="s">
        <v>37248</v>
      </c>
      <c r="F11355" s="331">
        <v>0.21</v>
      </c>
      <c r="G11355" s="332">
        <v>1063</v>
      </c>
      <c r="H11355" s="333">
        <v>1287</v>
      </c>
    </row>
    <row r="11356" spans="1:8">
      <c r="A11356" s="317">
        <v>2606625900</v>
      </c>
      <c r="B11356" s="330" t="s">
        <v>55712</v>
      </c>
      <c r="C11356" s="330" t="s">
        <v>24837</v>
      </c>
      <c r="D11356" s="330" t="s">
        <v>24838</v>
      </c>
      <c r="E11356" s="330" t="s">
        <v>37248</v>
      </c>
      <c r="F11356" s="331">
        <v>0.21</v>
      </c>
      <c r="G11356" s="332">
        <v>26891</v>
      </c>
      <c r="H11356" s="333">
        <v>32539</v>
      </c>
    </row>
    <row r="11357" spans="1:8">
      <c r="A11357" s="317">
        <v>2606625902</v>
      </c>
      <c r="B11357" s="330" t="s">
        <v>55713</v>
      </c>
      <c r="C11357" s="330" t="s">
        <v>24839</v>
      </c>
      <c r="D11357" s="330" t="s">
        <v>24840</v>
      </c>
      <c r="E11357" s="330" t="s">
        <v>4634</v>
      </c>
      <c r="F11357" s="331">
        <v>0.21</v>
      </c>
      <c r="G11357" s="332">
        <v>3189</v>
      </c>
      <c r="H11357" s="333">
        <v>3859</v>
      </c>
    </row>
    <row r="11358" spans="1:8">
      <c r="A11358" s="317">
        <v>2606625903</v>
      </c>
      <c r="B11358" s="330" t="s">
        <v>55714</v>
      </c>
      <c r="C11358" s="330" t="s">
        <v>24841</v>
      </c>
      <c r="D11358" s="330" t="s">
        <v>24842</v>
      </c>
      <c r="E11358" s="330" t="s">
        <v>4634</v>
      </c>
      <c r="F11358" s="331">
        <v>0.21</v>
      </c>
      <c r="G11358" s="332">
        <v>3966</v>
      </c>
      <c r="H11358" s="333">
        <v>4799</v>
      </c>
    </row>
    <row r="11359" spans="1:8">
      <c r="A11359" s="317">
        <v>2606625904</v>
      </c>
      <c r="B11359" s="330" t="s">
        <v>55715</v>
      </c>
      <c r="C11359" s="330" t="s">
        <v>24843</v>
      </c>
      <c r="D11359" s="330" t="s">
        <v>24844</v>
      </c>
      <c r="E11359" s="330" t="s">
        <v>37248</v>
      </c>
      <c r="F11359" s="331">
        <v>0.21</v>
      </c>
      <c r="G11359" s="332">
        <v>47637</v>
      </c>
      <c r="H11359" s="333">
        <v>57641</v>
      </c>
    </row>
    <row r="11360" spans="1:8">
      <c r="A11360" s="317">
        <v>2606625905</v>
      </c>
      <c r="B11360" s="330" t="s">
        <v>55716</v>
      </c>
      <c r="C11360" s="330" t="s">
        <v>24845</v>
      </c>
      <c r="D11360" s="330" t="s">
        <v>24846</v>
      </c>
      <c r="E11360" s="330" t="s">
        <v>37248</v>
      </c>
      <c r="F11360" s="331">
        <v>0.21</v>
      </c>
      <c r="G11360" s="332">
        <v>40905</v>
      </c>
      <c r="H11360" s="333">
        <v>49496</v>
      </c>
    </row>
    <row r="11361" spans="1:8">
      <c r="A11361" s="317">
        <v>2606625906</v>
      </c>
      <c r="B11361" s="330" t="s">
        <v>55717</v>
      </c>
      <c r="C11361" s="330" t="s">
        <v>24847</v>
      </c>
      <c r="D11361" s="330" t="s">
        <v>24848</v>
      </c>
      <c r="E11361" s="330" t="s">
        <v>4634</v>
      </c>
      <c r="F11361" s="331">
        <v>0.21</v>
      </c>
      <c r="G11361" s="332">
        <v>6946</v>
      </c>
      <c r="H11361" s="333">
        <v>8405</v>
      </c>
    </row>
    <row r="11362" spans="1:8">
      <c r="A11362" s="317">
        <v>2606625907</v>
      </c>
      <c r="B11362" s="330" t="s">
        <v>55718</v>
      </c>
      <c r="C11362" s="330" t="s">
        <v>24849</v>
      </c>
      <c r="D11362" s="330" t="s">
        <v>24850</v>
      </c>
      <c r="E11362" s="330" t="s">
        <v>37248</v>
      </c>
      <c r="F11362" s="331">
        <v>0.21</v>
      </c>
      <c r="G11362" s="332">
        <v>6612</v>
      </c>
      <c r="H11362" s="333">
        <v>8001</v>
      </c>
    </row>
    <row r="11363" spans="1:8">
      <c r="A11363" s="317">
        <v>2606625908</v>
      </c>
      <c r="B11363" s="330" t="s">
        <v>55719</v>
      </c>
      <c r="C11363" s="330" t="s">
        <v>24851</v>
      </c>
      <c r="D11363" s="330" t="s">
        <v>24844</v>
      </c>
      <c r="E11363" s="330" t="s">
        <v>4819</v>
      </c>
      <c r="F11363" s="331">
        <v>0.21</v>
      </c>
      <c r="G11363" s="332">
        <v>55835</v>
      </c>
      <c r="H11363" s="333">
        <v>67561</v>
      </c>
    </row>
    <row r="11364" spans="1:8">
      <c r="A11364" s="317">
        <v>2606625909</v>
      </c>
      <c r="B11364" s="330" t="s">
        <v>55720</v>
      </c>
      <c r="C11364" s="330" t="s">
        <v>24852</v>
      </c>
      <c r="D11364" s="330" t="s">
        <v>24853</v>
      </c>
      <c r="E11364" s="330" t="s">
        <v>4634</v>
      </c>
      <c r="F11364" s="331">
        <v>0.21</v>
      </c>
      <c r="G11364" s="332">
        <v>5559</v>
      </c>
      <c r="H11364" s="333">
        <v>6727</v>
      </c>
    </row>
    <row r="11365" spans="1:8">
      <c r="A11365" s="317">
        <v>2606625910</v>
      </c>
      <c r="B11365" s="330" t="s">
        <v>55721</v>
      </c>
      <c r="C11365" s="330" t="s">
        <v>24854</v>
      </c>
      <c r="D11365" s="330" t="s">
        <v>10540</v>
      </c>
      <c r="E11365" s="330" t="s">
        <v>37248</v>
      </c>
      <c r="F11365" s="331">
        <v>0.21</v>
      </c>
      <c r="G11365" s="332">
        <v>22860</v>
      </c>
      <c r="H11365" s="333">
        <v>27661</v>
      </c>
    </row>
    <row r="11366" spans="1:8">
      <c r="A11366" s="317">
        <v>2607000179</v>
      </c>
      <c r="B11366" s="330" t="s">
        <v>55722</v>
      </c>
      <c r="C11366" s="330" t="s">
        <v>24855</v>
      </c>
      <c r="D11366" s="330" t="s">
        <v>24856</v>
      </c>
      <c r="E11366" s="330" t="s">
        <v>4634</v>
      </c>
      <c r="F11366" s="331">
        <v>0.21</v>
      </c>
      <c r="G11366" s="332">
        <v>1798</v>
      </c>
      <c r="H11366" s="333">
        <v>2176</v>
      </c>
    </row>
    <row r="11367" spans="1:8">
      <c r="A11367" s="317">
        <v>2607000239</v>
      </c>
      <c r="B11367" s="330" t="s">
        <v>55723</v>
      </c>
      <c r="C11367" s="330" t="s">
        <v>24857</v>
      </c>
      <c r="D11367" s="330" t="s">
        <v>24858</v>
      </c>
      <c r="E11367" s="330" t="s">
        <v>4634</v>
      </c>
      <c r="F11367" s="331">
        <v>0.21</v>
      </c>
      <c r="G11367" s="332">
        <v>1367</v>
      </c>
      <c r="H11367" s="333">
        <v>1655</v>
      </c>
    </row>
    <row r="11368" spans="1:8">
      <c r="A11368" s="317">
        <v>2607001018</v>
      </c>
      <c r="B11368" s="330" t="s">
        <v>55724</v>
      </c>
      <c r="C11368" s="330" t="s">
        <v>24859</v>
      </c>
      <c r="D11368" s="330" t="s">
        <v>24860</v>
      </c>
      <c r="E11368" s="330" t="s">
        <v>4634</v>
      </c>
      <c r="F11368" s="331">
        <v>0.21</v>
      </c>
      <c r="G11368" s="332">
        <v>2748</v>
      </c>
      <c r="H11368" s="333">
        <v>3326</v>
      </c>
    </row>
    <row r="11369" spans="1:8">
      <c r="A11369" s="317">
        <v>2607001039</v>
      </c>
      <c r="B11369" s="330" t="s">
        <v>55725</v>
      </c>
      <c r="C11369" s="330" t="s">
        <v>24861</v>
      </c>
      <c r="D11369" s="330" t="s">
        <v>24862</v>
      </c>
      <c r="E11369" s="330" t="s">
        <v>4634</v>
      </c>
      <c r="F11369" s="331">
        <v>0.21</v>
      </c>
      <c r="G11369" s="332">
        <v>191</v>
      </c>
      <c r="H11369" s="333">
        <v>232</v>
      </c>
    </row>
    <row r="11370" spans="1:8">
      <c r="A11370" s="317">
        <v>2607001047</v>
      </c>
      <c r="B11370" s="330" t="s">
        <v>55726</v>
      </c>
      <c r="C11370" s="330" t="s">
        <v>24863</v>
      </c>
      <c r="D11370" s="330" t="s">
        <v>24864</v>
      </c>
      <c r="E11370" s="330" t="s">
        <v>4634</v>
      </c>
      <c r="F11370" s="331">
        <v>0.21</v>
      </c>
      <c r="G11370" s="332">
        <v>2186</v>
      </c>
      <c r="H11370" s="333">
        <v>2646</v>
      </c>
    </row>
    <row r="11371" spans="1:8">
      <c r="A11371" s="317">
        <v>2607001118</v>
      </c>
      <c r="B11371" s="330" t="s">
        <v>55727</v>
      </c>
      <c r="C11371" s="330" t="s">
        <v>24865</v>
      </c>
      <c r="D11371" s="330" t="s">
        <v>24866</v>
      </c>
      <c r="E11371" s="330" t="s">
        <v>4634</v>
      </c>
      <c r="F11371" s="331">
        <v>0.21</v>
      </c>
      <c r="G11371" s="332">
        <v>19604</v>
      </c>
      <c r="H11371" s="333">
        <v>23721</v>
      </c>
    </row>
    <row r="11372" spans="1:8">
      <c r="A11372" s="317">
        <v>2607001126</v>
      </c>
      <c r="B11372" s="330" t="s">
        <v>55728</v>
      </c>
      <c r="C11372" s="330" t="s">
        <v>24867</v>
      </c>
      <c r="D11372" s="330" t="s">
        <v>24868</v>
      </c>
      <c r="E11372" s="330" t="s">
        <v>4634</v>
      </c>
      <c r="F11372" s="331">
        <v>0.21</v>
      </c>
      <c r="G11372" s="332">
        <v>1450</v>
      </c>
      <c r="H11372" s="333">
        <v>1755</v>
      </c>
    </row>
    <row r="11373" spans="1:8">
      <c r="A11373" s="317">
        <v>2607001130</v>
      </c>
      <c r="B11373" s="330" t="s">
        <v>55729</v>
      </c>
      <c r="C11373" s="330" t="s">
        <v>24869</v>
      </c>
      <c r="D11373" s="330" t="s">
        <v>24870</v>
      </c>
      <c r="E11373" s="330" t="s">
        <v>4819</v>
      </c>
      <c r="F11373" s="331">
        <v>0.21</v>
      </c>
      <c r="G11373" s="332">
        <v>9973</v>
      </c>
      <c r="H11373" s="333">
        <v>12068</v>
      </c>
    </row>
    <row r="11374" spans="1:8">
      <c r="A11374" s="317">
        <v>2607001239</v>
      </c>
      <c r="B11374" s="330" t="s">
        <v>55730</v>
      </c>
      <c r="C11374" s="330" t="s">
        <v>24871</v>
      </c>
      <c r="D11374" s="330" t="s">
        <v>24872</v>
      </c>
      <c r="E11374" s="330" t="s">
        <v>4634</v>
      </c>
      <c r="F11374" s="331">
        <v>0.21</v>
      </c>
      <c r="G11374" s="332">
        <v>14832</v>
      </c>
      <c r="H11374" s="333">
        <v>17947</v>
      </c>
    </row>
    <row r="11375" spans="1:8">
      <c r="A11375" s="317">
        <v>2607001272</v>
      </c>
      <c r="B11375" s="330" t="s">
        <v>55731</v>
      </c>
      <c r="C11375" s="330" t="s">
        <v>24873</v>
      </c>
      <c r="D11375" s="330" t="s">
        <v>24874</v>
      </c>
      <c r="E11375" s="330" t="s">
        <v>4634</v>
      </c>
      <c r="F11375" s="331">
        <v>0.21</v>
      </c>
      <c r="G11375" s="332">
        <v>17245</v>
      </c>
      <c r="H11375" s="333">
        <v>20867</v>
      </c>
    </row>
    <row r="11376" spans="1:8">
      <c r="A11376" s="317">
        <v>2607001273</v>
      </c>
      <c r="B11376" s="330" t="s">
        <v>55732</v>
      </c>
      <c r="C11376" s="330" t="s">
        <v>24875</v>
      </c>
      <c r="D11376" s="330" t="s">
        <v>24876</v>
      </c>
      <c r="E11376" s="330" t="s">
        <v>4634</v>
      </c>
      <c r="F11376" s="331">
        <v>0.21</v>
      </c>
      <c r="G11376" s="332">
        <v>11555</v>
      </c>
      <c r="H11376" s="333">
        <v>13982</v>
      </c>
    </row>
    <row r="11377" spans="1:8">
      <c r="A11377" s="317">
        <v>2607001305</v>
      </c>
      <c r="B11377" s="330" t="s">
        <v>55733</v>
      </c>
      <c r="C11377" s="330" t="s">
        <v>24877</v>
      </c>
      <c r="D11377" s="330" t="s">
        <v>24878</v>
      </c>
      <c r="E11377" s="330" t="s">
        <v>4634</v>
      </c>
      <c r="F11377" s="331">
        <v>0.21</v>
      </c>
      <c r="G11377" s="332">
        <v>791</v>
      </c>
      <c r="H11377" s="333">
        <v>958</v>
      </c>
    </row>
    <row r="11378" spans="1:8">
      <c r="A11378" s="317">
        <v>2607001315</v>
      </c>
      <c r="B11378" s="330" t="s">
        <v>55734</v>
      </c>
      <c r="C11378" s="330" t="s">
        <v>24879</v>
      </c>
      <c r="D11378" s="330" t="s">
        <v>24880</v>
      </c>
      <c r="E11378" s="330" t="s">
        <v>4634</v>
      </c>
      <c r="F11378" s="331">
        <v>0.21</v>
      </c>
      <c r="G11378" s="332">
        <v>21002</v>
      </c>
      <c r="H11378" s="333">
        <v>25413</v>
      </c>
    </row>
    <row r="11379" spans="1:8">
      <c r="A11379" s="317">
        <v>2607001338</v>
      </c>
      <c r="B11379" s="330" t="s">
        <v>55735</v>
      </c>
      <c r="C11379" s="330" t="s">
        <v>24881</v>
      </c>
      <c r="D11379" s="330" t="s">
        <v>24882</v>
      </c>
      <c r="E11379" s="330" t="s">
        <v>4634</v>
      </c>
      <c r="F11379" s="331">
        <v>0.21</v>
      </c>
      <c r="G11379" s="332">
        <v>14832</v>
      </c>
      <c r="H11379" s="333">
        <v>17947</v>
      </c>
    </row>
    <row r="11380" spans="1:8">
      <c r="A11380" s="317">
        <v>2607001443</v>
      </c>
      <c r="B11380" s="330" t="s">
        <v>55736</v>
      </c>
      <c r="C11380" s="330" t="s">
        <v>24883</v>
      </c>
      <c r="D11380" s="330" t="s">
        <v>24884</v>
      </c>
      <c r="E11380" s="330" t="s">
        <v>4819</v>
      </c>
      <c r="F11380" s="331">
        <v>0.21</v>
      </c>
      <c r="G11380" s="332">
        <v>3084</v>
      </c>
      <c r="H11380" s="333">
        <v>3732</v>
      </c>
    </row>
    <row r="11381" spans="1:8">
      <c r="A11381" s="317">
        <v>2607001903</v>
      </c>
      <c r="B11381" s="330" t="s">
        <v>55737</v>
      </c>
      <c r="C11381" s="330" t="s">
        <v>24885</v>
      </c>
      <c r="D11381" s="330" t="s">
        <v>24886</v>
      </c>
      <c r="E11381" s="330" t="s">
        <v>4634</v>
      </c>
      <c r="F11381" s="331">
        <v>0.21</v>
      </c>
      <c r="G11381" s="332">
        <v>15307</v>
      </c>
      <c r="H11381" s="333">
        <v>18522</v>
      </c>
    </row>
    <row r="11382" spans="1:8">
      <c r="A11382" s="317">
        <v>2607010004</v>
      </c>
      <c r="B11382" s="330" t="s">
        <v>55738</v>
      </c>
      <c r="C11382" s="330" t="s">
        <v>24887</v>
      </c>
      <c r="D11382" s="330" t="s">
        <v>24888</v>
      </c>
      <c r="E11382" s="330" t="s">
        <v>4634</v>
      </c>
      <c r="F11382" s="331">
        <v>0.21</v>
      </c>
      <c r="G11382" s="332">
        <v>840</v>
      </c>
      <c r="H11382" s="333">
        <v>1017</v>
      </c>
    </row>
    <row r="11383" spans="1:8">
      <c r="A11383" s="317">
        <v>2607014001</v>
      </c>
      <c r="B11383" s="330" t="s">
        <v>55739</v>
      </c>
      <c r="C11383" s="330" t="s">
        <v>24889</v>
      </c>
      <c r="D11383" s="330" t="s">
        <v>24890</v>
      </c>
      <c r="E11383" s="330" t="s">
        <v>4634</v>
      </c>
      <c r="F11383" s="331">
        <v>0.21</v>
      </c>
      <c r="G11383" s="332">
        <v>3131</v>
      </c>
      <c r="H11383" s="333">
        <v>3789</v>
      </c>
    </row>
    <row r="11384" spans="1:8">
      <c r="A11384" s="317">
        <v>2607014004</v>
      </c>
      <c r="B11384" s="330" t="s">
        <v>55740</v>
      </c>
      <c r="C11384" s="330" t="s">
        <v>24891</v>
      </c>
      <c r="D11384" s="330" t="s">
        <v>24892</v>
      </c>
      <c r="E11384" s="330" t="s">
        <v>4634</v>
      </c>
      <c r="F11384" s="331">
        <v>0.21</v>
      </c>
      <c r="G11384" s="332">
        <v>1735</v>
      </c>
      <c r="H11384" s="333">
        <v>2100</v>
      </c>
    </row>
    <row r="11385" spans="1:8">
      <c r="A11385" s="317">
        <v>2607014005</v>
      </c>
      <c r="B11385" s="330" t="s">
        <v>55741</v>
      </c>
      <c r="C11385" s="330" t="s">
        <v>24893</v>
      </c>
      <c r="D11385" s="330" t="s">
        <v>24894</v>
      </c>
      <c r="E11385" s="330" t="s">
        <v>4623</v>
      </c>
      <c r="F11385" s="331">
        <v>0.21</v>
      </c>
      <c r="G11385" s="332">
        <v>8327</v>
      </c>
      <c r="H11385" s="333">
        <v>10076</v>
      </c>
    </row>
    <row r="11386" spans="1:8">
      <c r="A11386" s="317">
        <v>2607014007</v>
      </c>
      <c r="B11386" s="330" t="s">
        <v>55742</v>
      </c>
      <c r="C11386" s="330" t="s">
        <v>24895</v>
      </c>
      <c r="D11386" s="330" t="s">
        <v>24896</v>
      </c>
      <c r="E11386" s="330" t="s">
        <v>4634</v>
      </c>
      <c r="F11386" s="331">
        <v>0.21</v>
      </c>
      <c r="G11386" s="332">
        <v>3283</v>
      </c>
      <c r="H11386" s="333">
        <v>3973</v>
      </c>
    </row>
    <row r="11387" spans="1:8">
      <c r="A11387" s="317">
        <v>2607014010</v>
      </c>
      <c r="B11387" s="330" t="s">
        <v>55743</v>
      </c>
      <c r="C11387" s="330" t="s">
        <v>24897</v>
      </c>
      <c r="D11387" s="330" t="s">
        <v>24898</v>
      </c>
      <c r="E11387" s="330" t="s">
        <v>4634</v>
      </c>
      <c r="F11387" s="331">
        <v>0.21</v>
      </c>
      <c r="G11387" s="332">
        <v>1603</v>
      </c>
      <c r="H11387" s="333">
        <v>1940</v>
      </c>
    </row>
    <row r="11388" spans="1:8">
      <c r="A11388" s="317">
        <v>2607014011</v>
      </c>
      <c r="B11388" s="330" t="s">
        <v>55744</v>
      </c>
      <c r="C11388" s="330" t="s">
        <v>24899</v>
      </c>
      <c r="D11388" s="330" t="s">
        <v>24900</v>
      </c>
      <c r="E11388" s="330" t="s">
        <v>4634</v>
      </c>
      <c r="F11388" s="331">
        <v>0.21</v>
      </c>
      <c r="G11388" s="332">
        <v>794</v>
      </c>
      <c r="H11388" s="333">
        <v>961</v>
      </c>
    </row>
    <row r="11389" spans="1:8">
      <c r="A11389" s="317">
        <v>2607014014</v>
      </c>
      <c r="B11389" s="330" t="s">
        <v>55745</v>
      </c>
      <c r="C11389" s="330" t="s">
        <v>24901</v>
      </c>
      <c r="D11389" s="330" t="s">
        <v>24902</v>
      </c>
      <c r="E11389" s="330" t="s">
        <v>4819</v>
      </c>
      <c r="F11389" s="331">
        <v>0.21</v>
      </c>
      <c r="G11389" s="332">
        <v>10580</v>
      </c>
      <c r="H11389" s="333">
        <v>12802</v>
      </c>
    </row>
    <row r="11390" spans="1:8">
      <c r="A11390" s="317">
        <v>2607014016</v>
      </c>
      <c r="B11390" s="330" t="s">
        <v>55746</v>
      </c>
      <c r="C11390" s="330" t="s">
        <v>24903</v>
      </c>
      <c r="D11390" s="330" t="s">
        <v>24904</v>
      </c>
      <c r="E11390" s="330" t="s">
        <v>4819</v>
      </c>
      <c r="F11390" s="331">
        <v>0.21</v>
      </c>
      <c r="G11390" s="332">
        <v>11599</v>
      </c>
      <c r="H11390" s="333">
        <v>14035</v>
      </c>
    </row>
    <row r="11391" spans="1:8">
      <c r="A11391" s="317">
        <v>2607020396</v>
      </c>
      <c r="B11391" s="330" t="s">
        <v>55747</v>
      </c>
      <c r="C11391" s="330" t="s">
        <v>24905</v>
      </c>
      <c r="D11391" s="330" t="s">
        <v>24906</v>
      </c>
      <c r="E11391" s="330" t="s">
        <v>37248</v>
      </c>
      <c r="F11391" s="331">
        <v>0.21</v>
      </c>
      <c r="G11391" s="332">
        <v>24116</v>
      </c>
      <c r="H11391" s="333">
        <v>29181</v>
      </c>
    </row>
    <row r="11392" spans="1:8">
      <c r="A11392" s="317">
        <v>2607022083</v>
      </c>
      <c r="B11392" s="330" t="s">
        <v>55748</v>
      </c>
      <c r="C11392" s="330" t="s">
        <v>24907</v>
      </c>
      <c r="D11392" s="330" t="s">
        <v>24908</v>
      </c>
      <c r="E11392" s="330" t="s">
        <v>4634</v>
      </c>
      <c r="F11392" s="331">
        <v>0.21</v>
      </c>
      <c r="G11392" s="332">
        <v>19864</v>
      </c>
      <c r="H11392" s="333">
        <v>24036</v>
      </c>
    </row>
    <row r="11393" spans="1:8">
      <c r="A11393" s="317">
        <v>2607022319</v>
      </c>
      <c r="B11393" s="330" t="s">
        <v>55749</v>
      </c>
      <c r="C11393" s="330" t="s">
        <v>24909</v>
      </c>
      <c r="D11393" s="330" t="s">
        <v>24910</v>
      </c>
      <c r="E11393" s="330" t="s">
        <v>4634</v>
      </c>
      <c r="F11393" s="331">
        <v>0.21</v>
      </c>
      <c r="G11393" s="332">
        <v>18546</v>
      </c>
      <c r="H11393" s="333">
        <v>22441</v>
      </c>
    </row>
    <row r="11394" spans="1:8">
      <c r="A11394" s="317">
        <v>2607022831</v>
      </c>
      <c r="B11394" s="330" t="s">
        <v>55750</v>
      </c>
      <c r="C11394" s="330" t="s">
        <v>24911</v>
      </c>
      <c r="D11394" s="330" t="s">
        <v>24912</v>
      </c>
      <c r="E11394" s="330" t="s">
        <v>4819</v>
      </c>
      <c r="F11394" s="331">
        <v>0.21</v>
      </c>
      <c r="G11394" s="332">
        <v>74558</v>
      </c>
      <c r="H11394" s="333">
        <v>90216</v>
      </c>
    </row>
    <row r="11395" spans="1:8">
      <c r="A11395" s="317">
        <v>2607022832</v>
      </c>
      <c r="B11395" s="330" t="s">
        <v>55751</v>
      </c>
      <c r="C11395" s="330" t="s">
        <v>24913</v>
      </c>
      <c r="D11395" s="330" t="s">
        <v>24914</v>
      </c>
      <c r="E11395" s="330" t="s">
        <v>37248</v>
      </c>
      <c r="F11395" s="331">
        <v>0.21</v>
      </c>
      <c r="G11395" s="332">
        <v>100866</v>
      </c>
      <c r="H11395" s="333">
        <v>122048</v>
      </c>
    </row>
    <row r="11396" spans="1:8">
      <c r="A11396" s="317">
        <v>2607022833</v>
      </c>
      <c r="B11396" s="330" t="s">
        <v>55752</v>
      </c>
      <c r="C11396" s="330" t="s">
        <v>24915</v>
      </c>
      <c r="D11396" s="330" t="s">
        <v>24916</v>
      </c>
      <c r="E11396" s="330" t="s">
        <v>37248</v>
      </c>
      <c r="F11396" s="331">
        <v>0.21</v>
      </c>
      <c r="G11396" s="332">
        <v>79995</v>
      </c>
      <c r="H11396" s="333">
        <v>96794</v>
      </c>
    </row>
    <row r="11397" spans="1:8">
      <c r="A11397" s="317">
        <v>2607022838</v>
      </c>
      <c r="B11397" s="330" t="s">
        <v>55753</v>
      </c>
      <c r="C11397" s="330" t="s">
        <v>24917</v>
      </c>
      <c r="D11397" s="330" t="s">
        <v>24918</v>
      </c>
      <c r="E11397" s="330" t="s">
        <v>4819</v>
      </c>
      <c r="F11397" s="331">
        <v>0.21</v>
      </c>
      <c r="G11397" s="332">
        <v>46609</v>
      </c>
      <c r="H11397" s="333">
        <v>56397</v>
      </c>
    </row>
    <row r="11398" spans="1:8">
      <c r="A11398" s="317">
        <v>2607022840</v>
      </c>
      <c r="B11398" s="330" t="s">
        <v>55754</v>
      </c>
      <c r="C11398" s="330" t="s">
        <v>24919</v>
      </c>
      <c r="D11398" s="330" t="s">
        <v>24920</v>
      </c>
      <c r="E11398" s="330" t="s">
        <v>4819</v>
      </c>
      <c r="F11398" s="331">
        <v>0.21</v>
      </c>
      <c r="G11398" s="332">
        <v>47754</v>
      </c>
      <c r="H11398" s="333">
        <v>57783</v>
      </c>
    </row>
    <row r="11399" spans="1:8">
      <c r="A11399" s="317">
        <v>2607022842</v>
      </c>
      <c r="B11399" s="330" t="s">
        <v>55755</v>
      </c>
      <c r="C11399" s="330" t="s">
        <v>24921</v>
      </c>
      <c r="D11399" s="330" t="s">
        <v>24922</v>
      </c>
      <c r="E11399" s="330" t="s">
        <v>4634</v>
      </c>
      <c r="F11399" s="331">
        <v>0.21</v>
      </c>
      <c r="G11399" s="332">
        <v>9373</v>
      </c>
      <c r="H11399" s="333">
        <v>11342</v>
      </c>
    </row>
    <row r="11400" spans="1:8">
      <c r="A11400" s="317">
        <v>2607022862</v>
      </c>
      <c r="B11400" s="330" t="s">
        <v>55756</v>
      </c>
      <c r="C11400" s="330" t="s">
        <v>24923</v>
      </c>
      <c r="D11400" s="330" t="s">
        <v>24924</v>
      </c>
      <c r="E11400" s="330" t="s">
        <v>4634</v>
      </c>
      <c r="F11400" s="331">
        <v>0.21</v>
      </c>
      <c r="G11400" s="332">
        <v>86536</v>
      </c>
      <c r="H11400" s="333">
        <v>104709</v>
      </c>
    </row>
    <row r="11401" spans="1:8">
      <c r="A11401" s="317">
        <v>2607022871</v>
      </c>
      <c r="B11401" s="330" t="s">
        <v>55757</v>
      </c>
      <c r="C11401" s="330" t="s">
        <v>24925</v>
      </c>
      <c r="D11401" s="330" t="s">
        <v>24926</v>
      </c>
      <c r="E11401" s="330" t="s">
        <v>4634</v>
      </c>
      <c r="F11401" s="331">
        <v>0.21</v>
      </c>
      <c r="G11401" s="332">
        <v>12924</v>
      </c>
      <c r="H11401" s="333">
        <v>15639</v>
      </c>
    </row>
    <row r="11402" spans="1:8">
      <c r="A11402" s="317">
        <v>2607022881</v>
      </c>
      <c r="B11402" s="330" t="s">
        <v>55758</v>
      </c>
      <c r="C11402" s="330" t="s">
        <v>24927</v>
      </c>
      <c r="D11402" s="330" t="s">
        <v>24928</v>
      </c>
      <c r="E11402" s="330" t="s">
        <v>4634</v>
      </c>
      <c r="F11402" s="331">
        <v>0.21</v>
      </c>
      <c r="G11402" s="332">
        <v>22514</v>
      </c>
      <c r="H11402" s="333">
        <v>27242</v>
      </c>
    </row>
    <row r="11403" spans="1:8">
      <c r="A11403" s="317">
        <v>2607022887</v>
      </c>
      <c r="B11403" s="330" t="s">
        <v>55759</v>
      </c>
      <c r="C11403" s="330" t="s">
        <v>24929</v>
      </c>
      <c r="D11403" s="330" t="s">
        <v>24930</v>
      </c>
      <c r="E11403" s="330" t="s">
        <v>4634</v>
      </c>
      <c r="F11403" s="331">
        <v>0.21</v>
      </c>
      <c r="G11403" s="332">
        <v>21741</v>
      </c>
      <c r="H11403" s="333">
        <v>26307</v>
      </c>
    </row>
    <row r="11404" spans="1:8">
      <c r="A11404" s="317">
        <v>2607022888</v>
      </c>
      <c r="B11404" s="330" t="s">
        <v>55760</v>
      </c>
      <c r="C11404" s="330" t="s">
        <v>24931</v>
      </c>
      <c r="D11404" s="330" t="s">
        <v>24932</v>
      </c>
      <c r="E11404" s="330" t="s">
        <v>4634</v>
      </c>
      <c r="F11404" s="331">
        <v>0.21</v>
      </c>
      <c r="G11404" s="332">
        <v>18504</v>
      </c>
      <c r="H11404" s="333">
        <v>22390</v>
      </c>
    </row>
    <row r="11405" spans="1:8">
      <c r="A11405" s="317">
        <v>2607022892</v>
      </c>
      <c r="B11405" s="330" t="s">
        <v>55761</v>
      </c>
      <c r="C11405" s="330" t="s">
        <v>24933</v>
      </c>
      <c r="D11405" s="330" t="s">
        <v>24934</v>
      </c>
      <c r="E11405" s="330" t="s">
        <v>4634</v>
      </c>
      <c r="F11405" s="331">
        <v>0.21</v>
      </c>
      <c r="G11405" s="332">
        <v>20967</v>
      </c>
      <c r="H11405" s="333">
        <v>25371</v>
      </c>
    </row>
    <row r="11406" spans="1:8">
      <c r="A11406" s="317">
        <v>2607022900</v>
      </c>
      <c r="B11406" s="330" t="s">
        <v>55762</v>
      </c>
      <c r="C11406" s="330" t="s">
        <v>24935</v>
      </c>
      <c r="D11406" s="330" t="s">
        <v>7867</v>
      </c>
      <c r="E11406" s="330" t="s">
        <v>4634</v>
      </c>
      <c r="F11406" s="331">
        <v>0.21</v>
      </c>
      <c r="G11406" s="332">
        <v>4876</v>
      </c>
      <c r="H11406" s="333">
        <v>5900</v>
      </c>
    </row>
    <row r="11407" spans="1:8">
      <c r="A11407" s="317">
        <v>2607022902</v>
      </c>
      <c r="B11407" s="330" t="s">
        <v>55763</v>
      </c>
      <c r="C11407" s="330" t="s">
        <v>24936</v>
      </c>
      <c r="D11407" s="330" t="s">
        <v>24937</v>
      </c>
      <c r="E11407" s="330" t="s">
        <v>4634</v>
      </c>
      <c r="F11407" s="331">
        <v>0.21</v>
      </c>
      <c r="G11407" s="332">
        <v>4650</v>
      </c>
      <c r="H11407" s="333">
        <v>5627</v>
      </c>
    </row>
    <row r="11408" spans="1:8">
      <c r="A11408" s="317">
        <v>2607022905</v>
      </c>
      <c r="B11408" s="330" t="s">
        <v>55764</v>
      </c>
      <c r="C11408" s="330" t="s">
        <v>24938</v>
      </c>
      <c r="D11408" s="330" t="s">
        <v>24939</v>
      </c>
      <c r="E11408" s="330" t="s">
        <v>4634</v>
      </c>
      <c r="F11408" s="331">
        <v>0.21</v>
      </c>
      <c r="G11408" s="332">
        <v>4650</v>
      </c>
      <c r="H11408" s="333">
        <v>5627</v>
      </c>
    </row>
    <row r="11409" spans="1:8">
      <c r="A11409" s="317">
        <v>2607022929</v>
      </c>
      <c r="B11409" s="330" t="s">
        <v>55765</v>
      </c>
      <c r="C11409" s="330" t="s">
        <v>24940</v>
      </c>
      <c r="D11409" s="330" t="s">
        <v>24941</v>
      </c>
      <c r="E11409" s="330" t="s">
        <v>4634</v>
      </c>
      <c r="F11409" s="331">
        <v>0.21</v>
      </c>
      <c r="G11409" s="332">
        <v>10033</v>
      </c>
      <c r="H11409" s="333">
        <v>12140</v>
      </c>
    </row>
    <row r="11410" spans="1:8">
      <c r="A11410" s="317">
        <v>2607022934</v>
      </c>
      <c r="B11410" s="330" t="s">
        <v>55766</v>
      </c>
      <c r="C11410" s="330" t="s">
        <v>24942</v>
      </c>
      <c r="D11410" s="330" t="s">
        <v>24943</v>
      </c>
      <c r="E11410" s="330" t="s">
        <v>4634</v>
      </c>
      <c r="F11410" s="331">
        <v>0.21</v>
      </c>
      <c r="G11410" s="332">
        <v>7869</v>
      </c>
      <c r="H11410" s="333">
        <v>9522</v>
      </c>
    </row>
    <row r="11411" spans="1:8">
      <c r="A11411" s="317">
        <v>2607022941</v>
      </c>
      <c r="B11411" s="330" t="s">
        <v>55767</v>
      </c>
      <c r="C11411" s="330" t="s">
        <v>24944</v>
      </c>
      <c r="D11411" s="330" t="s">
        <v>24945</v>
      </c>
      <c r="E11411" s="330" t="s">
        <v>4634</v>
      </c>
      <c r="F11411" s="331">
        <v>0.21</v>
      </c>
      <c r="G11411" s="332">
        <v>5677</v>
      </c>
      <c r="H11411" s="333">
        <v>6870</v>
      </c>
    </row>
    <row r="11412" spans="1:8">
      <c r="A11412" s="317">
        <v>2607022943</v>
      </c>
      <c r="B11412" s="330" t="s">
        <v>55768</v>
      </c>
      <c r="C11412" s="330" t="s">
        <v>24946</v>
      </c>
      <c r="D11412" s="330" t="s">
        <v>24947</v>
      </c>
      <c r="E11412" s="330" t="s">
        <v>4634</v>
      </c>
      <c r="F11412" s="331">
        <v>0.21</v>
      </c>
      <c r="G11412" s="332">
        <v>742</v>
      </c>
      <c r="H11412" s="333">
        <v>898</v>
      </c>
    </row>
    <row r="11413" spans="1:8">
      <c r="A11413" s="317">
        <v>2607022949</v>
      </c>
      <c r="B11413" s="330" t="s">
        <v>55769</v>
      </c>
      <c r="C11413" s="330" t="s">
        <v>24948</v>
      </c>
      <c r="D11413" s="330" t="s">
        <v>24949</v>
      </c>
      <c r="E11413" s="330" t="s">
        <v>4634</v>
      </c>
      <c r="F11413" s="331">
        <v>0.21</v>
      </c>
      <c r="G11413" s="332">
        <v>5626</v>
      </c>
      <c r="H11413" s="333">
        <v>6808</v>
      </c>
    </row>
    <row r="11414" spans="1:8">
      <c r="A11414" s="317">
        <v>2607022957</v>
      </c>
      <c r="B11414" s="330" t="s">
        <v>55770</v>
      </c>
      <c r="C11414" s="330" t="s">
        <v>24950</v>
      </c>
      <c r="D11414" s="330" t="s">
        <v>24951</v>
      </c>
      <c r="E11414" s="330" t="s">
        <v>4623</v>
      </c>
      <c r="F11414" s="331">
        <v>0.21</v>
      </c>
      <c r="G11414" s="332">
        <v>35712</v>
      </c>
      <c r="H11414" s="333">
        <v>43212</v>
      </c>
    </row>
    <row r="11415" spans="1:8">
      <c r="A11415" s="317">
        <v>2607022961</v>
      </c>
      <c r="B11415" s="330" t="s">
        <v>55771</v>
      </c>
      <c r="C11415" s="330" t="s">
        <v>24952</v>
      </c>
      <c r="D11415" s="330" t="s">
        <v>24953</v>
      </c>
      <c r="E11415" s="330" t="s">
        <v>4634</v>
      </c>
      <c r="F11415" s="331">
        <v>0.21</v>
      </c>
      <c r="G11415" s="332">
        <v>15077</v>
      </c>
      <c r="H11415" s="333">
        <v>18244</v>
      </c>
    </row>
    <row r="11416" spans="1:8">
      <c r="A11416" s="317">
        <v>2607022962</v>
      </c>
      <c r="B11416" s="330" t="s">
        <v>55772</v>
      </c>
      <c r="C11416" s="330" t="s">
        <v>24954</v>
      </c>
      <c r="D11416" s="330" t="s">
        <v>24955</v>
      </c>
      <c r="E11416" s="330" t="s">
        <v>4634</v>
      </c>
      <c r="F11416" s="331">
        <v>0.21</v>
      </c>
      <c r="G11416" s="332">
        <v>6379</v>
      </c>
      <c r="H11416" s="333">
        <v>7719</v>
      </c>
    </row>
    <row r="11417" spans="1:8">
      <c r="A11417" s="317">
        <v>2607022969</v>
      </c>
      <c r="B11417" s="330" t="s">
        <v>55773</v>
      </c>
      <c r="C11417" s="330" t="s">
        <v>24956</v>
      </c>
      <c r="D11417" s="330" t="s">
        <v>24957</v>
      </c>
      <c r="E11417" s="330" t="s">
        <v>4634</v>
      </c>
      <c r="F11417" s="331">
        <v>0.21</v>
      </c>
      <c r="G11417" s="332">
        <v>12525</v>
      </c>
      <c r="H11417" s="333">
        <v>15156</v>
      </c>
    </row>
    <row r="11418" spans="1:8">
      <c r="A11418" s="317">
        <v>2607022974</v>
      </c>
      <c r="B11418" s="330" t="s">
        <v>55774</v>
      </c>
      <c r="C11418" s="330" t="s">
        <v>24958</v>
      </c>
      <c r="D11418" s="330" t="s">
        <v>24959</v>
      </c>
      <c r="E11418" s="330" t="s">
        <v>4634</v>
      </c>
      <c r="F11418" s="331">
        <v>0.21</v>
      </c>
      <c r="G11418" s="332">
        <v>19864</v>
      </c>
      <c r="H11418" s="333">
        <v>24036</v>
      </c>
    </row>
    <row r="11419" spans="1:8">
      <c r="A11419" s="317">
        <v>2607022975</v>
      </c>
      <c r="B11419" s="330" t="s">
        <v>55775</v>
      </c>
      <c r="C11419" s="330" t="s">
        <v>24960</v>
      </c>
      <c r="D11419" s="330" t="s">
        <v>24961</v>
      </c>
      <c r="E11419" s="330" t="s">
        <v>4634</v>
      </c>
      <c r="F11419" s="331">
        <v>0.21</v>
      </c>
      <c r="G11419" s="332">
        <v>26035</v>
      </c>
      <c r="H11419" s="333">
        <v>31503</v>
      </c>
    </row>
    <row r="11420" spans="1:8">
      <c r="A11420" s="317">
        <v>2607022978</v>
      </c>
      <c r="B11420" s="330" t="s">
        <v>55776</v>
      </c>
      <c r="C11420" s="330" t="s">
        <v>24962</v>
      </c>
      <c r="D11420" s="330" t="s">
        <v>24963</v>
      </c>
      <c r="E11420" s="330" t="s">
        <v>4634</v>
      </c>
      <c r="F11420" s="331">
        <v>0.21</v>
      </c>
      <c r="G11420" s="332">
        <v>7869</v>
      </c>
      <c r="H11420" s="333">
        <v>9522</v>
      </c>
    </row>
    <row r="11421" spans="1:8">
      <c r="A11421" s="317">
        <v>2607022988</v>
      </c>
      <c r="B11421" s="330" t="s">
        <v>55777</v>
      </c>
      <c r="C11421" s="330" t="s">
        <v>24964</v>
      </c>
      <c r="D11421" s="330" t="s">
        <v>24965</v>
      </c>
      <c r="E11421" s="330" t="s">
        <v>4634</v>
      </c>
      <c r="F11421" s="331">
        <v>0.21</v>
      </c>
      <c r="G11421" s="332">
        <v>24712</v>
      </c>
      <c r="H11421" s="333">
        <v>29902</v>
      </c>
    </row>
    <row r="11422" spans="1:8">
      <c r="A11422" s="317">
        <v>2607022990</v>
      </c>
      <c r="B11422" s="330" t="s">
        <v>55778</v>
      </c>
      <c r="C11422" s="330" t="s">
        <v>24966</v>
      </c>
      <c r="D11422" s="330" t="s">
        <v>24967</v>
      </c>
      <c r="E11422" s="330" t="s">
        <v>4634</v>
      </c>
      <c r="F11422" s="331">
        <v>0.21</v>
      </c>
      <c r="G11422" s="332">
        <v>10033</v>
      </c>
      <c r="H11422" s="333">
        <v>12140</v>
      </c>
    </row>
    <row r="11423" spans="1:8">
      <c r="A11423" s="317">
        <v>2607034900</v>
      </c>
      <c r="B11423" s="330" t="s">
        <v>55779</v>
      </c>
      <c r="C11423" s="330" t="s">
        <v>24968</v>
      </c>
      <c r="D11423" s="330" t="s">
        <v>24969</v>
      </c>
      <c r="E11423" s="330" t="s">
        <v>4634</v>
      </c>
      <c r="F11423" s="331">
        <v>0.21</v>
      </c>
      <c r="G11423" s="332">
        <v>9870</v>
      </c>
      <c r="H11423" s="333">
        <v>11943</v>
      </c>
    </row>
    <row r="11424" spans="1:8">
      <c r="A11424" s="317">
        <v>2607034901</v>
      </c>
      <c r="B11424" s="330" t="s">
        <v>55780</v>
      </c>
      <c r="C11424" s="330" t="s">
        <v>24970</v>
      </c>
      <c r="D11424" s="330" t="s">
        <v>24971</v>
      </c>
      <c r="E11424" s="330" t="s">
        <v>4634</v>
      </c>
      <c r="F11424" s="331">
        <v>0.21</v>
      </c>
      <c r="G11424" s="332">
        <v>3745</v>
      </c>
      <c r="H11424" s="333">
        <v>4532</v>
      </c>
    </row>
    <row r="11425" spans="1:8">
      <c r="A11425" s="317">
        <v>2607034902</v>
      </c>
      <c r="B11425" s="330" t="s">
        <v>55781</v>
      </c>
      <c r="C11425" s="330" t="s">
        <v>24972</v>
      </c>
      <c r="D11425" s="330" t="s">
        <v>24973</v>
      </c>
      <c r="E11425" s="330" t="s">
        <v>4634</v>
      </c>
      <c r="F11425" s="331">
        <v>0.21</v>
      </c>
      <c r="G11425" s="332">
        <v>10977</v>
      </c>
      <c r="H11425" s="333">
        <v>13283</v>
      </c>
    </row>
    <row r="11426" spans="1:8">
      <c r="A11426" s="317">
        <v>2607034904</v>
      </c>
      <c r="B11426" s="330" t="s">
        <v>55782</v>
      </c>
      <c r="C11426" s="330" t="s">
        <v>24974</v>
      </c>
      <c r="D11426" s="330" t="s">
        <v>24975</v>
      </c>
      <c r="E11426" s="330" t="s">
        <v>37248</v>
      </c>
      <c r="F11426" s="331">
        <v>0.21</v>
      </c>
      <c r="G11426" s="332">
        <v>11626</v>
      </c>
      <c r="H11426" s="333">
        <v>14068</v>
      </c>
    </row>
    <row r="11427" spans="1:8">
      <c r="A11427" s="317">
        <v>2607200039</v>
      </c>
      <c r="B11427" s="330" t="s">
        <v>55783</v>
      </c>
      <c r="C11427" s="330" t="s">
        <v>24976</v>
      </c>
      <c r="D11427" s="330" t="s">
        <v>24977</v>
      </c>
      <c r="E11427" s="330" t="s">
        <v>4634</v>
      </c>
      <c r="F11427" s="331">
        <v>0.21</v>
      </c>
      <c r="G11427" s="332">
        <v>403</v>
      </c>
      <c r="H11427" s="333">
        <v>488</v>
      </c>
    </row>
    <row r="11428" spans="1:8">
      <c r="A11428" s="317">
        <v>2607200045</v>
      </c>
      <c r="B11428" s="330" t="s">
        <v>55784</v>
      </c>
      <c r="C11428" s="330" t="s">
        <v>24978</v>
      </c>
      <c r="D11428" s="330" t="s">
        <v>24979</v>
      </c>
      <c r="E11428" s="330" t="s">
        <v>4634</v>
      </c>
      <c r="F11428" s="331">
        <v>0.21</v>
      </c>
      <c r="G11428" s="332">
        <v>4004</v>
      </c>
      <c r="H11428" s="333">
        <v>4845</v>
      </c>
    </row>
    <row r="11429" spans="1:8">
      <c r="A11429" s="317">
        <v>2607200048</v>
      </c>
      <c r="B11429" s="330" t="s">
        <v>55785</v>
      </c>
      <c r="C11429" s="330" t="s">
        <v>24980</v>
      </c>
      <c r="D11429" s="330" t="s">
        <v>24981</v>
      </c>
      <c r="E11429" s="330" t="s">
        <v>37248</v>
      </c>
      <c r="F11429" s="331">
        <v>0.21</v>
      </c>
      <c r="G11429" s="332">
        <v>4448</v>
      </c>
      <c r="H11429" s="333">
        <v>5383</v>
      </c>
    </row>
    <row r="11430" spans="1:8">
      <c r="A11430" s="317">
        <v>2607200076</v>
      </c>
      <c r="B11430" s="330" t="s">
        <v>55786</v>
      </c>
      <c r="C11430" s="330" t="s">
        <v>24982</v>
      </c>
      <c r="D11430" s="330" t="s">
        <v>8273</v>
      </c>
      <c r="E11430" s="330" t="s">
        <v>4634</v>
      </c>
      <c r="F11430" s="331">
        <v>0.21</v>
      </c>
      <c r="G11430" s="332">
        <v>388</v>
      </c>
      <c r="H11430" s="333">
        <v>470</v>
      </c>
    </row>
    <row r="11431" spans="1:8">
      <c r="A11431" s="317">
        <v>2607200084</v>
      </c>
      <c r="B11431" s="330" t="s">
        <v>55787</v>
      </c>
      <c r="C11431" s="330" t="s">
        <v>24983</v>
      </c>
      <c r="D11431" s="330" t="s">
        <v>24984</v>
      </c>
      <c r="E11431" s="330" t="s">
        <v>4634</v>
      </c>
      <c r="F11431" s="331">
        <v>0.21</v>
      </c>
      <c r="G11431" s="332">
        <v>1956</v>
      </c>
      <c r="H11431" s="333">
        <v>2367</v>
      </c>
    </row>
    <row r="11432" spans="1:8">
      <c r="A11432" s="317">
        <v>2607200093</v>
      </c>
      <c r="B11432" s="330" t="s">
        <v>55788</v>
      </c>
      <c r="C11432" s="330" t="s">
        <v>24985</v>
      </c>
      <c r="D11432" s="330" t="s">
        <v>24986</v>
      </c>
      <c r="E11432" s="330" t="s">
        <v>4634</v>
      </c>
      <c r="F11432" s="331">
        <v>0.21</v>
      </c>
      <c r="G11432" s="332">
        <v>13219</v>
      </c>
      <c r="H11432" s="333">
        <v>15995</v>
      </c>
    </row>
    <row r="11433" spans="1:8">
      <c r="A11433" s="317">
        <v>2607200094</v>
      </c>
      <c r="B11433" s="330" t="s">
        <v>55789</v>
      </c>
      <c r="C11433" s="330" t="s">
        <v>24987</v>
      </c>
      <c r="D11433" s="330" t="s">
        <v>24988</v>
      </c>
      <c r="E11433" s="330" t="s">
        <v>4634</v>
      </c>
      <c r="F11433" s="331">
        <v>0.21</v>
      </c>
      <c r="G11433" s="332">
        <v>2629</v>
      </c>
      <c r="H11433" s="333">
        <v>3182</v>
      </c>
    </row>
    <row r="11434" spans="1:8">
      <c r="A11434" s="317">
        <v>2607200104</v>
      </c>
      <c r="B11434" s="330" t="s">
        <v>55790</v>
      </c>
      <c r="C11434" s="330" t="s">
        <v>24989</v>
      </c>
      <c r="D11434" s="330" t="s">
        <v>8273</v>
      </c>
      <c r="E11434" s="330" t="s">
        <v>4634</v>
      </c>
      <c r="F11434" s="331">
        <v>0.21</v>
      </c>
      <c r="G11434" s="332">
        <v>5902</v>
      </c>
      <c r="H11434" s="333">
        <v>7142</v>
      </c>
    </row>
    <row r="11435" spans="1:8">
      <c r="A11435" s="317">
        <v>2607200109</v>
      </c>
      <c r="B11435" s="330" t="s">
        <v>55791</v>
      </c>
      <c r="C11435" s="330" t="s">
        <v>24990</v>
      </c>
      <c r="D11435" s="330" t="s">
        <v>24991</v>
      </c>
      <c r="E11435" s="330" t="s">
        <v>4634</v>
      </c>
      <c r="F11435" s="331">
        <v>0.21</v>
      </c>
      <c r="G11435" s="332">
        <v>388</v>
      </c>
      <c r="H11435" s="333">
        <v>470</v>
      </c>
    </row>
    <row r="11436" spans="1:8">
      <c r="A11436" s="317">
        <v>2607200110</v>
      </c>
      <c r="B11436" s="330" t="s">
        <v>55792</v>
      </c>
      <c r="C11436" s="330" t="s">
        <v>24992</v>
      </c>
      <c r="D11436" s="330" t="s">
        <v>24993</v>
      </c>
      <c r="E11436" s="330" t="s">
        <v>4634</v>
      </c>
      <c r="F11436" s="331">
        <v>0.21</v>
      </c>
      <c r="G11436" s="332">
        <v>2462</v>
      </c>
      <c r="H11436" s="333">
        <v>2980</v>
      </c>
    </row>
    <row r="11437" spans="1:8">
      <c r="A11437" s="317">
        <v>2607200126</v>
      </c>
      <c r="B11437" s="330" t="s">
        <v>55793</v>
      </c>
      <c r="C11437" s="330" t="s">
        <v>24994</v>
      </c>
      <c r="D11437" s="330" t="s">
        <v>24995</v>
      </c>
      <c r="E11437" s="330" t="s">
        <v>4634</v>
      </c>
      <c r="F11437" s="331">
        <v>0.21</v>
      </c>
      <c r="G11437" s="332">
        <v>1782</v>
      </c>
      <c r="H11437" s="333">
        <v>2157</v>
      </c>
    </row>
    <row r="11438" spans="1:8">
      <c r="A11438" s="317">
        <v>2607200137</v>
      </c>
      <c r="B11438" s="330" t="s">
        <v>55794</v>
      </c>
      <c r="C11438" s="330" t="s">
        <v>24996</v>
      </c>
      <c r="D11438" s="330" t="s">
        <v>24997</v>
      </c>
      <c r="E11438" s="330" t="s">
        <v>4634</v>
      </c>
      <c r="F11438" s="331">
        <v>0.21</v>
      </c>
      <c r="G11438" s="332">
        <v>13908</v>
      </c>
      <c r="H11438" s="333">
        <v>16829</v>
      </c>
    </row>
    <row r="11439" spans="1:8">
      <c r="A11439" s="317">
        <v>2607200147</v>
      </c>
      <c r="B11439" s="330" t="s">
        <v>55795</v>
      </c>
      <c r="C11439" s="330" t="s">
        <v>24998</v>
      </c>
      <c r="D11439" s="330" t="s">
        <v>24999</v>
      </c>
      <c r="E11439" s="330" t="s">
        <v>4634</v>
      </c>
      <c r="F11439" s="331">
        <v>0.21</v>
      </c>
      <c r="G11439" s="332">
        <v>3923</v>
      </c>
      <c r="H11439" s="333">
        <v>4747</v>
      </c>
    </row>
    <row r="11440" spans="1:8">
      <c r="A11440" s="317">
        <v>2607200164</v>
      </c>
      <c r="B11440" s="330" t="s">
        <v>55796</v>
      </c>
      <c r="C11440" s="330" t="s">
        <v>25000</v>
      </c>
      <c r="D11440" s="330" t="s">
        <v>25001</v>
      </c>
      <c r="E11440" s="330" t="s">
        <v>4634</v>
      </c>
      <c r="F11440" s="331">
        <v>0.21</v>
      </c>
      <c r="G11440" s="332">
        <v>15746</v>
      </c>
      <c r="H11440" s="333">
        <v>19053</v>
      </c>
    </row>
    <row r="11441" spans="1:8">
      <c r="A11441" s="317">
        <v>2607200184</v>
      </c>
      <c r="B11441" s="330" t="s">
        <v>55797</v>
      </c>
      <c r="C11441" s="330" t="s">
        <v>25002</v>
      </c>
      <c r="D11441" s="330" t="s">
        <v>25003</v>
      </c>
      <c r="E11441" s="330" t="s">
        <v>4634</v>
      </c>
      <c r="F11441" s="331">
        <v>0.21</v>
      </c>
      <c r="G11441" s="332">
        <v>5858</v>
      </c>
      <c r="H11441" s="333">
        <v>7089</v>
      </c>
    </row>
    <row r="11442" spans="1:8">
      <c r="A11442" s="317">
        <v>2607200192</v>
      </c>
      <c r="B11442" s="330" t="s">
        <v>55798</v>
      </c>
      <c r="C11442" s="330" t="s">
        <v>25004</v>
      </c>
      <c r="D11442" s="330" t="s">
        <v>25005</v>
      </c>
      <c r="E11442" s="330" t="s">
        <v>4634</v>
      </c>
      <c r="F11442" s="331">
        <v>0.21</v>
      </c>
      <c r="G11442" s="332">
        <v>559</v>
      </c>
      <c r="H11442" s="333">
        <v>677</v>
      </c>
    </row>
    <row r="11443" spans="1:8">
      <c r="A11443" s="317">
        <v>2607200193</v>
      </c>
      <c r="B11443" s="330" t="s">
        <v>55799</v>
      </c>
      <c r="C11443" s="330" t="s">
        <v>25006</v>
      </c>
      <c r="D11443" s="330" t="s">
        <v>25007</v>
      </c>
      <c r="E11443" s="330" t="s">
        <v>4634</v>
      </c>
      <c r="F11443" s="331">
        <v>0.21</v>
      </c>
      <c r="G11443" s="332">
        <v>898</v>
      </c>
      <c r="H11443" s="333">
        <v>1087</v>
      </c>
    </row>
    <row r="11444" spans="1:8">
      <c r="A11444" s="317">
        <v>2607200196</v>
      </c>
      <c r="B11444" s="330" t="s">
        <v>55800</v>
      </c>
      <c r="C11444" s="330" t="s">
        <v>25008</v>
      </c>
      <c r="D11444" s="330" t="s">
        <v>25009</v>
      </c>
      <c r="E11444" s="330" t="s">
        <v>4819</v>
      </c>
      <c r="F11444" s="331">
        <v>0.21</v>
      </c>
      <c r="G11444" s="332">
        <v>7800</v>
      </c>
      <c r="H11444" s="333">
        <v>9438</v>
      </c>
    </row>
    <row r="11445" spans="1:8">
      <c r="A11445" s="317">
        <v>2607200199</v>
      </c>
      <c r="B11445" s="330" t="s">
        <v>55801</v>
      </c>
      <c r="C11445" s="330" t="s">
        <v>25010</v>
      </c>
      <c r="D11445" s="330" t="s">
        <v>25011</v>
      </c>
      <c r="E11445" s="330" t="s">
        <v>4634</v>
      </c>
      <c r="F11445" s="331">
        <v>0.21</v>
      </c>
      <c r="G11445" s="332">
        <v>4004</v>
      </c>
      <c r="H11445" s="333">
        <v>4845</v>
      </c>
    </row>
    <row r="11446" spans="1:8">
      <c r="A11446" s="317">
        <v>2607200207</v>
      </c>
      <c r="B11446" s="330" t="s">
        <v>55802</v>
      </c>
      <c r="C11446" s="330" t="s">
        <v>25012</v>
      </c>
      <c r="D11446" s="330" t="s">
        <v>25013</v>
      </c>
      <c r="E11446" s="330" t="s">
        <v>4634</v>
      </c>
      <c r="F11446" s="331">
        <v>0.21</v>
      </c>
      <c r="G11446" s="332">
        <v>2078</v>
      </c>
      <c r="H11446" s="333">
        <v>2515</v>
      </c>
    </row>
    <row r="11447" spans="1:8">
      <c r="A11447" s="317">
        <v>2607200209</v>
      </c>
      <c r="B11447" s="330" t="s">
        <v>55803</v>
      </c>
      <c r="C11447" s="330" t="s">
        <v>25014</v>
      </c>
      <c r="D11447" s="330" t="s">
        <v>25015</v>
      </c>
      <c r="E11447" s="330" t="s">
        <v>37248</v>
      </c>
      <c r="F11447" s="331">
        <v>0.21</v>
      </c>
      <c r="G11447" s="332">
        <v>61279</v>
      </c>
      <c r="H11447" s="333">
        <v>74148</v>
      </c>
    </row>
    <row r="11448" spans="1:8">
      <c r="A11448" s="317">
        <v>2607200218</v>
      </c>
      <c r="B11448" s="330" t="s">
        <v>55804</v>
      </c>
      <c r="C11448" s="330" t="s">
        <v>25016</v>
      </c>
      <c r="D11448" s="330" t="s">
        <v>25017</v>
      </c>
      <c r="E11448" s="330" t="s">
        <v>4634</v>
      </c>
      <c r="F11448" s="331">
        <v>0.21</v>
      </c>
      <c r="G11448" s="332">
        <v>17078</v>
      </c>
      <c r="H11448" s="333">
        <v>20665</v>
      </c>
    </row>
    <row r="11449" spans="1:8">
      <c r="A11449" s="317">
        <v>2607200238</v>
      </c>
      <c r="B11449" s="330" t="s">
        <v>55805</v>
      </c>
      <c r="C11449" s="330" t="s">
        <v>25018</v>
      </c>
      <c r="D11449" s="330" t="s">
        <v>25019</v>
      </c>
      <c r="E11449" s="330" t="s">
        <v>4634</v>
      </c>
      <c r="F11449" s="331">
        <v>0.21</v>
      </c>
      <c r="G11449" s="332">
        <v>24212</v>
      </c>
      <c r="H11449" s="333">
        <v>29297</v>
      </c>
    </row>
    <row r="11450" spans="1:8">
      <c r="A11450" s="317">
        <v>2607200245</v>
      </c>
      <c r="B11450" s="330" t="s">
        <v>55806</v>
      </c>
      <c r="C11450" s="330" t="s">
        <v>25020</v>
      </c>
      <c r="D11450" s="330" t="s">
        <v>25021</v>
      </c>
      <c r="E11450" s="330" t="s">
        <v>4819</v>
      </c>
      <c r="F11450" s="331">
        <v>0.21</v>
      </c>
      <c r="G11450" s="332">
        <v>65461</v>
      </c>
      <c r="H11450" s="333">
        <v>79208</v>
      </c>
    </row>
    <row r="11451" spans="1:8">
      <c r="A11451" s="317">
        <v>2607200248</v>
      </c>
      <c r="B11451" s="330" t="s">
        <v>55807</v>
      </c>
      <c r="C11451" s="330" t="s">
        <v>25022</v>
      </c>
      <c r="D11451" s="330" t="s">
        <v>6840</v>
      </c>
      <c r="E11451" s="330" t="s">
        <v>4819</v>
      </c>
      <c r="F11451" s="331">
        <v>0.21</v>
      </c>
      <c r="G11451" s="332">
        <v>103936</v>
      </c>
      <c r="H11451" s="333">
        <v>125763</v>
      </c>
    </row>
    <row r="11452" spans="1:8">
      <c r="A11452" s="317">
        <v>2607200260</v>
      </c>
      <c r="B11452" s="330" t="s">
        <v>55808</v>
      </c>
      <c r="C11452" s="330" t="s">
        <v>25023</v>
      </c>
      <c r="D11452" s="330" t="s">
        <v>25024</v>
      </c>
      <c r="E11452" s="330" t="s">
        <v>37248</v>
      </c>
      <c r="F11452" s="331">
        <v>0.21</v>
      </c>
      <c r="G11452" s="332">
        <v>14187</v>
      </c>
      <c r="H11452" s="333">
        <v>17167</v>
      </c>
    </row>
    <row r="11453" spans="1:8">
      <c r="A11453" s="317">
        <v>2607200261</v>
      </c>
      <c r="B11453" s="330" t="s">
        <v>55809</v>
      </c>
      <c r="C11453" s="330" t="s">
        <v>25025</v>
      </c>
      <c r="D11453" s="330" t="s">
        <v>25026</v>
      </c>
      <c r="E11453" s="330" t="s">
        <v>4634</v>
      </c>
      <c r="F11453" s="331">
        <v>0.21</v>
      </c>
      <c r="G11453" s="332">
        <v>1798</v>
      </c>
      <c r="H11453" s="333">
        <v>2176</v>
      </c>
    </row>
    <row r="11454" spans="1:8">
      <c r="A11454" s="317">
        <v>2607200282</v>
      </c>
      <c r="B11454" s="330" t="s">
        <v>55810</v>
      </c>
      <c r="C11454" s="330" t="s">
        <v>25027</v>
      </c>
      <c r="D11454" s="330" t="s">
        <v>25028</v>
      </c>
      <c r="E11454" s="330" t="s">
        <v>4634</v>
      </c>
      <c r="F11454" s="331">
        <v>0.21</v>
      </c>
      <c r="G11454" s="332">
        <v>29225</v>
      </c>
      <c r="H11454" s="333">
        <v>35363</v>
      </c>
    </row>
    <row r="11455" spans="1:8">
      <c r="A11455" s="317">
        <v>2607200286</v>
      </c>
      <c r="B11455" s="330" t="s">
        <v>55811</v>
      </c>
      <c r="C11455" s="330" t="s">
        <v>25029</v>
      </c>
      <c r="D11455" s="330" t="s">
        <v>25030</v>
      </c>
      <c r="E11455" s="330" t="s">
        <v>4819</v>
      </c>
      <c r="F11455" s="331">
        <v>0.21</v>
      </c>
      <c r="G11455" s="332">
        <v>9915</v>
      </c>
      <c r="H11455" s="333">
        <v>11998</v>
      </c>
    </row>
    <row r="11456" spans="1:8">
      <c r="A11456" s="317">
        <v>2607200294</v>
      </c>
      <c r="B11456" s="330" t="s">
        <v>55812</v>
      </c>
      <c r="C11456" s="330" t="s">
        <v>25031</v>
      </c>
      <c r="D11456" s="330" t="s">
        <v>25032</v>
      </c>
      <c r="E11456" s="330" t="s">
        <v>4634</v>
      </c>
      <c r="F11456" s="331">
        <v>0.21</v>
      </c>
      <c r="G11456" s="332">
        <v>4233</v>
      </c>
      <c r="H11456" s="333">
        <v>5122</v>
      </c>
    </row>
    <row r="11457" spans="1:8">
      <c r="A11457" s="317">
        <v>2607200302</v>
      </c>
      <c r="B11457" s="330" t="s">
        <v>55813</v>
      </c>
      <c r="C11457" s="330" t="s">
        <v>25033</v>
      </c>
      <c r="D11457" s="330" t="s">
        <v>25034</v>
      </c>
      <c r="E11457" s="330" t="s">
        <v>4634</v>
      </c>
      <c r="F11457" s="331">
        <v>0.21</v>
      </c>
      <c r="G11457" s="332">
        <v>12886</v>
      </c>
      <c r="H11457" s="333">
        <v>15593</v>
      </c>
    </row>
    <row r="11458" spans="1:8">
      <c r="A11458" s="317">
        <v>2607200309</v>
      </c>
      <c r="B11458" s="330" t="s">
        <v>55814</v>
      </c>
      <c r="C11458" s="330" t="s">
        <v>25035</v>
      </c>
      <c r="D11458" s="330" t="s">
        <v>25036</v>
      </c>
      <c r="E11458" s="330" t="s">
        <v>4634</v>
      </c>
      <c r="F11458" s="331">
        <v>0.21</v>
      </c>
      <c r="G11458" s="332">
        <v>16395</v>
      </c>
      <c r="H11458" s="333">
        <v>19838</v>
      </c>
    </row>
    <row r="11459" spans="1:8">
      <c r="A11459" s="317">
        <v>2607200316</v>
      </c>
      <c r="B11459" s="330" t="s">
        <v>55815</v>
      </c>
      <c r="C11459" s="330" t="s">
        <v>25037</v>
      </c>
      <c r="D11459" s="330" t="s">
        <v>25038</v>
      </c>
      <c r="E11459" s="330" t="s">
        <v>4634</v>
      </c>
      <c r="F11459" s="331">
        <v>0.21</v>
      </c>
      <c r="G11459" s="332">
        <v>1798</v>
      </c>
      <c r="H11459" s="333">
        <v>2176</v>
      </c>
    </row>
    <row r="11460" spans="1:8">
      <c r="A11460" s="317">
        <v>2607200327</v>
      </c>
      <c r="B11460" s="330" t="s">
        <v>55816</v>
      </c>
      <c r="C11460" s="330" t="s">
        <v>25039</v>
      </c>
      <c r="D11460" s="330" t="s">
        <v>25040</v>
      </c>
      <c r="E11460" s="330" t="s">
        <v>4634</v>
      </c>
      <c r="F11460" s="331">
        <v>0.21</v>
      </c>
      <c r="G11460" s="332">
        <v>2244</v>
      </c>
      <c r="H11460" s="333">
        <v>2716</v>
      </c>
    </row>
    <row r="11461" spans="1:8">
      <c r="A11461" s="317">
        <v>2607200328</v>
      </c>
      <c r="B11461" s="330" t="s">
        <v>55817</v>
      </c>
      <c r="C11461" s="330" t="s">
        <v>25041</v>
      </c>
      <c r="D11461" s="330" t="s">
        <v>25042</v>
      </c>
      <c r="E11461" s="330" t="s">
        <v>4634</v>
      </c>
      <c r="F11461" s="331">
        <v>0.21</v>
      </c>
      <c r="G11461" s="332">
        <v>619</v>
      </c>
      <c r="H11461" s="333">
        <v>749</v>
      </c>
    </row>
    <row r="11462" spans="1:8">
      <c r="A11462" s="317">
        <v>2607200329</v>
      </c>
      <c r="B11462" s="330" t="s">
        <v>55818</v>
      </c>
      <c r="C11462" s="330" t="s">
        <v>25043</v>
      </c>
      <c r="D11462" s="330" t="s">
        <v>25044</v>
      </c>
      <c r="E11462" s="330" t="s">
        <v>4634</v>
      </c>
      <c r="F11462" s="331">
        <v>0.21</v>
      </c>
      <c r="G11462" s="332">
        <v>12713</v>
      </c>
      <c r="H11462" s="333">
        <v>15383</v>
      </c>
    </row>
    <row r="11463" spans="1:8">
      <c r="A11463" s="317">
        <v>2607200338</v>
      </c>
      <c r="B11463" s="330" t="s">
        <v>55819</v>
      </c>
      <c r="C11463" s="330" t="s">
        <v>25045</v>
      </c>
      <c r="D11463" s="330" t="s">
        <v>25046</v>
      </c>
      <c r="E11463" s="330" t="s">
        <v>4634</v>
      </c>
      <c r="F11463" s="331">
        <v>0.21</v>
      </c>
      <c r="G11463" s="332">
        <v>702</v>
      </c>
      <c r="H11463" s="333">
        <v>850</v>
      </c>
    </row>
    <row r="11464" spans="1:8">
      <c r="A11464" s="317">
        <v>2607200345</v>
      </c>
      <c r="B11464" s="330" t="s">
        <v>55820</v>
      </c>
      <c r="C11464" s="330" t="s">
        <v>25047</v>
      </c>
      <c r="D11464" s="330" t="s">
        <v>25048</v>
      </c>
      <c r="E11464" s="330" t="s">
        <v>4634</v>
      </c>
      <c r="F11464" s="331">
        <v>0.21</v>
      </c>
      <c r="G11464" s="332">
        <v>4481</v>
      </c>
      <c r="H11464" s="333">
        <v>5423</v>
      </c>
    </row>
    <row r="11465" spans="1:8">
      <c r="A11465" s="317">
        <v>2607200351</v>
      </c>
      <c r="B11465" s="330" t="s">
        <v>55821</v>
      </c>
      <c r="C11465" s="330" t="s">
        <v>25049</v>
      </c>
      <c r="D11465" s="330" t="s">
        <v>25050</v>
      </c>
      <c r="E11465" s="330" t="s">
        <v>4634</v>
      </c>
      <c r="F11465" s="331">
        <v>0.21</v>
      </c>
      <c r="G11465" s="332">
        <v>10941</v>
      </c>
      <c r="H11465" s="333">
        <v>13239</v>
      </c>
    </row>
    <row r="11466" spans="1:8">
      <c r="A11466" s="317">
        <v>2607200353</v>
      </c>
      <c r="B11466" s="330" t="s">
        <v>55822</v>
      </c>
      <c r="C11466" s="330" t="s">
        <v>25051</v>
      </c>
      <c r="D11466" s="330" t="s">
        <v>25052</v>
      </c>
      <c r="E11466" s="330" t="s">
        <v>4634</v>
      </c>
      <c r="F11466" s="331">
        <v>0.21</v>
      </c>
      <c r="G11466" s="332">
        <v>10941</v>
      </c>
      <c r="H11466" s="333">
        <v>13239</v>
      </c>
    </row>
    <row r="11467" spans="1:8">
      <c r="A11467" s="317">
        <v>2607200367</v>
      </c>
      <c r="B11467" s="330" t="s">
        <v>55823</v>
      </c>
      <c r="C11467" s="330" t="s">
        <v>25053</v>
      </c>
      <c r="D11467" s="330" t="s">
        <v>25054</v>
      </c>
      <c r="E11467" s="330" t="s">
        <v>4634</v>
      </c>
      <c r="F11467" s="331">
        <v>0.21</v>
      </c>
      <c r="G11467" s="332">
        <v>3016</v>
      </c>
      <c r="H11467" s="333">
        <v>3650</v>
      </c>
    </row>
    <row r="11468" spans="1:8">
      <c r="A11468" s="317">
        <v>2607200371</v>
      </c>
      <c r="B11468" s="330" t="s">
        <v>55824</v>
      </c>
      <c r="C11468" s="330" t="s">
        <v>25055</v>
      </c>
      <c r="D11468" s="330" t="s">
        <v>25056</v>
      </c>
      <c r="E11468" s="330" t="s">
        <v>4634</v>
      </c>
      <c r="F11468" s="331">
        <v>0.21</v>
      </c>
      <c r="G11468" s="332">
        <v>9208</v>
      </c>
      <c r="H11468" s="333">
        <v>11142</v>
      </c>
    </row>
    <row r="11469" spans="1:8">
      <c r="A11469" s="317">
        <v>2607200373</v>
      </c>
      <c r="B11469" s="330" t="s">
        <v>55825</v>
      </c>
      <c r="C11469" s="330" t="s">
        <v>25057</v>
      </c>
      <c r="D11469" s="330" t="s">
        <v>25058</v>
      </c>
      <c r="E11469" s="330" t="s">
        <v>4623</v>
      </c>
      <c r="F11469" s="331">
        <v>0.21</v>
      </c>
      <c r="G11469" s="332">
        <v>9406</v>
      </c>
      <c r="H11469" s="333">
        <v>11382</v>
      </c>
    </row>
    <row r="11470" spans="1:8">
      <c r="A11470" s="317">
        <v>2607200376</v>
      </c>
      <c r="B11470" s="330" t="s">
        <v>55826</v>
      </c>
      <c r="C11470" s="330" t="s">
        <v>25059</v>
      </c>
      <c r="D11470" s="330" t="s">
        <v>25060</v>
      </c>
      <c r="E11470" s="330" t="s">
        <v>4634</v>
      </c>
      <c r="F11470" s="331">
        <v>0.21</v>
      </c>
      <c r="G11470" s="332">
        <v>3673</v>
      </c>
      <c r="H11470" s="333">
        <v>4445</v>
      </c>
    </row>
    <row r="11471" spans="1:8">
      <c r="A11471" s="317">
        <v>2607200384</v>
      </c>
      <c r="B11471" s="330" t="s">
        <v>55827</v>
      </c>
      <c r="C11471" s="330" t="s">
        <v>25061</v>
      </c>
      <c r="D11471" s="330" t="s">
        <v>25062</v>
      </c>
      <c r="E11471" s="330" t="s">
        <v>37248</v>
      </c>
      <c r="F11471" s="331">
        <v>0.21</v>
      </c>
      <c r="G11471" s="332">
        <v>59063</v>
      </c>
      <c r="H11471" s="333">
        <v>71467</v>
      </c>
    </row>
    <row r="11472" spans="1:8">
      <c r="A11472" s="317">
        <v>2607200404</v>
      </c>
      <c r="B11472" s="330" t="s">
        <v>55828</v>
      </c>
      <c r="C11472" s="330" t="s">
        <v>25063</v>
      </c>
      <c r="D11472" s="330" t="s">
        <v>25064</v>
      </c>
      <c r="E11472" s="330" t="s">
        <v>4634</v>
      </c>
      <c r="F11472" s="331">
        <v>0.21</v>
      </c>
      <c r="G11472" s="332">
        <v>6930</v>
      </c>
      <c r="H11472" s="333">
        <v>8386</v>
      </c>
    </row>
    <row r="11473" spans="1:8">
      <c r="A11473" s="317">
        <v>2607200413</v>
      </c>
      <c r="B11473" s="330" t="s">
        <v>55829</v>
      </c>
      <c r="C11473" s="330" t="s">
        <v>25065</v>
      </c>
      <c r="D11473" s="330" t="s">
        <v>25066</v>
      </c>
      <c r="E11473" s="330" t="s">
        <v>4819</v>
      </c>
      <c r="F11473" s="331">
        <v>0.21</v>
      </c>
      <c r="G11473" s="332">
        <v>81958</v>
      </c>
      <c r="H11473" s="333">
        <v>99170</v>
      </c>
    </row>
    <row r="11474" spans="1:8">
      <c r="A11474" s="317">
        <v>2607200421</v>
      </c>
      <c r="B11474" s="330" t="s">
        <v>55830</v>
      </c>
      <c r="C11474" s="330" t="s">
        <v>25067</v>
      </c>
      <c r="D11474" s="330" t="s">
        <v>25068</v>
      </c>
      <c r="E11474" s="330" t="s">
        <v>4819</v>
      </c>
      <c r="F11474" s="331">
        <v>0.21</v>
      </c>
      <c r="G11474" s="332">
        <v>64074</v>
      </c>
      <c r="H11474" s="333">
        <v>77530</v>
      </c>
    </row>
    <row r="11475" spans="1:8">
      <c r="A11475" s="317">
        <v>2607200430</v>
      </c>
      <c r="B11475" s="330" t="s">
        <v>55831</v>
      </c>
      <c r="C11475" s="330" t="s">
        <v>25069</v>
      </c>
      <c r="D11475" s="330" t="s">
        <v>25070</v>
      </c>
      <c r="E11475" s="330" t="s">
        <v>4634</v>
      </c>
      <c r="F11475" s="331">
        <v>0.21</v>
      </c>
      <c r="G11475" s="332">
        <v>8981</v>
      </c>
      <c r="H11475" s="333">
        <v>10868</v>
      </c>
    </row>
    <row r="11476" spans="1:8">
      <c r="A11476" s="317">
        <v>2607200436</v>
      </c>
      <c r="B11476" s="330" t="s">
        <v>55832</v>
      </c>
      <c r="C11476" s="330" t="s">
        <v>25071</v>
      </c>
      <c r="D11476" s="330" t="s">
        <v>25072</v>
      </c>
      <c r="E11476" s="330" t="s">
        <v>4634</v>
      </c>
      <c r="F11476" s="331">
        <v>0.21</v>
      </c>
      <c r="G11476" s="332">
        <v>1066</v>
      </c>
      <c r="H11476" s="333">
        <v>1290</v>
      </c>
    </row>
    <row r="11477" spans="1:8">
      <c r="A11477" s="317">
        <v>2607200437</v>
      </c>
      <c r="B11477" s="330" t="s">
        <v>55833</v>
      </c>
      <c r="C11477" s="330" t="s">
        <v>25073</v>
      </c>
      <c r="D11477" s="330" t="s">
        <v>25074</v>
      </c>
      <c r="E11477" s="330" t="s">
        <v>4634</v>
      </c>
      <c r="F11477" s="331">
        <v>0.21</v>
      </c>
      <c r="G11477" s="332">
        <v>1070</v>
      </c>
      <c r="H11477" s="333">
        <v>1295</v>
      </c>
    </row>
    <row r="11478" spans="1:8">
      <c r="A11478" s="317">
        <v>2607200451</v>
      </c>
      <c r="B11478" s="330" t="s">
        <v>55834</v>
      </c>
      <c r="C11478" s="330" t="s">
        <v>25075</v>
      </c>
      <c r="D11478" s="330" t="s">
        <v>25076</v>
      </c>
      <c r="E11478" s="330" t="s">
        <v>4634</v>
      </c>
      <c r="F11478" s="331">
        <v>0.21</v>
      </c>
      <c r="G11478" s="332">
        <v>5474</v>
      </c>
      <c r="H11478" s="333">
        <v>6624</v>
      </c>
    </row>
    <row r="11479" spans="1:8">
      <c r="A11479" s="317">
        <v>2607200456</v>
      </c>
      <c r="B11479" s="330" t="s">
        <v>55835</v>
      </c>
      <c r="C11479" s="330" t="s">
        <v>25077</v>
      </c>
      <c r="D11479" s="330" t="s">
        <v>25078</v>
      </c>
      <c r="E11479" s="330" t="s">
        <v>37248</v>
      </c>
      <c r="F11479" s="331">
        <v>0.21</v>
      </c>
      <c r="G11479" s="332">
        <v>53573</v>
      </c>
      <c r="H11479" s="333">
        <v>64824</v>
      </c>
    </row>
    <row r="11480" spans="1:8">
      <c r="A11480" s="317">
        <v>2607200457</v>
      </c>
      <c r="B11480" s="330" t="s">
        <v>55836</v>
      </c>
      <c r="C11480" s="330" t="s">
        <v>25079</v>
      </c>
      <c r="D11480" s="330" t="s">
        <v>25080</v>
      </c>
      <c r="E11480" s="330" t="s">
        <v>4819</v>
      </c>
      <c r="F11480" s="331">
        <v>0.21</v>
      </c>
      <c r="G11480" s="332">
        <v>76831</v>
      </c>
      <c r="H11480" s="333">
        <v>92966</v>
      </c>
    </row>
    <row r="11481" spans="1:8">
      <c r="A11481" s="317">
        <v>2607200458</v>
      </c>
      <c r="B11481" s="330" t="s">
        <v>55837</v>
      </c>
      <c r="C11481" s="330" t="s">
        <v>25081</v>
      </c>
      <c r="D11481" s="330" t="s">
        <v>25082</v>
      </c>
      <c r="E11481" s="330" t="s">
        <v>37248</v>
      </c>
      <c r="F11481" s="331">
        <v>0.21</v>
      </c>
      <c r="G11481" s="332">
        <v>59050</v>
      </c>
      <c r="H11481" s="333">
        <v>71451</v>
      </c>
    </row>
    <row r="11482" spans="1:8">
      <c r="A11482" s="317">
        <v>2607200461</v>
      </c>
      <c r="B11482" s="330" t="s">
        <v>55838</v>
      </c>
      <c r="C11482" s="330" t="s">
        <v>25083</v>
      </c>
      <c r="D11482" s="330" t="s">
        <v>25084</v>
      </c>
      <c r="E11482" s="330" t="s">
        <v>37248</v>
      </c>
      <c r="F11482" s="331">
        <v>0.21</v>
      </c>
      <c r="G11482" s="332">
        <v>56618</v>
      </c>
      <c r="H11482" s="333">
        <v>68508</v>
      </c>
    </row>
    <row r="11483" spans="1:8">
      <c r="A11483" s="317">
        <v>2607200462</v>
      </c>
      <c r="B11483" s="330" t="s">
        <v>55839</v>
      </c>
      <c r="C11483" s="330" t="s">
        <v>25085</v>
      </c>
      <c r="D11483" s="330" t="s">
        <v>25086</v>
      </c>
      <c r="E11483" s="330" t="s">
        <v>4634</v>
      </c>
      <c r="F11483" s="331">
        <v>0.21</v>
      </c>
      <c r="G11483" s="332">
        <v>3283</v>
      </c>
      <c r="H11483" s="333">
        <v>3973</v>
      </c>
    </row>
    <row r="11484" spans="1:8">
      <c r="A11484" s="317">
        <v>2607200463</v>
      </c>
      <c r="B11484" s="330" t="s">
        <v>55840</v>
      </c>
      <c r="C11484" s="330" t="s">
        <v>25087</v>
      </c>
      <c r="D11484" s="330" t="s">
        <v>25088</v>
      </c>
      <c r="E11484" s="330" t="s">
        <v>37248</v>
      </c>
      <c r="F11484" s="331">
        <v>0.21</v>
      </c>
      <c r="G11484" s="332">
        <v>51510</v>
      </c>
      <c r="H11484" s="333">
        <v>62328</v>
      </c>
    </row>
    <row r="11485" spans="1:8">
      <c r="A11485" s="317">
        <v>2607200489</v>
      </c>
      <c r="B11485" s="330" t="s">
        <v>55841</v>
      </c>
      <c r="C11485" s="330" t="s">
        <v>25089</v>
      </c>
      <c r="D11485" s="330" t="s">
        <v>25090</v>
      </c>
      <c r="E11485" s="330" t="s">
        <v>4634</v>
      </c>
      <c r="F11485" s="331">
        <v>0.21</v>
      </c>
      <c r="G11485" s="332">
        <v>33155</v>
      </c>
      <c r="H11485" s="333">
        <v>40118</v>
      </c>
    </row>
    <row r="11486" spans="1:8">
      <c r="A11486" s="317">
        <v>2607200500</v>
      </c>
      <c r="B11486" s="330" t="s">
        <v>55842</v>
      </c>
      <c r="C11486" s="330" t="s">
        <v>25091</v>
      </c>
      <c r="D11486" s="330" t="s">
        <v>25092</v>
      </c>
      <c r="E11486" s="330" t="s">
        <v>4634</v>
      </c>
      <c r="F11486" s="331">
        <v>0.21</v>
      </c>
      <c r="G11486" s="332">
        <v>3189</v>
      </c>
      <c r="H11486" s="333">
        <v>3859</v>
      </c>
    </row>
    <row r="11487" spans="1:8">
      <c r="A11487" s="317">
        <v>2607200506</v>
      </c>
      <c r="B11487" s="330" t="s">
        <v>55843</v>
      </c>
      <c r="C11487" s="330" t="s">
        <v>25093</v>
      </c>
      <c r="D11487" s="330" t="s">
        <v>25094</v>
      </c>
      <c r="E11487" s="330" t="s">
        <v>4634</v>
      </c>
      <c r="F11487" s="331">
        <v>0.21</v>
      </c>
      <c r="G11487" s="332">
        <v>10609</v>
      </c>
      <c r="H11487" s="333">
        <v>12837</v>
      </c>
    </row>
    <row r="11488" spans="1:8">
      <c r="A11488" s="317">
        <v>2607200512</v>
      </c>
      <c r="B11488" s="330" t="s">
        <v>55844</v>
      </c>
      <c r="C11488" s="330" t="s">
        <v>25095</v>
      </c>
      <c r="D11488" s="330" t="s">
        <v>25096</v>
      </c>
      <c r="E11488" s="330" t="s">
        <v>4819</v>
      </c>
      <c r="F11488" s="331">
        <v>0.21</v>
      </c>
      <c r="G11488" s="332">
        <v>44735</v>
      </c>
      <c r="H11488" s="333">
        <v>54130</v>
      </c>
    </row>
    <row r="11489" spans="1:8">
      <c r="A11489" s="317">
        <v>2607200519</v>
      </c>
      <c r="B11489" s="330" t="s">
        <v>55845</v>
      </c>
      <c r="C11489" s="330" t="s">
        <v>25097</v>
      </c>
      <c r="D11489" s="330" t="s">
        <v>25098</v>
      </c>
      <c r="E11489" s="330" t="s">
        <v>4634</v>
      </c>
      <c r="F11489" s="331">
        <v>0.21</v>
      </c>
      <c r="G11489" s="332">
        <v>834</v>
      </c>
      <c r="H11489" s="333">
        <v>1010</v>
      </c>
    </row>
    <row r="11490" spans="1:8">
      <c r="A11490" s="317">
        <v>2607200523</v>
      </c>
      <c r="B11490" s="330" t="s">
        <v>55846</v>
      </c>
      <c r="C11490" s="330" t="s">
        <v>25099</v>
      </c>
      <c r="D11490" s="330" t="s">
        <v>25100</v>
      </c>
      <c r="E11490" s="330" t="s">
        <v>4634</v>
      </c>
      <c r="F11490" s="331">
        <v>0.21</v>
      </c>
      <c r="G11490" s="332">
        <v>2232</v>
      </c>
      <c r="H11490" s="333">
        <v>2701</v>
      </c>
    </row>
    <row r="11491" spans="1:8">
      <c r="A11491" s="317">
        <v>2607200526</v>
      </c>
      <c r="B11491" s="330" t="s">
        <v>55847</v>
      </c>
      <c r="C11491" s="330" t="s">
        <v>25101</v>
      </c>
      <c r="D11491" s="330" t="s">
        <v>25102</v>
      </c>
      <c r="E11491" s="330" t="s">
        <v>4634</v>
      </c>
      <c r="F11491" s="331">
        <v>0.21</v>
      </c>
      <c r="G11491" s="332">
        <v>2186</v>
      </c>
      <c r="H11491" s="333">
        <v>2646</v>
      </c>
    </row>
    <row r="11492" spans="1:8">
      <c r="A11492" s="317">
        <v>2607200527</v>
      </c>
      <c r="B11492" s="330" t="s">
        <v>55848</v>
      </c>
      <c r="C11492" s="330" t="s">
        <v>25103</v>
      </c>
      <c r="D11492" s="330" t="s">
        <v>25104</v>
      </c>
      <c r="E11492" s="330" t="s">
        <v>4634</v>
      </c>
      <c r="F11492" s="331">
        <v>0.21</v>
      </c>
      <c r="G11492" s="332">
        <v>14394</v>
      </c>
      <c r="H11492" s="333">
        <v>17417</v>
      </c>
    </row>
    <row r="11493" spans="1:8">
      <c r="A11493" s="317">
        <v>2607200531</v>
      </c>
      <c r="B11493" s="330" t="s">
        <v>55849</v>
      </c>
      <c r="C11493" s="330" t="s">
        <v>25105</v>
      </c>
      <c r="D11493" s="330" t="s">
        <v>25106</v>
      </c>
      <c r="E11493" s="330" t="s">
        <v>4634</v>
      </c>
      <c r="F11493" s="331">
        <v>0.21</v>
      </c>
      <c r="G11493" s="332">
        <v>2462</v>
      </c>
      <c r="H11493" s="333">
        <v>2980</v>
      </c>
    </row>
    <row r="11494" spans="1:8">
      <c r="A11494" s="317">
        <v>2607200534</v>
      </c>
      <c r="B11494" s="330" t="s">
        <v>55850</v>
      </c>
      <c r="C11494" s="330" t="s">
        <v>25107</v>
      </c>
      <c r="D11494" s="330" t="s">
        <v>25108</v>
      </c>
      <c r="E11494" s="330" t="s">
        <v>4634</v>
      </c>
      <c r="F11494" s="331">
        <v>0.21</v>
      </c>
      <c r="G11494" s="332">
        <v>2576</v>
      </c>
      <c r="H11494" s="333">
        <v>3117</v>
      </c>
    </row>
    <row r="11495" spans="1:8">
      <c r="A11495" s="317">
        <v>2607200542</v>
      </c>
      <c r="B11495" s="330" t="s">
        <v>55851</v>
      </c>
      <c r="C11495" s="330" t="s">
        <v>25109</v>
      </c>
      <c r="D11495" s="330" t="s">
        <v>25110</v>
      </c>
      <c r="E11495" s="330" t="s">
        <v>4634</v>
      </c>
      <c r="F11495" s="331">
        <v>0.21</v>
      </c>
      <c r="G11495" s="332">
        <v>1548</v>
      </c>
      <c r="H11495" s="333">
        <v>1874</v>
      </c>
    </row>
    <row r="11496" spans="1:8">
      <c r="A11496" s="317">
        <v>2607200556</v>
      </c>
      <c r="B11496" s="330" t="s">
        <v>55852</v>
      </c>
      <c r="C11496" s="330" t="s">
        <v>25111</v>
      </c>
      <c r="D11496" s="330" t="s">
        <v>25112</v>
      </c>
      <c r="E11496" s="330" t="s">
        <v>37248</v>
      </c>
      <c r="F11496" s="331">
        <v>0.21</v>
      </c>
      <c r="G11496" s="332">
        <v>43587</v>
      </c>
      <c r="H11496" s="333">
        <v>52741</v>
      </c>
    </row>
    <row r="11497" spans="1:8">
      <c r="A11497" s="317">
        <v>2607200567</v>
      </c>
      <c r="B11497" s="330" t="s">
        <v>55853</v>
      </c>
      <c r="C11497" s="330" t="s">
        <v>25113</v>
      </c>
      <c r="D11497" s="330" t="s">
        <v>25114</v>
      </c>
      <c r="E11497" s="330" t="s">
        <v>4634</v>
      </c>
      <c r="F11497" s="331">
        <v>0.21</v>
      </c>
      <c r="G11497" s="332">
        <v>8813</v>
      </c>
      <c r="H11497" s="333">
        <v>10664</v>
      </c>
    </row>
    <row r="11498" spans="1:8">
      <c r="A11498" s="317">
        <v>2607200568</v>
      </c>
      <c r="B11498" s="330" t="s">
        <v>55854</v>
      </c>
      <c r="C11498" s="330" t="s">
        <v>25115</v>
      </c>
      <c r="D11498" s="330" t="s">
        <v>25116</v>
      </c>
      <c r="E11498" s="330" t="s">
        <v>4634</v>
      </c>
      <c r="F11498" s="331">
        <v>0.21</v>
      </c>
      <c r="G11498" s="332">
        <v>32200</v>
      </c>
      <c r="H11498" s="333">
        <v>38962</v>
      </c>
    </row>
    <row r="11499" spans="1:8">
      <c r="A11499" s="317">
        <v>2607200576</v>
      </c>
      <c r="B11499" s="330" t="s">
        <v>55855</v>
      </c>
      <c r="C11499" s="330" t="s">
        <v>25117</v>
      </c>
      <c r="D11499" s="330" t="s">
        <v>25118</v>
      </c>
      <c r="E11499" s="330" t="s">
        <v>37248</v>
      </c>
      <c r="F11499" s="331">
        <v>0.21</v>
      </c>
      <c r="G11499" s="332">
        <v>36925</v>
      </c>
      <c r="H11499" s="333">
        <v>44680</v>
      </c>
    </row>
    <row r="11500" spans="1:8">
      <c r="A11500" s="317">
        <v>2607200581</v>
      </c>
      <c r="B11500" s="330" t="s">
        <v>55856</v>
      </c>
      <c r="C11500" s="330" t="s">
        <v>25119</v>
      </c>
      <c r="D11500" s="330" t="s">
        <v>25120</v>
      </c>
      <c r="E11500" s="330" t="s">
        <v>4634</v>
      </c>
      <c r="F11500" s="331">
        <v>0.21</v>
      </c>
      <c r="G11500" s="332">
        <v>34648</v>
      </c>
      <c r="H11500" s="333">
        <v>41925</v>
      </c>
    </row>
    <row r="11501" spans="1:8">
      <c r="A11501" s="317">
        <v>2607200584</v>
      </c>
      <c r="B11501" s="330" t="s">
        <v>55857</v>
      </c>
      <c r="C11501" s="330" t="s">
        <v>25121</v>
      </c>
      <c r="D11501" s="330" t="s">
        <v>5046</v>
      </c>
      <c r="E11501" s="330" t="s">
        <v>4634</v>
      </c>
      <c r="F11501" s="331">
        <v>0.21</v>
      </c>
      <c r="G11501" s="332">
        <v>17912</v>
      </c>
      <c r="H11501" s="333">
        <v>21674</v>
      </c>
    </row>
    <row r="11502" spans="1:8">
      <c r="A11502" s="317">
        <v>2607200585</v>
      </c>
      <c r="B11502" s="330" t="s">
        <v>55858</v>
      </c>
      <c r="C11502" s="330" t="s">
        <v>25122</v>
      </c>
      <c r="D11502" s="330" t="s">
        <v>10786</v>
      </c>
      <c r="E11502" s="330" t="s">
        <v>4634</v>
      </c>
      <c r="F11502" s="331">
        <v>0.21</v>
      </c>
      <c r="G11502" s="332">
        <v>27683</v>
      </c>
      <c r="H11502" s="333">
        <v>33497</v>
      </c>
    </row>
    <row r="11503" spans="1:8">
      <c r="A11503" s="317">
        <v>2607200590</v>
      </c>
      <c r="B11503" s="330" t="s">
        <v>55859</v>
      </c>
      <c r="C11503" s="330" t="s">
        <v>25123</v>
      </c>
      <c r="D11503" s="330" t="s">
        <v>6840</v>
      </c>
      <c r="E11503" s="330" t="s">
        <v>4819</v>
      </c>
      <c r="F11503" s="331">
        <v>0.21</v>
      </c>
      <c r="G11503" s="332">
        <v>33392</v>
      </c>
      <c r="H11503" s="333">
        <v>40405</v>
      </c>
    </row>
    <row r="11504" spans="1:8">
      <c r="A11504" s="317">
        <v>2607200602</v>
      </c>
      <c r="B11504" s="330" t="s">
        <v>55860</v>
      </c>
      <c r="C11504" s="330" t="s">
        <v>25124</v>
      </c>
      <c r="D11504" s="330" t="s">
        <v>25125</v>
      </c>
      <c r="E11504" s="330" t="s">
        <v>4634</v>
      </c>
      <c r="F11504" s="331">
        <v>0.21</v>
      </c>
      <c r="G11504" s="332">
        <v>21285</v>
      </c>
      <c r="H11504" s="333">
        <v>25755</v>
      </c>
    </row>
    <row r="11505" spans="1:8">
      <c r="A11505" s="317">
        <v>2607200603</v>
      </c>
      <c r="B11505" s="330" t="s">
        <v>55861</v>
      </c>
      <c r="C11505" s="330" t="s">
        <v>25126</v>
      </c>
      <c r="D11505" s="330" t="s">
        <v>25127</v>
      </c>
      <c r="E11505" s="330" t="s">
        <v>4634</v>
      </c>
      <c r="F11505" s="331">
        <v>0.21</v>
      </c>
      <c r="G11505" s="332">
        <v>35197</v>
      </c>
      <c r="H11505" s="333">
        <v>42589</v>
      </c>
    </row>
    <row r="11506" spans="1:8">
      <c r="A11506" s="317" t="s">
        <v>25128</v>
      </c>
      <c r="B11506" s="330" t="s">
        <v>25128</v>
      </c>
      <c r="C11506" s="330" t="s">
        <v>25129</v>
      </c>
      <c r="D11506" s="330" t="s">
        <v>25127</v>
      </c>
      <c r="E11506" s="330" t="s">
        <v>4634</v>
      </c>
      <c r="F11506" s="331">
        <v>0.21</v>
      </c>
      <c r="G11506" s="332">
        <v>673</v>
      </c>
      <c r="H11506" s="333">
        <v>815</v>
      </c>
    </row>
    <row r="11507" spans="1:8">
      <c r="A11507" s="317">
        <v>2607200624</v>
      </c>
      <c r="B11507" s="330" t="s">
        <v>55862</v>
      </c>
      <c r="C11507" s="330" t="s">
        <v>25130</v>
      </c>
      <c r="D11507" s="330" t="s">
        <v>8273</v>
      </c>
      <c r="E11507" s="330" t="s">
        <v>4634</v>
      </c>
      <c r="F11507" s="331">
        <v>0.21</v>
      </c>
      <c r="G11507" s="332">
        <v>3047</v>
      </c>
      <c r="H11507" s="333">
        <v>3687</v>
      </c>
    </row>
    <row r="11508" spans="1:8">
      <c r="A11508" s="317">
        <v>2607200632</v>
      </c>
      <c r="B11508" s="330" t="s">
        <v>55863</v>
      </c>
      <c r="C11508" s="330" t="s">
        <v>25131</v>
      </c>
      <c r="D11508" s="330" t="s">
        <v>25132</v>
      </c>
      <c r="E11508" s="330" t="s">
        <v>37248</v>
      </c>
      <c r="F11508" s="331">
        <v>0.21</v>
      </c>
      <c r="G11508" s="332">
        <v>10292</v>
      </c>
      <c r="H11508" s="333">
        <v>12454</v>
      </c>
    </row>
    <row r="11509" spans="1:8">
      <c r="A11509" s="317">
        <v>2607200637</v>
      </c>
      <c r="B11509" s="330" t="s">
        <v>55864</v>
      </c>
      <c r="C11509" s="330" t="s">
        <v>25133</v>
      </c>
      <c r="D11509" s="330" t="s">
        <v>25134</v>
      </c>
      <c r="E11509" s="330" t="s">
        <v>4634</v>
      </c>
      <c r="F11509" s="331">
        <v>0.21</v>
      </c>
      <c r="G11509" s="332">
        <v>1258</v>
      </c>
      <c r="H11509" s="333">
        <v>1523</v>
      </c>
    </row>
    <row r="11510" spans="1:8">
      <c r="A11510" s="317">
        <v>2607200644</v>
      </c>
      <c r="B11510" s="330" t="s">
        <v>55865</v>
      </c>
      <c r="C11510" s="330" t="s">
        <v>25135</v>
      </c>
      <c r="D11510" s="330" t="s">
        <v>25136</v>
      </c>
      <c r="E11510" s="330" t="s">
        <v>37248</v>
      </c>
      <c r="F11510" s="331">
        <v>0.21</v>
      </c>
      <c r="G11510" s="332">
        <v>25098</v>
      </c>
      <c r="H11510" s="333">
        <v>30369</v>
      </c>
    </row>
    <row r="11511" spans="1:8">
      <c r="A11511" s="317">
        <v>2607200648</v>
      </c>
      <c r="B11511" s="330" t="s">
        <v>55866</v>
      </c>
      <c r="C11511" s="330" t="s">
        <v>25137</v>
      </c>
      <c r="D11511" s="330" t="s">
        <v>25138</v>
      </c>
      <c r="E11511" s="330" t="s">
        <v>4634</v>
      </c>
      <c r="F11511" s="331">
        <v>0.21</v>
      </c>
      <c r="G11511" s="332">
        <v>7618</v>
      </c>
      <c r="H11511" s="333">
        <v>9218</v>
      </c>
    </row>
    <row r="11512" spans="1:8">
      <c r="A11512" s="317">
        <v>2607200660</v>
      </c>
      <c r="B11512" s="330" t="s">
        <v>55867</v>
      </c>
      <c r="C11512" s="330" t="s">
        <v>25139</v>
      </c>
      <c r="D11512" s="330" t="s">
        <v>25140</v>
      </c>
      <c r="E11512" s="330" t="s">
        <v>4634</v>
      </c>
      <c r="F11512" s="331">
        <v>0.21</v>
      </c>
      <c r="G11512" s="332">
        <v>3417</v>
      </c>
      <c r="H11512" s="333">
        <v>4135</v>
      </c>
    </row>
    <row r="11513" spans="1:8">
      <c r="A11513" s="317">
        <v>2607200669</v>
      </c>
      <c r="B11513" s="330" t="s">
        <v>55868</v>
      </c>
      <c r="C11513" s="330" t="s">
        <v>25141</v>
      </c>
      <c r="D11513" s="330" t="s">
        <v>25142</v>
      </c>
      <c r="E11513" s="330" t="s">
        <v>37248</v>
      </c>
      <c r="F11513" s="331">
        <v>0.21</v>
      </c>
      <c r="G11513" s="332">
        <v>20168</v>
      </c>
      <c r="H11513" s="333">
        <v>24404</v>
      </c>
    </row>
    <row r="11514" spans="1:8">
      <c r="A11514" s="317">
        <v>2607200670</v>
      </c>
      <c r="B11514" s="330" t="s">
        <v>55869</v>
      </c>
      <c r="C11514" s="330" t="s">
        <v>25143</v>
      </c>
      <c r="D11514" s="330" t="s">
        <v>25144</v>
      </c>
      <c r="E11514" s="330" t="s">
        <v>37248</v>
      </c>
      <c r="F11514" s="331">
        <v>0.21</v>
      </c>
      <c r="G11514" s="332">
        <v>14823</v>
      </c>
      <c r="H11514" s="333">
        <v>17936</v>
      </c>
    </row>
    <row r="11515" spans="1:8">
      <c r="A11515" s="317">
        <v>2607200674</v>
      </c>
      <c r="B11515" s="330" t="s">
        <v>55870</v>
      </c>
      <c r="C11515" s="330" t="s">
        <v>25145</v>
      </c>
      <c r="D11515" s="330" t="s">
        <v>5441</v>
      </c>
      <c r="E11515" s="330" t="s">
        <v>37248</v>
      </c>
      <c r="F11515" s="331">
        <v>0.21</v>
      </c>
      <c r="G11515" s="332">
        <v>6058</v>
      </c>
      <c r="H11515" s="333">
        <v>7331</v>
      </c>
    </row>
    <row r="11516" spans="1:8">
      <c r="A11516" s="317">
        <v>2607200678</v>
      </c>
      <c r="B11516" s="330" t="s">
        <v>55871</v>
      </c>
      <c r="C11516" s="330" t="s">
        <v>25146</v>
      </c>
      <c r="D11516" s="330" t="s">
        <v>13407</v>
      </c>
      <c r="E11516" s="330" t="s">
        <v>37248</v>
      </c>
      <c r="F11516" s="331">
        <v>0.21</v>
      </c>
      <c r="G11516" s="332">
        <v>3580</v>
      </c>
      <c r="H11516" s="333">
        <v>4332</v>
      </c>
    </row>
    <row r="11517" spans="1:8">
      <c r="A11517" s="317">
        <v>2607200686</v>
      </c>
      <c r="B11517" s="330" t="s">
        <v>55872</v>
      </c>
      <c r="C11517" s="330" t="s">
        <v>25147</v>
      </c>
      <c r="D11517" s="330" t="s">
        <v>19329</v>
      </c>
      <c r="E11517" s="330" t="s">
        <v>4634</v>
      </c>
      <c r="F11517" s="331">
        <v>0.21</v>
      </c>
      <c r="G11517" s="332">
        <v>348</v>
      </c>
      <c r="H11517" s="333">
        <v>422</v>
      </c>
    </row>
    <row r="11518" spans="1:8">
      <c r="A11518" s="317">
        <v>2607200689</v>
      </c>
      <c r="B11518" s="330" t="s">
        <v>55873</v>
      </c>
      <c r="C11518" s="330" t="s">
        <v>25148</v>
      </c>
      <c r="D11518" s="330" t="s">
        <v>25149</v>
      </c>
      <c r="E11518" s="330" t="s">
        <v>37248</v>
      </c>
      <c r="F11518" s="331">
        <v>0.21</v>
      </c>
      <c r="G11518" s="332">
        <v>11697</v>
      </c>
      <c r="H11518" s="333">
        <v>14154</v>
      </c>
    </row>
    <row r="11519" spans="1:8">
      <c r="A11519" s="317">
        <v>2607200714</v>
      </c>
      <c r="B11519" s="330" t="s">
        <v>55874</v>
      </c>
      <c r="C11519" s="330" t="s">
        <v>25150</v>
      </c>
      <c r="D11519" s="330" t="s">
        <v>10780</v>
      </c>
      <c r="E11519" s="330" t="s">
        <v>37248</v>
      </c>
      <c r="F11519" s="331">
        <v>0.21</v>
      </c>
      <c r="G11519" s="332">
        <v>339</v>
      </c>
      <c r="H11519" s="333">
        <v>411</v>
      </c>
    </row>
    <row r="11520" spans="1:8">
      <c r="A11520" s="317">
        <v>2607200715</v>
      </c>
      <c r="B11520" s="330" t="s">
        <v>55875</v>
      </c>
      <c r="C11520" s="330" t="s">
        <v>25151</v>
      </c>
      <c r="D11520" s="330" t="s">
        <v>25152</v>
      </c>
      <c r="E11520" s="330" t="s">
        <v>37248</v>
      </c>
      <c r="F11520" s="331">
        <v>0.21</v>
      </c>
      <c r="G11520" s="332">
        <v>339</v>
      </c>
      <c r="H11520" s="333">
        <v>411</v>
      </c>
    </row>
    <row r="11521" spans="1:8">
      <c r="A11521" s="317">
        <v>2607200717</v>
      </c>
      <c r="B11521" s="330" t="s">
        <v>55876</v>
      </c>
      <c r="C11521" s="330" t="s">
        <v>25153</v>
      </c>
      <c r="D11521" s="330" t="s">
        <v>6840</v>
      </c>
      <c r="E11521" s="330" t="s">
        <v>37248</v>
      </c>
      <c r="F11521" s="331">
        <v>0.21</v>
      </c>
      <c r="G11521" s="332">
        <v>4492</v>
      </c>
      <c r="H11521" s="333">
        <v>5436</v>
      </c>
    </row>
    <row r="11522" spans="1:8">
      <c r="A11522" s="317">
        <v>2607200718</v>
      </c>
      <c r="B11522" s="330" t="s">
        <v>55877</v>
      </c>
      <c r="C11522" s="330" t="s">
        <v>25154</v>
      </c>
      <c r="D11522" s="330" t="s">
        <v>5048</v>
      </c>
      <c r="E11522" s="330" t="s">
        <v>4819</v>
      </c>
      <c r="F11522" s="331">
        <v>0.21</v>
      </c>
      <c r="G11522" s="332">
        <v>25653</v>
      </c>
      <c r="H11522" s="333">
        <v>31041</v>
      </c>
    </row>
    <row r="11523" spans="1:8">
      <c r="A11523" s="317">
        <v>2607200919</v>
      </c>
      <c r="B11523" s="330" t="s">
        <v>55878</v>
      </c>
      <c r="C11523" s="330" t="s">
        <v>25155</v>
      </c>
      <c r="D11523" s="330" t="s">
        <v>25156</v>
      </c>
      <c r="E11523" s="330" t="s">
        <v>4634</v>
      </c>
      <c r="F11523" s="331">
        <v>0.21</v>
      </c>
      <c r="G11523" s="332">
        <v>35989</v>
      </c>
      <c r="H11523" s="333">
        <v>43547</v>
      </c>
    </row>
    <row r="11524" spans="1:8">
      <c r="A11524" s="317">
        <v>2607200920</v>
      </c>
      <c r="B11524" s="330" t="s">
        <v>55879</v>
      </c>
      <c r="C11524" s="330" t="s">
        <v>25157</v>
      </c>
      <c r="D11524" s="330" t="s">
        <v>25158</v>
      </c>
      <c r="E11524" s="330" t="s">
        <v>37248</v>
      </c>
      <c r="F11524" s="331">
        <v>0.21</v>
      </c>
      <c r="G11524" s="332">
        <v>10469</v>
      </c>
      <c r="H11524" s="333">
        <v>12668</v>
      </c>
    </row>
    <row r="11525" spans="1:8">
      <c r="A11525" s="317">
        <v>2607202014</v>
      </c>
      <c r="B11525" s="330" t="s">
        <v>55880</v>
      </c>
      <c r="C11525" s="330" t="s">
        <v>25159</v>
      </c>
      <c r="D11525" s="330" t="s">
        <v>25160</v>
      </c>
      <c r="E11525" s="330" t="s">
        <v>4819</v>
      </c>
      <c r="F11525" s="331">
        <v>0.21</v>
      </c>
      <c r="G11525" s="332">
        <v>40381</v>
      </c>
      <c r="H11525" s="333">
        <v>48862</v>
      </c>
    </row>
    <row r="11526" spans="1:8">
      <c r="A11526" s="317">
        <v>2607202015</v>
      </c>
      <c r="B11526" s="330" t="s">
        <v>55881</v>
      </c>
      <c r="C11526" s="330" t="s">
        <v>25161</v>
      </c>
      <c r="D11526" s="330" t="s">
        <v>25162</v>
      </c>
      <c r="E11526" s="330" t="s">
        <v>4634</v>
      </c>
      <c r="F11526" s="331">
        <v>0.21</v>
      </c>
      <c r="G11526" s="332">
        <v>7314</v>
      </c>
      <c r="H11526" s="333">
        <v>8850</v>
      </c>
    </row>
    <row r="11527" spans="1:8">
      <c r="A11527" s="317">
        <v>2607202069</v>
      </c>
      <c r="B11527" s="330" t="s">
        <v>55882</v>
      </c>
      <c r="C11527" s="330" t="s">
        <v>25163</v>
      </c>
      <c r="D11527" s="330" t="s">
        <v>25164</v>
      </c>
      <c r="E11527" s="330" t="s">
        <v>37248</v>
      </c>
      <c r="F11527" s="331">
        <v>0.21</v>
      </c>
      <c r="G11527" s="332">
        <v>30054</v>
      </c>
      <c r="H11527" s="333">
        <v>36366</v>
      </c>
    </row>
    <row r="11528" spans="1:8">
      <c r="A11528" s="317">
        <v>2607202071</v>
      </c>
      <c r="B11528" s="330" t="s">
        <v>55883</v>
      </c>
      <c r="C11528" s="330" t="s">
        <v>25165</v>
      </c>
      <c r="D11528" s="330" t="s">
        <v>10780</v>
      </c>
      <c r="E11528" s="330" t="s">
        <v>37248</v>
      </c>
      <c r="F11528" s="331">
        <v>0.21</v>
      </c>
      <c r="G11528" s="332">
        <v>13350</v>
      </c>
      <c r="H11528" s="333">
        <v>16154</v>
      </c>
    </row>
    <row r="11529" spans="1:8">
      <c r="A11529" s="317">
        <v>2607202084</v>
      </c>
      <c r="B11529" s="330" t="s">
        <v>55884</v>
      </c>
      <c r="C11529" s="330" t="s">
        <v>25166</v>
      </c>
      <c r="D11529" s="330" t="s">
        <v>25167</v>
      </c>
      <c r="E11529" s="330" t="s">
        <v>37248</v>
      </c>
      <c r="F11529" s="331">
        <v>0.21</v>
      </c>
      <c r="G11529" s="332">
        <v>5378</v>
      </c>
      <c r="H11529" s="333">
        <v>6508</v>
      </c>
    </row>
    <row r="11530" spans="1:8">
      <c r="A11530" s="317">
        <v>2607202312</v>
      </c>
      <c r="B11530" s="330" t="s">
        <v>55885</v>
      </c>
      <c r="C11530" s="330" t="s">
        <v>25168</v>
      </c>
      <c r="D11530" s="330" t="s">
        <v>7651</v>
      </c>
      <c r="E11530" s="330" t="s">
        <v>37248</v>
      </c>
      <c r="F11530" s="331">
        <v>0.21</v>
      </c>
      <c r="G11530" s="332">
        <v>14783</v>
      </c>
      <c r="H11530" s="333">
        <v>17888</v>
      </c>
    </row>
    <row r="11531" spans="1:8">
      <c r="A11531" s="317">
        <v>2607202322</v>
      </c>
      <c r="B11531" s="330" t="s">
        <v>55886</v>
      </c>
      <c r="C11531" s="330" t="s">
        <v>25169</v>
      </c>
      <c r="D11531" s="330" t="s">
        <v>10780</v>
      </c>
      <c r="E11531" s="330" t="s">
        <v>37248</v>
      </c>
      <c r="F11531" s="331">
        <v>0.21</v>
      </c>
      <c r="G11531" s="332">
        <v>2054</v>
      </c>
      <c r="H11531" s="333">
        <v>2486</v>
      </c>
    </row>
    <row r="11532" spans="1:8">
      <c r="A11532" s="317">
        <v>2607202328</v>
      </c>
      <c r="B11532" s="330" t="s">
        <v>55887</v>
      </c>
      <c r="C11532" s="330" t="s">
        <v>25170</v>
      </c>
      <c r="D11532" s="330" t="s">
        <v>6840</v>
      </c>
      <c r="E11532" s="330" t="s">
        <v>37248</v>
      </c>
      <c r="F11532" s="331">
        <v>0.21</v>
      </c>
      <c r="G11532" s="332">
        <v>6460</v>
      </c>
      <c r="H11532" s="333">
        <v>7817</v>
      </c>
    </row>
    <row r="11533" spans="1:8">
      <c r="A11533" s="317">
        <v>2607202329</v>
      </c>
      <c r="B11533" s="330" t="s">
        <v>55888</v>
      </c>
      <c r="C11533" s="330" t="s">
        <v>25171</v>
      </c>
      <c r="D11533" s="330" t="s">
        <v>25172</v>
      </c>
      <c r="E11533" s="330" t="s">
        <v>37248</v>
      </c>
      <c r="F11533" s="331">
        <v>0.21</v>
      </c>
      <c r="G11533" s="332">
        <v>18611</v>
      </c>
      <c r="H11533" s="333">
        <v>22520</v>
      </c>
    </row>
    <row r="11534" spans="1:8">
      <c r="A11534" s="317">
        <v>2607202355</v>
      </c>
      <c r="B11534" s="330" t="s">
        <v>55889</v>
      </c>
      <c r="C11534" s="330" t="s">
        <v>25173</v>
      </c>
      <c r="D11534" s="330" t="s">
        <v>10780</v>
      </c>
      <c r="E11534" s="330" t="s">
        <v>37248</v>
      </c>
      <c r="F11534" s="331">
        <v>0.21</v>
      </c>
      <c r="G11534" s="332">
        <v>1505</v>
      </c>
      <c r="H11534" s="333">
        <v>1822</v>
      </c>
    </row>
    <row r="11535" spans="1:8">
      <c r="A11535" s="317">
        <v>2607202358</v>
      </c>
      <c r="B11535" s="330" t="s">
        <v>55890</v>
      </c>
      <c r="C11535" s="330" t="s">
        <v>25174</v>
      </c>
      <c r="D11535" s="330" t="s">
        <v>25175</v>
      </c>
      <c r="E11535" s="330" t="s">
        <v>37248</v>
      </c>
      <c r="F11535" s="331">
        <v>0.21</v>
      </c>
      <c r="G11535" s="332">
        <v>12857</v>
      </c>
      <c r="H11535" s="333">
        <v>15557</v>
      </c>
    </row>
    <row r="11536" spans="1:8">
      <c r="A11536" s="317">
        <v>2607202360</v>
      </c>
      <c r="B11536" s="330" t="s">
        <v>55891</v>
      </c>
      <c r="C11536" s="330" t="s">
        <v>25176</v>
      </c>
      <c r="D11536" s="330" t="s">
        <v>5441</v>
      </c>
      <c r="E11536" s="330" t="s">
        <v>37248</v>
      </c>
      <c r="F11536" s="331">
        <v>0.21</v>
      </c>
      <c r="G11536" s="332">
        <v>2792</v>
      </c>
      <c r="H11536" s="333">
        <v>3379</v>
      </c>
    </row>
    <row r="11537" spans="1:8">
      <c r="A11537" s="317">
        <v>2607202377</v>
      </c>
      <c r="B11537" s="330" t="s">
        <v>55892</v>
      </c>
      <c r="C11537" s="330" t="s">
        <v>25177</v>
      </c>
      <c r="D11537" s="330" t="s">
        <v>25178</v>
      </c>
      <c r="E11537" s="330" t="s">
        <v>4634</v>
      </c>
      <c r="F11537" s="331">
        <v>0.21</v>
      </c>
      <c r="G11537" s="332">
        <v>9837</v>
      </c>
      <c r="H11537" s="333">
        <v>11903</v>
      </c>
    </row>
    <row r="11538" spans="1:8">
      <c r="A11538" s="317">
        <v>2607202381</v>
      </c>
      <c r="B11538" s="330" t="s">
        <v>55893</v>
      </c>
      <c r="C11538" s="330" t="s">
        <v>25179</v>
      </c>
      <c r="D11538" s="330" t="s">
        <v>10780</v>
      </c>
      <c r="E11538" s="330" t="s">
        <v>4623</v>
      </c>
      <c r="F11538" s="331">
        <v>0.21</v>
      </c>
      <c r="G11538" s="332">
        <v>2295</v>
      </c>
      <c r="H11538" s="333">
        <v>2777</v>
      </c>
    </row>
    <row r="11539" spans="1:8">
      <c r="A11539" s="317">
        <v>2607202385</v>
      </c>
      <c r="B11539" s="330" t="s">
        <v>55894</v>
      </c>
      <c r="C11539" s="330" t="s">
        <v>25180</v>
      </c>
      <c r="D11539" s="330" t="s">
        <v>25181</v>
      </c>
      <c r="E11539" s="330" t="s">
        <v>4634</v>
      </c>
      <c r="F11539" s="331">
        <v>0.21</v>
      </c>
      <c r="G11539" s="332">
        <v>21665</v>
      </c>
      <c r="H11539" s="333">
        <v>26215</v>
      </c>
    </row>
    <row r="11540" spans="1:8">
      <c r="A11540" s="317">
        <v>2607202386</v>
      </c>
      <c r="B11540" s="330" t="s">
        <v>55895</v>
      </c>
      <c r="C11540" s="330" t="s">
        <v>25182</v>
      </c>
      <c r="D11540" s="330" t="s">
        <v>25183</v>
      </c>
      <c r="E11540" s="330" t="s">
        <v>37248</v>
      </c>
      <c r="F11540" s="331">
        <v>0.21</v>
      </c>
      <c r="G11540" s="332">
        <v>2826</v>
      </c>
      <c r="H11540" s="333">
        <v>3420</v>
      </c>
    </row>
    <row r="11541" spans="1:8">
      <c r="A11541" s="317">
        <v>2607202394</v>
      </c>
      <c r="B11541" s="330" t="s">
        <v>55896</v>
      </c>
      <c r="C11541" s="330" t="s">
        <v>25184</v>
      </c>
      <c r="D11541" s="330" t="s">
        <v>6840</v>
      </c>
      <c r="E11541" s="330" t="s">
        <v>37248</v>
      </c>
      <c r="F11541" s="331">
        <v>0.21</v>
      </c>
      <c r="G11541" s="332">
        <v>8073</v>
      </c>
      <c r="H11541" s="333">
        <v>9769</v>
      </c>
    </row>
    <row r="11542" spans="1:8">
      <c r="A11542" s="317">
        <v>2607202399</v>
      </c>
      <c r="B11542" s="330" t="s">
        <v>55897</v>
      </c>
      <c r="C11542" s="330" t="s">
        <v>25185</v>
      </c>
      <c r="D11542" s="330" t="s">
        <v>8054</v>
      </c>
      <c r="E11542" s="330" t="s">
        <v>37248</v>
      </c>
      <c r="F11542" s="331">
        <v>0.21</v>
      </c>
      <c r="G11542" s="332">
        <v>24252</v>
      </c>
      <c r="H11542" s="333">
        <v>29345</v>
      </c>
    </row>
    <row r="11543" spans="1:8">
      <c r="A11543" s="317">
        <v>2607202501</v>
      </c>
      <c r="B11543" s="330" t="s">
        <v>55898</v>
      </c>
      <c r="C11543" s="330" t="s">
        <v>25186</v>
      </c>
      <c r="D11543" s="330" t="s">
        <v>6840</v>
      </c>
      <c r="E11543" s="330" t="s">
        <v>37248</v>
      </c>
      <c r="F11543" s="331">
        <v>0.21</v>
      </c>
      <c r="G11543" s="332">
        <v>4060</v>
      </c>
      <c r="H11543" s="333">
        <v>4913</v>
      </c>
    </row>
    <row r="11544" spans="1:8">
      <c r="A11544" s="317">
        <v>2607202509</v>
      </c>
      <c r="B11544" s="330" t="s">
        <v>55899</v>
      </c>
      <c r="C11544" s="330" t="s">
        <v>25187</v>
      </c>
      <c r="D11544" s="330" t="s">
        <v>6840</v>
      </c>
      <c r="E11544" s="330" t="s">
        <v>37248</v>
      </c>
      <c r="F11544" s="331">
        <v>0.21</v>
      </c>
      <c r="G11544" s="332">
        <v>8693</v>
      </c>
      <c r="H11544" s="333">
        <v>10519</v>
      </c>
    </row>
    <row r="11545" spans="1:8">
      <c r="A11545" s="317">
        <v>2607202510</v>
      </c>
      <c r="B11545" s="330" t="s">
        <v>55900</v>
      </c>
      <c r="C11545" s="330" t="s">
        <v>25188</v>
      </c>
      <c r="D11545" s="330" t="s">
        <v>6840</v>
      </c>
      <c r="E11545" s="330" t="s">
        <v>37248</v>
      </c>
      <c r="F11545" s="331">
        <v>0.21</v>
      </c>
      <c r="G11545" s="332">
        <v>5759</v>
      </c>
      <c r="H11545" s="333">
        <v>6969</v>
      </c>
    </row>
    <row r="11546" spans="1:8">
      <c r="A11546" s="317">
        <v>2607202753</v>
      </c>
      <c r="B11546" s="330" t="s">
        <v>55901</v>
      </c>
      <c r="C11546" s="330" t="s">
        <v>25189</v>
      </c>
      <c r="D11546" s="330" t="s">
        <v>8273</v>
      </c>
      <c r="E11546" s="330" t="s">
        <v>37248</v>
      </c>
      <c r="F11546" s="331">
        <v>0.21</v>
      </c>
      <c r="G11546" s="332">
        <v>2476</v>
      </c>
      <c r="H11546" s="333">
        <v>2996</v>
      </c>
    </row>
    <row r="11547" spans="1:8">
      <c r="A11547" s="317">
        <v>2607202902</v>
      </c>
      <c r="B11547" s="330" t="s">
        <v>55902</v>
      </c>
      <c r="C11547" s="330" t="s">
        <v>25190</v>
      </c>
      <c r="D11547" s="330" t="s">
        <v>8273</v>
      </c>
      <c r="E11547" s="330" t="s">
        <v>37248</v>
      </c>
      <c r="F11547" s="331">
        <v>0.21</v>
      </c>
      <c r="G11547" s="332">
        <v>7472</v>
      </c>
      <c r="H11547" s="333">
        <v>9042</v>
      </c>
    </row>
    <row r="11548" spans="1:8">
      <c r="A11548" s="317">
        <v>2607224440</v>
      </c>
      <c r="B11548" s="330" t="s">
        <v>55903</v>
      </c>
      <c r="C11548" s="330" t="s">
        <v>25191</v>
      </c>
      <c r="D11548" s="330" t="s">
        <v>25192</v>
      </c>
      <c r="E11548" s="330" t="s">
        <v>4634</v>
      </c>
      <c r="F11548" s="331">
        <v>0.21</v>
      </c>
      <c r="G11548" s="332">
        <v>10834</v>
      </c>
      <c r="H11548" s="333">
        <v>13110</v>
      </c>
    </row>
    <row r="11549" spans="1:8">
      <c r="A11549" s="317">
        <v>2607224701</v>
      </c>
      <c r="B11549" s="330" t="s">
        <v>55904</v>
      </c>
      <c r="C11549" s="330" t="s">
        <v>25193</v>
      </c>
      <c r="D11549" s="330" t="s">
        <v>25194</v>
      </c>
      <c r="E11549" s="330" t="s">
        <v>4634</v>
      </c>
      <c r="F11549" s="331">
        <v>0.21</v>
      </c>
      <c r="G11549" s="332">
        <v>121585</v>
      </c>
      <c r="H11549" s="333">
        <v>147118</v>
      </c>
    </row>
    <row r="11550" spans="1:8">
      <c r="A11550" s="317">
        <v>2607225027</v>
      </c>
      <c r="B11550" s="330" t="s">
        <v>55905</v>
      </c>
      <c r="C11550" s="330" t="s">
        <v>25195</v>
      </c>
      <c r="D11550" s="330" t="s">
        <v>25196</v>
      </c>
      <c r="E11550" s="330" t="s">
        <v>4634</v>
      </c>
      <c r="F11550" s="331">
        <v>0.21</v>
      </c>
      <c r="G11550" s="332">
        <v>46431</v>
      </c>
      <c r="H11550" s="333">
        <v>56182</v>
      </c>
    </row>
    <row r="11551" spans="1:8">
      <c r="A11551" s="317">
        <v>2607225123</v>
      </c>
      <c r="B11551" s="330" t="s">
        <v>55906</v>
      </c>
      <c r="C11551" s="330" t="s">
        <v>25197</v>
      </c>
      <c r="D11551" s="330" t="s">
        <v>25198</v>
      </c>
      <c r="E11551" s="330" t="s">
        <v>4623</v>
      </c>
      <c r="F11551" s="331">
        <v>0.21</v>
      </c>
      <c r="G11551" s="332">
        <v>15858</v>
      </c>
      <c r="H11551" s="333">
        <v>19189</v>
      </c>
    </row>
    <row r="11552" spans="1:8">
      <c r="A11552" s="317">
        <v>2607225317</v>
      </c>
      <c r="B11552" s="330" t="s">
        <v>55907</v>
      </c>
      <c r="C11552" s="330" t="s">
        <v>25199</v>
      </c>
      <c r="D11552" s="330" t="s">
        <v>25200</v>
      </c>
      <c r="E11552" s="330" t="s">
        <v>37248</v>
      </c>
      <c r="F11552" s="331">
        <v>0.21</v>
      </c>
      <c r="G11552" s="332">
        <v>59746</v>
      </c>
      <c r="H11552" s="333">
        <v>72293</v>
      </c>
    </row>
    <row r="11553" spans="1:8">
      <c r="A11553" s="317">
        <v>2607225323</v>
      </c>
      <c r="B11553" s="330" t="s">
        <v>55908</v>
      </c>
      <c r="C11553" s="330" t="s">
        <v>25201</v>
      </c>
      <c r="D11553" s="330" t="s">
        <v>25202</v>
      </c>
      <c r="E11553" s="330" t="s">
        <v>4634</v>
      </c>
      <c r="F11553" s="331">
        <v>0.21</v>
      </c>
      <c r="G11553" s="332">
        <v>21457</v>
      </c>
      <c r="H11553" s="333">
        <v>25963</v>
      </c>
    </row>
    <row r="11554" spans="1:8">
      <c r="A11554" s="317">
        <v>2607225493</v>
      </c>
      <c r="B11554" s="330" t="s">
        <v>55909</v>
      </c>
      <c r="C11554" s="330" t="s">
        <v>25203</v>
      </c>
      <c r="D11554" s="330" t="s">
        <v>25204</v>
      </c>
      <c r="E11554" s="330" t="s">
        <v>4634</v>
      </c>
      <c r="F11554" s="331">
        <v>0.21</v>
      </c>
      <c r="G11554" s="332">
        <v>121393</v>
      </c>
      <c r="H11554" s="333">
        <v>146886</v>
      </c>
    </row>
    <row r="11555" spans="1:8">
      <c r="A11555" s="317">
        <v>2607225513</v>
      </c>
      <c r="B11555" s="330" t="s">
        <v>55910</v>
      </c>
      <c r="C11555" s="330" t="s">
        <v>25205</v>
      </c>
      <c r="D11555" s="330" t="s">
        <v>25206</v>
      </c>
      <c r="E11555" s="330" t="s">
        <v>4634</v>
      </c>
      <c r="F11555" s="331">
        <v>0.21</v>
      </c>
      <c r="G11555" s="332">
        <v>42331</v>
      </c>
      <c r="H11555" s="333">
        <v>51221</v>
      </c>
    </row>
    <row r="11556" spans="1:8">
      <c r="A11556" s="317">
        <v>2607225533</v>
      </c>
      <c r="B11556" s="330" t="s">
        <v>55911</v>
      </c>
      <c r="C11556" s="330" t="s">
        <v>25207</v>
      </c>
      <c r="D11556" s="330" t="s">
        <v>25208</v>
      </c>
      <c r="E11556" s="330" t="s">
        <v>4634</v>
      </c>
      <c r="F11556" s="331">
        <v>0.21</v>
      </c>
      <c r="G11556" s="332">
        <v>48769</v>
      </c>
      <c r="H11556" s="333">
        <v>59011</v>
      </c>
    </row>
    <row r="11557" spans="1:8">
      <c r="A11557" s="317">
        <v>2607225575</v>
      </c>
      <c r="B11557" s="330" t="s">
        <v>55912</v>
      </c>
      <c r="C11557" s="330" t="s">
        <v>25209</v>
      </c>
      <c r="D11557" s="330" t="s">
        <v>25210</v>
      </c>
      <c r="E11557" s="330" t="s">
        <v>4634</v>
      </c>
      <c r="F11557" s="331">
        <v>0.21</v>
      </c>
      <c r="G11557" s="332">
        <v>9409</v>
      </c>
      <c r="H11557" s="333">
        <v>11385</v>
      </c>
    </row>
    <row r="11558" spans="1:8">
      <c r="A11558" s="317">
        <v>2607225697</v>
      </c>
      <c r="B11558" s="330" t="s">
        <v>55913</v>
      </c>
      <c r="C11558" s="330" t="s">
        <v>25211</v>
      </c>
      <c r="D11558" s="330" t="s">
        <v>25212</v>
      </c>
      <c r="E11558" s="330" t="s">
        <v>4634</v>
      </c>
      <c r="F11558" s="331">
        <v>0.21</v>
      </c>
      <c r="G11558" s="332">
        <v>18691</v>
      </c>
      <c r="H11558" s="333">
        <v>22617</v>
      </c>
    </row>
    <row r="11559" spans="1:8">
      <c r="A11559" s="317">
        <v>2607225705</v>
      </c>
      <c r="B11559" s="330" t="s">
        <v>55914</v>
      </c>
      <c r="C11559" s="330" t="s">
        <v>25213</v>
      </c>
      <c r="D11559" s="330" t="s">
        <v>25214</v>
      </c>
      <c r="E11559" s="330" t="s">
        <v>4634</v>
      </c>
      <c r="F11559" s="331">
        <v>0.21</v>
      </c>
      <c r="G11559" s="332">
        <v>36457</v>
      </c>
      <c r="H11559" s="333">
        <v>44113</v>
      </c>
    </row>
    <row r="11560" spans="1:8">
      <c r="A11560" s="317">
        <v>2607225711</v>
      </c>
      <c r="B11560" s="330" t="s">
        <v>55915</v>
      </c>
      <c r="C11560" s="330" t="s">
        <v>25215</v>
      </c>
      <c r="D11560" s="330" t="s">
        <v>25216</v>
      </c>
      <c r="E11560" s="330" t="s">
        <v>4634</v>
      </c>
      <c r="F11560" s="331">
        <v>0.21</v>
      </c>
      <c r="G11560" s="332">
        <v>48389</v>
      </c>
      <c r="H11560" s="333">
        <v>58551</v>
      </c>
    </row>
    <row r="11561" spans="1:8">
      <c r="A11561" s="317">
        <v>2607225751</v>
      </c>
      <c r="B11561" s="330" t="s">
        <v>55916</v>
      </c>
      <c r="C11561" s="330" t="s">
        <v>25217</v>
      </c>
      <c r="D11561" s="330" t="s">
        <v>25218</v>
      </c>
      <c r="E11561" s="330" t="s">
        <v>4634</v>
      </c>
      <c r="F11561" s="331">
        <v>0.21</v>
      </c>
      <c r="G11561" s="332">
        <v>29046</v>
      </c>
      <c r="H11561" s="333">
        <v>35146</v>
      </c>
    </row>
    <row r="11562" spans="1:8">
      <c r="A11562" s="317">
        <v>2607225783</v>
      </c>
      <c r="B11562" s="330" t="s">
        <v>55917</v>
      </c>
      <c r="C11562" s="330" t="s">
        <v>25219</v>
      </c>
      <c r="D11562" s="330" t="s">
        <v>25220</v>
      </c>
      <c r="E11562" s="330" t="s">
        <v>4634</v>
      </c>
      <c r="F11562" s="331">
        <v>0.21</v>
      </c>
      <c r="G11562" s="332">
        <v>15387</v>
      </c>
      <c r="H11562" s="333">
        <v>18619</v>
      </c>
    </row>
    <row r="11563" spans="1:8">
      <c r="A11563" s="317">
        <v>2607226089</v>
      </c>
      <c r="B11563" s="330" t="s">
        <v>55918</v>
      </c>
      <c r="C11563" s="330" t="s">
        <v>25221</v>
      </c>
      <c r="D11563" s="330" t="s">
        <v>25222</v>
      </c>
      <c r="E11563" s="330" t="s">
        <v>4634</v>
      </c>
      <c r="F11563" s="331">
        <v>0.21</v>
      </c>
      <c r="G11563" s="332">
        <v>40976</v>
      </c>
      <c r="H11563" s="333">
        <v>49581</v>
      </c>
    </row>
    <row r="11564" spans="1:8">
      <c r="A11564" s="317">
        <v>2607226187</v>
      </c>
      <c r="B11564" s="330" t="s">
        <v>55919</v>
      </c>
      <c r="C11564" s="330" t="s">
        <v>25223</v>
      </c>
      <c r="D11564" s="330" t="s">
        <v>25224</v>
      </c>
      <c r="E11564" s="330" t="s">
        <v>4819</v>
      </c>
      <c r="F11564" s="331">
        <v>0.21</v>
      </c>
      <c r="G11564" s="332">
        <v>12686</v>
      </c>
      <c r="H11564" s="333">
        <v>15351</v>
      </c>
    </row>
    <row r="11565" spans="1:8">
      <c r="A11565" s="317">
        <v>2607226201</v>
      </c>
      <c r="B11565" s="330" t="s">
        <v>55920</v>
      </c>
      <c r="C11565" s="330" t="s">
        <v>25225</v>
      </c>
      <c r="D11565" s="330" t="s">
        <v>25226</v>
      </c>
      <c r="E11565" s="330" t="s">
        <v>4634</v>
      </c>
      <c r="F11565" s="331">
        <v>0.21</v>
      </c>
      <c r="G11565" s="332">
        <v>28622</v>
      </c>
      <c r="H11565" s="333">
        <v>34633</v>
      </c>
    </row>
    <row r="11566" spans="1:8">
      <c r="A11566" s="317">
        <v>2607230011</v>
      </c>
      <c r="B11566" s="330" t="s">
        <v>55921</v>
      </c>
      <c r="C11566" s="330" t="s">
        <v>25227</v>
      </c>
      <c r="D11566" s="330" t="s">
        <v>25228</v>
      </c>
      <c r="E11566" s="330" t="s">
        <v>4634</v>
      </c>
      <c r="F11566" s="331">
        <v>0.21</v>
      </c>
      <c r="G11566" s="332">
        <v>19093</v>
      </c>
      <c r="H11566" s="333">
        <v>23103</v>
      </c>
    </row>
    <row r="11567" spans="1:8">
      <c r="A11567" s="317">
        <v>2607230013</v>
      </c>
      <c r="B11567" s="330" t="s">
        <v>55922</v>
      </c>
      <c r="C11567" s="330" t="s">
        <v>25229</v>
      </c>
      <c r="D11567" s="330" t="s">
        <v>25230</v>
      </c>
      <c r="E11567" s="330" t="s">
        <v>4819</v>
      </c>
      <c r="F11567" s="331">
        <v>0.21</v>
      </c>
      <c r="G11567" s="332">
        <v>32921</v>
      </c>
      <c r="H11567" s="333">
        <v>39835</v>
      </c>
    </row>
    <row r="11568" spans="1:8">
      <c r="A11568" s="317">
        <v>2607230018</v>
      </c>
      <c r="B11568" s="330" t="s">
        <v>55923</v>
      </c>
      <c r="C11568" s="330" t="s">
        <v>25231</v>
      </c>
      <c r="D11568" s="330" t="s">
        <v>25232</v>
      </c>
      <c r="E11568" s="330" t="s">
        <v>4634</v>
      </c>
      <c r="F11568" s="331">
        <v>0.21</v>
      </c>
      <c r="G11568" s="332">
        <v>44840</v>
      </c>
      <c r="H11568" s="333">
        <v>54257</v>
      </c>
    </row>
    <row r="11569" spans="1:8">
      <c r="A11569" s="317">
        <v>2607230025</v>
      </c>
      <c r="B11569" s="330" t="s">
        <v>55924</v>
      </c>
      <c r="C11569" s="330" t="s">
        <v>25233</v>
      </c>
      <c r="D11569" s="330" t="s">
        <v>25234</v>
      </c>
      <c r="E11569" s="330" t="s">
        <v>4634</v>
      </c>
      <c r="F11569" s="331">
        <v>0.21</v>
      </c>
      <c r="G11569" s="332">
        <v>7551</v>
      </c>
      <c r="H11569" s="333">
        <v>9137</v>
      </c>
    </row>
    <row r="11570" spans="1:8">
      <c r="A11570" s="317">
        <v>2607230039</v>
      </c>
      <c r="B11570" s="330" t="s">
        <v>55925</v>
      </c>
      <c r="C11570" s="330" t="s">
        <v>25235</v>
      </c>
      <c r="D11570" s="330" t="s">
        <v>25236</v>
      </c>
      <c r="E11570" s="330" t="s">
        <v>4634</v>
      </c>
      <c r="F11570" s="331">
        <v>0.21</v>
      </c>
      <c r="G11570" s="332">
        <v>7250</v>
      </c>
      <c r="H11570" s="333">
        <v>8773</v>
      </c>
    </row>
    <row r="11571" spans="1:8">
      <c r="A11571" s="317">
        <v>2607230042</v>
      </c>
      <c r="B11571" s="330" t="s">
        <v>55926</v>
      </c>
      <c r="C11571" s="330" t="s">
        <v>25237</v>
      </c>
      <c r="D11571" s="330" t="s">
        <v>25238</v>
      </c>
      <c r="E11571" s="330" t="s">
        <v>4634</v>
      </c>
      <c r="F11571" s="331">
        <v>0.21</v>
      </c>
      <c r="G11571" s="332">
        <v>8307</v>
      </c>
      <c r="H11571" s="333">
        <v>10052</v>
      </c>
    </row>
    <row r="11572" spans="1:8">
      <c r="A11572" s="317">
        <v>2607230044</v>
      </c>
      <c r="B11572" s="330" t="s">
        <v>55927</v>
      </c>
      <c r="C11572" s="330" t="s">
        <v>25239</v>
      </c>
      <c r="D11572" s="330" t="s">
        <v>25240</v>
      </c>
      <c r="E11572" s="330" t="s">
        <v>4634</v>
      </c>
      <c r="F11572" s="331">
        <v>0.21</v>
      </c>
      <c r="G11572" s="332">
        <v>1670</v>
      </c>
      <c r="H11572" s="333">
        <v>2021</v>
      </c>
    </row>
    <row r="11573" spans="1:8">
      <c r="A11573" s="317">
        <v>2607230082</v>
      </c>
      <c r="B11573" s="330" t="s">
        <v>55928</v>
      </c>
      <c r="C11573" s="330" t="s">
        <v>25241</v>
      </c>
      <c r="D11573" s="330" t="s">
        <v>25242</v>
      </c>
      <c r="E11573" s="330" t="s">
        <v>4634</v>
      </c>
      <c r="F11573" s="331">
        <v>0.21</v>
      </c>
      <c r="G11573" s="332">
        <v>10825</v>
      </c>
      <c r="H11573" s="333">
        <v>13099</v>
      </c>
    </row>
    <row r="11574" spans="1:8">
      <c r="A11574" s="317">
        <v>2607230086</v>
      </c>
      <c r="B11574" s="330" t="s">
        <v>55929</v>
      </c>
      <c r="C11574" s="330" t="s">
        <v>25243</v>
      </c>
      <c r="D11574" s="330" t="s">
        <v>25244</v>
      </c>
      <c r="E11574" s="330" t="s">
        <v>4634</v>
      </c>
      <c r="F11574" s="331">
        <v>0.21</v>
      </c>
      <c r="G11574" s="332">
        <v>11439</v>
      </c>
      <c r="H11574" s="333">
        <v>13842</v>
      </c>
    </row>
    <row r="11575" spans="1:8">
      <c r="A11575" s="317">
        <v>2607230119</v>
      </c>
      <c r="B11575" s="330" t="s">
        <v>55930</v>
      </c>
      <c r="C11575" s="330" t="s">
        <v>25245</v>
      </c>
      <c r="D11575" s="330" t="s">
        <v>25246</v>
      </c>
      <c r="E11575" s="330" t="s">
        <v>4819</v>
      </c>
      <c r="F11575" s="331">
        <v>0.21</v>
      </c>
      <c r="G11575" s="332">
        <v>44032</v>
      </c>
      <c r="H11575" s="333">
        <v>53279</v>
      </c>
    </row>
    <row r="11576" spans="1:8">
      <c r="A11576" s="317">
        <v>2607230121</v>
      </c>
      <c r="B11576" s="330" t="s">
        <v>55931</v>
      </c>
      <c r="C11576" s="330" t="s">
        <v>25247</v>
      </c>
      <c r="D11576" s="330" t="s">
        <v>25248</v>
      </c>
      <c r="E11576" s="330" t="s">
        <v>37248</v>
      </c>
      <c r="F11576" s="331">
        <v>0.21</v>
      </c>
      <c r="G11576" s="332">
        <v>64554</v>
      </c>
      <c r="H11576" s="333">
        <v>78111</v>
      </c>
    </row>
    <row r="11577" spans="1:8">
      <c r="A11577" s="317">
        <v>2607230126</v>
      </c>
      <c r="B11577" s="330" t="s">
        <v>55932</v>
      </c>
      <c r="C11577" s="330" t="s">
        <v>25249</v>
      </c>
      <c r="D11577" s="330" t="s">
        <v>25250</v>
      </c>
      <c r="E11577" s="330" t="s">
        <v>4634</v>
      </c>
      <c r="F11577" s="331">
        <v>0.21</v>
      </c>
      <c r="G11577" s="332">
        <v>15039</v>
      </c>
      <c r="H11577" s="333">
        <v>18198</v>
      </c>
    </row>
    <row r="11578" spans="1:8">
      <c r="A11578" s="317">
        <v>2607233017</v>
      </c>
      <c r="B11578" s="330" t="s">
        <v>55933</v>
      </c>
      <c r="C11578" s="330" t="s">
        <v>25251</v>
      </c>
      <c r="D11578" s="330" t="s">
        <v>25252</v>
      </c>
      <c r="E11578" s="330" t="s">
        <v>4634</v>
      </c>
      <c r="F11578" s="331">
        <v>0.21</v>
      </c>
      <c r="G11578" s="332">
        <v>7787</v>
      </c>
      <c r="H11578" s="333">
        <v>9423</v>
      </c>
    </row>
    <row r="11579" spans="1:8">
      <c r="A11579" s="317">
        <v>2607233019</v>
      </c>
      <c r="B11579" s="330" t="s">
        <v>55934</v>
      </c>
      <c r="C11579" s="330" t="s">
        <v>25253</v>
      </c>
      <c r="D11579" s="330" t="s">
        <v>25254</v>
      </c>
      <c r="E11579" s="330" t="s">
        <v>4634</v>
      </c>
      <c r="F11579" s="331">
        <v>0.21</v>
      </c>
      <c r="G11579" s="332">
        <v>15336</v>
      </c>
      <c r="H11579" s="333">
        <v>18557</v>
      </c>
    </row>
    <row r="11580" spans="1:8">
      <c r="A11580" s="317">
        <v>2607233025</v>
      </c>
      <c r="B11580" s="330" t="s">
        <v>55935</v>
      </c>
      <c r="C11580" s="330" t="s">
        <v>25255</v>
      </c>
      <c r="D11580" s="330" t="s">
        <v>25256</v>
      </c>
      <c r="E11580" s="330" t="s">
        <v>4634</v>
      </c>
      <c r="F11580" s="331">
        <v>0.21</v>
      </c>
      <c r="G11580" s="332">
        <v>10125</v>
      </c>
      <c r="H11580" s="333">
        <v>12252</v>
      </c>
    </row>
    <row r="11581" spans="1:8">
      <c r="A11581" s="317">
        <v>2607233029</v>
      </c>
      <c r="B11581" s="330" t="s">
        <v>55936</v>
      </c>
      <c r="C11581" s="330" t="s">
        <v>25257</v>
      </c>
      <c r="D11581" s="330" t="s">
        <v>25258</v>
      </c>
      <c r="E11581" s="330" t="s">
        <v>4634</v>
      </c>
      <c r="F11581" s="331">
        <v>0.21</v>
      </c>
      <c r="G11581" s="332">
        <v>5123</v>
      </c>
      <c r="H11581" s="333">
        <v>6199</v>
      </c>
    </row>
    <row r="11582" spans="1:8">
      <c r="A11582" s="317">
        <v>2607233052</v>
      </c>
      <c r="B11582" s="330" t="s">
        <v>55937</v>
      </c>
      <c r="C11582" s="330" t="s">
        <v>25259</v>
      </c>
      <c r="D11582" s="330" t="s">
        <v>25260</v>
      </c>
      <c r="E11582" s="330" t="s">
        <v>4634</v>
      </c>
      <c r="F11582" s="331">
        <v>0.21</v>
      </c>
      <c r="G11582" s="332">
        <v>10125</v>
      </c>
      <c r="H11582" s="333">
        <v>12252</v>
      </c>
    </row>
    <row r="11583" spans="1:8">
      <c r="A11583" s="317">
        <v>2607233064</v>
      </c>
      <c r="B11583" s="330" t="s">
        <v>55938</v>
      </c>
      <c r="C11583" s="330" t="s">
        <v>25261</v>
      </c>
      <c r="D11583" s="330" t="s">
        <v>25262</v>
      </c>
      <c r="E11583" s="330" t="s">
        <v>4634</v>
      </c>
      <c r="F11583" s="331">
        <v>0.21</v>
      </c>
      <c r="G11583" s="332">
        <v>14491</v>
      </c>
      <c r="H11583" s="333">
        <v>17535</v>
      </c>
    </row>
    <row r="11584" spans="1:8">
      <c r="A11584" s="317">
        <v>2607233071</v>
      </c>
      <c r="B11584" s="330" t="s">
        <v>55939</v>
      </c>
      <c r="C11584" s="330" t="s">
        <v>25263</v>
      </c>
      <c r="D11584" s="330" t="s">
        <v>25264</v>
      </c>
      <c r="E11584" s="330" t="s">
        <v>4819</v>
      </c>
      <c r="F11584" s="331">
        <v>0.21</v>
      </c>
      <c r="G11584" s="332">
        <v>70273</v>
      </c>
      <c r="H11584" s="333">
        <v>85031</v>
      </c>
    </row>
    <row r="11585" spans="1:8">
      <c r="A11585" s="317">
        <v>2607233073</v>
      </c>
      <c r="B11585" s="330" t="s">
        <v>55940</v>
      </c>
      <c r="C11585" s="330" t="s">
        <v>25265</v>
      </c>
      <c r="D11585" s="330" t="s">
        <v>25266</v>
      </c>
      <c r="E11585" s="330" t="s">
        <v>4634</v>
      </c>
      <c r="F11585" s="331">
        <v>0.21</v>
      </c>
      <c r="G11585" s="332">
        <v>14384</v>
      </c>
      <c r="H11585" s="333">
        <v>17405</v>
      </c>
    </row>
    <row r="11586" spans="1:8">
      <c r="A11586" s="317">
        <v>2607235007</v>
      </c>
      <c r="B11586" s="330" t="s">
        <v>55941</v>
      </c>
      <c r="C11586" s="330" t="s">
        <v>25267</v>
      </c>
      <c r="D11586" s="330" t="s">
        <v>25268</v>
      </c>
      <c r="E11586" s="330" t="s">
        <v>4634</v>
      </c>
      <c r="F11586" s="331">
        <v>0.21</v>
      </c>
      <c r="G11586" s="332">
        <v>5869</v>
      </c>
      <c r="H11586" s="333">
        <v>7102</v>
      </c>
    </row>
    <row r="11587" spans="1:8">
      <c r="A11587" s="317">
        <v>2607235008</v>
      </c>
      <c r="B11587" s="330" t="s">
        <v>55942</v>
      </c>
      <c r="C11587" s="330" t="s">
        <v>25269</v>
      </c>
      <c r="D11587" s="330" t="s">
        <v>25270</v>
      </c>
      <c r="E11587" s="330" t="s">
        <v>4634</v>
      </c>
      <c r="F11587" s="331">
        <v>0.21</v>
      </c>
      <c r="G11587" s="332">
        <v>10319</v>
      </c>
      <c r="H11587" s="333">
        <v>12486</v>
      </c>
    </row>
    <row r="11588" spans="1:8">
      <c r="A11588" s="317">
        <v>2607329056</v>
      </c>
      <c r="B11588" s="330" t="s">
        <v>55943</v>
      </c>
      <c r="C11588" s="330" t="s">
        <v>25271</v>
      </c>
      <c r="D11588" s="330" t="s">
        <v>25272</v>
      </c>
      <c r="E11588" s="330" t="s">
        <v>4634</v>
      </c>
      <c r="F11588" s="331">
        <v>0.21</v>
      </c>
      <c r="G11588" s="332">
        <v>2270</v>
      </c>
      <c r="H11588" s="333">
        <v>2747</v>
      </c>
    </row>
    <row r="11589" spans="1:8">
      <c r="A11589" s="317">
        <v>2607329114</v>
      </c>
      <c r="B11589" s="330" t="s">
        <v>55944</v>
      </c>
      <c r="C11589" s="330" t="s">
        <v>25273</v>
      </c>
      <c r="D11589" s="330" t="s">
        <v>25274</v>
      </c>
      <c r="E11589" s="330" t="s">
        <v>4634</v>
      </c>
      <c r="F11589" s="331">
        <v>0.21</v>
      </c>
      <c r="G11589" s="332">
        <v>6669</v>
      </c>
      <c r="H11589" s="333">
        <v>8070</v>
      </c>
    </row>
    <row r="11590" spans="1:8">
      <c r="A11590" s="317">
        <v>2607329117</v>
      </c>
      <c r="B11590" s="330" t="s">
        <v>55945</v>
      </c>
      <c r="C11590" s="330" t="s">
        <v>25275</v>
      </c>
      <c r="D11590" s="330" t="s">
        <v>25276</v>
      </c>
      <c r="E11590" s="330" t="s">
        <v>4634</v>
      </c>
      <c r="F11590" s="331">
        <v>0.21</v>
      </c>
      <c r="G11590" s="332">
        <v>791</v>
      </c>
      <c r="H11590" s="333">
        <v>958</v>
      </c>
    </row>
    <row r="11591" spans="1:8">
      <c r="A11591" s="317">
        <v>2607329118</v>
      </c>
      <c r="B11591" s="330" t="s">
        <v>55946</v>
      </c>
      <c r="C11591" s="330" t="s">
        <v>25277</v>
      </c>
      <c r="D11591" s="330" t="s">
        <v>25278</v>
      </c>
      <c r="E11591" s="330" t="s">
        <v>4634</v>
      </c>
      <c r="F11591" s="331">
        <v>0.21</v>
      </c>
      <c r="G11591" s="332">
        <v>820</v>
      </c>
      <c r="H11591" s="333">
        <v>993</v>
      </c>
    </row>
    <row r="11592" spans="1:8">
      <c r="A11592" s="317">
        <v>2607329124</v>
      </c>
      <c r="B11592" s="330" t="s">
        <v>55947</v>
      </c>
      <c r="C11592" s="330" t="s">
        <v>25279</v>
      </c>
      <c r="D11592" s="330" t="s">
        <v>25280</v>
      </c>
      <c r="E11592" s="330" t="s">
        <v>4634</v>
      </c>
      <c r="F11592" s="331">
        <v>0.21</v>
      </c>
      <c r="G11592" s="332">
        <v>2063</v>
      </c>
      <c r="H11592" s="333">
        <v>2497</v>
      </c>
    </row>
    <row r="11593" spans="1:8">
      <c r="A11593" s="317">
        <v>2607329138</v>
      </c>
      <c r="B11593" s="330" t="s">
        <v>55948</v>
      </c>
      <c r="C11593" s="330" t="s">
        <v>25281</v>
      </c>
      <c r="D11593" s="330" t="s">
        <v>25282</v>
      </c>
      <c r="E11593" s="330" t="s">
        <v>4634</v>
      </c>
      <c r="F11593" s="331">
        <v>0.21</v>
      </c>
      <c r="G11593" s="332">
        <v>1126</v>
      </c>
      <c r="H11593" s="333">
        <v>1363</v>
      </c>
    </row>
    <row r="11594" spans="1:8">
      <c r="A11594" s="317">
        <v>2607329148</v>
      </c>
      <c r="B11594" s="330" t="s">
        <v>55949</v>
      </c>
      <c r="C11594" s="330" t="s">
        <v>25283</v>
      </c>
      <c r="D11594" s="330" t="s">
        <v>25284</v>
      </c>
      <c r="E11594" s="330" t="s">
        <v>4634</v>
      </c>
      <c r="F11594" s="331">
        <v>0.21</v>
      </c>
      <c r="G11594" s="332">
        <v>1581</v>
      </c>
      <c r="H11594" s="333">
        <v>1914</v>
      </c>
    </row>
    <row r="11595" spans="1:8">
      <c r="A11595" s="317">
        <v>2607329150</v>
      </c>
      <c r="B11595" s="330" t="s">
        <v>55950</v>
      </c>
      <c r="C11595" s="330" t="s">
        <v>25285</v>
      </c>
      <c r="D11595" s="330" t="s">
        <v>25286</v>
      </c>
      <c r="E11595" s="330" t="s">
        <v>4634</v>
      </c>
      <c r="F11595" s="331">
        <v>0.21</v>
      </c>
      <c r="G11595" s="332">
        <v>2797</v>
      </c>
      <c r="H11595" s="333">
        <v>3385</v>
      </c>
    </row>
    <row r="11596" spans="1:8">
      <c r="A11596" s="317">
        <v>2607329151</v>
      </c>
      <c r="B11596" s="330" t="s">
        <v>55951</v>
      </c>
      <c r="C11596" s="330" t="s">
        <v>25287</v>
      </c>
      <c r="D11596" s="330" t="s">
        <v>25288</v>
      </c>
      <c r="E11596" s="330" t="s">
        <v>4634</v>
      </c>
      <c r="F11596" s="331">
        <v>0.21</v>
      </c>
      <c r="G11596" s="332">
        <v>1976</v>
      </c>
      <c r="H11596" s="333">
        <v>2391</v>
      </c>
    </row>
    <row r="11597" spans="1:8">
      <c r="A11597" s="317">
        <v>2607335373</v>
      </c>
      <c r="B11597" s="330" t="s">
        <v>55952</v>
      </c>
      <c r="C11597" s="330" t="s">
        <v>25289</v>
      </c>
      <c r="D11597" s="330" t="s">
        <v>25290</v>
      </c>
      <c r="E11597" s="330" t="s">
        <v>4634</v>
      </c>
      <c r="F11597" s="331">
        <v>0.21</v>
      </c>
      <c r="G11597" s="332">
        <v>8729</v>
      </c>
      <c r="H11597" s="333">
        <v>10563</v>
      </c>
    </row>
    <row r="11598" spans="1:8">
      <c r="A11598" s="317">
        <v>2607335375</v>
      </c>
      <c r="B11598" s="330" t="s">
        <v>55953</v>
      </c>
      <c r="C11598" s="330" t="s">
        <v>25291</v>
      </c>
      <c r="D11598" s="330" t="s">
        <v>25292</v>
      </c>
      <c r="E11598" s="330" t="s">
        <v>4634</v>
      </c>
      <c r="F11598" s="331">
        <v>0.21</v>
      </c>
      <c r="G11598" s="332">
        <v>17308</v>
      </c>
      <c r="H11598" s="333">
        <v>20943</v>
      </c>
    </row>
    <row r="11599" spans="1:8">
      <c r="A11599" s="317">
        <v>2607335437</v>
      </c>
      <c r="B11599" s="330" t="s">
        <v>55954</v>
      </c>
      <c r="C11599" s="330" t="s">
        <v>25293</v>
      </c>
      <c r="D11599" s="330" t="s">
        <v>25294</v>
      </c>
      <c r="E11599" s="330" t="s">
        <v>4634</v>
      </c>
      <c r="F11599" s="331">
        <v>0.21</v>
      </c>
      <c r="G11599" s="332">
        <v>21758</v>
      </c>
      <c r="H11599" s="333">
        <v>26328</v>
      </c>
    </row>
    <row r="11600" spans="1:8">
      <c r="A11600" s="317">
        <v>2607335445</v>
      </c>
      <c r="B11600" s="330" t="s">
        <v>55955</v>
      </c>
      <c r="C11600" s="330" t="s">
        <v>25295</v>
      </c>
      <c r="D11600" s="330" t="s">
        <v>25296</v>
      </c>
      <c r="E11600" s="330" t="s">
        <v>4634</v>
      </c>
      <c r="F11600" s="331">
        <v>0.21</v>
      </c>
      <c r="G11600" s="332">
        <v>68598</v>
      </c>
      <c r="H11600" s="333">
        <v>83004</v>
      </c>
    </row>
    <row r="11601" spans="1:8">
      <c r="A11601" s="317">
        <v>2607335534</v>
      </c>
      <c r="B11601" s="330" t="s">
        <v>55956</v>
      </c>
      <c r="C11601" s="330" t="s">
        <v>25297</v>
      </c>
      <c r="D11601" s="330" t="s">
        <v>25298</v>
      </c>
      <c r="E11601" s="330" t="s">
        <v>4634</v>
      </c>
      <c r="F11601" s="331">
        <v>0.21</v>
      </c>
      <c r="G11601" s="332">
        <v>27710</v>
      </c>
      <c r="H11601" s="333">
        <v>33530</v>
      </c>
    </row>
    <row r="11602" spans="1:8">
      <c r="A11602" s="317">
        <v>2607335540</v>
      </c>
      <c r="B11602" s="330" t="s">
        <v>55957</v>
      </c>
      <c r="C11602" s="330" t="s">
        <v>25299</v>
      </c>
      <c r="D11602" s="330" t="s">
        <v>25300</v>
      </c>
      <c r="E11602" s="330" t="s">
        <v>4634</v>
      </c>
      <c r="F11602" s="331">
        <v>0.21</v>
      </c>
      <c r="G11602" s="332">
        <v>23389</v>
      </c>
      <c r="H11602" s="333">
        <v>28301</v>
      </c>
    </row>
    <row r="11603" spans="1:8">
      <c r="A11603" s="317">
        <v>2607335565</v>
      </c>
      <c r="B11603" s="330" t="s">
        <v>55958</v>
      </c>
      <c r="C11603" s="330" t="s">
        <v>25301</v>
      </c>
      <c r="D11603" s="330" t="s">
        <v>25302</v>
      </c>
      <c r="E11603" s="330" t="s">
        <v>4634</v>
      </c>
      <c r="F11603" s="331">
        <v>0.21</v>
      </c>
      <c r="G11603" s="332">
        <v>11591</v>
      </c>
      <c r="H11603" s="333">
        <v>14026</v>
      </c>
    </row>
    <row r="11604" spans="1:8">
      <c r="A11604" s="317" t="s">
        <v>25303</v>
      </c>
      <c r="B11604" s="330" t="s">
        <v>25303</v>
      </c>
      <c r="C11604" s="330" t="s">
        <v>25304</v>
      </c>
      <c r="D11604" s="330" t="s">
        <v>25305</v>
      </c>
      <c r="E11604" s="330" t="s">
        <v>4634</v>
      </c>
      <c r="F11604" s="331">
        <v>0.21</v>
      </c>
      <c r="G11604" s="332">
        <v>28025</v>
      </c>
      <c r="H11604" s="333">
        <v>33911</v>
      </c>
    </row>
    <row r="11605" spans="1:8">
      <c r="A11605" s="317">
        <v>2607335707</v>
      </c>
      <c r="B11605" s="330" t="s">
        <v>55959</v>
      </c>
      <c r="C11605" s="330" t="s">
        <v>25306</v>
      </c>
      <c r="D11605" s="330" t="s">
        <v>25307</v>
      </c>
      <c r="E11605" s="330" t="s">
        <v>4634</v>
      </c>
      <c r="F11605" s="331">
        <v>0.21</v>
      </c>
      <c r="G11605" s="332">
        <v>75165</v>
      </c>
      <c r="H11605" s="333">
        <v>90950</v>
      </c>
    </row>
    <row r="11606" spans="1:8">
      <c r="A11606" s="317">
        <v>2607335713</v>
      </c>
      <c r="B11606" s="330" t="s">
        <v>55960</v>
      </c>
      <c r="C11606" s="330" t="s">
        <v>25308</v>
      </c>
      <c r="D11606" s="330" t="s">
        <v>25309</v>
      </c>
      <c r="E11606" s="330" t="s">
        <v>4634</v>
      </c>
      <c r="F11606" s="331">
        <v>0.21</v>
      </c>
      <c r="G11606" s="332">
        <v>33626</v>
      </c>
      <c r="H11606" s="333">
        <v>40688</v>
      </c>
    </row>
    <row r="11607" spans="1:8">
      <c r="A11607" s="317">
        <v>2607335877</v>
      </c>
      <c r="B11607" s="330" t="s">
        <v>55961</v>
      </c>
      <c r="C11607" s="330" t="s">
        <v>25310</v>
      </c>
      <c r="D11607" s="330" t="s">
        <v>25311</v>
      </c>
      <c r="E11607" s="330" t="s">
        <v>4634</v>
      </c>
      <c r="F11607" s="331">
        <v>0.21</v>
      </c>
      <c r="G11607" s="332">
        <v>55463</v>
      </c>
      <c r="H11607" s="333">
        <v>67111</v>
      </c>
    </row>
    <row r="11608" spans="1:8">
      <c r="A11608" s="317">
        <v>2607336013</v>
      </c>
      <c r="B11608" s="330" t="s">
        <v>55962</v>
      </c>
      <c r="C11608" s="330" t="s">
        <v>25312</v>
      </c>
      <c r="D11608" s="330" t="s">
        <v>25313</v>
      </c>
      <c r="E11608" s="330" t="s">
        <v>4634</v>
      </c>
      <c r="F11608" s="331">
        <v>0.21</v>
      </c>
      <c r="G11608" s="332">
        <v>32682</v>
      </c>
      <c r="H11608" s="333">
        <v>39546</v>
      </c>
    </row>
    <row r="11609" spans="1:8">
      <c r="A11609" s="317">
        <v>2607336027</v>
      </c>
      <c r="B11609" s="330" t="s">
        <v>55963</v>
      </c>
      <c r="C11609" s="330" t="s">
        <v>25314</v>
      </c>
      <c r="D11609" s="330" t="s">
        <v>25315</v>
      </c>
      <c r="E11609" s="330" t="s">
        <v>4634</v>
      </c>
      <c r="F11609" s="331">
        <v>0.21</v>
      </c>
      <c r="G11609" s="332">
        <v>20672</v>
      </c>
      <c r="H11609" s="333">
        <v>25014</v>
      </c>
    </row>
    <row r="11610" spans="1:8">
      <c r="A11610" s="317">
        <v>2607336091</v>
      </c>
      <c r="B11610" s="330" t="s">
        <v>55964</v>
      </c>
      <c r="C11610" s="330" t="s">
        <v>25316</v>
      </c>
      <c r="D11610" s="330" t="s">
        <v>25317</v>
      </c>
      <c r="E11610" s="330" t="s">
        <v>4634</v>
      </c>
      <c r="F11610" s="331">
        <v>0.21</v>
      </c>
      <c r="G11610" s="332">
        <v>85853</v>
      </c>
      <c r="H11610" s="333">
        <v>103883</v>
      </c>
    </row>
    <row r="11611" spans="1:8">
      <c r="A11611" s="317">
        <v>2607336149</v>
      </c>
      <c r="B11611" s="330" t="s">
        <v>55965</v>
      </c>
      <c r="C11611" s="330" t="s">
        <v>25318</v>
      </c>
      <c r="D11611" s="330" t="s">
        <v>25319</v>
      </c>
      <c r="E11611" s="330" t="s">
        <v>4634</v>
      </c>
      <c r="F11611" s="331">
        <v>0.21</v>
      </c>
      <c r="G11611" s="332">
        <v>11472</v>
      </c>
      <c r="H11611" s="333">
        <v>13882</v>
      </c>
    </row>
    <row r="11612" spans="1:8">
      <c r="A11612" s="317">
        <v>2607336261</v>
      </c>
      <c r="B11612" s="330" t="s">
        <v>55966</v>
      </c>
      <c r="C11612" s="330" t="s">
        <v>25320</v>
      </c>
      <c r="D11612" s="330" t="s">
        <v>25321</v>
      </c>
      <c r="E11612" s="330" t="s">
        <v>4634</v>
      </c>
      <c r="F11612" s="331">
        <v>0.21</v>
      </c>
      <c r="G11612" s="332">
        <v>14790</v>
      </c>
      <c r="H11612" s="333">
        <v>17896</v>
      </c>
    </row>
    <row r="11613" spans="1:8">
      <c r="A11613" s="317">
        <v>2607336331</v>
      </c>
      <c r="B11613" s="330" t="s">
        <v>55967</v>
      </c>
      <c r="C11613" s="330" t="s">
        <v>25322</v>
      </c>
      <c r="D11613" s="330" t="s">
        <v>25323</v>
      </c>
      <c r="E11613" s="330" t="s">
        <v>4634</v>
      </c>
      <c r="F11613" s="331">
        <v>0.21</v>
      </c>
      <c r="G11613" s="332">
        <v>34706</v>
      </c>
      <c r="H11613" s="333">
        <v>41995</v>
      </c>
    </row>
    <row r="11614" spans="1:8">
      <c r="A11614" s="317">
        <v>2607336599</v>
      </c>
      <c r="B11614" s="330" t="s">
        <v>55968</v>
      </c>
      <c r="C11614" s="330" t="s">
        <v>25324</v>
      </c>
      <c r="D11614" s="330" t="s">
        <v>25325</v>
      </c>
      <c r="E11614" s="330" t="s">
        <v>4634</v>
      </c>
      <c r="F11614" s="331">
        <v>0.21</v>
      </c>
      <c r="G11614" s="332">
        <v>21522</v>
      </c>
      <c r="H11614" s="333">
        <v>26042</v>
      </c>
    </row>
    <row r="11615" spans="1:8">
      <c r="A11615" s="317">
        <v>2607336607</v>
      </c>
      <c r="B11615" s="330" t="s">
        <v>55969</v>
      </c>
      <c r="C11615" s="330" t="s">
        <v>25326</v>
      </c>
      <c r="D11615" s="330" t="s">
        <v>25327</v>
      </c>
      <c r="E11615" s="330" t="s">
        <v>4634</v>
      </c>
      <c r="F11615" s="331">
        <v>0.21</v>
      </c>
      <c r="G11615" s="332">
        <v>16779</v>
      </c>
      <c r="H11615" s="333">
        <v>20303</v>
      </c>
    </row>
    <row r="11616" spans="1:8">
      <c r="A11616" s="317">
        <v>2607336675</v>
      </c>
      <c r="B11616" s="330" t="s">
        <v>55970</v>
      </c>
      <c r="C11616" s="330" t="s">
        <v>25328</v>
      </c>
      <c r="D11616" s="330" t="s">
        <v>25329</v>
      </c>
      <c r="E11616" s="330" t="s">
        <v>4634</v>
      </c>
      <c r="F11616" s="331">
        <v>0.21</v>
      </c>
      <c r="G11616" s="332">
        <v>92423</v>
      </c>
      <c r="H11616" s="333">
        <v>111832</v>
      </c>
    </row>
    <row r="11617" spans="1:8">
      <c r="A11617" s="317">
        <v>2607336773</v>
      </c>
      <c r="B11617" s="330" t="s">
        <v>55971</v>
      </c>
      <c r="C11617" s="330" t="s">
        <v>25330</v>
      </c>
      <c r="D11617" s="330" t="s">
        <v>25331</v>
      </c>
      <c r="E11617" s="330" t="s">
        <v>4634</v>
      </c>
      <c r="F11617" s="331">
        <v>0.21</v>
      </c>
      <c r="G11617" s="332">
        <v>45616</v>
      </c>
      <c r="H11617" s="333">
        <v>55196</v>
      </c>
    </row>
    <row r="11618" spans="1:8">
      <c r="A11618" s="317">
        <v>2607336795</v>
      </c>
      <c r="B11618" s="330" t="s">
        <v>55972</v>
      </c>
      <c r="C11618" s="330" t="s">
        <v>25332</v>
      </c>
      <c r="D11618" s="330" t="s">
        <v>25333</v>
      </c>
      <c r="E11618" s="330" t="s">
        <v>4634</v>
      </c>
      <c r="F11618" s="331">
        <v>0.21</v>
      </c>
      <c r="G11618" s="332">
        <v>67679</v>
      </c>
      <c r="H11618" s="333">
        <v>81892</v>
      </c>
    </row>
    <row r="11619" spans="1:8">
      <c r="A11619" s="317">
        <v>2607336813</v>
      </c>
      <c r="B11619" s="330" t="s">
        <v>55973</v>
      </c>
      <c r="C11619" s="330" t="s">
        <v>25334</v>
      </c>
      <c r="D11619" s="330" t="s">
        <v>25335</v>
      </c>
      <c r="E11619" s="330" t="s">
        <v>4634</v>
      </c>
      <c r="F11619" s="331">
        <v>0.21</v>
      </c>
      <c r="G11619" s="332">
        <v>71150</v>
      </c>
      <c r="H11619" s="333">
        <v>86092</v>
      </c>
    </row>
    <row r="11620" spans="1:8">
      <c r="A11620" s="317">
        <v>2607336815</v>
      </c>
      <c r="B11620" s="330" t="s">
        <v>55974</v>
      </c>
      <c r="C11620" s="330" t="s">
        <v>25336</v>
      </c>
      <c r="D11620" s="330" t="s">
        <v>25337</v>
      </c>
      <c r="E11620" s="330" t="s">
        <v>4634</v>
      </c>
      <c r="F11620" s="331">
        <v>0.21</v>
      </c>
      <c r="G11620" s="332">
        <v>129257</v>
      </c>
      <c r="H11620" s="333">
        <v>156401</v>
      </c>
    </row>
    <row r="11621" spans="1:8">
      <c r="A11621" s="317">
        <v>2607336879</v>
      </c>
      <c r="B11621" s="330" t="s">
        <v>55975</v>
      </c>
      <c r="C11621" s="330" t="s">
        <v>25338</v>
      </c>
      <c r="D11621" s="330" t="s">
        <v>25339</v>
      </c>
      <c r="E11621" s="330" t="s">
        <v>4634</v>
      </c>
      <c r="F11621" s="331">
        <v>0.21</v>
      </c>
      <c r="G11621" s="332">
        <v>52791</v>
      </c>
      <c r="H11621" s="333">
        <v>63878</v>
      </c>
    </row>
    <row r="11622" spans="1:8">
      <c r="A11622" s="317">
        <v>2607336905</v>
      </c>
      <c r="B11622" s="330" t="s">
        <v>55976</v>
      </c>
      <c r="C11622" s="330" t="s">
        <v>25340</v>
      </c>
      <c r="D11622" s="330" t="s">
        <v>25341</v>
      </c>
      <c r="E11622" s="330" t="s">
        <v>4634</v>
      </c>
      <c r="F11622" s="331">
        <v>0.21</v>
      </c>
      <c r="G11622" s="332">
        <v>67650</v>
      </c>
      <c r="H11622" s="333">
        <v>81857</v>
      </c>
    </row>
    <row r="11623" spans="1:8">
      <c r="A11623" s="317">
        <v>2607337069</v>
      </c>
      <c r="B11623" s="330" t="s">
        <v>55977</v>
      </c>
      <c r="C11623" s="330" t="s">
        <v>25342</v>
      </c>
      <c r="D11623" s="330" t="s">
        <v>25343</v>
      </c>
      <c r="E11623" s="330" t="s">
        <v>37248</v>
      </c>
      <c r="F11623" s="331">
        <v>0.21</v>
      </c>
      <c r="G11623" s="332">
        <v>188954</v>
      </c>
      <c r="H11623" s="333">
        <v>228635</v>
      </c>
    </row>
    <row r="11624" spans="1:8">
      <c r="A11624" s="317">
        <v>2607337113</v>
      </c>
      <c r="B11624" s="330" t="s">
        <v>55978</v>
      </c>
      <c r="C11624" s="330" t="s">
        <v>25344</v>
      </c>
      <c r="D11624" s="330" t="s">
        <v>25345</v>
      </c>
      <c r="E11624" s="330" t="s">
        <v>4634</v>
      </c>
      <c r="F11624" s="331">
        <v>0.21</v>
      </c>
      <c r="G11624" s="332">
        <v>25087</v>
      </c>
      <c r="H11624" s="333">
        <v>30356</v>
      </c>
    </row>
    <row r="11625" spans="1:8">
      <c r="A11625" s="317">
        <v>2607337115</v>
      </c>
      <c r="B11625" s="330" t="s">
        <v>55979</v>
      </c>
      <c r="C11625" s="330" t="s">
        <v>25346</v>
      </c>
      <c r="D11625" s="330" t="s">
        <v>25347</v>
      </c>
      <c r="E11625" s="330" t="s">
        <v>4634</v>
      </c>
      <c r="F11625" s="331">
        <v>0.21</v>
      </c>
      <c r="G11625" s="332">
        <v>5933</v>
      </c>
      <c r="H11625" s="333">
        <v>7179</v>
      </c>
    </row>
    <row r="11626" spans="1:8">
      <c r="A11626" s="317">
        <v>2607337237</v>
      </c>
      <c r="B11626" s="330" t="s">
        <v>55980</v>
      </c>
      <c r="C11626" s="330" t="s">
        <v>25348</v>
      </c>
      <c r="D11626" s="330" t="s">
        <v>25349</v>
      </c>
      <c r="E11626" s="330" t="s">
        <v>4819</v>
      </c>
      <c r="F11626" s="331">
        <v>0.21</v>
      </c>
      <c r="G11626" s="332">
        <v>38493</v>
      </c>
      <c r="H11626" s="333">
        <v>46577</v>
      </c>
    </row>
    <row r="11627" spans="1:8">
      <c r="A11627" s="317">
        <v>2607337263</v>
      </c>
      <c r="B11627" s="330" t="s">
        <v>55981</v>
      </c>
      <c r="C11627" s="330" t="s">
        <v>25350</v>
      </c>
      <c r="D11627" s="330" t="s">
        <v>25351</v>
      </c>
      <c r="E11627" s="330" t="s">
        <v>4634</v>
      </c>
      <c r="F11627" s="331">
        <v>0.21</v>
      </c>
      <c r="G11627" s="332">
        <v>149693</v>
      </c>
      <c r="H11627" s="333">
        <v>181129</v>
      </c>
    </row>
    <row r="11628" spans="1:8">
      <c r="A11628" s="317">
        <v>2607950004</v>
      </c>
      <c r="B11628" s="330" t="s">
        <v>55982</v>
      </c>
      <c r="C11628" s="330" t="s">
        <v>25352</v>
      </c>
      <c r="D11628" s="330" t="s">
        <v>25353</v>
      </c>
      <c r="E11628" s="330" t="s">
        <v>37248</v>
      </c>
      <c r="F11628" s="331">
        <v>0.21</v>
      </c>
      <c r="G11628" s="332">
        <v>553</v>
      </c>
      <c r="H11628" s="333">
        <v>670</v>
      </c>
    </row>
    <row r="11629" spans="1:8">
      <c r="A11629" s="317">
        <v>2607950007</v>
      </c>
      <c r="B11629" s="330" t="s">
        <v>55983</v>
      </c>
      <c r="C11629" s="330" t="s">
        <v>25354</v>
      </c>
      <c r="D11629" s="330" t="s">
        <v>25355</v>
      </c>
      <c r="E11629" s="330" t="s">
        <v>4634</v>
      </c>
      <c r="F11629" s="331">
        <v>0.21</v>
      </c>
      <c r="G11629" s="332">
        <v>1170</v>
      </c>
      <c r="H11629" s="333">
        <v>1416</v>
      </c>
    </row>
    <row r="11630" spans="1:8">
      <c r="A11630" s="317">
        <v>2607950021</v>
      </c>
      <c r="B11630" s="330" t="s">
        <v>55984</v>
      </c>
      <c r="C11630" s="330" t="s">
        <v>25356</v>
      </c>
      <c r="D11630" s="330" t="s">
        <v>21309</v>
      </c>
      <c r="E11630" s="330" t="s">
        <v>4634</v>
      </c>
      <c r="F11630" s="331">
        <v>0.21</v>
      </c>
      <c r="G11630" s="332">
        <v>4963</v>
      </c>
      <c r="H11630" s="333">
        <v>6006</v>
      </c>
    </row>
    <row r="11631" spans="1:8">
      <c r="A11631" s="317">
        <v>2607950022</v>
      </c>
      <c r="B11631" s="330" t="s">
        <v>55985</v>
      </c>
      <c r="C11631" s="330" t="s">
        <v>25357</v>
      </c>
      <c r="D11631" s="330" t="s">
        <v>25358</v>
      </c>
      <c r="E11631" s="330" t="s">
        <v>4634</v>
      </c>
      <c r="F11631" s="331">
        <v>0.21</v>
      </c>
      <c r="G11631" s="332">
        <v>7662</v>
      </c>
      <c r="H11631" s="333">
        <v>9272</v>
      </c>
    </row>
    <row r="11632" spans="1:8">
      <c r="A11632" s="317">
        <v>2607950025</v>
      </c>
      <c r="B11632" s="330" t="s">
        <v>55986</v>
      </c>
      <c r="C11632" s="330" t="s">
        <v>25359</v>
      </c>
      <c r="D11632" s="330" t="s">
        <v>25360</v>
      </c>
      <c r="E11632" s="330" t="s">
        <v>37248</v>
      </c>
      <c r="F11632" s="331">
        <v>0.21</v>
      </c>
      <c r="G11632" s="332">
        <v>1155</v>
      </c>
      <c r="H11632" s="333">
        <v>1398</v>
      </c>
    </row>
    <row r="11633" spans="1:8">
      <c r="A11633" s="317">
        <v>2607990159</v>
      </c>
      <c r="B11633" s="330" t="s">
        <v>55987</v>
      </c>
      <c r="C11633" s="330" t="s">
        <v>25361</v>
      </c>
      <c r="D11633" s="330" t="s">
        <v>25362</v>
      </c>
      <c r="E11633" s="330" t="s">
        <v>37248</v>
      </c>
      <c r="F11633" s="331">
        <v>0.21</v>
      </c>
      <c r="G11633" s="332">
        <v>2295</v>
      </c>
      <c r="H11633" s="333">
        <v>2777</v>
      </c>
    </row>
    <row r="11634" spans="1:8">
      <c r="A11634" s="317">
        <v>2608000012</v>
      </c>
      <c r="B11634" s="330" t="s">
        <v>55988</v>
      </c>
      <c r="C11634" s="330" t="s">
        <v>25363</v>
      </c>
      <c r="D11634" s="330" t="s">
        <v>25364</v>
      </c>
      <c r="E11634" s="330" t="s">
        <v>4634</v>
      </c>
      <c r="F11634" s="331">
        <v>0.21</v>
      </c>
      <c r="G11634" s="332">
        <v>2123</v>
      </c>
      <c r="H11634" s="333">
        <v>2569</v>
      </c>
    </row>
    <row r="11635" spans="1:8">
      <c r="A11635" s="317">
        <v>2608000074</v>
      </c>
      <c r="B11635" s="330" t="s">
        <v>55989</v>
      </c>
      <c r="C11635" s="330" t="s">
        <v>25365</v>
      </c>
      <c r="D11635" s="330" t="s">
        <v>25366</v>
      </c>
      <c r="E11635" s="330" t="s">
        <v>4634</v>
      </c>
      <c r="F11635" s="331">
        <v>0.21</v>
      </c>
      <c r="G11635" s="332">
        <v>3923</v>
      </c>
      <c r="H11635" s="333">
        <v>4747</v>
      </c>
    </row>
    <row r="11636" spans="1:8">
      <c r="A11636" s="317">
        <v>2608000126</v>
      </c>
      <c r="B11636" s="330" t="s">
        <v>55990</v>
      </c>
      <c r="C11636" s="330" t="s">
        <v>25367</v>
      </c>
      <c r="D11636" s="330" t="s">
        <v>25368</v>
      </c>
      <c r="E11636" s="330" t="s">
        <v>4634</v>
      </c>
      <c r="F11636" s="331">
        <v>0.21</v>
      </c>
      <c r="G11636" s="332">
        <v>8731</v>
      </c>
      <c r="H11636" s="333">
        <v>10565</v>
      </c>
    </row>
    <row r="11637" spans="1:8">
      <c r="A11637" s="317">
        <v>2608000133</v>
      </c>
      <c r="B11637" s="330" t="s">
        <v>55991</v>
      </c>
      <c r="C11637" s="330" t="s">
        <v>25369</v>
      </c>
      <c r="D11637" s="330" t="s">
        <v>25370</v>
      </c>
      <c r="E11637" s="330" t="s">
        <v>4819</v>
      </c>
      <c r="F11637" s="331">
        <v>0.21</v>
      </c>
      <c r="G11637" s="332">
        <v>10013</v>
      </c>
      <c r="H11637" s="333">
        <v>12116</v>
      </c>
    </row>
    <row r="11638" spans="1:8">
      <c r="A11638" s="317">
        <v>2608000144</v>
      </c>
      <c r="B11638" s="330" t="s">
        <v>55992</v>
      </c>
      <c r="C11638" s="330" t="s">
        <v>25371</v>
      </c>
      <c r="D11638" s="330" t="s">
        <v>23035</v>
      </c>
      <c r="E11638" s="330" t="s">
        <v>4634</v>
      </c>
      <c r="F11638" s="331">
        <v>0.21</v>
      </c>
      <c r="G11638" s="332">
        <v>372</v>
      </c>
      <c r="H11638" s="333">
        <v>451</v>
      </c>
    </row>
    <row r="11639" spans="1:8">
      <c r="A11639" s="317">
        <v>2608000167</v>
      </c>
      <c r="B11639" s="330" t="s">
        <v>55993</v>
      </c>
      <c r="C11639" s="330" t="s">
        <v>25372</v>
      </c>
      <c r="D11639" s="330" t="s">
        <v>25373</v>
      </c>
      <c r="E11639" s="330" t="s">
        <v>4634</v>
      </c>
      <c r="F11639" s="331">
        <v>0.21</v>
      </c>
      <c r="G11639" s="332">
        <v>7250</v>
      </c>
      <c r="H11639" s="333">
        <v>8773</v>
      </c>
    </row>
    <row r="11640" spans="1:8">
      <c r="A11640" s="317">
        <v>2608000168</v>
      </c>
      <c r="B11640" s="330" t="s">
        <v>55994</v>
      </c>
      <c r="C11640" s="330" t="s">
        <v>25374</v>
      </c>
      <c r="D11640" s="330" t="s">
        <v>25375</v>
      </c>
      <c r="E11640" s="330" t="s">
        <v>37248</v>
      </c>
      <c r="F11640" s="331">
        <v>0.21</v>
      </c>
      <c r="G11640" s="332">
        <v>35716</v>
      </c>
      <c r="H11640" s="333">
        <v>43217</v>
      </c>
    </row>
    <row r="11641" spans="1:8">
      <c r="A11641" s="317">
        <v>2608000173</v>
      </c>
      <c r="B11641" s="330" t="s">
        <v>55995</v>
      </c>
      <c r="C11641" s="330" t="s">
        <v>25376</v>
      </c>
      <c r="D11641" s="330" t="s">
        <v>25377</v>
      </c>
      <c r="E11641" s="330" t="s">
        <v>37248</v>
      </c>
      <c r="F11641" s="331">
        <v>0.21</v>
      </c>
      <c r="G11641" s="332">
        <v>1880</v>
      </c>
      <c r="H11641" s="333">
        <v>2275</v>
      </c>
    </row>
    <row r="11642" spans="1:8">
      <c r="A11642" s="317">
        <v>2608000174</v>
      </c>
      <c r="B11642" s="330" t="s">
        <v>55996</v>
      </c>
      <c r="C11642" s="330" t="s">
        <v>25378</v>
      </c>
      <c r="D11642" s="330" t="s">
        <v>25379</v>
      </c>
      <c r="E11642" s="330" t="s">
        <v>37248</v>
      </c>
      <c r="F11642" s="331">
        <v>0.21</v>
      </c>
      <c r="G11642" s="332">
        <v>18053</v>
      </c>
      <c r="H11642" s="333">
        <v>21845</v>
      </c>
    </row>
    <row r="11643" spans="1:8">
      <c r="A11643" s="317">
        <v>2608000184</v>
      </c>
      <c r="B11643" s="330" t="s">
        <v>55997</v>
      </c>
      <c r="C11643" s="330" t="s">
        <v>25380</v>
      </c>
      <c r="D11643" s="330" t="s">
        <v>25381</v>
      </c>
      <c r="E11643" s="330" t="s">
        <v>4634</v>
      </c>
      <c r="F11643" s="331">
        <v>0.21</v>
      </c>
      <c r="G11643" s="332">
        <v>928</v>
      </c>
      <c r="H11643" s="333">
        <v>1123</v>
      </c>
    </row>
    <row r="11644" spans="1:8">
      <c r="A11644" s="317">
        <v>2608000194</v>
      </c>
      <c r="B11644" s="330" t="s">
        <v>55998</v>
      </c>
      <c r="C11644" s="330" t="s">
        <v>25382</v>
      </c>
      <c r="D11644" s="330" t="s">
        <v>25383</v>
      </c>
      <c r="E11644" s="330" t="s">
        <v>4819</v>
      </c>
      <c r="F11644" s="331">
        <v>0.21</v>
      </c>
      <c r="G11644" s="332">
        <v>1648</v>
      </c>
      <c r="H11644" s="333">
        <v>1995</v>
      </c>
    </row>
    <row r="11645" spans="1:8">
      <c r="A11645" s="317">
        <v>2608000221</v>
      </c>
      <c r="B11645" s="330" t="s">
        <v>55999</v>
      </c>
      <c r="C11645" s="330" t="s">
        <v>25384</v>
      </c>
      <c r="D11645" s="330" t="s">
        <v>25385</v>
      </c>
      <c r="E11645" s="330" t="s">
        <v>4634</v>
      </c>
      <c r="F11645" s="331">
        <v>0.21</v>
      </c>
      <c r="G11645" s="332">
        <v>5137</v>
      </c>
      <c r="H11645" s="333">
        <v>6216</v>
      </c>
    </row>
    <row r="11646" spans="1:8">
      <c r="A11646" s="317">
        <v>2608000224</v>
      </c>
      <c r="B11646" s="330" t="s">
        <v>56000</v>
      </c>
      <c r="C11646" s="330" t="s">
        <v>25386</v>
      </c>
      <c r="D11646" s="330" t="s">
        <v>25387</v>
      </c>
      <c r="E11646" s="330" t="s">
        <v>4634</v>
      </c>
      <c r="F11646" s="331">
        <v>0.21</v>
      </c>
      <c r="G11646" s="332">
        <v>2576</v>
      </c>
      <c r="H11646" s="333">
        <v>3117</v>
      </c>
    </row>
    <row r="11647" spans="1:8">
      <c r="A11647" s="317">
        <v>2608000225</v>
      </c>
      <c r="B11647" s="330" t="s">
        <v>56001</v>
      </c>
      <c r="C11647" s="330" t="s">
        <v>25388</v>
      </c>
      <c r="D11647" s="330" t="s">
        <v>25389</v>
      </c>
      <c r="E11647" s="330" t="s">
        <v>4634</v>
      </c>
      <c r="F11647" s="331">
        <v>0.21</v>
      </c>
      <c r="G11647" s="332">
        <v>1976</v>
      </c>
      <c r="H11647" s="333">
        <v>2391</v>
      </c>
    </row>
    <row r="11648" spans="1:8">
      <c r="A11648" s="317">
        <v>2608000230</v>
      </c>
      <c r="B11648" s="330" t="s">
        <v>56002</v>
      </c>
      <c r="C11648" s="330" t="s">
        <v>25390</v>
      </c>
      <c r="D11648" s="330" t="s">
        <v>25391</v>
      </c>
      <c r="E11648" s="330" t="s">
        <v>4634</v>
      </c>
      <c r="F11648" s="331">
        <v>0.21</v>
      </c>
      <c r="G11648" s="332">
        <v>6542</v>
      </c>
      <c r="H11648" s="333">
        <v>7916</v>
      </c>
    </row>
    <row r="11649" spans="1:8">
      <c r="A11649" s="317">
        <v>2608000238</v>
      </c>
      <c r="B11649" s="330" t="s">
        <v>56003</v>
      </c>
      <c r="C11649" s="330" t="s">
        <v>25392</v>
      </c>
      <c r="D11649" s="330" t="s">
        <v>25393</v>
      </c>
      <c r="E11649" s="330" t="s">
        <v>4634</v>
      </c>
      <c r="F11649" s="331">
        <v>0.21</v>
      </c>
      <c r="G11649" s="332">
        <v>4138</v>
      </c>
      <c r="H11649" s="333">
        <v>5007</v>
      </c>
    </row>
    <row r="11650" spans="1:8">
      <c r="A11650" s="317">
        <v>2608000239</v>
      </c>
      <c r="B11650" s="330" t="s">
        <v>56004</v>
      </c>
      <c r="C11650" s="330" t="s">
        <v>25394</v>
      </c>
      <c r="D11650" s="330" t="s">
        <v>25395</v>
      </c>
      <c r="E11650" s="330" t="s">
        <v>4634</v>
      </c>
      <c r="F11650" s="331">
        <v>0.21</v>
      </c>
      <c r="G11650" s="332">
        <v>5097</v>
      </c>
      <c r="H11650" s="333">
        <v>6168</v>
      </c>
    </row>
    <row r="11651" spans="1:8">
      <c r="A11651" s="317">
        <v>2608000279</v>
      </c>
      <c r="B11651" s="330" t="s">
        <v>56005</v>
      </c>
      <c r="C11651" s="330" t="s">
        <v>25396</v>
      </c>
      <c r="D11651" s="330" t="s">
        <v>25397</v>
      </c>
      <c r="E11651" s="330" t="s">
        <v>4634</v>
      </c>
      <c r="F11651" s="331">
        <v>0.21</v>
      </c>
      <c r="G11651" s="332">
        <v>3892</v>
      </c>
      <c r="H11651" s="333">
        <v>4710</v>
      </c>
    </row>
    <row r="11652" spans="1:8">
      <c r="A11652" s="317">
        <v>2608000299</v>
      </c>
      <c r="B11652" s="330" t="s">
        <v>56006</v>
      </c>
      <c r="C11652" s="330" t="s">
        <v>25398</v>
      </c>
      <c r="D11652" s="330" t="s">
        <v>25399</v>
      </c>
      <c r="E11652" s="330" t="s">
        <v>4819</v>
      </c>
      <c r="F11652" s="331">
        <v>0.21</v>
      </c>
      <c r="G11652" s="332">
        <v>21102</v>
      </c>
      <c r="H11652" s="333">
        <v>25534</v>
      </c>
    </row>
    <row r="11653" spans="1:8">
      <c r="A11653" s="317">
        <v>2608000305</v>
      </c>
      <c r="B11653" s="330" t="s">
        <v>56007</v>
      </c>
      <c r="C11653" s="330" t="s">
        <v>25400</v>
      </c>
      <c r="D11653" s="330" t="s">
        <v>25401</v>
      </c>
      <c r="E11653" s="330" t="s">
        <v>4819</v>
      </c>
      <c r="F11653" s="331">
        <v>0.21</v>
      </c>
      <c r="G11653" s="332">
        <v>21796</v>
      </c>
      <c r="H11653" s="333">
        <v>26374</v>
      </c>
    </row>
    <row r="11654" spans="1:8">
      <c r="A11654" s="317">
        <v>2608000309</v>
      </c>
      <c r="B11654" s="330" t="s">
        <v>56008</v>
      </c>
      <c r="C11654" s="330" t="s">
        <v>25402</v>
      </c>
      <c r="D11654" s="330" t="s">
        <v>25403</v>
      </c>
      <c r="E11654" s="330" t="s">
        <v>4634</v>
      </c>
      <c r="F11654" s="331">
        <v>0.21</v>
      </c>
      <c r="G11654" s="332">
        <v>1170</v>
      </c>
      <c r="H11654" s="333">
        <v>1416</v>
      </c>
    </row>
    <row r="11655" spans="1:8">
      <c r="A11655" s="317">
        <v>2608000313</v>
      </c>
      <c r="B11655" s="330" t="s">
        <v>56009</v>
      </c>
      <c r="C11655" s="330" t="s">
        <v>25404</v>
      </c>
      <c r="D11655" s="330" t="s">
        <v>25405</v>
      </c>
      <c r="E11655" s="330" t="s">
        <v>4634</v>
      </c>
      <c r="F11655" s="331">
        <v>0.21</v>
      </c>
      <c r="G11655" s="332">
        <v>648</v>
      </c>
      <c r="H11655" s="333">
        <v>785</v>
      </c>
    </row>
    <row r="11656" spans="1:8">
      <c r="A11656" s="317">
        <v>2608000314</v>
      </c>
      <c r="B11656" s="330" t="s">
        <v>56010</v>
      </c>
      <c r="C11656" s="330" t="s">
        <v>25406</v>
      </c>
      <c r="D11656" s="330" t="s">
        <v>25407</v>
      </c>
      <c r="E11656" s="330" t="s">
        <v>4623</v>
      </c>
      <c r="F11656" s="331">
        <v>0.21</v>
      </c>
      <c r="G11656" s="332">
        <v>26323</v>
      </c>
      <c r="H11656" s="333">
        <v>31851</v>
      </c>
    </row>
    <row r="11657" spans="1:8">
      <c r="A11657" s="317">
        <v>2608000319</v>
      </c>
      <c r="B11657" s="330" t="s">
        <v>56011</v>
      </c>
      <c r="C11657" s="330" t="s">
        <v>25408</v>
      </c>
      <c r="D11657" s="330" t="s">
        <v>25409</v>
      </c>
      <c r="E11657" s="330" t="s">
        <v>4634</v>
      </c>
      <c r="F11657" s="331">
        <v>0.21</v>
      </c>
      <c r="G11657" s="332">
        <v>20667</v>
      </c>
      <c r="H11657" s="333">
        <v>25008</v>
      </c>
    </row>
    <row r="11658" spans="1:8">
      <c r="A11658" s="317">
        <v>2608000900</v>
      </c>
      <c r="B11658" s="330" t="s">
        <v>56012</v>
      </c>
      <c r="C11658" s="330" t="s">
        <v>25410</v>
      </c>
      <c r="D11658" s="330" t="s">
        <v>25411</v>
      </c>
      <c r="E11658" s="330" t="s">
        <v>4634</v>
      </c>
      <c r="F11658" s="331">
        <v>0.21</v>
      </c>
      <c r="G11658" s="332">
        <v>14491</v>
      </c>
      <c r="H11658" s="333">
        <v>17535</v>
      </c>
    </row>
    <row r="11659" spans="1:8">
      <c r="A11659" s="317">
        <v>2608000901</v>
      </c>
      <c r="B11659" s="330" t="s">
        <v>56013</v>
      </c>
      <c r="C11659" s="330" t="s">
        <v>25412</v>
      </c>
      <c r="D11659" s="330" t="s">
        <v>25413</v>
      </c>
      <c r="E11659" s="330" t="s">
        <v>4634</v>
      </c>
      <c r="F11659" s="331">
        <v>0.21</v>
      </c>
      <c r="G11659" s="332">
        <v>4432</v>
      </c>
      <c r="H11659" s="333">
        <v>5363</v>
      </c>
    </row>
    <row r="11660" spans="1:8">
      <c r="A11660" s="317">
        <v>2608000902</v>
      </c>
      <c r="B11660" s="330" t="s">
        <v>56014</v>
      </c>
      <c r="C11660" s="330" t="s">
        <v>25414</v>
      </c>
      <c r="D11660" s="330" t="s">
        <v>25415</v>
      </c>
      <c r="E11660" s="330" t="s">
        <v>4634</v>
      </c>
      <c r="F11660" s="331">
        <v>0.21</v>
      </c>
      <c r="G11660" s="332">
        <v>9128</v>
      </c>
      <c r="H11660" s="333">
        <v>11045</v>
      </c>
    </row>
    <row r="11661" spans="1:8">
      <c r="A11661" s="317">
        <v>2608000903</v>
      </c>
      <c r="B11661" s="330" t="s">
        <v>56015</v>
      </c>
      <c r="C11661" s="330" t="s">
        <v>25416</v>
      </c>
      <c r="D11661" s="330" t="s">
        <v>25417</v>
      </c>
      <c r="E11661" s="330" t="s">
        <v>4634</v>
      </c>
      <c r="F11661" s="331">
        <v>0.21</v>
      </c>
      <c r="G11661" s="332">
        <v>18158</v>
      </c>
      <c r="H11661" s="333">
        <v>21972</v>
      </c>
    </row>
    <row r="11662" spans="1:8">
      <c r="A11662" s="317">
        <v>2608000910</v>
      </c>
      <c r="B11662" s="330" t="s">
        <v>56016</v>
      </c>
      <c r="C11662" s="330" t="s">
        <v>25418</v>
      </c>
      <c r="D11662" s="330" t="s">
        <v>25419</v>
      </c>
      <c r="E11662" s="330" t="s">
        <v>4634</v>
      </c>
      <c r="F11662" s="331">
        <v>0.21</v>
      </c>
      <c r="G11662" s="332">
        <v>5239</v>
      </c>
      <c r="H11662" s="333">
        <v>6340</v>
      </c>
    </row>
    <row r="11663" spans="1:8">
      <c r="A11663" s="317">
        <v>2608000917</v>
      </c>
      <c r="B11663" s="330" t="s">
        <v>56017</v>
      </c>
      <c r="C11663" s="330" t="s">
        <v>25420</v>
      </c>
      <c r="D11663" s="330" t="s">
        <v>25421</v>
      </c>
      <c r="E11663" s="330" t="s">
        <v>4634</v>
      </c>
      <c r="F11663" s="331">
        <v>0.21</v>
      </c>
      <c r="G11663" s="332">
        <v>3966</v>
      </c>
      <c r="H11663" s="333">
        <v>4799</v>
      </c>
    </row>
    <row r="11664" spans="1:8">
      <c r="A11664" s="317">
        <v>2608000920</v>
      </c>
      <c r="B11664" s="330" t="s">
        <v>56018</v>
      </c>
      <c r="C11664" s="330" t="s">
        <v>25422</v>
      </c>
      <c r="D11664" s="330" t="s">
        <v>25423</v>
      </c>
      <c r="E11664" s="330" t="s">
        <v>4634</v>
      </c>
      <c r="F11664" s="331">
        <v>0.21</v>
      </c>
      <c r="G11664" s="332">
        <v>23639</v>
      </c>
      <c r="H11664" s="333">
        <v>28604</v>
      </c>
    </row>
    <row r="11665" spans="1:8">
      <c r="A11665" s="317">
        <v>2608000921</v>
      </c>
      <c r="B11665" s="330" t="s">
        <v>56019</v>
      </c>
      <c r="C11665" s="330" t="s">
        <v>25424</v>
      </c>
      <c r="D11665" s="330" t="s">
        <v>25425</v>
      </c>
      <c r="E11665" s="330" t="s">
        <v>4634</v>
      </c>
      <c r="F11665" s="331">
        <v>0.21</v>
      </c>
      <c r="G11665" s="332">
        <v>6065</v>
      </c>
      <c r="H11665" s="333">
        <v>7339</v>
      </c>
    </row>
    <row r="11666" spans="1:8">
      <c r="A11666" s="317">
        <v>2608000928</v>
      </c>
      <c r="B11666" s="330" t="s">
        <v>56020</v>
      </c>
      <c r="C11666" s="330" t="s">
        <v>25426</v>
      </c>
      <c r="D11666" s="330" t="s">
        <v>25427</v>
      </c>
      <c r="E11666" s="330" t="s">
        <v>37248</v>
      </c>
      <c r="F11666" s="331">
        <v>0.21</v>
      </c>
      <c r="G11666" s="332">
        <v>51113</v>
      </c>
      <c r="H11666" s="333">
        <v>61847</v>
      </c>
    </row>
    <row r="11667" spans="1:8">
      <c r="A11667" s="317">
        <v>2608001006</v>
      </c>
      <c r="B11667" s="330" t="s">
        <v>56021</v>
      </c>
      <c r="C11667" s="330" t="s">
        <v>25428</v>
      </c>
      <c r="D11667" s="330" t="s">
        <v>25429</v>
      </c>
      <c r="E11667" s="330" t="s">
        <v>4634</v>
      </c>
      <c r="F11667" s="331">
        <v>0.21</v>
      </c>
      <c r="G11667" s="332">
        <v>348</v>
      </c>
      <c r="H11667" s="333">
        <v>422</v>
      </c>
    </row>
    <row r="11668" spans="1:8">
      <c r="A11668" s="317">
        <v>2608001010</v>
      </c>
      <c r="B11668" s="330" t="s">
        <v>56022</v>
      </c>
      <c r="C11668" s="330" t="s">
        <v>25430</v>
      </c>
      <c r="D11668" s="330" t="s">
        <v>25431</v>
      </c>
      <c r="E11668" s="330" t="s">
        <v>4634</v>
      </c>
      <c r="F11668" s="331">
        <v>0.21</v>
      </c>
      <c r="G11668" s="332">
        <v>678</v>
      </c>
      <c r="H11668" s="333">
        <v>821</v>
      </c>
    </row>
    <row r="11669" spans="1:8">
      <c r="A11669" s="317">
        <v>2608001011</v>
      </c>
      <c r="B11669" s="330" t="s">
        <v>56023</v>
      </c>
      <c r="C11669" s="330" t="s">
        <v>25432</v>
      </c>
      <c r="D11669" s="330" t="s">
        <v>25433</v>
      </c>
      <c r="E11669" s="330" t="s">
        <v>4634</v>
      </c>
      <c r="F11669" s="331">
        <v>0.21</v>
      </c>
      <c r="G11669" s="332">
        <v>678</v>
      </c>
      <c r="H11669" s="333">
        <v>821</v>
      </c>
    </row>
    <row r="11670" spans="1:8">
      <c r="A11670" s="317">
        <v>2608001012</v>
      </c>
      <c r="B11670" s="330" t="s">
        <v>56024</v>
      </c>
      <c r="C11670" s="330" t="s">
        <v>25434</v>
      </c>
      <c r="D11670" s="330" t="s">
        <v>25435</v>
      </c>
      <c r="E11670" s="330" t="s">
        <v>4634</v>
      </c>
      <c r="F11670" s="331">
        <v>0.21</v>
      </c>
      <c r="G11670" s="332">
        <v>584</v>
      </c>
      <c r="H11670" s="333">
        <v>707</v>
      </c>
    </row>
    <row r="11671" spans="1:8">
      <c r="A11671" s="317">
        <v>2608005014</v>
      </c>
      <c r="B11671" s="330" t="s">
        <v>56025</v>
      </c>
      <c r="C11671" s="330" t="s">
        <v>25436</v>
      </c>
      <c r="D11671" s="330" t="s">
        <v>25437</v>
      </c>
      <c r="E11671" s="330" t="s">
        <v>4634</v>
      </c>
      <c r="F11671" s="331">
        <v>0.21</v>
      </c>
      <c r="G11671" s="332">
        <v>1951</v>
      </c>
      <c r="H11671" s="333">
        <v>2361</v>
      </c>
    </row>
    <row r="11672" spans="1:8">
      <c r="A11672" s="317">
        <v>2608005015</v>
      </c>
      <c r="B11672" s="330" t="s">
        <v>56026</v>
      </c>
      <c r="C11672" s="330" t="s">
        <v>25438</v>
      </c>
      <c r="D11672" s="330" t="s">
        <v>25439</v>
      </c>
      <c r="E11672" s="330" t="s">
        <v>4634</v>
      </c>
      <c r="F11672" s="331">
        <v>0.21</v>
      </c>
      <c r="G11672" s="332">
        <v>2330</v>
      </c>
      <c r="H11672" s="333">
        <v>2820</v>
      </c>
    </row>
    <row r="11673" spans="1:8">
      <c r="A11673" s="317">
        <v>2608005019</v>
      </c>
      <c r="B11673" s="330" t="s">
        <v>56027</v>
      </c>
      <c r="C11673" s="330" t="s">
        <v>25440</v>
      </c>
      <c r="D11673" s="330" t="s">
        <v>25441</v>
      </c>
      <c r="E11673" s="330" t="s">
        <v>4634</v>
      </c>
      <c r="F11673" s="331">
        <v>0.21</v>
      </c>
      <c r="G11673" s="332">
        <v>122</v>
      </c>
      <c r="H11673" s="333">
        <v>148</v>
      </c>
    </row>
    <row r="11674" spans="1:8">
      <c r="A11674" s="317">
        <v>2608005020</v>
      </c>
      <c r="B11674" s="330" t="s">
        <v>56028</v>
      </c>
      <c r="C11674" s="330" t="s">
        <v>25442</v>
      </c>
      <c r="D11674" s="330" t="s">
        <v>25443</v>
      </c>
      <c r="E11674" s="330" t="s">
        <v>4634</v>
      </c>
      <c r="F11674" s="331">
        <v>0.21</v>
      </c>
      <c r="G11674" s="332">
        <v>584</v>
      </c>
      <c r="H11674" s="333">
        <v>707</v>
      </c>
    </row>
    <row r="11675" spans="1:8">
      <c r="A11675" s="317">
        <v>2608005043</v>
      </c>
      <c r="B11675" s="330" t="s">
        <v>56029</v>
      </c>
      <c r="C11675" s="330" t="s">
        <v>25444</v>
      </c>
      <c r="D11675" s="330" t="s">
        <v>25445</v>
      </c>
      <c r="E11675" s="330" t="s">
        <v>4634</v>
      </c>
      <c r="F11675" s="331">
        <v>0.21</v>
      </c>
      <c r="G11675" s="332">
        <v>348</v>
      </c>
      <c r="H11675" s="333">
        <v>422</v>
      </c>
    </row>
    <row r="11676" spans="1:8">
      <c r="A11676" s="317">
        <v>2608005046</v>
      </c>
      <c r="B11676" s="330" t="s">
        <v>56030</v>
      </c>
      <c r="C11676" s="330" t="s">
        <v>25446</v>
      </c>
      <c r="D11676" s="330" t="s">
        <v>25447</v>
      </c>
      <c r="E11676" s="330" t="s">
        <v>4634</v>
      </c>
      <c r="F11676" s="331">
        <v>0.21</v>
      </c>
      <c r="G11676" s="332">
        <v>648</v>
      </c>
      <c r="H11676" s="333">
        <v>785</v>
      </c>
    </row>
    <row r="11677" spans="1:8">
      <c r="A11677" s="317">
        <v>2608005902</v>
      </c>
      <c r="B11677" s="330" t="s">
        <v>56031</v>
      </c>
      <c r="C11677" s="330" t="s">
        <v>25448</v>
      </c>
      <c r="D11677" s="330" t="s">
        <v>25449</v>
      </c>
      <c r="E11677" s="330" t="s">
        <v>37248</v>
      </c>
      <c r="F11677" s="331">
        <v>0.21</v>
      </c>
      <c r="G11677" s="332">
        <v>16884</v>
      </c>
      <c r="H11677" s="333">
        <v>20430</v>
      </c>
    </row>
    <row r="11678" spans="1:8">
      <c r="A11678" s="317">
        <v>2608012002</v>
      </c>
      <c r="B11678" s="330" t="s">
        <v>56032</v>
      </c>
      <c r="C11678" s="330" t="s">
        <v>25450</v>
      </c>
      <c r="D11678" s="330" t="s">
        <v>25451</v>
      </c>
      <c r="E11678" s="330" t="s">
        <v>4634</v>
      </c>
      <c r="F11678" s="331">
        <v>0.21</v>
      </c>
      <c r="G11678" s="332">
        <v>3966</v>
      </c>
      <c r="H11678" s="333">
        <v>4799</v>
      </c>
    </row>
    <row r="11679" spans="1:8">
      <c r="A11679" s="317">
        <v>2608012009</v>
      </c>
      <c r="B11679" s="330" t="s">
        <v>56033</v>
      </c>
      <c r="C11679" s="330" t="s">
        <v>25452</v>
      </c>
      <c r="D11679" s="330" t="s">
        <v>25453</v>
      </c>
      <c r="E11679" s="330" t="s">
        <v>4634</v>
      </c>
      <c r="F11679" s="331">
        <v>0.21</v>
      </c>
      <c r="G11679" s="332">
        <v>2775</v>
      </c>
      <c r="H11679" s="333">
        <v>3358</v>
      </c>
    </row>
    <row r="11680" spans="1:8">
      <c r="A11680" s="317">
        <v>2608018000</v>
      </c>
      <c r="B11680" s="330" t="s">
        <v>56034</v>
      </c>
      <c r="C11680" s="330" t="s">
        <v>25454</v>
      </c>
      <c r="D11680" s="330" t="s">
        <v>21151</v>
      </c>
      <c r="E11680" s="330" t="s">
        <v>4634</v>
      </c>
      <c r="F11680" s="331">
        <v>0.21</v>
      </c>
      <c r="G11680" s="332">
        <v>133</v>
      </c>
      <c r="H11680" s="333">
        <v>161</v>
      </c>
    </row>
    <row r="11681" spans="1:8">
      <c r="A11681" s="317">
        <v>2608018001</v>
      </c>
      <c r="B11681" s="330" t="s">
        <v>56035</v>
      </c>
      <c r="C11681" s="330" t="s">
        <v>25455</v>
      </c>
      <c r="D11681" s="330" t="s">
        <v>21151</v>
      </c>
      <c r="E11681" s="330" t="s">
        <v>4634</v>
      </c>
      <c r="F11681" s="331">
        <v>0.21</v>
      </c>
      <c r="G11681" s="332">
        <v>153</v>
      </c>
      <c r="H11681" s="333">
        <v>186</v>
      </c>
    </row>
    <row r="11682" spans="1:8">
      <c r="A11682" s="317">
        <v>2608018002</v>
      </c>
      <c r="B11682" s="330" t="s">
        <v>56036</v>
      </c>
      <c r="C11682" s="330" t="s">
        <v>25456</v>
      </c>
      <c r="D11682" s="330" t="s">
        <v>25457</v>
      </c>
      <c r="E11682" s="330" t="s">
        <v>4634</v>
      </c>
      <c r="F11682" s="331">
        <v>0.21</v>
      </c>
      <c r="G11682" s="332">
        <v>928</v>
      </c>
      <c r="H11682" s="333">
        <v>1123</v>
      </c>
    </row>
    <row r="11683" spans="1:8">
      <c r="A11683" s="317">
        <v>2608040027</v>
      </c>
      <c r="B11683" s="330" t="s">
        <v>56037</v>
      </c>
      <c r="C11683" s="330" t="s">
        <v>25458</v>
      </c>
      <c r="D11683" s="330" t="s">
        <v>25459</v>
      </c>
      <c r="E11683" s="330" t="s">
        <v>4634</v>
      </c>
      <c r="F11683" s="331">
        <v>0.21</v>
      </c>
      <c r="G11683" s="332">
        <v>2491</v>
      </c>
      <c r="H11683" s="333">
        <v>3015</v>
      </c>
    </row>
    <row r="11684" spans="1:8">
      <c r="A11684" s="317">
        <v>2608040039</v>
      </c>
      <c r="B11684" s="330" t="s">
        <v>56038</v>
      </c>
      <c r="C11684" s="330" t="s">
        <v>25460</v>
      </c>
      <c r="D11684" s="330" t="s">
        <v>25461</v>
      </c>
      <c r="E11684" s="330" t="s">
        <v>37248</v>
      </c>
      <c r="F11684" s="331">
        <v>0.21</v>
      </c>
      <c r="G11684" s="332">
        <v>26637</v>
      </c>
      <c r="H11684" s="333">
        <v>32231</v>
      </c>
    </row>
    <row r="11685" spans="1:8">
      <c r="A11685" s="317">
        <v>2608040061</v>
      </c>
      <c r="B11685" s="330" t="s">
        <v>56039</v>
      </c>
      <c r="C11685" s="330" t="s">
        <v>25462</v>
      </c>
      <c r="D11685" s="330" t="s">
        <v>25463</v>
      </c>
      <c r="E11685" s="330" t="s">
        <v>4634</v>
      </c>
      <c r="F11685" s="331">
        <v>0.21</v>
      </c>
      <c r="G11685" s="332">
        <v>648</v>
      </c>
      <c r="H11685" s="333">
        <v>785</v>
      </c>
    </row>
    <row r="11686" spans="1:8">
      <c r="A11686" s="317">
        <v>2608040070</v>
      </c>
      <c r="B11686" s="330" t="s">
        <v>56040</v>
      </c>
      <c r="C11686" s="330" t="s">
        <v>25464</v>
      </c>
      <c r="D11686" s="330" t="s">
        <v>25465</v>
      </c>
      <c r="E11686" s="330" t="s">
        <v>4634</v>
      </c>
      <c r="F11686" s="331">
        <v>0.21</v>
      </c>
      <c r="G11686" s="332">
        <v>584</v>
      </c>
      <c r="H11686" s="333">
        <v>707</v>
      </c>
    </row>
    <row r="11687" spans="1:8">
      <c r="A11687" s="317">
        <v>2608040072</v>
      </c>
      <c r="B11687" s="330" t="s">
        <v>56041</v>
      </c>
      <c r="C11687" s="330" t="s">
        <v>25466</v>
      </c>
      <c r="D11687" s="330" t="s">
        <v>25467</v>
      </c>
      <c r="E11687" s="330" t="s">
        <v>4634</v>
      </c>
      <c r="F11687" s="331">
        <v>0.21</v>
      </c>
      <c r="G11687" s="332">
        <v>348</v>
      </c>
      <c r="H11687" s="333">
        <v>422</v>
      </c>
    </row>
    <row r="11688" spans="1:8">
      <c r="A11688" s="317">
        <v>2608040076</v>
      </c>
      <c r="B11688" s="330" t="s">
        <v>56042</v>
      </c>
      <c r="C11688" s="330" t="s">
        <v>25468</v>
      </c>
      <c r="D11688" s="330" t="s">
        <v>25469</v>
      </c>
      <c r="E11688" s="330" t="s">
        <v>4634</v>
      </c>
      <c r="F11688" s="331">
        <v>0.21</v>
      </c>
      <c r="G11688" s="332">
        <v>372</v>
      </c>
      <c r="H11688" s="333">
        <v>451</v>
      </c>
    </row>
    <row r="11689" spans="1:8">
      <c r="A11689" s="317">
        <v>2608040079</v>
      </c>
      <c r="B11689" s="330" t="s">
        <v>56043</v>
      </c>
      <c r="C11689" s="330" t="s">
        <v>25470</v>
      </c>
      <c r="D11689" s="330" t="s">
        <v>25471</v>
      </c>
      <c r="E11689" s="330" t="s">
        <v>4634</v>
      </c>
      <c r="F11689" s="331">
        <v>0.21</v>
      </c>
      <c r="G11689" s="332">
        <v>348</v>
      </c>
      <c r="H11689" s="333">
        <v>422</v>
      </c>
    </row>
    <row r="11690" spans="1:8">
      <c r="A11690" s="317">
        <v>2608040109</v>
      </c>
      <c r="B11690" s="330" t="s">
        <v>56044</v>
      </c>
      <c r="C11690" s="330" t="s">
        <v>25472</v>
      </c>
      <c r="D11690" s="330" t="s">
        <v>25473</v>
      </c>
      <c r="E11690" s="330" t="s">
        <v>4634</v>
      </c>
      <c r="F11690" s="331">
        <v>0.21</v>
      </c>
      <c r="G11690" s="332">
        <v>928</v>
      </c>
      <c r="H11690" s="333">
        <v>1123</v>
      </c>
    </row>
    <row r="11691" spans="1:8">
      <c r="A11691" s="317">
        <v>2608040120</v>
      </c>
      <c r="B11691" s="330" t="s">
        <v>56045</v>
      </c>
      <c r="C11691" s="330" t="s">
        <v>25474</v>
      </c>
      <c r="D11691" s="330" t="s">
        <v>8281</v>
      </c>
      <c r="E11691" s="330" t="s">
        <v>4634</v>
      </c>
      <c r="F11691" s="331">
        <v>0.21</v>
      </c>
      <c r="G11691" s="332">
        <v>348</v>
      </c>
      <c r="H11691" s="333">
        <v>422</v>
      </c>
    </row>
    <row r="11692" spans="1:8">
      <c r="A11692" s="317">
        <v>2608040131</v>
      </c>
      <c r="B11692" s="330" t="s">
        <v>56046</v>
      </c>
      <c r="C11692" s="330" t="s">
        <v>25475</v>
      </c>
      <c r="D11692" s="330" t="s">
        <v>25476</v>
      </c>
      <c r="E11692" s="330" t="s">
        <v>4634</v>
      </c>
      <c r="F11692" s="331">
        <v>0.21</v>
      </c>
      <c r="G11692" s="332">
        <v>348</v>
      </c>
      <c r="H11692" s="333">
        <v>422</v>
      </c>
    </row>
    <row r="11693" spans="1:8">
      <c r="A11693" s="317">
        <v>2608040154</v>
      </c>
      <c r="B11693" s="330" t="s">
        <v>56047</v>
      </c>
      <c r="C11693" s="330" t="s">
        <v>25477</v>
      </c>
      <c r="D11693" s="330" t="s">
        <v>25478</v>
      </c>
      <c r="E11693" s="330" t="s">
        <v>4634</v>
      </c>
      <c r="F11693" s="331">
        <v>0.21</v>
      </c>
      <c r="G11693" s="332">
        <v>791</v>
      </c>
      <c r="H11693" s="333">
        <v>958</v>
      </c>
    </row>
    <row r="11694" spans="1:8">
      <c r="A11694" s="317">
        <v>2608040157</v>
      </c>
      <c r="B11694" s="330" t="s">
        <v>56048</v>
      </c>
      <c r="C11694" s="330" t="s">
        <v>25479</v>
      </c>
      <c r="D11694" s="330" t="s">
        <v>25480</v>
      </c>
      <c r="E11694" s="330" t="s">
        <v>4634</v>
      </c>
      <c r="F11694" s="331">
        <v>0.21</v>
      </c>
      <c r="G11694" s="332">
        <v>791</v>
      </c>
      <c r="H11694" s="333">
        <v>958</v>
      </c>
    </row>
    <row r="11695" spans="1:8">
      <c r="A11695" s="317">
        <v>2608040176</v>
      </c>
      <c r="B11695" s="330" t="s">
        <v>56049</v>
      </c>
      <c r="C11695" s="330" t="s">
        <v>25481</v>
      </c>
      <c r="D11695" s="330" t="s">
        <v>25482</v>
      </c>
      <c r="E11695" s="330" t="s">
        <v>4634</v>
      </c>
      <c r="F11695" s="331">
        <v>0.21</v>
      </c>
      <c r="G11695" s="332">
        <v>1371</v>
      </c>
      <c r="H11695" s="333">
        <v>1659</v>
      </c>
    </row>
    <row r="11696" spans="1:8">
      <c r="A11696" s="317">
        <v>2608040185</v>
      </c>
      <c r="B11696" s="330" t="s">
        <v>56050</v>
      </c>
      <c r="C11696" s="330" t="s">
        <v>25483</v>
      </c>
      <c r="D11696" s="330" t="s">
        <v>25484</v>
      </c>
      <c r="E11696" s="330" t="s">
        <v>4634</v>
      </c>
      <c r="F11696" s="331">
        <v>0.21</v>
      </c>
      <c r="G11696" s="332">
        <v>1782</v>
      </c>
      <c r="H11696" s="333">
        <v>2157</v>
      </c>
    </row>
    <row r="11697" spans="1:8">
      <c r="A11697" s="317">
        <v>2608040190</v>
      </c>
      <c r="B11697" s="330" t="s">
        <v>56051</v>
      </c>
      <c r="C11697" s="330" t="s">
        <v>25485</v>
      </c>
      <c r="D11697" s="330" t="s">
        <v>25486</v>
      </c>
      <c r="E11697" s="330" t="s">
        <v>4634</v>
      </c>
      <c r="F11697" s="331">
        <v>0.21</v>
      </c>
      <c r="G11697" s="332">
        <v>1798</v>
      </c>
      <c r="H11697" s="333">
        <v>2176</v>
      </c>
    </row>
    <row r="11698" spans="1:8">
      <c r="A11698" s="317">
        <v>2608040204</v>
      </c>
      <c r="B11698" s="330" t="s">
        <v>56052</v>
      </c>
      <c r="C11698" s="330" t="s">
        <v>25487</v>
      </c>
      <c r="D11698" s="330" t="s">
        <v>25488</v>
      </c>
      <c r="E11698" s="330" t="s">
        <v>4634</v>
      </c>
      <c r="F11698" s="331">
        <v>0.21</v>
      </c>
      <c r="G11698" s="332">
        <v>2712</v>
      </c>
      <c r="H11698" s="333">
        <v>3282</v>
      </c>
    </row>
    <row r="11699" spans="1:8">
      <c r="A11699" s="317">
        <v>2608040273</v>
      </c>
      <c r="B11699" s="330" t="s">
        <v>56053</v>
      </c>
      <c r="C11699" s="330" t="s">
        <v>25489</v>
      </c>
      <c r="D11699" s="330" t="s">
        <v>25490</v>
      </c>
      <c r="E11699" s="330" t="s">
        <v>4634</v>
      </c>
      <c r="F11699" s="331">
        <v>0.21</v>
      </c>
      <c r="G11699" s="332">
        <v>678</v>
      </c>
      <c r="H11699" s="333">
        <v>821</v>
      </c>
    </row>
    <row r="11700" spans="1:8">
      <c r="A11700" s="317">
        <v>2608042000</v>
      </c>
      <c r="B11700" s="330" t="s">
        <v>56054</v>
      </c>
      <c r="C11700" s="330" t="s">
        <v>25491</v>
      </c>
      <c r="D11700" s="330" t="s">
        <v>25492</v>
      </c>
      <c r="E11700" s="330" t="s">
        <v>4634</v>
      </c>
      <c r="F11700" s="331">
        <v>0.21</v>
      </c>
      <c r="G11700" s="332">
        <v>213692</v>
      </c>
      <c r="H11700" s="333">
        <v>258568</v>
      </c>
    </row>
    <row r="11701" spans="1:8">
      <c r="A11701" s="317">
        <v>2608042003</v>
      </c>
      <c r="B11701" s="330" t="s">
        <v>56055</v>
      </c>
      <c r="C11701" s="330" t="s">
        <v>25493</v>
      </c>
      <c r="D11701" s="330" t="s">
        <v>19842</v>
      </c>
      <c r="E11701" s="330" t="s">
        <v>4634</v>
      </c>
      <c r="F11701" s="331">
        <v>0.21</v>
      </c>
      <c r="G11701" s="332">
        <v>38697</v>
      </c>
      <c r="H11701" s="333">
        <v>46824</v>
      </c>
    </row>
    <row r="11702" spans="1:8">
      <c r="A11702" s="317">
        <v>2608042013</v>
      </c>
      <c r="B11702" s="330" t="s">
        <v>56056</v>
      </c>
      <c r="C11702" s="330" t="s">
        <v>25494</v>
      </c>
      <c r="D11702" s="330" t="s">
        <v>25495</v>
      </c>
      <c r="E11702" s="330" t="s">
        <v>4634</v>
      </c>
      <c r="F11702" s="331">
        <v>0.21</v>
      </c>
      <c r="G11702" s="332">
        <v>3100</v>
      </c>
      <c r="H11702" s="333">
        <v>3751</v>
      </c>
    </row>
    <row r="11703" spans="1:8">
      <c r="A11703" s="317">
        <v>2608042054</v>
      </c>
      <c r="B11703" s="330" t="s">
        <v>56057</v>
      </c>
      <c r="C11703" s="330" t="s">
        <v>25496</v>
      </c>
      <c r="D11703" s="330" t="s">
        <v>25497</v>
      </c>
      <c r="E11703" s="330" t="s">
        <v>37248</v>
      </c>
      <c r="F11703" s="331">
        <v>0.21</v>
      </c>
      <c r="G11703" s="332">
        <v>339</v>
      </c>
      <c r="H11703" s="333">
        <v>411</v>
      </c>
    </row>
    <row r="11704" spans="1:8">
      <c r="A11704" s="317">
        <v>2608045004</v>
      </c>
      <c r="B11704" s="330" t="s">
        <v>56058</v>
      </c>
      <c r="C11704" s="330" t="s">
        <v>25498</v>
      </c>
      <c r="D11704" s="330" t="s">
        <v>23826</v>
      </c>
      <c r="E11704" s="330" t="s">
        <v>4634</v>
      </c>
      <c r="F11704" s="331">
        <v>0.21</v>
      </c>
      <c r="G11704" s="332">
        <v>191</v>
      </c>
      <c r="H11704" s="333">
        <v>232</v>
      </c>
    </row>
    <row r="11705" spans="1:8">
      <c r="A11705" s="317">
        <v>2608110803</v>
      </c>
      <c r="B11705" s="330" t="s">
        <v>56059</v>
      </c>
      <c r="C11705" s="330" t="s">
        <v>25499</v>
      </c>
      <c r="D11705" s="330" t="s">
        <v>25500</v>
      </c>
      <c r="E11705" s="330" t="s">
        <v>4634</v>
      </c>
      <c r="F11705" s="331">
        <v>0.21</v>
      </c>
      <c r="G11705" s="332">
        <v>22446</v>
      </c>
      <c r="H11705" s="333">
        <v>27160</v>
      </c>
    </row>
    <row r="11706" spans="1:8">
      <c r="A11706" s="317">
        <v>2608135901</v>
      </c>
      <c r="B11706" s="330" t="s">
        <v>56060</v>
      </c>
      <c r="C11706" s="330" t="s">
        <v>25501</v>
      </c>
      <c r="D11706" s="330" t="s">
        <v>25502</v>
      </c>
      <c r="E11706" s="330" t="s">
        <v>37248</v>
      </c>
      <c r="F11706" s="331">
        <v>0.21</v>
      </c>
      <c r="G11706" s="332">
        <v>12791</v>
      </c>
      <c r="H11706" s="333">
        <v>15478</v>
      </c>
    </row>
    <row r="11707" spans="1:8">
      <c r="A11707" s="317">
        <v>2608300008</v>
      </c>
      <c r="B11707" s="330" t="s">
        <v>56061</v>
      </c>
      <c r="C11707" s="330" t="s">
        <v>25503</v>
      </c>
      <c r="D11707" s="330" t="s">
        <v>25504</v>
      </c>
      <c r="E11707" s="330" t="s">
        <v>4634</v>
      </c>
      <c r="F11707" s="331">
        <v>0.21</v>
      </c>
      <c r="G11707" s="332">
        <v>12447</v>
      </c>
      <c r="H11707" s="333">
        <v>15061</v>
      </c>
    </row>
    <row r="11708" spans="1:8">
      <c r="A11708" s="317">
        <v>2608570009</v>
      </c>
      <c r="B11708" s="330" t="s">
        <v>56062</v>
      </c>
      <c r="C11708" s="330" t="s">
        <v>25505</v>
      </c>
      <c r="D11708" s="330" t="s">
        <v>25506</v>
      </c>
      <c r="E11708" s="330" t="s">
        <v>4634</v>
      </c>
      <c r="F11708" s="331">
        <v>0.21</v>
      </c>
      <c r="G11708" s="332">
        <v>7722</v>
      </c>
      <c r="H11708" s="333">
        <v>9344</v>
      </c>
    </row>
    <row r="11709" spans="1:8">
      <c r="A11709" s="317">
        <v>2608570014</v>
      </c>
      <c r="B11709" s="330" t="s">
        <v>56063</v>
      </c>
      <c r="C11709" s="330" t="s">
        <v>25507</v>
      </c>
      <c r="D11709" s="330" t="s">
        <v>25506</v>
      </c>
      <c r="E11709" s="330" t="s">
        <v>4634</v>
      </c>
      <c r="F11709" s="331">
        <v>0.21</v>
      </c>
      <c r="G11709" s="332">
        <v>6970</v>
      </c>
      <c r="H11709" s="333">
        <v>8434</v>
      </c>
    </row>
    <row r="11710" spans="1:8">
      <c r="A11710" s="317">
        <v>2608570079</v>
      </c>
      <c r="B11710" s="330" t="s">
        <v>56064</v>
      </c>
      <c r="C11710" s="330" t="s">
        <v>25508</v>
      </c>
      <c r="D11710" s="330" t="s">
        <v>25509</v>
      </c>
      <c r="E11710" s="330" t="s">
        <v>4634</v>
      </c>
      <c r="F11710" s="331">
        <v>0.21</v>
      </c>
      <c r="G11710" s="332">
        <v>11773</v>
      </c>
      <c r="H11710" s="333">
        <v>14246</v>
      </c>
    </row>
    <row r="11711" spans="1:8">
      <c r="A11711" s="317">
        <v>2608570118</v>
      </c>
      <c r="B11711" s="330" t="s">
        <v>56065</v>
      </c>
      <c r="C11711" s="330" t="s">
        <v>25510</v>
      </c>
      <c r="D11711" s="330" t="s">
        <v>25511</v>
      </c>
      <c r="E11711" s="330" t="s">
        <v>4819</v>
      </c>
      <c r="F11711" s="331">
        <v>0.21</v>
      </c>
      <c r="G11711" s="332">
        <v>11635</v>
      </c>
      <c r="H11711" s="333">
        <v>14079</v>
      </c>
    </row>
    <row r="11712" spans="1:8">
      <c r="A11712" s="317">
        <v>2608570129</v>
      </c>
      <c r="B11712" s="330" t="s">
        <v>56066</v>
      </c>
      <c r="C11712" s="330" t="s">
        <v>25512</v>
      </c>
      <c r="D11712" s="330" t="s">
        <v>25513</v>
      </c>
      <c r="E11712" s="330" t="s">
        <v>37248</v>
      </c>
      <c r="F11712" s="331">
        <v>0.21</v>
      </c>
      <c r="G11712" s="332">
        <v>7762</v>
      </c>
      <c r="H11712" s="333">
        <v>9393</v>
      </c>
    </row>
    <row r="11713" spans="1:8">
      <c r="A11713" s="317">
        <v>2608571076</v>
      </c>
      <c r="B11713" s="330" t="s">
        <v>56067</v>
      </c>
      <c r="C11713" s="330" t="s">
        <v>25514</v>
      </c>
      <c r="D11713" s="330" t="s">
        <v>25515</v>
      </c>
      <c r="E11713" s="330" t="s">
        <v>37248</v>
      </c>
      <c r="F11713" s="331">
        <v>0.21</v>
      </c>
      <c r="G11713" s="332">
        <v>10953</v>
      </c>
      <c r="H11713" s="333">
        <v>13254</v>
      </c>
    </row>
    <row r="11714" spans="1:8">
      <c r="A11714" s="317">
        <v>2608572143</v>
      </c>
      <c r="B11714" s="330" t="s">
        <v>56068</v>
      </c>
      <c r="C11714" s="330" t="s">
        <v>25516</v>
      </c>
      <c r="D11714" s="330" t="s">
        <v>25517</v>
      </c>
      <c r="E11714" s="330" t="s">
        <v>37248</v>
      </c>
      <c r="F11714" s="331">
        <v>0.21</v>
      </c>
      <c r="G11714" s="332">
        <v>76019</v>
      </c>
      <c r="H11714" s="333">
        <v>91983</v>
      </c>
    </row>
    <row r="11715" spans="1:8">
      <c r="A11715" s="317">
        <v>2608572251</v>
      </c>
      <c r="B11715" s="330" t="s">
        <v>56069</v>
      </c>
      <c r="C11715" s="330" t="s">
        <v>25518</v>
      </c>
      <c r="D11715" s="330" t="s">
        <v>25519</v>
      </c>
      <c r="E11715" s="330" t="s">
        <v>4819</v>
      </c>
      <c r="F11715" s="331">
        <v>0.21</v>
      </c>
      <c r="G11715" s="332">
        <v>75912</v>
      </c>
      <c r="H11715" s="333">
        <v>91854</v>
      </c>
    </row>
    <row r="11716" spans="1:8">
      <c r="A11716" s="317">
        <v>2608572900</v>
      </c>
      <c r="B11716" s="330" t="s">
        <v>56070</v>
      </c>
      <c r="C11716" s="330" t="s">
        <v>25520</v>
      </c>
      <c r="D11716" s="330" t="s">
        <v>25521</v>
      </c>
      <c r="E11716" s="330" t="s">
        <v>4634</v>
      </c>
      <c r="F11716" s="331">
        <v>0.21</v>
      </c>
      <c r="G11716" s="332">
        <v>73137</v>
      </c>
      <c r="H11716" s="333">
        <v>88496</v>
      </c>
    </row>
    <row r="11717" spans="1:8">
      <c r="A11717" s="317">
        <v>2608572901</v>
      </c>
      <c r="B11717" s="330" t="s">
        <v>56071</v>
      </c>
      <c r="C11717" s="330" t="s">
        <v>25522</v>
      </c>
      <c r="D11717" s="330" t="s">
        <v>11078</v>
      </c>
      <c r="E11717" s="330" t="s">
        <v>37248</v>
      </c>
      <c r="F11717" s="331">
        <v>0.21</v>
      </c>
      <c r="G11717" s="332">
        <v>97294</v>
      </c>
      <c r="H11717" s="333">
        <v>117726</v>
      </c>
    </row>
    <row r="11718" spans="1:8">
      <c r="A11718" s="317">
        <v>2608584002</v>
      </c>
      <c r="B11718" s="330" t="s">
        <v>56072</v>
      </c>
      <c r="C11718" s="330" t="s">
        <v>25523</v>
      </c>
      <c r="D11718" s="330" t="s">
        <v>25524</v>
      </c>
      <c r="E11718" s="330" t="s">
        <v>4634</v>
      </c>
      <c r="F11718" s="331">
        <v>0.21</v>
      </c>
      <c r="G11718" s="332">
        <v>15441</v>
      </c>
      <c r="H11718" s="333">
        <v>18684</v>
      </c>
    </row>
    <row r="11719" spans="1:8">
      <c r="A11719" s="317">
        <v>2608584003</v>
      </c>
      <c r="B11719" s="330" t="s">
        <v>56073</v>
      </c>
      <c r="C11719" s="330" t="s">
        <v>25525</v>
      </c>
      <c r="D11719" s="330" t="s">
        <v>25526</v>
      </c>
      <c r="E11719" s="330" t="s">
        <v>37248</v>
      </c>
      <c r="F11719" s="331">
        <v>0.21</v>
      </c>
      <c r="G11719" s="332">
        <v>53215</v>
      </c>
      <c r="H11719" s="333">
        <v>64391</v>
      </c>
    </row>
    <row r="11720" spans="1:8">
      <c r="A11720" s="317">
        <v>2608584683</v>
      </c>
      <c r="B11720" s="330" t="s">
        <v>56074</v>
      </c>
      <c r="C11720" s="330" t="s">
        <v>25527</v>
      </c>
      <c r="D11720" s="330" t="s">
        <v>25528</v>
      </c>
      <c r="E11720" s="330" t="s">
        <v>4819</v>
      </c>
      <c r="F11720" s="331">
        <v>0.21</v>
      </c>
      <c r="G11720" s="332">
        <v>119158</v>
      </c>
      <c r="H11720" s="333">
        <v>144182</v>
      </c>
    </row>
    <row r="11721" spans="1:8">
      <c r="A11721" s="317">
        <v>2608601902</v>
      </c>
      <c r="B11721" s="330" t="s">
        <v>56075</v>
      </c>
      <c r="C11721" s="330" t="s">
        <v>25529</v>
      </c>
      <c r="D11721" s="330" t="s">
        <v>25530</v>
      </c>
      <c r="E11721" s="330" t="s">
        <v>4819</v>
      </c>
      <c r="F11721" s="331">
        <v>0.21</v>
      </c>
      <c r="G11721" s="332">
        <v>9313</v>
      </c>
      <c r="H11721" s="333">
        <v>11269</v>
      </c>
    </row>
    <row r="11722" spans="1:8">
      <c r="A11722" s="317">
        <v>2608614075</v>
      </c>
      <c r="B11722" s="330" t="s">
        <v>56076</v>
      </c>
      <c r="C11722" s="330" t="s">
        <v>25531</v>
      </c>
      <c r="D11722" s="330" t="s">
        <v>25532</v>
      </c>
      <c r="E11722" s="330" t="s">
        <v>37248</v>
      </c>
      <c r="F11722" s="331">
        <v>0.21</v>
      </c>
      <c r="G11722" s="332">
        <v>15244</v>
      </c>
      <c r="H11722" s="333">
        <v>18446</v>
      </c>
    </row>
    <row r="11723" spans="1:8">
      <c r="A11723" s="317">
        <v>2608635341</v>
      </c>
      <c r="B11723" s="330" t="s">
        <v>56077</v>
      </c>
      <c r="C11723" s="330" t="s">
        <v>25533</v>
      </c>
      <c r="D11723" s="330" t="s">
        <v>25534</v>
      </c>
      <c r="E11723" s="330" t="s">
        <v>37248</v>
      </c>
      <c r="F11723" s="331">
        <v>0.21</v>
      </c>
      <c r="G11723" s="332">
        <v>15976</v>
      </c>
      <c r="H11723" s="333">
        <v>19331</v>
      </c>
    </row>
    <row r="11724" spans="1:8">
      <c r="A11724" s="317">
        <v>2608656545</v>
      </c>
      <c r="B11724" s="330" t="s">
        <v>56078</v>
      </c>
      <c r="C11724" s="330" t="s">
        <v>25535</v>
      </c>
      <c r="D11724" s="330" t="s">
        <v>25536</v>
      </c>
      <c r="E11724" s="330" t="s">
        <v>4634</v>
      </c>
      <c r="F11724" s="331">
        <v>0.21</v>
      </c>
      <c r="G11724" s="332">
        <v>4262</v>
      </c>
      <c r="H11724" s="333">
        <v>5158</v>
      </c>
    </row>
    <row r="11725" spans="1:8">
      <c r="A11725" s="317">
        <v>2608670712</v>
      </c>
      <c r="B11725" s="330" t="s">
        <v>56079</v>
      </c>
      <c r="C11725" s="330" t="s">
        <v>25537</v>
      </c>
      <c r="D11725" s="330" t="s">
        <v>25538</v>
      </c>
      <c r="E11725" s="330" t="s">
        <v>4819</v>
      </c>
      <c r="F11725" s="331">
        <v>0.21</v>
      </c>
      <c r="G11725" s="332">
        <v>9681</v>
      </c>
      <c r="H11725" s="333">
        <v>11715</v>
      </c>
    </row>
    <row r="11726" spans="1:8">
      <c r="A11726" s="317">
        <v>2608670729</v>
      </c>
      <c r="B11726" s="330" t="s">
        <v>56080</v>
      </c>
      <c r="C11726" s="330" t="s">
        <v>25539</v>
      </c>
      <c r="D11726" s="330" t="s">
        <v>25540</v>
      </c>
      <c r="E11726" s="330" t="s">
        <v>37248</v>
      </c>
      <c r="F11726" s="331">
        <v>0.21</v>
      </c>
      <c r="G11726" s="332">
        <v>132701</v>
      </c>
      <c r="H11726" s="333">
        <v>160569</v>
      </c>
    </row>
    <row r="11727" spans="1:8">
      <c r="A11727" s="317">
        <v>2608710001</v>
      </c>
      <c r="B11727" s="330" t="s">
        <v>56081</v>
      </c>
      <c r="C11727" s="330" t="s">
        <v>25541</v>
      </c>
      <c r="D11727" s="330" t="s">
        <v>7858</v>
      </c>
      <c r="E11727" s="330" t="s">
        <v>4634</v>
      </c>
      <c r="F11727" s="331">
        <v>0.21</v>
      </c>
      <c r="G11727" s="332">
        <v>52480</v>
      </c>
      <c r="H11727" s="333">
        <v>63501</v>
      </c>
    </row>
    <row r="11728" spans="1:8">
      <c r="A11728" s="317">
        <v>2608710004</v>
      </c>
      <c r="B11728" s="330" t="s">
        <v>56082</v>
      </c>
      <c r="C11728" s="330" t="s">
        <v>25542</v>
      </c>
      <c r="D11728" s="330" t="s">
        <v>25543</v>
      </c>
      <c r="E11728" s="330" t="s">
        <v>4634</v>
      </c>
      <c r="F11728" s="331">
        <v>0.21</v>
      </c>
      <c r="G11728" s="332">
        <v>24781</v>
      </c>
      <c r="H11728" s="333">
        <v>29986</v>
      </c>
    </row>
    <row r="11729" spans="1:8">
      <c r="A11729" s="317">
        <v>2609000034</v>
      </c>
      <c r="B11729" s="330" t="s">
        <v>56083</v>
      </c>
      <c r="C11729" s="330" t="s">
        <v>25544</v>
      </c>
      <c r="D11729" s="330" t="s">
        <v>25545</v>
      </c>
      <c r="E11729" s="330" t="s">
        <v>4634</v>
      </c>
      <c r="F11729" s="331">
        <v>0.21</v>
      </c>
      <c r="G11729" s="332">
        <v>426</v>
      </c>
      <c r="H11729" s="333">
        <v>516</v>
      </c>
    </row>
    <row r="11730" spans="1:8">
      <c r="A11730" s="317">
        <v>2609000043</v>
      </c>
      <c r="B11730" s="330" t="s">
        <v>56084</v>
      </c>
      <c r="C11730" s="330" t="s">
        <v>25546</v>
      </c>
      <c r="D11730" s="330" t="s">
        <v>7991</v>
      </c>
      <c r="E11730" s="330" t="s">
        <v>4634</v>
      </c>
      <c r="F11730" s="331">
        <v>0.21</v>
      </c>
      <c r="G11730" s="332">
        <v>387</v>
      </c>
      <c r="H11730" s="333">
        <v>469</v>
      </c>
    </row>
    <row r="11731" spans="1:8">
      <c r="A11731" s="317">
        <v>2609000044</v>
      </c>
      <c r="B11731" s="330" t="s">
        <v>56085</v>
      </c>
      <c r="C11731" s="330" t="s">
        <v>25547</v>
      </c>
      <c r="D11731" s="330" t="s">
        <v>25548</v>
      </c>
      <c r="E11731" s="330" t="s">
        <v>4634</v>
      </c>
      <c r="F11731" s="331">
        <v>0.21</v>
      </c>
      <c r="G11731" s="332">
        <v>584</v>
      </c>
      <c r="H11731" s="333">
        <v>707</v>
      </c>
    </row>
    <row r="11732" spans="1:8">
      <c r="A11732" s="317">
        <v>2609000049</v>
      </c>
      <c r="B11732" s="330" t="s">
        <v>56086</v>
      </c>
      <c r="C11732" s="330" t="s">
        <v>25549</v>
      </c>
      <c r="D11732" s="330" t="s">
        <v>25550</v>
      </c>
      <c r="E11732" s="330" t="s">
        <v>4634</v>
      </c>
      <c r="F11732" s="331">
        <v>0.21</v>
      </c>
      <c r="G11732" s="332">
        <v>426</v>
      </c>
      <c r="H11732" s="333">
        <v>516</v>
      </c>
    </row>
    <row r="11733" spans="1:8">
      <c r="A11733" s="317">
        <v>2609000295</v>
      </c>
      <c r="B11733" s="330" t="s">
        <v>56087</v>
      </c>
      <c r="C11733" s="330" t="s">
        <v>25551</v>
      </c>
      <c r="D11733" s="330" t="s">
        <v>25552</v>
      </c>
      <c r="E11733" s="330" t="s">
        <v>37248</v>
      </c>
      <c r="F11733" s="331">
        <v>0.21</v>
      </c>
      <c r="G11733" s="332">
        <v>1015</v>
      </c>
      <c r="H11733" s="333">
        <v>1229</v>
      </c>
    </row>
    <row r="11734" spans="1:8">
      <c r="A11734" s="317">
        <v>2609000434</v>
      </c>
      <c r="B11734" s="330" t="s">
        <v>56088</v>
      </c>
      <c r="C11734" s="330" t="s">
        <v>25553</v>
      </c>
      <c r="D11734" s="330" t="s">
        <v>25554</v>
      </c>
      <c r="E11734" s="330" t="s">
        <v>4634</v>
      </c>
      <c r="F11734" s="331">
        <v>0.21</v>
      </c>
      <c r="G11734" s="332">
        <v>834</v>
      </c>
      <c r="H11734" s="333">
        <v>1010</v>
      </c>
    </row>
    <row r="11735" spans="1:8">
      <c r="A11735" s="317">
        <v>2609000812</v>
      </c>
      <c r="B11735" s="330" t="s">
        <v>56089</v>
      </c>
      <c r="C11735" s="330" t="s">
        <v>25555</v>
      </c>
      <c r="D11735" s="330" t="s">
        <v>25556</v>
      </c>
      <c r="E11735" s="330" t="s">
        <v>4634</v>
      </c>
      <c r="F11735" s="331">
        <v>0.21</v>
      </c>
      <c r="G11735" s="332">
        <v>14314</v>
      </c>
      <c r="H11735" s="333">
        <v>17320</v>
      </c>
    </row>
    <row r="11736" spans="1:8">
      <c r="A11736" s="317">
        <v>2609001139</v>
      </c>
      <c r="B11736" s="330" t="s">
        <v>56090</v>
      </c>
      <c r="C11736" s="330" t="s">
        <v>25557</v>
      </c>
      <c r="D11736" s="330" t="s">
        <v>25558</v>
      </c>
      <c r="E11736" s="330" t="s">
        <v>37248</v>
      </c>
      <c r="F11736" s="331">
        <v>0.21</v>
      </c>
      <c r="G11736" s="332">
        <v>1247</v>
      </c>
      <c r="H11736" s="333">
        <v>1509</v>
      </c>
    </row>
    <row r="11737" spans="1:8">
      <c r="A11737" s="317">
        <v>2609001621</v>
      </c>
      <c r="B11737" s="330" t="s">
        <v>56091</v>
      </c>
      <c r="C11737" s="330" t="s">
        <v>25559</v>
      </c>
      <c r="D11737" s="330" t="s">
        <v>25560</v>
      </c>
      <c r="E11737" s="330" t="s">
        <v>37248</v>
      </c>
      <c r="F11737" s="331">
        <v>0.21</v>
      </c>
      <c r="G11737" s="332">
        <v>15722</v>
      </c>
      <c r="H11737" s="333">
        <v>19024</v>
      </c>
    </row>
    <row r="11738" spans="1:8">
      <c r="A11738" s="317">
        <v>2609001930</v>
      </c>
      <c r="B11738" s="330" t="s">
        <v>56092</v>
      </c>
      <c r="C11738" s="330" t="s">
        <v>25561</v>
      </c>
      <c r="D11738" s="330" t="s">
        <v>25562</v>
      </c>
      <c r="E11738" s="330" t="s">
        <v>4819</v>
      </c>
      <c r="F11738" s="331">
        <v>0.21</v>
      </c>
      <c r="G11738" s="332">
        <v>33247</v>
      </c>
      <c r="H11738" s="333">
        <v>40229</v>
      </c>
    </row>
    <row r="11739" spans="1:8">
      <c r="A11739" s="317">
        <v>2609001931</v>
      </c>
      <c r="B11739" s="330" t="s">
        <v>56093</v>
      </c>
      <c r="C11739" s="330" t="s">
        <v>25563</v>
      </c>
      <c r="D11739" s="330" t="s">
        <v>25564</v>
      </c>
      <c r="E11739" s="330" t="s">
        <v>4819</v>
      </c>
      <c r="F11739" s="331">
        <v>0.21</v>
      </c>
      <c r="G11739" s="332">
        <v>28754</v>
      </c>
      <c r="H11739" s="333">
        <v>34793</v>
      </c>
    </row>
    <row r="11740" spans="1:8">
      <c r="A11740" s="317">
        <v>2609002725</v>
      </c>
      <c r="B11740" s="330" t="s">
        <v>56094</v>
      </c>
      <c r="C11740" s="330" t="s">
        <v>25565</v>
      </c>
      <c r="D11740" s="330" t="s">
        <v>25566</v>
      </c>
      <c r="E11740" s="330" t="s">
        <v>37248</v>
      </c>
      <c r="F11740" s="331">
        <v>0.21</v>
      </c>
      <c r="G11740" s="332">
        <v>383</v>
      </c>
      <c r="H11740" s="333">
        <v>464</v>
      </c>
    </row>
    <row r="11741" spans="1:8">
      <c r="A11741" s="317">
        <v>2609003491</v>
      </c>
      <c r="B11741" s="330" t="s">
        <v>56095</v>
      </c>
      <c r="C11741" s="330" t="s">
        <v>25567</v>
      </c>
      <c r="D11741" s="330" t="s">
        <v>4654</v>
      </c>
      <c r="E11741" s="330" t="s">
        <v>37248</v>
      </c>
      <c r="F11741" s="331">
        <v>0.21</v>
      </c>
      <c r="G11741" s="332">
        <v>976</v>
      </c>
      <c r="H11741" s="333">
        <v>1181</v>
      </c>
    </row>
    <row r="11742" spans="1:8">
      <c r="A11742" s="317">
        <v>2609003970</v>
      </c>
      <c r="B11742" s="330" t="s">
        <v>56096</v>
      </c>
      <c r="C11742" s="330" t="s">
        <v>25568</v>
      </c>
      <c r="D11742" s="330" t="s">
        <v>25569</v>
      </c>
      <c r="E11742" s="330" t="s">
        <v>4819</v>
      </c>
      <c r="F11742" s="331">
        <v>0.21</v>
      </c>
      <c r="G11742" s="332">
        <v>10816</v>
      </c>
      <c r="H11742" s="333">
        <v>13088</v>
      </c>
    </row>
    <row r="11743" spans="1:8">
      <c r="A11743" s="317">
        <v>2609004274</v>
      </c>
      <c r="B11743" s="330" t="s">
        <v>56097</v>
      </c>
      <c r="C11743" s="330" t="s">
        <v>25570</v>
      </c>
      <c r="D11743" s="330" t="s">
        <v>13582</v>
      </c>
      <c r="E11743" s="330" t="s">
        <v>37248</v>
      </c>
      <c r="F11743" s="331">
        <v>0.21</v>
      </c>
      <c r="G11743" s="332">
        <v>194</v>
      </c>
      <c r="H11743" s="333">
        <v>235</v>
      </c>
    </row>
    <row r="11744" spans="1:8">
      <c r="A11744" s="317">
        <v>2609004706</v>
      </c>
      <c r="B11744" s="330" t="s">
        <v>56098</v>
      </c>
      <c r="C11744" s="330" t="s">
        <v>25571</v>
      </c>
      <c r="D11744" s="330" t="s">
        <v>13582</v>
      </c>
      <c r="E11744" s="330" t="s">
        <v>37248</v>
      </c>
      <c r="F11744" s="331">
        <v>0.21</v>
      </c>
      <c r="G11744" s="332">
        <v>194</v>
      </c>
      <c r="H11744" s="333">
        <v>235</v>
      </c>
    </row>
    <row r="11745" spans="1:8">
      <c r="A11745" s="317">
        <v>2609007156</v>
      </c>
      <c r="B11745" s="330" t="s">
        <v>56099</v>
      </c>
      <c r="C11745" s="330" t="s">
        <v>25572</v>
      </c>
      <c r="D11745" s="330" t="s">
        <v>12706</v>
      </c>
      <c r="E11745" s="330" t="s">
        <v>37248</v>
      </c>
      <c r="F11745" s="331">
        <v>0.21</v>
      </c>
      <c r="G11745" s="332">
        <v>976</v>
      </c>
      <c r="H11745" s="333">
        <v>1181</v>
      </c>
    </row>
    <row r="11746" spans="1:8">
      <c r="A11746" s="317">
        <v>2609100022</v>
      </c>
      <c r="B11746" s="330" t="s">
        <v>56100</v>
      </c>
      <c r="C11746" s="330" t="s">
        <v>25573</v>
      </c>
      <c r="D11746" s="330" t="s">
        <v>25574</v>
      </c>
      <c r="E11746" s="330" t="s">
        <v>4634</v>
      </c>
      <c r="F11746" s="331">
        <v>0.21</v>
      </c>
      <c r="G11746" s="332">
        <v>1126</v>
      </c>
      <c r="H11746" s="333">
        <v>1363</v>
      </c>
    </row>
    <row r="11747" spans="1:8">
      <c r="A11747" s="317">
        <v>2609100023</v>
      </c>
      <c r="B11747" s="330" t="s">
        <v>56101</v>
      </c>
      <c r="C11747" s="330" t="s">
        <v>25575</v>
      </c>
      <c r="D11747" s="330" t="s">
        <v>25576</v>
      </c>
      <c r="E11747" s="330" t="s">
        <v>4819</v>
      </c>
      <c r="F11747" s="331">
        <v>0.21</v>
      </c>
      <c r="G11747" s="332">
        <v>5081</v>
      </c>
      <c r="H11747" s="333">
        <v>6149</v>
      </c>
    </row>
    <row r="11748" spans="1:8">
      <c r="A11748" s="317">
        <v>2609100024</v>
      </c>
      <c r="B11748" s="330" t="s">
        <v>56102</v>
      </c>
      <c r="C11748" s="330" t="s">
        <v>25577</v>
      </c>
      <c r="D11748" s="330" t="s">
        <v>25578</v>
      </c>
      <c r="E11748" s="330" t="s">
        <v>37248</v>
      </c>
      <c r="F11748" s="331">
        <v>0.21</v>
      </c>
      <c r="G11748" s="332">
        <v>3468</v>
      </c>
      <c r="H11748" s="333">
        <v>4197</v>
      </c>
    </row>
    <row r="11749" spans="1:8">
      <c r="A11749" s="317">
        <v>2609100028</v>
      </c>
      <c r="B11749" s="330" t="s">
        <v>56103</v>
      </c>
      <c r="C11749" s="330" t="s">
        <v>25579</v>
      </c>
      <c r="D11749" s="330" t="s">
        <v>25580</v>
      </c>
      <c r="E11749" s="330" t="s">
        <v>4634</v>
      </c>
      <c r="F11749" s="331">
        <v>0.21</v>
      </c>
      <c r="G11749" s="332">
        <v>372</v>
      </c>
      <c r="H11749" s="333">
        <v>451</v>
      </c>
    </row>
    <row r="11750" spans="1:8">
      <c r="A11750" s="317">
        <v>2609100040</v>
      </c>
      <c r="B11750" s="330" t="s">
        <v>56104</v>
      </c>
      <c r="C11750" s="330" t="s">
        <v>25581</v>
      </c>
      <c r="D11750" s="330" t="s">
        <v>25582</v>
      </c>
      <c r="E11750" s="330" t="s">
        <v>4634</v>
      </c>
      <c r="F11750" s="331">
        <v>0.21</v>
      </c>
      <c r="G11750" s="332">
        <v>3490</v>
      </c>
      <c r="H11750" s="333">
        <v>4223</v>
      </c>
    </row>
    <row r="11751" spans="1:8">
      <c r="A11751" s="317">
        <v>2609100044</v>
      </c>
      <c r="B11751" s="330" t="s">
        <v>56105</v>
      </c>
      <c r="C11751" s="330" t="s">
        <v>25583</v>
      </c>
      <c r="D11751" s="330" t="s">
        <v>25584</v>
      </c>
      <c r="E11751" s="330" t="s">
        <v>4634</v>
      </c>
      <c r="F11751" s="331">
        <v>0.21</v>
      </c>
      <c r="G11751" s="332">
        <v>1030</v>
      </c>
      <c r="H11751" s="333">
        <v>1247</v>
      </c>
    </row>
    <row r="11752" spans="1:8">
      <c r="A11752" s="317">
        <v>2609100048</v>
      </c>
      <c r="B11752" s="330" t="s">
        <v>56106</v>
      </c>
      <c r="C11752" s="330" t="s">
        <v>25585</v>
      </c>
      <c r="D11752" s="330" t="s">
        <v>25586</v>
      </c>
      <c r="E11752" s="330" t="s">
        <v>4634</v>
      </c>
      <c r="F11752" s="331">
        <v>0.21</v>
      </c>
      <c r="G11752" s="332">
        <v>455</v>
      </c>
      <c r="H11752" s="333">
        <v>551</v>
      </c>
    </row>
    <row r="11753" spans="1:8">
      <c r="A11753" s="317">
        <v>2609100087</v>
      </c>
      <c r="B11753" s="330" t="s">
        <v>56107</v>
      </c>
      <c r="C11753" s="330" t="s">
        <v>25587</v>
      </c>
      <c r="D11753" s="330" t="s">
        <v>9732</v>
      </c>
      <c r="E11753" s="330" t="s">
        <v>4819</v>
      </c>
      <c r="F11753" s="331">
        <v>0.21</v>
      </c>
      <c r="G11753" s="332">
        <v>1351</v>
      </c>
      <c r="H11753" s="333">
        <v>1635</v>
      </c>
    </row>
    <row r="11754" spans="1:8">
      <c r="A11754" s="317">
        <v>2609100088</v>
      </c>
      <c r="B11754" s="330" t="s">
        <v>56108</v>
      </c>
      <c r="C11754" s="330" t="s">
        <v>25588</v>
      </c>
      <c r="D11754" s="330" t="s">
        <v>25589</v>
      </c>
      <c r="E11754" s="330" t="s">
        <v>4819</v>
      </c>
      <c r="F11754" s="331">
        <v>0.21</v>
      </c>
      <c r="G11754" s="332">
        <v>2215</v>
      </c>
      <c r="H11754" s="333">
        <v>2681</v>
      </c>
    </row>
    <row r="11755" spans="1:8">
      <c r="A11755" s="317">
        <v>2609100120</v>
      </c>
      <c r="B11755" s="330" t="s">
        <v>56109</v>
      </c>
      <c r="C11755" s="330" t="s">
        <v>25590</v>
      </c>
      <c r="D11755" s="330" t="s">
        <v>25591</v>
      </c>
      <c r="E11755" s="330" t="s">
        <v>4634</v>
      </c>
      <c r="F11755" s="331">
        <v>0.21</v>
      </c>
      <c r="G11755" s="332">
        <v>2491</v>
      </c>
      <c r="H11755" s="333">
        <v>3015</v>
      </c>
    </row>
    <row r="11756" spans="1:8">
      <c r="A11756" s="317">
        <v>2609100140</v>
      </c>
      <c r="B11756" s="330" t="s">
        <v>56110</v>
      </c>
      <c r="C11756" s="330" t="s">
        <v>25592</v>
      </c>
      <c r="D11756" s="330" t="s">
        <v>25593</v>
      </c>
      <c r="E11756" s="330" t="s">
        <v>4819</v>
      </c>
      <c r="F11756" s="331">
        <v>0.21</v>
      </c>
      <c r="G11756" s="332">
        <v>4715</v>
      </c>
      <c r="H11756" s="333">
        <v>5706</v>
      </c>
    </row>
    <row r="11757" spans="1:8">
      <c r="A11757" s="317">
        <v>2609100141</v>
      </c>
      <c r="B11757" s="330" t="s">
        <v>56111</v>
      </c>
      <c r="C11757" s="330" t="s">
        <v>25594</v>
      </c>
      <c r="D11757" s="330" t="s">
        <v>25595</v>
      </c>
      <c r="E11757" s="330" t="s">
        <v>4634</v>
      </c>
      <c r="F11757" s="331">
        <v>0.21</v>
      </c>
      <c r="G11757" s="332">
        <v>10274</v>
      </c>
      <c r="H11757" s="333">
        <v>12432</v>
      </c>
    </row>
    <row r="11758" spans="1:8">
      <c r="A11758" s="317">
        <v>2609100148</v>
      </c>
      <c r="B11758" s="330" t="s">
        <v>56112</v>
      </c>
      <c r="C11758" s="330" t="s">
        <v>25596</v>
      </c>
      <c r="D11758" s="330" t="s">
        <v>25597</v>
      </c>
      <c r="E11758" s="330" t="s">
        <v>4634</v>
      </c>
      <c r="F11758" s="331">
        <v>0.21</v>
      </c>
      <c r="G11758" s="332">
        <v>1641</v>
      </c>
      <c r="H11758" s="333">
        <v>1986</v>
      </c>
    </row>
    <row r="11759" spans="1:8">
      <c r="A11759" s="317">
        <v>2609100186</v>
      </c>
      <c r="B11759" s="330" t="s">
        <v>56113</v>
      </c>
      <c r="C11759" s="330" t="s">
        <v>25598</v>
      </c>
      <c r="D11759" s="330" t="s">
        <v>25599</v>
      </c>
      <c r="E11759" s="330" t="s">
        <v>4819</v>
      </c>
      <c r="F11759" s="331">
        <v>0.21</v>
      </c>
      <c r="G11759" s="332">
        <v>6342</v>
      </c>
      <c r="H11759" s="333">
        <v>7674</v>
      </c>
    </row>
    <row r="11760" spans="1:8">
      <c r="A11760" s="317">
        <v>2609100203</v>
      </c>
      <c r="B11760" s="330" t="s">
        <v>56114</v>
      </c>
      <c r="C11760" s="330" t="s">
        <v>25600</v>
      </c>
      <c r="D11760" s="330" t="s">
        <v>25601</v>
      </c>
      <c r="E11760" s="330" t="s">
        <v>4819</v>
      </c>
      <c r="F11760" s="331">
        <v>0.21</v>
      </c>
      <c r="G11760" s="332">
        <v>1505</v>
      </c>
      <c r="H11760" s="333">
        <v>1822</v>
      </c>
    </row>
    <row r="11761" spans="1:8">
      <c r="A11761" s="317">
        <v>2609100222</v>
      </c>
      <c r="B11761" s="330" t="s">
        <v>56115</v>
      </c>
      <c r="C11761" s="330" t="s">
        <v>25602</v>
      </c>
      <c r="D11761" s="330" t="s">
        <v>25603</v>
      </c>
      <c r="E11761" s="330" t="s">
        <v>4634</v>
      </c>
      <c r="F11761" s="331">
        <v>0.21</v>
      </c>
      <c r="G11761" s="332">
        <v>4041</v>
      </c>
      <c r="H11761" s="333">
        <v>4890</v>
      </c>
    </row>
    <row r="11762" spans="1:8">
      <c r="A11762" s="317">
        <v>2609100242</v>
      </c>
      <c r="B11762" s="330" t="s">
        <v>56116</v>
      </c>
      <c r="C11762" s="330" t="s">
        <v>25604</v>
      </c>
      <c r="D11762" s="330" t="s">
        <v>25605</v>
      </c>
      <c r="E11762" s="330" t="s">
        <v>4634</v>
      </c>
      <c r="F11762" s="331">
        <v>0.21</v>
      </c>
      <c r="G11762" s="332">
        <v>1842</v>
      </c>
      <c r="H11762" s="333">
        <v>2229</v>
      </c>
    </row>
    <row r="11763" spans="1:8">
      <c r="A11763" s="317">
        <v>2609100246</v>
      </c>
      <c r="B11763" s="330" t="s">
        <v>56117</v>
      </c>
      <c r="C11763" s="330" t="s">
        <v>25606</v>
      </c>
      <c r="D11763" s="330" t="s">
        <v>25607</v>
      </c>
      <c r="E11763" s="330" t="s">
        <v>37248</v>
      </c>
      <c r="F11763" s="331">
        <v>0.21</v>
      </c>
      <c r="G11763" s="332">
        <v>3035</v>
      </c>
      <c r="H11763" s="333">
        <v>3673</v>
      </c>
    </row>
    <row r="11764" spans="1:8">
      <c r="A11764" s="317">
        <v>2609100247</v>
      </c>
      <c r="B11764" s="330" t="s">
        <v>56118</v>
      </c>
      <c r="C11764" s="330" t="s">
        <v>25608</v>
      </c>
      <c r="D11764" s="330" t="s">
        <v>25609</v>
      </c>
      <c r="E11764" s="330" t="s">
        <v>4634</v>
      </c>
      <c r="F11764" s="331">
        <v>0.21</v>
      </c>
      <c r="G11764" s="332">
        <v>678</v>
      </c>
      <c r="H11764" s="333">
        <v>821</v>
      </c>
    </row>
    <row r="11765" spans="1:8">
      <c r="A11765" s="317">
        <v>2609100248</v>
      </c>
      <c r="B11765" s="330" t="s">
        <v>56119</v>
      </c>
      <c r="C11765" s="330" t="s">
        <v>25610</v>
      </c>
      <c r="D11765" s="330" t="s">
        <v>13239</v>
      </c>
      <c r="E11765" s="330" t="s">
        <v>4819</v>
      </c>
      <c r="F11765" s="331">
        <v>0.21</v>
      </c>
      <c r="G11765" s="332">
        <v>2134</v>
      </c>
      <c r="H11765" s="333">
        <v>2583</v>
      </c>
    </row>
    <row r="11766" spans="1:8">
      <c r="A11766" s="317">
        <v>2609100270</v>
      </c>
      <c r="B11766" s="330" t="s">
        <v>56120</v>
      </c>
      <c r="C11766" s="330" t="s">
        <v>25611</v>
      </c>
      <c r="D11766" s="330" t="s">
        <v>25612</v>
      </c>
      <c r="E11766" s="330" t="s">
        <v>4634</v>
      </c>
      <c r="F11766" s="331">
        <v>0.21</v>
      </c>
      <c r="G11766" s="332">
        <v>9128</v>
      </c>
      <c r="H11766" s="333">
        <v>11045</v>
      </c>
    </row>
    <row r="11767" spans="1:8">
      <c r="A11767" s="317">
        <v>2609100273</v>
      </c>
      <c r="B11767" s="330" t="s">
        <v>56121</v>
      </c>
      <c r="C11767" s="330" t="s">
        <v>25613</v>
      </c>
      <c r="D11767" s="330" t="s">
        <v>25614</v>
      </c>
      <c r="E11767" s="330" t="s">
        <v>4819</v>
      </c>
      <c r="F11767" s="331">
        <v>0.21</v>
      </c>
      <c r="G11767" s="332">
        <v>3468</v>
      </c>
      <c r="H11767" s="333">
        <v>4197</v>
      </c>
    </row>
    <row r="11768" spans="1:8">
      <c r="A11768" s="317">
        <v>2609100297</v>
      </c>
      <c r="B11768" s="330" t="s">
        <v>56122</v>
      </c>
      <c r="C11768" s="330" t="s">
        <v>25615</v>
      </c>
      <c r="D11768" s="330" t="s">
        <v>25616</v>
      </c>
      <c r="E11768" s="330" t="s">
        <v>4634</v>
      </c>
      <c r="F11768" s="331">
        <v>0.21</v>
      </c>
      <c r="G11768" s="332">
        <v>11084</v>
      </c>
      <c r="H11768" s="333">
        <v>13412</v>
      </c>
    </row>
    <row r="11769" spans="1:8">
      <c r="A11769" s="317">
        <v>2609100301</v>
      </c>
      <c r="B11769" s="330" t="s">
        <v>56123</v>
      </c>
      <c r="C11769" s="330" t="s">
        <v>25617</v>
      </c>
      <c r="D11769" s="330" t="s">
        <v>25618</v>
      </c>
      <c r="E11769" s="330" t="s">
        <v>4819</v>
      </c>
      <c r="F11769" s="331">
        <v>0.21</v>
      </c>
      <c r="G11769" s="332">
        <v>653</v>
      </c>
      <c r="H11769" s="333">
        <v>791</v>
      </c>
    </row>
    <row r="11770" spans="1:8">
      <c r="A11770" s="317">
        <v>2609100375</v>
      </c>
      <c r="B11770" s="330" t="s">
        <v>56124</v>
      </c>
      <c r="C11770" s="330" t="s">
        <v>25619</v>
      </c>
      <c r="D11770" s="330" t="s">
        <v>25620</v>
      </c>
      <c r="E11770" s="330" t="s">
        <v>4634</v>
      </c>
      <c r="F11770" s="331">
        <v>0.21</v>
      </c>
      <c r="G11770" s="332">
        <v>7745</v>
      </c>
      <c r="H11770" s="333">
        <v>9372</v>
      </c>
    </row>
    <row r="11771" spans="1:8">
      <c r="A11771" s="317">
        <v>2609100376</v>
      </c>
      <c r="B11771" s="330" t="s">
        <v>56125</v>
      </c>
      <c r="C11771" s="330" t="s">
        <v>25621</v>
      </c>
      <c r="D11771" s="330" t="s">
        <v>25622</v>
      </c>
      <c r="E11771" s="330" t="s">
        <v>4634</v>
      </c>
      <c r="F11771" s="331">
        <v>0.21</v>
      </c>
      <c r="G11771" s="332">
        <v>11880</v>
      </c>
      <c r="H11771" s="333">
        <v>14375</v>
      </c>
    </row>
    <row r="11772" spans="1:8">
      <c r="A11772" s="317">
        <v>2609100377</v>
      </c>
      <c r="B11772" s="330" t="s">
        <v>56126</v>
      </c>
      <c r="C11772" s="330" t="s">
        <v>25623</v>
      </c>
      <c r="D11772" s="330" t="s">
        <v>25624</v>
      </c>
      <c r="E11772" s="330" t="s">
        <v>4634</v>
      </c>
      <c r="F11772" s="331">
        <v>0.21</v>
      </c>
      <c r="G11772" s="332">
        <v>711</v>
      </c>
      <c r="H11772" s="333">
        <v>861</v>
      </c>
    </row>
    <row r="11773" spans="1:8">
      <c r="A11773" s="317">
        <v>2609100381</v>
      </c>
      <c r="B11773" s="330" t="s">
        <v>56127</v>
      </c>
      <c r="C11773" s="330" t="s">
        <v>25625</v>
      </c>
      <c r="D11773" s="330" t="s">
        <v>25626</v>
      </c>
      <c r="E11773" s="330" t="s">
        <v>4634</v>
      </c>
      <c r="F11773" s="331">
        <v>0.21</v>
      </c>
      <c r="G11773" s="332">
        <v>1547</v>
      </c>
      <c r="H11773" s="333">
        <v>1872</v>
      </c>
    </row>
    <row r="11774" spans="1:8">
      <c r="A11774" s="317">
        <v>2609100382</v>
      </c>
      <c r="B11774" s="330" t="s">
        <v>56128</v>
      </c>
      <c r="C11774" s="330" t="s">
        <v>25627</v>
      </c>
      <c r="D11774" s="330" t="s">
        <v>25628</v>
      </c>
      <c r="E11774" s="330" t="s">
        <v>4634</v>
      </c>
      <c r="F11774" s="331">
        <v>0.21</v>
      </c>
      <c r="G11774" s="332">
        <v>372</v>
      </c>
      <c r="H11774" s="333">
        <v>451</v>
      </c>
    </row>
    <row r="11775" spans="1:8">
      <c r="A11775" s="317">
        <v>2609100383</v>
      </c>
      <c r="B11775" s="330" t="s">
        <v>56129</v>
      </c>
      <c r="C11775" s="330" t="s">
        <v>25629</v>
      </c>
      <c r="D11775" s="330" t="s">
        <v>25630</v>
      </c>
      <c r="E11775" s="330" t="s">
        <v>4634</v>
      </c>
      <c r="F11775" s="331">
        <v>0.21</v>
      </c>
      <c r="G11775" s="332">
        <v>3125</v>
      </c>
      <c r="H11775" s="333">
        <v>3782</v>
      </c>
    </row>
    <row r="11776" spans="1:8">
      <c r="A11776" s="317">
        <v>2609100384</v>
      </c>
      <c r="B11776" s="330" t="s">
        <v>56130</v>
      </c>
      <c r="C11776" s="330" t="s">
        <v>25631</v>
      </c>
      <c r="D11776" s="330" t="s">
        <v>25632</v>
      </c>
      <c r="E11776" s="330" t="s">
        <v>4634</v>
      </c>
      <c r="F11776" s="331">
        <v>0.21</v>
      </c>
      <c r="G11776" s="332">
        <v>1055</v>
      </c>
      <c r="H11776" s="333">
        <v>1277</v>
      </c>
    </row>
    <row r="11777" spans="1:8">
      <c r="A11777" s="317">
        <v>2609100385</v>
      </c>
      <c r="B11777" s="330" t="s">
        <v>56131</v>
      </c>
      <c r="C11777" s="330" t="s">
        <v>25633</v>
      </c>
      <c r="D11777" s="330" t="s">
        <v>25634</v>
      </c>
      <c r="E11777" s="330" t="s">
        <v>4634</v>
      </c>
      <c r="F11777" s="331">
        <v>0.21</v>
      </c>
      <c r="G11777" s="332">
        <v>1199</v>
      </c>
      <c r="H11777" s="333">
        <v>1451</v>
      </c>
    </row>
    <row r="11778" spans="1:8">
      <c r="A11778" s="317">
        <v>2609100386</v>
      </c>
      <c r="B11778" s="330" t="s">
        <v>56132</v>
      </c>
      <c r="C11778" s="330" t="s">
        <v>25635</v>
      </c>
      <c r="D11778" s="330" t="s">
        <v>25636</v>
      </c>
      <c r="E11778" s="330" t="s">
        <v>4634</v>
      </c>
      <c r="F11778" s="331">
        <v>0.21</v>
      </c>
      <c r="G11778" s="332">
        <v>1664</v>
      </c>
      <c r="H11778" s="333">
        <v>2014</v>
      </c>
    </row>
    <row r="11779" spans="1:8">
      <c r="A11779" s="317">
        <v>2609100395</v>
      </c>
      <c r="B11779" s="330" t="s">
        <v>56133</v>
      </c>
      <c r="C11779" s="330" t="s">
        <v>25637</v>
      </c>
      <c r="D11779" s="330" t="s">
        <v>25638</v>
      </c>
      <c r="E11779" s="330" t="s">
        <v>4819</v>
      </c>
      <c r="F11779" s="331">
        <v>0.21</v>
      </c>
      <c r="G11779" s="332">
        <v>36548</v>
      </c>
      <c r="H11779" s="333">
        <v>44224</v>
      </c>
    </row>
    <row r="11780" spans="1:8">
      <c r="A11780" s="317">
        <v>2609100398</v>
      </c>
      <c r="B11780" s="330" t="s">
        <v>56134</v>
      </c>
      <c r="C11780" s="330" t="s">
        <v>25639</v>
      </c>
      <c r="D11780" s="330" t="s">
        <v>25640</v>
      </c>
      <c r="E11780" s="330" t="s">
        <v>37248</v>
      </c>
      <c r="F11780" s="331">
        <v>0.21</v>
      </c>
      <c r="G11780" s="332">
        <v>3819</v>
      </c>
      <c r="H11780" s="333">
        <v>4621</v>
      </c>
    </row>
    <row r="11781" spans="1:8">
      <c r="A11781" s="317">
        <v>2609100410</v>
      </c>
      <c r="B11781" s="330" t="s">
        <v>56135</v>
      </c>
      <c r="C11781" s="330" t="s">
        <v>25641</v>
      </c>
      <c r="D11781" s="330" t="s">
        <v>25642</v>
      </c>
      <c r="E11781" s="330" t="s">
        <v>37248</v>
      </c>
      <c r="F11781" s="331">
        <v>0.21</v>
      </c>
      <c r="G11781" s="332">
        <v>8026</v>
      </c>
      <c r="H11781" s="333">
        <v>9712</v>
      </c>
    </row>
    <row r="11782" spans="1:8">
      <c r="A11782" s="317">
        <v>2609100415</v>
      </c>
      <c r="B11782" s="330" t="s">
        <v>56136</v>
      </c>
      <c r="C11782" s="330" t="s">
        <v>25643</v>
      </c>
      <c r="D11782" s="330" t="s">
        <v>25644</v>
      </c>
      <c r="E11782" s="330" t="s">
        <v>37248</v>
      </c>
      <c r="F11782" s="331">
        <v>0.21</v>
      </c>
      <c r="G11782" s="332">
        <v>1652</v>
      </c>
      <c r="H11782" s="333">
        <v>1999</v>
      </c>
    </row>
    <row r="11783" spans="1:8">
      <c r="A11783" s="317">
        <v>2609100417</v>
      </c>
      <c r="B11783" s="330" t="s">
        <v>56137</v>
      </c>
      <c r="C11783" s="330" t="s">
        <v>25645</v>
      </c>
      <c r="D11783" s="330" t="s">
        <v>25646</v>
      </c>
      <c r="E11783" s="330" t="s">
        <v>37248</v>
      </c>
      <c r="F11783" s="331">
        <v>0.21</v>
      </c>
      <c r="G11783" s="332">
        <v>1438</v>
      </c>
      <c r="H11783" s="333">
        <v>1740</v>
      </c>
    </row>
    <row r="11784" spans="1:8">
      <c r="A11784" s="317">
        <v>2609100423</v>
      </c>
      <c r="B11784" s="330" t="s">
        <v>56138</v>
      </c>
      <c r="C11784" s="330" t="s">
        <v>25647</v>
      </c>
      <c r="D11784" s="330" t="s">
        <v>25648</v>
      </c>
      <c r="E11784" s="330" t="s">
        <v>4634</v>
      </c>
      <c r="F11784" s="331">
        <v>0.21</v>
      </c>
      <c r="G11784" s="332">
        <v>820</v>
      </c>
      <c r="H11784" s="333">
        <v>993</v>
      </c>
    </row>
    <row r="11785" spans="1:8">
      <c r="A11785" s="317">
        <v>2609100454</v>
      </c>
      <c r="B11785" s="330" t="s">
        <v>56139</v>
      </c>
      <c r="C11785" s="330" t="s">
        <v>25649</v>
      </c>
      <c r="D11785" s="330" t="s">
        <v>25650</v>
      </c>
      <c r="E11785" s="330" t="s">
        <v>37248</v>
      </c>
      <c r="F11785" s="331">
        <v>0.21</v>
      </c>
      <c r="G11785" s="332">
        <v>4557</v>
      </c>
      <c r="H11785" s="333">
        <v>5514</v>
      </c>
    </row>
    <row r="11786" spans="1:8">
      <c r="A11786" s="317">
        <v>2609100455</v>
      </c>
      <c r="B11786" s="330" t="s">
        <v>56140</v>
      </c>
      <c r="C11786" s="330" t="s">
        <v>25651</v>
      </c>
      <c r="D11786" s="330" t="s">
        <v>25652</v>
      </c>
      <c r="E11786" s="330" t="s">
        <v>4634</v>
      </c>
      <c r="F11786" s="331">
        <v>0.21</v>
      </c>
      <c r="G11786" s="332">
        <v>280</v>
      </c>
      <c r="H11786" s="333">
        <v>339</v>
      </c>
    </row>
    <row r="11787" spans="1:8">
      <c r="A11787" s="317">
        <v>2609100456</v>
      </c>
      <c r="B11787" s="330" t="s">
        <v>56141</v>
      </c>
      <c r="C11787" s="330" t="s">
        <v>25653</v>
      </c>
      <c r="D11787" s="330" t="s">
        <v>25654</v>
      </c>
      <c r="E11787" s="330" t="s">
        <v>4634</v>
      </c>
      <c r="F11787" s="331">
        <v>0.21</v>
      </c>
      <c r="G11787" s="332">
        <v>180</v>
      </c>
      <c r="H11787" s="333">
        <v>218</v>
      </c>
    </row>
    <row r="11788" spans="1:8">
      <c r="A11788" s="317">
        <v>2609100457</v>
      </c>
      <c r="B11788" s="330" t="s">
        <v>56142</v>
      </c>
      <c r="C11788" s="330" t="s">
        <v>25655</v>
      </c>
      <c r="D11788" s="330" t="s">
        <v>6216</v>
      </c>
      <c r="E11788" s="330" t="s">
        <v>37248</v>
      </c>
      <c r="F11788" s="331">
        <v>0.21</v>
      </c>
      <c r="G11788" s="332">
        <v>1247</v>
      </c>
      <c r="H11788" s="333">
        <v>1509</v>
      </c>
    </row>
    <row r="11789" spans="1:8">
      <c r="A11789" s="317">
        <v>2609100458</v>
      </c>
      <c r="B11789" s="330" t="s">
        <v>56143</v>
      </c>
      <c r="C11789" s="330" t="s">
        <v>25656</v>
      </c>
      <c r="D11789" s="330" t="s">
        <v>25657</v>
      </c>
      <c r="E11789" s="330" t="s">
        <v>4634</v>
      </c>
      <c r="F11789" s="331">
        <v>0.21</v>
      </c>
      <c r="G11789" s="332">
        <v>928</v>
      </c>
      <c r="H11789" s="333">
        <v>1123</v>
      </c>
    </row>
    <row r="11790" spans="1:8">
      <c r="A11790" s="317">
        <v>2609100502</v>
      </c>
      <c r="B11790" s="330" t="s">
        <v>56144</v>
      </c>
      <c r="C11790" s="330" t="s">
        <v>25658</v>
      </c>
      <c r="D11790" s="330" t="s">
        <v>25659</v>
      </c>
      <c r="E11790" s="330" t="s">
        <v>4634</v>
      </c>
      <c r="F11790" s="331">
        <v>0.21</v>
      </c>
      <c r="G11790" s="332">
        <v>3283</v>
      </c>
      <c r="H11790" s="333">
        <v>3973</v>
      </c>
    </row>
    <row r="11791" spans="1:8">
      <c r="A11791" s="317">
        <v>2609100503</v>
      </c>
      <c r="B11791" s="330" t="s">
        <v>56145</v>
      </c>
      <c r="C11791" s="330" t="s">
        <v>25660</v>
      </c>
      <c r="D11791" s="330" t="s">
        <v>25661</v>
      </c>
      <c r="E11791" s="330" t="s">
        <v>4634</v>
      </c>
      <c r="F11791" s="331">
        <v>0.21</v>
      </c>
      <c r="G11791" s="332">
        <v>3283</v>
      </c>
      <c r="H11791" s="333">
        <v>3973</v>
      </c>
    </row>
    <row r="11792" spans="1:8">
      <c r="A11792" s="317">
        <v>2609100504</v>
      </c>
      <c r="B11792" s="330" t="s">
        <v>56146</v>
      </c>
      <c r="C11792" s="330" t="s">
        <v>25662</v>
      </c>
      <c r="D11792" s="330" t="s">
        <v>25663</v>
      </c>
      <c r="E11792" s="330" t="s">
        <v>4819</v>
      </c>
      <c r="F11792" s="331">
        <v>0.21</v>
      </c>
      <c r="G11792" s="332">
        <v>1373</v>
      </c>
      <c r="H11792" s="333">
        <v>1662</v>
      </c>
    </row>
    <row r="11793" spans="1:8">
      <c r="A11793" s="317">
        <v>2609100538</v>
      </c>
      <c r="B11793" s="330" t="s">
        <v>56147</v>
      </c>
      <c r="C11793" s="330" t="s">
        <v>25664</v>
      </c>
      <c r="D11793" s="330" t="s">
        <v>25665</v>
      </c>
      <c r="E11793" s="330" t="s">
        <v>4634</v>
      </c>
      <c r="F11793" s="331">
        <v>0.21</v>
      </c>
      <c r="G11793" s="332">
        <v>2775</v>
      </c>
      <c r="H11793" s="333">
        <v>3358</v>
      </c>
    </row>
    <row r="11794" spans="1:8">
      <c r="A11794" s="317">
        <v>2609100539</v>
      </c>
      <c r="B11794" s="330" t="s">
        <v>56148</v>
      </c>
      <c r="C11794" s="330" t="s">
        <v>25666</v>
      </c>
      <c r="D11794" s="330" t="s">
        <v>7369</v>
      </c>
      <c r="E11794" s="330" t="s">
        <v>37248</v>
      </c>
      <c r="F11794" s="331">
        <v>0.21</v>
      </c>
      <c r="G11794" s="332">
        <v>25780</v>
      </c>
      <c r="H11794" s="333">
        <v>31194</v>
      </c>
    </row>
    <row r="11795" spans="1:8">
      <c r="A11795" s="317">
        <v>2609100541</v>
      </c>
      <c r="B11795" s="330" t="s">
        <v>56149</v>
      </c>
      <c r="C11795" s="330" t="s">
        <v>25667</v>
      </c>
      <c r="D11795" s="330" t="s">
        <v>25668</v>
      </c>
      <c r="E11795" s="330" t="s">
        <v>4634</v>
      </c>
      <c r="F11795" s="331">
        <v>0.21</v>
      </c>
      <c r="G11795" s="332">
        <v>18158</v>
      </c>
      <c r="H11795" s="333">
        <v>21972</v>
      </c>
    </row>
    <row r="11796" spans="1:8">
      <c r="A11796" s="317">
        <v>2609100542</v>
      </c>
      <c r="B11796" s="330" t="s">
        <v>56150</v>
      </c>
      <c r="C11796" s="330" t="s">
        <v>25669</v>
      </c>
      <c r="D11796" s="330" t="s">
        <v>25670</v>
      </c>
      <c r="E11796" s="330" t="s">
        <v>4634</v>
      </c>
      <c r="F11796" s="331">
        <v>0.21</v>
      </c>
      <c r="G11796" s="332">
        <v>4374</v>
      </c>
      <c r="H11796" s="333">
        <v>5293</v>
      </c>
    </row>
    <row r="11797" spans="1:8">
      <c r="A11797" s="317">
        <v>2609100544</v>
      </c>
      <c r="B11797" s="330" t="s">
        <v>56151</v>
      </c>
      <c r="C11797" s="330" t="s">
        <v>25671</v>
      </c>
      <c r="D11797" s="330" t="s">
        <v>5573</v>
      </c>
      <c r="E11797" s="330" t="s">
        <v>4623</v>
      </c>
      <c r="F11797" s="331">
        <v>0.21</v>
      </c>
      <c r="G11797" s="332">
        <v>5762</v>
      </c>
      <c r="H11797" s="333">
        <v>6973</v>
      </c>
    </row>
    <row r="11798" spans="1:8">
      <c r="A11798" s="317">
        <v>2609100545</v>
      </c>
      <c r="B11798" s="330" t="s">
        <v>56152</v>
      </c>
      <c r="C11798" s="330" t="s">
        <v>25672</v>
      </c>
      <c r="D11798" s="330" t="s">
        <v>25673</v>
      </c>
      <c r="E11798" s="330" t="s">
        <v>4634</v>
      </c>
      <c r="F11798" s="331">
        <v>0.21</v>
      </c>
      <c r="G11798" s="332">
        <v>1344</v>
      </c>
      <c r="H11798" s="333">
        <v>1627</v>
      </c>
    </row>
    <row r="11799" spans="1:8">
      <c r="A11799" s="317">
        <v>2609100546</v>
      </c>
      <c r="B11799" s="330" t="s">
        <v>56153</v>
      </c>
      <c r="C11799" s="330" t="s">
        <v>25674</v>
      </c>
      <c r="D11799" s="330" t="s">
        <v>5822</v>
      </c>
      <c r="E11799" s="330" t="s">
        <v>4634</v>
      </c>
      <c r="F11799" s="331">
        <v>0.21</v>
      </c>
      <c r="G11799" s="332">
        <v>4833</v>
      </c>
      <c r="H11799" s="333">
        <v>5848</v>
      </c>
    </row>
    <row r="11800" spans="1:8">
      <c r="A11800" s="317">
        <v>2609100568</v>
      </c>
      <c r="B11800" s="330" t="s">
        <v>56154</v>
      </c>
      <c r="C11800" s="330" t="s">
        <v>25675</v>
      </c>
      <c r="D11800" s="330" t="s">
        <v>25676</v>
      </c>
      <c r="E11800" s="330" t="s">
        <v>4634</v>
      </c>
      <c r="F11800" s="331">
        <v>0.21</v>
      </c>
      <c r="G11800" s="332">
        <v>455</v>
      </c>
      <c r="H11800" s="333">
        <v>551</v>
      </c>
    </row>
    <row r="11801" spans="1:8">
      <c r="A11801" s="317">
        <v>2609100580</v>
      </c>
      <c r="B11801" s="330" t="s">
        <v>56155</v>
      </c>
      <c r="C11801" s="330" t="s">
        <v>25677</v>
      </c>
      <c r="D11801" s="330" t="s">
        <v>7809</v>
      </c>
      <c r="E11801" s="330" t="s">
        <v>4819</v>
      </c>
      <c r="F11801" s="331">
        <v>0.21</v>
      </c>
      <c r="G11801" s="332">
        <v>1403</v>
      </c>
      <c r="H11801" s="333">
        <v>1698</v>
      </c>
    </row>
    <row r="11802" spans="1:8">
      <c r="A11802" s="317">
        <v>2609100618</v>
      </c>
      <c r="B11802" s="330" t="s">
        <v>56156</v>
      </c>
      <c r="C11802" s="330" t="s">
        <v>25678</v>
      </c>
      <c r="D11802" s="330" t="s">
        <v>25679</v>
      </c>
      <c r="E11802" s="330" t="s">
        <v>4634</v>
      </c>
      <c r="F11802" s="331">
        <v>0.21</v>
      </c>
      <c r="G11802" s="332">
        <v>153</v>
      </c>
      <c r="H11802" s="333">
        <v>186</v>
      </c>
    </row>
    <row r="11803" spans="1:8">
      <c r="A11803" s="317">
        <v>2609100625</v>
      </c>
      <c r="B11803" s="330" t="s">
        <v>56157</v>
      </c>
      <c r="C11803" s="330" t="s">
        <v>25680</v>
      </c>
      <c r="D11803" s="330" t="s">
        <v>25681</v>
      </c>
      <c r="E11803" s="330" t="s">
        <v>37248</v>
      </c>
      <c r="F11803" s="331">
        <v>0.21</v>
      </c>
      <c r="G11803" s="332">
        <v>21111</v>
      </c>
      <c r="H11803" s="333">
        <v>25545</v>
      </c>
    </row>
    <row r="11804" spans="1:8">
      <c r="A11804" s="317">
        <v>2609100626</v>
      </c>
      <c r="B11804" s="330" t="s">
        <v>56158</v>
      </c>
      <c r="C11804" s="330" t="s">
        <v>25682</v>
      </c>
      <c r="D11804" s="330" t="s">
        <v>25683</v>
      </c>
      <c r="E11804" s="330" t="s">
        <v>37248</v>
      </c>
      <c r="F11804" s="331">
        <v>0.21</v>
      </c>
      <c r="G11804" s="332">
        <v>41728</v>
      </c>
      <c r="H11804" s="333">
        <v>50491</v>
      </c>
    </row>
    <row r="11805" spans="1:8">
      <c r="A11805" s="317">
        <v>2609100633</v>
      </c>
      <c r="B11805" s="330" t="s">
        <v>56159</v>
      </c>
      <c r="C11805" s="330" t="s">
        <v>25684</v>
      </c>
      <c r="D11805" s="330" t="s">
        <v>25685</v>
      </c>
      <c r="E11805" s="330" t="s">
        <v>4819</v>
      </c>
      <c r="F11805" s="331">
        <v>0.21</v>
      </c>
      <c r="G11805" s="332">
        <v>3432</v>
      </c>
      <c r="H11805" s="333">
        <v>4153</v>
      </c>
    </row>
    <row r="11806" spans="1:8">
      <c r="A11806" s="317">
        <v>2609100649</v>
      </c>
      <c r="B11806" s="330" t="s">
        <v>56160</v>
      </c>
      <c r="C11806" s="330" t="s">
        <v>25686</v>
      </c>
      <c r="D11806" s="330" t="s">
        <v>25687</v>
      </c>
      <c r="E11806" s="330" t="s">
        <v>4634</v>
      </c>
      <c r="F11806" s="331">
        <v>0.21</v>
      </c>
      <c r="G11806" s="332">
        <v>33265</v>
      </c>
      <c r="H11806" s="333">
        <v>40251</v>
      </c>
    </row>
    <row r="11807" spans="1:8">
      <c r="A11807" s="317">
        <v>2609100650</v>
      </c>
      <c r="B11807" s="330" t="s">
        <v>56161</v>
      </c>
      <c r="C11807" s="330" t="s">
        <v>25688</v>
      </c>
      <c r="D11807" s="330" t="s">
        <v>6855</v>
      </c>
      <c r="E11807" s="330" t="s">
        <v>37248</v>
      </c>
      <c r="F11807" s="331">
        <v>0.21</v>
      </c>
      <c r="G11807" s="332">
        <v>3468</v>
      </c>
      <c r="H11807" s="333">
        <v>4197</v>
      </c>
    </row>
    <row r="11808" spans="1:8">
      <c r="A11808" s="317">
        <v>2609100651</v>
      </c>
      <c r="B11808" s="330" t="s">
        <v>56162</v>
      </c>
      <c r="C11808" s="330" t="s">
        <v>25689</v>
      </c>
      <c r="D11808" s="330" t="s">
        <v>25690</v>
      </c>
      <c r="E11808" s="330" t="s">
        <v>4634</v>
      </c>
      <c r="F11808" s="331">
        <v>0.21</v>
      </c>
      <c r="G11808" s="332">
        <v>2063</v>
      </c>
      <c r="H11808" s="333">
        <v>2497</v>
      </c>
    </row>
    <row r="11809" spans="1:8">
      <c r="A11809" s="317">
        <v>2609100661</v>
      </c>
      <c r="B11809" s="330" t="s">
        <v>56163</v>
      </c>
      <c r="C11809" s="330" t="s">
        <v>25691</v>
      </c>
      <c r="D11809" s="330" t="s">
        <v>25692</v>
      </c>
      <c r="E11809" s="330" t="s">
        <v>4634</v>
      </c>
      <c r="F11809" s="331">
        <v>0.21</v>
      </c>
      <c r="G11809" s="332">
        <v>4336</v>
      </c>
      <c r="H11809" s="333">
        <v>5247</v>
      </c>
    </row>
    <row r="11810" spans="1:8">
      <c r="A11810" s="317">
        <v>2609100664</v>
      </c>
      <c r="B11810" s="330" t="s">
        <v>56164</v>
      </c>
      <c r="C11810" s="330" t="s">
        <v>25693</v>
      </c>
      <c r="D11810" s="330" t="s">
        <v>25694</v>
      </c>
      <c r="E11810" s="330" t="s">
        <v>37248</v>
      </c>
      <c r="F11810" s="331">
        <v>0.21</v>
      </c>
      <c r="G11810" s="332">
        <v>2478</v>
      </c>
      <c r="H11810" s="333">
        <v>2999</v>
      </c>
    </row>
    <row r="11811" spans="1:8">
      <c r="A11811" s="317">
        <v>2609100665</v>
      </c>
      <c r="B11811" s="330" t="s">
        <v>56165</v>
      </c>
      <c r="C11811" s="330" t="s">
        <v>25695</v>
      </c>
      <c r="D11811" s="330" t="s">
        <v>25696</v>
      </c>
      <c r="E11811" s="330" t="s">
        <v>4819</v>
      </c>
      <c r="F11811" s="331">
        <v>0.21</v>
      </c>
      <c r="G11811" s="332">
        <v>3934</v>
      </c>
      <c r="H11811" s="333">
        <v>4761</v>
      </c>
    </row>
    <row r="11812" spans="1:8">
      <c r="A11812" s="317">
        <v>2609100666</v>
      </c>
      <c r="B11812" s="330" t="s">
        <v>56166</v>
      </c>
      <c r="C11812" s="330" t="s">
        <v>25697</v>
      </c>
      <c r="D11812" s="330" t="s">
        <v>25698</v>
      </c>
      <c r="E11812" s="330" t="s">
        <v>4634</v>
      </c>
      <c r="F11812" s="331">
        <v>0.21</v>
      </c>
      <c r="G11812" s="332">
        <v>5626</v>
      </c>
      <c r="H11812" s="333">
        <v>6808</v>
      </c>
    </row>
    <row r="11813" spans="1:8">
      <c r="A11813" s="317">
        <v>2609100671</v>
      </c>
      <c r="B11813" s="330" t="s">
        <v>56167</v>
      </c>
      <c r="C11813" s="330" t="s">
        <v>25699</v>
      </c>
      <c r="D11813" s="330" t="s">
        <v>25700</v>
      </c>
      <c r="E11813" s="330" t="s">
        <v>4634</v>
      </c>
      <c r="F11813" s="331">
        <v>0.21</v>
      </c>
      <c r="G11813" s="332">
        <v>2270</v>
      </c>
      <c r="H11813" s="333">
        <v>2747</v>
      </c>
    </row>
    <row r="11814" spans="1:8">
      <c r="A11814" s="317">
        <v>2609100680</v>
      </c>
      <c r="B11814" s="330" t="s">
        <v>56168</v>
      </c>
      <c r="C11814" s="330" t="s">
        <v>25701</v>
      </c>
      <c r="D11814" s="330" t="s">
        <v>25702</v>
      </c>
      <c r="E11814" s="330" t="s">
        <v>37248</v>
      </c>
      <c r="F11814" s="331">
        <v>0.21</v>
      </c>
      <c r="G11814" s="332">
        <v>28674</v>
      </c>
      <c r="H11814" s="333">
        <v>34696</v>
      </c>
    </row>
    <row r="11815" spans="1:8">
      <c r="A11815" s="317">
        <v>2609100684</v>
      </c>
      <c r="B11815" s="330" t="s">
        <v>56169</v>
      </c>
      <c r="C11815" s="330" t="s">
        <v>25703</v>
      </c>
      <c r="D11815" s="330" t="s">
        <v>25704</v>
      </c>
      <c r="E11815" s="330" t="s">
        <v>37248</v>
      </c>
      <c r="F11815" s="331">
        <v>0.21</v>
      </c>
      <c r="G11815" s="332">
        <v>28859</v>
      </c>
      <c r="H11815" s="333">
        <v>34920</v>
      </c>
    </row>
    <row r="11816" spans="1:8">
      <c r="A11816" s="317">
        <v>2609100686</v>
      </c>
      <c r="B11816" s="330" t="s">
        <v>56170</v>
      </c>
      <c r="C11816" s="330" t="s">
        <v>25705</v>
      </c>
      <c r="D11816" s="330" t="s">
        <v>25706</v>
      </c>
      <c r="E11816" s="330" t="s">
        <v>4634</v>
      </c>
      <c r="F11816" s="331">
        <v>0.21</v>
      </c>
      <c r="G11816" s="332">
        <v>236</v>
      </c>
      <c r="H11816" s="333">
        <v>286</v>
      </c>
    </row>
    <row r="11817" spans="1:8">
      <c r="A11817" s="317">
        <v>2609100687</v>
      </c>
      <c r="B11817" s="330" t="s">
        <v>56171</v>
      </c>
      <c r="C11817" s="330" t="s">
        <v>25707</v>
      </c>
      <c r="D11817" s="330" t="s">
        <v>25708</v>
      </c>
      <c r="E11817" s="330" t="s">
        <v>4634</v>
      </c>
      <c r="F11817" s="331">
        <v>0.21</v>
      </c>
      <c r="G11817" s="332">
        <v>236</v>
      </c>
      <c r="H11817" s="333">
        <v>286</v>
      </c>
    </row>
    <row r="11818" spans="1:8">
      <c r="A11818" s="317">
        <v>2609100696</v>
      </c>
      <c r="B11818" s="330" t="s">
        <v>56172</v>
      </c>
      <c r="C11818" s="330" t="s">
        <v>25709</v>
      </c>
      <c r="D11818" s="330" t="s">
        <v>25710</v>
      </c>
      <c r="E11818" s="330" t="s">
        <v>4634</v>
      </c>
      <c r="F11818" s="331">
        <v>0.21</v>
      </c>
      <c r="G11818" s="332">
        <v>11472</v>
      </c>
      <c r="H11818" s="333">
        <v>13882</v>
      </c>
    </row>
    <row r="11819" spans="1:8">
      <c r="A11819" s="317">
        <v>2609100698</v>
      </c>
      <c r="B11819" s="330" t="s">
        <v>56173</v>
      </c>
      <c r="C11819" s="330" t="s">
        <v>25711</v>
      </c>
      <c r="D11819" s="330" t="s">
        <v>8226</v>
      </c>
      <c r="E11819" s="330" t="s">
        <v>37248</v>
      </c>
      <c r="F11819" s="331">
        <v>0.21</v>
      </c>
      <c r="G11819" s="332">
        <v>2411</v>
      </c>
      <c r="H11819" s="333">
        <v>2918</v>
      </c>
    </row>
    <row r="11820" spans="1:8">
      <c r="A11820" s="317">
        <v>2609100709</v>
      </c>
      <c r="B11820" s="330" t="s">
        <v>56174</v>
      </c>
      <c r="C11820" s="330" t="s">
        <v>25712</v>
      </c>
      <c r="D11820" s="330" t="s">
        <v>25713</v>
      </c>
      <c r="E11820" s="330" t="s">
        <v>4634</v>
      </c>
      <c r="F11820" s="331">
        <v>0.21</v>
      </c>
      <c r="G11820" s="332">
        <v>455</v>
      </c>
      <c r="H11820" s="333">
        <v>551</v>
      </c>
    </row>
    <row r="11821" spans="1:8">
      <c r="A11821" s="317">
        <v>2609100728</v>
      </c>
      <c r="B11821" s="330" t="s">
        <v>56175</v>
      </c>
      <c r="C11821" s="330" t="s">
        <v>25714</v>
      </c>
      <c r="D11821" s="330" t="s">
        <v>25715</v>
      </c>
      <c r="E11821" s="330" t="s">
        <v>37248</v>
      </c>
      <c r="F11821" s="331">
        <v>0.21</v>
      </c>
      <c r="G11821" s="332">
        <v>1679</v>
      </c>
      <c r="H11821" s="333">
        <v>2032</v>
      </c>
    </row>
    <row r="11822" spans="1:8">
      <c r="A11822" s="317">
        <v>2609100731</v>
      </c>
      <c r="B11822" s="330" t="s">
        <v>56176</v>
      </c>
      <c r="C11822" s="330" t="s">
        <v>25716</v>
      </c>
      <c r="D11822" s="330" t="s">
        <v>25717</v>
      </c>
      <c r="E11822" s="330" t="s">
        <v>37248</v>
      </c>
      <c r="F11822" s="331">
        <v>0.21</v>
      </c>
      <c r="G11822" s="332">
        <v>8488</v>
      </c>
      <c r="H11822" s="333">
        <v>10271</v>
      </c>
    </row>
    <row r="11823" spans="1:8">
      <c r="A11823" s="317">
        <v>2609100741</v>
      </c>
      <c r="B11823" s="330" t="s">
        <v>56177</v>
      </c>
      <c r="C11823" s="330" t="s">
        <v>25718</v>
      </c>
      <c r="D11823" s="330" t="s">
        <v>25719</v>
      </c>
      <c r="E11823" s="330" t="s">
        <v>4634</v>
      </c>
      <c r="F11823" s="331">
        <v>0.21</v>
      </c>
      <c r="G11823" s="332">
        <v>2962</v>
      </c>
      <c r="H11823" s="333">
        <v>3585</v>
      </c>
    </row>
    <row r="11824" spans="1:8">
      <c r="A11824" s="317">
        <v>2609100744</v>
      </c>
      <c r="B11824" s="330" t="s">
        <v>56178</v>
      </c>
      <c r="C11824" s="330" t="s">
        <v>25720</v>
      </c>
      <c r="D11824" s="330" t="s">
        <v>25721</v>
      </c>
      <c r="E11824" s="330" t="s">
        <v>37248</v>
      </c>
      <c r="F11824" s="331">
        <v>0.21</v>
      </c>
      <c r="G11824" s="332">
        <v>1530</v>
      </c>
      <c r="H11824" s="333">
        <v>1852</v>
      </c>
    </row>
    <row r="11825" spans="1:8">
      <c r="A11825" s="317">
        <v>2609100773</v>
      </c>
      <c r="B11825" s="330" t="s">
        <v>56179</v>
      </c>
      <c r="C11825" s="330" t="s">
        <v>25722</v>
      </c>
      <c r="D11825" s="330" t="s">
        <v>5822</v>
      </c>
      <c r="E11825" s="330" t="s">
        <v>37248</v>
      </c>
      <c r="F11825" s="331">
        <v>0.21</v>
      </c>
      <c r="G11825" s="332">
        <v>13926</v>
      </c>
      <c r="H11825" s="333">
        <v>16851</v>
      </c>
    </row>
    <row r="11826" spans="1:8">
      <c r="A11826" s="317">
        <v>2609100775</v>
      </c>
      <c r="B11826" s="330" t="s">
        <v>56180</v>
      </c>
      <c r="C11826" s="330" t="s">
        <v>25723</v>
      </c>
      <c r="D11826" s="330" t="s">
        <v>25724</v>
      </c>
      <c r="E11826" s="330" t="s">
        <v>37248</v>
      </c>
      <c r="F11826" s="331">
        <v>0.21</v>
      </c>
      <c r="G11826" s="332">
        <v>14997</v>
      </c>
      <c r="H11826" s="333">
        <v>18147</v>
      </c>
    </row>
    <row r="11827" spans="1:8">
      <c r="A11827" s="317">
        <v>2609100805</v>
      </c>
      <c r="B11827" s="330" t="s">
        <v>56181</v>
      </c>
      <c r="C11827" s="330" t="s">
        <v>25725</v>
      </c>
      <c r="D11827" s="330" t="s">
        <v>25726</v>
      </c>
      <c r="E11827" s="330" t="s">
        <v>4634</v>
      </c>
      <c r="F11827" s="331">
        <v>0.21</v>
      </c>
      <c r="G11827" s="332">
        <v>3903</v>
      </c>
      <c r="H11827" s="333">
        <v>4723</v>
      </c>
    </row>
    <row r="11828" spans="1:8">
      <c r="A11828" s="317">
        <v>2609100810</v>
      </c>
      <c r="B11828" s="330" t="s">
        <v>56182</v>
      </c>
      <c r="C11828" s="330" t="s">
        <v>25727</v>
      </c>
      <c r="D11828" s="330" t="s">
        <v>25728</v>
      </c>
      <c r="E11828" s="330" t="s">
        <v>4819</v>
      </c>
      <c r="F11828" s="331">
        <v>0.21</v>
      </c>
      <c r="G11828" s="332">
        <v>47187</v>
      </c>
      <c r="H11828" s="333">
        <v>57097</v>
      </c>
    </row>
    <row r="11829" spans="1:8">
      <c r="A11829" s="317">
        <v>2609100816</v>
      </c>
      <c r="B11829" s="330" t="s">
        <v>56183</v>
      </c>
      <c r="C11829" s="330" t="s">
        <v>25729</v>
      </c>
      <c r="D11829" s="330" t="s">
        <v>25730</v>
      </c>
      <c r="E11829" s="330" t="s">
        <v>4819</v>
      </c>
      <c r="F11829" s="331">
        <v>0.21</v>
      </c>
      <c r="G11829" s="332">
        <v>13572</v>
      </c>
      <c r="H11829" s="333">
        <v>16423</v>
      </c>
    </row>
    <row r="11830" spans="1:8">
      <c r="A11830" s="317">
        <v>2609100817</v>
      </c>
      <c r="B11830" s="330" t="s">
        <v>56184</v>
      </c>
      <c r="C11830" s="330" t="s">
        <v>25731</v>
      </c>
      <c r="D11830" s="330" t="s">
        <v>25732</v>
      </c>
      <c r="E11830" s="330" t="s">
        <v>4819</v>
      </c>
      <c r="F11830" s="331">
        <v>0.21</v>
      </c>
      <c r="G11830" s="332">
        <v>1373</v>
      </c>
      <c r="H11830" s="333">
        <v>1662</v>
      </c>
    </row>
    <row r="11831" spans="1:8">
      <c r="A11831" s="317">
        <v>2609100824</v>
      </c>
      <c r="B11831" s="330" t="s">
        <v>56185</v>
      </c>
      <c r="C11831" s="330" t="s">
        <v>25733</v>
      </c>
      <c r="D11831" s="330" t="s">
        <v>25734</v>
      </c>
      <c r="E11831" s="330" t="s">
        <v>4819</v>
      </c>
      <c r="F11831" s="331">
        <v>0.21</v>
      </c>
      <c r="G11831" s="332">
        <v>20409</v>
      </c>
      <c r="H11831" s="333">
        <v>24695</v>
      </c>
    </row>
    <row r="11832" spans="1:8">
      <c r="A11832" s="317">
        <v>2609100825</v>
      </c>
      <c r="B11832" s="330" t="s">
        <v>56186</v>
      </c>
      <c r="C11832" s="330" t="s">
        <v>25735</v>
      </c>
      <c r="D11832" s="330" t="s">
        <v>25736</v>
      </c>
      <c r="E11832" s="330" t="s">
        <v>4819</v>
      </c>
      <c r="F11832" s="331">
        <v>0.21</v>
      </c>
      <c r="G11832" s="332">
        <v>1565</v>
      </c>
      <c r="H11832" s="333">
        <v>1894</v>
      </c>
    </row>
    <row r="11833" spans="1:8">
      <c r="A11833" s="317">
        <v>2609100826</v>
      </c>
      <c r="B11833" s="330" t="s">
        <v>56187</v>
      </c>
      <c r="C11833" s="330" t="s">
        <v>25737</v>
      </c>
      <c r="D11833" s="330" t="s">
        <v>25738</v>
      </c>
      <c r="E11833" s="330" t="s">
        <v>37248</v>
      </c>
      <c r="F11833" s="331">
        <v>0.21</v>
      </c>
      <c r="G11833" s="332">
        <v>1512</v>
      </c>
      <c r="H11833" s="333">
        <v>1830</v>
      </c>
    </row>
    <row r="11834" spans="1:8">
      <c r="A11834" s="317">
        <v>2609100834</v>
      </c>
      <c r="B11834" s="330" t="s">
        <v>56188</v>
      </c>
      <c r="C11834" s="330" t="s">
        <v>25739</v>
      </c>
      <c r="D11834" s="330" t="s">
        <v>25740</v>
      </c>
      <c r="E11834" s="330" t="s">
        <v>4634</v>
      </c>
      <c r="F11834" s="331">
        <v>0.21</v>
      </c>
      <c r="G11834" s="332">
        <v>4963</v>
      </c>
      <c r="H11834" s="333">
        <v>6006</v>
      </c>
    </row>
    <row r="11835" spans="1:8">
      <c r="A11835" s="317">
        <v>2609100837</v>
      </c>
      <c r="B11835" s="330" t="s">
        <v>56189</v>
      </c>
      <c r="C11835" s="330" t="s">
        <v>25741</v>
      </c>
      <c r="D11835" s="330" t="s">
        <v>25742</v>
      </c>
      <c r="E11835" s="330" t="s">
        <v>4819</v>
      </c>
      <c r="F11835" s="331">
        <v>0.21</v>
      </c>
      <c r="G11835" s="332">
        <v>3896</v>
      </c>
      <c r="H11835" s="333">
        <v>4715</v>
      </c>
    </row>
    <row r="11836" spans="1:8">
      <c r="A11836" s="317">
        <v>2609100839</v>
      </c>
      <c r="B11836" s="330" t="s">
        <v>56190</v>
      </c>
      <c r="C11836" s="330" t="s">
        <v>25743</v>
      </c>
      <c r="D11836" s="330" t="s">
        <v>25744</v>
      </c>
      <c r="E11836" s="330" t="s">
        <v>4819</v>
      </c>
      <c r="F11836" s="331">
        <v>0.21</v>
      </c>
      <c r="G11836" s="332">
        <v>18174</v>
      </c>
      <c r="H11836" s="333">
        <v>21991</v>
      </c>
    </row>
    <row r="11837" spans="1:8">
      <c r="A11837" s="317">
        <v>2609100844</v>
      </c>
      <c r="B11837" s="330" t="s">
        <v>56191</v>
      </c>
      <c r="C11837" s="330" t="s">
        <v>25745</v>
      </c>
      <c r="D11837" s="330" t="s">
        <v>25746</v>
      </c>
      <c r="E11837" s="330" t="s">
        <v>4634</v>
      </c>
      <c r="F11837" s="331">
        <v>0.21</v>
      </c>
      <c r="G11837" s="332">
        <v>4950</v>
      </c>
      <c r="H11837" s="333">
        <v>5990</v>
      </c>
    </row>
    <row r="11838" spans="1:8">
      <c r="A11838" s="317">
        <v>2609100852</v>
      </c>
      <c r="B11838" s="330" t="s">
        <v>56192</v>
      </c>
      <c r="C11838" s="330" t="s">
        <v>25747</v>
      </c>
      <c r="D11838" s="330" t="s">
        <v>25748</v>
      </c>
      <c r="E11838" s="330" t="s">
        <v>4634</v>
      </c>
      <c r="F11838" s="331">
        <v>0.21</v>
      </c>
      <c r="G11838" s="332">
        <v>387</v>
      </c>
      <c r="H11838" s="333">
        <v>469</v>
      </c>
    </row>
    <row r="11839" spans="1:8">
      <c r="A11839" s="317">
        <v>2609100853</v>
      </c>
      <c r="B11839" s="330" t="s">
        <v>56193</v>
      </c>
      <c r="C11839" s="330" t="s">
        <v>25749</v>
      </c>
      <c r="D11839" s="330" t="s">
        <v>25750</v>
      </c>
      <c r="E11839" s="330" t="s">
        <v>4634</v>
      </c>
      <c r="F11839" s="331">
        <v>0.21</v>
      </c>
      <c r="G11839" s="332">
        <v>280</v>
      </c>
      <c r="H11839" s="333">
        <v>339</v>
      </c>
    </row>
    <row r="11840" spans="1:8">
      <c r="A11840" s="317">
        <v>2609100854</v>
      </c>
      <c r="B11840" s="330" t="s">
        <v>56194</v>
      </c>
      <c r="C11840" s="330" t="s">
        <v>25751</v>
      </c>
      <c r="D11840" s="330" t="s">
        <v>25752</v>
      </c>
      <c r="E11840" s="330" t="s">
        <v>4819</v>
      </c>
      <c r="F11840" s="331">
        <v>0.21</v>
      </c>
      <c r="G11840" s="332">
        <v>1438</v>
      </c>
      <c r="H11840" s="333">
        <v>1740</v>
      </c>
    </row>
    <row r="11841" spans="1:8">
      <c r="A11841" s="317">
        <v>2609100855</v>
      </c>
      <c r="B11841" s="330" t="s">
        <v>56195</v>
      </c>
      <c r="C11841" s="330" t="s">
        <v>25753</v>
      </c>
      <c r="D11841" s="330" t="s">
        <v>25754</v>
      </c>
      <c r="E11841" s="330" t="s">
        <v>4634</v>
      </c>
      <c r="F11841" s="331">
        <v>0.21</v>
      </c>
      <c r="G11841" s="332">
        <v>5597</v>
      </c>
      <c r="H11841" s="333">
        <v>6773</v>
      </c>
    </row>
    <row r="11842" spans="1:8">
      <c r="A11842" s="317">
        <v>2609100856</v>
      </c>
      <c r="B11842" s="330" t="s">
        <v>56196</v>
      </c>
      <c r="C11842" s="330" t="s">
        <v>25755</v>
      </c>
      <c r="D11842" s="330" t="s">
        <v>25756</v>
      </c>
      <c r="E11842" s="330" t="s">
        <v>4819</v>
      </c>
      <c r="F11842" s="331">
        <v>0.21</v>
      </c>
      <c r="G11842" s="332">
        <v>23625</v>
      </c>
      <c r="H11842" s="333">
        <v>28587</v>
      </c>
    </row>
    <row r="11843" spans="1:8">
      <c r="A11843" s="317">
        <v>2609100858</v>
      </c>
      <c r="B11843" s="330" t="s">
        <v>56197</v>
      </c>
      <c r="C11843" s="330" t="s">
        <v>25757</v>
      </c>
      <c r="D11843" s="330" t="s">
        <v>25758</v>
      </c>
      <c r="E11843" s="330" t="s">
        <v>4819</v>
      </c>
      <c r="F11843" s="331">
        <v>0.21</v>
      </c>
      <c r="G11843" s="332">
        <v>2819</v>
      </c>
      <c r="H11843" s="333">
        <v>3411</v>
      </c>
    </row>
    <row r="11844" spans="1:8">
      <c r="A11844" s="317">
        <v>2609100859</v>
      </c>
      <c r="B11844" s="330" t="s">
        <v>56198</v>
      </c>
      <c r="C11844" s="330" t="s">
        <v>25759</v>
      </c>
      <c r="D11844" s="330" t="s">
        <v>25760</v>
      </c>
      <c r="E11844" s="330" t="s">
        <v>4819</v>
      </c>
      <c r="F11844" s="331">
        <v>0.21</v>
      </c>
      <c r="G11844" s="332">
        <v>1331</v>
      </c>
      <c r="H11844" s="333">
        <v>1611</v>
      </c>
    </row>
    <row r="11845" spans="1:8">
      <c r="A11845" s="317">
        <v>2609100863</v>
      </c>
      <c r="B11845" s="330" t="s">
        <v>56199</v>
      </c>
      <c r="C11845" s="330" t="s">
        <v>25761</v>
      </c>
      <c r="D11845" s="330" t="s">
        <v>25762</v>
      </c>
      <c r="E11845" s="330" t="s">
        <v>4819</v>
      </c>
      <c r="F11845" s="331">
        <v>0.21</v>
      </c>
      <c r="G11845" s="332">
        <v>1373</v>
      </c>
      <c r="H11845" s="333">
        <v>1662</v>
      </c>
    </row>
    <row r="11846" spans="1:8">
      <c r="A11846" s="317">
        <v>2609100874</v>
      </c>
      <c r="B11846" s="330" t="s">
        <v>56200</v>
      </c>
      <c r="C11846" s="330" t="s">
        <v>25763</v>
      </c>
      <c r="D11846" s="330" t="s">
        <v>25764</v>
      </c>
      <c r="E11846" s="330" t="s">
        <v>4634</v>
      </c>
      <c r="F11846" s="331">
        <v>0.21</v>
      </c>
      <c r="G11846" s="332">
        <v>5240</v>
      </c>
      <c r="H11846" s="333">
        <v>6341</v>
      </c>
    </row>
    <row r="11847" spans="1:8">
      <c r="A11847" s="317">
        <v>2609100877</v>
      </c>
      <c r="B11847" s="330" t="s">
        <v>56201</v>
      </c>
      <c r="C11847" s="330" t="s">
        <v>25765</v>
      </c>
      <c r="D11847" s="330" t="s">
        <v>25766</v>
      </c>
      <c r="E11847" s="330" t="s">
        <v>4819</v>
      </c>
      <c r="F11847" s="331">
        <v>0.21</v>
      </c>
      <c r="G11847" s="332">
        <v>910</v>
      </c>
      <c r="H11847" s="333">
        <v>1102</v>
      </c>
    </row>
    <row r="11848" spans="1:8">
      <c r="A11848" s="317">
        <v>2609100878</v>
      </c>
      <c r="B11848" s="330" t="s">
        <v>56202</v>
      </c>
      <c r="C11848" s="330" t="s">
        <v>25767</v>
      </c>
      <c r="D11848" s="330" t="s">
        <v>25768</v>
      </c>
      <c r="E11848" s="330" t="s">
        <v>4634</v>
      </c>
      <c r="F11848" s="331">
        <v>0.21</v>
      </c>
      <c r="G11848" s="332">
        <v>274</v>
      </c>
      <c r="H11848" s="333">
        <v>332</v>
      </c>
    </row>
    <row r="11849" spans="1:8">
      <c r="A11849" s="317">
        <v>2609100879</v>
      </c>
      <c r="B11849" s="330" t="s">
        <v>56203</v>
      </c>
      <c r="C11849" s="330" t="s">
        <v>25769</v>
      </c>
      <c r="D11849" s="330" t="s">
        <v>25770</v>
      </c>
      <c r="E11849" s="330" t="s">
        <v>4634</v>
      </c>
      <c r="F11849" s="331">
        <v>0.21</v>
      </c>
      <c r="G11849" s="332">
        <v>387</v>
      </c>
      <c r="H11849" s="333">
        <v>469</v>
      </c>
    </row>
    <row r="11850" spans="1:8">
      <c r="A11850" s="317">
        <v>2609100897</v>
      </c>
      <c r="B11850" s="330" t="s">
        <v>56204</v>
      </c>
      <c r="C11850" s="330" t="s">
        <v>25771</v>
      </c>
      <c r="D11850" s="330" t="s">
        <v>25772</v>
      </c>
      <c r="E11850" s="330" t="s">
        <v>4634</v>
      </c>
      <c r="F11850" s="331">
        <v>0.21</v>
      </c>
      <c r="G11850" s="332">
        <v>280</v>
      </c>
      <c r="H11850" s="333">
        <v>339</v>
      </c>
    </row>
    <row r="11851" spans="1:8">
      <c r="A11851" s="317">
        <v>2609100909</v>
      </c>
      <c r="B11851" s="330" t="s">
        <v>56205</v>
      </c>
      <c r="C11851" s="330" t="s">
        <v>25773</v>
      </c>
      <c r="D11851" s="330" t="s">
        <v>25774</v>
      </c>
      <c r="E11851" s="330" t="s">
        <v>4634</v>
      </c>
      <c r="F11851" s="331">
        <v>0.21</v>
      </c>
      <c r="G11851" s="332">
        <v>1798</v>
      </c>
      <c r="H11851" s="333">
        <v>2176</v>
      </c>
    </row>
    <row r="11852" spans="1:8">
      <c r="A11852" s="317">
        <v>2609100910</v>
      </c>
      <c r="B11852" s="330" t="s">
        <v>56206</v>
      </c>
      <c r="C11852" s="330" t="s">
        <v>25775</v>
      </c>
      <c r="D11852" s="330" t="s">
        <v>25776</v>
      </c>
      <c r="E11852" s="330" t="s">
        <v>4634</v>
      </c>
      <c r="F11852" s="331">
        <v>0.21</v>
      </c>
      <c r="G11852" s="332">
        <v>1170</v>
      </c>
      <c r="H11852" s="333">
        <v>1416</v>
      </c>
    </row>
    <row r="11853" spans="1:8">
      <c r="A11853" s="317">
        <v>2609100911</v>
      </c>
      <c r="B11853" s="330" t="s">
        <v>56207</v>
      </c>
      <c r="C11853" s="330" t="s">
        <v>25777</v>
      </c>
      <c r="D11853" s="330" t="s">
        <v>25778</v>
      </c>
      <c r="E11853" s="330" t="s">
        <v>4634</v>
      </c>
      <c r="F11853" s="331">
        <v>0.21</v>
      </c>
      <c r="G11853" s="332">
        <v>280</v>
      </c>
      <c r="H11853" s="333">
        <v>339</v>
      </c>
    </row>
    <row r="11854" spans="1:8">
      <c r="A11854" s="317">
        <v>2609100912</v>
      </c>
      <c r="B11854" s="330" t="s">
        <v>56208</v>
      </c>
      <c r="C11854" s="330" t="s">
        <v>25779</v>
      </c>
      <c r="D11854" s="330" t="s">
        <v>25778</v>
      </c>
      <c r="E11854" s="330" t="s">
        <v>4634</v>
      </c>
      <c r="F11854" s="331">
        <v>0.21</v>
      </c>
      <c r="G11854" s="332">
        <v>280</v>
      </c>
      <c r="H11854" s="333">
        <v>339</v>
      </c>
    </row>
    <row r="11855" spans="1:8">
      <c r="A11855" s="317">
        <v>2609100914</v>
      </c>
      <c r="B11855" s="330" t="s">
        <v>56209</v>
      </c>
      <c r="C11855" s="330" t="s">
        <v>25780</v>
      </c>
      <c r="D11855" s="330" t="s">
        <v>25781</v>
      </c>
      <c r="E11855" s="330" t="s">
        <v>4634</v>
      </c>
      <c r="F11855" s="331">
        <v>0.21</v>
      </c>
      <c r="G11855" s="332">
        <v>280</v>
      </c>
      <c r="H11855" s="333">
        <v>339</v>
      </c>
    </row>
    <row r="11856" spans="1:8">
      <c r="A11856" s="317">
        <v>2609100915</v>
      </c>
      <c r="B11856" s="330" t="s">
        <v>56210</v>
      </c>
      <c r="C11856" s="330" t="s">
        <v>25782</v>
      </c>
      <c r="D11856" s="330" t="s">
        <v>25783</v>
      </c>
      <c r="E11856" s="330" t="s">
        <v>37248</v>
      </c>
      <c r="F11856" s="331">
        <v>0.21</v>
      </c>
      <c r="G11856" s="332">
        <v>2823</v>
      </c>
      <c r="H11856" s="333">
        <v>3416</v>
      </c>
    </row>
    <row r="11857" spans="1:8">
      <c r="A11857" s="317">
        <v>2609100928</v>
      </c>
      <c r="B11857" s="330" t="s">
        <v>56211</v>
      </c>
      <c r="C11857" s="330" t="s">
        <v>25784</v>
      </c>
      <c r="D11857" s="330" t="s">
        <v>25785</v>
      </c>
      <c r="E11857" s="330" t="s">
        <v>4634</v>
      </c>
      <c r="F11857" s="331">
        <v>0.21</v>
      </c>
      <c r="G11857" s="332">
        <v>678</v>
      </c>
      <c r="H11857" s="333">
        <v>821</v>
      </c>
    </row>
    <row r="11858" spans="1:8">
      <c r="A11858" s="317">
        <v>2609100929</v>
      </c>
      <c r="B11858" s="330" t="s">
        <v>56212</v>
      </c>
      <c r="C11858" s="330" t="s">
        <v>25786</v>
      </c>
      <c r="D11858" s="330" t="s">
        <v>25787</v>
      </c>
      <c r="E11858" s="330" t="s">
        <v>37248</v>
      </c>
      <c r="F11858" s="331">
        <v>0.21</v>
      </c>
      <c r="G11858" s="332">
        <v>3818</v>
      </c>
      <c r="H11858" s="333">
        <v>4620</v>
      </c>
    </row>
    <row r="11859" spans="1:8">
      <c r="A11859" s="317">
        <v>2609100936</v>
      </c>
      <c r="B11859" s="330" t="s">
        <v>56213</v>
      </c>
      <c r="C11859" s="330" t="s">
        <v>25788</v>
      </c>
      <c r="D11859" s="330" t="s">
        <v>9501</v>
      </c>
      <c r="E11859" s="330" t="s">
        <v>37248</v>
      </c>
      <c r="F11859" s="331">
        <v>0.21</v>
      </c>
      <c r="G11859" s="332">
        <v>52693</v>
      </c>
      <c r="H11859" s="333">
        <v>63759</v>
      </c>
    </row>
    <row r="11860" spans="1:8">
      <c r="A11860" s="317">
        <v>2609100939</v>
      </c>
      <c r="B11860" s="330" t="s">
        <v>56214</v>
      </c>
      <c r="C11860" s="330" t="s">
        <v>25789</v>
      </c>
      <c r="D11860" s="330" t="s">
        <v>25790</v>
      </c>
      <c r="E11860" s="330" t="s">
        <v>37248</v>
      </c>
      <c r="F11860" s="331">
        <v>0.21</v>
      </c>
      <c r="G11860" s="332">
        <v>2215</v>
      </c>
      <c r="H11860" s="333">
        <v>2681</v>
      </c>
    </row>
    <row r="11861" spans="1:8">
      <c r="A11861" s="317">
        <v>2609100942</v>
      </c>
      <c r="B11861" s="330" t="s">
        <v>56215</v>
      </c>
      <c r="C11861" s="330" t="s">
        <v>25791</v>
      </c>
      <c r="D11861" s="330" t="s">
        <v>25792</v>
      </c>
      <c r="E11861" s="330" t="s">
        <v>4819</v>
      </c>
      <c r="F11861" s="331">
        <v>0.21</v>
      </c>
      <c r="G11861" s="332">
        <v>1373</v>
      </c>
      <c r="H11861" s="333">
        <v>1662</v>
      </c>
    </row>
    <row r="11862" spans="1:8">
      <c r="A11862" s="317">
        <v>2609100955</v>
      </c>
      <c r="B11862" s="330" t="s">
        <v>56216</v>
      </c>
      <c r="C11862" s="330" t="s">
        <v>25793</v>
      </c>
      <c r="D11862" s="330" t="s">
        <v>25794</v>
      </c>
      <c r="E11862" s="330" t="s">
        <v>37248</v>
      </c>
      <c r="F11862" s="331">
        <v>0.21</v>
      </c>
      <c r="G11862" s="332">
        <v>16623</v>
      </c>
      <c r="H11862" s="333">
        <v>20114</v>
      </c>
    </row>
    <row r="11863" spans="1:8">
      <c r="A11863" s="317">
        <v>2609101003</v>
      </c>
      <c r="B11863" s="330" t="s">
        <v>56217</v>
      </c>
      <c r="C11863" s="330" t="s">
        <v>25795</v>
      </c>
      <c r="D11863" s="330" t="s">
        <v>25796</v>
      </c>
      <c r="E11863" s="330" t="s">
        <v>4634</v>
      </c>
      <c r="F11863" s="331">
        <v>0.21</v>
      </c>
      <c r="G11863" s="332">
        <v>1858</v>
      </c>
      <c r="H11863" s="333">
        <v>2249</v>
      </c>
    </row>
    <row r="11864" spans="1:8">
      <c r="A11864" s="317">
        <v>2609101006</v>
      </c>
      <c r="B11864" s="330" t="s">
        <v>56218</v>
      </c>
      <c r="C11864" s="330" t="s">
        <v>25797</v>
      </c>
      <c r="D11864" s="330" t="s">
        <v>25798</v>
      </c>
      <c r="E11864" s="330" t="s">
        <v>4819</v>
      </c>
      <c r="F11864" s="331">
        <v>0.21</v>
      </c>
      <c r="G11864" s="332">
        <v>17542</v>
      </c>
      <c r="H11864" s="333">
        <v>21226</v>
      </c>
    </row>
    <row r="11865" spans="1:8">
      <c r="A11865" s="317">
        <v>2609101035</v>
      </c>
      <c r="B11865" s="330" t="s">
        <v>56219</v>
      </c>
      <c r="C11865" s="330" t="s">
        <v>25799</v>
      </c>
      <c r="D11865" s="330" t="s">
        <v>7107</v>
      </c>
      <c r="E11865" s="330" t="s">
        <v>4819</v>
      </c>
      <c r="F11865" s="331">
        <v>0.21</v>
      </c>
      <c r="G11865" s="332">
        <v>675</v>
      </c>
      <c r="H11865" s="333">
        <v>817</v>
      </c>
    </row>
    <row r="11866" spans="1:8">
      <c r="A11866" s="317">
        <v>2609101057</v>
      </c>
      <c r="B11866" s="330" t="s">
        <v>56220</v>
      </c>
      <c r="C11866" s="330" t="s">
        <v>25800</v>
      </c>
      <c r="D11866" s="330" t="s">
        <v>25801</v>
      </c>
      <c r="E11866" s="330" t="s">
        <v>4634</v>
      </c>
      <c r="F11866" s="331">
        <v>0.21</v>
      </c>
      <c r="G11866" s="332">
        <v>7406</v>
      </c>
      <c r="H11866" s="333">
        <v>8962</v>
      </c>
    </row>
    <row r="11867" spans="1:8">
      <c r="A11867" s="317">
        <v>2609101067</v>
      </c>
      <c r="B11867" s="330" t="s">
        <v>56221</v>
      </c>
      <c r="C11867" s="330" t="s">
        <v>25802</v>
      </c>
      <c r="D11867" s="330" t="s">
        <v>25803</v>
      </c>
      <c r="E11867" s="330" t="s">
        <v>37248</v>
      </c>
      <c r="F11867" s="331">
        <v>0.21</v>
      </c>
      <c r="G11867" s="332">
        <v>706</v>
      </c>
      <c r="H11867" s="333">
        <v>855</v>
      </c>
    </row>
    <row r="11868" spans="1:8">
      <c r="A11868" s="317">
        <v>2609101073</v>
      </c>
      <c r="B11868" s="330" t="s">
        <v>56222</v>
      </c>
      <c r="C11868" s="330" t="s">
        <v>25804</v>
      </c>
      <c r="D11868" s="330" t="s">
        <v>25805</v>
      </c>
      <c r="E11868" s="330" t="s">
        <v>4819</v>
      </c>
      <c r="F11868" s="331">
        <v>0.21</v>
      </c>
      <c r="G11868" s="332">
        <v>9222</v>
      </c>
      <c r="H11868" s="333">
        <v>11159</v>
      </c>
    </row>
    <row r="11869" spans="1:8">
      <c r="A11869" s="317">
        <v>2609101083</v>
      </c>
      <c r="B11869" s="330" t="s">
        <v>56223</v>
      </c>
      <c r="C11869" s="330" t="s">
        <v>25806</v>
      </c>
      <c r="D11869" s="330" t="s">
        <v>25807</v>
      </c>
      <c r="E11869" s="330" t="s">
        <v>4819</v>
      </c>
      <c r="F11869" s="331">
        <v>0.21</v>
      </c>
      <c r="G11869" s="332">
        <v>548</v>
      </c>
      <c r="H11869" s="333">
        <v>664</v>
      </c>
    </row>
    <row r="11870" spans="1:8">
      <c r="A11870" s="317">
        <v>2609101084</v>
      </c>
      <c r="B11870" s="330" t="s">
        <v>56224</v>
      </c>
      <c r="C11870" s="330" t="s">
        <v>25808</v>
      </c>
      <c r="D11870" s="330" t="s">
        <v>7267</v>
      </c>
      <c r="E11870" s="330" t="s">
        <v>37248</v>
      </c>
      <c r="F11870" s="331">
        <v>0.21</v>
      </c>
      <c r="G11870" s="332">
        <v>5768</v>
      </c>
      <c r="H11870" s="333">
        <v>6980</v>
      </c>
    </row>
    <row r="11871" spans="1:8">
      <c r="A11871" s="317">
        <v>2609101085</v>
      </c>
      <c r="B11871" s="330" t="s">
        <v>56225</v>
      </c>
      <c r="C11871" s="330" t="s">
        <v>25809</v>
      </c>
      <c r="D11871" s="330" t="s">
        <v>7745</v>
      </c>
      <c r="E11871" s="330" t="s">
        <v>37248</v>
      </c>
      <c r="F11871" s="331">
        <v>0.21</v>
      </c>
      <c r="G11871" s="332">
        <v>240</v>
      </c>
      <c r="H11871" s="333">
        <v>291</v>
      </c>
    </row>
    <row r="11872" spans="1:8">
      <c r="A11872" s="317">
        <v>2609101086</v>
      </c>
      <c r="B11872" s="330" t="s">
        <v>56226</v>
      </c>
      <c r="C11872" s="330" t="s">
        <v>25810</v>
      </c>
      <c r="D11872" s="330" t="s">
        <v>25811</v>
      </c>
      <c r="E11872" s="330" t="s">
        <v>37248</v>
      </c>
      <c r="F11872" s="331">
        <v>0.21</v>
      </c>
      <c r="G11872" s="332">
        <v>194</v>
      </c>
      <c r="H11872" s="333">
        <v>235</v>
      </c>
    </row>
    <row r="11873" spans="1:8">
      <c r="A11873" s="317">
        <v>2609101134</v>
      </c>
      <c r="B11873" s="330" t="s">
        <v>56227</v>
      </c>
      <c r="C11873" s="330" t="s">
        <v>25812</v>
      </c>
      <c r="D11873" s="330" t="s">
        <v>13485</v>
      </c>
      <c r="E11873" s="330" t="s">
        <v>37248</v>
      </c>
      <c r="F11873" s="331">
        <v>0.21</v>
      </c>
      <c r="G11873" s="332">
        <v>339</v>
      </c>
      <c r="H11873" s="333">
        <v>411</v>
      </c>
    </row>
    <row r="11874" spans="1:8">
      <c r="A11874" s="317">
        <v>2609101136</v>
      </c>
      <c r="B11874" s="330" t="s">
        <v>56228</v>
      </c>
      <c r="C11874" s="330" t="s">
        <v>25813</v>
      </c>
      <c r="D11874" s="330" t="s">
        <v>25814</v>
      </c>
      <c r="E11874" s="330" t="s">
        <v>4819</v>
      </c>
      <c r="F11874" s="331">
        <v>0.21</v>
      </c>
      <c r="G11874" s="332">
        <v>13669</v>
      </c>
      <c r="H11874" s="333">
        <v>16540</v>
      </c>
    </row>
    <row r="11875" spans="1:8">
      <c r="A11875" s="317">
        <v>2609101144</v>
      </c>
      <c r="B11875" s="330" t="s">
        <v>56229</v>
      </c>
      <c r="C11875" s="330" t="s">
        <v>25815</v>
      </c>
      <c r="D11875" s="330" t="s">
        <v>25816</v>
      </c>
      <c r="E11875" s="330" t="s">
        <v>37248</v>
      </c>
      <c r="F11875" s="331">
        <v>0.21</v>
      </c>
      <c r="G11875" s="332">
        <v>515</v>
      </c>
      <c r="H11875" s="333">
        <v>624</v>
      </c>
    </row>
    <row r="11876" spans="1:8">
      <c r="A11876" s="317">
        <v>2609101145</v>
      </c>
      <c r="B11876" s="330" t="s">
        <v>56230</v>
      </c>
      <c r="C11876" s="330" t="s">
        <v>25817</v>
      </c>
      <c r="D11876" s="330" t="s">
        <v>8539</v>
      </c>
      <c r="E11876" s="330" t="s">
        <v>37248</v>
      </c>
      <c r="F11876" s="331">
        <v>0.21</v>
      </c>
      <c r="G11876" s="332">
        <v>240</v>
      </c>
      <c r="H11876" s="333">
        <v>291</v>
      </c>
    </row>
    <row r="11877" spans="1:8">
      <c r="A11877" s="317">
        <v>2609101223</v>
      </c>
      <c r="B11877" s="330" t="s">
        <v>56231</v>
      </c>
      <c r="C11877" s="330" t="s">
        <v>25818</v>
      </c>
      <c r="D11877" s="330" t="s">
        <v>7401</v>
      </c>
      <c r="E11877" s="330" t="s">
        <v>4819</v>
      </c>
      <c r="F11877" s="331">
        <v>0.21</v>
      </c>
      <c r="G11877" s="332">
        <v>1025</v>
      </c>
      <c r="H11877" s="333">
        <v>1241</v>
      </c>
    </row>
    <row r="11878" spans="1:8">
      <c r="A11878" s="317">
        <v>2609101226</v>
      </c>
      <c r="B11878" s="330" t="s">
        <v>56232</v>
      </c>
      <c r="C11878" s="330" t="s">
        <v>25819</v>
      </c>
      <c r="D11878" s="330" t="s">
        <v>25820</v>
      </c>
      <c r="E11878" s="330" t="s">
        <v>4819</v>
      </c>
      <c r="F11878" s="331">
        <v>0.21</v>
      </c>
      <c r="G11878" s="332">
        <v>15718</v>
      </c>
      <c r="H11878" s="333">
        <v>19019</v>
      </c>
    </row>
    <row r="11879" spans="1:8">
      <c r="A11879" s="317">
        <v>2609101227</v>
      </c>
      <c r="B11879" s="330" t="s">
        <v>56233</v>
      </c>
      <c r="C11879" s="330" t="s">
        <v>25821</v>
      </c>
      <c r="D11879" s="330" t="s">
        <v>25822</v>
      </c>
      <c r="E11879" s="330" t="s">
        <v>4819</v>
      </c>
      <c r="F11879" s="331">
        <v>0.21</v>
      </c>
      <c r="G11879" s="332">
        <v>671</v>
      </c>
      <c r="H11879" s="333">
        <v>812</v>
      </c>
    </row>
    <row r="11880" spans="1:8">
      <c r="A11880" s="317">
        <v>2609101232</v>
      </c>
      <c r="B11880" s="330" t="s">
        <v>56234</v>
      </c>
      <c r="C11880" s="330" t="s">
        <v>25823</v>
      </c>
      <c r="D11880" s="330" t="s">
        <v>25824</v>
      </c>
      <c r="E11880" s="330" t="s">
        <v>37248</v>
      </c>
      <c r="F11880" s="331">
        <v>0.21</v>
      </c>
      <c r="G11880" s="332">
        <v>1775</v>
      </c>
      <c r="H11880" s="333">
        <v>2148</v>
      </c>
    </row>
    <row r="11881" spans="1:8">
      <c r="A11881" s="317">
        <v>2609101235</v>
      </c>
      <c r="B11881" s="330" t="s">
        <v>56235</v>
      </c>
      <c r="C11881" s="330" t="s">
        <v>25825</v>
      </c>
      <c r="D11881" s="330" t="s">
        <v>7267</v>
      </c>
      <c r="E11881" s="330" t="s">
        <v>37248</v>
      </c>
      <c r="F11881" s="331">
        <v>0.21</v>
      </c>
      <c r="G11881" s="332">
        <v>4064</v>
      </c>
      <c r="H11881" s="333">
        <v>4918</v>
      </c>
    </row>
    <row r="11882" spans="1:8">
      <c r="A11882" s="317">
        <v>2609101236</v>
      </c>
      <c r="B11882" s="330" t="s">
        <v>56236</v>
      </c>
      <c r="C11882" s="330" t="s">
        <v>25826</v>
      </c>
      <c r="D11882" s="330" t="s">
        <v>25811</v>
      </c>
      <c r="E11882" s="330" t="s">
        <v>37248</v>
      </c>
      <c r="F11882" s="331">
        <v>0.21</v>
      </c>
      <c r="G11882" s="332">
        <v>339</v>
      </c>
      <c r="H11882" s="333">
        <v>411</v>
      </c>
    </row>
    <row r="11883" spans="1:8">
      <c r="A11883" s="317">
        <v>2609101237</v>
      </c>
      <c r="B11883" s="330" t="s">
        <v>56237</v>
      </c>
      <c r="C11883" s="330" t="s">
        <v>25827</v>
      </c>
      <c r="D11883" s="330" t="s">
        <v>12578</v>
      </c>
      <c r="E11883" s="330" t="s">
        <v>37248</v>
      </c>
      <c r="F11883" s="331">
        <v>0.21</v>
      </c>
      <c r="G11883" s="332">
        <v>194</v>
      </c>
      <c r="H11883" s="333">
        <v>235</v>
      </c>
    </row>
    <row r="11884" spans="1:8">
      <c r="A11884" s="317">
        <v>2609101283</v>
      </c>
      <c r="B11884" s="330" t="s">
        <v>56238</v>
      </c>
      <c r="C11884" s="330" t="s">
        <v>25828</v>
      </c>
      <c r="D11884" s="330" t="s">
        <v>25829</v>
      </c>
      <c r="E11884" s="330" t="s">
        <v>4623</v>
      </c>
      <c r="F11884" s="331">
        <v>0.21</v>
      </c>
      <c r="G11884" s="332">
        <v>8363</v>
      </c>
      <c r="H11884" s="333">
        <v>10120</v>
      </c>
    </row>
    <row r="11885" spans="1:8">
      <c r="A11885" s="317" t="s">
        <v>25830</v>
      </c>
      <c r="B11885" s="330" t="s">
        <v>25830</v>
      </c>
      <c r="C11885" s="330" t="s">
        <v>25831</v>
      </c>
      <c r="D11885" s="330" t="s">
        <v>25832</v>
      </c>
      <c r="E11885" s="330" t="s">
        <v>4634</v>
      </c>
      <c r="F11885" s="331">
        <v>0.21</v>
      </c>
      <c r="G11885" s="332">
        <v>4329</v>
      </c>
      <c r="H11885" s="333">
        <v>5239</v>
      </c>
    </row>
    <row r="11886" spans="1:8">
      <c r="A11886" s="317">
        <v>2609101284</v>
      </c>
      <c r="B11886" s="330" t="s">
        <v>56239</v>
      </c>
      <c r="C11886" s="330" t="s">
        <v>25833</v>
      </c>
      <c r="D11886" s="330" t="s">
        <v>25832</v>
      </c>
      <c r="E11886" s="330" t="s">
        <v>4819</v>
      </c>
      <c r="F11886" s="331">
        <v>0.21</v>
      </c>
      <c r="G11886" s="332">
        <v>3607</v>
      </c>
      <c r="H11886" s="333">
        <v>4365</v>
      </c>
    </row>
    <row r="11887" spans="1:8">
      <c r="A11887" s="317">
        <v>2609101293</v>
      </c>
      <c r="B11887" s="330" t="s">
        <v>56240</v>
      </c>
      <c r="C11887" s="330" t="s">
        <v>25834</v>
      </c>
      <c r="D11887" s="330" t="s">
        <v>25835</v>
      </c>
      <c r="E11887" s="330" t="s">
        <v>4819</v>
      </c>
      <c r="F11887" s="331">
        <v>0.21</v>
      </c>
      <c r="G11887" s="332">
        <v>1052</v>
      </c>
      <c r="H11887" s="333">
        <v>1273</v>
      </c>
    </row>
    <row r="11888" spans="1:8">
      <c r="A11888" s="317">
        <v>2609101298</v>
      </c>
      <c r="B11888" s="330" t="s">
        <v>56241</v>
      </c>
      <c r="C11888" s="330" t="s">
        <v>25836</v>
      </c>
      <c r="D11888" s="330" t="s">
        <v>25837</v>
      </c>
      <c r="E11888" s="330" t="s">
        <v>4819</v>
      </c>
      <c r="F11888" s="331">
        <v>0.21</v>
      </c>
      <c r="G11888" s="332">
        <v>4497</v>
      </c>
      <c r="H11888" s="333">
        <v>5442</v>
      </c>
    </row>
    <row r="11889" spans="1:8">
      <c r="A11889" s="317">
        <v>2609101301</v>
      </c>
      <c r="B11889" s="330" t="s">
        <v>56242</v>
      </c>
      <c r="C11889" s="330" t="s">
        <v>25838</v>
      </c>
      <c r="D11889" s="330" t="s">
        <v>25839</v>
      </c>
      <c r="E11889" s="330" t="s">
        <v>37248</v>
      </c>
      <c r="F11889" s="331">
        <v>0.21</v>
      </c>
      <c r="G11889" s="332">
        <v>789</v>
      </c>
      <c r="H11889" s="333">
        <v>955</v>
      </c>
    </row>
    <row r="11890" spans="1:8">
      <c r="A11890" s="317">
        <v>2609101303</v>
      </c>
      <c r="B11890" s="330" t="s">
        <v>56243</v>
      </c>
      <c r="C11890" s="330" t="s">
        <v>25840</v>
      </c>
      <c r="D11890" s="330" t="s">
        <v>13438</v>
      </c>
      <c r="E11890" s="330" t="s">
        <v>4819</v>
      </c>
      <c r="F11890" s="331">
        <v>0.21</v>
      </c>
      <c r="G11890" s="332">
        <v>3102</v>
      </c>
      <c r="H11890" s="333">
        <v>3754</v>
      </c>
    </row>
    <row r="11891" spans="1:8">
      <c r="A11891" s="317">
        <v>2609101304</v>
      </c>
      <c r="B11891" s="330" t="s">
        <v>56244</v>
      </c>
      <c r="C11891" s="330" t="s">
        <v>25841</v>
      </c>
      <c r="D11891" s="330" t="s">
        <v>13438</v>
      </c>
      <c r="E11891" s="330" t="s">
        <v>4819</v>
      </c>
      <c r="F11891" s="331">
        <v>0.21</v>
      </c>
      <c r="G11891" s="332">
        <v>6460</v>
      </c>
      <c r="H11891" s="333">
        <v>7817</v>
      </c>
    </row>
    <row r="11892" spans="1:8">
      <c r="A11892" s="317">
        <v>2609101305</v>
      </c>
      <c r="B11892" s="330" t="s">
        <v>56245</v>
      </c>
      <c r="C11892" s="330" t="s">
        <v>25842</v>
      </c>
      <c r="D11892" s="330" t="s">
        <v>25843</v>
      </c>
      <c r="E11892" s="330" t="s">
        <v>37248</v>
      </c>
      <c r="F11892" s="331">
        <v>0.21</v>
      </c>
      <c r="G11892" s="332">
        <v>194</v>
      </c>
      <c r="H11892" s="333">
        <v>235</v>
      </c>
    </row>
    <row r="11893" spans="1:8">
      <c r="A11893" s="317">
        <v>2609101306</v>
      </c>
      <c r="B11893" s="330" t="s">
        <v>56246</v>
      </c>
      <c r="C11893" s="330" t="s">
        <v>25844</v>
      </c>
      <c r="D11893" s="330" t="s">
        <v>13485</v>
      </c>
      <c r="E11893" s="330" t="s">
        <v>37248</v>
      </c>
      <c r="F11893" s="331">
        <v>0.21</v>
      </c>
      <c r="G11893" s="332">
        <v>339</v>
      </c>
      <c r="H11893" s="333">
        <v>411</v>
      </c>
    </row>
    <row r="11894" spans="1:8">
      <c r="A11894" s="317">
        <v>2609101346</v>
      </c>
      <c r="B11894" s="330" t="s">
        <v>56247</v>
      </c>
      <c r="C11894" s="330" t="s">
        <v>25845</v>
      </c>
      <c r="D11894" s="330" t="s">
        <v>25846</v>
      </c>
      <c r="E11894" s="330" t="s">
        <v>37248</v>
      </c>
      <c r="F11894" s="331">
        <v>0.21</v>
      </c>
      <c r="G11894" s="332">
        <v>12991</v>
      </c>
      <c r="H11894" s="333">
        <v>15720</v>
      </c>
    </row>
    <row r="11895" spans="1:8">
      <c r="A11895" s="317">
        <v>2609101350</v>
      </c>
      <c r="B11895" s="330" t="s">
        <v>56248</v>
      </c>
      <c r="C11895" s="330" t="s">
        <v>25847</v>
      </c>
      <c r="D11895" s="330" t="s">
        <v>7107</v>
      </c>
      <c r="E11895" s="330" t="s">
        <v>37248</v>
      </c>
      <c r="F11895" s="331">
        <v>0.21</v>
      </c>
      <c r="G11895" s="332">
        <v>174</v>
      </c>
      <c r="H11895" s="333">
        <v>211</v>
      </c>
    </row>
    <row r="11896" spans="1:8">
      <c r="A11896" s="317">
        <v>2609101361</v>
      </c>
      <c r="B11896" s="330" t="s">
        <v>56249</v>
      </c>
      <c r="C11896" s="330" t="s">
        <v>25848</v>
      </c>
      <c r="D11896" s="330" t="s">
        <v>7369</v>
      </c>
      <c r="E11896" s="330" t="s">
        <v>37248</v>
      </c>
      <c r="F11896" s="331">
        <v>0.21</v>
      </c>
      <c r="G11896" s="332">
        <v>5521</v>
      </c>
      <c r="H11896" s="333">
        <v>6681</v>
      </c>
    </row>
    <row r="11897" spans="1:8">
      <c r="A11897" s="317">
        <v>2609101365</v>
      </c>
      <c r="B11897" s="330" t="s">
        <v>56250</v>
      </c>
      <c r="C11897" s="330" t="s">
        <v>25849</v>
      </c>
      <c r="D11897" s="330" t="s">
        <v>25850</v>
      </c>
      <c r="E11897" s="330" t="s">
        <v>4819</v>
      </c>
      <c r="F11897" s="331">
        <v>0.21</v>
      </c>
      <c r="G11897" s="332">
        <v>10323</v>
      </c>
      <c r="H11897" s="333">
        <v>12491</v>
      </c>
    </row>
    <row r="11898" spans="1:8">
      <c r="A11898" s="317">
        <v>2609101374</v>
      </c>
      <c r="B11898" s="330" t="s">
        <v>56251</v>
      </c>
      <c r="C11898" s="330" t="s">
        <v>25851</v>
      </c>
      <c r="D11898" s="330" t="s">
        <v>25852</v>
      </c>
      <c r="E11898" s="330" t="s">
        <v>4634</v>
      </c>
      <c r="F11898" s="331">
        <v>0.21</v>
      </c>
      <c r="G11898" s="332">
        <v>3495</v>
      </c>
      <c r="H11898" s="333">
        <v>4229</v>
      </c>
    </row>
    <row r="11899" spans="1:8">
      <c r="A11899" s="317">
        <v>2609101377</v>
      </c>
      <c r="B11899" s="330" t="s">
        <v>56252</v>
      </c>
      <c r="C11899" s="330" t="s">
        <v>25853</v>
      </c>
      <c r="D11899" s="330" t="s">
        <v>25854</v>
      </c>
      <c r="E11899" s="330" t="s">
        <v>37248</v>
      </c>
      <c r="F11899" s="331">
        <v>0.21</v>
      </c>
      <c r="G11899" s="332">
        <v>10596</v>
      </c>
      <c r="H11899" s="333">
        <v>12822</v>
      </c>
    </row>
    <row r="11900" spans="1:8">
      <c r="A11900" s="317">
        <v>2609101391</v>
      </c>
      <c r="B11900" s="330" t="s">
        <v>56253</v>
      </c>
      <c r="C11900" s="330" t="s">
        <v>25855</v>
      </c>
      <c r="D11900" s="330" t="s">
        <v>25856</v>
      </c>
      <c r="E11900" s="330" t="s">
        <v>37248</v>
      </c>
      <c r="F11900" s="331">
        <v>0.21</v>
      </c>
      <c r="G11900" s="332">
        <v>1566</v>
      </c>
      <c r="H11900" s="333">
        <v>1895</v>
      </c>
    </row>
    <row r="11901" spans="1:8">
      <c r="A11901" s="317">
        <v>2609101393</v>
      </c>
      <c r="B11901" s="330" t="s">
        <v>56254</v>
      </c>
      <c r="C11901" s="330" t="s">
        <v>25857</v>
      </c>
      <c r="D11901" s="330" t="s">
        <v>25858</v>
      </c>
      <c r="E11901" s="330" t="s">
        <v>4819</v>
      </c>
      <c r="F11901" s="331">
        <v>0.21</v>
      </c>
      <c r="G11901" s="332">
        <v>548</v>
      </c>
      <c r="H11901" s="333">
        <v>664</v>
      </c>
    </row>
    <row r="11902" spans="1:8">
      <c r="A11902" s="317">
        <v>2609101394</v>
      </c>
      <c r="B11902" s="330" t="s">
        <v>56255</v>
      </c>
      <c r="C11902" s="330" t="s">
        <v>25859</v>
      </c>
      <c r="D11902" s="330" t="s">
        <v>25860</v>
      </c>
      <c r="E11902" s="330" t="s">
        <v>37248</v>
      </c>
      <c r="F11902" s="331">
        <v>0.21</v>
      </c>
      <c r="G11902" s="332">
        <v>361</v>
      </c>
      <c r="H11902" s="333">
        <v>437</v>
      </c>
    </row>
    <row r="11903" spans="1:8">
      <c r="A11903" s="317">
        <v>2609101403</v>
      </c>
      <c r="B11903" s="330" t="s">
        <v>56256</v>
      </c>
      <c r="C11903" s="330" t="s">
        <v>25861</v>
      </c>
      <c r="D11903" s="330" t="s">
        <v>13377</v>
      </c>
      <c r="E11903" s="330" t="s">
        <v>4819</v>
      </c>
      <c r="F11903" s="331">
        <v>0.21</v>
      </c>
      <c r="G11903" s="332">
        <v>14946</v>
      </c>
      <c r="H11903" s="333">
        <v>18085</v>
      </c>
    </row>
    <row r="11904" spans="1:8">
      <c r="A11904" s="317">
        <v>2609101404</v>
      </c>
      <c r="B11904" s="330" t="s">
        <v>56257</v>
      </c>
      <c r="C11904" s="330" t="s">
        <v>25862</v>
      </c>
      <c r="D11904" s="330" t="s">
        <v>25863</v>
      </c>
      <c r="E11904" s="330" t="s">
        <v>4819</v>
      </c>
      <c r="F11904" s="331">
        <v>0.21</v>
      </c>
      <c r="G11904" s="332">
        <v>12853</v>
      </c>
      <c r="H11904" s="333">
        <v>15553</v>
      </c>
    </row>
    <row r="11905" spans="1:8">
      <c r="A11905" s="317">
        <v>2609101409</v>
      </c>
      <c r="B11905" s="330" t="s">
        <v>56258</v>
      </c>
      <c r="C11905" s="330" t="s">
        <v>25864</v>
      </c>
      <c r="D11905" s="330" t="s">
        <v>25865</v>
      </c>
      <c r="E11905" s="330" t="s">
        <v>4819</v>
      </c>
      <c r="F11905" s="331">
        <v>0.21</v>
      </c>
      <c r="G11905" s="332">
        <v>671</v>
      </c>
      <c r="H11905" s="333">
        <v>812</v>
      </c>
    </row>
    <row r="11906" spans="1:8">
      <c r="A11906" s="317">
        <v>2609101419</v>
      </c>
      <c r="B11906" s="330" t="s">
        <v>56259</v>
      </c>
      <c r="C11906" s="330" t="s">
        <v>25866</v>
      </c>
      <c r="D11906" s="330" t="s">
        <v>22051</v>
      </c>
      <c r="E11906" s="330" t="s">
        <v>37248</v>
      </c>
      <c r="F11906" s="331">
        <v>0.21</v>
      </c>
      <c r="G11906" s="332">
        <v>2215</v>
      </c>
      <c r="H11906" s="333">
        <v>2681</v>
      </c>
    </row>
    <row r="11907" spans="1:8">
      <c r="A11907" s="317">
        <v>2609101436</v>
      </c>
      <c r="B11907" s="330" t="s">
        <v>56260</v>
      </c>
      <c r="C11907" s="330" t="s">
        <v>25867</v>
      </c>
      <c r="D11907" s="330" t="s">
        <v>13199</v>
      </c>
      <c r="E11907" s="330" t="s">
        <v>4634</v>
      </c>
      <c r="F11907" s="331">
        <v>0.21</v>
      </c>
      <c r="G11907" s="332">
        <v>1782</v>
      </c>
      <c r="H11907" s="333">
        <v>2157</v>
      </c>
    </row>
    <row r="11908" spans="1:8">
      <c r="A11908" s="317">
        <v>2609101439</v>
      </c>
      <c r="B11908" s="330" t="s">
        <v>56261</v>
      </c>
      <c r="C11908" s="330" t="s">
        <v>25868</v>
      </c>
      <c r="D11908" s="330" t="s">
        <v>25869</v>
      </c>
      <c r="E11908" s="330" t="s">
        <v>4819</v>
      </c>
      <c r="F11908" s="331">
        <v>0.21</v>
      </c>
      <c r="G11908" s="332">
        <v>7267</v>
      </c>
      <c r="H11908" s="333">
        <v>8794</v>
      </c>
    </row>
    <row r="11909" spans="1:8">
      <c r="A11909" s="317">
        <v>2609101440</v>
      </c>
      <c r="B11909" s="330" t="s">
        <v>56262</v>
      </c>
      <c r="C11909" s="330" t="s">
        <v>25870</v>
      </c>
      <c r="D11909" s="330" t="s">
        <v>25871</v>
      </c>
      <c r="E11909" s="330" t="s">
        <v>4819</v>
      </c>
      <c r="F11909" s="331">
        <v>0.21</v>
      </c>
      <c r="G11909" s="332">
        <v>4427</v>
      </c>
      <c r="H11909" s="333">
        <v>5357</v>
      </c>
    </row>
    <row r="11910" spans="1:8">
      <c r="A11910" s="317">
        <v>2609101446</v>
      </c>
      <c r="B11910" s="330" t="s">
        <v>56263</v>
      </c>
      <c r="C11910" s="330" t="s">
        <v>25872</v>
      </c>
      <c r="D11910" s="330" t="s">
        <v>7369</v>
      </c>
      <c r="E11910" s="330" t="s">
        <v>4819</v>
      </c>
      <c r="F11910" s="331">
        <v>0.21</v>
      </c>
      <c r="G11910" s="332">
        <v>16637</v>
      </c>
      <c r="H11910" s="333">
        <v>20131</v>
      </c>
    </row>
    <row r="11911" spans="1:8">
      <c r="A11911" s="317">
        <v>2609101452</v>
      </c>
      <c r="B11911" s="330" t="s">
        <v>56264</v>
      </c>
      <c r="C11911" s="330" t="s">
        <v>25873</v>
      </c>
      <c r="D11911" s="330" t="s">
        <v>25874</v>
      </c>
      <c r="E11911" s="330" t="s">
        <v>4819</v>
      </c>
      <c r="F11911" s="331">
        <v>0.21</v>
      </c>
      <c r="G11911" s="332">
        <v>3790</v>
      </c>
      <c r="H11911" s="333">
        <v>4586</v>
      </c>
    </row>
    <row r="11912" spans="1:8">
      <c r="A11912" s="317">
        <v>2609101454</v>
      </c>
      <c r="B11912" s="330" t="s">
        <v>56265</v>
      </c>
      <c r="C11912" s="330" t="s">
        <v>25875</v>
      </c>
      <c r="D11912" s="330" t="s">
        <v>25876</v>
      </c>
      <c r="E11912" s="330" t="s">
        <v>4819</v>
      </c>
      <c r="F11912" s="331">
        <v>0.21</v>
      </c>
      <c r="G11912" s="332">
        <v>1160</v>
      </c>
      <c r="H11912" s="333">
        <v>1404</v>
      </c>
    </row>
    <row r="11913" spans="1:8">
      <c r="A11913" s="317">
        <v>2609101465</v>
      </c>
      <c r="B11913" s="330" t="s">
        <v>56266</v>
      </c>
      <c r="C11913" s="330" t="s">
        <v>25877</v>
      </c>
      <c r="D11913" s="330" t="s">
        <v>25878</v>
      </c>
      <c r="E11913" s="330" t="s">
        <v>4819</v>
      </c>
      <c r="F11913" s="331">
        <v>0.21</v>
      </c>
      <c r="G11913" s="332">
        <v>1182</v>
      </c>
      <c r="H11913" s="333">
        <v>1431</v>
      </c>
    </row>
    <row r="11914" spans="1:8">
      <c r="A11914" s="317">
        <v>2609101466</v>
      </c>
      <c r="B11914" s="330" t="s">
        <v>56267</v>
      </c>
      <c r="C11914" s="330" t="s">
        <v>25879</v>
      </c>
      <c r="D11914" s="330" t="s">
        <v>25880</v>
      </c>
      <c r="E11914" s="330" t="s">
        <v>4819</v>
      </c>
      <c r="F11914" s="331">
        <v>0.21</v>
      </c>
      <c r="G11914" s="332">
        <v>1025</v>
      </c>
      <c r="H11914" s="333">
        <v>1241</v>
      </c>
    </row>
    <row r="11915" spans="1:8">
      <c r="A11915" s="317">
        <v>2609101475</v>
      </c>
      <c r="B11915" s="330" t="s">
        <v>56268</v>
      </c>
      <c r="C11915" s="330" t="s">
        <v>25881</v>
      </c>
      <c r="D11915" s="330" t="s">
        <v>25876</v>
      </c>
      <c r="E11915" s="330" t="s">
        <v>4819</v>
      </c>
      <c r="F11915" s="331">
        <v>0.21</v>
      </c>
      <c r="G11915" s="332">
        <v>709</v>
      </c>
      <c r="H11915" s="333">
        <v>858</v>
      </c>
    </row>
    <row r="11916" spans="1:8">
      <c r="A11916" s="317">
        <v>2609101483</v>
      </c>
      <c r="B11916" s="330" t="s">
        <v>56269</v>
      </c>
      <c r="C11916" s="330" t="s">
        <v>25882</v>
      </c>
      <c r="D11916" s="330" t="s">
        <v>25883</v>
      </c>
      <c r="E11916" s="330" t="s">
        <v>4819</v>
      </c>
      <c r="F11916" s="331">
        <v>0.21</v>
      </c>
      <c r="G11916" s="332">
        <v>67286</v>
      </c>
      <c r="H11916" s="333">
        <v>81417</v>
      </c>
    </row>
    <row r="11917" spans="1:8">
      <c r="A11917" s="317">
        <v>2609101484</v>
      </c>
      <c r="B11917" s="330" t="s">
        <v>56270</v>
      </c>
      <c r="C11917" s="330" t="s">
        <v>25884</v>
      </c>
      <c r="D11917" s="330" t="s">
        <v>25811</v>
      </c>
      <c r="E11917" s="330" t="s">
        <v>37248</v>
      </c>
      <c r="F11917" s="331">
        <v>0.21</v>
      </c>
      <c r="G11917" s="332">
        <v>1976</v>
      </c>
      <c r="H11917" s="333">
        <v>2391</v>
      </c>
    </row>
    <row r="11918" spans="1:8">
      <c r="A11918" s="317">
        <v>2609101486</v>
      </c>
      <c r="B11918" s="330" t="s">
        <v>56271</v>
      </c>
      <c r="C11918" s="330" t="s">
        <v>25885</v>
      </c>
      <c r="D11918" s="330" t="s">
        <v>25886</v>
      </c>
      <c r="E11918" s="330" t="s">
        <v>4819</v>
      </c>
      <c r="F11918" s="331">
        <v>0.21</v>
      </c>
      <c r="G11918" s="332">
        <v>1976</v>
      </c>
      <c r="H11918" s="333">
        <v>2391</v>
      </c>
    </row>
    <row r="11919" spans="1:8">
      <c r="A11919" s="317">
        <v>2609101487</v>
      </c>
      <c r="B11919" s="330" t="s">
        <v>56272</v>
      </c>
      <c r="C11919" s="330" t="s">
        <v>25887</v>
      </c>
      <c r="D11919" s="330" t="s">
        <v>25888</v>
      </c>
      <c r="E11919" s="330" t="s">
        <v>37248</v>
      </c>
      <c r="F11919" s="331">
        <v>0.21</v>
      </c>
      <c r="G11919" s="332">
        <v>8586</v>
      </c>
      <c r="H11919" s="333">
        <v>10390</v>
      </c>
    </row>
    <row r="11920" spans="1:8">
      <c r="A11920" s="317">
        <v>2609101490</v>
      </c>
      <c r="B11920" s="330" t="s">
        <v>56273</v>
      </c>
      <c r="C11920" s="330" t="s">
        <v>25889</v>
      </c>
      <c r="D11920" s="330" t="s">
        <v>7107</v>
      </c>
      <c r="E11920" s="330" t="s">
        <v>4819</v>
      </c>
      <c r="F11920" s="331">
        <v>0.21</v>
      </c>
      <c r="G11920" s="332">
        <v>807</v>
      </c>
      <c r="H11920" s="333">
        <v>977</v>
      </c>
    </row>
    <row r="11921" spans="1:8">
      <c r="A11921" s="317">
        <v>2609101512</v>
      </c>
      <c r="B11921" s="330" t="s">
        <v>56274</v>
      </c>
      <c r="C11921" s="330" t="s">
        <v>25890</v>
      </c>
      <c r="D11921" s="330" t="s">
        <v>25891</v>
      </c>
      <c r="E11921" s="330" t="s">
        <v>37248</v>
      </c>
      <c r="F11921" s="331">
        <v>0.21</v>
      </c>
      <c r="G11921" s="332">
        <v>318</v>
      </c>
      <c r="H11921" s="333">
        <v>385</v>
      </c>
    </row>
    <row r="11922" spans="1:8">
      <c r="A11922" s="317">
        <v>2609101517</v>
      </c>
      <c r="B11922" s="330" t="s">
        <v>56275</v>
      </c>
      <c r="C11922" s="330" t="s">
        <v>25892</v>
      </c>
      <c r="D11922" s="330" t="s">
        <v>7741</v>
      </c>
      <c r="E11922" s="330" t="s">
        <v>4819</v>
      </c>
      <c r="F11922" s="331">
        <v>0.21</v>
      </c>
      <c r="G11922" s="332">
        <v>10225</v>
      </c>
      <c r="H11922" s="333">
        <v>12373</v>
      </c>
    </row>
    <row r="11923" spans="1:8">
      <c r="A11923" s="317">
        <v>2609101521</v>
      </c>
      <c r="B11923" s="330" t="s">
        <v>56276</v>
      </c>
      <c r="C11923" s="330" t="s">
        <v>25893</v>
      </c>
      <c r="D11923" s="330" t="s">
        <v>25894</v>
      </c>
      <c r="E11923" s="330" t="s">
        <v>37248</v>
      </c>
      <c r="F11923" s="331">
        <v>0.21</v>
      </c>
      <c r="G11923" s="332">
        <v>6612</v>
      </c>
      <c r="H11923" s="333">
        <v>8001</v>
      </c>
    </row>
    <row r="11924" spans="1:8">
      <c r="A11924" s="317">
        <v>2609101534</v>
      </c>
      <c r="B11924" s="330" t="s">
        <v>56277</v>
      </c>
      <c r="C11924" s="330" t="s">
        <v>25895</v>
      </c>
      <c r="D11924" s="330" t="s">
        <v>7369</v>
      </c>
      <c r="E11924" s="330" t="s">
        <v>37248</v>
      </c>
      <c r="F11924" s="331">
        <v>0.21</v>
      </c>
      <c r="G11924" s="332">
        <v>7537</v>
      </c>
      <c r="H11924" s="333">
        <v>9120</v>
      </c>
    </row>
    <row r="11925" spans="1:8">
      <c r="A11925" s="317">
        <v>2609101551</v>
      </c>
      <c r="B11925" s="330" t="s">
        <v>56278</v>
      </c>
      <c r="C11925" s="330" t="s">
        <v>25896</v>
      </c>
      <c r="D11925" s="330" t="s">
        <v>25897</v>
      </c>
      <c r="E11925" s="330" t="s">
        <v>4819</v>
      </c>
      <c r="F11925" s="331">
        <v>0.21</v>
      </c>
      <c r="G11925" s="332">
        <v>513</v>
      </c>
      <c r="H11925" s="333">
        <v>621</v>
      </c>
    </row>
    <row r="11926" spans="1:8">
      <c r="A11926" s="317">
        <v>2609101554</v>
      </c>
      <c r="B11926" s="330" t="s">
        <v>56279</v>
      </c>
      <c r="C11926" s="330" t="s">
        <v>25898</v>
      </c>
      <c r="D11926" s="330" t="s">
        <v>25899</v>
      </c>
      <c r="E11926" s="330" t="s">
        <v>4819</v>
      </c>
      <c r="F11926" s="331">
        <v>0.21</v>
      </c>
      <c r="G11926" s="332">
        <v>1034</v>
      </c>
      <c r="H11926" s="333">
        <v>1252</v>
      </c>
    </row>
    <row r="11927" spans="1:8">
      <c r="A11927" s="317">
        <v>2609101576</v>
      </c>
      <c r="B11927" s="330" t="s">
        <v>56280</v>
      </c>
      <c r="C11927" s="330" t="s">
        <v>25900</v>
      </c>
      <c r="D11927" s="330" t="s">
        <v>25901</v>
      </c>
      <c r="E11927" s="330" t="s">
        <v>4819</v>
      </c>
      <c r="F11927" s="331">
        <v>0.21</v>
      </c>
      <c r="G11927" s="332">
        <v>10225</v>
      </c>
      <c r="H11927" s="333">
        <v>12373</v>
      </c>
    </row>
    <row r="11928" spans="1:8">
      <c r="A11928" s="317">
        <v>2609101577</v>
      </c>
      <c r="B11928" s="330" t="s">
        <v>56281</v>
      </c>
      <c r="C11928" s="330" t="s">
        <v>25902</v>
      </c>
      <c r="D11928" s="330" t="s">
        <v>25903</v>
      </c>
      <c r="E11928" s="330" t="s">
        <v>4819</v>
      </c>
      <c r="F11928" s="331">
        <v>0.21</v>
      </c>
      <c r="G11928" s="332">
        <v>10225</v>
      </c>
      <c r="H11928" s="333">
        <v>12373</v>
      </c>
    </row>
    <row r="11929" spans="1:8">
      <c r="A11929" s="317">
        <v>2609101581</v>
      </c>
      <c r="B11929" s="330" t="s">
        <v>56282</v>
      </c>
      <c r="C11929" s="330" t="s">
        <v>25904</v>
      </c>
      <c r="D11929" s="330" t="s">
        <v>25905</v>
      </c>
      <c r="E11929" s="330" t="s">
        <v>4819</v>
      </c>
      <c r="F11929" s="331">
        <v>0.21</v>
      </c>
      <c r="G11929" s="332">
        <v>807</v>
      </c>
      <c r="H11929" s="333">
        <v>977</v>
      </c>
    </row>
    <row r="11930" spans="1:8">
      <c r="A11930" s="317">
        <v>2609101589</v>
      </c>
      <c r="B11930" s="330" t="s">
        <v>56283</v>
      </c>
      <c r="C11930" s="330" t="s">
        <v>25906</v>
      </c>
      <c r="D11930" s="330" t="s">
        <v>25907</v>
      </c>
      <c r="E11930" s="330" t="s">
        <v>4819</v>
      </c>
      <c r="F11930" s="331">
        <v>0.21</v>
      </c>
      <c r="G11930" s="332">
        <v>1880</v>
      </c>
      <c r="H11930" s="333">
        <v>2275</v>
      </c>
    </row>
    <row r="11931" spans="1:8">
      <c r="A11931" s="317">
        <v>2609101604</v>
      </c>
      <c r="B11931" s="330" t="s">
        <v>56284</v>
      </c>
      <c r="C11931" s="330" t="s">
        <v>25908</v>
      </c>
      <c r="D11931" s="330" t="s">
        <v>25909</v>
      </c>
      <c r="E11931" s="330" t="s">
        <v>4819</v>
      </c>
      <c r="F11931" s="331">
        <v>0.21</v>
      </c>
      <c r="G11931" s="332">
        <v>12900</v>
      </c>
      <c r="H11931" s="333">
        <v>15609</v>
      </c>
    </row>
    <row r="11932" spans="1:8">
      <c r="A11932" s="317">
        <v>2609101661</v>
      </c>
      <c r="B11932" s="330" t="s">
        <v>56285</v>
      </c>
      <c r="C11932" s="330" t="s">
        <v>25910</v>
      </c>
      <c r="D11932" s="330" t="s">
        <v>7886</v>
      </c>
      <c r="E11932" s="330" t="s">
        <v>37248</v>
      </c>
      <c r="F11932" s="331">
        <v>0.21</v>
      </c>
      <c r="G11932" s="332">
        <v>318</v>
      </c>
      <c r="H11932" s="333">
        <v>385</v>
      </c>
    </row>
    <row r="11933" spans="1:8">
      <c r="A11933" s="317">
        <v>2609101664</v>
      </c>
      <c r="B11933" s="330" t="s">
        <v>56286</v>
      </c>
      <c r="C11933" s="330" t="s">
        <v>25911</v>
      </c>
      <c r="D11933" s="330" t="s">
        <v>25912</v>
      </c>
      <c r="E11933" s="330" t="s">
        <v>37248</v>
      </c>
      <c r="F11933" s="331">
        <v>0.21</v>
      </c>
      <c r="G11933" s="332">
        <v>2652</v>
      </c>
      <c r="H11933" s="333">
        <v>3209</v>
      </c>
    </row>
    <row r="11934" spans="1:8">
      <c r="A11934" s="317">
        <v>2609101670</v>
      </c>
      <c r="B11934" s="330" t="s">
        <v>56287</v>
      </c>
      <c r="C11934" s="330" t="s">
        <v>25913</v>
      </c>
      <c r="D11934" s="330" t="s">
        <v>25914</v>
      </c>
      <c r="E11934" s="330" t="s">
        <v>4819</v>
      </c>
      <c r="F11934" s="331">
        <v>0.21</v>
      </c>
      <c r="G11934" s="332">
        <v>579</v>
      </c>
      <c r="H11934" s="333">
        <v>701</v>
      </c>
    </row>
    <row r="11935" spans="1:8">
      <c r="A11935" s="317">
        <v>2609101674</v>
      </c>
      <c r="B11935" s="330" t="s">
        <v>56288</v>
      </c>
      <c r="C11935" s="330" t="s">
        <v>25915</v>
      </c>
      <c r="D11935" s="330" t="s">
        <v>25916</v>
      </c>
      <c r="E11935" s="330" t="s">
        <v>37248</v>
      </c>
      <c r="F11935" s="331">
        <v>0.21</v>
      </c>
      <c r="G11935" s="332">
        <v>1701</v>
      </c>
      <c r="H11935" s="333">
        <v>2059</v>
      </c>
    </row>
    <row r="11936" spans="1:8">
      <c r="A11936" s="317">
        <v>2609101682</v>
      </c>
      <c r="B11936" s="330" t="s">
        <v>56289</v>
      </c>
      <c r="C11936" s="330" t="s">
        <v>25917</v>
      </c>
      <c r="D11936" s="330" t="s">
        <v>25918</v>
      </c>
      <c r="E11936" s="330" t="s">
        <v>37248</v>
      </c>
      <c r="F11936" s="331">
        <v>0.21</v>
      </c>
      <c r="G11936" s="332">
        <v>807</v>
      </c>
      <c r="H11936" s="333">
        <v>977</v>
      </c>
    </row>
    <row r="11937" spans="1:8">
      <c r="A11937" s="317">
        <v>2609101686</v>
      </c>
      <c r="B11937" s="330" t="s">
        <v>56290</v>
      </c>
      <c r="C11937" s="330" t="s">
        <v>25919</v>
      </c>
      <c r="D11937" s="330" t="s">
        <v>25914</v>
      </c>
      <c r="E11937" s="330" t="s">
        <v>4634</v>
      </c>
      <c r="F11937" s="331">
        <v>0.21</v>
      </c>
      <c r="G11937" s="332">
        <v>5906</v>
      </c>
      <c r="H11937" s="333">
        <v>7147</v>
      </c>
    </row>
    <row r="11938" spans="1:8">
      <c r="A11938" s="317">
        <v>2609101692</v>
      </c>
      <c r="B11938" s="330" t="s">
        <v>56291</v>
      </c>
      <c r="C11938" s="330" t="s">
        <v>25920</v>
      </c>
      <c r="D11938" s="330" t="s">
        <v>25921</v>
      </c>
      <c r="E11938" s="330" t="s">
        <v>37248</v>
      </c>
      <c r="F11938" s="331">
        <v>0.21</v>
      </c>
      <c r="G11938" s="332">
        <v>6435</v>
      </c>
      <c r="H11938" s="333">
        <v>7787</v>
      </c>
    </row>
    <row r="11939" spans="1:8">
      <c r="A11939" s="317">
        <v>2609101697</v>
      </c>
      <c r="B11939" s="330" t="s">
        <v>56292</v>
      </c>
      <c r="C11939" s="330" t="s">
        <v>25922</v>
      </c>
      <c r="D11939" s="330" t="s">
        <v>25923</v>
      </c>
      <c r="E11939" s="330" t="s">
        <v>4819</v>
      </c>
      <c r="F11939" s="331">
        <v>0.21</v>
      </c>
      <c r="G11939" s="332">
        <v>6748</v>
      </c>
      <c r="H11939" s="333">
        <v>8166</v>
      </c>
    </row>
    <row r="11940" spans="1:8">
      <c r="A11940" s="317">
        <v>2609101741</v>
      </c>
      <c r="B11940" s="330" t="s">
        <v>56293</v>
      </c>
      <c r="C11940" s="330" t="s">
        <v>25924</v>
      </c>
      <c r="D11940" s="330" t="s">
        <v>25925</v>
      </c>
      <c r="E11940" s="330" t="s">
        <v>37248</v>
      </c>
      <c r="F11940" s="331">
        <v>0.21</v>
      </c>
      <c r="G11940" s="332">
        <v>7979</v>
      </c>
      <c r="H11940" s="333">
        <v>9655</v>
      </c>
    </row>
    <row r="11941" spans="1:8">
      <c r="A11941" s="317">
        <v>2609101783</v>
      </c>
      <c r="B11941" s="330" t="s">
        <v>56294</v>
      </c>
      <c r="C11941" s="330" t="s">
        <v>25926</v>
      </c>
      <c r="D11941" s="330" t="s">
        <v>25927</v>
      </c>
      <c r="E11941" s="330" t="s">
        <v>4819</v>
      </c>
      <c r="F11941" s="331">
        <v>0.21</v>
      </c>
      <c r="G11941" s="332">
        <v>579</v>
      </c>
      <c r="H11941" s="333">
        <v>701</v>
      </c>
    </row>
    <row r="11942" spans="1:8">
      <c r="A11942" s="317">
        <v>2609101797</v>
      </c>
      <c r="B11942" s="330" t="s">
        <v>56295</v>
      </c>
      <c r="C11942" s="330" t="s">
        <v>25928</v>
      </c>
      <c r="D11942" s="330" t="s">
        <v>25929</v>
      </c>
      <c r="E11942" s="330" t="s">
        <v>37248</v>
      </c>
      <c r="F11942" s="331">
        <v>0.21</v>
      </c>
      <c r="G11942" s="332">
        <v>25298</v>
      </c>
      <c r="H11942" s="333">
        <v>30611</v>
      </c>
    </row>
    <row r="11943" spans="1:8">
      <c r="A11943" s="317">
        <v>2609110052</v>
      </c>
      <c r="B11943" s="330" t="s">
        <v>56296</v>
      </c>
      <c r="C11943" s="330" t="s">
        <v>25930</v>
      </c>
      <c r="D11943" s="330" t="s">
        <v>25931</v>
      </c>
      <c r="E11943" s="330" t="s">
        <v>4819</v>
      </c>
      <c r="F11943" s="331">
        <v>0.21</v>
      </c>
      <c r="G11943" s="332">
        <v>1530</v>
      </c>
      <c r="H11943" s="333">
        <v>1852</v>
      </c>
    </row>
    <row r="11944" spans="1:8">
      <c r="A11944" s="317">
        <v>2609110063</v>
      </c>
      <c r="B11944" s="330" t="s">
        <v>56297</v>
      </c>
      <c r="C11944" s="330" t="s">
        <v>25932</v>
      </c>
      <c r="D11944" s="330" t="s">
        <v>25933</v>
      </c>
      <c r="E11944" s="330" t="s">
        <v>4819</v>
      </c>
      <c r="F11944" s="331">
        <v>0.21</v>
      </c>
      <c r="G11944" s="332">
        <v>25356</v>
      </c>
      <c r="H11944" s="333">
        <v>30681</v>
      </c>
    </row>
    <row r="11945" spans="1:8">
      <c r="A11945" s="317">
        <v>2609110064</v>
      </c>
      <c r="B11945" s="330" t="s">
        <v>56298</v>
      </c>
      <c r="C11945" s="330" t="s">
        <v>25934</v>
      </c>
      <c r="D11945" s="330" t="s">
        <v>25935</v>
      </c>
      <c r="E11945" s="330" t="s">
        <v>37248</v>
      </c>
      <c r="F11945" s="331">
        <v>0.21</v>
      </c>
      <c r="G11945" s="332">
        <v>11867</v>
      </c>
      <c r="H11945" s="333">
        <v>14360</v>
      </c>
    </row>
    <row r="11946" spans="1:8">
      <c r="A11946" s="317">
        <v>2609110077</v>
      </c>
      <c r="B11946" s="330" t="s">
        <v>56299</v>
      </c>
      <c r="C11946" s="330" t="s">
        <v>25936</v>
      </c>
      <c r="D11946" s="330" t="s">
        <v>25937</v>
      </c>
      <c r="E11946" s="330" t="s">
        <v>4634</v>
      </c>
      <c r="F11946" s="331">
        <v>0.21</v>
      </c>
      <c r="G11946" s="332">
        <v>372</v>
      </c>
      <c r="H11946" s="333">
        <v>451</v>
      </c>
    </row>
    <row r="11947" spans="1:8">
      <c r="A11947" s="317">
        <v>2609110084</v>
      </c>
      <c r="B11947" s="330" t="s">
        <v>56300</v>
      </c>
      <c r="C11947" s="330" t="s">
        <v>25938</v>
      </c>
      <c r="D11947" s="330" t="s">
        <v>25939</v>
      </c>
      <c r="E11947" s="330" t="s">
        <v>4819</v>
      </c>
      <c r="F11947" s="331">
        <v>0.21</v>
      </c>
      <c r="G11947" s="332">
        <v>2094</v>
      </c>
      <c r="H11947" s="333">
        <v>2534</v>
      </c>
    </row>
    <row r="11948" spans="1:8">
      <c r="A11948" s="317">
        <v>2609110094</v>
      </c>
      <c r="B11948" s="330" t="s">
        <v>56301</v>
      </c>
      <c r="C11948" s="330" t="s">
        <v>25940</v>
      </c>
      <c r="D11948" s="330" t="s">
        <v>4993</v>
      </c>
      <c r="E11948" s="330" t="s">
        <v>4634</v>
      </c>
      <c r="F11948" s="331">
        <v>0.21</v>
      </c>
      <c r="G11948" s="332">
        <v>1566</v>
      </c>
      <c r="H11948" s="333">
        <v>1895</v>
      </c>
    </row>
    <row r="11949" spans="1:8">
      <c r="A11949" s="317">
        <v>2609110096</v>
      </c>
      <c r="B11949" s="330" t="s">
        <v>56302</v>
      </c>
      <c r="C11949" s="330" t="s">
        <v>25941</v>
      </c>
      <c r="D11949" s="330" t="s">
        <v>25942</v>
      </c>
      <c r="E11949" s="330" t="s">
        <v>4634</v>
      </c>
      <c r="F11949" s="331">
        <v>0.21</v>
      </c>
      <c r="G11949" s="332">
        <v>4389</v>
      </c>
      <c r="H11949" s="333">
        <v>5311</v>
      </c>
    </row>
    <row r="11950" spans="1:8">
      <c r="A11950" s="317">
        <v>2609110097</v>
      </c>
      <c r="B11950" s="330" t="s">
        <v>56303</v>
      </c>
      <c r="C11950" s="330" t="s">
        <v>25943</v>
      </c>
      <c r="D11950" s="330" t="s">
        <v>25944</v>
      </c>
      <c r="E11950" s="330" t="s">
        <v>4634</v>
      </c>
      <c r="F11950" s="331">
        <v>0.21</v>
      </c>
      <c r="G11950" s="332">
        <v>412</v>
      </c>
      <c r="H11950" s="333">
        <v>499</v>
      </c>
    </row>
    <row r="11951" spans="1:8">
      <c r="A11951" s="317">
        <v>2609110109</v>
      </c>
      <c r="B11951" s="330" t="s">
        <v>56304</v>
      </c>
      <c r="C11951" s="330" t="s">
        <v>25945</v>
      </c>
      <c r="D11951" s="330" t="s">
        <v>7645</v>
      </c>
      <c r="E11951" s="330" t="s">
        <v>4634</v>
      </c>
      <c r="F11951" s="331">
        <v>0.21</v>
      </c>
      <c r="G11951" s="332">
        <v>348</v>
      </c>
      <c r="H11951" s="333">
        <v>422</v>
      </c>
    </row>
    <row r="11952" spans="1:8">
      <c r="A11952" s="317">
        <v>2609110131</v>
      </c>
      <c r="B11952" s="330" t="s">
        <v>56305</v>
      </c>
      <c r="C11952" s="330" t="s">
        <v>25946</v>
      </c>
      <c r="D11952" s="330" t="s">
        <v>25947</v>
      </c>
      <c r="E11952" s="330" t="s">
        <v>4819</v>
      </c>
      <c r="F11952" s="331">
        <v>0.21</v>
      </c>
      <c r="G11952" s="332">
        <v>2478</v>
      </c>
      <c r="H11952" s="333">
        <v>2999</v>
      </c>
    </row>
    <row r="11953" spans="1:8">
      <c r="A11953" s="317">
        <v>2609110153</v>
      </c>
      <c r="B11953" s="330" t="s">
        <v>56306</v>
      </c>
      <c r="C11953" s="330" t="s">
        <v>25948</v>
      </c>
      <c r="D11953" s="330" t="s">
        <v>6729</v>
      </c>
      <c r="E11953" s="330" t="s">
        <v>37248</v>
      </c>
      <c r="F11953" s="331">
        <v>0.21</v>
      </c>
      <c r="G11953" s="332">
        <v>1704</v>
      </c>
      <c r="H11953" s="333">
        <v>2062</v>
      </c>
    </row>
    <row r="11954" spans="1:8">
      <c r="A11954" s="317">
        <v>2609110160</v>
      </c>
      <c r="B11954" s="330" t="s">
        <v>56307</v>
      </c>
      <c r="C11954" s="330" t="s">
        <v>25949</v>
      </c>
      <c r="D11954" s="330" t="s">
        <v>25950</v>
      </c>
      <c r="E11954" s="330" t="s">
        <v>4819</v>
      </c>
      <c r="F11954" s="331">
        <v>0.21</v>
      </c>
      <c r="G11954" s="332">
        <v>219509</v>
      </c>
      <c r="H11954" s="333">
        <v>265606</v>
      </c>
    </row>
    <row r="11955" spans="1:8">
      <c r="A11955" s="317">
        <v>2609110162</v>
      </c>
      <c r="B11955" s="330" t="s">
        <v>56308</v>
      </c>
      <c r="C11955" s="330" t="s">
        <v>25951</v>
      </c>
      <c r="D11955" s="330" t="s">
        <v>25952</v>
      </c>
      <c r="E11955" s="330" t="s">
        <v>4634</v>
      </c>
      <c r="F11955" s="331">
        <v>0.21</v>
      </c>
      <c r="G11955" s="332">
        <v>455</v>
      </c>
      <c r="H11955" s="333">
        <v>551</v>
      </c>
    </row>
    <row r="11956" spans="1:8">
      <c r="A11956" s="317">
        <v>2609110174</v>
      </c>
      <c r="B11956" s="330" t="s">
        <v>56309</v>
      </c>
      <c r="C11956" s="330" t="s">
        <v>25953</v>
      </c>
      <c r="D11956" s="330" t="s">
        <v>25954</v>
      </c>
      <c r="E11956" s="330" t="s">
        <v>4634</v>
      </c>
      <c r="F11956" s="331">
        <v>0.21</v>
      </c>
      <c r="G11956" s="332">
        <v>8048</v>
      </c>
      <c r="H11956" s="333">
        <v>9739</v>
      </c>
    </row>
    <row r="11957" spans="1:8">
      <c r="A11957" s="317">
        <v>2609110175</v>
      </c>
      <c r="B11957" s="330" t="s">
        <v>56310</v>
      </c>
      <c r="C11957" s="330" t="s">
        <v>25955</v>
      </c>
      <c r="D11957" s="330" t="s">
        <v>25956</v>
      </c>
      <c r="E11957" s="330" t="s">
        <v>4634</v>
      </c>
      <c r="F11957" s="331">
        <v>0.21</v>
      </c>
      <c r="G11957" s="332">
        <v>6016</v>
      </c>
      <c r="H11957" s="333">
        <v>7280</v>
      </c>
    </row>
    <row r="11958" spans="1:8">
      <c r="A11958" s="317">
        <v>2609110190</v>
      </c>
      <c r="B11958" s="330" t="s">
        <v>56311</v>
      </c>
      <c r="C11958" s="330" t="s">
        <v>25957</v>
      </c>
      <c r="D11958" s="330" t="s">
        <v>25958</v>
      </c>
      <c r="E11958" s="330" t="s">
        <v>4634</v>
      </c>
      <c r="F11958" s="331">
        <v>0.21</v>
      </c>
      <c r="G11958" s="332">
        <v>153</v>
      </c>
      <c r="H11958" s="333">
        <v>186</v>
      </c>
    </row>
    <row r="11959" spans="1:8">
      <c r="A11959" s="317">
        <v>2609110193</v>
      </c>
      <c r="B11959" s="330" t="s">
        <v>56312</v>
      </c>
      <c r="C11959" s="330" t="s">
        <v>25959</v>
      </c>
      <c r="D11959" s="330" t="s">
        <v>25960</v>
      </c>
      <c r="E11959" s="330" t="s">
        <v>37248</v>
      </c>
      <c r="F11959" s="331">
        <v>0.21</v>
      </c>
      <c r="G11959" s="332">
        <v>67230</v>
      </c>
      <c r="H11959" s="333">
        <v>81349</v>
      </c>
    </row>
    <row r="11960" spans="1:8">
      <c r="A11960" s="317">
        <v>2609110201</v>
      </c>
      <c r="B11960" s="330" t="s">
        <v>56313</v>
      </c>
      <c r="C11960" s="330" t="s">
        <v>25961</v>
      </c>
      <c r="D11960" s="330" t="s">
        <v>6181</v>
      </c>
      <c r="E11960" s="330" t="s">
        <v>4819</v>
      </c>
      <c r="F11960" s="331">
        <v>0.21</v>
      </c>
      <c r="G11960" s="332">
        <v>1837</v>
      </c>
      <c r="H11960" s="333">
        <v>2223</v>
      </c>
    </row>
    <row r="11961" spans="1:8">
      <c r="A11961" s="317">
        <v>2609110217</v>
      </c>
      <c r="B11961" s="330" t="s">
        <v>56314</v>
      </c>
      <c r="C11961" s="330" t="s">
        <v>25962</v>
      </c>
      <c r="D11961" s="330" t="s">
        <v>5912</v>
      </c>
      <c r="E11961" s="330" t="s">
        <v>4634</v>
      </c>
      <c r="F11961" s="331">
        <v>0.21</v>
      </c>
      <c r="G11961" s="332">
        <v>372</v>
      </c>
      <c r="H11961" s="333">
        <v>451</v>
      </c>
    </row>
    <row r="11962" spans="1:8">
      <c r="A11962" s="317">
        <v>2609110220</v>
      </c>
      <c r="B11962" s="330" t="s">
        <v>56315</v>
      </c>
      <c r="C11962" s="330" t="s">
        <v>25963</v>
      </c>
      <c r="D11962" s="330" t="s">
        <v>25964</v>
      </c>
      <c r="E11962" s="330" t="s">
        <v>4634</v>
      </c>
      <c r="F11962" s="331">
        <v>0.21</v>
      </c>
      <c r="G11962" s="332">
        <v>6734</v>
      </c>
      <c r="H11962" s="333">
        <v>8149</v>
      </c>
    </row>
    <row r="11963" spans="1:8">
      <c r="A11963" s="317">
        <v>2609110236</v>
      </c>
      <c r="B11963" s="330" t="s">
        <v>56316</v>
      </c>
      <c r="C11963" s="330" t="s">
        <v>25965</v>
      </c>
      <c r="D11963" s="330" t="s">
        <v>25966</v>
      </c>
      <c r="E11963" s="330" t="s">
        <v>4634</v>
      </c>
      <c r="F11963" s="331">
        <v>0.21</v>
      </c>
      <c r="G11963" s="332">
        <v>180</v>
      </c>
      <c r="H11963" s="333">
        <v>218</v>
      </c>
    </row>
    <row r="11964" spans="1:8">
      <c r="A11964" s="317">
        <v>2609110241</v>
      </c>
      <c r="B11964" s="330" t="s">
        <v>56317</v>
      </c>
      <c r="C11964" s="330" t="s">
        <v>25967</v>
      </c>
      <c r="D11964" s="330" t="s">
        <v>25968</v>
      </c>
      <c r="E11964" s="330" t="s">
        <v>4819</v>
      </c>
      <c r="F11964" s="331">
        <v>0.21</v>
      </c>
      <c r="G11964" s="332">
        <v>3738</v>
      </c>
      <c r="H11964" s="333">
        <v>4523</v>
      </c>
    </row>
    <row r="11965" spans="1:8">
      <c r="A11965" s="317">
        <v>2609110245</v>
      </c>
      <c r="B11965" s="330" t="s">
        <v>56318</v>
      </c>
      <c r="C11965" s="330" t="s">
        <v>25969</v>
      </c>
      <c r="D11965" s="330" t="s">
        <v>25970</v>
      </c>
      <c r="E11965" s="330" t="s">
        <v>4634</v>
      </c>
      <c r="F11965" s="331">
        <v>0.21</v>
      </c>
      <c r="G11965" s="332">
        <v>432</v>
      </c>
      <c r="H11965" s="333">
        <v>523</v>
      </c>
    </row>
    <row r="11966" spans="1:8">
      <c r="A11966" s="317">
        <v>2609110246</v>
      </c>
      <c r="B11966" s="330" t="s">
        <v>56319</v>
      </c>
      <c r="C11966" s="330" t="s">
        <v>25971</v>
      </c>
      <c r="D11966" s="330" t="s">
        <v>25972</v>
      </c>
      <c r="E11966" s="330" t="s">
        <v>4634</v>
      </c>
      <c r="F11966" s="331">
        <v>0.21</v>
      </c>
      <c r="G11966" s="332">
        <v>274</v>
      </c>
      <c r="H11966" s="333">
        <v>332</v>
      </c>
    </row>
    <row r="11967" spans="1:8">
      <c r="A11967" s="317">
        <v>2609110253</v>
      </c>
      <c r="B11967" s="330" t="s">
        <v>56320</v>
      </c>
      <c r="C11967" s="330" t="s">
        <v>25973</v>
      </c>
      <c r="D11967" s="330" t="s">
        <v>25974</v>
      </c>
      <c r="E11967" s="330" t="s">
        <v>4634</v>
      </c>
      <c r="F11967" s="331">
        <v>0.21</v>
      </c>
      <c r="G11967" s="332">
        <v>791</v>
      </c>
      <c r="H11967" s="333">
        <v>958</v>
      </c>
    </row>
    <row r="11968" spans="1:8">
      <c r="A11968" s="317">
        <v>2609110254</v>
      </c>
      <c r="B11968" s="330" t="s">
        <v>56321</v>
      </c>
      <c r="C11968" s="330" t="s">
        <v>25975</v>
      </c>
      <c r="D11968" s="330" t="s">
        <v>25976</v>
      </c>
      <c r="E11968" s="330" t="s">
        <v>37248</v>
      </c>
      <c r="F11968" s="331">
        <v>0.21</v>
      </c>
      <c r="G11968" s="332">
        <v>3174</v>
      </c>
      <c r="H11968" s="333">
        <v>3841</v>
      </c>
    </row>
    <row r="11969" spans="1:8">
      <c r="A11969" s="317">
        <v>2609110255</v>
      </c>
      <c r="B11969" s="330" t="s">
        <v>56322</v>
      </c>
      <c r="C11969" s="330" t="s">
        <v>25977</v>
      </c>
      <c r="D11969" s="330" t="s">
        <v>23795</v>
      </c>
      <c r="E11969" s="330" t="s">
        <v>4634</v>
      </c>
      <c r="F11969" s="331">
        <v>0.21</v>
      </c>
      <c r="G11969" s="332">
        <v>274</v>
      </c>
      <c r="H11969" s="333">
        <v>332</v>
      </c>
    </row>
    <row r="11970" spans="1:8">
      <c r="A11970" s="317">
        <v>2609110267</v>
      </c>
      <c r="B11970" s="330" t="s">
        <v>56323</v>
      </c>
      <c r="C11970" s="330" t="s">
        <v>25978</v>
      </c>
      <c r="D11970" s="330" t="s">
        <v>25979</v>
      </c>
      <c r="E11970" s="330" t="s">
        <v>4819</v>
      </c>
      <c r="F11970" s="331">
        <v>0.21</v>
      </c>
      <c r="G11970" s="332">
        <v>3468</v>
      </c>
      <c r="H11970" s="333">
        <v>4197</v>
      </c>
    </row>
    <row r="11971" spans="1:8">
      <c r="A11971" s="317">
        <v>2609110268</v>
      </c>
      <c r="B11971" s="330" t="s">
        <v>56324</v>
      </c>
      <c r="C11971" s="330" t="s">
        <v>25980</v>
      </c>
      <c r="D11971" s="330" t="s">
        <v>25979</v>
      </c>
      <c r="E11971" s="330" t="s">
        <v>4819</v>
      </c>
      <c r="F11971" s="331">
        <v>0.21</v>
      </c>
      <c r="G11971" s="332">
        <v>2478</v>
      </c>
      <c r="H11971" s="333">
        <v>2999</v>
      </c>
    </row>
    <row r="11972" spans="1:8">
      <c r="A11972" s="317">
        <v>2609110282</v>
      </c>
      <c r="B11972" s="330" t="s">
        <v>56325</v>
      </c>
      <c r="C11972" s="330" t="s">
        <v>25981</v>
      </c>
      <c r="D11972" s="330" t="s">
        <v>25982</v>
      </c>
      <c r="E11972" s="330" t="s">
        <v>4819</v>
      </c>
      <c r="F11972" s="331">
        <v>0.21</v>
      </c>
      <c r="G11972" s="332">
        <v>1505</v>
      </c>
      <c r="H11972" s="333">
        <v>1822</v>
      </c>
    </row>
    <row r="11973" spans="1:8">
      <c r="A11973" s="317">
        <v>2609110283</v>
      </c>
      <c r="B11973" s="330" t="s">
        <v>56326</v>
      </c>
      <c r="C11973" s="330" t="s">
        <v>25983</v>
      </c>
      <c r="D11973" s="330" t="s">
        <v>25984</v>
      </c>
      <c r="E11973" s="330" t="s">
        <v>4819</v>
      </c>
      <c r="F11973" s="331">
        <v>0.21</v>
      </c>
      <c r="G11973" s="332">
        <v>1740</v>
      </c>
      <c r="H11973" s="333">
        <v>2106</v>
      </c>
    </row>
    <row r="11974" spans="1:8">
      <c r="A11974" s="317">
        <v>2609110289</v>
      </c>
      <c r="B11974" s="330" t="s">
        <v>56327</v>
      </c>
      <c r="C11974" s="330" t="s">
        <v>25985</v>
      </c>
      <c r="D11974" s="330" t="s">
        <v>25986</v>
      </c>
      <c r="E11974" s="330" t="s">
        <v>4819</v>
      </c>
      <c r="F11974" s="331">
        <v>0.21</v>
      </c>
      <c r="G11974" s="332">
        <v>1505</v>
      </c>
      <c r="H11974" s="333">
        <v>1822</v>
      </c>
    </row>
    <row r="11975" spans="1:8">
      <c r="A11975" s="317">
        <v>2609110290</v>
      </c>
      <c r="B11975" s="330" t="s">
        <v>56328</v>
      </c>
      <c r="C11975" s="330" t="s">
        <v>25987</v>
      </c>
      <c r="D11975" s="330" t="s">
        <v>25988</v>
      </c>
      <c r="E11975" s="330" t="s">
        <v>4819</v>
      </c>
      <c r="F11975" s="331">
        <v>0.21</v>
      </c>
      <c r="G11975" s="332">
        <v>1505</v>
      </c>
      <c r="H11975" s="333">
        <v>1822</v>
      </c>
    </row>
    <row r="11976" spans="1:8">
      <c r="A11976" s="317">
        <v>2609110294</v>
      </c>
      <c r="B11976" s="330" t="s">
        <v>56329</v>
      </c>
      <c r="C11976" s="330" t="s">
        <v>25989</v>
      </c>
      <c r="D11976" s="330" t="s">
        <v>25990</v>
      </c>
      <c r="E11976" s="330" t="s">
        <v>4634</v>
      </c>
      <c r="F11976" s="331">
        <v>0.21</v>
      </c>
      <c r="G11976" s="332">
        <v>274</v>
      </c>
      <c r="H11976" s="333">
        <v>332</v>
      </c>
    </row>
    <row r="11977" spans="1:8">
      <c r="A11977" s="317">
        <v>2609110297</v>
      </c>
      <c r="B11977" s="330" t="s">
        <v>56330</v>
      </c>
      <c r="C11977" s="330" t="s">
        <v>25991</v>
      </c>
      <c r="D11977" s="330" t="s">
        <v>25992</v>
      </c>
      <c r="E11977" s="330" t="s">
        <v>4634</v>
      </c>
      <c r="F11977" s="331">
        <v>0.21</v>
      </c>
      <c r="G11977" s="332">
        <v>274</v>
      </c>
      <c r="H11977" s="333">
        <v>332</v>
      </c>
    </row>
    <row r="11978" spans="1:8">
      <c r="A11978" s="317">
        <v>2609110306</v>
      </c>
      <c r="B11978" s="330" t="s">
        <v>56331</v>
      </c>
      <c r="C11978" s="330" t="s">
        <v>25993</v>
      </c>
      <c r="D11978" s="330" t="s">
        <v>25994</v>
      </c>
      <c r="E11978" s="330" t="s">
        <v>4634</v>
      </c>
      <c r="F11978" s="331">
        <v>0.21</v>
      </c>
      <c r="G11978" s="332">
        <v>274</v>
      </c>
      <c r="H11978" s="333">
        <v>332</v>
      </c>
    </row>
    <row r="11979" spans="1:8">
      <c r="A11979" s="317">
        <v>2609110307</v>
      </c>
      <c r="B11979" s="330" t="s">
        <v>56332</v>
      </c>
      <c r="C11979" s="330" t="s">
        <v>25995</v>
      </c>
      <c r="D11979" s="330" t="s">
        <v>25996</v>
      </c>
      <c r="E11979" s="330" t="s">
        <v>4819</v>
      </c>
      <c r="F11979" s="331">
        <v>0.21</v>
      </c>
      <c r="G11979" s="332">
        <v>41101</v>
      </c>
      <c r="H11979" s="333">
        <v>49733</v>
      </c>
    </row>
    <row r="11980" spans="1:8">
      <c r="A11980" s="317">
        <v>2609110318</v>
      </c>
      <c r="B11980" s="330" t="s">
        <v>56333</v>
      </c>
      <c r="C11980" s="330" t="s">
        <v>25997</v>
      </c>
      <c r="D11980" s="330" t="s">
        <v>12590</v>
      </c>
      <c r="E11980" s="330" t="s">
        <v>37248</v>
      </c>
      <c r="F11980" s="331">
        <v>0.21</v>
      </c>
      <c r="G11980" s="332">
        <v>720</v>
      </c>
      <c r="H11980" s="333">
        <v>872</v>
      </c>
    </row>
    <row r="11981" spans="1:8">
      <c r="A11981" s="317">
        <v>2609110327</v>
      </c>
      <c r="B11981" s="330" t="s">
        <v>56334</v>
      </c>
      <c r="C11981" s="330" t="s">
        <v>25998</v>
      </c>
      <c r="D11981" s="330" t="s">
        <v>7653</v>
      </c>
      <c r="E11981" s="330" t="s">
        <v>37248</v>
      </c>
      <c r="F11981" s="331">
        <v>0.21</v>
      </c>
      <c r="G11981" s="332">
        <v>479</v>
      </c>
      <c r="H11981" s="333">
        <v>580</v>
      </c>
    </row>
    <row r="11982" spans="1:8">
      <c r="A11982" s="317">
        <v>2609110329</v>
      </c>
      <c r="B11982" s="330" t="s">
        <v>56335</v>
      </c>
      <c r="C11982" s="330" t="s">
        <v>25999</v>
      </c>
      <c r="D11982" s="330" t="s">
        <v>4909</v>
      </c>
      <c r="E11982" s="330" t="s">
        <v>37248</v>
      </c>
      <c r="F11982" s="331">
        <v>0.21</v>
      </c>
      <c r="G11982" s="332">
        <v>194</v>
      </c>
      <c r="H11982" s="333">
        <v>235</v>
      </c>
    </row>
    <row r="11983" spans="1:8">
      <c r="A11983" s="317">
        <v>2609110330</v>
      </c>
      <c r="B11983" s="330" t="s">
        <v>56336</v>
      </c>
      <c r="C11983" s="330" t="s">
        <v>26000</v>
      </c>
      <c r="D11983" s="330" t="s">
        <v>6179</v>
      </c>
      <c r="E11983" s="330" t="s">
        <v>37248</v>
      </c>
      <c r="F11983" s="331">
        <v>0.21</v>
      </c>
      <c r="G11983" s="332">
        <v>240</v>
      </c>
      <c r="H11983" s="333">
        <v>291</v>
      </c>
    </row>
    <row r="11984" spans="1:8">
      <c r="A11984" s="317">
        <v>2609110331</v>
      </c>
      <c r="B11984" s="330" t="s">
        <v>56337</v>
      </c>
      <c r="C11984" s="330" t="s">
        <v>26001</v>
      </c>
      <c r="D11984" s="330" t="s">
        <v>26002</v>
      </c>
      <c r="E11984" s="330" t="s">
        <v>4819</v>
      </c>
      <c r="F11984" s="331">
        <v>0.21</v>
      </c>
      <c r="G11984" s="332">
        <v>265</v>
      </c>
      <c r="H11984" s="333">
        <v>321</v>
      </c>
    </row>
    <row r="11985" spans="1:8">
      <c r="A11985" s="317">
        <v>2609110336</v>
      </c>
      <c r="B11985" s="330" t="s">
        <v>56338</v>
      </c>
      <c r="C11985" s="330" t="s">
        <v>26003</v>
      </c>
      <c r="D11985" s="330" t="s">
        <v>12637</v>
      </c>
      <c r="E11985" s="330" t="s">
        <v>37248</v>
      </c>
      <c r="F11985" s="331">
        <v>0.21</v>
      </c>
      <c r="G11985" s="332">
        <v>240</v>
      </c>
      <c r="H11985" s="333">
        <v>291</v>
      </c>
    </row>
    <row r="11986" spans="1:8">
      <c r="A11986" s="317">
        <v>2609110342</v>
      </c>
      <c r="B11986" s="330" t="s">
        <v>56339</v>
      </c>
      <c r="C11986" s="330" t="s">
        <v>26004</v>
      </c>
      <c r="D11986" s="330" t="s">
        <v>26005</v>
      </c>
      <c r="E11986" s="330" t="s">
        <v>37248</v>
      </c>
      <c r="F11986" s="331">
        <v>0.21</v>
      </c>
      <c r="G11986" s="332">
        <v>1025</v>
      </c>
      <c r="H11986" s="333">
        <v>1241</v>
      </c>
    </row>
    <row r="11987" spans="1:8">
      <c r="A11987" s="317">
        <v>2609110343</v>
      </c>
      <c r="B11987" s="330" t="s">
        <v>56340</v>
      </c>
      <c r="C11987" s="330" t="s">
        <v>26006</v>
      </c>
      <c r="D11987" s="330" t="s">
        <v>26007</v>
      </c>
      <c r="E11987" s="330" t="s">
        <v>4819</v>
      </c>
      <c r="F11987" s="331">
        <v>0.21</v>
      </c>
      <c r="G11987" s="332">
        <v>863</v>
      </c>
      <c r="H11987" s="333">
        <v>1045</v>
      </c>
    </row>
    <row r="11988" spans="1:8">
      <c r="A11988" s="317">
        <v>2609110347</v>
      </c>
      <c r="B11988" s="330" t="s">
        <v>56341</v>
      </c>
      <c r="C11988" s="330" t="s">
        <v>26008</v>
      </c>
      <c r="D11988" s="330" t="s">
        <v>26009</v>
      </c>
      <c r="E11988" s="330" t="s">
        <v>4634</v>
      </c>
      <c r="F11988" s="331">
        <v>0.21</v>
      </c>
      <c r="G11988" s="332">
        <v>274</v>
      </c>
      <c r="H11988" s="333">
        <v>332</v>
      </c>
    </row>
    <row r="11989" spans="1:8">
      <c r="A11989" s="317">
        <v>2609110348</v>
      </c>
      <c r="B11989" s="330" t="s">
        <v>56342</v>
      </c>
      <c r="C11989" s="330" t="s">
        <v>26010</v>
      </c>
      <c r="D11989" s="330" t="s">
        <v>26011</v>
      </c>
      <c r="E11989" s="330" t="s">
        <v>4634</v>
      </c>
      <c r="F11989" s="331">
        <v>0.21</v>
      </c>
      <c r="G11989" s="332">
        <v>12161</v>
      </c>
      <c r="H11989" s="333">
        <v>14715</v>
      </c>
    </row>
    <row r="11990" spans="1:8">
      <c r="A11990" s="317">
        <v>2609110353</v>
      </c>
      <c r="B11990" s="330" t="s">
        <v>56343</v>
      </c>
      <c r="C11990" s="330" t="s">
        <v>26012</v>
      </c>
      <c r="D11990" s="330" t="s">
        <v>4658</v>
      </c>
      <c r="E11990" s="330" t="s">
        <v>4819</v>
      </c>
      <c r="F11990" s="331">
        <v>0.21</v>
      </c>
      <c r="G11990" s="332">
        <v>1880</v>
      </c>
      <c r="H11990" s="333">
        <v>2275</v>
      </c>
    </row>
    <row r="11991" spans="1:8">
      <c r="A11991" s="317">
        <v>2609110357</v>
      </c>
      <c r="B11991" s="330" t="s">
        <v>56344</v>
      </c>
      <c r="C11991" s="330" t="s">
        <v>26013</v>
      </c>
      <c r="D11991" s="330" t="s">
        <v>26014</v>
      </c>
      <c r="E11991" s="330" t="s">
        <v>37248</v>
      </c>
      <c r="F11991" s="331">
        <v>0.21</v>
      </c>
      <c r="G11991" s="332">
        <v>34177</v>
      </c>
      <c r="H11991" s="333">
        <v>41355</v>
      </c>
    </row>
    <row r="11992" spans="1:8">
      <c r="A11992" s="317">
        <v>2609110361</v>
      </c>
      <c r="B11992" s="330" t="s">
        <v>56345</v>
      </c>
      <c r="C11992" s="330" t="s">
        <v>26015</v>
      </c>
      <c r="D11992" s="330" t="s">
        <v>7235</v>
      </c>
      <c r="E11992" s="330" t="s">
        <v>4634</v>
      </c>
      <c r="F11992" s="331">
        <v>0.21</v>
      </c>
      <c r="G11992" s="332">
        <v>180</v>
      </c>
      <c r="H11992" s="333">
        <v>218</v>
      </c>
    </row>
    <row r="11993" spans="1:8">
      <c r="A11993" s="317">
        <v>2609110364</v>
      </c>
      <c r="B11993" s="330" t="s">
        <v>56346</v>
      </c>
      <c r="C11993" s="330" t="s">
        <v>26016</v>
      </c>
      <c r="D11993" s="330" t="s">
        <v>26017</v>
      </c>
      <c r="E11993" s="330" t="s">
        <v>4634</v>
      </c>
      <c r="F11993" s="331">
        <v>0.21</v>
      </c>
      <c r="G11993" s="332">
        <v>274</v>
      </c>
      <c r="H11993" s="333">
        <v>332</v>
      </c>
    </row>
    <row r="11994" spans="1:8">
      <c r="A11994" s="317">
        <v>2609110367</v>
      </c>
      <c r="B11994" s="330" t="s">
        <v>56347</v>
      </c>
      <c r="C11994" s="330" t="s">
        <v>26018</v>
      </c>
      <c r="D11994" s="330" t="s">
        <v>26019</v>
      </c>
      <c r="E11994" s="330" t="s">
        <v>4634</v>
      </c>
      <c r="F11994" s="331">
        <v>0.21</v>
      </c>
      <c r="G11994" s="332">
        <v>274</v>
      </c>
      <c r="H11994" s="333">
        <v>332</v>
      </c>
    </row>
    <row r="11995" spans="1:8">
      <c r="A11995" s="317">
        <v>2609110372</v>
      </c>
      <c r="B11995" s="330" t="s">
        <v>56348</v>
      </c>
      <c r="C11995" s="330" t="s">
        <v>26020</v>
      </c>
      <c r="D11995" s="330" t="s">
        <v>25630</v>
      </c>
      <c r="E11995" s="330" t="s">
        <v>4634</v>
      </c>
      <c r="F11995" s="331">
        <v>0.21</v>
      </c>
      <c r="G11995" s="332">
        <v>1371</v>
      </c>
      <c r="H11995" s="333">
        <v>1659</v>
      </c>
    </row>
    <row r="11996" spans="1:8">
      <c r="A11996" s="317">
        <v>2609110385</v>
      </c>
      <c r="B11996" s="330" t="s">
        <v>56349</v>
      </c>
      <c r="C11996" s="330" t="s">
        <v>26021</v>
      </c>
      <c r="D11996" s="330" t="s">
        <v>26022</v>
      </c>
      <c r="E11996" s="330" t="s">
        <v>37248</v>
      </c>
      <c r="F11996" s="331">
        <v>0.21</v>
      </c>
      <c r="G11996" s="332">
        <v>31826</v>
      </c>
      <c r="H11996" s="333">
        <v>38510</v>
      </c>
    </row>
    <row r="11997" spans="1:8">
      <c r="A11997" s="317">
        <v>2609110407</v>
      </c>
      <c r="B11997" s="330" t="s">
        <v>56350</v>
      </c>
      <c r="C11997" s="330" t="s">
        <v>26023</v>
      </c>
      <c r="D11997" s="330" t="s">
        <v>26024</v>
      </c>
      <c r="E11997" s="330" t="s">
        <v>4819</v>
      </c>
      <c r="F11997" s="331">
        <v>0.21</v>
      </c>
      <c r="G11997" s="332">
        <v>470</v>
      </c>
      <c r="H11997" s="333">
        <v>569</v>
      </c>
    </row>
    <row r="11998" spans="1:8">
      <c r="A11998" s="317">
        <v>2609110409</v>
      </c>
      <c r="B11998" s="330" t="s">
        <v>56351</v>
      </c>
      <c r="C11998" s="330" t="s">
        <v>26025</v>
      </c>
      <c r="D11998" s="330" t="s">
        <v>26026</v>
      </c>
      <c r="E11998" s="330" t="s">
        <v>4634</v>
      </c>
      <c r="F11998" s="331">
        <v>0.21</v>
      </c>
      <c r="G11998" s="332">
        <v>274</v>
      </c>
      <c r="H11998" s="333">
        <v>332</v>
      </c>
    </row>
    <row r="11999" spans="1:8">
      <c r="A11999" s="317">
        <v>2609110415</v>
      </c>
      <c r="B11999" s="330" t="s">
        <v>56352</v>
      </c>
      <c r="C11999" s="330" t="s">
        <v>26027</v>
      </c>
      <c r="D11999" s="330" t="s">
        <v>26028</v>
      </c>
      <c r="E11999" s="330" t="s">
        <v>37248</v>
      </c>
      <c r="F11999" s="331">
        <v>0.21</v>
      </c>
      <c r="G11999" s="332">
        <v>22756</v>
      </c>
      <c r="H11999" s="333">
        <v>27535</v>
      </c>
    </row>
    <row r="12000" spans="1:8">
      <c r="A12000" s="317">
        <v>2609110435</v>
      </c>
      <c r="B12000" s="330" t="s">
        <v>56353</v>
      </c>
      <c r="C12000" s="330" t="s">
        <v>26029</v>
      </c>
      <c r="D12000" s="330" t="s">
        <v>26030</v>
      </c>
      <c r="E12000" s="330" t="s">
        <v>37248</v>
      </c>
      <c r="F12000" s="331">
        <v>0.21</v>
      </c>
      <c r="G12000" s="332">
        <v>10475</v>
      </c>
      <c r="H12000" s="333">
        <v>12675</v>
      </c>
    </row>
    <row r="12001" spans="1:8">
      <c r="A12001" s="317">
        <v>2609110436</v>
      </c>
      <c r="B12001" s="330" t="s">
        <v>56354</v>
      </c>
      <c r="C12001" s="330" t="s">
        <v>26031</v>
      </c>
      <c r="D12001" s="330" t="s">
        <v>26032</v>
      </c>
      <c r="E12001" s="330" t="s">
        <v>4623</v>
      </c>
      <c r="F12001" s="331">
        <v>0.21</v>
      </c>
      <c r="G12001" s="332">
        <v>8106</v>
      </c>
      <c r="H12001" s="333">
        <v>9809</v>
      </c>
    </row>
    <row r="12002" spans="1:8">
      <c r="A12002" s="317">
        <v>2609110438</v>
      </c>
      <c r="B12002" s="330" t="s">
        <v>56355</v>
      </c>
      <c r="C12002" s="330" t="s">
        <v>26033</v>
      </c>
      <c r="D12002" s="330" t="s">
        <v>26034</v>
      </c>
      <c r="E12002" s="330" t="s">
        <v>37248</v>
      </c>
      <c r="F12002" s="331">
        <v>0.21</v>
      </c>
      <c r="G12002" s="332">
        <v>2295</v>
      </c>
      <c r="H12002" s="333">
        <v>2777</v>
      </c>
    </row>
    <row r="12003" spans="1:8">
      <c r="A12003" s="317">
        <v>2609110444</v>
      </c>
      <c r="B12003" s="330" t="s">
        <v>56356</v>
      </c>
      <c r="C12003" s="330" t="s">
        <v>26035</v>
      </c>
      <c r="D12003" s="330" t="s">
        <v>26036</v>
      </c>
      <c r="E12003" s="330" t="s">
        <v>4634</v>
      </c>
      <c r="F12003" s="331">
        <v>0.21</v>
      </c>
      <c r="G12003" s="332">
        <v>1744</v>
      </c>
      <c r="H12003" s="333">
        <v>2111</v>
      </c>
    </row>
    <row r="12004" spans="1:8">
      <c r="A12004" s="317">
        <v>2609110449</v>
      </c>
      <c r="B12004" s="330" t="s">
        <v>56357</v>
      </c>
      <c r="C12004" s="330" t="s">
        <v>26037</v>
      </c>
      <c r="D12004" s="330" t="s">
        <v>26038</v>
      </c>
      <c r="E12004" s="330" t="s">
        <v>4634</v>
      </c>
      <c r="F12004" s="331">
        <v>0.21</v>
      </c>
      <c r="G12004" s="332">
        <v>15544</v>
      </c>
      <c r="H12004" s="333">
        <v>18809</v>
      </c>
    </row>
    <row r="12005" spans="1:8">
      <c r="A12005" s="317">
        <v>2609110455</v>
      </c>
      <c r="B12005" s="330" t="s">
        <v>56358</v>
      </c>
      <c r="C12005" s="330" t="s">
        <v>26039</v>
      </c>
      <c r="D12005" s="330" t="s">
        <v>25984</v>
      </c>
      <c r="E12005" s="330" t="s">
        <v>4634</v>
      </c>
      <c r="F12005" s="331">
        <v>0.21</v>
      </c>
      <c r="G12005" s="332">
        <v>274</v>
      </c>
      <c r="H12005" s="333">
        <v>332</v>
      </c>
    </row>
    <row r="12006" spans="1:8">
      <c r="A12006" s="317">
        <v>2609110480</v>
      </c>
      <c r="B12006" s="330" t="s">
        <v>56359</v>
      </c>
      <c r="C12006" s="330" t="s">
        <v>26040</v>
      </c>
      <c r="D12006" s="330" t="s">
        <v>16208</v>
      </c>
      <c r="E12006" s="330" t="s">
        <v>37248</v>
      </c>
      <c r="F12006" s="331">
        <v>0.21</v>
      </c>
      <c r="G12006" s="332">
        <v>2145</v>
      </c>
      <c r="H12006" s="333">
        <v>2596</v>
      </c>
    </row>
    <row r="12007" spans="1:8">
      <c r="A12007" s="317">
        <v>2609110481</v>
      </c>
      <c r="B12007" s="330" t="s">
        <v>56360</v>
      </c>
      <c r="C12007" s="330" t="s">
        <v>26041</v>
      </c>
      <c r="D12007" s="330" t="s">
        <v>6299</v>
      </c>
      <c r="E12007" s="330" t="s">
        <v>4819</v>
      </c>
      <c r="F12007" s="331">
        <v>0.21</v>
      </c>
      <c r="G12007" s="332">
        <v>1701</v>
      </c>
      <c r="H12007" s="333">
        <v>2059</v>
      </c>
    </row>
    <row r="12008" spans="1:8">
      <c r="A12008" s="317">
        <v>2609110483</v>
      </c>
      <c r="B12008" s="330" t="s">
        <v>56361</v>
      </c>
      <c r="C12008" s="330" t="s">
        <v>26042</v>
      </c>
      <c r="D12008" s="330" t="s">
        <v>25984</v>
      </c>
      <c r="E12008" s="330" t="s">
        <v>4634</v>
      </c>
      <c r="F12008" s="331">
        <v>0.21</v>
      </c>
      <c r="G12008" s="332">
        <v>274</v>
      </c>
      <c r="H12008" s="333">
        <v>332</v>
      </c>
    </row>
    <row r="12009" spans="1:8">
      <c r="A12009" s="317">
        <v>2609110490</v>
      </c>
      <c r="B12009" s="330" t="s">
        <v>56362</v>
      </c>
      <c r="C12009" s="330" t="s">
        <v>26043</v>
      </c>
      <c r="D12009" s="330" t="s">
        <v>26044</v>
      </c>
      <c r="E12009" s="330" t="s">
        <v>4634</v>
      </c>
      <c r="F12009" s="331">
        <v>0.21</v>
      </c>
      <c r="G12009" s="332">
        <v>274</v>
      </c>
      <c r="H12009" s="333">
        <v>332</v>
      </c>
    </row>
    <row r="12010" spans="1:8">
      <c r="A12010" s="317">
        <v>2609110493</v>
      </c>
      <c r="B12010" s="330" t="s">
        <v>56363</v>
      </c>
      <c r="C12010" s="330" t="s">
        <v>26045</v>
      </c>
      <c r="D12010" s="330" t="s">
        <v>26046</v>
      </c>
      <c r="E12010" s="330" t="s">
        <v>37248</v>
      </c>
      <c r="F12010" s="331">
        <v>0.21</v>
      </c>
      <c r="G12010" s="332">
        <v>62880</v>
      </c>
      <c r="H12010" s="333">
        <v>76085</v>
      </c>
    </row>
    <row r="12011" spans="1:8">
      <c r="A12011" s="317">
        <v>2609110495</v>
      </c>
      <c r="B12011" s="330" t="s">
        <v>56364</v>
      </c>
      <c r="C12011" s="330" t="s">
        <v>26047</v>
      </c>
      <c r="D12011" s="330" t="s">
        <v>26048</v>
      </c>
      <c r="E12011" s="330" t="s">
        <v>37248</v>
      </c>
      <c r="F12011" s="331">
        <v>0.21</v>
      </c>
      <c r="G12011" s="332">
        <v>63690</v>
      </c>
      <c r="H12011" s="333">
        <v>77065</v>
      </c>
    </row>
    <row r="12012" spans="1:8">
      <c r="A12012" s="317">
        <v>2609110513</v>
      </c>
      <c r="B12012" s="330" t="s">
        <v>56365</v>
      </c>
      <c r="C12012" s="330" t="s">
        <v>26049</v>
      </c>
      <c r="D12012" s="330" t="s">
        <v>26050</v>
      </c>
      <c r="E12012" s="330" t="s">
        <v>37248</v>
      </c>
      <c r="F12012" s="331">
        <v>0.21</v>
      </c>
      <c r="G12012" s="332">
        <v>194</v>
      </c>
      <c r="H12012" s="333">
        <v>235</v>
      </c>
    </row>
    <row r="12013" spans="1:8">
      <c r="A12013" s="317">
        <v>2609110534</v>
      </c>
      <c r="B12013" s="330" t="s">
        <v>56366</v>
      </c>
      <c r="C12013" s="330" t="s">
        <v>26051</v>
      </c>
      <c r="D12013" s="330" t="s">
        <v>26052</v>
      </c>
      <c r="E12013" s="330" t="s">
        <v>37248</v>
      </c>
      <c r="F12013" s="331">
        <v>0.21</v>
      </c>
      <c r="G12013" s="332">
        <v>1247</v>
      </c>
      <c r="H12013" s="333">
        <v>1509</v>
      </c>
    </row>
    <row r="12014" spans="1:8">
      <c r="A12014" s="317">
        <v>2609110535</v>
      </c>
      <c r="B12014" s="330" t="s">
        <v>56367</v>
      </c>
      <c r="C12014" s="330" t="s">
        <v>26053</v>
      </c>
      <c r="D12014" s="330" t="s">
        <v>26054</v>
      </c>
      <c r="E12014" s="330" t="s">
        <v>4634</v>
      </c>
      <c r="F12014" s="331">
        <v>0.21</v>
      </c>
      <c r="G12014" s="332">
        <v>236</v>
      </c>
      <c r="H12014" s="333">
        <v>286</v>
      </c>
    </row>
    <row r="12015" spans="1:8">
      <c r="A12015" s="317">
        <v>2609110536</v>
      </c>
      <c r="B12015" s="330" t="s">
        <v>56368</v>
      </c>
      <c r="C12015" s="330" t="s">
        <v>26055</v>
      </c>
      <c r="D12015" s="330" t="s">
        <v>26056</v>
      </c>
      <c r="E12015" s="330" t="s">
        <v>4634</v>
      </c>
      <c r="F12015" s="331">
        <v>0.21</v>
      </c>
      <c r="G12015" s="332">
        <v>236</v>
      </c>
      <c r="H12015" s="333">
        <v>286</v>
      </c>
    </row>
    <row r="12016" spans="1:8">
      <c r="A12016" s="317">
        <v>2609110537</v>
      </c>
      <c r="B12016" s="330" t="s">
        <v>56369</v>
      </c>
      <c r="C12016" s="330" t="s">
        <v>26057</v>
      </c>
      <c r="D12016" s="330" t="s">
        <v>18605</v>
      </c>
      <c r="E12016" s="330" t="s">
        <v>37248</v>
      </c>
      <c r="F12016" s="331">
        <v>0.21</v>
      </c>
      <c r="G12016" s="332">
        <v>1298</v>
      </c>
      <c r="H12016" s="333">
        <v>1571</v>
      </c>
    </row>
    <row r="12017" spans="1:8">
      <c r="A12017" s="317">
        <v>2609110538</v>
      </c>
      <c r="B12017" s="330" t="s">
        <v>56370</v>
      </c>
      <c r="C12017" s="330" t="s">
        <v>26058</v>
      </c>
      <c r="D12017" s="330" t="s">
        <v>7653</v>
      </c>
      <c r="E12017" s="330" t="s">
        <v>37248</v>
      </c>
      <c r="F12017" s="331">
        <v>0.21</v>
      </c>
      <c r="G12017" s="332">
        <v>1247</v>
      </c>
      <c r="H12017" s="333">
        <v>1509</v>
      </c>
    </row>
    <row r="12018" spans="1:8">
      <c r="A12018" s="317">
        <v>2609110539</v>
      </c>
      <c r="B12018" s="330" t="s">
        <v>56371</v>
      </c>
      <c r="C12018" s="330" t="s">
        <v>26059</v>
      </c>
      <c r="D12018" s="330" t="s">
        <v>26060</v>
      </c>
      <c r="E12018" s="330" t="s">
        <v>4634</v>
      </c>
      <c r="F12018" s="331">
        <v>0.21</v>
      </c>
      <c r="G12018" s="332">
        <v>280</v>
      </c>
      <c r="H12018" s="333">
        <v>339</v>
      </c>
    </row>
    <row r="12019" spans="1:8">
      <c r="A12019" s="317">
        <v>2609110548</v>
      </c>
      <c r="B12019" s="330" t="s">
        <v>56372</v>
      </c>
      <c r="C12019" s="330" t="s">
        <v>26061</v>
      </c>
      <c r="D12019" s="330" t="s">
        <v>21292</v>
      </c>
      <c r="E12019" s="330" t="s">
        <v>4634</v>
      </c>
      <c r="F12019" s="331">
        <v>0.21</v>
      </c>
      <c r="G12019" s="332">
        <v>648</v>
      </c>
      <c r="H12019" s="333">
        <v>785</v>
      </c>
    </row>
    <row r="12020" spans="1:8">
      <c r="A12020" s="317">
        <v>2609110553</v>
      </c>
      <c r="B12020" s="330" t="s">
        <v>56373</v>
      </c>
      <c r="C12020" s="330" t="s">
        <v>26062</v>
      </c>
      <c r="D12020" s="330" t="s">
        <v>26063</v>
      </c>
      <c r="E12020" s="330" t="s">
        <v>4634</v>
      </c>
      <c r="F12020" s="331">
        <v>0.21</v>
      </c>
      <c r="G12020" s="332">
        <v>274</v>
      </c>
      <c r="H12020" s="333">
        <v>332</v>
      </c>
    </row>
    <row r="12021" spans="1:8">
      <c r="A12021" s="317">
        <v>2609110560</v>
      </c>
      <c r="B12021" s="330" t="s">
        <v>56374</v>
      </c>
      <c r="C12021" s="330" t="s">
        <v>26064</v>
      </c>
      <c r="D12021" s="330" t="s">
        <v>26065</v>
      </c>
      <c r="E12021" s="330" t="s">
        <v>4819</v>
      </c>
      <c r="F12021" s="331">
        <v>0.21</v>
      </c>
      <c r="G12021" s="332">
        <v>1505</v>
      </c>
      <c r="H12021" s="333">
        <v>1822</v>
      </c>
    </row>
    <row r="12022" spans="1:8">
      <c r="A12022" s="317">
        <v>2609110607</v>
      </c>
      <c r="B12022" s="330" t="s">
        <v>56375</v>
      </c>
      <c r="C12022" s="330" t="s">
        <v>26066</v>
      </c>
      <c r="D12022" s="330" t="s">
        <v>26067</v>
      </c>
      <c r="E12022" s="330" t="s">
        <v>4634</v>
      </c>
      <c r="F12022" s="331">
        <v>0.21</v>
      </c>
      <c r="G12022" s="332">
        <v>280</v>
      </c>
      <c r="H12022" s="333">
        <v>339</v>
      </c>
    </row>
    <row r="12023" spans="1:8">
      <c r="A12023" s="317">
        <v>2609110610</v>
      </c>
      <c r="B12023" s="330" t="s">
        <v>56376</v>
      </c>
      <c r="C12023" s="330" t="s">
        <v>26068</v>
      </c>
      <c r="D12023" s="330" t="s">
        <v>21400</v>
      </c>
      <c r="E12023" s="330" t="s">
        <v>37248</v>
      </c>
      <c r="F12023" s="331">
        <v>0.21</v>
      </c>
      <c r="G12023" s="332">
        <v>1115</v>
      </c>
      <c r="H12023" s="333">
        <v>1350</v>
      </c>
    </row>
    <row r="12024" spans="1:8">
      <c r="A12024" s="317">
        <v>2609110618</v>
      </c>
      <c r="B12024" s="330" t="s">
        <v>56377</v>
      </c>
      <c r="C12024" s="330" t="s">
        <v>26069</v>
      </c>
      <c r="D12024" s="330" t="s">
        <v>7653</v>
      </c>
      <c r="E12024" s="330" t="s">
        <v>4819</v>
      </c>
      <c r="F12024" s="331">
        <v>0.21</v>
      </c>
      <c r="G12024" s="332">
        <v>240</v>
      </c>
      <c r="H12024" s="333">
        <v>291</v>
      </c>
    </row>
    <row r="12025" spans="1:8">
      <c r="A12025" s="317">
        <v>2609110619</v>
      </c>
      <c r="B12025" s="330" t="s">
        <v>56378</v>
      </c>
      <c r="C12025" s="330" t="s">
        <v>26070</v>
      </c>
      <c r="D12025" s="330" t="s">
        <v>26071</v>
      </c>
      <c r="E12025" s="330" t="s">
        <v>4634</v>
      </c>
      <c r="F12025" s="331">
        <v>0.21</v>
      </c>
      <c r="G12025" s="332">
        <v>274</v>
      </c>
      <c r="H12025" s="333">
        <v>332</v>
      </c>
    </row>
    <row r="12026" spans="1:8">
      <c r="A12026" s="317">
        <v>2609110627</v>
      </c>
      <c r="B12026" s="330" t="s">
        <v>56379</v>
      </c>
      <c r="C12026" s="330" t="s">
        <v>26072</v>
      </c>
      <c r="D12026" s="330" t="s">
        <v>26073</v>
      </c>
      <c r="E12026" s="330" t="s">
        <v>37248</v>
      </c>
      <c r="F12026" s="331">
        <v>0.21</v>
      </c>
      <c r="G12026" s="332">
        <v>1780</v>
      </c>
      <c r="H12026" s="333">
        <v>2154</v>
      </c>
    </row>
    <row r="12027" spans="1:8">
      <c r="A12027" s="317">
        <v>2609110633</v>
      </c>
      <c r="B12027" s="330" t="s">
        <v>56380</v>
      </c>
      <c r="C12027" s="330" t="s">
        <v>26074</v>
      </c>
      <c r="D12027" s="330" t="s">
        <v>26075</v>
      </c>
      <c r="E12027" s="330" t="s">
        <v>4634</v>
      </c>
      <c r="F12027" s="331">
        <v>0.21</v>
      </c>
      <c r="G12027" s="332">
        <v>274</v>
      </c>
      <c r="H12027" s="333">
        <v>332</v>
      </c>
    </row>
    <row r="12028" spans="1:8">
      <c r="A12028" s="317">
        <v>2609110634</v>
      </c>
      <c r="B12028" s="330" t="s">
        <v>56381</v>
      </c>
      <c r="C12028" s="330" t="s">
        <v>26076</v>
      </c>
      <c r="D12028" s="330" t="s">
        <v>26077</v>
      </c>
      <c r="E12028" s="330" t="s">
        <v>4819</v>
      </c>
      <c r="F12028" s="331">
        <v>0.21</v>
      </c>
      <c r="G12028" s="332">
        <v>1124</v>
      </c>
      <c r="H12028" s="333">
        <v>1361</v>
      </c>
    </row>
    <row r="12029" spans="1:8">
      <c r="A12029" s="317">
        <v>2609110637</v>
      </c>
      <c r="B12029" s="330" t="s">
        <v>56382</v>
      </c>
      <c r="C12029" s="330" t="s">
        <v>26078</v>
      </c>
      <c r="D12029" s="330" t="s">
        <v>26079</v>
      </c>
      <c r="E12029" s="330" t="s">
        <v>37248</v>
      </c>
      <c r="F12029" s="331">
        <v>0.21</v>
      </c>
      <c r="G12029" s="332">
        <v>43142</v>
      </c>
      <c r="H12029" s="333">
        <v>52202</v>
      </c>
    </row>
    <row r="12030" spans="1:8">
      <c r="A12030" s="317">
        <v>2609110663</v>
      </c>
      <c r="B12030" s="330" t="s">
        <v>56383</v>
      </c>
      <c r="C12030" s="330" t="s">
        <v>26080</v>
      </c>
      <c r="D12030" s="330" t="s">
        <v>7235</v>
      </c>
      <c r="E12030" s="330" t="s">
        <v>4634</v>
      </c>
      <c r="F12030" s="331">
        <v>0.21</v>
      </c>
      <c r="G12030" s="332">
        <v>412</v>
      </c>
      <c r="H12030" s="333">
        <v>499</v>
      </c>
    </row>
    <row r="12031" spans="1:8">
      <c r="A12031" s="317">
        <v>2609110721</v>
      </c>
      <c r="B12031" s="330" t="s">
        <v>56384</v>
      </c>
      <c r="C12031" s="330" t="s">
        <v>26081</v>
      </c>
      <c r="D12031" s="330" t="s">
        <v>26082</v>
      </c>
      <c r="E12031" s="330" t="s">
        <v>4634</v>
      </c>
      <c r="F12031" s="331">
        <v>0.21</v>
      </c>
      <c r="G12031" s="332">
        <v>372</v>
      </c>
      <c r="H12031" s="333">
        <v>451</v>
      </c>
    </row>
    <row r="12032" spans="1:8">
      <c r="A12032" s="317">
        <v>2609110724</v>
      </c>
      <c r="B12032" s="330" t="s">
        <v>56385</v>
      </c>
      <c r="C12032" s="330" t="s">
        <v>26083</v>
      </c>
      <c r="D12032" s="330" t="s">
        <v>26084</v>
      </c>
      <c r="E12032" s="330" t="s">
        <v>4819</v>
      </c>
      <c r="F12032" s="331">
        <v>0.21</v>
      </c>
      <c r="G12032" s="332">
        <v>2823</v>
      </c>
      <c r="H12032" s="333">
        <v>3416</v>
      </c>
    </row>
    <row r="12033" spans="1:8">
      <c r="A12033" s="317">
        <v>2609110741</v>
      </c>
      <c r="B12033" s="330" t="s">
        <v>56386</v>
      </c>
      <c r="C12033" s="330" t="s">
        <v>26085</v>
      </c>
      <c r="D12033" s="330" t="s">
        <v>8281</v>
      </c>
      <c r="E12033" s="330" t="s">
        <v>4819</v>
      </c>
      <c r="F12033" s="331">
        <v>0.21</v>
      </c>
      <c r="G12033" s="332">
        <v>4566</v>
      </c>
      <c r="H12033" s="333">
        <v>5525</v>
      </c>
    </row>
    <row r="12034" spans="1:8">
      <c r="A12034" s="317">
        <v>2609110745</v>
      </c>
      <c r="B12034" s="330" t="s">
        <v>56387</v>
      </c>
      <c r="C12034" s="330" t="s">
        <v>26086</v>
      </c>
      <c r="D12034" s="330" t="s">
        <v>4859</v>
      </c>
      <c r="E12034" s="330" t="s">
        <v>37248</v>
      </c>
      <c r="F12034" s="331">
        <v>0.21</v>
      </c>
      <c r="G12034" s="332">
        <v>1753</v>
      </c>
      <c r="H12034" s="333">
        <v>2122</v>
      </c>
    </row>
    <row r="12035" spans="1:8">
      <c r="A12035" s="317">
        <v>2609110748</v>
      </c>
      <c r="B12035" s="330" t="s">
        <v>56388</v>
      </c>
      <c r="C12035" s="330" t="s">
        <v>26087</v>
      </c>
      <c r="D12035" s="330" t="s">
        <v>26088</v>
      </c>
      <c r="E12035" s="330" t="s">
        <v>4819</v>
      </c>
      <c r="F12035" s="331">
        <v>0.21</v>
      </c>
      <c r="G12035" s="332">
        <v>8137</v>
      </c>
      <c r="H12035" s="333">
        <v>9846</v>
      </c>
    </row>
    <row r="12036" spans="1:8">
      <c r="A12036" s="317">
        <v>2609110769</v>
      </c>
      <c r="B12036" s="330" t="s">
        <v>56389</v>
      </c>
      <c r="C12036" s="330" t="s">
        <v>26089</v>
      </c>
      <c r="D12036" s="330" t="s">
        <v>26090</v>
      </c>
      <c r="E12036" s="330" t="s">
        <v>4819</v>
      </c>
      <c r="F12036" s="331">
        <v>0.21</v>
      </c>
      <c r="G12036" s="332">
        <v>13270</v>
      </c>
      <c r="H12036" s="333">
        <v>16057</v>
      </c>
    </row>
    <row r="12037" spans="1:8">
      <c r="A12037" s="317">
        <v>2609110788</v>
      </c>
      <c r="B12037" s="330" t="s">
        <v>56390</v>
      </c>
      <c r="C12037" s="330" t="s">
        <v>26091</v>
      </c>
      <c r="D12037" s="330" t="s">
        <v>26092</v>
      </c>
      <c r="E12037" s="330" t="s">
        <v>37248</v>
      </c>
      <c r="F12037" s="331">
        <v>0.21</v>
      </c>
      <c r="G12037" s="332">
        <v>9195</v>
      </c>
      <c r="H12037" s="333">
        <v>11126</v>
      </c>
    </row>
    <row r="12038" spans="1:8">
      <c r="A12038" s="317">
        <v>2609110797</v>
      </c>
      <c r="B12038" s="330" t="s">
        <v>56391</v>
      </c>
      <c r="C12038" s="330" t="s">
        <v>26093</v>
      </c>
      <c r="D12038" s="330" t="s">
        <v>25552</v>
      </c>
      <c r="E12038" s="330" t="s">
        <v>4634</v>
      </c>
      <c r="F12038" s="331">
        <v>0.21</v>
      </c>
      <c r="G12038" s="332">
        <v>5819</v>
      </c>
      <c r="H12038" s="333">
        <v>7041</v>
      </c>
    </row>
    <row r="12039" spans="1:8">
      <c r="A12039" s="317">
        <v>2609110799</v>
      </c>
      <c r="B12039" s="330" t="s">
        <v>56392</v>
      </c>
      <c r="C12039" s="330" t="s">
        <v>26094</v>
      </c>
      <c r="D12039" s="330" t="s">
        <v>26095</v>
      </c>
      <c r="E12039" s="330" t="s">
        <v>37248</v>
      </c>
      <c r="F12039" s="331">
        <v>0.21</v>
      </c>
      <c r="G12039" s="332">
        <v>35366</v>
      </c>
      <c r="H12039" s="333">
        <v>42793</v>
      </c>
    </row>
    <row r="12040" spans="1:8">
      <c r="A12040" s="317">
        <v>2609110801</v>
      </c>
      <c r="B12040" s="330" t="s">
        <v>56393</v>
      </c>
      <c r="C12040" s="330" t="s">
        <v>26096</v>
      </c>
      <c r="D12040" s="330" t="s">
        <v>26097</v>
      </c>
      <c r="E12040" s="330" t="s">
        <v>4634</v>
      </c>
      <c r="F12040" s="331">
        <v>0.21</v>
      </c>
      <c r="G12040" s="332">
        <v>584</v>
      </c>
      <c r="H12040" s="333">
        <v>707</v>
      </c>
    </row>
    <row r="12041" spans="1:8">
      <c r="A12041" s="317">
        <v>2609110802</v>
      </c>
      <c r="B12041" s="330" t="s">
        <v>56394</v>
      </c>
      <c r="C12041" s="330" t="s">
        <v>26098</v>
      </c>
      <c r="D12041" s="330" t="s">
        <v>26099</v>
      </c>
      <c r="E12041" s="330" t="s">
        <v>4634</v>
      </c>
      <c r="F12041" s="331">
        <v>0.21</v>
      </c>
      <c r="G12041" s="332">
        <v>180</v>
      </c>
      <c r="H12041" s="333">
        <v>218</v>
      </c>
    </row>
    <row r="12042" spans="1:8">
      <c r="A12042" s="317">
        <v>2609110804</v>
      </c>
      <c r="B12042" s="330" t="s">
        <v>56395</v>
      </c>
      <c r="C12042" s="330" t="s">
        <v>26100</v>
      </c>
      <c r="D12042" s="330" t="s">
        <v>26101</v>
      </c>
      <c r="E12042" s="330" t="s">
        <v>4819</v>
      </c>
      <c r="F12042" s="331">
        <v>0.21</v>
      </c>
      <c r="G12042" s="332">
        <v>3560</v>
      </c>
      <c r="H12042" s="333">
        <v>4308</v>
      </c>
    </row>
    <row r="12043" spans="1:8">
      <c r="A12043" s="317">
        <v>2609110807</v>
      </c>
      <c r="B12043" s="330" t="s">
        <v>56396</v>
      </c>
      <c r="C12043" s="330" t="s">
        <v>26102</v>
      </c>
      <c r="D12043" s="330" t="s">
        <v>26103</v>
      </c>
      <c r="E12043" s="330" t="s">
        <v>4819</v>
      </c>
      <c r="F12043" s="331">
        <v>0.21</v>
      </c>
      <c r="G12043" s="332">
        <v>934</v>
      </c>
      <c r="H12043" s="333">
        <v>1131</v>
      </c>
    </row>
    <row r="12044" spans="1:8">
      <c r="A12044" s="317">
        <v>2609110808</v>
      </c>
      <c r="B12044" s="330" t="s">
        <v>56397</v>
      </c>
      <c r="C12044" s="330" t="s">
        <v>26104</v>
      </c>
      <c r="D12044" s="330" t="s">
        <v>26105</v>
      </c>
      <c r="E12044" s="330" t="s">
        <v>4819</v>
      </c>
      <c r="F12044" s="331">
        <v>0.21</v>
      </c>
      <c r="G12044" s="332">
        <v>292</v>
      </c>
      <c r="H12044" s="333">
        <v>354</v>
      </c>
    </row>
    <row r="12045" spans="1:8">
      <c r="A12045" s="317">
        <v>2609110811</v>
      </c>
      <c r="B12045" s="330" t="s">
        <v>56398</v>
      </c>
      <c r="C12045" s="330" t="s">
        <v>26106</v>
      </c>
      <c r="D12045" s="330" t="s">
        <v>26107</v>
      </c>
      <c r="E12045" s="330" t="s">
        <v>4819</v>
      </c>
      <c r="F12045" s="331">
        <v>0.21</v>
      </c>
      <c r="G12045" s="332">
        <v>292</v>
      </c>
      <c r="H12045" s="333">
        <v>354</v>
      </c>
    </row>
    <row r="12046" spans="1:8">
      <c r="A12046" s="317">
        <v>2609110812</v>
      </c>
      <c r="B12046" s="330" t="s">
        <v>56399</v>
      </c>
      <c r="C12046" s="330" t="s">
        <v>26108</v>
      </c>
      <c r="D12046" s="330" t="s">
        <v>26107</v>
      </c>
      <c r="E12046" s="330" t="s">
        <v>4819</v>
      </c>
      <c r="F12046" s="331">
        <v>0.21</v>
      </c>
      <c r="G12046" s="332">
        <v>292</v>
      </c>
      <c r="H12046" s="333">
        <v>354</v>
      </c>
    </row>
    <row r="12047" spans="1:8">
      <c r="A12047" s="317">
        <v>2609110818</v>
      </c>
      <c r="B12047" s="330" t="s">
        <v>56400</v>
      </c>
      <c r="C12047" s="330" t="s">
        <v>26109</v>
      </c>
      <c r="D12047" s="330" t="s">
        <v>26002</v>
      </c>
      <c r="E12047" s="330" t="s">
        <v>4819</v>
      </c>
      <c r="F12047" s="331">
        <v>0.21</v>
      </c>
      <c r="G12047" s="332">
        <v>269</v>
      </c>
      <c r="H12047" s="333">
        <v>326</v>
      </c>
    </row>
    <row r="12048" spans="1:8">
      <c r="A12048" s="317">
        <v>2609110820</v>
      </c>
      <c r="B12048" s="330" t="s">
        <v>56401</v>
      </c>
      <c r="C12048" s="330" t="s">
        <v>26110</v>
      </c>
      <c r="D12048" s="330" t="s">
        <v>26107</v>
      </c>
      <c r="E12048" s="330" t="s">
        <v>4819</v>
      </c>
      <c r="F12048" s="331">
        <v>0.21</v>
      </c>
      <c r="G12048" s="332">
        <v>292</v>
      </c>
      <c r="H12048" s="333">
        <v>354</v>
      </c>
    </row>
    <row r="12049" spans="1:8">
      <c r="A12049" s="317">
        <v>2609110821</v>
      </c>
      <c r="B12049" s="330" t="s">
        <v>56402</v>
      </c>
      <c r="C12049" s="330" t="s">
        <v>26111</v>
      </c>
      <c r="D12049" s="330" t="s">
        <v>26112</v>
      </c>
      <c r="E12049" s="330" t="s">
        <v>4819</v>
      </c>
      <c r="F12049" s="331">
        <v>0.21</v>
      </c>
      <c r="G12049" s="332">
        <v>292</v>
      </c>
      <c r="H12049" s="333">
        <v>354</v>
      </c>
    </row>
    <row r="12050" spans="1:8">
      <c r="A12050" s="317">
        <v>2609110831</v>
      </c>
      <c r="B12050" s="330" t="s">
        <v>56403</v>
      </c>
      <c r="C12050" s="330" t="s">
        <v>26113</v>
      </c>
      <c r="D12050" s="330" t="s">
        <v>26114</v>
      </c>
      <c r="E12050" s="330" t="s">
        <v>4819</v>
      </c>
      <c r="F12050" s="331">
        <v>0.21</v>
      </c>
      <c r="G12050" s="332">
        <v>3738</v>
      </c>
      <c r="H12050" s="333">
        <v>4523</v>
      </c>
    </row>
    <row r="12051" spans="1:8">
      <c r="A12051" s="317">
        <v>2609110833</v>
      </c>
      <c r="B12051" s="330" t="s">
        <v>56404</v>
      </c>
      <c r="C12051" s="330" t="s">
        <v>26115</v>
      </c>
      <c r="D12051" s="330" t="s">
        <v>26116</v>
      </c>
      <c r="E12051" s="330" t="s">
        <v>4634</v>
      </c>
      <c r="F12051" s="331">
        <v>0.21</v>
      </c>
      <c r="G12051" s="332">
        <v>1581</v>
      </c>
      <c r="H12051" s="333">
        <v>1914</v>
      </c>
    </row>
    <row r="12052" spans="1:8">
      <c r="A12052" s="317">
        <v>2609110834</v>
      </c>
      <c r="B12052" s="330" t="s">
        <v>56405</v>
      </c>
      <c r="C12052" s="330" t="s">
        <v>26117</v>
      </c>
      <c r="D12052" s="330" t="s">
        <v>7653</v>
      </c>
      <c r="E12052" s="330" t="s">
        <v>4819</v>
      </c>
      <c r="F12052" s="331">
        <v>0.21</v>
      </c>
      <c r="G12052" s="332">
        <v>628</v>
      </c>
      <c r="H12052" s="333">
        <v>760</v>
      </c>
    </row>
    <row r="12053" spans="1:8">
      <c r="A12053" s="317">
        <v>2609110835</v>
      </c>
      <c r="B12053" s="330" t="s">
        <v>56406</v>
      </c>
      <c r="C12053" s="330" t="s">
        <v>26118</v>
      </c>
      <c r="D12053" s="330" t="s">
        <v>12426</v>
      </c>
      <c r="E12053" s="330" t="s">
        <v>4819</v>
      </c>
      <c r="F12053" s="331">
        <v>0.21</v>
      </c>
      <c r="G12053" s="332">
        <v>553</v>
      </c>
      <c r="H12053" s="333">
        <v>670</v>
      </c>
    </row>
    <row r="12054" spans="1:8">
      <c r="A12054" s="317">
        <v>2609110838</v>
      </c>
      <c r="B12054" s="330" t="s">
        <v>56407</v>
      </c>
      <c r="C12054" s="330" t="s">
        <v>26119</v>
      </c>
      <c r="D12054" s="330" t="s">
        <v>12637</v>
      </c>
      <c r="E12054" s="330" t="s">
        <v>37248</v>
      </c>
      <c r="F12054" s="331">
        <v>0.21</v>
      </c>
      <c r="G12054" s="332">
        <v>417</v>
      </c>
      <c r="H12054" s="333">
        <v>505</v>
      </c>
    </row>
    <row r="12055" spans="1:8">
      <c r="A12055" s="317">
        <v>2609110883</v>
      </c>
      <c r="B12055" s="330" t="s">
        <v>56408</v>
      </c>
      <c r="C12055" s="330" t="s">
        <v>26120</v>
      </c>
      <c r="D12055" s="330" t="s">
        <v>7653</v>
      </c>
      <c r="E12055" s="330" t="s">
        <v>4819</v>
      </c>
      <c r="F12055" s="331">
        <v>0.21</v>
      </c>
      <c r="G12055" s="332">
        <v>628</v>
      </c>
      <c r="H12055" s="333">
        <v>760</v>
      </c>
    </row>
    <row r="12056" spans="1:8">
      <c r="A12056" s="317">
        <v>2609110930</v>
      </c>
      <c r="B12056" s="330" t="s">
        <v>56409</v>
      </c>
      <c r="C12056" s="330" t="s">
        <v>26121</v>
      </c>
      <c r="D12056" s="330" t="s">
        <v>26122</v>
      </c>
      <c r="E12056" s="330" t="s">
        <v>4819</v>
      </c>
      <c r="F12056" s="331">
        <v>0.21</v>
      </c>
      <c r="G12056" s="332">
        <v>13397</v>
      </c>
      <c r="H12056" s="333">
        <v>16211</v>
      </c>
    </row>
    <row r="12057" spans="1:8">
      <c r="A12057" s="317">
        <v>2609110950</v>
      </c>
      <c r="B12057" s="330" t="s">
        <v>56410</v>
      </c>
      <c r="C12057" s="330" t="s">
        <v>26123</v>
      </c>
      <c r="D12057" s="330" t="s">
        <v>26124</v>
      </c>
      <c r="E12057" s="330" t="s">
        <v>4634</v>
      </c>
      <c r="F12057" s="331">
        <v>0.21</v>
      </c>
      <c r="G12057" s="332">
        <v>236</v>
      </c>
      <c r="H12057" s="333">
        <v>286</v>
      </c>
    </row>
    <row r="12058" spans="1:8">
      <c r="A12058" s="317">
        <v>2609110956</v>
      </c>
      <c r="B12058" s="330" t="s">
        <v>56411</v>
      </c>
      <c r="C12058" s="330" t="s">
        <v>26125</v>
      </c>
      <c r="D12058" s="330" t="s">
        <v>26126</v>
      </c>
      <c r="E12058" s="330" t="s">
        <v>4819</v>
      </c>
      <c r="F12058" s="331">
        <v>0.21</v>
      </c>
      <c r="G12058" s="332">
        <v>3442</v>
      </c>
      <c r="H12058" s="333">
        <v>4165</v>
      </c>
    </row>
    <row r="12059" spans="1:8">
      <c r="A12059" s="317">
        <v>2609110965</v>
      </c>
      <c r="B12059" s="330" t="s">
        <v>56412</v>
      </c>
      <c r="C12059" s="330" t="s">
        <v>26127</v>
      </c>
      <c r="D12059" s="330" t="s">
        <v>26128</v>
      </c>
      <c r="E12059" s="330" t="s">
        <v>37248</v>
      </c>
      <c r="F12059" s="331">
        <v>0.21</v>
      </c>
      <c r="G12059" s="332">
        <v>2534</v>
      </c>
      <c r="H12059" s="333">
        <v>3067</v>
      </c>
    </row>
    <row r="12060" spans="1:8">
      <c r="A12060" s="317">
        <v>2609110967</v>
      </c>
      <c r="B12060" s="330" t="s">
        <v>56413</v>
      </c>
      <c r="C12060" s="330" t="s">
        <v>26129</v>
      </c>
      <c r="D12060" s="330" t="s">
        <v>26130</v>
      </c>
      <c r="E12060" s="330" t="s">
        <v>37248</v>
      </c>
      <c r="F12060" s="331">
        <v>0.21</v>
      </c>
      <c r="G12060" s="332">
        <v>9589</v>
      </c>
      <c r="H12060" s="333">
        <v>11603</v>
      </c>
    </row>
    <row r="12061" spans="1:8">
      <c r="A12061" s="317">
        <v>2609110973</v>
      </c>
      <c r="B12061" s="330" t="s">
        <v>56414</v>
      </c>
      <c r="C12061" s="330" t="s">
        <v>26131</v>
      </c>
      <c r="D12061" s="330" t="s">
        <v>26132</v>
      </c>
      <c r="E12061" s="330" t="s">
        <v>4819</v>
      </c>
      <c r="F12061" s="331">
        <v>0.21</v>
      </c>
      <c r="G12061" s="332">
        <v>76461</v>
      </c>
      <c r="H12061" s="333">
        <v>92518</v>
      </c>
    </row>
    <row r="12062" spans="1:8">
      <c r="A12062" s="317">
        <v>2609110991</v>
      </c>
      <c r="B12062" s="330" t="s">
        <v>56415</v>
      </c>
      <c r="C12062" s="330" t="s">
        <v>26133</v>
      </c>
      <c r="D12062" s="330" t="s">
        <v>26134</v>
      </c>
      <c r="E12062" s="330" t="s">
        <v>4634</v>
      </c>
      <c r="F12062" s="331">
        <v>0.21</v>
      </c>
      <c r="G12062" s="332">
        <v>387</v>
      </c>
      <c r="H12062" s="333">
        <v>469</v>
      </c>
    </row>
    <row r="12063" spans="1:8">
      <c r="A12063" s="317">
        <v>2609110992</v>
      </c>
      <c r="B12063" s="330" t="s">
        <v>56416</v>
      </c>
      <c r="C12063" s="330" t="s">
        <v>26135</v>
      </c>
      <c r="D12063" s="330" t="s">
        <v>26136</v>
      </c>
      <c r="E12063" s="330" t="s">
        <v>4634</v>
      </c>
      <c r="F12063" s="331">
        <v>0.21</v>
      </c>
      <c r="G12063" s="332">
        <v>432</v>
      </c>
      <c r="H12063" s="333">
        <v>523</v>
      </c>
    </row>
    <row r="12064" spans="1:8">
      <c r="A12064" s="317">
        <v>2609111017</v>
      </c>
      <c r="B12064" s="330" t="s">
        <v>56417</v>
      </c>
      <c r="C12064" s="330" t="s">
        <v>26137</v>
      </c>
      <c r="D12064" s="330" t="s">
        <v>26138</v>
      </c>
      <c r="E12064" s="330" t="s">
        <v>4819</v>
      </c>
      <c r="F12064" s="331">
        <v>0.21</v>
      </c>
      <c r="G12064" s="332">
        <v>4376</v>
      </c>
      <c r="H12064" s="333">
        <v>5295</v>
      </c>
    </row>
    <row r="12065" spans="1:8">
      <c r="A12065" s="317">
        <v>2609111021</v>
      </c>
      <c r="B12065" s="330" t="s">
        <v>56418</v>
      </c>
      <c r="C12065" s="330" t="s">
        <v>26139</v>
      </c>
      <c r="D12065" s="330" t="s">
        <v>26140</v>
      </c>
      <c r="E12065" s="330" t="s">
        <v>4819</v>
      </c>
      <c r="F12065" s="331">
        <v>0.21</v>
      </c>
      <c r="G12065" s="332">
        <v>910</v>
      </c>
      <c r="H12065" s="333">
        <v>1102</v>
      </c>
    </row>
    <row r="12066" spans="1:8">
      <c r="A12066" s="317">
        <v>2609111024</v>
      </c>
      <c r="B12066" s="330" t="s">
        <v>56419</v>
      </c>
      <c r="C12066" s="330" t="s">
        <v>26141</v>
      </c>
      <c r="D12066" s="330" t="s">
        <v>26142</v>
      </c>
      <c r="E12066" s="330" t="s">
        <v>4634</v>
      </c>
      <c r="F12066" s="331">
        <v>0.21</v>
      </c>
      <c r="G12066" s="332">
        <v>963</v>
      </c>
      <c r="H12066" s="333">
        <v>1166</v>
      </c>
    </row>
    <row r="12067" spans="1:8">
      <c r="A12067" s="317">
        <v>2609111078</v>
      </c>
      <c r="B12067" s="330" t="s">
        <v>56420</v>
      </c>
      <c r="C12067" s="330" t="s">
        <v>26143</v>
      </c>
      <c r="D12067" s="330" t="s">
        <v>26144</v>
      </c>
      <c r="E12067" s="330" t="s">
        <v>4634</v>
      </c>
      <c r="F12067" s="331">
        <v>0.21</v>
      </c>
      <c r="G12067" s="332">
        <v>236</v>
      </c>
      <c r="H12067" s="333">
        <v>286</v>
      </c>
    </row>
    <row r="12068" spans="1:8">
      <c r="A12068" s="317">
        <v>2609111104</v>
      </c>
      <c r="B12068" s="330" t="s">
        <v>56421</v>
      </c>
      <c r="C12068" s="330" t="s">
        <v>26145</v>
      </c>
      <c r="D12068" s="330" t="s">
        <v>26146</v>
      </c>
      <c r="E12068" s="330" t="s">
        <v>4819</v>
      </c>
      <c r="F12068" s="331">
        <v>0.21</v>
      </c>
      <c r="G12068" s="332">
        <v>56070</v>
      </c>
      <c r="H12068" s="333">
        <v>67845</v>
      </c>
    </row>
    <row r="12069" spans="1:8">
      <c r="A12069" s="317">
        <v>2609111220</v>
      </c>
      <c r="B12069" s="330" t="s">
        <v>56422</v>
      </c>
      <c r="C12069" s="330" t="s">
        <v>26147</v>
      </c>
      <c r="D12069" s="330" t="s">
        <v>26148</v>
      </c>
      <c r="E12069" s="330" t="s">
        <v>37248</v>
      </c>
      <c r="F12069" s="331">
        <v>0.21</v>
      </c>
      <c r="G12069" s="332">
        <v>515</v>
      </c>
      <c r="H12069" s="333">
        <v>624</v>
      </c>
    </row>
    <row r="12070" spans="1:8">
      <c r="A12070" s="317">
        <v>2609111262</v>
      </c>
      <c r="B12070" s="330" t="s">
        <v>56423</v>
      </c>
      <c r="C12070" s="330" t="s">
        <v>26149</v>
      </c>
      <c r="D12070" s="330" t="s">
        <v>26150</v>
      </c>
      <c r="E12070" s="330" t="s">
        <v>4819</v>
      </c>
      <c r="F12070" s="331">
        <v>0.21</v>
      </c>
      <c r="G12070" s="332">
        <v>435</v>
      </c>
      <c r="H12070" s="333">
        <v>527</v>
      </c>
    </row>
    <row r="12071" spans="1:8">
      <c r="A12071" s="317">
        <v>2609111264</v>
      </c>
      <c r="B12071" s="330" t="s">
        <v>56424</v>
      </c>
      <c r="C12071" s="330" t="s">
        <v>26151</v>
      </c>
      <c r="D12071" s="330" t="s">
        <v>26152</v>
      </c>
      <c r="E12071" s="330" t="s">
        <v>4819</v>
      </c>
      <c r="F12071" s="331">
        <v>0.21</v>
      </c>
      <c r="G12071" s="332">
        <v>265</v>
      </c>
      <c r="H12071" s="333">
        <v>321</v>
      </c>
    </row>
    <row r="12072" spans="1:8">
      <c r="A12072" s="317">
        <v>2609111286</v>
      </c>
      <c r="B12072" s="330" t="s">
        <v>56425</v>
      </c>
      <c r="C12072" s="330" t="s">
        <v>26153</v>
      </c>
      <c r="D12072" s="330" t="s">
        <v>26154</v>
      </c>
      <c r="E12072" s="330" t="s">
        <v>4634</v>
      </c>
      <c r="F12072" s="331">
        <v>0.21</v>
      </c>
      <c r="G12072" s="332">
        <v>9059</v>
      </c>
      <c r="H12072" s="333">
        <v>10962</v>
      </c>
    </row>
    <row r="12073" spans="1:8">
      <c r="A12073" s="317">
        <v>2609111289</v>
      </c>
      <c r="B12073" s="330" t="s">
        <v>56426</v>
      </c>
      <c r="C12073" s="330" t="s">
        <v>26155</v>
      </c>
      <c r="D12073" s="330" t="s">
        <v>26156</v>
      </c>
      <c r="E12073" s="330" t="s">
        <v>4819</v>
      </c>
      <c r="F12073" s="331">
        <v>0.21</v>
      </c>
      <c r="G12073" s="332">
        <v>934</v>
      </c>
      <c r="H12073" s="333">
        <v>1131</v>
      </c>
    </row>
    <row r="12074" spans="1:8">
      <c r="A12074" s="317">
        <v>2609111312</v>
      </c>
      <c r="B12074" s="330" t="s">
        <v>56427</v>
      </c>
      <c r="C12074" s="330" t="s">
        <v>26157</v>
      </c>
      <c r="D12074" s="330" t="s">
        <v>26158</v>
      </c>
      <c r="E12074" s="330" t="s">
        <v>37248</v>
      </c>
      <c r="F12074" s="331">
        <v>0.21</v>
      </c>
      <c r="G12074" s="332">
        <v>12498</v>
      </c>
      <c r="H12074" s="333">
        <v>15123</v>
      </c>
    </row>
    <row r="12075" spans="1:8">
      <c r="A12075" s="317">
        <v>2609111314</v>
      </c>
      <c r="B12075" s="330" t="s">
        <v>56428</v>
      </c>
      <c r="C12075" s="330" t="s">
        <v>26159</v>
      </c>
      <c r="D12075" s="330" t="s">
        <v>26160</v>
      </c>
      <c r="E12075" s="330" t="s">
        <v>37248</v>
      </c>
      <c r="F12075" s="331">
        <v>0.21</v>
      </c>
      <c r="G12075" s="332">
        <v>1434</v>
      </c>
      <c r="H12075" s="333">
        <v>1736</v>
      </c>
    </row>
    <row r="12076" spans="1:8">
      <c r="A12076" s="317">
        <v>2609111330</v>
      </c>
      <c r="B12076" s="330" t="s">
        <v>56429</v>
      </c>
      <c r="C12076" s="330" t="s">
        <v>26161</v>
      </c>
      <c r="D12076" s="330" t="s">
        <v>18848</v>
      </c>
      <c r="E12076" s="330" t="s">
        <v>37248</v>
      </c>
      <c r="F12076" s="331">
        <v>0.21</v>
      </c>
      <c r="G12076" s="332">
        <v>11651</v>
      </c>
      <c r="H12076" s="333">
        <v>14098</v>
      </c>
    </row>
    <row r="12077" spans="1:8">
      <c r="A12077" s="317">
        <v>2609111383</v>
      </c>
      <c r="B12077" s="330" t="s">
        <v>56430</v>
      </c>
      <c r="C12077" s="330" t="s">
        <v>26162</v>
      </c>
      <c r="D12077" s="330" t="s">
        <v>26163</v>
      </c>
      <c r="E12077" s="330" t="s">
        <v>37248</v>
      </c>
      <c r="F12077" s="331">
        <v>0.21</v>
      </c>
      <c r="G12077" s="332">
        <v>305</v>
      </c>
      <c r="H12077" s="333">
        <v>370</v>
      </c>
    </row>
    <row r="12078" spans="1:8">
      <c r="A12078" s="317">
        <v>2609111393</v>
      </c>
      <c r="B12078" s="330" t="s">
        <v>56431</v>
      </c>
      <c r="C12078" s="330" t="s">
        <v>26164</v>
      </c>
      <c r="D12078" s="330" t="s">
        <v>26165</v>
      </c>
      <c r="E12078" s="330" t="s">
        <v>4819</v>
      </c>
      <c r="F12078" s="331">
        <v>0.21</v>
      </c>
      <c r="G12078" s="332">
        <v>265</v>
      </c>
      <c r="H12078" s="333">
        <v>321</v>
      </c>
    </row>
    <row r="12079" spans="1:8">
      <c r="A12079" s="317">
        <v>2609111418</v>
      </c>
      <c r="B12079" s="330" t="s">
        <v>56432</v>
      </c>
      <c r="C12079" s="330" t="s">
        <v>26166</v>
      </c>
      <c r="D12079" s="330" t="s">
        <v>6179</v>
      </c>
      <c r="E12079" s="330" t="s">
        <v>37248</v>
      </c>
      <c r="F12079" s="331">
        <v>0.21</v>
      </c>
      <c r="G12079" s="332">
        <v>240</v>
      </c>
      <c r="H12079" s="333">
        <v>291</v>
      </c>
    </row>
    <row r="12080" spans="1:8">
      <c r="A12080" s="317">
        <v>2609111419</v>
      </c>
      <c r="B12080" s="330" t="s">
        <v>56433</v>
      </c>
      <c r="C12080" s="330" t="s">
        <v>26167</v>
      </c>
      <c r="D12080" s="330" t="s">
        <v>13900</v>
      </c>
      <c r="E12080" s="330" t="s">
        <v>37248</v>
      </c>
      <c r="F12080" s="331">
        <v>0.21</v>
      </c>
      <c r="G12080" s="332">
        <v>240</v>
      </c>
      <c r="H12080" s="333">
        <v>291</v>
      </c>
    </row>
    <row r="12081" spans="1:8">
      <c r="A12081" s="317">
        <v>2609111452</v>
      </c>
      <c r="B12081" s="330" t="s">
        <v>56434</v>
      </c>
      <c r="C12081" s="330" t="s">
        <v>26168</v>
      </c>
      <c r="D12081" s="330" t="s">
        <v>26169</v>
      </c>
      <c r="E12081" s="330" t="s">
        <v>4819</v>
      </c>
      <c r="F12081" s="331">
        <v>0.21</v>
      </c>
      <c r="G12081" s="332">
        <v>2529</v>
      </c>
      <c r="H12081" s="333">
        <v>3061</v>
      </c>
    </row>
    <row r="12082" spans="1:8">
      <c r="A12082" s="317">
        <v>2609111453</v>
      </c>
      <c r="B12082" s="330" t="s">
        <v>56435</v>
      </c>
      <c r="C12082" s="330" t="s">
        <v>26170</v>
      </c>
      <c r="D12082" s="330" t="s">
        <v>26171</v>
      </c>
      <c r="E12082" s="330" t="s">
        <v>4634</v>
      </c>
      <c r="F12082" s="331">
        <v>0.21</v>
      </c>
      <c r="G12082" s="332">
        <v>615</v>
      </c>
      <c r="H12082" s="333">
        <v>745</v>
      </c>
    </row>
    <row r="12083" spans="1:8">
      <c r="A12083" s="317">
        <v>2609111485</v>
      </c>
      <c r="B12083" s="330" t="s">
        <v>56436</v>
      </c>
      <c r="C12083" s="330" t="s">
        <v>26172</v>
      </c>
      <c r="D12083" s="330" t="s">
        <v>26173</v>
      </c>
      <c r="E12083" s="330" t="s">
        <v>4819</v>
      </c>
      <c r="F12083" s="331">
        <v>0.21</v>
      </c>
      <c r="G12083" s="332">
        <v>671</v>
      </c>
      <c r="H12083" s="333">
        <v>812</v>
      </c>
    </row>
    <row r="12084" spans="1:8">
      <c r="A12084" s="317">
        <v>2609111487</v>
      </c>
      <c r="B12084" s="330" t="s">
        <v>56437</v>
      </c>
      <c r="C12084" s="330" t="s">
        <v>26174</v>
      </c>
      <c r="D12084" s="330" t="s">
        <v>26175</v>
      </c>
      <c r="E12084" s="330" t="s">
        <v>37248</v>
      </c>
      <c r="F12084" s="331">
        <v>0.21</v>
      </c>
      <c r="G12084" s="332">
        <v>305</v>
      </c>
      <c r="H12084" s="333">
        <v>370</v>
      </c>
    </row>
    <row r="12085" spans="1:8">
      <c r="A12085" s="317">
        <v>2609111496</v>
      </c>
      <c r="B12085" s="330" t="s">
        <v>56438</v>
      </c>
      <c r="C12085" s="330" t="s">
        <v>26176</v>
      </c>
      <c r="D12085" s="330" t="s">
        <v>7235</v>
      </c>
      <c r="E12085" s="330" t="s">
        <v>4819</v>
      </c>
      <c r="F12085" s="331">
        <v>0.21</v>
      </c>
      <c r="G12085" s="332">
        <v>2219</v>
      </c>
      <c r="H12085" s="333">
        <v>2685</v>
      </c>
    </row>
    <row r="12086" spans="1:8">
      <c r="A12086" s="317">
        <v>2609111505</v>
      </c>
      <c r="B12086" s="330" t="s">
        <v>56439</v>
      </c>
      <c r="C12086" s="330" t="s">
        <v>26177</v>
      </c>
      <c r="D12086" s="330" t="s">
        <v>4879</v>
      </c>
      <c r="E12086" s="330" t="s">
        <v>37248</v>
      </c>
      <c r="F12086" s="331">
        <v>0.21</v>
      </c>
      <c r="G12086" s="332">
        <v>600</v>
      </c>
      <c r="H12086" s="333">
        <v>726</v>
      </c>
    </row>
    <row r="12087" spans="1:8">
      <c r="A12087" s="317">
        <v>2609111530</v>
      </c>
      <c r="B12087" s="330" t="s">
        <v>56440</v>
      </c>
      <c r="C12087" s="330" t="s">
        <v>26178</v>
      </c>
      <c r="D12087" s="330" t="s">
        <v>5602</v>
      </c>
      <c r="E12087" s="330" t="s">
        <v>37248</v>
      </c>
      <c r="F12087" s="331">
        <v>0.21</v>
      </c>
      <c r="G12087" s="332">
        <v>4234</v>
      </c>
      <c r="H12087" s="333">
        <v>5124</v>
      </c>
    </row>
    <row r="12088" spans="1:8">
      <c r="A12088" s="317">
        <v>2609111531</v>
      </c>
      <c r="B12088" s="330" t="s">
        <v>56441</v>
      </c>
      <c r="C12088" s="330" t="s">
        <v>26179</v>
      </c>
      <c r="D12088" s="330" t="s">
        <v>26180</v>
      </c>
      <c r="E12088" s="330" t="s">
        <v>37248</v>
      </c>
      <c r="F12088" s="331">
        <v>0.21</v>
      </c>
      <c r="G12088" s="332">
        <v>5242</v>
      </c>
      <c r="H12088" s="333">
        <v>6343</v>
      </c>
    </row>
    <row r="12089" spans="1:8">
      <c r="A12089" s="317">
        <v>2609111560</v>
      </c>
      <c r="B12089" s="330" t="s">
        <v>56442</v>
      </c>
      <c r="C12089" s="330" t="s">
        <v>26181</v>
      </c>
      <c r="D12089" s="330" t="s">
        <v>26182</v>
      </c>
      <c r="E12089" s="330" t="s">
        <v>4819</v>
      </c>
      <c r="F12089" s="331">
        <v>0.21</v>
      </c>
      <c r="G12089" s="332">
        <v>2041</v>
      </c>
      <c r="H12089" s="333">
        <v>2470</v>
      </c>
    </row>
    <row r="12090" spans="1:8">
      <c r="A12090" s="317">
        <v>2609111584</v>
      </c>
      <c r="B12090" s="330" t="s">
        <v>56443</v>
      </c>
      <c r="C12090" s="330" t="s">
        <v>26183</v>
      </c>
      <c r="D12090" s="330" t="s">
        <v>13564</v>
      </c>
      <c r="E12090" s="330" t="s">
        <v>4819</v>
      </c>
      <c r="F12090" s="331">
        <v>0.21</v>
      </c>
      <c r="G12090" s="332">
        <v>1837</v>
      </c>
      <c r="H12090" s="333">
        <v>2223</v>
      </c>
    </row>
    <row r="12091" spans="1:8">
      <c r="A12091" s="317">
        <v>2609111657</v>
      </c>
      <c r="B12091" s="330" t="s">
        <v>56444</v>
      </c>
      <c r="C12091" s="330" t="s">
        <v>26184</v>
      </c>
      <c r="D12091" s="330" t="s">
        <v>26185</v>
      </c>
      <c r="E12091" s="330" t="s">
        <v>4819</v>
      </c>
      <c r="F12091" s="331">
        <v>0.21</v>
      </c>
      <c r="G12091" s="332">
        <v>1505</v>
      </c>
      <c r="H12091" s="333">
        <v>1822</v>
      </c>
    </row>
    <row r="12092" spans="1:8">
      <c r="A12092" s="317">
        <v>2609111664</v>
      </c>
      <c r="B12092" s="330" t="s">
        <v>56445</v>
      </c>
      <c r="C12092" s="330" t="s">
        <v>26186</v>
      </c>
      <c r="D12092" s="330" t="s">
        <v>17435</v>
      </c>
      <c r="E12092" s="330" t="s">
        <v>37248</v>
      </c>
      <c r="F12092" s="331">
        <v>0.21</v>
      </c>
      <c r="G12092" s="332">
        <v>4965</v>
      </c>
      <c r="H12092" s="333">
        <v>6008</v>
      </c>
    </row>
    <row r="12093" spans="1:8">
      <c r="A12093" s="317">
        <v>2609111665</v>
      </c>
      <c r="B12093" s="330" t="s">
        <v>56446</v>
      </c>
      <c r="C12093" s="330" t="s">
        <v>26187</v>
      </c>
      <c r="D12093" s="330" t="s">
        <v>26050</v>
      </c>
      <c r="E12093" s="330" t="s">
        <v>37248</v>
      </c>
      <c r="F12093" s="331">
        <v>0.21</v>
      </c>
      <c r="G12093" s="332">
        <v>205</v>
      </c>
      <c r="H12093" s="333">
        <v>249</v>
      </c>
    </row>
    <row r="12094" spans="1:8">
      <c r="A12094" s="317">
        <v>2609111666</v>
      </c>
      <c r="B12094" s="330" t="s">
        <v>56447</v>
      </c>
      <c r="C12094" s="330" t="s">
        <v>26188</v>
      </c>
      <c r="D12094" s="330" t="s">
        <v>6205</v>
      </c>
      <c r="E12094" s="330" t="s">
        <v>37248</v>
      </c>
      <c r="F12094" s="331">
        <v>0.21</v>
      </c>
      <c r="G12094" s="332">
        <v>194</v>
      </c>
      <c r="H12094" s="333">
        <v>235</v>
      </c>
    </row>
    <row r="12095" spans="1:8">
      <c r="A12095" s="317">
        <v>2609111667</v>
      </c>
      <c r="B12095" s="330" t="s">
        <v>56448</v>
      </c>
      <c r="C12095" s="330" t="s">
        <v>26189</v>
      </c>
      <c r="D12095" s="330" t="s">
        <v>26190</v>
      </c>
      <c r="E12095" s="330" t="s">
        <v>37248</v>
      </c>
      <c r="F12095" s="331">
        <v>0.21</v>
      </c>
      <c r="G12095" s="332">
        <v>194</v>
      </c>
      <c r="H12095" s="333">
        <v>235</v>
      </c>
    </row>
    <row r="12096" spans="1:8">
      <c r="A12096" s="317">
        <v>2609111668</v>
      </c>
      <c r="B12096" s="330" t="s">
        <v>56449</v>
      </c>
      <c r="C12096" s="330" t="s">
        <v>26191</v>
      </c>
      <c r="D12096" s="330" t="s">
        <v>7031</v>
      </c>
      <c r="E12096" s="330" t="s">
        <v>37248</v>
      </c>
      <c r="F12096" s="331">
        <v>0.21</v>
      </c>
      <c r="G12096" s="332">
        <v>600</v>
      </c>
      <c r="H12096" s="333">
        <v>726</v>
      </c>
    </row>
    <row r="12097" spans="1:8">
      <c r="A12097" s="317">
        <v>2609111669</v>
      </c>
      <c r="B12097" s="330" t="s">
        <v>56450</v>
      </c>
      <c r="C12097" s="330" t="s">
        <v>26192</v>
      </c>
      <c r="D12097" s="330" t="s">
        <v>20385</v>
      </c>
      <c r="E12097" s="330" t="s">
        <v>37248</v>
      </c>
      <c r="F12097" s="331">
        <v>0.21</v>
      </c>
      <c r="G12097" s="332">
        <v>240</v>
      </c>
      <c r="H12097" s="333">
        <v>291</v>
      </c>
    </row>
    <row r="12098" spans="1:8">
      <c r="A12098" s="317">
        <v>2609111670</v>
      </c>
      <c r="B12098" s="330" t="s">
        <v>56451</v>
      </c>
      <c r="C12098" s="330" t="s">
        <v>26193</v>
      </c>
      <c r="D12098" s="330" t="s">
        <v>26194</v>
      </c>
      <c r="E12098" s="330" t="s">
        <v>37248</v>
      </c>
      <c r="F12098" s="331">
        <v>0.21</v>
      </c>
      <c r="G12098" s="332">
        <v>3517</v>
      </c>
      <c r="H12098" s="333">
        <v>4256</v>
      </c>
    </row>
    <row r="12099" spans="1:8">
      <c r="A12099" s="317">
        <v>2609111673</v>
      </c>
      <c r="B12099" s="330" t="s">
        <v>56452</v>
      </c>
      <c r="C12099" s="330" t="s">
        <v>26195</v>
      </c>
      <c r="D12099" s="330" t="s">
        <v>6205</v>
      </c>
      <c r="E12099" s="330" t="s">
        <v>37248</v>
      </c>
      <c r="F12099" s="331">
        <v>0.21</v>
      </c>
      <c r="G12099" s="332">
        <v>194</v>
      </c>
      <c r="H12099" s="333">
        <v>235</v>
      </c>
    </row>
    <row r="12100" spans="1:8">
      <c r="A12100" s="317">
        <v>2609111708</v>
      </c>
      <c r="B12100" s="330" t="s">
        <v>56453</v>
      </c>
      <c r="C12100" s="330" t="s">
        <v>26196</v>
      </c>
      <c r="D12100" s="330" t="s">
        <v>7235</v>
      </c>
      <c r="E12100" s="330" t="s">
        <v>4634</v>
      </c>
      <c r="F12100" s="331">
        <v>0.21</v>
      </c>
      <c r="G12100" s="332">
        <v>222</v>
      </c>
      <c r="H12100" s="333">
        <v>269</v>
      </c>
    </row>
    <row r="12101" spans="1:8">
      <c r="A12101" s="317">
        <v>2609111738</v>
      </c>
      <c r="B12101" s="330" t="s">
        <v>56454</v>
      </c>
      <c r="C12101" s="330" t="s">
        <v>26197</v>
      </c>
      <c r="D12101" s="330" t="s">
        <v>20385</v>
      </c>
      <c r="E12101" s="330" t="s">
        <v>37248</v>
      </c>
      <c r="F12101" s="331">
        <v>0.21</v>
      </c>
      <c r="G12101" s="332">
        <v>240</v>
      </c>
      <c r="H12101" s="333">
        <v>291</v>
      </c>
    </row>
    <row r="12102" spans="1:8">
      <c r="A12102" s="317">
        <v>2609111788</v>
      </c>
      <c r="B12102" s="330" t="s">
        <v>56455</v>
      </c>
      <c r="C12102" s="330" t="s">
        <v>26198</v>
      </c>
      <c r="D12102" s="330" t="s">
        <v>6205</v>
      </c>
      <c r="E12102" s="330" t="s">
        <v>37248</v>
      </c>
      <c r="F12102" s="331">
        <v>0.21</v>
      </c>
      <c r="G12102" s="332">
        <v>339</v>
      </c>
      <c r="H12102" s="333">
        <v>411</v>
      </c>
    </row>
    <row r="12103" spans="1:8">
      <c r="A12103" s="317">
        <v>2609111800</v>
      </c>
      <c r="B12103" s="330" t="s">
        <v>56456</v>
      </c>
      <c r="C12103" s="330" t="s">
        <v>26199</v>
      </c>
      <c r="D12103" s="330" t="s">
        <v>26200</v>
      </c>
      <c r="E12103" s="330" t="s">
        <v>4819</v>
      </c>
      <c r="F12103" s="331">
        <v>0.21</v>
      </c>
      <c r="G12103" s="332">
        <v>12075</v>
      </c>
      <c r="H12103" s="333">
        <v>14611</v>
      </c>
    </row>
    <row r="12104" spans="1:8">
      <c r="A12104" s="317">
        <v>2609111844</v>
      </c>
      <c r="B12104" s="330" t="s">
        <v>56457</v>
      </c>
      <c r="C12104" s="330" t="s">
        <v>26201</v>
      </c>
      <c r="D12104" s="330" t="s">
        <v>26202</v>
      </c>
      <c r="E12104" s="330" t="s">
        <v>4819</v>
      </c>
      <c r="F12104" s="331">
        <v>0.21</v>
      </c>
      <c r="G12104" s="332">
        <v>479</v>
      </c>
      <c r="H12104" s="333">
        <v>580</v>
      </c>
    </row>
    <row r="12105" spans="1:8">
      <c r="A12105" s="317">
        <v>2609111845</v>
      </c>
      <c r="B12105" s="330" t="s">
        <v>56458</v>
      </c>
      <c r="C12105" s="330" t="s">
        <v>26203</v>
      </c>
      <c r="D12105" s="330" t="s">
        <v>26204</v>
      </c>
      <c r="E12105" s="330" t="s">
        <v>4819</v>
      </c>
      <c r="F12105" s="331">
        <v>0.21</v>
      </c>
      <c r="G12105" s="332">
        <v>1126</v>
      </c>
      <c r="H12105" s="333">
        <v>1363</v>
      </c>
    </row>
    <row r="12106" spans="1:8">
      <c r="A12106" s="317">
        <v>2609111851</v>
      </c>
      <c r="B12106" s="330" t="s">
        <v>56459</v>
      </c>
      <c r="C12106" s="330" t="s">
        <v>26205</v>
      </c>
      <c r="D12106" s="330" t="s">
        <v>12706</v>
      </c>
      <c r="E12106" s="330" t="s">
        <v>4819</v>
      </c>
      <c r="F12106" s="331">
        <v>0.21</v>
      </c>
      <c r="G12106" s="332">
        <v>240</v>
      </c>
      <c r="H12106" s="333">
        <v>291</v>
      </c>
    </row>
    <row r="12107" spans="1:8">
      <c r="A12107" s="317">
        <v>2609111892</v>
      </c>
      <c r="B12107" s="330" t="s">
        <v>56460</v>
      </c>
      <c r="C12107" s="330" t="s">
        <v>26206</v>
      </c>
      <c r="D12107" s="330" t="s">
        <v>26207</v>
      </c>
      <c r="E12107" s="330" t="s">
        <v>4819</v>
      </c>
      <c r="F12107" s="331">
        <v>0.21</v>
      </c>
      <c r="G12107" s="332">
        <v>4972</v>
      </c>
      <c r="H12107" s="333">
        <v>6017</v>
      </c>
    </row>
    <row r="12108" spans="1:8">
      <c r="A12108" s="317">
        <v>2609111893</v>
      </c>
      <c r="B12108" s="330" t="s">
        <v>56461</v>
      </c>
      <c r="C12108" s="330" t="s">
        <v>26208</v>
      </c>
      <c r="D12108" s="330" t="s">
        <v>26209</v>
      </c>
      <c r="E12108" s="330" t="s">
        <v>37248</v>
      </c>
      <c r="F12108" s="331">
        <v>0.21</v>
      </c>
      <c r="G12108" s="332">
        <v>13205</v>
      </c>
      <c r="H12108" s="333">
        <v>15979</v>
      </c>
    </row>
    <row r="12109" spans="1:8">
      <c r="A12109" s="317">
        <v>2609111906</v>
      </c>
      <c r="B12109" s="330" t="s">
        <v>56462</v>
      </c>
      <c r="C12109" s="330" t="s">
        <v>26210</v>
      </c>
      <c r="D12109" s="330" t="s">
        <v>26050</v>
      </c>
      <c r="E12109" s="330" t="s">
        <v>37248</v>
      </c>
      <c r="F12109" s="331">
        <v>0.21</v>
      </c>
      <c r="G12109" s="332">
        <v>194</v>
      </c>
      <c r="H12109" s="333">
        <v>235</v>
      </c>
    </row>
    <row r="12110" spans="1:8">
      <c r="A12110" s="317">
        <v>2609111907</v>
      </c>
      <c r="B12110" s="330" t="s">
        <v>56463</v>
      </c>
      <c r="C12110" s="330" t="s">
        <v>26211</v>
      </c>
      <c r="D12110" s="330" t="s">
        <v>8646</v>
      </c>
      <c r="E12110" s="330" t="s">
        <v>4819</v>
      </c>
      <c r="F12110" s="331">
        <v>0.21</v>
      </c>
      <c r="G12110" s="332">
        <v>6631</v>
      </c>
      <c r="H12110" s="333">
        <v>8024</v>
      </c>
    </row>
    <row r="12111" spans="1:8">
      <c r="A12111" s="317">
        <v>2609111930</v>
      </c>
      <c r="B12111" s="330" t="s">
        <v>56464</v>
      </c>
      <c r="C12111" s="330" t="s">
        <v>26212</v>
      </c>
      <c r="D12111" s="330" t="s">
        <v>26213</v>
      </c>
      <c r="E12111" s="330" t="s">
        <v>37248</v>
      </c>
      <c r="F12111" s="331">
        <v>0.21</v>
      </c>
      <c r="G12111" s="332">
        <v>14401</v>
      </c>
      <c r="H12111" s="333">
        <v>17426</v>
      </c>
    </row>
    <row r="12112" spans="1:8">
      <c r="A12112" s="317">
        <v>2609111940</v>
      </c>
      <c r="B12112" s="330" t="s">
        <v>56465</v>
      </c>
      <c r="C12112" s="330" t="s">
        <v>26214</v>
      </c>
      <c r="D12112" s="330" t="s">
        <v>26215</v>
      </c>
      <c r="E12112" s="330" t="s">
        <v>37248</v>
      </c>
      <c r="F12112" s="331">
        <v>0.21</v>
      </c>
      <c r="G12112" s="332">
        <v>56012</v>
      </c>
      <c r="H12112" s="333">
        <v>67775</v>
      </c>
    </row>
    <row r="12113" spans="1:8">
      <c r="A12113" s="317">
        <v>2609111944</v>
      </c>
      <c r="B12113" s="330" t="s">
        <v>56466</v>
      </c>
      <c r="C12113" s="330" t="s">
        <v>26216</v>
      </c>
      <c r="D12113" s="330" t="s">
        <v>26217</v>
      </c>
      <c r="E12113" s="330" t="s">
        <v>37248</v>
      </c>
      <c r="F12113" s="331">
        <v>0.21</v>
      </c>
      <c r="G12113" s="332">
        <v>24959</v>
      </c>
      <c r="H12113" s="333">
        <v>30201</v>
      </c>
    </row>
    <row r="12114" spans="1:8">
      <c r="A12114" s="317">
        <v>2609111997</v>
      </c>
      <c r="B12114" s="330" t="s">
        <v>56467</v>
      </c>
      <c r="C12114" s="330" t="s">
        <v>26218</v>
      </c>
      <c r="D12114" s="330" t="s">
        <v>26219</v>
      </c>
      <c r="E12114" s="330" t="s">
        <v>37248</v>
      </c>
      <c r="F12114" s="331">
        <v>0.21</v>
      </c>
      <c r="G12114" s="332">
        <v>2612</v>
      </c>
      <c r="H12114" s="333">
        <v>3161</v>
      </c>
    </row>
    <row r="12115" spans="1:8">
      <c r="A12115" s="317">
        <v>2609112024</v>
      </c>
      <c r="B12115" s="330" t="s">
        <v>56468</v>
      </c>
      <c r="C12115" s="330" t="s">
        <v>26220</v>
      </c>
      <c r="D12115" s="330" t="s">
        <v>26221</v>
      </c>
      <c r="E12115" s="330" t="s">
        <v>4634</v>
      </c>
      <c r="F12115" s="331">
        <v>0.21</v>
      </c>
      <c r="G12115" s="332">
        <v>32654</v>
      </c>
      <c r="H12115" s="333">
        <v>39512</v>
      </c>
    </row>
    <row r="12116" spans="1:8">
      <c r="A12116" s="317">
        <v>2609112036</v>
      </c>
      <c r="B12116" s="330" t="s">
        <v>56469</v>
      </c>
      <c r="C12116" s="330" t="s">
        <v>26222</v>
      </c>
      <c r="D12116" s="330" t="s">
        <v>26223</v>
      </c>
      <c r="E12116" s="330" t="s">
        <v>4819</v>
      </c>
      <c r="F12116" s="331">
        <v>0.21</v>
      </c>
      <c r="G12116" s="332">
        <v>548</v>
      </c>
      <c r="H12116" s="333">
        <v>664</v>
      </c>
    </row>
    <row r="12117" spans="1:8">
      <c r="A12117" s="317">
        <v>2609112051</v>
      </c>
      <c r="B12117" s="330" t="s">
        <v>56470</v>
      </c>
      <c r="C12117" s="330" t="s">
        <v>26224</v>
      </c>
      <c r="D12117" s="330" t="s">
        <v>26225</v>
      </c>
      <c r="E12117" s="330" t="s">
        <v>37248</v>
      </c>
      <c r="F12117" s="331">
        <v>0.21</v>
      </c>
      <c r="G12117" s="332">
        <v>318</v>
      </c>
      <c r="H12117" s="333">
        <v>385</v>
      </c>
    </row>
    <row r="12118" spans="1:8">
      <c r="A12118" s="317">
        <v>2609112053</v>
      </c>
      <c r="B12118" s="330" t="s">
        <v>56471</v>
      </c>
      <c r="C12118" s="330" t="s">
        <v>26226</v>
      </c>
      <c r="D12118" s="330" t="s">
        <v>26227</v>
      </c>
      <c r="E12118" s="330" t="s">
        <v>37248</v>
      </c>
      <c r="F12118" s="331">
        <v>0.21</v>
      </c>
      <c r="G12118" s="332">
        <v>628</v>
      </c>
      <c r="H12118" s="333">
        <v>760</v>
      </c>
    </row>
    <row r="12119" spans="1:8">
      <c r="A12119" s="317">
        <v>2609112071</v>
      </c>
      <c r="B12119" s="330" t="s">
        <v>56472</v>
      </c>
      <c r="C12119" s="330" t="s">
        <v>26228</v>
      </c>
      <c r="D12119" s="330" t="s">
        <v>26225</v>
      </c>
      <c r="E12119" s="330" t="s">
        <v>37248</v>
      </c>
      <c r="F12119" s="331">
        <v>0.21</v>
      </c>
      <c r="G12119" s="332">
        <v>318</v>
      </c>
      <c r="H12119" s="333">
        <v>385</v>
      </c>
    </row>
    <row r="12120" spans="1:8">
      <c r="A12120" s="317">
        <v>2609112105</v>
      </c>
      <c r="B12120" s="330" t="s">
        <v>56473</v>
      </c>
      <c r="C12120" s="330" t="s">
        <v>26229</v>
      </c>
      <c r="D12120" s="330" t="s">
        <v>26230</v>
      </c>
      <c r="E12120" s="330" t="s">
        <v>4819</v>
      </c>
      <c r="F12120" s="331">
        <v>0.21</v>
      </c>
      <c r="G12120" s="332">
        <v>240</v>
      </c>
      <c r="H12120" s="333">
        <v>291</v>
      </c>
    </row>
    <row r="12121" spans="1:8">
      <c r="A12121" s="317">
        <v>2609112128</v>
      </c>
      <c r="B12121" s="330" t="s">
        <v>56474</v>
      </c>
      <c r="C12121" s="330" t="s">
        <v>26231</v>
      </c>
      <c r="D12121" s="330" t="s">
        <v>7653</v>
      </c>
      <c r="E12121" s="330" t="s">
        <v>4819</v>
      </c>
      <c r="F12121" s="331">
        <v>0.21</v>
      </c>
      <c r="G12121" s="332">
        <v>2094</v>
      </c>
      <c r="H12121" s="333">
        <v>2534</v>
      </c>
    </row>
    <row r="12122" spans="1:8">
      <c r="A12122" s="317">
        <v>2609112141</v>
      </c>
      <c r="B12122" s="330" t="s">
        <v>56475</v>
      </c>
      <c r="C12122" s="330" t="s">
        <v>26232</v>
      </c>
      <c r="D12122" s="330" t="s">
        <v>26233</v>
      </c>
      <c r="E12122" s="330" t="s">
        <v>4819</v>
      </c>
      <c r="F12122" s="331">
        <v>0.21</v>
      </c>
      <c r="G12122" s="332">
        <v>671</v>
      </c>
      <c r="H12122" s="333">
        <v>812</v>
      </c>
    </row>
    <row r="12123" spans="1:8">
      <c r="A12123" s="317">
        <v>2609112142</v>
      </c>
      <c r="B12123" s="330" t="s">
        <v>56476</v>
      </c>
      <c r="C12123" s="330" t="s">
        <v>26234</v>
      </c>
      <c r="D12123" s="330" t="s">
        <v>26235</v>
      </c>
      <c r="E12123" s="330" t="s">
        <v>4819</v>
      </c>
      <c r="F12123" s="331">
        <v>0.21</v>
      </c>
      <c r="G12123" s="332">
        <v>3174</v>
      </c>
      <c r="H12123" s="333">
        <v>3841</v>
      </c>
    </row>
    <row r="12124" spans="1:8">
      <c r="A12124" s="317">
        <v>2609112143</v>
      </c>
      <c r="B12124" s="330" t="s">
        <v>56477</v>
      </c>
      <c r="C12124" s="330" t="s">
        <v>26236</v>
      </c>
      <c r="D12124" s="330" t="s">
        <v>26237</v>
      </c>
      <c r="E12124" s="330" t="s">
        <v>4819</v>
      </c>
      <c r="F12124" s="331">
        <v>0.21</v>
      </c>
      <c r="G12124" s="332">
        <v>1295</v>
      </c>
      <c r="H12124" s="333">
        <v>1567</v>
      </c>
    </row>
    <row r="12125" spans="1:8">
      <c r="A12125" s="317">
        <v>2609112144</v>
      </c>
      <c r="B12125" s="330" t="s">
        <v>56478</v>
      </c>
      <c r="C12125" s="330" t="s">
        <v>26238</v>
      </c>
      <c r="D12125" s="330" t="s">
        <v>26239</v>
      </c>
      <c r="E12125" s="330" t="s">
        <v>4819</v>
      </c>
      <c r="F12125" s="331">
        <v>0.21</v>
      </c>
      <c r="G12125" s="332">
        <v>3912</v>
      </c>
      <c r="H12125" s="333">
        <v>4734</v>
      </c>
    </row>
    <row r="12126" spans="1:8">
      <c r="A12126" s="317">
        <v>2609112154</v>
      </c>
      <c r="B12126" s="330" t="s">
        <v>56479</v>
      </c>
      <c r="C12126" s="330" t="s">
        <v>26240</v>
      </c>
      <c r="D12126" s="330" t="s">
        <v>26241</v>
      </c>
      <c r="E12126" s="330" t="s">
        <v>37248</v>
      </c>
      <c r="F12126" s="331">
        <v>0.21</v>
      </c>
      <c r="G12126" s="332">
        <v>1182</v>
      </c>
      <c r="H12126" s="333">
        <v>1431</v>
      </c>
    </row>
    <row r="12127" spans="1:8">
      <c r="A12127" s="317">
        <v>2609112158</v>
      </c>
      <c r="B12127" s="330" t="s">
        <v>56480</v>
      </c>
      <c r="C12127" s="330" t="s">
        <v>26242</v>
      </c>
      <c r="D12127" s="330" t="s">
        <v>26243</v>
      </c>
      <c r="E12127" s="330" t="s">
        <v>4819</v>
      </c>
      <c r="F12127" s="331">
        <v>0.21</v>
      </c>
      <c r="G12127" s="332">
        <v>7267</v>
      </c>
      <c r="H12127" s="333">
        <v>8794</v>
      </c>
    </row>
    <row r="12128" spans="1:8">
      <c r="A12128" s="317">
        <v>2609112169</v>
      </c>
      <c r="B12128" s="330" t="s">
        <v>56481</v>
      </c>
      <c r="C12128" s="330" t="s">
        <v>26244</v>
      </c>
      <c r="D12128" s="330" t="s">
        <v>26245</v>
      </c>
      <c r="E12128" s="330" t="s">
        <v>4634</v>
      </c>
      <c r="F12128" s="331">
        <v>0.21</v>
      </c>
      <c r="G12128" s="332">
        <v>2614</v>
      </c>
      <c r="H12128" s="333">
        <v>3163</v>
      </c>
    </row>
    <row r="12129" spans="1:8">
      <c r="A12129" s="317">
        <v>2609112203</v>
      </c>
      <c r="B12129" s="330" t="s">
        <v>56482</v>
      </c>
      <c r="C12129" s="330" t="s">
        <v>26246</v>
      </c>
      <c r="D12129" s="330" t="s">
        <v>26247</v>
      </c>
      <c r="E12129" s="330" t="s">
        <v>37248</v>
      </c>
      <c r="F12129" s="331">
        <v>0.21</v>
      </c>
      <c r="G12129" s="332">
        <v>13118</v>
      </c>
      <c r="H12129" s="333">
        <v>15873</v>
      </c>
    </row>
    <row r="12130" spans="1:8">
      <c r="A12130" s="317">
        <v>2609112221</v>
      </c>
      <c r="B12130" s="330" t="s">
        <v>56483</v>
      </c>
      <c r="C12130" s="330" t="s">
        <v>26248</v>
      </c>
      <c r="D12130" s="330" t="s">
        <v>26249</v>
      </c>
      <c r="E12130" s="330" t="s">
        <v>4819</v>
      </c>
      <c r="F12130" s="331">
        <v>0.21</v>
      </c>
      <c r="G12130" s="332">
        <v>5021</v>
      </c>
      <c r="H12130" s="333">
        <v>6076</v>
      </c>
    </row>
    <row r="12131" spans="1:8">
      <c r="A12131" s="317">
        <v>2609112224</v>
      </c>
      <c r="B12131" s="330" t="s">
        <v>56484</v>
      </c>
      <c r="C12131" s="330" t="s">
        <v>26250</v>
      </c>
      <c r="D12131" s="330" t="s">
        <v>26251</v>
      </c>
      <c r="E12131" s="330" t="s">
        <v>37248</v>
      </c>
      <c r="F12131" s="331">
        <v>0.21</v>
      </c>
      <c r="G12131" s="332">
        <v>515</v>
      </c>
      <c r="H12131" s="333">
        <v>624</v>
      </c>
    </row>
    <row r="12132" spans="1:8">
      <c r="A12132" s="317">
        <v>2609112225</v>
      </c>
      <c r="B12132" s="330" t="s">
        <v>56485</v>
      </c>
      <c r="C12132" s="330" t="s">
        <v>26252</v>
      </c>
      <c r="D12132" s="330" t="s">
        <v>26251</v>
      </c>
      <c r="E12132" s="330" t="s">
        <v>37248</v>
      </c>
      <c r="F12132" s="331">
        <v>0.21</v>
      </c>
      <c r="G12132" s="332">
        <v>515</v>
      </c>
      <c r="H12132" s="333">
        <v>624</v>
      </c>
    </row>
    <row r="12133" spans="1:8">
      <c r="A12133" s="317">
        <v>2609120029</v>
      </c>
      <c r="B12133" s="330" t="s">
        <v>56486</v>
      </c>
      <c r="C12133" s="330" t="s">
        <v>26253</v>
      </c>
      <c r="D12133" s="330" t="s">
        <v>26254</v>
      </c>
      <c r="E12133" s="330" t="s">
        <v>4634</v>
      </c>
      <c r="F12133" s="331">
        <v>0.21</v>
      </c>
      <c r="G12133" s="332">
        <v>4650</v>
      </c>
      <c r="H12133" s="333">
        <v>5627</v>
      </c>
    </row>
    <row r="12134" spans="1:8">
      <c r="A12134" s="317">
        <v>2609120053</v>
      </c>
      <c r="B12134" s="330" t="s">
        <v>56487</v>
      </c>
      <c r="C12134" s="330" t="s">
        <v>26255</v>
      </c>
      <c r="D12134" s="330" t="s">
        <v>26256</v>
      </c>
      <c r="E12134" s="330" t="s">
        <v>4634</v>
      </c>
      <c r="F12134" s="331">
        <v>0.21</v>
      </c>
      <c r="G12134" s="332">
        <v>5344</v>
      </c>
      <c r="H12134" s="333">
        <v>6467</v>
      </c>
    </row>
    <row r="12135" spans="1:8">
      <c r="A12135" s="317">
        <v>2609120054</v>
      </c>
      <c r="B12135" s="330" t="s">
        <v>56488</v>
      </c>
      <c r="C12135" s="330" t="s">
        <v>26257</v>
      </c>
      <c r="D12135" s="330" t="s">
        <v>26258</v>
      </c>
      <c r="E12135" s="330" t="s">
        <v>4634</v>
      </c>
      <c r="F12135" s="331">
        <v>0.21</v>
      </c>
      <c r="G12135" s="332">
        <v>5344</v>
      </c>
      <c r="H12135" s="333">
        <v>6467</v>
      </c>
    </row>
    <row r="12136" spans="1:8">
      <c r="A12136" s="317">
        <v>2609120153</v>
      </c>
      <c r="B12136" s="330" t="s">
        <v>56489</v>
      </c>
      <c r="C12136" s="330" t="s">
        <v>26259</v>
      </c>
      <c r="D12136" s="330" t="s">
        <v>15079</v>
      </c>
      <c r="E12136" s="330" t="s">
        <v>4634</v>
      </c>
      <c r="F12136" s="331">
        <v>0.21</v>
      </c>
      <c r="G12136" s="332">
        <v>432</v>
      </c>
      <c r="H12136" s="333">
        <v>523</v>
      </c>
    </row>
    <row r="12137" spans="1:8">
      <c r="A12137" s="317">
        <v>2609120164</v>
      </c>
      <c r="B12137" s="330" t="s">
        <v>56490</v>
      </c>
      <c r="C12137" s="330" t="s">
        <v>26260</v>
      </c>
      <c r="D12137" s="330" t="s">
        <v>26261</v>
      </c>
      <c r="E12137" s="330" t="s">
        <v>4634</v>
      </c>
      <c r="F12137" s="331">
        <v>0.21</v>
      </c>
      <c r="G12137" s="332">
        <v>2330</v>
      </c>
      <c r="H12137" s="333">
        <v>2820</v>
      </c>
    </row>
    <row r="12138" spans="1:8">
      <c r="A12138" s="317">
        <v>2609120168</v>
      </c>
      <c r="B12138" s="330" t="s">
        <v>56491</v>
      </c>
      <c r="C12138" s="330" t="s">
        <v>26262</v>
      </c>
      <c r="D12138" s="330" t="s">
        <v>26263</v>
      </c>
      <c r="E12138" s="330" t="s">
        <v>37248</v>
      </c>
      <c r="F12138" s="331">
        <v>0.21</v>
      </c>
      <c r="G12138" s="332">
        <v>33876</v>
      </c>
      <c r="H12138" s="333">
        <v>40990</v>
      </c>
    </row>
    <row r="12139" spans="1:8">
      <c r="A12139" s="317">
        <v>2609120169</v>
      </c>
      <c r="B12139" s="330" t="s">
        <v>56492</v>
      </c>
      <c r="C12139" s="330" t="s">
        <v>26264</v>
      </c>
      <c r="D12139" s="330" t="s">
        <v>26265</v>
      </c>
      <c r="E12139" s="330" t="s">
        <v>37248</v>
      </c>
      <c r="F12139" s="331">
        <v>0.21</v>
      </c>
      <c r="G12139" s="332">
        <v>63726</v>
      </c>
      <c r="H12139" s="333">
        <v>77109</v>
      </c>
    </row>
    <row r="12140" spans="1:8">
      <c r="A12140" s="317">
        <v>2609120177</v>
      </c>
      <c r="B12140" s="330" t="s">
        <v>56493</v>
      </c>
      <c r="C12140" s="330" t="s">
        <v>26266</v>
      </c>
      <c r="D12140" s="330" t="s">
        <v>26267</v>
      </c>
      <c r="E12140" s="330" t="s">
        <v>4634</v>
      </c>
      <c r="F12140" s="331">
        <v>0.21</v>
      </c>
      <c r="G12140" s="332">
        <v>274</v>
      </c>
      <c r="H12140" s="333">
        <v>332</v>
      </c>
    </row>
    <row r="12141" spans="1:8">
      <c r="A12141" s="317">
        <v>2609120180</v>
      </c>
      <c r="B12141" s="330" t="s">
        <v>56494</v>
      </c>
      <c r="C12141" s="330" t="s">
        <v>26268</v>
      </c>
      <c r="D12141" s="330" t="s">
        <v>26269</v>
      </c>
      <c r="E12141" s="330" t="s">
        <v>4634</v>
      </c>
      <c r="F12141" s="331">
        <v>0.21</v>
      </c>
      <c r="G12141" s="332">
        <v>490</v>
      </c>
      <c r="H12141" s="333">
        <v>593</v>
      </c>
    </row>
    <row r="12142" spans="1:8">
      <c r="A12142" s="317">
        <v>2609120182</v>
      </c>
      <c r="B12142" s="330" t="s">
        <v>56495</v>
      </c>
      <c r="C12142" s="330" t="s">
        <v>26270</v>
      </c>
      <c r="D12142" s="330" t="s">
        <v>26271</v>
      </c>
      <c r="E12142" s="330" t="s">
        <v>4634</v>
      </c>
      <c r="F12142" s="331">
        <v>0.21</v>
      </c>
      <c r="G12142" s="332">
        <v>702</v>
      </c>
      <c r="H12142" s="333">
        <v>850</v>
      </c>
    </row>
    <row r="12143" spans="1:8">
      <c r="A12143" s="317">
        <v>2609120183</v>
      </c>
      <c r="B12143" s="330" t="s">
        <v>56496</v>
      </c>
      <c r="C12143" s="330" t="s">
        <v>26272</v>
      </c>
      <c r="D12143" s="330" t="s">
        <v>26273</v>
      </c>
      <c r="E12143" s="330" t="s">
        <v>4634</v>
      </c>
      <c r="F12143" s="331">
        <v>0.21</v>
      </c>
      <c r="G12143" s="332">
        <v>142</v>
      </c>
      <c r="H12143" s="333">
        <v>172</v>
      </c>
    </row>
    <row r="12144" spans="1:8">
      <c r="A12144" s="317">
        <v>2609120202</v>
      </c>
      <c r="B12144" s="330" t="s">
        <v>56497</v>
      </c>
      <c r="C12144" s="330" t="s">
        <v>26274</v>
      </c>
      <c r="D12144" s="330" t="s">
        <v>26275</v>
      </c>
      <c r="E12144" s="330" t="s">
        <v>4819</v>
      </c>
      <c r="F12144" s="331">
        <v>0.21</v>
      </c>
      <c r="G12144" s="332">
        <v>9179</v>
      </c>
      <c r="H12144" s="333">
        <v>11107</v>
      </c>
    </row>
    <row r="12145" spans="1:8">
      <c r="A12145" s="317">
        <v>2609120204</v>
      </c>
      <c r="B12145" s="330" t="s">
        <v>56498</v>
      </c>
      <c r="C12145" s="330" t="s">
        <v>26276</v>
      </c>
      <c r="D12145" s="330" t="s">
        <v>26277</v>
      </c>
      <c r="E12145" s="330" t="s">
        <v>37248</v>
      </c>
      <c r="F12145" s="331">
        <v>0.21</v>
      </c>
      <c r="G12145" s="332">
        <v>37120</v>
      </c>
      <c r="H12145" s="333">
        <v>44916</v>
      </c>
    </row>
    <row r="12146" spans="1:8">
      <c r="A12146" s="317">
        <v>2609120228</v>
      </c>
      <c r="B12146" s="330" t="s">
        <v>56499</v>
      </c>
      <c r="C12146" s="330" t="s">
        <v>26278</v>
      </c>
      <c r="D12146" s="330" t="s">
        <v>26279</v>
      </c>
      <c r="E12146" s="330" t="s">
        <v>4634</v>
      </c>
      <c r="F12146" s="331">
        <v>0.21</v>
      </c>
      <c r="G12146" s="332">
        <v>125676</v>
      </c>
      <c r="H12146" s="333">
        <v>152068</v>
      </c>
    </row>
    <row r="12147" spans="1:8">
      <c r="A12147" s="317">
        <v>2609120235</v>
      </c>
      <c r="B12147" s="330" t="s">
        <v>56500</v>
      </c>
      <c r="C12147" s="330" t="s">
        <v>26280</v>
      </c>
      <c r="D12147" s="330" t="s">
        <v>26281</v>
      </c>
      <c r="E12147" s="330" t="s">
        <v>37248</v>
      </c>
      <c r="F12147" s="331">
        <v>0.21</v>
      </c>
      <c r="G12147" s="332">
        <v>26332</v>
      </c>
      <c r="H12147" s="333">
        <v>31862</v>
      </c>
    </row>
    <row r="12148" spans="1:8">
      <c r="A12148" s="317">
        <v>2609120256</v>
      </c>
      <c r="B12148" s="330" t="s">
        <v>56501</v>
      </c>
      <c r="C12148" s="330" t="s">
        <v>26282</v>
      </c>
      <c r="D12148" s="330" t="s">
        <v>26269</v>
      </c>
      <c r="E12148" s="330" t="s">
        <v>4634</v>
      </c>
      <c r="F12148" s="331">
        <v>0.21</v>
      </c>
      <c r="G12148" s="332">
        <v>490</v>
      </c>
      <c r="H12148" s="333">
        <v>593</v>
      </c>
    </row>
    <row r="12149" spans="1:8">
      <c r="A12149" s="317">
        <v>2609120258</v>
      </c>
      <c r="B12149" s="330" t="s">
        <v>56502</v>
      </c>
      <c r="C12149" s="330" t="s">
        <v>26283</v>
      </c>
      <c r="D12149" s="330" t="s">
        <v>26284</v>
      </c>
      <c r="E12149" s="330" t="s">
        <v>37248</v>
      </c>
      <c r="F12149" s="331">
        <v>0.21</v>
      </c>
      <c r="G12149" s="332">
        <v>32738</v>
      </c>
      <c r="H12149" s="333">
        <v>39613</v>
      </c>
    </row>
    <row r="12150" spans="1:8">
      <c r="A12150" s="317">
        <v>2609120259</v>
      </c>
      <c r="B12150" s="330" t="s">
        <v>56503</v>
      </c>
      <c r="C12150" s="330" t="s">
        <v>26285</v>
      </c>
      <c r="D12150" s="330" t="s">
        <v>26286</v>
      </c>
      <c r="E12150" s="330" t="s">
        <v>37248</v>
      </c>
      <c r="F12150" s="331">
        <v>0.21</v>
      </c>
      <c r="G12150" s="332">
        <v>37445</v>
      </c>
      <c r="H12150" s="333">
        <v>45309</v>
      </c>
    </row>
    <row r="12151" spans="1:8">
      <c r="A12151" s="317">
        <v>2609120266</v>
      </c>
      <c r="B12151" s="330" t="s">
        <v>56504</v>
      </c>
      <c r="C12151" s="330" t="s">
        <v>26287</v>
      </c>
      <c r="D12151" s="330" t="s">
        <v>26288</v>
      </c>
      <c r="E12151" s="330" t="s">
        <v>37248</v>
      </c>
      <c r="F12151" s="331">
        <v>0.21</v>
      </c>
      <c r="G12151" s="332">
        <v>50464</v>
      </c>
      <c r="H12151" s="333">
        <v>61062</v>
      </c>
    </row>
    <row r="12152" spans="1:8">
      <c r="A12152" s="317">
        <v>2609120274</v>
      </c>
      <c r="B12152" s="330" t="s">
        <v>56505</v>
      </c>
      <c r="C12152" s="330" t="s">
        <v>26289</v>
      </c>
      <c r="D12152" s="330" t="s">
        <v>26290</v>
      </c>
      <c r="E12152" s="330" t="s">
        <v>4819</v>
      </c>
      <c r="F12152" s="331">
        <v>0.21</v>
      </c>
      <c r="G12152" s="332">
        <v>14711</v>
      </c>
      <c r="H12152" s="333">
        <v>17801</v>
      </c>
    </row>
    <row r="12153" spans="1:8">
      <c r="A12153" s="317">
        <v>2609120276</v>
      </c>
      <c r="B12153" s="330" t="s">
        <v>56506</v>
      </c>
      <c r="C12153" s="330" t="s">
        <v>26291</v>
      </c>
      <c r="D12153" s="330" t="s">
        <v>26292</v>
      </c>
      <c r="E12153" s="330" t="s">
        <v>4634</v>
      </c>
      <c r="F12153" s="331">
        <v>0.21</v>
      </c>
      <c r="G12153" s="332">
        <v>2768</v>
      </c>
      <c r="H12153" s="333">
        <v>3350</v>
      </c>
    </row>
    <row r="12154" spans="1:8">
      <c r="A12154" s="317">
        <v>2609120279</v>
      </c>
      <c r="B12154" s="330" t="s">
        <v>56507</v>
      </c>
      <c r="C12154" s="330" t="s">
        <v>26293</v>
      </c>
      <c r="D12154" s="330" t="s">
        <v>26294</v>
      </c>
      <c r="E12154" s="330" t="s">
        <v>4634</v>
      </c>
      <c r="F12154" s="331">
        <v>0.21</v>
      </c>
      <c r="G12154" s="332">
        <v>2803</v>
      </c>
      <c r="H12154" s="333">
        <v>3392</v>
      </c>
    </row>
    <row r="12155" spans="1:8">
      <c r="A12155" s="317">
        <v>2609120282</v>
      </c>
      <c r="B12155" s="330" t="s">
        <v>56508</v>
      </c>
      <c r="C12155" s="330" t="s">
        <v>26295</v>
      </c>
      <c r="D12155" s="330" t="s">
        <v>26296</v>
      </c>
      <c r="E12155" s="330" t="s">
        <v>4634</v>
      </c>
      <c r="F12155" s="331">
        <v>0.21</v>
      </c>
      <c r="G12155" s="332">
        <v>928</v>
      </c>
      <c r="H12155" s="333">
        <v>1123</v>
      </c>
    </row>
    <row r="12156" spans="1:8">
      <c r="A12156" s="317">
        <v>2609120284</v>
      </c>
      <c r="B12156" s="330" t="s">
        <v>56509</v>
      </c>
      <c r="C12156" s="330" t="s">
        <v>26297</v>
      </c>
      <c r="D12156" s="330" t="s">
        <v>26298</v>
      </c>
      <c r="E12156" s="330" t="s">
        <v>37248</v>
      </c>
      <c r="F12156" s="331">
        <v>0.21</v>
      </c>
      <c r="G12156" s="332">
        <v>709</v>
      </c>
      <c r="H12156" s="333">
        <v>858</v>
      </c>
    </row>
    <row r="12157" spans="1:8">
      <c r="A12157" s="317">
        <v>2609120290</v>
      </c>
      <c r="B12157" s="330" t="s">
        <v>56510</v>
      </c>
      <c r="C12157" s="330" t="s">
        <v>26299</v>
      </c>
      <c r="D12157" s="330" t="s">
        <v>26300</v>
      </c>
      <c r="E12157" s="330" t="s">
        <v>4634</v>
      </c>
      <c r="F12157" s="331">
        <v>0.21</v>
      </c>
      <c r="G12157" s="332">
        <v>820</v>
      </c>
      <c r="H12157" s="333">
        <v>993</v>
      </c>
    </row>
    <row r="12158" spans="1:8">
      <c r="A12158" s="317">
        <v>2609120291</v>
      </c>
      <c r="B12158" s="330" t="s">
        <v>56511</v>
      </c>
      <c r="C12158" s="330" t="s">
        <v>26301</v>
      </c>
      <c r="D12158" s="330" t="s">
        <v>26300</v>
      </c>
      <c r="E12158" s="330" t="s">
        <v>4634</v>
      </c>
      <c r="F12158" s="331">
        <v>0.21</v>
      </c>
      <c r="G12158" s="332">
        <v>820</v>
      </c>
      <c r="H12158" s="333">
        <v>993</v>
      </c>
    </row>
    <row r="12159" spans="1:8">
      <c r="A12159" s="317">
        <v>2609120299</v>
      </c>
      <c r="B12159" s="330" t="s">
        <v>56512</v>
      </c>
      <c r="C12159" s="330" t="s">
        <v>26302</v>
      </c>
      <c r="D12159" s="330" t="s">
        <v>26303</v>
      </c>
      <c r="E12159" s="330" t="s">
        <v>37248</v>
      </c>
      <c r="F12159" s="331">
        <v>0.21</v>
      </c>
      <c r="G12159" s="332">
        <v>31603</v>
      </c>
      <c r="H12159" s="333">
        <v>38240</v>
      </c>
    </row>
    <row r="12160" spans="1:8">
      <c r="A12160" s="317">
        <v>2609120308</v>
      </c>
      <c r="B12160" s="330" t="s">
        <v>56513</v>
      </c>
      <c r="C12160" s="330" t="s">
        <v>26304</v>
      </c>
      <c r="D12160" s="330" t="s">
        <v>26305</v>
      </c>
      <c r="E12160" s="330" t="s">
        <v>4634</v>
      </c>
      <c r="F12160" s="331">
        <v>0.21</v>
      </c>
      <c r="G12160" s="332">
        <v>29314</v>
      </c>
      <c r="H12160" s="333">
        <v>35470</v>
      </c>
    </row>
    <row r="12161" spans="1:8">
      <c r="A12161" s="317">
        <v>2609120335</v>
      </c>
      <c r="B12161" s="330" t="s">
        <v>56514</v>
      </c>
      <c r="C12161" s="330" t="s">
        <v>26306</v>
      </c>
      <c r="D12161" s="330" t="s">
        <v>26307</v>
      </c>
      <c r="E12161" s="330" t="s">
        <v>37248</v>
      </c>
      <c r="F12161" s="331">
        <v>0.21</v>
      </c>
      <c r="G12161" s="332">
        <v>12800</v>
      </c>
      <c r="H12161" s="333">
        <v>15488</v>
      </c>
    </row>
    <row r="12162" spans="1:8">
      <c r="A12162" s="317">
        <v>2609120337</v>
      </c>
      <c r="B12162" s="330" t="s">
        <v>56515</v>
      </c>
      <c r="C12162" s="330" t="s">
        <v>26308</v>
      </c>
      <c r="D12162" s="330" t="s">
        <v>26309</v>
      </c>
      <c r="E12162" s="330" t="s">
        <v>37248</v>
      </c>
      <c r="F12162" s="331">
        <v>0.21</v>
      </c>
      <c r="G12162" s="332">
        <v>32069</v>
      </c>
      <c r="H12162" s="333">
        <v>38804</v>
      </c>
    </row>
    <row r="12163" spans="1:8">
      <c r="A12163" s="317">
        <v>2609120341</v>
      </c>
      <c r="B12163" s="330" t="s">
        <v>56516</v>
      </c>
      <c r="C12163" s="330" t="s">
        <v>26310</v>
      </c>
      <c r="D12163" s="330" t="s">
        <v>26311</v>
      </c>
      <c r="E12163" s="330" t="s">
        <v>37248</v>
      </c>
      <c r="F12163" s="331">
        <v>0.21</v>
      </c>
      <c r="G12163" s="332">
        <v>38984</v>
      </c>
      <c r="H12163" s="333">
        <v>47171</v>
      </c>
    </row>
    <row r="12164" spans="1:8">
      <c r="A12164" s="317">
        <v>2609120356</v>
      </c>
      <c r="B12164" s="330" t="s">
        <v>56517</v>
      </c>
      <c r="C12164" s="330" t="s">
        <v>26312</v>
      </c>
      <c r="D12164" s="330" t="s">
        <v>26313</v>
      </c>
      <c r="E12164" s="330" t="s">
        <v>4819</v>
      </c>
      <c r="F12164" s="331">
        <v>0.21</v>
      </c>
      <c r="G12164" s="332">
        <v>10814</v>
      </c>
      <c r="H12164" s="333">
        <v>13085</v>
      </c>
    </row>
    <row r="12165" spans="1:8">
      <c r="A12165" s="317">
        <v>2609120363</v>
      </c>
      <c r="B12165" s="330" t="s">
        <v>56518</v>
      </c>
      <c r="C12165" s="330" t="s">
        <v>26314</v>
      </c>
      <c r="D12165" s="330" t="s">
        <v>26315</v>
      </c>
      <c r="E12165" s="330" t="s">
        <v>37248</v>
      </c>
      <c r="F12165" s="331">
        <v>0.21</v>
      </c>
      <c r="G12165" s="332">
        <v>15936</v>
      </c>
      <c r="H12165" s="333">
        <v>19283</v>
      </c>
    </row>
    <row r="12166" spans="1:8">
      <c r="A12166" s="317">
        <v>2609120396</v>
      </c>
      <c r="B12166" s="330" t="s">
        <v>56519</v>
      </c>
      <c r="C12166" s="330" t="s">
        <v>26316</v>
      </c>
      <c r="D12166" s="330" t="s">
        <v>26317</v>
      </c>
      <c r="E12166" s="330" t="s">
        <v>37248</v>
      </c>
      <c r="F12166" s="331">
        <v>0.21</v>
      </c>
      <c r="G12166" s="332">
        <v>780</v>
      </c>
      <c r="H12166" s="333">
        <v>944</v>
      </c>
    </row>
    <row r="12167" spans="1:8">
      <c r="A12167" s="317">
        <v>2609120405</v>
      </c>
      <c r="B12167" s="330" t="s">
        <v>56520</v>
      </c>
      <c r="C12167" s="330" t="s">
        <v>26318</v>
      </c>
      <c r="D12167" s="330" t="s">
        <v>26319</v>
      </c>
      <c r="E12167" s="330" t="s">
        <v>37248</v>
      </c>
      <c r="F12167" s="331">
        <v>0.21</v>
      </c>
      <c r="G12167" s="332">
        <v>17033</v>
      </c>
      <c r="H12167" s="333">
        <v>20610</v>
      </c>
    </row>
    <row r="12168" spans="1:8">
      <c r="A12168" s="317">
        <v>2609120416</v>
      </c>
      <c r="B12168" s="330" t="s">
        <v>56521</v>
      </c>
      <c r="C12168" s="330" t="s">
        <v>26320</v>
      </c>
      <c r="D12168" s="330" t="s">
        <v>26321</v>
      </c>
      <c r="E12168" s="330" t="s">
        <v>4634</v>
      </c>
      <c r="F12168" s="331">
        <v>0.21</v>
      </c>
      <c r="G12168" s="332">
        <v>19334</v>
      </c>
      <c r="H12168" s="333">
        <v>23395</v>
      </c>
    </row>
    <row r="12169" spans="1:8">
      <c r="A12169" s="317">
        <v>2609120498</v>
      </c>
      <c r="B12169" s="330" t="s">
        <v>56522</v>
      </c>
      <c r="C12169" s="330" t="s">
        <v>26322</v>
      </c>
      <c r="D12169" s="330" t="s">
        <v>26323</v>
      </c>
      <c r="E12169" s="330" t="s">
        <v>4634</v>
      </c>
      <c r="F12169" s="331">
        <v>0.21</v>
      </c>
      <c r="G12169" s="332">
        <v>1286</v>
      </c>
      <c r="H12169" s="333">
        <v>1557</v>
      </c>
    </row>
    <row r="12170" spans="1:8">
      <c r="A12170" s="317">
        <v>2609120536</v>
      </c>
      <c r="B12170" s="330" t="s">
        <v>56523</v>
      </c>
      <c r="C12170" s="330" t="s">
        <v>26324</v>
      </c>
      <c r="D12170" s="330" t="s">
        <v>26325</v>
      </c>
      <c r="E12170" s="330" t="s">
        <v>4634</v>
      </c>
      <c r="F12170" s="331">
        <v>0.21</v>
      </c>
      <c r="G12170" s="332">
        <v>4537</v>
      </c>
      <c r="H12170" s="333">
        <v>5490</v>
      </c>
    </row>
    <row r="12171" spans="1:8">
      <c r="A12171" s="317">
        <v>2609120543</v>
      </c>
      <c r="B12171" s="330" t="s">
        <v>56524</v>
      </c>
      <c r="C12171" s="330" t="s">
        <v>26326</v>
      </c>
      <c r="D12171" s="330" t="s">
        <v>26327</v>
      </c>
      <c r="E12171" s="330" t="s">
        <v>4819</v>
      </c>
      <c r="F12171" s="331">
        <v>0.21</v>
      </c>
      <c r="G12171" s="332">
        <v>2237</v>
      </c>
      <c r="H12171" s="333">
        <v>2707</v>
      </c>
    </row>
    <row r="12172" spans="1:8">
      <c r="A12172" s="317">
        <v>2609120579</v>
      </c>
      <c r="B12172" s="330" t="s">
        <v>56525</v>
      </c>
      <c r="C12172" s="330" t="s">
        <v>26328</v>
      </c>
      <c r="D12172" s="330" t="s">
        <v>26329</v>
      </c>
      <c r="E12172" s="330" t="s">
        <v>4819</v>
      </c>
      <c r="F12172" s="331">
        <v>0.21</v>
      </c>
      <c r="G12172" s="332">
        <v>410</v>
      </c>
      <c r="H12172" s="333">
        <v>497</v>
      </c>
    </row>
    <row r="12173" spans="1:8">
      <c r="A12173" s="317">
        <v>2609120591</v>
      </c>
      <c r="B12173" s="330" t="s">
        <v>56526</v>
      </c>
      <c r="C12173" s="330" t="s">
        <v>26330</v>
      </c>
      <c r="D12173" s="330" t="s">
        <v>26331</v>
      </c>
      <c r="E12173" s="330" t="s">
        <v>37248</v>
      </c>
      <c r="F12173" s="331">
        <v>0.21</v>
      </c>
      <c r="G12173" s="332">
        <v>7472</v>
      </c>
      <c r="H12173" s="333">
        <v>9042</v>
      </c>
    </row>
    <row r="12174" spans="1:8">
      <c r="A12174" s="317">
        <v>2609120637</v>
      </c>
      <c r="B12174" s="330" t="s">
        <v>56527</v>
      </c>
      <c r="C12174" s="330" t="s">
        <v>26332</v>
      </c>
      <c r="D12174" s="330" t="s">
        <v>26333</v>
      </c>
      <c r="E12174" s="330" t="s">
        <v>4819</v>
      </c>
      <c r="F12174" s="331">
        <v>0.21</v>
      </c>
      <c r="G12174" s="332">
        <v>15222</v>
      </c>
      <c r="H12174" s="333">
        <v>18419</v>
      </c>
    </row>
    <row r="12175" spans="1:8">
      <c r="A12175" s="317">
        <v>2609120670</v>
      </c>
      <c r="B12175" s="330" t="s">
        <v>56528</v>
      </c>
      <c r="C12175" s="330" t="s">
        <v>26334</v>
      </c>
      <c r="D12175" s="330" t="s">
        <v>26335</v>
      </c>
      <c r="E12175" s="330" t="s">
        <v>4634</v>
      </c>
      <c r="F12175" s="331">
        <v>0.21</v>
      </c>
      <c r="G12175" s="332">
        <v>2810</v>
      </c>
      <c r="H12175" s="333">
        <v>3401</v>
      </c>
    </row>
    <row r="12176" spans="1:8">
      <c r="A12176" s="317">
        <v>2609125028</v>
      </c>
      <c r="B12176" s="330" t="s">
        <v>56529</v>
      </c>
      <c r="C12176" s="330" t="s">
        <v>26336</v>
      </c>
      <c r="D12176" s="330" t="s">
        <v>10902</v>
      </c>
      <c r="E12176" s="330" t="s">
        <v>37248</v>
      </c>
      <c r="F12176" s="331">
        <v>0.21</v>
      </c>
      <c r="G12176" s="332">
        <v>17524</v>
      </c>
      <c r="H12176" s="333">
        <v>21205</v>
      </c>
    </row>
    <row r="12177" spans="1:8">
      <c r="A12177" s="317">
        <v>2609125143</v>
      </c>
      <c r="B12177" s="330" t="s">
        <v>56530</v>
      </c>
      <c r="C12177" s="330" t="s">
        <v>26337</v>
      </c>
      <c r="D12177" s="330" t="s">
        <v>26338</v>
      </c>
      <c r="E12177" s="330" t="s">
        <v>37248</v>
      </c>
      <c r="F12177" s="331">
        <v>0.21</v>
      </c>
      <c r="G12177" s="332">
        <v>2054</v>
      </c>
      <c r="H12177" s="333">
        <v>2486</v>
      </c>
    </row>
    <row r="12178" spans="1:8">
      <c r="A12178" s="317">
        <v>2609125204</v>
      </c>
      <c r="B12178" s="330" t="s">
        <v>56531</v>
      </c>
      <c r="C12178" s="330" t="s">
        <v>26339</v>
      </c>
      <c r="D12178" s="330" t="s">
        <v>26340</v>
      </c>
      <c r="E12178" s="330" t="s">
        <v>4819</v>
      </c>
      <c r="F12178" s="331">
        <v>0.21</v>
      </c>
      <c r="G12178" s="332">
        <v>37644</v>
      </c>
      <c r="H12178" s="333">
        <v>45550</v>
      </c>
    </row>
    <row r="12179" spans="1:8">
      <c r="A12179" s="317">
        <v>2609131505</v>
      </c>
      <c r="B12179" s="330" t="s">
        <v>56532</v>
      </c>
      <c r="C12179" s="330" t="s">
        <v>26341</v>
      </c>
      <c r="D12179" s="330" t="s">
        <v>26342</v>
      </c>
      <c r="E12179" s="330" t="s">
        <v>4634</v>
      </c>
      <c r="F12179" s="331">
        <v>0.21</v>
      </c>
      <c r="G12179" s="332">
        <v>348</v>
      </c>
      <c r="H12179" s="333">
        <v>422</v>
      </c>
    </row>
    <row r="12180" spans="1:8">
      <c r="A12180" s="317">
        <v>2609133977</v>
      </c>
      <c r="B12180" s="330" t="s">
        <v>56533</v>
      </c>
      <c r="C12180" s="330" t="s">
        <v>26343</v>
      </c>
      <c r="D12180" s="330" t="s">
        <v>8409</v>
      </c>
      <c r="E12180" s="330" t="s">
        <v>37248</v>
      </c>
      <c r="F12180" s="331">
        <v>0.21</v>
      </c>
      <c r="G12180" s="332">
        <v>548</v>
      </c>
      <c r="H12180" s="333">
        <v>664</v>
      </c>
    </row>
    <row r="12181" spans="1:8">
      <c r="A12181" s="317">
        <v>2609134168</v>
      </c>
      <c r="B12181" s="330" t="s">
        <v>56534</v>
      </c>
      <c r="C12181" s="330" t="s">
        <v>26344</v>
      </c>
      <c r="D12181" s="330" t="s">
        <v>8409</v>
      </c>
      <c r="E12181" s="330" t="s">
        <v>37248</v>
      </c>
      <c r="F12181" s="331">
        <v>0.21</v>
      </c>
      <c r="G12181" s="332">
        <v>548</v>
      </c>
      <c r="H12181" s="333">
        <v>664</v>
      </c>
    </row>
    <row r="12182" spans="1:8">
      <c r="A12182" s="317">
        <v>2609134169</v>
      </c>
      <c r="B12182" s="330" t="s">
        <v>56535</v>
      </c>
      <c r="C12182" s="330" t="s">
        <v>26345</v>
      </c>
      <c r="D12182" s="330" t="s">
        <v>8409</v>
      </c>
      <c r="E12182" s="330" t="s">
        <v>37248</v>
      </c>
      <c r="F12182" s="331">
        <v>0.21</v>
      </c>
      <c r="G12182" s="332">
        <v>548</v>
      </c>
      <c r="H12182" s="333">
        <v>664</v>
      </c>
    </row>
    <row r="12183" spans="1:8">
      <c r="A12183" s="317">
        <v>2609136324</v>
      </c>
      <c r="B12183" s="330" t="s">
        <v>56536</v>
      </c>
      <c r="C12183" s="330" t="s">
        <v>26346</v>
      </c>
      <c r="D12183" s="330" t="s">
        <v>26347</v>
      </c>
      <c r="E12183" s="330" t="s">
        <v>4819</v>
      </c>
      <c r="F12183" s="331">
        <v>0.21</v>
      </c>
      <c r="G12183" s="332">
        <v>374</v>
      </c>
      <c r="H12183" s="333">
        <v>453</v>
      </c>
    </row>
    <row r="12184" spans="1:8">
      <c r="A12184" s="317">
        <v>2609136433</v>
      </c>
      <c r="B12184" s="330" t="s">
        <v>56537</v>
      </c>
      <c r="C12184" s="330" t="s">
        <v>26348</v>
      </c>
      <c r="D12184" s="330" t="s">
        <v>26349</v>
      </c>
      <c r="E12184" s="330" t="s">
        <v>37248</v>
      </c>
      <c r="F12184" s="331">
        <v>0.21</v>
      </c>
      <c r="G12184" s="332">
        <v>807</v>
      </c>
      <c r="H12184" s="333">
        <v>977</v>
      </c>
    </row>
    <row r="12185" spans="1:8">
      <c r="A12185" s="317">
        <v>2609136434</v>
      </c>
      <c r="B12185" s="330" t="s">
        <v>56538</v>
      </c>
      <c r="C12185" s="330" t="s">
        <v>26350</v>
      </c>
      <c r="D12185" s="330" t="s">
        <v>26349</v>
      </c>
      <c r="E12185" s="330" t="s">
        <v>37248</v>
      </c>
      <c r="F12185" s="331">
        <v>0.21</v>
      </c>
      <c r="G12185" s="332">
        <v>807</v>
      </c>
      <c r="H12185" s="333">
        <v>977</v>
      </c>
    </row>
    <row r="12186" spans="1:8">
      <c r="A12186" s="317">
        <v>2609136619</v>
      </c>
      <c r="B12186" s="330" t="s">
        <v>56539</v>
      </c>
      <c r="C12186" s="330" t="s">
        <v>26351</v>
      </c>
      <c r="D12186" s="330" t="s">
        <v>26352</v>
      </c>
      <c r="E12186" s="330" t="s">
        <v>37248</v>
      </c>
      <c r="F12186" s="331">
        <v>0.21</v>
      </c>
      <c r="G12186" s="332">
        <v>646</v>
      </c>
      <c r="H12186" s="333">
        <v>782</v>
      </c>
    </row>
    <row r="12187" spans="1:8">
      <c r="A12187" s="317">
        <v>2609138606</v>
      </c>
      <c r="B12187" s="330" t="s">
        <v>56540</v>
      </c>
      <c r="C12187" s="330" t="s">
        <v>26353</v>
      </c>
      <c r="D12187" s="330" t="s">
        <v>8375</v>
      </c>
      <c r="E12187" s="330" t="s">
        <v>4819</v>
      </c>
      <c r="F12187" s="331">
        <v>0.21</v>
      </c>
      <c r="G12187" s="332">
        <v>780</v>
      </c>
      <c r="H12187" s="333">
        <v>944</v>
      </c>
    </row>
    <row r="12188" spans="1:8">
      <c r="A12188" s="317">
        <v>2609138608</v>
      </c>
      <c r="B12188" s="330" t="s">
        <v>56541</v>
      </c>
      <c r="C12188" s="330" t="s">
        <v>26354</v>
      </c>
      <c r="D12188" s="330" t="s">
        <v>26355</v>
      </c>
      <c r="E12188" s="330" t="s">
        <v>37248</v>
      </c>
      <c r="F12188" s="331">
        <v>0.21</v>
      </c>
      <c r="G12188" s="332">
        <v>417</v>
      </c>
      <c r="H12188" s="333">
        <v>505</v>
      </c>
    </row>
    <row r="12189" spans="1:8">
      <c r="A12189" s="317">
        <v>2609160063</v>
      </c>
      <c r="B12189" s="330" t="s">
        <v>56542</v>
      </c>
      <c r="C12189" s="330" t="s">
        <v>26356</v>
      </c>
      <c r="D12189" s="330" t="s">
        <v>26357</v>
      </c>
      <c r="E12189" s="330" t="s">
        <v>4819</v>
      </c>
      <c r="F12189" s="331">
        <v>0.21</v>
      </c>
      <c r="G12189" s="332">
        <v>3366</v>
      </c>
      <c r="H12189" s="333">
        <v>4073</v>
      </c>
    </row>
    <row r="12190" spans="1:8">
      <c r="A12190" s="317">
        <v>2609160124</v>
      </c>
      <c r="B12190" s="330" t="s">
        <v>56543</v>
      </c>
      <c r="C12190" s="330" t="s">
        <v>26358</v>
      </c>
      <c r="D12190" s="330" t="s">
        <v>26359</v>
      </c>
      <c r="E12190" s="330" t="s">
        <v>37248</v>
      </c>
      <c r="F12190" s="331">
        <v>0.21</v>
      </c>
      <c r="G12190" s="332">
        <v>13511</v>
      </c>
      <c r="H12190" s="333">
        <v>16349</v>
      </c>
    </row>
    <row r="12191" spans="1:8">
      <c r="A12191" s="317">
        <v>2609160127</v>
      </c>
      <c r="B12191" s="330" t="s">
        <v>56544</v>
      </c>
      <c r="C12191" s="330" t="s">
        <v>26360</v>
      </c>
      <c r="D12191" s="330" t="s">
        <v>26361</v>
      </c>
      <c r="E12191" s="330" t="s">
        <v>4819</v>
      </c>
      <c r="F12191" s="331">
        <v>0.21</v>
      </c>
      <c r="G12191" s="332">
        <v>4331</v>
      </c>
      <c r="H12191" s="333">
        <v>5241</v>
      </c>
    </row>
    <row r="12192" spans="1:8">
      <c r="A12192" s="317">
        <v>2609160205</v>
      </c>
      <c r="B12192" s="330" t="s">
        <v>56545</v>
      </c>
      <c r="C12192" s="330" t="s">
        <v>26362</v>
      </c>
      <c r="D12192" s="330" t="s">
        <v>26363</v>
      </c>
      <c r="E12192" s="330" t="s">
        <v>4819</v>
      </c>
      <c r="F12192" s="331">
        <v>0.21</v>
      </c>
      <c r="G12192" s="332">
        <v>1599</v>
      </c>
      <c r="H12192" s="333">
        <v>1935</v>
      </c>
    </row>
    <row r="12193" spans="1:8">
      <c r="A12193" s="317">
        <v>2609170013</v>
      </c>
      <c r="B12193" s="330" t="s">
        <v>56546</v>
      </c>
      <c r="C12193" s="330" t="s">
        <v>26364</v>
      </c>
      <c r="D12193" s="330" t="s">
        <v>26365</v>
      </c>
      <c r="E12193" s="330" t="s">
        <v>4623</v>
      </c>
      <c r="F12193" s="331">
        <v>0.21</v>
      </c>
      <c r="G12193" s="332">
        <v>37601</v>
      </c>
      <c r="H12193" s="333">
        <v>45498</v>
      </c>
    </row>
    <row r="12194" spans="1:8">
      <c r="A12194" s="317">
        <v>2609170025</v>
      </c>
      <c r="B12194" s="330" t="s">
        <v>56547</v>
      </c>
      <c r="C12194" s="330" t="s">
        <v>26366</v>
      </c>
      <c r="D12194" s="330" t="s">
        <v>26367</v>
      </c>
      <c r="E12194" s="330" t="s">
        <v>4634</v>
      </c>
      <c r="F12194" s="331">
        <v>0.21</v>
      </c>
      <c r="G12194" s="332">
        <v>1547</v>
      </c>
      <c r="H12194" s="333">
        <v>1872</v>
      </c>
    </row>
    <row r="12195" spans="1:8">
      <c r="A12195" s="317">
        <v>2609170030</v>
      </c>
      <c r="B12195" s="330" t="s">
        <v>56548</v>
      </c>
      <c r="C12195" s="330" t="s">
        <v>26368</v>
      </c>
      <c r="D12195" s="330" t="s">
        <v>26369</v>
      </c>
      <c r="E12195" s="330" t="s">
        <v>4634</v>
      </c>
      <c r="F12195" s="331">
        <v>0.21</v>
      </c>
      <c r="G12195" s="332">
        <v>372</v>
      </c>
      <c r="H12195" s="333">
        <v>451</v>
      </c>
    </row>
    <row r="12196" spans="1:8">
      <c r="A12196" s="317">
        <v>2609170042</v>
      </c>
      <c r="B12196" s="330" t="s">
        <v>56549</v>
      </c>
      <c r="C12196" s="330" t="s">
        <v>26370</v>
      </c>
      <c r="D12196" s="330" t="s">
        <v>26371</v>
      </c>
      <c r="E12196" s="330" t="s">
        <v>37248</v>
      </c>
      <c r="F12196" s="331">
        <v>0.21</v>
      </c>
      <c r="G12196" s="332">
        <v>3934</v>
      </c>
      <c r="H12196" s="333">
        <v>4761</v>
      </c>
    </row>
    <row r="12197" spans="1:8">
      <c r="A12197" s="317">
        <v>2609170044</v>
      </c>
      <c r="B12197" s="330" t="s">
        <v>56550</v>
      </c>
      <c r="C12197" s="330" t="s">
        <v>26372</v>
      </c>
      <c r="D12197" s="330" t="s">
        <v>26373</v>
      </c>
      <c r="E12197" s="330" t="s">
        <v>4819</v>
      </c>
      <c r="F12197" s="331">
        <v>0.21</v>
      </c>
      <c r="G12197" s="332">
        <v>1701</v>
      </c>
      <c r="H12197" s="333">
        <v>2059</v>
      </c>
    </row>
    <row r="12198" spans="1:8">
      <c r="A12198" s="317">
        <v>2609170045</v>
      </c>
      <c r="B12198" s="330" t="s">
        <v>56551</v>
      </c>
      <c r="C12198" s="330" t="s">
        <v>26374</v>
      </c>
      <c r="D12198" s="330" t="s">
        <v>26375</v>
      </c>
      <c r="E12198" s="330" t="s">
        <v>4634</v>
      </c>
      <c r="F12198" s="331">
        <v>0.21</v>
      </c>
      <c r="G12198" s="332">
        <v>142</v>
      </c>
      <c r="H12198" s="333">
        <v>172</v>
      </c>
    </row>
    <row r="12199" spans="1:8">
      <c r="A12199" s="317">
        <v>2609170058</v>
      </c>
      <c r="B12199" s="330" t="s">
        <v>56552</v>
      </c>
      <c r="C12199" s="330" t="s">
        <v>26376</v>
      </c>
      <c r="D12199" s="330" t="s">
        <v>26377</v>
      </c>
      <c r="E12199" s="330" t="s">
        <v>4634</v>
      </c>
      <c r="F12199" s="331">
        <v>0.21</v>
      </c>
      <c r="G12199" s="332">
        <v>564</v>
      </c>
      <c r="H12199" s="333">
        <v>683</v>
      </c>
    </row>
    <row r="12200" spans="1:8">
      <c r="A12200" s="317">
        <v>2609170077</v>
      </c>
      <c r="B12200" s="330" t="s">
        <v>56553</v>
      </c>
      <c r="C12200" s="330" t="s">
        <v>26378</v>
      </c>
      <c r="D12200" s="330" t="s">
        <v>26379</v>
      </c>
      <c r="E12200" s="330" t="s">
        <v>37248</v>
      </c>
      <c r="F12200" s="331">
        <v>0.21</v>
      </c>
      <c r="G12200" s="332">
        <v>4104</v>
      </c>
      <c r="H12200" s="333">
        <v>4966</v>
      </c>
    </row>
    <row r="12201" spans="1:8">
      <c r="A12201" s="317">
        <v>2609170083</v>
      </c>
      <c r="B12201" s="330" t="s">
        <v>56554</v>
      </c>
      <c r="C12201" s="330" t="s">
        <v>26380</v>
      </c>
      <c r="D12201" s="330" t="s">
        <v>26381</v>
      </c>
      <c r="E12201" s="330" t="s">
        <v>4634</v>
      </c>
      <c r="F12201" s="331">
        <v>0.21</v>
      </c>
      <c r="G12201" s="332">
        <v>274</v>
      </c>
      <c r="H12201" s="333">
        <v>332</v>
      </c>
    </row>
    <row r="12202" spans="1:8">
      <c r="A12202" s="317">
        <v>2609170084</v>
      </c>
      <c r="B12202" s="330" t="s">
        <v>56555</v>
      </c>
      <c r="C12202" s="330" t="s">
        <v>26382</v>
      </c>
      <c r="D12202" s="330" t="s">
        <v>26383</v>
      </c>
      <c r="E12202" s="330" t="s">
        <v>4819</v>
      </c>
      <c r="F12202" s="331">
        <v>0.21</v>
      </c>
      <c r="G12202" s="332">
        <v>2616</v>
      </c>
      <c r="H12202" s="333">
        <v>3166</v>
      </c>
    </row>
    <row r="12203" spans="1:8">
      <c r="A12203" s="317">
        <v>2609170085</v>
      </c>
      <c r="B12203" s="330" t="s">
        <v>56556</v>
      </c>
      <c r="C12203" s="330" t="s">
        <v>26384</v>
      </c>
      <c r="D12203" s="330" t="s">
        <v>26385</v>
      </c>
      <c r="E12203" s="330" t="s">
        <v>4634</v>
      </c>
      <c r="F12203" s="331">
        <v>0.21</v>
      </c>
      <c r="G12203" s="332">
        <v>3131</v>
      </c>
      <c r="H12203" s="333">
        <v>3789</v>
      </c>
    </row>
    <row r="12204" spans="1:8">
      <c r="A12204" s="317">
        <v>2609170104</v>
      </c>
      <c r="B12204" s="330" t="s">
        <v>56557</v>
      </c>
      <c r="C12204" s="330" t="s">
        <v>26386</v>
      </c>
      <c r="D12204" s="330" t="s">
        <v>26387</v>
      </c>
      <c r="E12204" s="330" t="s">
        <v>4634</v>
      </c>
      <c r="F12204" s="331">
        <v>0.21</v>
      </c>
      <c r="G12204" s="332">
        <v>236</v>
      </c>
      <c r="H12204" s="333">
        <v>286</v>
      </c>
    </row>
    <row r="12205" spans="1:8">
      <c r="A12205" s="317">
        <v>2609170121</v>
      </c>
      <c r="B12205" s="330" t="s">
        <v>56558</v>
      </c>
      <c r="C12205" s="330" t="s">
        <v>26388</v>
      </c>
      <c r="D12205" s="330" t="s">
        <v>26389</v>
      </c>
      <c r="E12205" s="330" t="s">
        <v>4819</v>
      </c>
      <c r="F12205" s="331">
        <v>0.21</v>
      </c>
      <c r="G12205" s="332">
        <v>1373</v>
      </c>
      <c r="H12205" s="333">
        <v>1662</v>
      </c>
    </row>
    <row r="12206" spans="1:8">
      <c r="A12206" s="317">
        <v>2609170128</v>
      </c>
      <c r="B12206" s="330" t="s">
        <v>56559</v>
      </c>
      <c r="C12206" s="330" t="s">
        <v>26390</v>
      </c>
      <c r="D12206" s="330" t="s">
        <v>26391</v>
      </c>
      <c r="E12206" s="330" t="s">
        <v>37248</v>
      </c>
      <c r="F12206" s="331">
        <v>0.21</v>
      </c>
      <c r="G12206" s="332">
        <v>2478</v>
      </c>
      <c r="H12206" s="333">
        <v>2999</v>
      </c>
    </row>
    <row r="12207" spans="1:8">
      <c r="A12207" s="317">
        <v>2609170129</v>
      </c>
      <c r="B12207" s="330" t="s">
        <v>56560</v>
      </c>
      <c r="C12207" s="330" t="s">
        <v>26392</v>
      </c>
      <c r="D12207" s="330" t="s">
        <v>26393</v>
      </c>
      <c r="E12207" s="330" t="s">
        <v>4634</v>
      </c>
      <c r="F12207" s="331">
        <v>0.21</v>
      </c>
      <c r="G12207" s="332">
        <v>432</v>
      </c>
      <c r="H12207" s="333">
        <v>523</v>
      </c>
    </row>
    <row r="12208" spans="1:8">
      <c r="A12208" s="317">
        <v>2609170134</v>
      </c>
      <c r="B12208" s="330" t="s">
        <v>56561</v>
      </c>
      <c r="C12208" s="330" t="s">
        <v>26394</v>
      </c>
      <c r="D12208" s="330" t="s">
        <v>26395</v>
      </c>
      <c r="E12208" s="330" t="s">
        <v>4819</v>
      </c>
      <c r="F12208" s="331">
        <v>0.21</v>
      </c>
      <c r="G12208" s="332">
        <v>910</v>
      </c>
      <c r="H12208" s="333">
        <v>1102</v>
      </c>
    </row>
    <row r="12209" spans="1:8">
      <c r="A12209" s="317">
        <v>2609170135</v>
      </c>
      <c r="B12209" s="330" t="s">
        <v>56562</v>
      </c>
      <c r="C12209" s="330" t="s">
        <v>26396</v>
      </c>
      <c r="D12209" s="330" t="s">
        <v>26397</v>
      </c>
      <c r="E12209" s="330" t="s">
        <v>4819</v>
      </c>
      <c r="F12209" s="331">
        <v>0.21</v>
      </c>
      <c r="G12209" s="332">
        <v>758</v>
      </c>
      <c r="H12209" s="333">
        <v>918</v>
      </c>
    </row>
    <row r="12210" spans="1:8">
      <c r="A12210" s="317">
        <v>2609170136</v>
      </c>
      <c r="B12210" s="330" t="s">
        <v>56563</v>
      </c>
      <c r="C12210" s="330" t="s">
        <v>26398</v>
      </c>
      <c r="D12210" s="330" t="s">
        <v>26397</v>
      </c>
      <c r="E12210" s="330" t="s">
        <v>4819</v>
      </c>
      <c r="F12210" s="331">
        <v>0.21</v>
      </c>
      <c r="G12210" s="332">
        <v>758</v>
      </c>
      <c r="H12210" s="333">
        <v>918</v>
      </c>
    </row>
    <row r="12211" spans="1:8">
      <c r="A12211" s="317">
        <v>2609170137</v>
      </c>
      <c r="B12211" s="330" t="s">
        <v>56564</v>
      </c>
      <c r="C12211" s="330" t="s">
        <v>26399</v>
      </c>
      <c r="D12211" s="330" t="s">
        <v>26397</v>
      </c>
      <c r="E12211" s="330" t="s">
        <v>4819</v>
      </c>
      <c r="F12211" s="331">
        <v>0.21</v>
      </c>
      <c r="G12211" s="332">
        <v>758</v>
      </c>
      <c r="H12211" s="333">
        <v>918</v>
      </c>
    </row>
    <row r="12212" spans="1:8">
      <c r="A12212" s="317">
        <v>2609170157</v>
      </c>
      <c r="B12212" s="330" t="s">
        <v>56565</v>
      </c>
      <c r="C12212" s="330" t="s">
        <v>26400</v>
      </c>
      <c r="D12212" s="330" t="s">
        <v>26401</v>
      </c>
      <c r="E12212" s="330" t="s">
        <v>4819</v>
      </c>
      <c r="F12212" s="331">
        <v>0.21</v>
      </c>
      <c r="G12212" s="332">
        <v>292</v>
      </c>
      <c r="H12212" s="333">
        <v>354</v>
      </c>
    </row>
    <row r="12213" spans="1:8">
      <c r="A12213" s="317">
        <v>2609170168</v>
      </c>
      <c r="B12213" s="330" t="s">
        <v>56566</v>
      </c>
      <c r="C12213" s="330" t="s">
        <v>26402</v>
      </c>
      <c r="D12213" s="330" t="s">
        <v>26403</v>
      </c>
      <c r="E12213" s="330" t="s">
        <v>4634</v>
      </c>
      <c r="F12213" s="331">
        <v>0.21</v>
      </c>
      <c r="G12213" s="332">
        <v>153</v>
      </c>
      <c r="H12213" s="333">
        <v>186</v>
      </c>
    </row>
    <row r="12214" spans="1:8">
      <c r="A12214" s="317">
        <v>2609170185</v>
      </c>
      <c r="B12214" s="330" t="s">
        <v>56567</v>
      </c>
      <c r="C12214" s="330" t="s">
        <v>26404</v>
      </c>
      <c r="D12214" s="330" t="s">
        <v>21176</v>
      </c>
      <c r="E12214" s="330" t="s">
        <v>4819</v>
      </c>
      <c r="F12214" s="331">
        <v>0.21</v>
      </c>
      <c r="G12214" s="332">
        <v>863</v>
      </c>
      <c r="H12214" s="333">
        <v>1045</v>
      </c>
    </row>
    <row r="12215" spans="1:8">
      <c r="A12215" s="317">
        <v>2609170204</v>
      </c>
      <c r="B12215" s="330" t="s">
        <v>56568</v>
      </c>
      <c r="C12215" s="330" t="s">
        <v>26405</v>
      </c>
      <c r="D12215" s="330" t="s">
        <v>26406</v>
      </c>
      <c r="E12215" s="330" t="s">
        <v>37248</v>
      </c>
      <c r="F12215" s="331">
        <v>0.21</v>
      </c>
      <c r="G12215" s="332">
        <v>1266</v>
      </c>
      <c r="H12215" s="333">
        <v>1532</v>
      </c>
    </row>
    <row r="12216" spans="1:8">
      <c r="A12216" s="317">
        <v>2609170212</v>
      </c>
      <c r="B12216" s="330" t="s">
        <v>56569</v>
      </c>
      <c r="C12216" s="330" t="s">
        <v>26407</v>
      </c>
      <c r="D12216" s="330" t="s">
        <v>12639</v>
      </c>
      <c r="E12216" s="330" t="s">
        <v>37248</v>
      </c>
      <c r="F12216" s="331">
        <v>0.21</v>
      </c>
      <c r="G12216" s="332">
        <v>361</v>
      </c>
      <c r="H12216" s="333">
        <v>437</v>
      </c>
    </row>
    <row r="12217" spans="1:8">
      <c r="A12217" s="317">
        <v>2609170216</v>
      </c>
      <c r="B12217" s="330" t="s">
        <v>56570</v>
      </c>
      <c r="C12217" s="330" t="s">
        <v>26408</v>
      </c>
      <c r="D12217" s="330" t="s">
        <v>26409</v>
      </c>
      <c r="E12217" s="330" t="s">
        <v>37248</v>
      </c>
      <c r="F12217" s="331">
        <v>0.21</v>
      </c>
      <c r="G12217" s="332">
        <v>1247</v>
      </c>
      <c r="H12217" s="333">
        <v>1509</v>
      </c>
    </row>
    <row r="12218" spans="1:8">
      <c r="A12218" s="317">
        <v>2609170218</v>
      </c>
      <c r="B12218" s="330" t="s">
        <v>56571</v>
      </c>
      <c r="C12218" s="330" t="s">
        <v>26410</v>
      </c>
      <c r="D12218" s="330" t="s">
        <v>12592</v>
      </c>
      <c r="E12218" s="330" t="s">
        <v>37248</v>
      </c>
      <c r="F12218" s="331">
        <v>0.21</v>
      </c>
      <c r="G12218" s="332">
        <v>240</v>
      </c>
      <c r="H12218" s="333">
        <v>291</v>
      </c>
    </row>
    <row r="12219" spans="1:8">
      <c r="A12219" s="317">
        <v>2609170220</v>
      </c>
      <c r="B12219" s="330" t="s">
        <v>56572</v>
      </c>
      <c r="C12219" s="330" t="s">
        <v>26411</v>
      </c>
      <c r="D12219" s="330" t="s">
        <v>26412</v>
      </c>
      <c r="E12219" s="330" t="s">
        <v>37248</v>
      </c>
      <c r="F12219" s="331">
        <v>0.21</v>
      </c>
      <c r="G12219" s="332">
        <v>240</v>
      </c>
      <c r="H12219" s="333">
        <v>291</v>
      </c>
    </row>
    <row r="12220" spans="1:8">
      <c r="A12220" s="317">
        <v>2609170221</v>
      </c>
      <c r="B12220" s="330" t="s">
        <v>56573</v>
      </c>
      <c r="C12220" s="330" t="s">
        <v>26413</v>
      </c>
      <c r="D12220" s="330" t="s">
        <v>6896</v>
      </c>
      <c r="E12220" s="330" t="s">
        <v>37248</v>
      </c>
      <c r="F12220" s="331">
        <v>0.21</v>
      </c>
      <c r="G12220" s="332">
        <v>240</v>
      </c>
      <c r="H12220" s="333">
        <v>291</v>
      </c>
    </row>
    <row r="12221" spans="1:8">
      <c r="A12221" s="317">
        <v>2609170222</v>
      </c>
      <c r="B12221" s="330" t="s">
        <v>56574</v>
      </c>
      <c r="C12221" s="330" t="s">
        <v>26414</v>
      </c>
      <c r="D12221" s="330" t="s">
        <v>26415</v>
      </c>
      <c r="E12221" s="330" t="s">
        <v>37248</v>
      </c>
      <c r="F12221" s="331">
        <v>0.21</v>
      </c>
      <c r="G12221" s="332">
        <v>1835</v>
      </c>
      <c r="H12221" s="333">
        <v>2221</v>
      </c>
    </row>
    <row r="12222" spans="1:8">
      <c r="A12222" s="317">
        <v>2609170223</v>
      </c>
      <c r="B12222" s="330" t="s">
        <v>56575</v>
      </c>
      <c r="C12222" s="330" t="s">
        <v>26416</v>
      </c>
      <c r="D12222" s="330" t="s">
        <v>26417</v>
      </c>
      <c r="E12222" s="330" t="s">
        <v>4819</v>
      </c>
      <c r="F12222" s="331">
        <v>0.21</v>
      </c>
      <c r="G12222" s="332">
        <v>548</v>
      </c>
      <c r="H12222" s="333">
        <v>664</v>
      </c>
    </row>
    <row r="12223" spans="1:8">
      <c r="A12223" s="317">
        <v>2609170228</v>
      </c>
      <c r="B12223" s="330" t="s">
        <v>56576</v>
      </c>
      <c r="C12223" s="330" t="s">
        <v>26418</v>
      </c>
      <c r="D12223" s="330" t="s">
        <v>26419</v>
      </c>
      <c r="E12223" s="330" t="s">
        <v>4634</v>
      </c>
      <c r="F12223" s="331">
        <v>0.21</v>
      </c>
      <c r="G12223" s="332">
        <v>432</v>
      </c>
      <c r="H12223" s="333">
        <v>523</v>
      </c>
    </row>
    <row r="12224" spans="1:8">
      <c r="A12224" s="317">
        <v>2609170230</v>
      </c>
      <c r="B12224" s="330" t="s">
        <v>56577</v>
      </c>
      <c r="C12224" s="330" t="s">
        <v>26420</v>
      </c>
      <c r="D12224" s="330" t="s">
        <v>6193</v>
      </c>
      <c r="E12224" s="330" t="s">
        <v>4819</v>
      </c>
      <c r="F12224" s="331">
        <v>0.21</v>
      </c>
      <c r="G12224" s="332">
        <v>4851</v>
      </c>
      <c r="H12224" s="333">
        <v>5870</v>
      </c>
    </row>
    <row r="12225" spans="1:8">
      <c r="A12225" s="317">
        <v>2609170243</v>
      </c>
      <c r="B12225" s="330" t="s">
        <v>56578</v>
      </c>
      <c r="C12225" s="330" t="s">
        <v>26421</v>
      </c>
      <c r="D12225" s="330" t="s">
        <v>4814</v>
      </c>
      <c r="E12225" s="330" t="s">
        <v>37248</v>
      </c>
      <c r="F12225" s="331">
        <v>0.21</v>
      </c>
      <c r="G12225" s="332">
        <v>240</v>
      </c>
      <c r="H12225" s="333">
        <v>291</v>
      </c>
    </row>
    <row r="12226" spans="1:8">
      <c r="A12226" s="317">
        <v>2609170248</v>
      </c>
      <c r="B12226" s="330" t="s">
        <v>56579</v>
      </c>
      <c r="C12226" s="330" t="s">
        <v>26422</v>
      </c>
      <c r="D12226" s="330" t="s">
        <v>25876</v>
      </c>
      <c r="E12226" s="330" t="s">
        <v>4819</v>
      </c>
      <c r="F12226" s="331">
        <v>0.21</v>
      </c>
      <c r="G12226" s="332">
        <v>1182</v>
      </c>
      <c r="H12226" s="333">
        <v>1431</v>
      </c>
    </row>
    <row r="12227" spans="1:8">
      <c r="A12227" s="317">
        <v>2609170259</v>
      </c>
      <c r="B12227" s="330" t="s">
        <v>56580</v>
      </c>
      <c r="C12227" s="330" t="s">
        <v>26423</v>
      </c>
      <c r="D12227" s="330" t="s">
        <v>4830</v>
      </c>
      <c r="E12227" s="330" t="s">
        <v>37248</v>
      </c>
      <c r="F12227" s="331">
        <v>0.21</v>
      </c>
      <c r="G12227" s="332">
        <v>240</v>
      </c>
      <c r="H12227" s="333">
        <v>291</v>
      </c>
    </row>
    <row r="12228" spans="1:8">
      <c r="A12228" s="317">
        <v>2609170260</v>
      </c>
      <c r="B12228" s="330" t="s">
        <v>56581</v>
      </c>
      <c r="C12228" s="330" t="s">
        <v>26424</v>
      </c>
      <c r="D12228" s="330" t="s">
        <v>23079</v>
      </c>
      <c r="E12228" s="330" t="s">
        <v>37248</v>
      </c>
      <c r="F12228" s="331">
        <v>0.21</v>
      </c>
      <c r="G12228" s="332">
        <v>240</v>
      </c>
      <c r="H12228" s="333">
        <v>291</v>
      </c>
    </row>
    <row r="12229" spans="1:8">
      <c r="A12229" s="317">
        <v>2609170267</v>
      </c>
      <c r="B12229" s="330" t="s">
        <v>56582</v>
      </c>
      <c r="C12229" s="330" t="s">
        <v>26425</v>
      </c>
      <c r="D12229" s="330" t="s">
        <v>26426</v>
      </c>
      <c r="E12229" s="330" t="s">
        <v>37248</v>
      </c>
      <c r="F12229" s="331">
        <v>0.21</v>
      </c>
      <c r="G12229" s="332">
        <v>671</v>
      </c>
      <c r="H12229" s="333">
        <v>812</v>
      </c>
    </row>
    <row r="12230" spans="1:8">
      <c r="A12230" s="317">
        <v>2609170273</v>
      </c>
      <c r="B12230" s="330" t="s">
        <v>56583</v>
      </c>
      <c r="C12230" s="330" t="s">
        <v>26427</v>
      </c>
      <c r="D12230" s="330" t="s">
        <v>4598</v>
      </c>
      <c r="E12230" s="330" t="s">
        <v>37248</v>
      </c>
      <c r="F12230" s="331">
        <v>0.21</v>
      </c>
      <c r="G12230" s="332">
        <v>628</v>
      </c>
      <c r="H12230" s="333">
        <v>760</v>
      </c>
    </row>
    <row r="12231" spans="1:8">
      <c r="A12231" s="317">
        <v>2609170274</v>
      </c>
      <c r="B12231" s="330" t="s">
        <v>56584</v>
      </c>
      <c r="C12231" s="330" t="s">
        <v>26428</v>
      </c>
      <c r="D12231" s="330" t="s">
        <v>4814</v>
      </c>
      <c r="E12231" s="330" t="s">
        <v>4819</v>
      </c>
      <c r="F12231" s="331">
        <v>0.21</v>
      </c>
      <c r="G12231" s="332">
        <v>410</v>
      </c>
      <c r="H12231" s="333">
        <v>497</v>
      </c>
    </row>
    <row r="12232" spans="1:8">
      <c r="A12232" s="317">
        <v>2609170278</v>
      </c>
      <c r="B12232" s="330" t="s">
        <v>56585</v>
      </c>
      <c r="C12232" s="330" t="s">
        <v>26429</v>
      </c>
      <c r="D12232" s="330" t="s">
        <v>26430</v>
      </c>
      <c r="E12232" s="330" t="s">
        <v>4819</v>
      </c>
      <c r="F12232" s="331">
        <v>0.21</v>
      </c>
      <c r="G12232" s="332">
        <v>519</v>
      </c>
      <c r="H12232" s="333">
        <v>628</v>
      </c>
    </row>
    <row r="12233" spans="1:8">
      <c r="A12233" s="317">
        <v>2609170312</v>
      </c>
      <c r="B12233" s="330" t="s">
        <v>56586</v>
      </c>
      <c r="C12233" s="330" t="s">
        <v>26431</v>
      </c>
      <c r="D12233" s="330" t="s">
        <v>26432</v>
      </c>
      <c r="E12233" s="330" t="s">
        <v>37248</v>
      </c>
      <c r="F12233" s="331">
        <v>0.21</v>
      </c>
      <c r="G12233" s="332">
        <v>646</v>
      </c>
      <c r="H12233" s="333">
        <v>782</v>
      </c>
    </row>
    <row r="12234" spans="1:8">
      <c r="A12234" s="317">
        <v>2609199008</v>
      </c>
      <c r="B12234" s="330" t="s">
        <v>56587</v>
      </c>
      <c r="C12234" s="330" t="s">
        <v>26433</v>
      </c>
      <c r="D12234" s="330" t="s">
        <v>8734</v>
      </c>
      <c r="E12234" s="330" t="s">
        <v>4634</v>
      </c>
      <c r="F12234" s="331">
        <v>0.21</v>
      </c>
      <c r="G12234" s="332">
        <v>455</v>
      </c>
      <c r="H12234" s="333">
        <v>551</v>
      </c>
    </row>
    <row r="12235" spans="1:8">
      <c r="A12235" s="317">
        <v>2609199027</v>
      </c>
      <c r="B12235" s="330" t="s">
        <v>56588</v>
      </c>
      <c r="C12235" s="330" t="s">
        <v>26434</v>
      </c>
      <c r="D12235" s="330" t="s">
        <v>26435</v>
      </c>
      <c r="E12235" s="330" t="s">
        <v>4634</v>
      </c>
      <c r="F12235" s="331">
        <v>0.21</v>
      </c>
      <c r="G12235" s="332">
        <v>1798</v>
      </c>
      <c r="H12235" s="333">
        <v>2176</v>
      </c>
    </row>
    <row r="12236" spans="1:8">
      <c r="A12236" s="317">
        <v>2609199038</v>
      </c>
      <c r="B12236" s="330" t="s">
        <v>56589</v>
      </c>
      <c r="C12236" s="330" t="s">
        <v>26436</v>
      </c>
      <c r="D12236" s="330" t="s">
        <v>26437</v>
      </c>
      <c r="E12236" s="330" t="s">
        <v>4634</v>
      </c>
      <c r="F12236" s="331">
        <v>0.21</v>
      </c>
      <c r="G12236" s="332">
        <v>49665</v>
      </c>
      <c r="H12236" s="333">
        <v>60095</v>
      </c>
    </row>
    <row r="12237" spans="1:8">
      <c r="A12237" s="317">
        <v>2609199041</v>
      </c>
      <c r="B12237" s="330" t="s">
        <v>56590</v>
      </c>
      <c r="C12237" s="330" t="s">
        <v>26438</v>
      </c>
      <c r="D12237" s="330" t="s">
        <v>26439</v>
      </c>
      <c r="E12237" s="330" t="s">
        <v>4819</v>
      </c>
      <c r="F12237" s="331">
        <v>0.21</v>
      </c>
      <c r="G12237" s="332">
        <v>7332</v>
      </c>
      <c r="H12237" s="333">
        <v>8872</v>
      </c>
    </row>
    <row r="12238" spans="1:8">
      <c r="A12238" s="317">
        <v>2609199047</v>
      </c>
      <c r="B12238" s="330" t="s">
        <v>56591</v>
      </c>
      <c r="C12238" s="330" t="s">
        <v>26440</v>
      </c>
      <c r="D12238" s="330" t="s">
        <v>26441</v>
      </c>
      <c r="E12238" s="330" t="s">
        <v>4819</v>
      </c>
      <c r="F12238" s="331">
        <v>0.21</v>
      </c>
      <c r="G12238" s="332">
        <v>87872</v>
      </c>
      <c r="H12238" s="333">
        <v>106326</v>
      </c>
    </row>
    <row r="12239" spans="1:8">
      <c r="A12239" s="317">
        <v>2609199048</v>
      </c>
      <c r="B12239" s="330" t="s">
        <v>56592</v>
      </c>
      <c r="C12239" s="330" t="s">
        <v>26442</v>
      </c>
      <c r="D12239" s="330" t="s">
        <v>26443</v>
      </c>
      <c r="E12239" s="330" t="s">
        <v>37248</v>
      </c>
      <c r="F12239" s="331">
        <v>0.21</v>
      </c>
      <c r="G12239" s="332">
        <v>12777</v>
      </c>
      <c r="H12239" s="333">
        <v>15461</v>
      </c>
    </row>
    <row r="12240" spans="1:8">
      <c r="A12240" s="317">
        <v>2609199059</v>
      </c>
      <c r="B12240" s="330" t="s">
        <v>56593</v>
      </c>
      <c r="C12240" s="330" t="s">
        <v>26444</v>
      </c>
      <c r="D12240" s="330" t="s">
        <v>26445</v>
      </c>
      <c r="E12240" s="330" t="s">
        <v>4819</v>
      </c>
      <c r="F12240" s="331">
        <v>0.21</v>
      </c>
      <c r="G12240" s="332">
        <v>19867</v>
      </c>
      <c r="H12240" s="333">
        <v>24040</v>
      </c>
    </row>
    <row r="12241" spans="1:8">
      <c r="A12241" s="317">
        <v>2609199067</v>
      </c>
      <c r="B12241" s="330" t="s">
        <v>56594</v>
      </c>
      <c r="C12241" s="330" t="s">
        <v>26446</v>
      </c>
      <c r="D12241" s="330" t="s">
        <v>26447</v>
      </c>
      <c r="E12241" s="330" t="s">
        <v>37248</v>
      </c>
      <c r="F12241" s="331">
        <v>0.21</v>
      </c>
      <c r="G12241" s="332">
        <v>46065</v>
      </c>
      <c r="H12241" s="333">
        <v>55739</v>
      </c>
    </row>
    <row r="12242" spans="1:8">
      <c r="A12242" s="317">
        <v>2609199069</v>
      </c>
      <c r="B12242" s="330" t="s">
        <v>56595</v>
      </c>
      <c r="C12242" s="330" t="s">
        <v>26448</v>
      </c>
      <c r="D12242" s="330" t="s">
        <v>26449</v>
      </c>
      <c r="E12242" s="330" t="s">
        <v>4819</v>
      </c>
      <c r="F12242" s="331">
        <v>0.21</v>
      </c>
      <c r="G12242" s="332">
        <v>16404</v>
      </c>
      <c r="H12242" s="333">
        <v>19849</v>
      </c>
    </row>
    <row r="12243" spans="1:8">
      <c r="A12243" s="317">
        <v>2609199070</v>
      </c>
      <c r="B12243" s="330" t="s">
        <v>56596</v>
      </c>
      <c r="C12243" s="330" t="s">
        <v>26450</v>
      </c>
      <c r="D12243" s="330" t="s">
        <v>26451</v>
      </c>
      <c r="E12243" s="330" t="s">
        <v>37248</v>
      </c>
      <c r="F12243" s="331">
        <v>0.21</v>
      </c>
      <c r="G12243" s="332">
        <v>43390</v>
      </c>
      <c r="H12243" s="333">
        <v>52502</v>
      </c>
    </row>
    <row r="12244" spans="1:8">
      <c r="A12244" s="317">
        <v>2609199083</v>
      </c>
      <c r="B12244" s="330" t="s">
        <v>56597</v>
      </c>
      <c r="C12244" s="330" t="s">
        <v>26452</v>
      </c>
      <c r="D12244" s="330" t="s">
        <v>26453</v>
      </c>
      <c r="E12244" s="330" t="s">
        <v>4634</v>
      </c>
      <c r="F12244" s="331">
        <v>0.21</v>
      </c>
      <c r="G12244" s="332">
        <v>3366</v>
      </c>
      <c r="H12244" s="333">
        <v>4073</v>
      </c>
    </row>
    <row r="12245" spans="1:8">
      <c r="A12245" s="317">
        <v>2609199100</v>
      </c>
      <c r="B12245" s="330" t="s">
        <v>56598</v>
      </c>
      <c r="C12245" s="330" t="s">
        <v>26454</v>
      </c>
      <c r="D12245" s="330" t="s">
        <v>26455</v>
      </c>
      <c r="E12245" s="330" t="s">
        <v>37248</v>
      </c>
      <c r="F12245" s="331">
        <v>0.21</v>
      </c>
      <c r="G12245" s="332">
        <v>600</v>
      </c>
      <c r="H12245" s="333">
        <v>726</v>
      </c>
    </row>
    <row r="12246" spans="1:8">
      <c r="A12246" s="317">
        <v>2609199109</v>
      </c>
      <c r="B12246" s="330" t="s">
        <v>56599</v>
      </c>
      <c r="C12246" s="330" t="s">
        <v>26456</v>
      </c>
      <c r="D12246" s="330" t="s">
        <v>26457</v>
      </c>
      <c r="E12246" s="330" t="s">
        <v>4634</v>
      </c>
      <c r="F12246" s="331">
        <v>0.21</v>
      </c>
      <c r="G12246" s="332">
        <v>1976</v>
      </c>
      <c r="H12246" s="333">
        <v>2391</v>
      </c>
    </row>
    <row r="12247" spans="1:8">
      <c r="A12247" s="317">
        <v>2609199110</v>
      </c>
      <c r="B12247" s="330" t="s">
        <v>56600</v>
      </c>
      <c r="C12247" s="330" t="s">
        <v>26458</v>
      </c>
      <c r="D12247" s="330" t="s">
        <v>26459</v>
      </c>
      <c r="E12247" s="330" t="s">
        <v>4634</v>
      </c>
      <c r="F12247" s="331">
        <v>0.21</v>
      </c>
      <c r="G12247" s="332">
        <v>6234</v>
      </c>
      <c r="H12247" s="333">
        <v>7544</v>
      </c>
    </row>
    <row r="12248" spans="1:8">
      <c r="A12248" s="317">
        <v>2609199112</v>
      </c>
      <c r="B12248" s="330" t="s">
        <v>56601</v>
      </c>
      <c r="C12248" s="330" t="s">
        <v>26460</v>
      </c>
      <c r="D12248" s="330" t="s">
        <v>26461</v>
      </c>
      <c r="E12248" s="330" t="s">
        <v>4634</v>
      </c>
      <c r="F12248" s="331">
        <v>0.21</v>
      </c>
      <c r="G12248" s="332">
        <v>13616</v>
      </c>
      <c r="H12248" s="333">
        <v>16476</v>
      </c>
    </row>
    <row r="12249" spans="1:8">
      <c r="A12249" s="317">
        <v>2609199114</v>
      </c>
      <c r="B12249" s="330" t="s">
        <v>56602</v>
      </c>
      <c r="C12249" s="330" t="s">
        <v>26462</v>
      </c>
      <c r="D12249" s="330" t="s">
        <v>25676</v>
      </c>
      <c r="E12249" s="330" t="s">
        <v>4634</v>
      </c>
      <c r="F12249" s="331">
        <v>0.21</v>
      </c>
      <c r="G12249" s="332">
        <v>1692</v>
      </c>
      <c r="H12249" s="333">
        <v>2048</v>
      </c>
    </row>
    <row r="12250" spans="1:8">
      <c r="A12250" s="317">
        <v>2609199119</v>
      </c>
      <c r="B12250" s="330" t="s">
        <v>56603</v>
      </c>
      <c r="C12250" s="330" t="s">
        <v>26463</v>
      </c>
      <c r="D12250" s="330" t="s">
        <v>26464</v>
      </c>
      <c r="E12250" s="330" t="s">
        <v>4634</v>
      </c>
      <c r="F12250" s="331">
        <v>0.21</v>
      </c>
      <c r="G12250" s="332">
        <v>938</v>
      </c>
      <c r="H12250" s="333">
        <v>1135</v>
      </c>
    </row>
    <row r="12251" spans="1:8">
      <c r="A12251" s="317">
        <v>2609199125</v>
      </c>
      <c r="B12251" s="330" t="s">
        <v>56604</v>
      </c>
      <c r="C12251" s="330" t="s">
        <v>26465</v>
      </c>
      <c r="D12251" s="330" t="s">
        <v>26466</v>
      </c>
      <c r="E12251" s="330" t="s">
        <v>4634</v>
      </c>
      <c r="F12251" s="331">
        <v>0.21</v>
      </c>
      <c r="G12251" s="332">
        <v>455</v>
      </c>
      <c r="H12251" s="333">
        <v>551</v>
      </c>
    </row>
    <row r="12252" spans="1:8">
      <c r="A12252" s="317">
        <v>2609199127</v>
      </c>
      <c r="B12252" s="330" t="s">
        <v>56605</v>
      </c>
      <c r="C12252" s="330" t="s">
        <v>26467</v>
      </c>
      <c r="D12252" s="330" t="s">
        <v>26468</v>
      </c>
      <c r="E12252" s="330" t="s">
        <v>4819</v>
      </c>
      <c r="F12252" s="331">
        <v>0.21</v>
      </c>
      <c r="G12252" s="332">
        <v>51301</v>
      </c>
      <c r="H12252" s="333">
        <v>62075</v>
      </c>
    </row>
    <row r="12253" spans="1:8">
      <c r="A12253" s="317">
        <v>2609199128</v>
      </c>
      <c r="B12253" s="330" t="s">
        <v>56606</v>
      </c>
      <c r="C12253" s="330" t="s">
        <v>26469</v>
      </c>
      <c r="D12253" s="330" t="s">
        <v>26470</v>
      </c>
      <c r="E12253" s="330" t="s">
        <v>4819</v>
      </c>
      <c r="F12253" s="331">
        <v>0.21</v>
      </c>
      <c r="G12253" s="332">
        <v>53011</v>
      </c>
      <c r="H12253" s="333">
        <v>64144</v>
      </c>
    </row>
    <row r="12254" spans="1:8">
      <c r="A12254" s="317">
        <v>2609199130</v>
      </c>
      <c r="B12254" s="330" t="s">
        <v>56607</v>
      </c>
      <c r="C12254" s="330" t="s">
        <v>26471</v>
      </c>
      <c r="D12254" s="330" t="s">
        <v>26472</v>
      </c>
      <c r="E12254" s="330" t="s">
        <v>4634</v>
      </c>
      <c r="F12254" s="331">
        <v>0.21</v>
      </c>
      <c r="G12254" s="332">
        <v>6593</v>
      </c>
      <c r="H12254" s="333">
        <v>7978</v>
      </c>
    </row>
    <row r="12255" spans="1:8">
      <c r="A12255" s="317">
        <v>2609199131</v>
      </c>
      <c r="B12255" s="330" t="s">
        <v>56608</v>
      </c>
      <c r="C12255" s="330" t="s">
        <v>26473</v>
      </c>
      <c r="D12255" s="330" t="s">
        <v>26474</v>
      </c>
      <c r="E12255" s="330" t="s">
        <v>37248</v>
      </c>
      <c r="F12255" s="331">
        <v>0.21</v>
      </c>
      <c r="G12255" s="332">
        <v>38667</v>
      </c>
      <c r="H12255" s="333">
        <v>46788</v>
      </c>
    </row>
    <row r="12256" spans="1:8">
      <c r="A12256" s="317">
        <v>2609199133</v>
      </c>
      <c r="B12256" s="330" t="s">
        <v>56609</v>
      </c>
      <c r="C12256" s="330" t="s">
        <v>26475</v>
      </c>
      <c r="D12256" s="330" t="s">
        <v>5888</v>
      </c>
      <c r="E12256" s="330" t="s">
        <v>4634</v>
      </c>
      <c r="F12256" s="331">
        <v>0.21</v>
      </c>
      <c r="G12256" s="332">
        <v>5795</v>
      </c>
      <c r="H12256" s="333">
        <v>7012</v>
      </c>
    </row>
    <row r="12257" spans="1:8">
      <c r="A12257" s="317">
        <v>2609199135</v>
      </c>
      <c r="B12257" s="330" t="s">
        <v>56610</v>
      </c>
      <c r="C12257" s="330" t="s">
        <v>26476</v>
      </c>
      <c r="D12257" s="330" t="s">
        <v>5073</v>
      </c>
      <c r="E12257" s="330" t="s">
        <v>4634</v>
      </c>
      <c r="F12257" s="331">
        <v>0.21</v>
      </c>
      <c r="G12257" s="332">
        <v>110168</v>
      </c>
      <c r="H12257" s="333">
        <v>133304</v>
      </c>
    </row>
    <row r="12258" spans="1:8">
      <c r="A12258" s="317">
        <v>2609199140</v>
      </c>
      <c r="B12258" s="330" t="s">
        <v>56611</v>
      </c>
      <c r="C12258" s="330" t="s">
        <v>26477</v>
      </c>
      <c r="D12258" s="330" t="s">
        <v>26478</v>
      </c>
      <c r="E12258" s="330" t="s">
        <v>4819</v>
      </c>
      <c r="F12258" s="331">
        <v>0.21</v>
      </c>
      <c r="G12258" s="332">
        <v>52980</v>
      </c>
      <c r="H12258" s="333">
        <v>64106</v>
      </c>
    </row>
    <row r="12259" spans="1:8">
      <c r="A12259" s="317">
        <v>2609199143</v>
      </c>
      <c r="B12259" s="330" t="s">
        <v>56612</v>
      </c>
      <c r="C12259" s="330" t="s">
        <v>26479</v>
      </c>
      <c r="D12259" s="330" t="s">
        <v>26480</v>
      </c>
      <c r="E12259" s="330" t="s">
        <v>37248</v>
      </c>
      <c r="F12259" s="331">
        <v>0.21</v>
      </c>
      <c r="G12259" s="332">
        <v>196968</v>
      </c>
      <c r="H12259" s="333">
        <v>238332</v>
      </c>
    </row>
    <row r="12260" spans="1:8">
      <c r="A12260" s="317">
        <v>2609199145</v>
      </c>
      <c r="B12260" s="330" t="s">
        <v>56613</v>
      </c>
      <c r="C12260" s="330" t="s">
        <v>26481</v>
      </c>
      <c r="D12260" s="330" t="s">
        <v>6492</v>
      </c>
      <c r="E12260" s="330" t="s">
        <v>37248</v>
      </c>
      <c r="F12260" s="331">
        <v>0.21</v>
      </c>
      <c r="G12260" s="332">
        <v>4795</v>
      </c>
      <c r="H12260" s="333">
        <v>5802</v>
      </c>
    </row>
    <row r="12261" spans="1:8">
      <c r="A12261" s="317">
        <v>2609199146</v>
      </c>
      <c r="B12261" s="330" t="s">
        <v>56614</v>
      </c>
      <c r="C12261" s="330" t="s">
        <v>26482</v>
      </c>
      <c r="D12261" s="330" t="s">
        <v>26483</v>
      </c>
      <c r="E12261" s="330" t="s">
        <v>4634</v>
      </c>
      <c r="F12261" s="331">
        <v>0.21</v>
      </c>
      <c r="G12261" s="332">
        <v>1431</v>
      </c>
      <c r="H12261" s="333">
        <v>1732</v>
      </c>
    </row>
    <row r="12262" spans="1:8">
      <c r="A12262" s="317">
        <v>2609199157</v>
      </c>
      <c r="B12262" s="330" t="s">
        <v>56615</v>
      </c>
      <c r="C12262" s="330" t="s">
        <v>26484</v>
      </c>
      <c r="D12262" s="330" t="s">
        <v>26485</v>
      </c>
      <c r="E12262" s="330" t="s">
        <v>4634</v>
      </c>
      <c r="F12262" s="331">
        <v>0.21</v>
      </c>
      <c r="G12262" s="332">
        <v>1927</v>
      </c>
      <c r="H12262" s="333">
        <v>2332</v>
      </c>
    </row>
    <row r="12263" spans="1:8">
      <c r="A12263" s="317">
        <v>2609199164</v>
      </c>
      <c r="B12263" s="330" t="s">
        <v>56616</v>
      </c>
      <c r="C12263" s="330" t="s">
        <v>26486</v>
      </c>
      <c r="D12263" s="330" t="s">
        <v>26487</v>
      </c>
      <c r="E12263" s="330" t="s">
        <v>37248</v>
      </c>
      <c r="F12263" s="331">
        <v>0.21</v>
      </c>
      <c r="G12263" s="332">
        <v>29439</v>
      </c>
      <c r="H12263" s="333">
        <v>35622</v>
      </c>
    </row>
    <row r="12264" spans="1:8">
      <c r="A12264" s="317">
        <v>2609199167</v>
      </c>
      <c r="B12264" s="330" t="s">
        <v>56617</v>
      </c>
      <c r="C12264" s="330" t="s">
        <v>26488</v>
      </c>
      <c r="D12264" s="330" t="s">
        <v>26489</v>
      </c>
      <c r="E12264" s="330" t="s">
        <v>4634</v>
      </c>
      <c r="F12264" s="331">
        <v>0.21</v>
      </c>
      <c r="G12264" s="332">
        <v>26015</v>
      </c>
      <c r="H12264" s="333">
        <v>31479</v>
      </c>
    </row>
    <row r="12265" spans="1:8">
      <c r="A12265" s="317">
        <v>2609199169</v>
      </c>
      <c r="B12265" s="330" t="s">
        <v>56618</v>
      </c>
      <c r="C12265" s="330" t="s">
        <v>26490</v>
      </c>
      <c r="D12265" s="330" t="s">
        <v>26491</v>
      </c>
      <c r="E12265" s="330" t="s">
        <v>37248</v>
      </c>
      <c r="F12265" s="331">
        <v>0.21</v>
      </c>
      <c r="G12265" s="332">
        <v>9101</v>
      </c>
      <c r="H12265" s="333">
        <v>11013</v>
      </c>
    </row>
    <row r="12266" spans="1:8">
      <c r="A12266" s="317">
        <v>2609199173</v>
      </c>
      <c r="B12266" s="330" t="s">
        <v>56619</v>
      </c>
      <c r="C12266" s="330" t="s">
        <v>26492</v>
      </c>
      <c r="D12266" s="330" t="s">
        <v>26493</v>
      </c>
      <c r="E12266" s="330" t="s">
        <v>4634</v>
      </c>
      <c r="F12266" s="331">
        <v>0.21</v>
      </c>
      <c r="G12266" s="332">
        <v>4963</v>
      </c>
      <c r="H12266" s="333">
        <v>6006</v>
      </c>
    </row>
    <row r="12267" spans="1:8">
      <c r="A12267" s="317">
        <v>2609199177</v>
      </c>
      <c r="B12267" s="330" t="s">
        <v>56620</v>
      </c>
      <c r="C12267" s="330" t="s">
        <v>26494</v>
      </c>
      <c r="D12267" s="330" t="s">
        <v>26495</v>
      </c>
      <c r="E12267" s="330" t="s">
        <v>37248</v>
      </c>
      <c r="F12267" s="331">
        <v>0.21</v>
      </c>
      <c r="G12267" s="332">
        <v>56724</v>
      </c>
      <c r="H12267" s="333">
        <v>68637</v>
      </c>
    </row>
    <row r="12268" spans="1:8">
      <c r="A12268" s="317">
        <v>2609199180</v>
      </c>
      <c r="B12268" s="330" t="s">
        <v>56621</v>
      </c>
      <c r="C12268" s="330" t="s">
        <v>26496</v>
      </c>
      <c r="D12268" s="330" t="s">
        <v>26497</v>
      </c>
      <c r="E12268" s="330" t="s">
        <v>37248</v>
      </c>
      <c r="F12268" s="331">
        <v>0.21</v>
      </c>
      <c r="G12268" s="332">
        <v>67619</v>
      </c>
      <c r="H12268" s="333">
        <v>81819</v>
      </c>
    </row>
    <row r="12269" spans="1:8">
      <c r="A12269" s="317">
        <v>2609199182</v>
      </c>
      <c r="B12269" s="330" t="s">
        <v>56622</v>
      </c>
      <c r="C12269" s="330" t="s">
        <v>26498</v>
      </c>
      <c r="D12269" s="330" t="s">
        <v>26499</v>
      </c>
      <c r="E12269" s="330" t="s">
        <v>4634</v>
      </c>
      <c r="F12269" s="331">
        <v>0.21</v>
      </c>
      <c r="G12269" s="332">
        <v>29903</v>
      </c>
      <c r="H12269" s="333">
        <v>36183</v>
      </c>
    </row>
    <row r="12270" spans="1:8">
      <c r="A12270" s="317">
        <v>2609199185</v>
      </c>
      <c r="B12270" s="330" t="s">
        <v>56623</v>
      </c>
      <c r="C12270" s="330" t="s">
        <v>26500</v>
      </c>
      <c r="D12270" s="330" t="s">
        <v>26501</v>
      </c>
      <c r="E12270" s="330" t="s">
        <v>37248</v>
      </c>
      <c r="F12270" s="331">
        <v>0.21</v>
      </c>
      <c r="G12270" s="332">
        <v>67915</v>
      </c>
      <c r="H12270" s="333">
        <v>82178</v>
      </c>
    </row>
    <row r="12271" spans="1:8">
      <c r="A12271" s="317">
        <v>2609199186</v>
      </c>
      <c r="B12271" s="330" t="s">
        <v>56624</v>
      </c>
      <c r="C12271" s="330" t="s">
        <v>26502</v>
      </c>
      <c r="D12271" s="330" t="s">
        <v>26503</v>
      </c>
      <c r="E12271" s="330" t="s">
        <v>4634</v>
      </c>
      <c r="F12271" s="331">
        <v>0.21</v>
      </c>
      <c r="G12271" s="332">
        <v>85485</v>
      </c>
      <c r="H12271" s="333">
        <v>103437</v>
      </c>
    </row>
    <row r="12272" spans="1:8">
      <c r="A12272" s="317">
        <v>2609199188</v>
      </c>
      <c r="B12272" s="330" t="s">
        <v>56625</v>
      </c>
      <c r="C12272" s="330" t="s">
        <v>26504</v>
      </c>
      <c r="D12272" s="330" t="s">
        <v>26505</v>
      </c>
      <c r="E12272" s="330" t="s">
        <v>37248</v>
      </c>
      <c r="F12272" s="331">
        <v>0.21</v>
      </c>
      <c r="G12272" s="332">
        <v>25970</v>
      </c>
      <c r="H12272" s="333">
        <v>31424</v>
      </c>
    </row>
    <row r="12273" spans="1:8">
      <c r="A12273" s="317">
        <v>2609199190</v>
      </c>
      <c r="B12273" s="330" t="s">
        <v>56626</v>
      </c>
      <c r="C12273" s="330" t="s">
        <v>26506</v>
      </c>
      <c r="D12273" s="330" t="s">
        <v>26507</v>
      </c>
      <c r="E12273" s="330" t="s">
        <v>4819</v>
      </c>
      <c r="F12273" s="331">
        <v>0.21</v>
      </c>
      <c r="G12273" s="332">
        <v>13174</v>
      </c>
      <c r="H12273" s="333">
        <v>15941</v>
      </c>
    </row>
    <row r="12274" spans="1:8">
      <c r="A12274" s="317">
        <v>2609199193</v>
      </c>
      <c r="B12274" s="330" t="s">
        <v>56627</v>
      </c>
      <c r="C12274" s="330" t="s">
        <v>26508</v>
      </c>
      <c r="D12274" s="330" t="s">
        <v>26509</v>
      </c>
      <c r="E12274" s="330" t="s">
        <v>37248</v>
      </c>
      <c r="F12274" s="331">
        <v>0.21</v>
      </c>
      <c r="G12274" s="332">
        <v>10098</v>
      </c>
      <c r="H12274" s="333">
        <v>12219</v>
      </c>
    </row>
    <row r="12275" spans="1:8">
      <c r="A12275" s="317">
        <v>2609199195</v>
      </c>
      <c r="B12275" s="330" t="s">
        <v>56628</v>
      </c>
      <c r="C12275" s="330" t="s">
        <v>26510</v>
      </c>
      <c r="D12275" s="330" t="s">
        <v>26511</v>
      </c>
      <c r="E12275" s="330" t="s">
        <v>4634</v>
      </c>
      <c r="F12275" s="331">
        <v>0.21</v>
      </c>
      <c r="G12275" s="332">
        <v>8304</v>
      </c>
      <c r="H12275" s="333">
        <v>10048</v>
      </c>
    </row>
    <row r="12276" spans="1:8">
      <c r="A12276" s="317">
        <v>2609199223</v>
      </c>
      <c r="B12276" s="330" t="s">
        <v>56629</v>
      </c>
      <c r="C12276" s="330" t="s">
        <v>26512</v>
      </c>
      <c r="D12276" s="330" t="s">
        <v>26513</v>
      </c>
      <c r="E12276" s="330" t="s">
        <v>4634</v>
      </c>
      <c r="F12276" s="331">
        <v>0.21</v>
      </c>
      <c r="G12276" s="332">
        <v>2232</v>
      </c>
      <c r="H12276" s="333">
        <v>2701</v>
      </c>
    </row>
    <row r="12277" spans="1:8">
      <c r="A12277" s="317">
        <v>2609199228</v>
      </c>
      <c r="B12277" s="330" t="s">
        <v>56630</v>
      </c>
      <c r="C12277" s="330" t="s">
        <v>26514</v>
      </c>
      <c r="D12277" s="330" t="s">
        <v>5217</v>
      </c>
      <c r="E12277" s="330" t="s">
        <v>37248</v>
      </c>
      <c r="F12277" s="331">
        <v>0.21</v>
      </c>
      <c r="G12277" s="332">
        <v>10326</v>
      </c>
      <c r="H12277" s="333">
        <v>12495</v>
      </c>
    </row>
    <row r="12278" spans="1:8">
      <c r="A12278" s="317">
        <v>2609199241</v>
      </c>
      <c r="B12278" s="330" t="s">
        <v>56631</v>
      </c>
      <c r="C12278" s="330" t="s">
        <v>26515</v>
      </c>
      <c r="D12278" s="330" t="s">
        <v>26516</v>
      </c>
      <c r="E12278" s="330" t="s">
        <v>37248</v>
      </c>
      <c r="F12278" s="331">
        <v>0.21</v>
      </c>
      <c r="G12278" s="332">
        <v>74271</v>
      </c>
      <c r="H12278" s="333">
        <v>89868</v>
      </c>
    </row>
    <row r="12279" spans="1:8">
      <c r="A12279" s="317">
        <v>2609199251</v>
      </c>
      <c r="B12279" s="330" t="s">
        <v>56632</v>
      </c>
      <c r="C12279" s="330" t="s">
        <v>26517</v>
      </c>
      <c r="D12279" s="330" t="s">
        <v>26518</v>
      </c>
      <c r="E12279" s="330" t="s">
        <v>4819</v>
      </c>
      <c r="F12279" s="331">
        <v>0.21</v>
      </c>
      <c r="G12279" s="332">
        <v>5418</v>
      </c>
      <c r="H12279" s="333">
        <v>6556</v>
      </c>
    </row>
    <row r="12280" spans="1:8">
      <c r="A12280" s="317">
        <v>2609199255</v>
      </c>
      <c r="B12280" s="330" t="s">
        <v>56633</v>
      </c>
      <c r="C12280" s="330" t="s">
        <v>26519</v>
      </c>
      <c r="D12280" s="330" t="s">
        <v>26520</v>
      </c>
      <c r="E12280" s="330" t="s">
        <v>37248</v>
      </c>
      <c r="F12280" s="331">
        <v>0.21</v>
      </c>
      <c r="G12280" s="332">
        <v>90805</v>
      </c>
      <c r="H12280" s="333">
        <v>109875</v>
      </c>
    </row>
    <row r="12281" spans="1:8">
      <c r="A12281" s="317">
        <v>2609199258</v>
      </c>
      <c r="B12281" s="330" t="s">
        <v>56634</v>
      </c>
      <c r="C12281" s="330" t="s">
        <v>26521</v>
      </c>
      <c r="D12281" s="330" t="s">
        <v>26522</v>
      </c>
      <c r="E12281" s="330" t="s">
        <v>37248</v>
      </c>
      <c r="F12281" s="331">
        <v>0.21</v>
      </c>
      <c r="G12281" s="332">
        <v>45543</v>
      </c>
      <c r="H12281" s="333">
        <v>55108</v>
      </c>
    </row>
    <row r="12282" spans="1:8">
      <c r="A12282" s="317">
        <v>2609199266</v>
      </c>
      <c r="B12282" s="330" t="s">
        <v>56635</v>
      </c>
      <c r="C12282" s="330" t="s">
        <v>26523</v>
      </c>
      <c r="D12282" s="330" t="s">
        <v>26524</v>
      </c>
      <c r="E12282" s="330" t="s">
        <v>37248</v>
      </c>
      <c r="F12282" s="331">
        <v>0.21</v>
      </c>
      <c r="G12282" s="332">
        <v>113992</v>
      </c>
      <c r="H12282" s="333">
        <v>137931</v>
      </c>
    </row>
    <row r="12283" spans="1:8">
      <c r="A12283" s="317">
        <v>2609199269</v>
      </c>
      <c r="B12283" s="330" t="s">
        <v>56636</v>
      </c>
      <c r="C12283" s="330" t="s">
        <v>26525</v>
      </c>
      <c r="D12283" s="330" t="s">
        <v>26526</v>
      </c>
      <c r="E12283" s="330" t="s">
        <v>4819</v>
      </c>
      <c r="F12283" s="331">
        <v>0.21</v>
      </c>
      <c r="G12283" s="332">
        <v>50228</v>
      </c>
      <c r="H12283" s="333">
        <v>60776</v>
      </c>
    </row>
    <row r="12284" spans="1:8">
      <c r="A12284" s="317">
        <v>2609199270</v>
      </c>
      <c r="B12284" s="330" t="s">
        <v>56637</v>
      </c>
      <c r="C12284" s="330" t="s">
        <v>26527</v>
      </c>
      <c r="D12284" s="330" t="s">
        <v>26526</v>
      </c>
      <c r="E12284" s="330" t="s">
        <v>4819</v>
      </c>
      <c r="F12284" s="331">
        <v>0.21</v>
      </c>
      <c r="G12284" s="332">
        <v>32772</v>
      </c>
      <c r="H12284" s="333">
        <v>39655</v>
      </c>
    </row>
    <row r="12285" spans="1:8">
      <c r="A12285" s="317">
        <v>2609199275</v>
      </c>
      <c r="B12285" s="330" t="s">
        <v>56638</v>
      </c>
      <c r="C12285" s="330" t="s">
        <v>26528</v>
      </c>
      <c r="D12285" s="330" t="s">
        <v>26529</v>
      </c>
      <c r="E12285" s="330" t="s">
        <v>4819</v>
      </c>
      <c r="F12285" s="331">
        <v>0.21</v>
      </c>
      <c r="G12285" s="332">
        <v>39007</v>
      </c>
      <c r="H12285" s="333">
        <v>47199</v>
      </c>
    </row>
    <row r="12286" spans="1:8">
      <c r="A12286" s="317">
        <v>2609199279</v>
      </c>
      <c r="B12286" s="330" t="s">
        <v>56639</v>
      </c>
      <c r="C12286" s="330" t="s">
        <v>26530</v>
      </c>
      <c r="D12286" s="330" t="s">
        <v>26531</v>
      </c>
      <c r="E12286" s="330" t="s">
        <v>37248</v>
      </c>
      <c r="F12286" s="331">
        <v>0.21</v>
      </c>
      <c r="G12286" s="332">
        <v>1617</v>
      </c>
      <c r="H12286" s="333">
        <v>1957</v>
      </c>
    </row>
    <row r="12287" spans="1:8">
      <c r="A12287" s="317">
        <v>2609199281</v>
      </c>
      <c r="B12287" s="330" t="s">
        <v>56640</v>
      </c>
      <c r="C12287" s="330" t="s">
        <v>26532</v>
      </c>
      <c r="D12287" s="330" t="s">
        <v>26533</v>
      </c>
      <c r="E12287" s="330" t="s">
        <v>37248</v>
      </c>
      <c r="F12287" s="331">
        <v>0.21</v>
      </c>
      <c r="G12287" s="332">
        <v>33938</v>
      </c>
      <c r="H12287" s="333">
        <v>41065</v>
      </c>
    </row>
    <row r="12288" spans="1:8">
      <c r="A12288" s="317">
        <v>2609199282</v>
      </c>
      <c r="B12288" s="330" t="s">
        <v>56641</v>
      </c>
      <c r="C12288" s="330" t="s">
        <v>26534</v>
      </c>
      <c r="D12288" s="330" t="s">
        <v>26535</v>
      </c>
      <c r="E12288" s="330" t="s">
        <v>37248</v>
      </c>
      <c r="F12288" s="331">
        <v>0.21</v>
      </c>
      <c r="G12288" s="332">
        <v>37153</v>
      </c>
      <c r="H12288" s="333">
        <v>44956</v>
      </c>
    </row>
    <row r="12289" spans="1:8">
      <c r="A12289" s="317">
        <v>2609199283</v>
      </c>
      <c r="B12289" s="330" t="s">
        <v>56642</v>
      </c>
      <c r="C12289" s="330" t="s">
        <v>26536</v>
      </c>
      <c r="D12289" s="330" t="s">
        <v>26537</v>
      </c>
      <c r="E12289" s="330" t="s">
        <v>4634</v>
      </c>
      <c r="F12289" s="331">
        <v>0.21</v>
      </c>
      <c r="G12289" s="332">
        <v>19215</v>
      </c>
      <c r="H12289" s="333">
        <v>23251</v>
      </c>
    </row>
    <row r="12290" spans="1:8">
      <c r="A12290" s="317">
        <v>2609199298</v>
      </c>
      <c r="B12290" s="330" t="s">
        <v>56643</v>
      </c>
      <c r="C12290" s="330" t="s">
        <v>26538</v>
      </c>
      <c r="D12290" s="330" t="s">
        <v>26539</v>
      </c>
      <c r="E12290" s="330" t="s">
        <v>4819</v>
      </c>
      <c r="F12290" s="331">
        <v>0.21</v>
      </c>
      <c r="G12290" s="332">
        <v>57511</v>
      </c>
      <c r="H12290" s="333">
        <v>69589</v>
      </c>
    </row>
    <row r="12291" spans="1:8">
      <c r="A12291" s="317">
        <v>2609199312</v>
      </c>
      <c r="B12291" s="330" t="s">
        <v>56644</v>
      </c>
      <c r="C12291" s="330" t="s">
        <v>26540</v>
      </c>
      <c r="D12291" s="330" t="s">
        <v>26541</v>
      </c>
      <c r="E12291" s="330" t="s">
        <v>4819</v>
      </c>
      <c r="F12291" s="331">
        <v>0.21</v>
      </c>
      <c r="G12291" s="332">
        <v>103779</v>
      </c>
      <c r="H12291" s="333">
        <v>125573</v>
      </c>
    </row>
    <row r="12292" spans="1:8">
      <c r="A12292" s="317">
        <v>2609199316</v>
      </c>
      <c r="B12292" s="330" t="s">
        <v>56645</v>
      </c>
      <c r="C12292" s="330" t="s">
        <v>26542</v>
      </c>
      <c r="D12292" s="330" t="s">
        <v>26543</v>
      </c>
      <c r="E12292" s="330" t="s">
        <v>37248</v>
      </c>
      <c r="F12292" s="331">
        <v>0.21</v>
      </c>
      <c r="G12292" s="332">
        <v>125837</v>
      </c>
      <c r="H12292" s="333">
        <v>152263</v>
      </c>
    </row>
    <row r="12293" spans="1:8">
      <c r="A12293" s="317">
        <v>2609199319</v>
      </c>
      <c r="B12293" s="330" t="s">
        <v>56646</v>
      </c>
      <c r="C12293" s="330" t="s">
        <v>26544</v>
      </c>
      <c r="D12293" s="330" t="s">
        <v>26545</v>
      </c>
      <c r="E12293" s="330" t="s">
        <v>4819</v>
      </c>
      <c r="F12293" s="331">
        <v>0.21</v>
      </c>
      <c r="G12293" s="332">
        <v>14100</v>
      </c>
      <c r="H12293" s="333">
        <v>17061</v>
      </c>
    </row>
    <row r="12294" spans="1:8">
      <c r="A12294" s="317">
        <v>2609199320</v>
      </c>
      <c r="B12294" s="330" t="s">
        <v>56647</v>
      </c>
      <c r="C12294" s="330" t="s">
        <v>26546</v>
      </c>
      <c r="D12294" s="330" t="s">
        <v>26547</v>
      </c>
      <c r="E12294" s="330" t="s">
        <v>4634</v>
      </c>
      <c r="F12294" s="331">
        <v>0.21</v>
      </c>
      <c r="G12294" s="332">
        <v>14100</v>
      </c>
      <c r="H12294" s="333">
        <v>17061</v>
      </c>
    </row>
    <row r="12295" spans="1:8">
      <c r="A12295" s="317">
        <v>2609199334</v>
      </c>
      <c r="B12295" s="330" t="s">
        <v>56648</v>
      </c>
      <c r="C12295" s="330" t="s">
        <v>26548</v>
      </c>
      <c r="D12295" s="330" t="s">
        <v>26549</v>
      </c>
      <c r="E12295" s="330" t="s">
        <v>37248</v>
      </c>
      <c r="F12295" s="331">
        <v>0.21</v>
      </c>
      <c r="G12295" s="332">
        <v>56130</v>
      </c>
      <c r="H12295" s="333">
        <v>67918</v>
      </c>
    </row>
    <row r="12296" spans="1:8">
      <c r="A12296" s="317">
        <v>2609199335</v>
      </c>
      <c r="B12296" s="330" t="s">
        <v>56649</v>
      </c>
      <c r="C12296" s="330" t="s">
        <v>26550</v>
      </c>
      <c r="D12296" s="330" t="s">
        <v>26551</v>
      </c>
      <c r="E12296" s="330" t="s">
        <v>37248</v>
      </c>
      <c r="F12296" s="331">
        <v>0.21</v>
      </c>
      <c r="G12296" s="332">
        <v>53444</v>
      </c>
      <c r="H12296" s="333">
        <v>64668</v>
      </c>
    </row>
    <row r="12297" spans="1:8">
      <c r="A12297" s="317">
        <v>2609199336</v>
      </c>
      <c r="B12297" s="330" t="s">
        <v>56650</v>
      </c>
      <c r="C12297" s="330" t="s">
        <v>26552</v>
      </c>
      <c r="D12297" s="330" t="s">
        <v>26553</v>
      </c>
      <c r="E12297" s="330" t="s">
        <v>4819</v>
      </c>
      <c r="F12297" s="331">
        <v>0.21</v>
      </c>
      <c r="G12297" s="332">
        <v>3335</v>
      </c>
      <c r="H12297" s="333">
        <v>4036</v>
      </c>
    </row>
    <row r="12298" spans="1:8">
      <c r="A12298" s="317">
        <v>2609199337</v>
      </c>
      <c r="B12298" s="330" t="s">
        <v>56651</v>
      </c>
      <c r="C12298" s="330" t="s">
        <v>26554</v>
      </c>
      <c r="D12298" s="330" t="s">
        <v>26555</v>
      </c>
      <c r="E12298" s="330" t="s">
        <v>37248</v>
      </c>
      <c r="F12298" s="331">
        <v>0.21</v>
      </c>
      <c r="G12298" s="332">
        <v>42462</v>
      </c>
      <c r="H12298" s="333">
        <v>51380</v>
      </c>
    </row>
    <row r="12299" spans="1:8">
      <c r="A12299" s="317">
        <v>2609199338</v>
      </c>
      <c r="B12299" s="330" t="s">
        <v>56652</v>
      </c>
      <c r="C12299" s="330" t="s">
        <v>26556</v>
      </c>
      <c r="D12299" s="330" t="s">
        <v>26557</v>
      </c>
      <c r="E12299" s="330" t="s">
        <v>4623</v>
      </c>
      <c r="F12299" s="331">
        <v>0.21</v>
      </c>
      <c r="G12299" s="332">
        <v>30267</v>
      </c>
      <c r="H12299" s="333">
        <v>36624</v>
      </c>
    </row>
    <row r="12300" spans="1:8">
      <c r="A12300" s="317">
        <v>2609199343</v>
      </c>
      <c r="B12300" s="330" t="s">
        <v>56653</v>
      </c>
      <c r="C12300" s="330" t="s">
        <v>26558</v>
      </c>
      <c r="D12300" s="330" t="s">
        <v>26559</v>
      </c>
      <c r="E12300" s="330" t="s">
        <v>4634</v>
      </c>
      <c r="F12300" s="331">
        <v>0.21</v>
      </c>
      <c r="G12300" s="332">
        <v>24620</v>
      </c>
      <c r="H12300" s="333">
        <v>29791</v>
      </c>
    </row>
    <row r="12301" spans="1:8">
      <c r="A12301" s="317">
        <v>2609199344</v>
      </c>
      <c r="B12301" s="330" t="s">
        <v>56654</v>
      </c>
      <c r="C12301" s="330" t="s">
        <v>26560</v>
      </c>
      <c r="D12301" s="330" t="s">
        <v>26561</v>
      </c>
      <c r="E12301" s="330" t="s">
        <v>4819</v>
      </c>
      <c r="F12301" s="331">
        <v>0.21</v>
      </c>
      <c r="G12301" s="332">
        <v>49411</v>
      </c>
      <c r="H12301" s="333">
        <v>59788</v>
      </c>
    </row>
    <row r="12302" spans="1:8">
      <c r="A12302" s="317">
        <v>2609199356</v>
      </c>
      <c r="B12302" s="330" t="s">
        <v>56655</v>
      </c>
      <c r="C12302" s="330" t="s">
        <v>26562</v>
      </c>
      <c r="D12302" s="330" t="s">
        <v>26563</v>
      </c>
      <c r="E12302" s="330" t="s">
        <v>4634</v>
      </c>
      <c r="F12302" s="331">
        <v>0.21</v>
      </c>
      <c r="G12302" s="332">
        <v>13908</v>
      </c>
      <c r="H12302" s="333">
        <v>16829</v>
      </c>
    </row>
    <row r="12303" spans="1:8">
      <c r="A12303" s="317">
        <v>2609199357</v>
      </c>
      <c r="B12303" s="330" t="s">
        <v>56656</v>
      </c>
      <c r="C12303" s="330" t="s">
        <v>26564</v>
      </c>
      <c r="D12303" s="330" t="s">
        <v>26565</v>
      </c>
      <c r="E12303" s="330" t="s">
        <v>4634</v>
      </c>
      <c r="F12303" s="331">
        <v>0.21</v>
      </c>
      <c r="G12303" s="332">
        <v>16610</v>
      </c>
      <c r="H12303" s="333">
        <v>20099</v>
      </c>
    </row>
    <row r="12304" spans="1:8">
      <c r="A12304" s="317">
        <v>2609199358</v>
      </c>
      <c r="B12304" s="330" t="s">
        <v>56657</v>
      </c>
      <c r="C12304" s="330" t="s">
        <v>26566</v>
      </c>
      <c r="D12304" s="330" t="s">
        <v>26567</v>
      </c>
      <c r="E12304" s="330" t="s">
        <v>37248</v>
      </c>
      <c r="F12304" s="331">
        <v>0.21</v>
      </c>
      <c r="G12304" s="332">
        <v>71527</v>
      </c>
      <c r="H12304" s="333">
        <v>86548</v>
      </c>
    </row>
    <row r="12305" spans="1:8">
      <c r="A12305" s="317">
        <v>2609199364</v>
      </c>
      <c r="B12305" s="330" t="s">
        <v>56658</v>
      </c>
      <c r="C12305" s="330" t="s">
        <v>26568</v>
      </c>
      <c r="D12305" s="330" t="s">
        <v>26569</v>
      </c>
      <c r="E12305" s="330" t="s">
        <v>37248</v>
      </c>
      <c r="F12305" s="331">
        <v>0.21</v>
      </c>
      <c r="G12305" s="332">
        <v>62287</v>
      </c>
      <c r="H12305" s="333">
        <v>75368</v>
      </c>
    </row>
    <row r="12306" spans="1:8">
      <c r="A12306" s="317">
        <v>2609199366</v>
      </c>
      <c r="B12306" s="330" t="s">
        <v>56659</v>
      </c>
      <c r="C12306" s="330" t="s">
        <v>26570</v>
      </c>
      <c r="D12306" s="330" t="s">
        <v>26571</v>
      </c>
      <c r="E12306" s="330" t="s">
        <v>37248</v>
      </c>
      <c r="F12306" s="331">
        <v>0.21</v>
      </c>
      <c r="G12306" s="332">
        <v>35696</v>
      </c>
      <c r="H12306" s="333">
        <v>43193</v>
      </c>
    </row>
    <row r="12307" spans="1:8">
      <c r="A12307" s="317">
        <v>2609199378</v>
      </c>
      <c r="B12307" s="330" t="s">
        <v>56660</v>
      </c>
      <c r="C12307" s="330" t="s">
        <v>26572</v>
      </c>
      <c r="D12307" s="330" t="s">
        <v>26573</v>
      </c>
      <c r="E12307" s="330" t="s">
        <v>37248</v>
      </c>
      <c r="F12307" s="331">
        <v>0.21</v>
      </c>
      <c r="G12307" s="332">
        <v>48338</v>
      </c>
      <c r="H12307" s="333">
        <v>58489</v>
      </c>
    </row>
    <row r="12308" spans="1:8">
      <c r="A12308" s="317">
        <v>2609199380</v>
      </c>
      <c r="B12308" s="330" t="s">
        <v>56661</v>
      </c>
      <c r="C12308" s="330" t="s">
        <v>26574</v>
      </c>
      <c r="D12308" s="330" t="s">
        <v>26575</v>
      </c>
      <c r="E12308" s="330" t="s">
        <v>4634</v>
      </c>
      <c r="F12308" s="331">
        <v>0.21</v>
      </c>
      <c r="G12308" s="332">
        <v>27563</v>
      </c>
      <c r="H12308" s="333">
        <v>33352</v>
      </c>
    </row>
    <row r="12309" spans="1:8">
      <c r="A12309" s="317">
        <v>2609199393</v>
      </c>
      <c r="B12309" s="330" t="s">
        <v>56662</v>
      </c>
      <c r="C12309" s="330" t="s">
        <v>26576</v>
      </c>
      <c r="D12309" s="330" t="s">
        <v>26577</v>
      </c>
      <c r="E12309" s="330" t="s">
        <v>4819</v>
      </c>
      <c r="F12309" s="331">
        <v>0.21</v>
      </c>
      <c r="G12309" s="332">
        <v>72932</v>
      </c>
      <c r="H12309" s="333">
        <v>88248</v>
      </c>
    </row>
    <row r="12310" spans="1:8">
      <c r="A12310" s="317">
        <v>2609199397</v>
      </c>
      <c r="B12310" s="330" t="s">
        <v>56663</v>
      </c>
      <c r="C12310" s="330" t="s">
        <v>26578</v>
      </c>
      <c r="D12310" s="330" t="s">
        <v>26579</v>
      </c>
      <c r="E12310" s="330" t="s">
        <v>37248</v>
      </c>
      <c r="F12310" s="331">
        <v>0.21</v>
      </c>
      <c r="G12310" s="332">
        <v>28524</v>
      </c>
      <c r="H12310" s="333">
        <v>34515</v>
      </c>
    </row>
    <row r="12311" spans="1:8">
      <c r="A12311" s="317">
        <v>2609199400</v>
      </c>
      <c r="B12311" s="330" t="s">
        <v>56664</v>
      </c>
      <c r="C12311" s="330" t="s">
        <v>26580</v>
      </c>
      <c r="D12311" s="330" t="s">
        <v>26581</v>
      </c>
      <c r="E12311" s="330" t="s">
        <v>4819</v>
      </c>
      <c r="F12311" s="331">
        <v>0.21</v>
      </c>
      <c r="G12311" s="332">
        <v>61147</v>
      </c>
      <c r="H12311" s="333">
        <v>73988</v>
      </c>
    </row>
    <row r="12312" spans="1:8">
      <c r="A12312" s="317">
        <v>2609199403</v>
      </c>
      <c r="B12312" s="330" t="s">
        <v>56665</v>
      </c>
      <c r="C12312" s="330" t="s">
        <v>26582</v>
      </c>
      <c r="D12312" s="330" t="s">
        <v>26583</v>
      </c>
      <c r="E12312" s="330" t="s">
        <v>37248</v>
      </c>
      <c r="F12312" s="331">
        <v>0.21</v>
      </c>
      <c r="G12312" s="332">
        <v>17279</v>
      </c>
      <c r="H12312" s="333">
        <v>20908</v>
      </c>
    </row>
    <row r="12313" spans="1:8">
      <c r="A12313" s="317">
        <v>2609199408</v>
      </c>
      <c r="B12313" s="330" t="s">
        <v>56666</v>
      </c>
      <c r="C12313" s="330" t="s">
        <v>26584</v>
      </c>
      <c r="D12313" s="330" t="s">
        <v>7651</v>
      </c>
      <c r="E12313" s="330" t="s">
        <v>4634</v>
      </c>
      <c r="F12313" s="331">
        <v>0.21</v>
      </c>
      <c r="G12313" s="332">
        <v>60536</v>
      </c>
      <c r="H12313" s="333">
        <v>73249</v>
      </c>
    </row>
    <row r="12314" spans="1:8">
      <c r="A12314" s="317">
        <v>2609199409</v>
      </c>
      <c r="B12314" s="330" t="s">
        <v>56667</v>
      </c>
      <c r="C12314" s="330" t="s">
        <v>26585</v>
      </c>
      <c r="D12314" s="330" t="s">
        <v>26586</v>
      </c>
      <c r="E12314" s="330" t="s">
        <v>4634</v>
      </c>
      <c r="F12314" s="331">
        <v>0.21</v>
      </c>
      <c r="G12314" s="332">
        <v>19237</v>
      </c>
      <c r="H12314" s="333">
        <v>23277</v>
      </c>
    </row>
    <row r="12315" spans="1:8">
      <c r="A12315" s="317">
        <v>2609199418</v>
      </c>
      <c r="B12315" s="330" t="s">
        <v>56668</v>
      </c>
      <c r="C12315" s="330" t="s">
        <v>26587</v>
      </c>
      <c r="D12315" s="330" t="s">
        <v>5075</v>
      </c>
      <c r="E12315" s="330" t="s">
        <v>37248</v>
      </c>
      <c r="F12315" s="331">
        <v>0.21</v>
      </c>
      <c r="G12315" s="332">
        <v>37956</v>
      </c>
      <c r="H12315" s="333">
        <v>45927</v>
      </c>
    </row>
    <row r="12316" spans="1:8">
      <c r="A12316" s="317">
        <v>2609199419</v>
      </c>
      <c r="B12316" s="330" t="s">
        <v>56669</v>
      </c>
      <c r="C12316" s="330" t="s">
        <v>26588</v>
      </c>
      <c r="D12316" s="330" t="s">
        <v>26589</v>
      </c>
      <c r="E12316" s="330" t="s">
        <v>4634</v>
      </c>
      <c r="F12316" s="331">
        <v>0.21</v>
      </c>
      <c r="G12316" s="332">
        <v>49900</v>
      </c>
      <c r="H12316" s="333">
        <v>60379</v>
      </c>
    </row>
    <row r="12317" spans="1:8">
      <c r="A12317" s="317">
        <v>2609199431</v>
      </c>
      <c r="B12317" s="330" t="s">
        <v>56670</v>
      </c>
      <c r="C12317" s="330" t="s">
        <v>26590</v>
      </c>
      <c r="D12317" s="330" t="s">
        <v>26591</v>
      </c>
      <c r="E12317" s="330" t="s">
        <v>4634</v>
      </c>
      <c r="F12317" s="331">
        <v>0.21</v>
      </c>
      <c r="G12317" s="332">
        <v>15633</v>
      </c>
      <c r="H12317" s="333">
        <v>18916</v>
      </c>
    </row>
    <row r="12318" spans="1:8">
      <c r="A12318" s="317">
        <v>2609199446</v>
      </c>
      <c r="B12318" s="330" t="s">
        <v>56671</v>
      </c>
      <c r="C12318" s="330" t="s">
        <v>26592</v>
      </c>
      <c r="D12318" s="330" t="s">
        <v>26593</v>
      </c>
      <c r="E12318" s="330" t="s">
        <v>37248</v>
      </c>
      <c r="F12318" s="331">
        <v>0.21</v>
      </c>
      <c r="G12318" s="332">
        <v>10504</v>
      </c>
      <c r="H12318" s="333">
        <v>12710</v>
      </c>
    </row>
    <row r="12319" spans="1:8">
      <c r="A12319" s="317">
        <v>2609199447</v>
      </c>
      <c r="B12319" s="330" t="s">
        <v>56672</v>
      </c>
      <c r="C12319" s="330" t="s">
        <v>26594</v>
      </c>
      <c r="D12319" s="330" t="s">
        <v>26595</v>
      </c>
      <c r="E12319" s="330" t="s">
        <v>37248</v>
      </c>
      <c r="F12319" s="331">
        <v>0.21</v>
      </c>
      <c r="G12319" s="332">
        <v>17223</v>
      </c>
      <c r="H12319" s="333">
        <v>20840</v>
      </c>
    </row>
    <row r="12320" spans="1:8">
      <c r="A12320" s="317">
        <v>2609199449</v>
      </c>
      <c r="B12320" s="330" t="s">
        <v>56673</v>
      </c>
      <c r="C12320" s="330" t="s">
        <v>26596</v>
      </c>
      <c r="D12320" s="330" t="s">
        <v>9931</v>
      </c>
      <c r="E12320" s="330" t="s">
        <v>37248</v>
      </c>
      <c r="F12320" s="331">
        <v>0.21</v>
      </c>
      <c r="G12320" s="332">
        <v>51104</v>
      </c>
      <c r="H12320" s="333">
        <v>61836</v>
      </c>
    </row>
    <row r="12321" spans="1:8">
      <c r="A12321" s="317">
        <v>2609199450</v>
      </c>
      <c r="B12321" s="330" t="s">
        <v>56674</v>
      </c>
      <c r="C12321" s="330" t="s">
        <v>26597</v>
      </c>
      <c r="D12321" s="330" t="s">
        <v>7322</v>
      </c>
      <c r="E12321" s="330" t="s">
        <v>37248</v>
      </c>
      <c r="F12321" s="331">
        <v>0.21</v>
      </c>
      <c r="G12321" s="332">
        <v>58687</v>
      </c>
      <c r="H12321" s="333">
        <v>71012</v>
      </c>
    </row>
    <row r="12322" spans="1:8">
      <c r="A12322" s="317">
        <v>2609199474</v>
      </c>
      <c r="B12322" s="330" t="s">
        <v>56675</v>
      </c>
      <c r="C12322" s="330" t="s">
        <v>26598</v>
      </c>
      <c r="D12322" s="330" t="s">
        <v>26599</v>
      </c>
      <c r="E12322" s="330" t="s">
        <v>4634</v>
      </c>
      <c r="F12322" s="331">
        <v>0.21</v>
      </c>
      <c r="G12322" s="332">
        <v>38904</v>
      </c>
      <c r="H12322" s="333">
        <v>47074</v>
      </c>
    </row>
    <row r="12323" spans="1:8">
      <c r="A12323" s="317">
        <v>2609199475</v>
      </c>
      <c r="B12323" s="330" t="s">
        <v>56676</v>
      </c>
      <c r="C12323" s="330" t="s">
        <v>26600</v>
      </c>
      <c r="D12323" s="330" t="s">
        <v>26601</v>
      </c>
      <c r="E12323" s="330" t="s">
        <v>4634</v>
      </c>
      <c r="F12323" s="331">
        <v>0.21</v>
      </c>
      <c r="G12323" s="332">
        <v>39147</v>
      </c>
      <c r="H12323" s="333">
        <v>47368</v>
      </c>
    </row>
    <row r="12324" spans="1:8">
      <c r="A12324" s="317">
        <v>2609199482</v>
      </c>
      <c r="B12324" s="330" t="s">
        <v>56677</v>
      </c>
      <c r="C12324" s="330" t="s">
        <v>26602</v>
      </c>
      <c r="D12324" s="330" t="s">
        <v>26603</v>
      </c>
      <c r="E12324" s="330" t="s">
        <v>37248</v>
      </c>
      <c r="F12324" s="331">
        <v>0.21</v>
      </c>
      <c r="G12324" s="332">
        <v>25415</v>
      </c>
      <c r="H12324" s="333">
        <v>30753</v>
      </c>
    </row>
    <row r="12325" spans="1:8">
      <c r="A12325" s="317">
        <v>2609199484</v>
      </c>
      <c r="B12325" s="330" t="s">
        <v>56678</v>
      </c>
      <c r="C12325" s="330" t="s">
        <v>26604</v>
      </c>
      <c r="D12325" s="330" t="s">
        <v>15260</v>
      </c>
      <c r="E12325" s="330" t="s">
        <v>37248</v>
      </c>
      <c r="F12325" s="331">
        <v>0.21</v>
      </c>
      <c r="G12325" s="332">
        <v>3517</v>
      </c>
      <c r="H12325" s="333">
        <v>4256</v>
      </c>
    </row>
    <row r="12326" spans="1:8">
      <c r="A12326" s="317">
        <v>2609199577</v>
      </c>
      <c r="B12326" s="330" t="s">
        <v>56679</v>
      </c>
      <c r="C12326" s="330" t="s">
        <v>26605</v>
      </c>
      <c r="D12326" s="330" t="s">
        <v>26606</v>
      </c>
      <c r="E12326" s="330" t="s">
        <v>37248</v>
      </c>
      <c r="F12326" s="331">
        <v>0.21</v>
      </c>
      <c r="G12326" s="332">
        <v>82603</v>
      </c>
      <c r="H12326" s="333">
        <v>99950</v>
      </c>
    </row>
    <row r="12327" spans="1:8">
      <c r="A12327" s="317">
        <v>2609199578</v>
      </c>
      <c r="B12327" s="330" t="s">
        <v>56680</v>
      </c>
      <c r="C12327" s="330" t="s">
        <v>26607</v>
      </c>
      <c r="D12327" s="330" t="s">
        <v>26608</v>
      </c>
      <c r="E12327" s="330" t="s">
        <v>4819</v>
      </c>
      <c r="F12327" s="331">
        <v>0.21</v>
      </c>
      <c r="G12327" s="332">
        <v>82603</v>
      </c>
      <c r="H12327" s="333">
        <v>99950</v>
      </c>
    </row>
    <row r="12328" spans="1:8">
      <c r="A12328" s="317">
        <v>2609199599</v>
      </c>
      <c r="B12328" s="330" t="s">
        <v>56681</v>
      </c>
      <c r="C12328" s="330" t="s">
        <v>26609</v>
      </c>
      <c r="D12328" s="330" t="s">
        <v>7237</v>
      </c>
      <c r="E12328" s="330" t="s">
        <v>37248</v>
      </c>
      <c r="F12328" s="331">
        <v>0.21</v>
      </c>
      <c r="G12328" s="332">
        <v>103322</v>
      </c>
      <c r="H12328" s="333">
        <v>125020</v>
      </c>
    </row>
    <row r="12329" spans="1:8">
      <c r="A12329" s="317">
        <v>2609199602</v>
      </c>
      <c r="B12329" s="330" t="s">
        <v>56682</v>
      </c>
      <c r="C12329" s="330" t="s">
        <v>26610</v>
      </c>
      <c r="D12329" s="330" t="s">
        <v>26611</v>
      </c>
      <c r="E12329" s="330" t="s">
        <v>4819</v>
      </c>
      <c r="F12329" s="331">
        <v>0.21</v>
      </c>
      <c r="G12329" s="332">
        <v>36912</v>
      </c>
      <c r="H12329" s="333">
        <v>44664</v>
      </c>
    </row>
    <row r="12330" spans="1:8">
      <c r="A12330" s="317">
        <v>2609199609</v>
      </c>
      <c r="B12330" s="330" t="s">
        <v>56683</v>
      </c>
      <c r="C12330" s="330" t="s">
        <v>26612</v>
      </c>
      <c r="D12330" s="330" t="s">
        <v>7198</v>
      </c>
      <c r="E12330" s="330" t="s">
        <v>37248</v>
      </c>
      <c r="F12330" s="331">
        <v>0.21</v>
      </c>
      <c r="G12330" s="332">
        <v>52436</v>
      </c>
      <c r="H12330" s="333">
        <v>63448</v>
      </c>
    </row>
    <row r="12331" spans="1:8">
      <c r="A12331" s="317">
        <v>2609199614</v>
      </c>
      <c r="B12331" s="330" t="s">
        <v>56684</v>
      </c>
      <c r="C12331" s="330" t="s">
        <v>26613</v>
      </c>
      <c r="D12331" s="330" t="s">
        <v>26614</v>
      </c>
      <c r="E12331" s="330" t="s">
        <v>4819</v>
      </c>
      <c r="F12331" s="331">
        <v>0.21</v>
      </c>
      <c r="G12331" s="332">
        <v>26140</v>
      </c>
      <c r="H12331" s="333">
        <v>31630</v>
      </c>
    </row>
    <row r="12332" spans="1:8">
      <c r="A12332" s="317">
        <v>2609199615</v>
      </c>
      <c r="B12332" s="330" t="s">
        <v>56685</v>
      </c>
      <c r="C12332" s="330" t="s">
        <v>26615</v>
      </c>
      <c r="D12332" s="330" t="s">
        <v>7484</v>
      </c>
      <c r="E12332" s="330" t="s">
        <v>37248</v>
      </c>
      <c r="F12332" s="331">
        <v>0.21</v>
      </c>
      <c r="G12332" s="332">
        <v>34902</v>
      </c>
      <c r="H12332" s="333">
        <v>42232</v>
      </c>
    </row>
    <row r="12333" spans="1:8">
      <c r="A12333" s="317">
        <v>2609199616</v>
      </c>
      <c r="B12333" s="330" t="s">
        <v>56686</v>
      </c>
      <c r="C12333" s="330" t="s">
        <v>26616</v>
      </c>
      <c r="D12333" s="330" t="s">
        <v>26617</v>
      </c>
      <c r="E12333" s="330" t="s">
        <v>37248</v>
      </c>
      <c r="F12333" s="331">
        <v>0.21</v>
      </c>
      <c r="G12333" s="332">
        <v>62006</v>
      </c>
      <c r="H12333" s="333">
        <v>75028</v>
      </c>
    </row>
    <row r="12334" spans="1:8">
      <c r="A12334" s="317">
        <v>2609199618</v>
      </c>
      <c r="B12334" s="330" t="s">
        <v>56687</v>
      </c>
      <c r="C12334" s="330" t="s">
        <v>26618</v>
      </c>
      <c r="D12334" s="330" t="s">
        <v>26619</v>
      </c>
      <c r="E12334" s="330" t="s">
        <v>37248</v>
      </c>
      <c r="F12334" s="331">
        <v>0.21</v>
      </c>
      <c r="G12334" s="332">
        <v>66479</v>
      </c>
      <c r="H12334" s="333">
        <v>80440</v>
      </c>
    </row>
    <row r="12335" spans="1:8">
      <c r="A12335" s="317">
        <v>2609199619</v>
      </c>
      <c r="B12335" s="330" t="s">
        <v>56688</v>
      </c>
      <c r="C12335" s="330" t="s">
        <v>26620</v>
      </c>
      <c r="D12335" s="330" t="s">
        <v>26621</v>
      </c>
      <c r="E12335" s="330" t="s">
        <v>37248</v>
      </c>
      <c r="F12335" s="331">
        <v>0.21</v>
      </c>
      <c r="G12335" s="332">
        <v>29274</v>
      </c>
      <c r="H12335" s="333">
        <v>35422</v>
      </c>
    </row>
    <row r="12336" spans="1:8">
      <c r="A12336" s="317">
        <v>2609199631</v>
      </c>
      <c r="B12336" s="330" t="s">
        <v>56689</v>
      </c>
      <c r="C12336" s="330" t="s">
        <v>26622</v>
      </c>
      <c r="D12336" s="330" t="s">
        <v>7322</v>
      </c>
      <c r="E12336" s="330" t="s">
        <v>37248</v>
      </c>
      <c r="F12336" s="331">
        <v>0.21</v>
      </c>
      <c r="G12336" s="332">
        <v>22149</v>
      </c>
      <c r="H12336" s="333">
        <v>26801</v>
      </c>
    </row>
    <row r="12337" spans="1:8">
      <c r="A12337" s="317">
        <v>2609199634</v>
      </c>
      <c r="B12337" s="330" t="s">
        <v>56690</v>
      </c>
      <c r="C12337" s="330" t="s">
        <v>26623</v>
      </c>
      <c r="D12337" s="330" t="s">
        <v>26624</v>
      </c>
      <c r="E12337" s="330" t="s">
        <v>37248</v>
      </c>
      <c r="F12337" s="331">
        <v>0.21</v>
      </c>
      <c r="G12337" s="332">
        <v>114036</v>
      </c>
      <c r="H12337" s="333">
        <v>137984</v>
      </c>
    </row>
    <row r="12338" spans="1:8">
      <c r="A12338" s="317">
        <v>2609199635</v>
      </c>
      <c r="B12338" s="330" t="s">
        <v>56691</v>
      </c>
      <c r="C12338" s="330" t="s">
        <v>26625</v>
      </c>
      <c r="D12338" s="330" t="s">
        <v>26626</v>
      </c>
      <c r="E12338" s="330" t="s">
        <v>37248</v>
      </c>
      <c r="F12338" s="331">
        <v>0.21</v>
      </c>
      <c r="G12338" s="332">
        <v>123037</v>
      </c>
      <c r="H12338" s="333">
        <v>148875</v>
      </c>
    </row>
    <row r="12339" spans="1:8">
      <c r="A12339" s="317">
        <v>2609199636</v>
      </c>
      <c r="B12339" s="330" t="s">
        <v>56692</v>
      </c>
      <c r="C12339" s="330" t="s">
        <v>26627</v>
      </c>
      <c r="D12339" s="330" t="s">
        <v>26628</v>
      </c>
      <c r="E12339" s="330" t="s">
        <v>4819</v>
      </c>
      <c r="F12339" s="331">
        <v>0.21</v>
      </c>
      <c r="G12339" s="332">
        <v>123037</v>
      </c>
      <c r="H12339" s="333">
        <v>148875</v>
      </c>
    </row>
    <row r="12340" spans="1:8">
      <c r="A12340" s="317">
        <v>2609199651</v>
      </c>
      <c r="B12340" s="330" t="s">
        <v>56693</v>
      </c>
      <c r="C12340" s="330" t="s">
        <v>26629</v>
      </c>
      <c r="D12340" s="330" t="s">
        <v>26630</v>
      </c>
      <c r="E12340" s="330" t="s">
        <v>4819</v>
      </c>
      <c r="F12340" s="331">
        <v>0.21</v>
      </c>
      <c r="G12340" s="332">
        <v>9016</v>
      </c>
      <c r="H12340" s="333">
        <v>10910</v>
      </c>
    </row>
    <row r="12341" spans="1:8">
      <c r="A12341" s="317">
        <v>2609199660</v>
      </c>
      <c r="B12341" s="330" t="s">
        <v>56694</v>
      </c>
      <c r="C12341" s="330" t="s">
        <v>26631</v>
      </c>
      <c r="D12341" s="330" t="s">
        <v>26632</v>
      </c>
      <c r="E12341" s="330" t="s">
        <v>37248</v>
      </c>
      <c r="F12341" s="331">
        <v>0.21</v>
      </c>
      <c r="G12341" s="332">
        <v>37122</v>
      </c>
      <c r="H12341" s="333">
        <v>44918</v>
      </c>
    </row>
    <row r="12342" spans="1:8">
      <c r="A12342" s="317">
        <v>2609199665</v>
      </c>
      <c r="B12342" s="330" t="s">
        <v>56695</v>
      </c>
      <c r="C12342" s="330" t="s">
        <v>26633</v>
      </c>
      <c r="D12342" s="330" t="s">
        <v>26634</v>
      </c>
      <c r="E12342" s="330" t="s">
        <v>37248</v>
      </c>
      <c r="F12342" s="331">
        <v>0.21</v>
      </c>
      <c r="G12342" s="332">
        <v>4628</v>
      </c>
      <c r="H12342" s="333">
        <v>5600</v>
      </c>
    </row>
    <row r="12343" spans="1:8">
      <c r="A12343" s="317">
        <v>2609199666</v>
      </c>
      <c r="B12343" s="330" t="s">
        <v>56696</v>
      </c>
      <c r="C12343" s="330" t="s">
        <v>26635</v>
      </c>
      <c r="D12343" s="330" t="s">
        <v>26636</v>
      </c>
      <c r="E12343" s="330" t="s">
        <v>37248</v>
      </c>
      <c r="F12343" s="331">
        <v>0.21</v>
      </c>
      <c r="G12343" s="332">
        <v>6573</v>
      </c>
      <c r="H12343" s="333">
        <v>7954</v>
      </c>
    </row>
    <row r="12344" spans="1:8">
      <c r="A12344" s="317">
        <v>2609199668</v>
      </c>
      <c r="B12344" s="330" t="s">
        <v>56697</v>
      </c>
      <c r="C12344" s="330" t="s">
        <v>26637</v>
      </c>
      <c r="D12344" s="330" t="s">
        <v>26638</v>
      </c>
      <c r="E12344" s="330" t="s">
        <v>37248</v>
      </c>
      <c r="F12344" s="331">
        <v>0.21</v>
      </c>
      <c r="G12344" s="332">
        <v>15309</v>
      </c>
      <c r="H12344" s="333">
        <v>18524</v>
      </c>
    </row>
    <row r="12345" spans="1:8">
      <c r="A12345" s="317">
        <v>2609199671</v>
      </c>
      <c r="B12345" s="330" t="s">
        <v>56698</v>
      </c>
      <c r="C12345" s="330" t="s">
        <v>26639</v>
      </c>
      <c r="D12345" s="330" t="s">
        <v>26640</v>
      </c>
      <c r="E12345" s="330" t="s">
        <v>37248</v>
      </c>
      <c r="F12345" s="331">
        <v>0.21</v>
      </c>
      <c r="G12345" s="332">
        <v>23583</v>
      </c>
      <c r="H12345" s="333">
        <v>28536</v>
      </c>
    </row>
    <row r="12346" spans="1:8">
      <c r="A12346" s="317">
        <v>2609199679</v>
      </c>
      <c r="B12346" s="330" t="s">
        <v>56699</v>
      </c>
      <c r="C12346" s="330" t="s">
        <v>26641</v>
      </c>
      <c r="D12346" s="330" t="s">
        <v>26642</v>
      </c>
      <c r="E12346" s="330" t="s">
        <v>37248</v>
      </c>
      <c r="F12346" s="331">
        <v>0.21</v>
      </c>
      <c r="G12346" s="332">
        <v>17783</v>
      </c>
      <c r="H12346" s="333">
        <v>21518</v>
      </c>
    </row>
    <row r="12347" spans="1:8">
      <c r="A12347" s="317">
        <v>2609199694</v>
      </c>
      <c r="B12347" s="330" t="s">
        <v>56700</v>
      </c>
      <c r="C12347" s="330" t="s">
        <v>26643</v>
      </c>
      <c r="D12347" s="330" t="s">
        <v>26644</v>
      </c>
      <c r="E12347" s="330" t="s">
        <v>4819</v>
      </c>
      <c r="F12347" s="331">
        <v>0.21</v>
      </c>
      <c r="G12347" s="332">
        <v>43972</v>
      </c>
      <c r="H12347" s="333">
        <v>53207</v>
      </c>
    </row>
    <row r="12348" spans="1:8">
      <c r="A12348" s="317">
        <v>2609199701</v>
      </c>
      <c r="B12348" s="330" t="s">
        <v>56701</v>
      </c>
      <c r="C12348" s="330" t="s">
        <v>26645</v>
      </c>
      <c r="D12348" s="330" t="s">
        <v>7651</v>
      </c>
      <c r="E12348" s="330" t="s">
        <v>37248</v>
      </c>
      <c r="F12348" s="331">
        <v>0.21</v>
      </c>
      <c r="G12348" s="332">
        <v>19461</v>
      </c>
      <c r="H12348" s="333">
        <v>23548</v>
      </c>
    </row>
    <row r="12349" spans="1:8">
      <c r="A12349" s="317">
        <v>2609199711</v>
      </c>
      <c r="B12349" s="330" t="s">
        <v>56702</v>
      </c>
      <c r="C12349" s="330" t="s">
        <v>26646</v>
      </c>
      <c r="D12349" s="330" t="s">
        <v>5075</v>
      </c>
      <c r="E12349" s="330" t="s">
        <v>37248</v>
      </c>
      <c r="F12349" s="331">
        <v>0.21</v>
      </c>
      <c r="G12349" s="332">
        <v>17101</v>
      </c>
      <c r="H12349" s="333">
        <v>20693</v>
      </c>
    </row>
    <row r="12350" spans="1:8">
      <c r="A12350" s="317">
        <v>2609199714</v>
      </c>
      <c r="B12350" s="330" t="s">
        <v>56703</v>
      </c>
      <c r="C12350" s="330" t="s">
        <v>26647</v>
      </c>
      <c r="D12350" s="330" t="s">
        <v>26648</v>
      </c>
      <c r="E12350" s="330" t="s">
        <v>37248</v>
      </c>
      <c r="F12350" s="331">
        <v>0.21</v>
      </c>
      <c r="G12350" s="332">
        <v>46440</v>
      </c>
      <c r="H12350" s="333">
        <v>56193</v>
      </c>
    </row>
    <row r="12351" spans="1:8">
      <c r="A12351" s="317">
        <v>2609199719</v>
      </c>
      <c r="B12351" s="330" t="s">
        <v>56704</v>
      </c>
      <c r="C12351" s="330" t="s">
        <v>26649</v>
      </c>
      <c r="D12351" s="330" t="s">
        <v>26650</v>
      </c>
      <c r="E12351" s="330" t="s">
        <v>4819</v>
      </c>
      <c r="F12351" s="331">
        <v>0.21</v>
      </c>
      <c r="G12351" s="332">
        <v>30900</v>
      </c>
      <c r="H12351" s="333">
        <v>37389</v>
      </c>
    </row>
    <row r="12352" spans="1:8">
      <c r="A12352" s="317">
        <v>2609199726</v>
      </c>
      <c r="B12352" s="330" t="s">
        <v>56705</v>
      </c>
      <c r="C12352" s="330" t="s">
        <v>26651</v>
      </c>
      <c r="D12352" s="330" t="s">
        <v>26652</v>
      </c>
      <c r="E12352" s="330" t="s">
        <v>37248</v>
      </c>
      <c r="F12352" s="331">
        <v>0.21</v>
      </c>
      <c r="G12352" s="332">
        <v>29198</v>
      </c>
      <c r="H12352" s="333">
        <v>35330</v>
      </c>
    </row>
    <row r="12353" spans="1:8">
      <c r="A12353" s="317">
        <v>2609199730</v>
      </c>
      <c r="B12353" s="330" t="s">
        <v>56706</v>
      </c>
      <c r="C12353" s="330" t="s">
        <v>26653</v>
      </c>
      <c r="D12353" s="330" t="s">
        <v>7322</v>
      </c>
      <c r="E12353" s="330" t="s">
        <v>37248</v>
      </c>
      <c r="F12353" s="331">
        <v>0.21</v>
      </c>
      <c r="G12353" s="332">
        <v>22149</v>
      </c>
      <c r="H12353" s="333">
        <v>26801</v>
      </c>
    </row>
    <row r="12354" spans="1:8">
      <c r="A12354" s="317">
        <v>2609199746</v>
      </c>
      <c r="B12354" s="330" t="s">
        <v>56707</v>
      </c>
      <c r="C12354" s="330" t="s">
        <v>26654</v>
      </c>
      <c r="D12354" s="330" t="s">
        <v>25865</v>
      </c>
      <c r="E12354" s="330" t="s">
        <v>4819</v>
      </c>
      <c r="F12354" s="331">
        <v>0.21</v>
      </c>
      <c r="G12354" s="332">
        <v>1052</v>
      </c>
      <c r="H12354" s="333">
        <v>1273</v>
      </c>
    </row>
    <row r="12355" spans="1:8">
      <c r="A12355" s="317">
        <v>2609199748</v>
      </c>
      <c r="B12355" s="330" t="s">
        <v>56708</v>
      </c>
      <c r="C12355" s="330" t="s">
        <v>26655</v>
      </c>
      <c r="D12355" s="330" t="s">
        <v>7082</v>
      </c>
      <c r="E12355" s="330" t="s">
        <v>4819</v>
      </c>
      <c r="F12355" s="331">
        <v>0.21</v>
      </c>
      <c r="G12355" s="332">
        <v>1195</v>
      </c>
      <c r="H12355" s="333">
        <v>1446</v>
      </c>
    </row>
    <row r="12356" spans="1:8">
      <c r="A12356" s="317">
        <v>2609199754</v>
      </c>
      <c r="B12356" s="330" t="s">
        <v>56709</v>
      </c>
      <c r="C12356" s="330" t="s">
        <v>26656</v>
      </c>
      <c r="D12356" s="330" t="s">
        <v>26657</v>
      </c>
      <c r="E12356" s="330" t="s">
        <v>37248</v>
      </c>
      <c r="F12356" s="331">
        <v>0.21</v>
      </c>
      <c r="G12356" s="332">
        <v>1505</v>
      </c>
      <c r="H12356" s="333">
        <v>1822</v>
      </c>
    </row>
    <row r="12357" spans="1:8">
      <c r="A12357" s="317">
        <v>2609199757</v>
      </c>
      <c r="B12357" s="330" t="s">
        <v>56710</v>
      </c>
      <c r="C12357" s="330" t="s">
        <v>26658</v>
      </c>
      <c r="D12357" s="330" t="s">
        <v>26659</v>
      </c>
      <c r="E12357" s="330" t="s">
        <v>37248</v>
      </c>
      <c r="F12357" s="331">
        <v>0.21</v>
      </c>
      <c r="G12357" s="332">
        <v>23679</v>
      </c>
      <c r="H12357" s="333">
        <v>28652</v>
      </c>
    </row>
    <row r="12358" spans="1:8">
      <c r="A12358" s="317">
        <v>2609199766</v>
      </c>
      <c r="B12358" s="330" t="s">
        <v>56711</v>
      </c>
      <c r="C12358" s="330" t="s">
        <v>26660</v>
      </c>
      <c r="D12358" s="330" t="s">
        <v>26661</v>
      </c>
      <c r="E12358" s="330" t="s">
        <v>4819</v>
      </c>
      <c r="F12358" s="331">
        <v>0.21</v>
      </c>
      <c r="G12358" s="332">
        <v>5496</v>
      </c>
      <c r="H12358" s="333">
        <v>6651</v>
      </c>
    </row>
    <row r="12359" spans="1:8">
      <c r="A12359" s="317">
        <v>2609199769</v>
      </c>
      <c r="B12359" s="330" t="s">
        <v>56712</v>
      </c>
      <c r="C12359" s="330" t="s">
        <v>26662</v>
      </c>
      <c r="D12359" s="330" t="s">
        <v>26663</v>
      </c>
      <c r="E12359" s="330" t="s">
        <v>4819</v>
      </c>
      <c r="F12359" s="331">
        <v>0.21</v>
      </c>
      <c r="G12359" s="332">
        <v>12886</v>
      </c>
      <c r="H12359" s="333">
        <v>15593</v>
      </c>
    </row>
    <row r="12360" spans="1:8">
      <c r="A12360" s="317">
        <v>2609199784</v>
      </c>
      <c r="B12360" s="330" t="s">
        <v>56713</v>
      </c>
      <c r="C12360" s="330" t="s">
        <v>26664</v>
      </c>
      <c r="D12360" s="330" t="s">
        <v>7322</v>
      </c>
      <c r="E12360" s="330" t="s">
        <v>37248</v>
      </c>
      <c r="F12360" s="331">
        <v>0.21</v>
      </c>
      <c r="G12360" s="332">
        <v>2823</v>
      </c>
      <c r="H12360" s="333">
        <v>3416</v>
      </c>
    </row>
    <row r="12361" spans="1:8">
      <c r="A12361" s="317">
        <v>2609199785</v>
      </c>
      <c r="B12361" s="330" t="s">
        <v>56714</v>
      </c>
      <c r="C12361" s="330" t="s">
        <v>26665</v>
      </c>
      <c r="D12361" s="330" t="s">
        <v>26666</v>
      </c>
      <c r="E12361" s="330" t="s">
        <v>37248</v>
      </c>
      <c r="F12361" s="331">
        <v>0.21</v>
      </c>
      <c r="G12361" s="332">
        <v>3131</v>
      </c>
      <c r="H12361" s="333">
        <v>3789</v>
      </c>
    </row>
    <row r="12362" spans="1:8">
      <c r="A12362" s="317">
        <v>2609199786</v>
      </c>
      <c r="B12362" s="330" t="s">
        <v>56715</v>
      </c>
      <c r="C12362" s="330" t="s">
        <v>26667</v>
      </c>
      <c r="D12362" s="330" t="s">
        <v>26668</v>
      </c>
      <c r="E12362" s="330" t="s">
        <v>37248</v>
      </c>
      <c r="F12362" s="331">
        <v>0.21</v>
      </c>
      <c r="G12362" s="332">
        <v>53277</v>
      </c>
      <c r="H12362" s="333">
        <v>64466</v>
      </c>
    </row>
    <row r="12363" spans="1:8">
      <c r="A12363" s="317">
        <v>2609199790</v>
      </c>
      <c r="B12363" s="330" t="s">
        <v>56716</v>
      </c>
      <c r="C12363" s="330" t="s">
        <v>26669</v>
      </c>
      <c r="D12363" s="330" t="s">
        <v>26670</v>
      </c>
      <c r="E12363" s="330" t="s">
        <v>37248</v>
      </c>
      <c r="F12363" s="331">
        <v>0.21</v>
      </c>
      <c r="G12363" s="332">
        <v>26327</v>
      </c>
      <c r="H12363" s="333">
        <v>31856</v>
      </c>
    </row>
    <row r="12364" spans="1:8">
      <c r="A12364" s="317">
        <v>2609199798</v>
      </c>
      <c r="B12364" s="330" t="s">
        <v>56717</v>
      </c>
      <c r="C12364" s="330" t="s">
        <v>26671</v>
      </c>
      <c r="D12364" s="330" t="s">
        <v>26672</v>
      </c>
      <c r="E12364" s="330" t="s">
        <v>4819</v>
      </c>
      <c r="F12364" s="331">
        <v>0.21</v>
      </c>
      <c r="G12364" s="332">
        <v>11533</v>
      </c>
      <c r="H12364" s="333">
        <v>13955</v>
      </c>
    </row>
    <row r="12365" spans="1:8">
      <c r="A12365" s="317">
        <v>2609199810</v>
      </c>
      <c r="B12365" s="330" t="s">
        <v>56718</v>
      </c>
      <c r="C12365" s="330" t="s">
        <v>26673</v>
      </c>
      <c r="D12365" s="330" t="s">
        <v>26674</v>
      </c>
      <c r="E12365" s="330" t="s">
        <v>37248</v>
      </c>
      <c r="F12365" s="331">
        <v>0.21</v>
      </c>
      <c r="G12365" s="332">
        <v>7028</v>
      </c>
      <c r="H12365" s="333">
        <v>8504</v>
      </c>
    </row>
    <row r="12366" spans="1:8">
      <c r="A12366" s="317">
        <v>2609199811</v>
      </c>
      <c r="B12366" s="330" t="s">
        <v>56719</v>
      </c>
      <c r="C12366" s="330" t="s">
        <v>26675</v>
      </c>
      <c r="D12366" s="330" t="s">
        <v>26674</v>
      </c>
      <c r="E12366" s="330" t="s">
        <v>37248</v>
      </c>
      <c r="F12366" s="331">
        <v>0.21</v>
      </c>
      <c r="G12366" s="332">
        <v>7028</v>
      </c>
      <c r="H12366" s="333">
        <v>8504</v>
      </c>
    </row>
    <row r="12367" spans="1:8">
      <c r="A12367" s="317">
        <v>2609199812</v>
      </c>
      <c r="B12367" s="330" t="s">
        <v>56720</v>
      </c>
      <c r="C12367" s="330" t="s">
        <v>26676</v>
      </c>
      <c r="D12367" s="330" t="s">
        <v>26531</v>
      </c>
      <c r="E12367" s="330" t="s">
        <v>37248</v>
      </c>
      <c r="F12367" s="331">
        <v>0.21</v>
      </c>
      <c r="G12367" s="332">
        <v>3303</v>
      </c>
      <c r="H12367" s="333">
        <v>3997</v>
      </c>
    </row>
    <row r="12368" spans="1:8">
      <c r="A12368" s="317">
        <v>2609199813</v>
      </c>
      <c r="B12368" s="330" t="s">
        <v>56721</v>
      </c>
      <c r="C12368" s="330" t="s">
        <v>26677</v>
      </c>
      <c r="D12368" s="330" t="s">
        <v>26678</v>
      </c>
      <c r="E12368" s="330" t="s">
        <v>4634</v>
      </c>
      <c r="F12368" s="331">
        <v>0.21</v>
      </c>
      <c r="G12368" s="332">
        <v>20701</v>
      </c>
      <c r="H12368" s="333">
        <v>25049</v>
      </c>
    </row>
    <row r="12369" spans="1:8">
      <c r="A12369" s="317">
        <v>2609199814</v>
      </c>
      <c r="B12369" s="330" t="s">
        <v>56722</v>
      </c>
      <c r="C12369" s="330" t="s">
        <v>26679</v>
      </c>
      <c r="D12369" s="330" t="s">
        <v>26680</v>
      </c>
      <c r="E12369" s="330" t="s">
        <v>4634</v>
      </c>
      <c r="F12369" s="331">
        <v>0.21</v>
      </c>
      <c r="G12369" s="332">
        <v>24344</v>
      </c>
      <c r="H12369" s="333">
        <v>29457</v>
      </c>
    </row>
    <row r="12370" spans="1:8">
      <c r="A12370" s="317">
        <v>2609199824</v>
      </c>
      <c r="B12370" s="330" t="s">
        <v>56723</v>
      </c>
      <c r="C12370" s="330" t="s">
        <v>26681</v>
      </c>
      <c r="D12370" s="330" t="s">
        <v>26682</v>
      </c>
      <c r="E12370" s="330" t="s">
        <v>37248</v>
      </c>
      <c r="F12370" s="331">
        <v>0.21</v>
      </c>
      <c r="G12370" s="332">
        <v>24400</v>
      </c>
      <c r="H12370" s="333">
        <v>29524</v>
      </c>
    </row>
    <row r="12371" spans="1:8">
      <c r="A12371" s="317">
        <v>2609199865</v>
      </c>
      <c r="B12371" s="330" t="s">
        <v>56724</v>
      </c>
      <c r="C12371" s="330" t="s">
        <v>26683</v>
      </c>
      <c r="D12371" s="330" t="s">
        <v>26684</v>
      </c>
      <c r="E12371" s="330" t="s">
        <v>37248</v>
      </c>
      <c r="F12371" s="331">
        <v>0.21</v>
      </c>
      <c r="G12371" s="332">
        <v>4345</v>
      </c>
      <c r="H12371" s="333">
        <v>5258</v>
      </c>
    </row>
    <row r="12372" spans="1:8">
      <c r="A12372" s="317">
        <v>2609199869</v>
      </c>
      <c r="B12372" s="330" t="s">
        <v>56725</v>
      </c>
      <c r="C12372" s="330" t="s">
        <v>26685</v>
      </c>
      <c r="D12372" s="330" t="s">
        <v>26686</v>
      </c>
      <c r="E12372" s="330" t="s">
        <v>37248</v>
      </c>
      <c r="F12372" s="331">
        <v>0.21</v>
      </c>
      <c r="G12372" s="332">
        <v>55463</v>
      </c>
      <c r="H12372" s="333">
        <v>67111</v>
      </c>
    </row>
    <row r="12373" spans="1:8">
      <c r="A12373" s="317">
        <v>2609199883</v>
      </c>
      <c r="B12373" s="330" t="s">
        <v>56726</v>
      </c>
      <c r="C12373" s="330" t="s">
        <v>26687</v>
      </c>
      <c r="D12373" s="330" t="s">
        <v>26688</v>
      </c>
      <c r="E12373" s="330" t="s">
        <v>37248</v>
      </c>
      <c r="F12373" s="331">
        <v>0.21</v>
      </c>
      <c r="G12373" s="332">
        <v>24888</v>
      </c>
      <c r="H12373" s="333">
        <v>30115</v>
      </c>
    </row>
    <row r="12374" spans="1:8">
      <c r="A12374" s="317">
        <v>2609199894</v>
      </c>
      <c r="B12374" s="330" t="s">
        <v>56727</v>
      </c>
      <c r="C12374" s="330" t="s">
        <v>26689</v>
      </c>
      <c r="D12374" s="330" t="s">
        <v>10402</v>
      </c>
      <c r="E12374" s="330" t="s">
        <v>37248</v>
      </c>
      <c r="F12374" s="331">
        <v>0.21</v>
      </c>
      <c r="G12374" s="332">
        <v>11042</v>
      </c>
      <c r="H12374" s="333">
        <v>13361</v>
      </c>
    </row>
    <row r="12375" spans="1:8">
      <c r="A12375" s="317">
        <v>2609199916</v>
      </c>
      <c r="B12375" s="330" t="s">
        <v>56728</v>
      </c>
      <c r="C12375" s="330" t="s">
        <v>26690</v>
      </c>
      <c r="D12375" s="330" t="s">
        <v>26691</v>
      </c>
      <c r="E12375" s="330" t="s">
        <v>37248</v>
      </c>
      <c r="F12375" s="331">
        <v>0.21</v>
      </c>
      <c r="G12375" s="332">
        <v>81958</v>
      </c>
      <c r="H12375" s="333">
        <v>99170</v>
      </c>
    </row>
    <row r="12376" spans="1:8">
      <c r="A12376" s="317">
        <v>2609199928</v>
      </c>
      <c r="B12376" s="330" t="s">
        <v>56729</v>
      </c>
      <c r="C12376" s="330" t="s">
        <v>26692</v>
      </c>
      <c r="D12376" s="330" t="s">
        <v>26693</v>
      </c>
      <c r="E12376" s="330" t="s">
        <v>4634</v>
      </c>
      <c r="F12376" s="331">
        <v>0.21</v>
      </c>
      <c r="G12376" s="332">
        <v>8864</v>
      </c>
      <c r="H12376" s="333">
        <v>10726</v>
      </c>
    </row>
    <row r="12377" spans="1:8">
      <c r="A12377" s="317">
        <v>2609199943</v>
      </c>
      <c r="B12377" s="330" t="s">
        <v>56730</v>
      </c>
      <c r="C12377" s="330" t="s">
        <v>26694</v>
      </c>
      <c r="D12377" s="330" t="s">
        <v>26695</v>
      </c>
      <c r="E12377" s="330" t="s">
        <v>37248</v>
      </c>
      <c r="F12377" s="331">
        <v>0.21</v>
      </c>
      <c r="G12377" s="332">
        <v>45231</v>
      </c>
      <c r="H12377" s="333">
        <v>54730</v>
      </c>
    </row>
    <row r="12378" spans="1:8">
      <c r="A12378" s="317">
        <v>2609199946</v>
      </c>
      <c r="B12378" s="330" t="s">
        <v>56731</v>
      </c>
      <c r="C12378" s="330" t="s">
        <v>26696</v>
      </c>
      <c r="D12378" s="330" t="s">
        <v>10563</v>
      </c>
      <c r="E12378" s="330" t="s">
        <v>4819</v>
      </c>
      <c r="F12378" s="331">
        <v>0.21</v>
      </c>
      <c r="G12378" s="332">
        <v>63978</v>
      </c>
      <c r="H12378" s="333">
        <v>77414</v>
      </c>
    </row>
    <row r="12379" spans="1:8">
      <c r="A12379" s="317">
        <v>2609199948</v>
      </c>
      <c r="B12379" s="330" t="s">
        <v>56732</v>
      </c>
      <c r="C12379" s="330" t="s">
        <v>26697</v>
      </c>
      <c r="D12379" s="330" t="s">
        <v>26698</v>
      </c>
      <c r="E12379" s="330" t="s">
        <v>4819</v>
      </c>
      <c r="F12379" s="331">
        <v>0.21</v>
      </c>
      <c r="G12379" s="332">
        <v>44816</v>
      </c>
      <c r="H12379" s="333">
        <v>54228</v>
      </c>
    </row>
    <row r="12380" spans="1:8">
      <c r="A12380" s="317">
        <v>2609199949</v>
      </c>
      <c r="B12380" s="330" t="s">
        <v>56733</v>
      </c>
      <c r="C12380" s="330" t="s">
        <v>26699</v>
      </c>
      <c r="D12380" s="330" t="s">
        <v>26700</v>
      </c>
      <c r="E12380" s="330" t="s">
        <v>4819</v>
      </c>
      <c r="F12380" s="331">
        <v>0.21</v>
      </c>
      <c r="G12380" s="332">
        <v>39439</v>
      </c>
      <c r="H12380" s="333">
        <v>47722</v>
      </c>
    </row>
    <row r="12381" spans="1:8">
      <c r="A12381" s="317">
        <v>2609199957</v>
      </c>
      <c r="B12381" s="330" t="s">
        <v>56734</v>
      </c>
      <c r="C12381" s="330" t="s">
        <v>26701</v>
      </c>
      <c r="D12381" s="330" t="s">
        <v>26702</v>
      </c>
      <c r="E12381" s="330" t="s">
        <v>37248</v>
      </c>
      <c r="F12381" s="331">
        <v>0.21</v>
      </c>
      <c r="G12381" s="332">
        <v>30184</v>
      </c>
      <c r="H12381" s="333">
        <v>36523</v>
      </c>
    </row>
    <row r="12382" spans="1:8">
      <c r="A12382" s="317">
        <v>2609199961</v>
      </c>
      <c r="B12382" s="330" t="s">
        <v>56735</v>
      </c>
      <c r="C12382" s="330" t="s">
        <v>26703</v>
      </c>
      <c r="D12382" s="330" t="s">
        <v>26704</v>
      </c>
      <c r="E12382" s="330" t="s">
        <v>37248</v>
      </c>
      <c r="F12382" s="331">
        <v>0.21</v>
      </c>
      <c r="G12382" s="332">
        <v>23867</v>
      </c>
      <c r="H12382" s="333">
        <v>28880</v>
      </c>
    </row>
    <row r="12383" spans="1:8">
      <c r="A12383" s="317">
        <v>2609199971</v>
      </c>
      <c r="B12383" s="330" t="s">
        <v>56736</v>
      </c>
      <c r="C12383" s="330" t="s">
        <v>26705</v>
      </c>
      <c r="D12383" s="330" t="s">
        <v>26706</v>
      </c>
      <c r="E12383" s="330" t="s">
        <v>37248</v>
      </c>
      <c r="F12383" s="331">
        <v>0.21</v>
      </c>
      <c r="G12383" s="332">
        <v>1191</v>
      </c>
      <c r="H12383" s="333">
        <v>1442</v>
      </c>
    </row>
    <row r="12384" spans="1:8">
      <c r="A12384" s="317">
        <v>2609199975</v>
      </c>
      <c r="B12384" s="330" t="s">
        <v>56737</v>
      </c>
      <c r="C12384" s="330" t="s">
        <v>26707</v>
      </c>
      <c r="D12384" s="330" t="s">
        <v>26708</v>
      </c>
      <c r="E12384" s="330" t="s">
        <v>4819</v>
      </c>
      <c r="F12384" s="331">
        <v>0.21</v>
      </c>
      <c r="G12384" s="332">
        <v>87354</v>
      </c>
      <c r="H12384" s="333">
        <v>105699</v>
      </c>
    </row>
    <row r="12385" spans="1:8">
      <c r="A12385" s="317">
        <v>2609200574</v>
      </c>
      <c r="B12385" s="330" t="s">
        <v>56738</v>
      </c>
      <c r="C12385" s="330" t="s">
        <v>26709</v>
      </c>
      <c r="D12385" s="330" t="s">
        <v>7235</v>
      </c>
      <c r="E12385" s="330" t="s">
        <v>37248</v>
      </c>
      <c r="F12385" s="331">
        <v>0.21</v>
      </c>
      <c r="G12385" s="332">
        <v>383</v>
      </c>
      <c r="H12385" s="333">
        <v>464</v>
      </c>
    </row>
    <row r="12386" spans="1:8">
      <c r="A12386" s="317">
        <v>2609200575</v>
      </c>
      <c r="B12386" s="330" t="s">
        <v>56739</v>
      </c>
      <c r="C12386" s="330" t="s">
        <v>26710</v>
      </c>
      <c r="D12386" s="330" t="s">
        <v>7235</v>
      </c>
      <c r="E12386" s="330" t="s">
        <v>37248</v>
      </c>
      <c r="F12386" s="331">
        <v>0.21</v>
      </c>
      <c r="G12386" s="332">
        <v>240</v>
      </c>
      <c r="H12386" s="333">
        <v>291</v>
      </c>
    </row>
    <row r="12387" spans="1:8">
      <c r="A12387" s="317">
        <v>2609270035</v>
      </c>
      <c r="B12387" s="330" t="s">
        <v>56740</v>
      </c>
      <c r="C12387" s="330" t="s">
        <v>26711</v>
      </c>
      <c r="D12387" s="330" t="s">
        <v>7904</v>
      </c>
      <c r="E12387" s="330" t="s">
        <v>37248</v>
      </c>
      <c r="F12387" s="331">
        <v>0.21</v>
      </c>
      <c r="G12387" s="332">
        <v>435</v>
      </c>
      <c r="H12387" s="333">
        <v>527</v>
      </c>
    </row>
    <row r="12388" spans="1:8">
      <c r="A12388" s="317">
        <v>2609270036</v>
      </c>
      <c r="B12388" s="330" t="s">
        <v>56741</v>
      </c>
      <c r="C12388" s="330" t="s">
        <v>26712</v>
      </c>
      <c r="D12388" s="330" t="s">
        <v>7904</v>
      </c>
      <c r="E12388" s="330" t="s">
        <v>37248</v>
      </c>
      <c r="F12388" s="331">
        <v>0.21</v>
      </c>
      <c r="G12388" s="332">
        <v>339</v>
      </c>
      <c r="H12388" s="333">
        <v>411</v>
      </c>
    </row>
    <row r="12389" spans="1:8">
      <c r="A12389" s="317">
        <v>2609390014</v>
      </c>
      <c r="B12389" s="330" t="s">
        <v>56742</v>
      </c>
      <c r="C12389" s="330" t="s">
        <v>26713</v>
      </c>
      <c r="D12389" s="330" t="s">
        <v>26714</v>
      </c>
      <c r="E12389" s="330" t="s">
        <v>4634</v>
      </c>
      <c r="F12389" s="331">
        <v>0.21</v>
      </c>
      <c r="G12389" s="332">
        <v>6553</v>
      </c>
      <c r="H12389" s="333">
        <v>7930</v>
      </c>
    </row>
    <row r="12390" spans="1:8">
      <c r="A12390" s="317">
        <v>2609390015</v>
      </c>
      <c r="B12390" s="330" t="s">
        <v>56743</v>
      </c>
      <c r="C12390" s="330" t="s">
        <v>26715</v>
      </c>
      <c r="D12390" s="330" t="s">
        <v>26714</v>
      </c>
      <c r="E12390" s="330" t="s">
        <v>4634</v>
      </c>
      <c r="F12390" s="331">
        <v>0.21</v>
      </c>
      <c r="G12390" s="332">
        <v>5652</v>
      </c>
      <c r="H12390" s="333">
        <v>6839</v>
      </c>
    </row>
    <row r="12391" spans="1:8">
      <c r="A12391" s="317">
        <v>2609390303</v>
      </c>
      <c r="B12391" s="330" t="s">
        <v>56744</v>
      </c>
      <c r="C12391" s="330" t="s">
        <v>26716</v>
      </c>
      <c r="D12391" s="330" t="s">
        <v>26717</v>
      </c>
      <c r="E12391" s="330" t="s">
        <v>4634</v>
      </c>
      <c r="F12391" s="331">
        <v>0.21</v>
      </c>
      <c r="G12391" s="332">
        <v>245</v>
      </c>
      <c r="H12391" s="333">
        <v>297</v>
      </c>
    </row>
    <row r="12392" spans="1:8">
      <c r="A12392" s="317">
        <v>2609992600</v>
      </c>
      <c r="B12392" s="330" t="s">
        <v>56745</v>
      </c>
      <c r="C12392" s="330" t="s">
        <v>26718</v>
      </c>
      <c r="D12392" s="330" t="s">
        <v>26719</v>
      </c>
      <c r="E12392" s="330" t="s">
        <v>4623</v>
      </c>
      <c r="F12392" s="331">
        <v>0.21</v>
      </c>
      <c r="G12392" s="332">
        <v>10854</v>
      </c>
      <c r="H12392" s="333">
        <v>13134</v>
      </c>
    </row>
    <row r="12393" spans="1:8">
      <c r="A12393" s="317">
        <v>2609992604</v>
      </c>
      <c r="B12393" s="330" t="s">
        <v>56746</v>
      </c>
      <c r="C12393" s="330" t="s">
        <v>26720</v>
      </c>
      <c r="D12393" s="330" t="s">
        <v>26721</v>
      </c>
      <c r="E12393" s="330" t="s">
        <v>4634</v>
      </c>
      <c r="F12393" s="331">
        <v>0.21</v>
      </c>
      <c r="G12393" s="332">
        <v>2270</v>
      </c>
      <c r="H12393" s="333">
        <v>2747</v>
      </c>
    </row>
    <row r="12394" spans="1:8">
      <c r="A12394" s="317">
        <v>2609992605</v>
      </c>
      <c r="B12394" s="330" t="s">
        <v>56747</v>
      </c>
      <c r="C12394" s="330" t="s">
        <v>26722</v>
      </c>
      <c r="D12394" s="330" t="s">
        <v>26723</v>
      </c>
      <c r="E12394" s="330" t="s">
        <v>4634</v>
      </c>
      <c r="F12394" s="331">
        <v>0.21</v>
      </c>
      <c r="G12394" s="332">
        <v>3421</v>
      </c>
      <c r="H12394" s="333">
        <v>4140</v>
      </c>
    </row>
    <row r="12395" spans="1:8">
      <c r="A12395" s="317">
        <v>2609992608</v>
      </c>
      <c r="B12395" s="330" t="s">
        <v>56748</v>
      </c>
      <c r="C12395" s="330" t="s">
        <v>26724</v>
      </c>
      <c r="D12395" s="330" t="s">
        <v>26725</v>
      </c>
      <c r="E12395" s="330" t="s">
        <v>4634</v>
      </c>
      <c r="F12395" s="331">
        <v>0.21</v>
      </c>
      <c r="G12395" s="332">
        <v>4294</v>
      </c>
      <c r="H12395" s="333">
        <v>5196</v>
      </c>
    </row>
    <row r="12396" spans="1:8">
      <c r="A12396" s="317">
        <v>2609992612</v>
      </c>
      <c r="B12396" s="330" t="s">
        <v>56749</v>
      </c>
      <c r="C12396" s="330" t="s">
        <v>26726</v>
      </c>
      <c r="D12396" s="330" t="s">
        <v>26727</v>
      </c>
      <c r="E12396" s="330" t="s">
        <v>4634</v>
      </c>
      <c r="F12396" s="331">
        <v>0.21</v>
      </c>
      <c r="G12396" s="332">
        <v>2775</v>
      </c>
      <c r="H12396" s="333">
        <v>3358</v>
      </c>
    </row>
    <row r="12397" spans="1:8">
      <c r="A12397" s="317">
        <v>2609992615</v>
      </c>
      <c r="B12397" s="330" t="s">
        <v>56750</v>
      </c>
      <c r="C12397" s="330" t="s">
        <v>26728</v>
      </c>
      <c r="D12397" s="330" t="s">
        <v>26729</v>
      </c>
      <c r="E12397" s="330" t="s">
        <v>4634</v>
      </c>
      <c r="F12397" s="331">
        <v>0.21</v>
      </c>
      <c r="G12397" s="332">
        <v>4294</v>
      </c>
      <c r="H12397" s="333">
        <v>5196</v>
      </c>
    </row>
    <row r="12398" spans="1:8">
      <c r="A12398" s="317">
        <v>2609992618</v>
      </c>
      <c r="B12398" s="330" t="s">
        <v>56751</v>
      </c>
      <c r="C12398" s="330" t="s">
        <v>26730</v>
      </c>
      <c r="D12398" s="330" t="s">
        <v>26731</v>
      </c>
      <c r="E12398" s="330" t="s">
        <v>4634</v>
      </c>
      <c r="F12398" s="331">
        <v>0.21</v>
      </c>
      <c r="G12398" s="332">
        <v>14236</v>
      </c>
      <c r="H12398" s="333">
        <v>17226</v>
      </c>
    </row>
    <row r="12399" spans="1:8">
      <c r="A12399" s="317">
        <v>2609992620</v>
      </c>
      <c r="B12399" s="330" t="s">
        <v>56752</v>
      </c>
      <c r="C12399" s="330" t="s">
        <v>26732</v>
      </c>
      <c r="D12399" s="330" t="s">
        <v>26733</v>
      </c>
      <c r="E12399" s="330" t="s">
        <v>4634</v>
      </c>
      <c r="F12399" s="331">
        <v>0.21</v>
      </c>
      <c r="G12399" s="332">
        <v>2806</v>
      </c>
      <c r="H12399" s="333">
        <v>3396</v>
      </c>
    </row>
    <row r="12400" spans="1:8">
      <c r="A12400" s="317">
        <v>2609992624</v>
      </c>
      <c r="B12400" s="330" t="s">
        <v>56753</v>
      </c>
      <c r="C12400" s="330" t="s">
        <v>26734</v>
      </c>
      <c r="D12400" s="330" t="s">
        <v>26735</v>
      </c>
      <c r="E12400" s="330" t="s">
        <v>4634</v>
      </c>
      <c r="F12400" s="331">
        <v>0.21</v>
      </c>
      <c r="G12400" s="332">
        <v>3838</v>
      </c>
      <c r="H12400" s="333">
        <v>4644</v>
      </c>
    </row>
    <row r="12401" spans="1:8">
      <c r="A12401" s="317">
        <v>2609992625</v>
      </c>
      <c r="B12401" s="330" t="s">
        <v>56754</v>
      </c>
      <c r="C12401" s="330" t="s">
        <v>26736</v>
      </c>
      <c r="D12401" s="330" t="s">
        <v>26737</v>
      </c>
      <c r="E12401" s="330" t="s">
        <v>4634</v>
      </c>
      <c r="F12401" s="331">
        <v>0.21</v>
      </c>
      <c r="G12401" s="332">
        <v>2748</v>
      </c>
      <c r="H12401" s="333">
        <v>3326</v>
      </c>
    </row>
    <row r="12402" spans="1:8">
      <c r="A12402" s="317">
        <v>2609994436</v>
      </c>
      <c r="B12402" s="330" t="s">
        <v>56755</v>
      </c>
      <c r="C12402" s="330" t="s">
        <v>26738</v>
      </c>
      <c r="D12402" s="330" t="s">
        <v>26739</v>
      </c>
      <c r="E12402" s="330" t="s">
        <v>4634</v>
      </c>
      <c r="F12402" s="331">
        <v>0.21</v>
      </c>
      <c r="G12402" s="332">
        <v>437</v>
      </c>
      <c r="H12402" s="333">
        <v>529</v>
      </c>
    </row>
    <row r="12403" spans="1:8">
      <c r="A12403" s="317">
        <v>2609994709</v>
      </c>
      <c r="B12403" s="330" t="s">
        <v>56756</v>
      </c>
      <c r="C12403" s="330" t="s">
        <v>26740</v>
      </c>
      <c r="D12403" s="330" t="s">
        <v>26741</v>
      </c>
      <c r="E12403" s="330" t="s">
        <v>4634</v>
      </c>
      <c r="F12403" s="331">
        <v>0.21</v>
      </c>
      <c r="G12403" s="332">
        <v>580</v>
      </c>
      <c r="H12403" s="333">
        <v>702</v>
      </c>
    </row>
    <row r="12404" spans="1:8">
      <c r="A12404" s="317">
        <v>2609994797</v>
      </c>
      <c r="B12404" s="330" t="s">
        <v>56757</v>
      </c>
      <c r="C12404" s="330" t="s">
        <v>26742</v>
      </c>
      <c r="D12404" s="330" t="s">
        <v>26743</v>
      </c>
      <c r="E12404" s="330" t="s">
        <v>4634</v>
      </c>
      <c r="F12404" s="331">
        <v>0.21</v>
      </c>
      <c r="G12404" s="332">
        <v>1759</v>
      </c>
      <c r="H12404" s="333">
        <v>2129</v>
      </c>
    </row>
    <row r="12405" spans="1:8">
      <c r="A12405" s="317">
        <v>2609994835</v>
      </c>
      <c r="B12405" s="330" t="s">
        <v>56758</v>
      </c>
      <c r="C12405" s="330" t="s">
        <v>26744</v>
      </c>
      <c r="D12405" s="330" t="s">
        <v>26745</v>
      </c>
      <c r="E12405" s="330" t="s">
        <v>4634</v>
      </c>
      <c r="F12405" s="331">
        <v>0.21</v>
      </c>
      <c r="G12405" s="332">
        <v>254</v>
      </c>
      <c r="H12405" s="333">
        <v>308</v>
      </c>
    </row>
    <row r="12406" spans="1:8">
      <c r="A12406" s="317">
        <v>2609994926</v>
      </c>
      <c r="B12406" s="330" t="s">
        <v>56759</v>
      </c>
      <c r="C12406" s="330" t="s">
        <v>26746</v>
      </c>
      <c r="D12406" s="330" t="s">
        <v>26747</v>
      </c>
      <c r="E12406" s="330" t="s">
        <v>4634</v>
      </c>
      <c r="F12406" s="331">
        <v>0.21</v>
      </c>
      <c r="G12406" s="332">
        <v>11727</v>
      </c>
      <c r="H12406" s="333">
        <v>14190</v>
      </c>
    </row>
    <row r="12407" spans="1:8">
      <c r="A12407" s="317">
        <v>2609995084</v>
      </c>
      <c r="B12407" s="330" t="s">
        <v>56760</v>
      </c>
      <c r="C12407" s="330" t="s">
        <v>26748</v>
      </c>
      <c r="D12407" s="330" t="s">
        <v>26749</v>
      </c>
      <c r="E12407" s="330" t="s">
        <v>4634</v>
      </c>
      <c r="F12407" s="331">
        <v>0.21</v>
      </c>
      <c r="G12407" s="332">
        <v>305</v>
      </c>
      <c r="H12407" s="333">
        <v>370</v>
      </c>
    </row>
    <row r="12408" spans="1:8">
      <c r="A12408" s="317">
        <v>2609995085</v>
      </c>
      <c r="B12408" s="330" t="s">
        <v>56761</v>
      </c>
      <c r="C12408" s="330" t="s">
        <v>26750</v>
      </c>
      <c r="D12408" s="330" t="s">
        <v>26751</v>
      </c>
      <c r="E12408" s="330" t="s">
        <v>4634</v>
      </c>
      <c r="F12408" s="331">
        <v>0.21</v>
      </c>
      <c r="G12408" s="332">
        <v>455</v>
      </c>
      <c r="H12408" s="333">
        <v>551</v>
      </c>
    </row>
    <row r="12409" spans="1:8">
      <c r="A12409" s="317">
        <v>2609995917</v>
      </c>
      <c r="B12409" s="330" t="s">
        <v>56762</v>
      </c>
      <c r="C12409" s="330" t="s">
        <v>26752</v>
      </c>
      <c r="D12409" s="330" t="s">
        <v>26753</v>
      </c>
      <c r="E12409" s="330" t="s">
        <v>37248</v>
      </c>
      <c r="F12409" s="331">
        <v>0.21</v>
      </c>
      <c r="G12409" s="332">
        <v>6469</v>
      </c>
      <c r="H12409" s="333">
        <v>7828</v>
      </c>
    </row>
    <row r="12410" spans="1:8">
      <c r="A12410" s="317">
        <v>2610000606</v>
      </c>
      <c r="B12410" s="330" t="s">
        <v>56763</v>
      </c>
      <c r="C12410" s="330" t="s">
        <v>26754</v>
      </c>
      <c r="D12410" s="330" t="s">
        <v>26755</v>
      </c>
      <c r="E12410" s="330" t="s">
        <v>4623</v>
      </c>
      <c r="F12410" s="331">
        <v>0.21</v>
      </c>
      <c r="G12410" s="332">
        <v>1043</v>
      </c>
      <c r="H12410" s="333">
        <v>1263</v>
      </c>
    </row>
    <row r="12411" spans="1:8">
      <c r="A12411" s="317">
        <v>2610000607</v>
      </c>
      <c r="B12411" s="330" t="s">
        <v>56764</v>
      </c>
      <c r="C12411" s="330" t="s">
        <v>26756</v>
      </c>
      <c r="D12411" s="330" t="s">
        <v>26757</v>
      </c>
      <c r="E12411" s="330" t="s">
        <v>4634</v>
      </c>
      <c r="F12411" s="331">
        <v>0.21</v>
      </c>
      <c r="G12411" s="332">
        <v>348</v>
      </c>
      <c r="H12411" s="333">
        <v>422</v>
      </c>
    </row>
    <row r="12412" spans="1:8">
      <c r="A12412" s="317">
        <v>2610000765</v>
      </c>
      <c r="B12412" s="330" t="s">
        <v>56765</v>
      </c>
      <c r="C12412" s="330" t="s">
        <v>26758</v>
      </c>
      <c r="D12412" s="330" t="s">
        <v>26759</v>
      </c>
      <c r="E12412" s="330" t="s">
        <v>37248</v>
      </c>
      <c r="F12412" s="331">
        <v>0.21</v>
      </c>
      <c r="G12412" s="332">
        <v>22184</v>
      </c>
      <c r="H12412" s="333">
        <v>26843</v>
      </c>
    </row>
    <row r="12413" spans="1:8">
      <c r="A12413" s="317">
        <v>2610001147</v>
      </c>
      <c r="B12413" s="330" t="s">
        <v>56766</v>
      </c>
      <c r="C12413" s="330" t="s">
        <v>26760</v>
      </c>
      <c r="D12413" s="330" t="s">
        <v>26761</v>
      </c>
      <c r="E12413" s="330" t="s">
        <v>4634</v>
      </c>
      <c r="F12413" s="331">
        <v>0.21</v>
      </c>
      <c r="G12413" s="332">
        <v>1030</v>
      </c>
      <c r="H12413" s="333">
        <v>1247</v>
      </c>
    </row>
    <row r="12414" spans="1:8">
      <c r="A12414" s="317">
        <v>2610001398</v>
      </c>
      <c r="B12414" s="330" t="s">
        <v>56767</v>
      </c>
      <c r="C12414" s="330" t="s">
        <v>26762</v>
      </c>
      <c r="D12414" s="330" t="s">
        <v>26763</v>
      </c>
      <c r="E12414" s="330" t="s">
        <v>4819</v>
      </c>
      <c r="F12414" s="331">
        <v>0.21</v>
      </c>
      <c r="G12414" s="332">
        <v>910</v>
      </c>
      <c r="H12414" s="333">
        <v>1102</v>
      </c>
    </row>
    <row r="12415" spans="1:8">
      <c r="A12415" s="317">
        <v>2610001597</v>
      </c>
      <c r="B12415" s="330" t="s">
        <v>56768</v>
      </c>
      <c r="C12415" s="330" t="s">
        <v>26764</v>
      </c>
      <c r="D12415" s="330" t="s">
        <v>7818</v>
      </c>
      <c r="E12415" s="330" t="s">
        <v>37248</v>
      </c>
      <c r="F12415" s="331">
        <v>0.21</v>
      </c>
      <c r="G12415" s="332">
        <v>1309</v>
      </c>
      <c r="H12415" s="333">
        <v>1584</v>
      </c>
    </row>
    <row r="12416" spans="1:8">
      <c r="A12416" s="317">
        <v>2610001598</v>
      </c>
      <c r="B12416" s="330" t="s">
        <v>56769</v>
      </c>
      <c r="C12416" s="330" t="s">
        <v>26765</v>
      </c>
      <c r="D12416" s="330" t="s">
        <v>26766</v>
      </c>
      <c r="E12416" s="330" t="s">
        <v>4634</v>
      </c>
      <c r="F12416" s="331">
        <v>0.21</v>
      </c>
      <c r="G12416" s="332">
        <v>455</v>
      </c>
      <c r="H12416" s="333">
        <v>551</v>
      </c>
    </row>
    <row r="12417" spans="1:8">
      <c r="A12417" s="317">
        <v>2610001599</v>
      </c>
      <c r="B12417" s="330" t="s">
        <v>56770</v>
      </c>
      <c r="C12417" s="330" t="s">
        <v>26767</v>
      </c>
      <c r="D12417" s="330" t="s">
        <v>26768</v>
      </c>
      <c r="E12417" s="330" t="s">
        <v>37248</v>
      </c>
      <c r="F12417" s="331">
        <v>0.21</v>
      </c>
      <c r="G12417" s="332">
        <v>243</v>
      </c>
      <c r="H12417" s="333">
        <v>295</v>
      </c>
    </row>
    <row r="12418" spans="1:8">
      <c r="A12418" s="317">
        <v>2610001600</v>
      </c>
      <c r="B12418" s="330" t="s">
        <v>56771</v>
      </c>
      <c r="C12418" s="330" t="s">
        <v>26769</v>
      </c>
      <c r="D12418" s="330" t="s">
        <v>7818</v>
      </c>
      <c r="E12418" s="330" t="s">
        <v>37248</v>
      </c>
      <c r="F12418" s="331">
        <v>0.21</v>
      </c>
      <c r="G12418" s="332">
        <v>1309</v>
      </c>
      <c r="H12418" s="333">
        <v>1584</v>
      </c>
    </row>
    <row r="12419" spans="1:8">
      <c r="A12419" s="317">
        <v>2610001602</v>
      </c>
      <c r="B12419" s="330" t="s">
        <v>56772</v>
      </c>
      <c r="C12419" s="330" t="s">
        <v>26770</v>
      </c>
      <c r="D12419" s="330" t="s">
        <v>12706</v>
      </c>
      <c r="E12419" s="330" t="s">
        <v>37248</v>
      </c>
      <c r="F12419" s="331">
        <v>0.21</v>
      </c>
      <c r="G12419" s="332">
        <v>240</v>
      </c>
      <c r="H12419" s="333">
        <v>291</v>
      </c>
    </row>
    <row r="12420" spans="1:8">
      <c r="A12420" s="317">
        <v>2610001604</v>
      </c>
      <c r="B12420" s="330" t="s">
        <v>56773</v>
      </c>
      <c r="C12420" s="330" t="s">
        <v>26771</v>
      </c>
      <c r="D12420" s="330" t="s">
        <v>26772</v>
      </c>
      <c r="E12420" s="330" t="s">
        <v>37248</v>
      </c>
      <c r="F12420" s="331">
        <v>0.21</v>
      </c>
      <c r="G12420" s="332">
        <v>671</v>
      </c>
      <c r="H12420" s="333">
        <v>812</v>
      </c>
    </row>
    <row r="12421" spans="1:8">
      <c r="A12421" s="317">
        <v>2610001605</v>
      </c>
      <c r="B12421" s="330" t="s">
        <v>56774</v>
      </c>
      <c r="C12421" s="330" t="s">
        <v>26773</v>
      </c>
      <c r="D12421" s="330" t="s">
        <v>26774</v>
      </c>
      <c r="E12421" s="330" t="s">
        <v>4634</v>
      </c>
      <c r="F12421" s="331">
        <v>0.21</v>
      </c>
      <c r="G12421" s="332">
        <v>1150</v>
      </c>
      <c r="H12421" s="333">
        <v>1392</v>
      </c>
    </row>
    <row r="12422" spans="1:8">
      <c r="A12422" s="317">
        <v>2610001606</v>
      </c>
      <c r="B12422" s="330" t="s">
        <v>56775</v>
      </c>
      <c r="C12422" s="330" t="s">
        <v>26775</v>
      </c>
      <c r="D12422" s="330" t="s">
        <v>26776</v>
      </c>
      <c r="E12422" s="330" t="s">
        <v>4634</v>
      </c>
      <c r="F12422" s="331">
        <v>0.21</v>
      </c>
      <c r="G12422" s="332">
        <v>196</v>
      </c>
      <c r="H12422" s="333">
        <v>238</v>
      </c>
    </row>
    <row r="12423" spans="1:8">
      <c r="A12423" s="317">
        <v>2610001607</v>
      </c>
      <c r="B12423" s="330" t="s">
        <v>56776</v>
      </c>
      <c r="C12423" s="330" t="s">
        <v>26777</v>
      </c>
      <c r="D12423" s="330" t="s">
        <v>26774</v>
      </c>
      <c r="E12423" s="330" t="s">
        <v>4634</v>
      </c>
      <c r="F12423" s="331">
        <v>0.21</v>
      </c>
      <c r="G12423" s="332">
        <v>1030</v>
      </c>
      <c r="H12423" s="333">
        <v>1247</v>
      </c>
    </row>
    <row r="12424" spans="1:8">
      <c r="A12424" s="317">
        <v>2610001608</v>
      </c>
      <c r="B12424" s="330" t="s">
        <v>56777</v>
      </c>
      <c r="C12424" s="330" t="s">
        <v>26778</v>
      </c>
      <c r="D12424" s="330" t="s">
        <v>6840</v>
      </c>
      <c r="E12424" s="330" t="s">
        <v>4819</v>
      </c>
      <c r="F12424" s="331">
        <v>0.21</v>
      </c>
      <c r="G12424" s="332">
        <v>7399</v>
      </c>
      <c r="H12424" s="333">
        <v>8953</v>
      </c>
    </row>
    <row r="12425" spans="1:8">
      <c r="A12425" s="317">
        <v>2610001609</v>
      </c>
      <c r="B12425" s="330" t="s">
        <v>56778</v>
      </c>
      <c r="C12425" s="330" t="s">
        <v>26779</v>
      </c>
      <c r="D12425" s="330" t="s">
        <v>26780</v>
      </c>
      <c r="E12425" s="330" t="s">
        <v>4634</v>
      </c>
      <c r="F12425" s="331">
        <v>0.21</v>
      </c>
      <c r="G12425" s="332">
        <v>4073</v>
      </c>
      <c r="H12425" s="333">
        <v>4929</v>
      </c>
    </row>
    <row r="12426" spans="1:8">
      <c r="A12426" s="317">
        <v>2610001624</v>
      </c>
      <c r="B12426" s="330" t="s">
        <v>56779</v>
      </c>
      <c r="C12426" s="330" t="s">
        <v>26781</v>
      </c>
      <c r="D12426" s="330" t="s">
        <v>26782</v>
      </c>
      <c r="E12426" s="330" t="s">
        <v>4819</v>
      </c>
      <c r="F12426" s="331">
        <v>0.21</v>
      </c>
      <c r="G12426" s="332">
        <v>2674</v>
      </c>
      <c r="H12426" s="333">
        <v>3236</v>
      </c>
    </row>
    <row r="12427" spans="1:8">
      <c r="A12427" s="317">
        <v>2610001625</v>
      </c>
      <c r="B12427" s="330" t="s">
        <v>56780</v>
      </c>
      <c r="C12427" s="330" t="s">
        <v>26783</v>
      </c>
      <c r="D12427" s="330" t="s">
        <v>26784</v>
      </c>
      <c r="E12427" s="330" t="s">
        <v>4819</v>
      </c>
      <c r="F12427" s="331">
        <v>0.21</v>
      </c>
      <c r="G12427" s="332">
        <v>10430</v>
      </c>
      <c r="H12427" s="333">
        <v>12621</v>
      </c>
    </row>
    <row r="12428" spans="1:8">
      <c r="A12428" s="317">
        <v>2610001785</v>
      </c>
      <c r="B12428" s="330" t="s">
        <v>56781</v>
      </c>
      <c r="C12428" s="330" t="s">
        <v>26785</v>
      </c>
      <c r="D12428" s="330" t="s">
        <v>26786</v>
      </c>
      <c r="E12428" s="330" t="s">
        <v>37248</v>
      </c>
      <c r="F12428" s="331">
        <v>0.21</v>
      </c>
      <c r="G12428" s="332">
        <v>296</v>
      </c>
      <c r="H12428" s="333">
        <v>359</v>
      </c>
    </row>
    <row r="12429" spans="1:8">
      <c r="A12429" s="317">
        <v>2610001817</v>
      </c>
      <c r="B12429" s="330" t="s">
        <v>56782</v>
      </c>
      <c r="C12429" s="330" t="s">
        <v>26787</v>
      </c>
      <c r="D12429" s="330" t="s">
        <v>26788</v>
      </c>
      <c r="E12429" s="330" t="s">
        <v>4634</v>
      </c>
      <c r="F12429" s="331">
        <v>0.21</v>
      </c>
      <c r="G12429" s="332">
        <v>1170</v>
      </c>
      <c r="H12429" s="333">
        <v>1416</v>
      </c>
    </row>
    <row r="12430" spans="1:8">
      <c r="A12430" s="317">
        <v>2610001818</v>
      </c>
      <c r="B12430" s="330" t="s">
        <v>56783</v>
      </c>
      <c r="C12430" s="330" t="s">
        <v>26789</v>
      </c>
      <c r="D12430" s="330" t="s">
        <v>7809</v>
      </c>
      <c r="E12430" s="330" t="s">
        <v>4634</v>
      </c>
      <c r="F12430" s="331">
        <v>0.21</v>
      </c>
      <c r="G12430" s="332">
        <v>1298</v>
      </c>
      <c r="H12430" s="333">
        <v>1571</v>
      </c>
    </row>
    <row r="12431" spans="1:8">
      <c r="A12431" s="317">
        <v>2610002144</v>
      </c>
      <c r="B12431" s="330" t="s">
        <v>56784</v>
      </c>
      <c r="C12431" s="330" t="s">
        <v>26790</v>
      </c>
      <c r="D12431" s="330" t="s">
        <v>26791</v>
      </c>
      <c r="E12431" s="330" t="s">
        <v>4634</v>
      </c>
      <c r="F12431" s="331">
        <v>0.21</v>
      </c>
      <c r="G12431" s="332">
        <v>280</v>
      </c>
      <c r="H12431" s="333">
        <v>339</v>
      </c>
    </row>
    <row r="12432" spans="1:8">
      <c r="A12432" s="317">
        <v>2610002911</v>
      </c>
      <c r="B12432" s="330" t="s">
        <v>56785</v>
      </c>
      <c r="C12432" s="330" t="s">
        <v>26792</v>
      </c>
      <c r="D12432" s="330" t="s">
        <v>7653</v>
      </c>
      <c r="E12432" s="330" t="s">
        <v>37248</v>
      </c>
      <c r="F12432" s="331">
        <v>0.21</v>
      </c>
      <c r="G12432" s="332">
        <v>165</v>
      </c>
      <c r="H12432" s="333">
        <v>200</v>
      </c>
    </row>
    <row r="12433" spans="1:8">
      <c r="A12433" s="317">
        <v>2610003062</v>
      </c>
      <c r="B12433" s="330" t="s">
        <v>56786</v>
      </c>
      <c r="C12433" s="330" t="s">
        <v>26793</v>
      </c>
      <c r="D12433" s="330" t="s">
        <v>26768</v>
      </c>
      <c r="E12433" s="330" t="s">
        <v>37248</v>
      </c>
      <c r="F12433" s="331">
        <v>0.21</v>
      </c>
      <c r="G12433" s="332">
        <v>205</v>
      </c>
      <c r="H12433" s="333">
        <v>249</v>
      </c>
    </row>
    <row r="12434" spans="1:8">
      <c r="A12434" s="317">
        <v>2610003063</v>
      </c>
      <c r="B12434" s="330" t="s">
        <v>56787</v>
      </c>
      <c r="C12434" s="330" t="s">
        <v>26794</v>
      </c>
      <c r="D12434" s="330" t="s">
        <v>5233</v>
      </c>
      <c r="E12434" s="330" t="s">
        <v>37248</v>
      </c>
      <c r="F12434" s="331">
        <v>0.21</v>
      </c>
      <c r="G12434" s="332">
        <v>213</v>
      </c>
      <c r="H12434" s="333">
        <v>258</v>
      </c>
    </row>
    <row r="12435" spans="1:8">
      <c r="A12435" s="317">
        <v>2610003064</v>
      </c>
      <c r="B12435" s="330" t="s">
        <v>56788</v>
      </c>
      <c r="C12435" s="330" t="s">
        <v>26795</v>
      </c>
      <c r="D12435" s="330" t="s">
        <v>12706</v>
      </c>
      <c r="E12435" s="330" t="s">
        <v>4634</v>
      </c>
      <c r="F12435" s="331">
        <v>0.21</v>
      </c>
      <c r="G12435" s="332">
        <v>196</v>
      </c>
      <c r="H12435" s="333">
        <v>238</v>
      </c>
    </row>
    <row r="12436" spans="1:8">
      <c r="A12436" s="317">
        <v>2610003067</v>
      </c>
      <c r="B12436" s="330" t="s">
        <v>56789</v>
      </c>
      <c r="C12436" s="330" t="s">
        <v>26796</v>
      </c>
      <c r="D12436" s="330" t="s">
        <v>13533</v>
      </c>
      <c r="E12436" s="330" t="s">
        <v>37248</v>
      </c>
      <c r="F12436" s="331">
        <v>0.21</v>
      </c>
      <c r="G12436" s="332">
        <v>417</v>
      </c>
      <c r="H12436" s="333">
        <v>505</v>
      </c>
    </row>
    <row r="12437" spans="1:8">
      <c r="A12437" s="317">
        <v>2610003090</v>
      </c>
      <c r="B12437" s="330" t="s">
        <v>56790</v>
      </c>
      <c r="C12437" s="330" t="s">
        <v>26797</v>
      </c>
      <c r="D12437" s="330" t="s">
        <v>7653</v>
      </c>
      <c r="E12437" s="330" t="s">
        <v>37248</v>
      </c>
      <c r="F12437" s="331">
        <v>0.21</v>
      </c>
      <c r="G12437" s="332">
        <v>318</v>
      </c>
      <c r="H12437" s="333">
        <v>385</v>
      </c>
    </row>
    <row r="12438" spans="1:8">
      <c r="A12438" s="317">
        <v>2610003184</v>
      </c>
      <c r="B12438" s="330" t="s">
        <v>56791</v>
      </c>
      <c r="C12438" s="330" t="s">
        <v>26798</v>
      </c>
      <c r="D12438" s="330" t="s">
        <v>26780</v>
      </c>
      <c r="E12438" s="330" t="s">
        <v>4634</v>
      </c>
      <c r="F12438" s="331">
        <v>0.21</v>
      </c>
      <c r="G12438" s="332">
        <v>3154</v>
      </c>
      <c r="H12438" s="333">
        <v>3817</v>
      </c>
    </row>
    <row r="12439" spans="1:8">
      <c r="A12439" s="317">
        <v>2610003185</v>
      </c>
      <c r="B12439" s="330" t="s">
        <v>56792</v>
      </c>
      <c r="C12439" s="330" t="s">
        <v>26799</v>
      </c>
      <c r="D12439" s="330" t="s">
        <v>26800</v>
      </c>
      <c r="E12439" s="330" t="s">
        <v>37248</v>
      </c>
      <c r="F12439" s="331">
        <v>0.21</v>
      </c>
      <c r="G12439" s="332">
        <v>1363</v>
      </c>
      <c r="H12439" s="333">
        <v>1650</v>
      </c>
    </row>
    <row r="12440" spans="1:8">
      <c r="A12440" s="317">
        <v>2610003210</v>
      </c>
      <c r="B12440" s="330" t="s">
        <v>56793</v>
      </c>
      <c r="C12440" s="330" t="s">
        <v>26801</v>
      </c>
      <c r="D12440" s="330" t="s">
        <v>8171</v>
      </c>
      <c r="E12440" s="330" t="s">
        <v>4819</v>
      </c>
      <c r="F12440" s="331">
        <v>0.21</v>
      </c>
      <c r="G12440" s="332">
        <v>4234</v>
      </c>
      <c r="H12440" s="333">
        <v>5124</v>
      </c>
    </row>
    <row r="12441" spans="1:8">
      <c r="A12441" s="317">
        <v>2610003424</v>
      </c>
      <c r="B12441" s="330" t="s">
        <v>56794</v>
      </c>
      <c r="C12441" s="330" t="s">
        <v>26802</v>
      </c>
      <c r="D12441" s="330" t="s">
        <v>7805</v>
      </c>
      <c r="E12441" s="330" t="s">
        <v>4819</v>
      </c>
      <c r="F12441" s="331">
        <v>0.21</v>
      </c>
      <c r="G12441" s="332">
        <v>2616</v>
      </c>
      <c r="H12441" s="333">
        <v>3166</v>
      </c>
    </row>
    <row r="12442" spans="1:8">
      <c r="A12442" s="317">
        <v>2610003429</v>
      </c>
      <c r="B12442" s="330" t="s">
        <v>56795</v>
      </c>
      <c r="C12442" s="330" t="s">
        <v>26803</v>
      </c>
      <c r="D12442" s="330" t="s">
        <v>26804</v>
      </c>
      <c r="E12442" s="330" t="s">
        <v>37248</v>
      </c>
      <c r="F12442" s="331">
        <v>0.21</v>
      </c>
      <c r="G12442" s="332">
        <v>910</v>
      </c>
      <c r="H12442" s="333">
        <v>1102</v>
      </c>
    </row>
    <row r="12443" spans="1:8">
      <c r="A12443" s="317">
        <v>2610003433</v>
      </c>
      <c r="B12443" s="330" t="s">
        <v>56796</v>
      </c>
      <c r="C12443" s="330" t="s">
        <v>26805</v>
      </c>
      <c r="D12443" s="330" t="s">
        <v>26806</v>
      </c>
      <c r="E12443" s="330" t="s">
        <v>37248</v>
      </c>
      <c r="F12443" s="331">
        <v>0.21</v>
      </c>
      <c r="G12443" s="332">
        <v>1025</v>
      </c>
      <c r="H12443" s="333">
        <v>1241</v>
      </c>
    </row>
    <row r="12444" spans="1:8">
      <c r="A12444" s="317">
        <v>2610003434</v>
      </c>
      <c r="B12444" s="330" t="s">
        <v>56797</v>
      </c>
      <c r="C12444" s="330" t="s">
        <v>26807</v>
      </c>
      <c r="D12444" s="330" t="s">
        <v>26808</v>
      </c>
      <c r="E12444" s="330" t="s">
        <v>4819</v>
      </c>
      <c r="F12444" s="331">
        <v>0.21</v>
      </c>
      <c r="G12444" s="332">
        <v>3616</v>
      </c>
      <c r="H12444" s="333">
        <v>4376</v>
      </c>
    </row>
    <row r="12445" spans="1:8">
      <c r="A12445" s="317">
        <v>2610003969</v>
      </c>
      <c r="B12445" s="330" t="s">
        <v>56798</v>
      </c>
      <c r="C12445" s="330" t="s">
        <v>26809</v>
      </c>
      <c r="D12445" s="330" t="s">
        <v>26810</v>
      </c>
      <c r="E12445" s="330" t="s">
        <v>4634</v>
      </c>
      <c r="F12445" s="331">
        <v>0.21</v>
      </c>
      <c r="G12445" s="332">
        <v>27966</v>
      </c>
      <c r="H12445" s="333">
        <v>33839</v>
      </c>
    </row>
    <row r="12446" spans="1:8">
      <c r="A12446" s="317">
        <v>2610003970</v>
      </c>
      <c r="B12446" s="330" t="s">
        <v>56799</v>
      </c>
      <c r="C12446" s="330" t="s">
        <v>26811</v>
      </c>
      <c r="D12446" s="330" t="s">
        <v>26812</v>
      </c>
      <c r="E12446" s="330" t="s">
        <v>4623</v>
      </c>
      <c r="F12446" s="331">
        <v>0.21</v>
      </c>
      <c r="G12446" s="332">
        <v>75835</v>
      </c>
      <c r="H12446" s="333">
        <v>91761</v>
      </c>
    </row>
    <row r="12447" spans="1:8">
      <c r="A12447" s="317">
        <v>2610003971</v>
      </c>
      <c r="B12447" s="330" t="s">
        <v>56800</v>
      </c>
      <c r="C12447" s="330" t="s">
        <v>26813</v>
      </c>
      <c r="D12447" s="330" t="s">
        <v>26814</v>
      </c>
      <c r="E12447" s="330" t="s">
        <v>4634</v>
      </c>
      <c r="F12447" s="331">
        <v>0.21</v>
      </c>
      <c r="G12447" s="332">
        <v>1991</v>
      </c>
      <c r="H12447" s="333">
        <v>2410</v>
      </c>
    </row>
    <row r="12448" spans="1:8">
      <c r="A12448" s="317">
        <v>2610003973</v>
      </c>
      <c r="B12448" s="330" t="s">
        <v>56801</v>
      </c>
      <c r="C12448" s="330" t="s">
        <v>26815</v>
      </c>
      <c r="D12448" s="330" t="s">
        <v>26816</v>
      </c>
      <c r="E12448" s="330" t="s">
        <v>37248</v>
      </c>
      <c r="F12448" s="331">
        <v>0.21</v>
      </c>
      <c r="G12448" s="332">
        <v>985</v>
      </c>
      <c r="H12448" s="333">
        <v>1192</v>
      </c>
    </row>
    <row r="12449" spans="1:8">
      <c r="A12449" s="317">
        <v>2610003974</v>
      </c>
      <c r="B12449" s="330" t="s">
        <v>56802</v>
      </c>
      <c r="C12449" s="330" t="s">
        <v>26817</v>
      </c>
      <c r="D12449" s="330" t="s">
        <v>26810</v>
      </c>
      <c r="E12449" s="330" t="s">
        <v>4634</v>
      </c>
      <c r="F12449" s="331">
        <v>0.21</v>
      </c>
      <c r="G12449" s="332">
        <v>17152</v>
      </c>
      <c r="H12449" s="333">
        <v>20754</v>
      </c>
    </row>
    <row r="12450" spans="1:8">
      <c r="A12450" s="317">
        <v>2610004411</v>
      </c>
      <c r="B12450" s="330" t="s">
        <v>56803</v>
      </c>
      <c r="C12450" s="330" t="s">
        <v>26818</v>
      </c>
      <c r="D12450" s="330" t="s">
        <v>7645</v>
      </c>
      <c r="E12450" s="330" t="s">
        <v>4634</v>
      </c>
      <c r="F12450" s="331">
        <v>0.21</v>
      </c>
      <c r="G12450" s="332">
        <v>196</v>
      </c>
      <c r="H12450" s="333">
        <v>238</v>
      </c>
    </row>
    <row r="12451" spans="1:8">
      <c r="A12451" s="317">
        <v>2610004460</v>
      </c>
      <c r="B12451" s="330" t="s">
        <v>56804</v>
      </c>
      <c r="C12451" s="330" t="s">
        <v>26819</v>
      </c>
      <c r="D12451" s="330" t="s">
        <v>13466</v>
      </c>
      <c r="E12451" s="330" t="s">
        <v>4634</v>
      </c>
      <c r="F12451" s="331">
        <v>0.21</v>
      </c>
      <c r="G12451" s="332">
        <v>455</v>
      </c>
      <c r="H12451" s="333">
        <v>551</v>
      </c>
    </row>
    <row r="12452" spans="1:8">
      <c r="A12452" s="317">
        <v>2610004556</v>
      </c>
      <c r="B12452" s="330" t="s">
        <v>56805</v>
      </c>
      <c r="C12452" s="330" t="s">
        <v>26820</v>
      </c>
      <c r="D12452" s="330" t="s">
        <v>26821</v>
      </c>
      <c r="E12452" s="330" t="s">
        <v>37248</v>
      </c>
      <c r="F12452" s="331">
        <v>0.21</v>
      </c>
      <c r="G12452" s="332">
        <v>14339</v>
      </c>
      <c r="H12452" s="333">
        <v>17351</v>
      </c>
    </row>
    <row r="12453" spans="1:8">
      <c r="A12453" s="317">
        <v>2610004557</v>
      </c>
      <c r="B12453" s="330" t="s">
        <v>56806</v>
      </c>
      <c r="C12453" s="330" t="s">
        <v>26822</v>
      </c>
      <c r="D12453" s="330" t="s">
        <v>26823</v>
      </c>
      <c r="E12453" s="330" t="s">
        <v>37248</v>
      </c>
      <c r="F12453" s="331">
        <v>0.21</v>
      </c>
      <c r="G12453" s="332">
        <v>41681</v>
      </c>
      <c r="H12453" s="333">
        <v>50435</v>
      </c>
    </row>
    <row r="12454" spans="1:8">
      <c r="A12454" s="317">
        <v>2610004592</v>
      </c>
      <c r="B12454" s="330" t="s">
        <v>56807</v>
      </c>
      <c r="C12454" s="330" t="s">
        <v>26824</v>
      </c>
      <c r="D12454" s="330" t="s">
        <v>26825</v>
      </c>
      <c r="E12454" s="330" t="s">
        <v>4819</v>
      </c>
      <c r="F12454" s="331">
        <v>0.21</v>
      </c>
      <c r="G12454" s="332">
        <v>17846</v>
      </c>
      <c r="H12454" s="333">
        <v>21594</v>
      </c>
    </row>
    <row r="12455" spans="1:8">
      <c r="A12455" s="317">
        <v>2610004595</v>
      </c>
      <c r="B12455" s="330" t="s">
        <v>56808</v>
      </c>
      <c r="C12455" s="330" t="s">
        <v>26826</v>
      </c>
      <c r="D12455" s="330" t="s">
        <v>26827</v>
      </c>
      <c r="E12455" s="330" t="s">
        <v>37248</v>
      </c>
      <c r="F12455" s="331">
        <v>0.21</v>
      </c>
      <c r="G12455" s="332">
        <v>8878</v>
      </c>
      <c r="H12455" s="333">
        <v>10743</v>
      </c>
    </row>
    <row r="12456" spans="1:8">
      <c r="A12456" s="317">
        <v>2610004610</v>
      </c>
      <c r="B12456" s="330" t="s">
        <v>56809</v>
      </c>
      <c r="C12456" s="330" t="s">
        <v>26828</v>
      </c>
      <c r="D12456" s="330" t="s">
        <v>26829</v>
      </c>
      <c r="E12456" s="330" t="s">
        <v>37248</v>
      </c>
      <c r="F12456" s="331">
        <v>0.21</v>
      </c>
      <c r="G12456" s="332">
        <v>2922</v>
      </c>
      <c r="H12456" s="333">
        <v>3536</v>
      </c>
    </row>
    <row r="12457" spans="1:8">
      <c r="A12457" s="317">
        <v>2610004743</v>
      </c>
      <c r="B12457" s="330" t="s">
        <v>56810</v>
      </c>
      <c r="C12457" s="330" t="s">
        <v>26830</v>
      </c>
      <c r="D12457" s="330" t="s">
        <v>26831</v>
      </c>
      <c r="E12457" s="330" t="s">
        <v>37248</v>
      </c>
      <c r="F12457" s="331">
        <v>0.21</v>
      </c>
      <c r="G12457" s="332">
        <v>63777</v>
      </c>
      <c r="H12457" s="333">
        <v>77171</v>
      </c>
    </row>
    <row r="12458" spans="1:8">
      <c r="A12458" s="317">
        <v>2610004745</v>
      </c>
      <c r="B12458" s="330" t="s">
        <v>56811</v>
      </c>
      <c r="C12458" s="330" t="s">
        <v>26832</v>
      </c>
      <c r="D12458" s="330" t="s">
        <v>26831</v>
      </c>
      <c r="E12458" s="330" t="s">
        <v>37248</v>
      </c>
      <c r="F12458" s="331">
        <v>0.21</v>
      </c>
      <c r="G12458" s="332">
        <v>71614</v>
      </c>
      <c r="H12458" s="333">
        <v>86653</v>
      </c>
    </row>
    <row r="12459" spans="1:8">
      <c r="A12459" s="317">
        <v>2610004774</v>
      </c>
      <c r="B12459" s="330" t="s">
        <v>56812</v>
      </c>
      <c r="C12459" s="330" t="s">
        <v>26833</v>
      </c>
      <c r="D12459" s="330" t="s">
        <v>26834</v>
      </c>
      <c r="E12459" s="330" t="s">
        <v>37248</v>
      </c>
      <c r="F12459" s="331">
        <v>0.21</v>
      </c>
      <c r="G12459" s="332">
        <v>727</v>
      </c>
      <c r="H12459" s="333">
        <v>880</v>
      </c>
    </row>
    <row r="12460" spans="1:8">
      <c r="A12460" s="317">
        <v>2610004778</v>
      </c>
      <c r="B12460" s="330" t="s">
        <v>56813</v>
      </c>
      <c r="C12460" s="330" t="s">
        <v>26835</v>
      </c>
      <c r="D12460" s="330" t="s">
        <v>26836</v>
      </c>
      <c r="E12460" s="330" t="s">
        <v>4634</v>
      </c>
      <c r="F12460" s="331">
        <v>0.21</v>
      </c>
      <c r="G12460" s="332">
        <v>4004</v>
      </c>
      <c r="H12460" s="333">
        <v>4845</v>
      </c>
    </row>
    <row r="12461" spans="1:8">
      <c r="A12461" s="317">
        <v>2610004779</v>
      </c>
      <c r="B12461" s="330" t="s">
        <v>56814</v>
      </c>
      <c r="C12461" s="330" t="s">
        <v>26837</v>
      </c>
      <c r="D12461" s="330" t="s">
        <v>26838</v>
      </c>
      <c r="E12461" s="330" t="s">
        <v>4634</v>
      </c>
      <c r="F12461" s="331">
        <v>0.21</v>
      </c>
      <c r="G12461" s="332">
        <v>2775</v>
      </c>
      <c r="H12461" s="333">
        <v>3358</v>
      </c>
    </row>
    <row r="12462" spans="1:8">
      <c r="A12462" s="317">
        <v>2610004781</v>
      </c>
      <c r="B12462" s="330" t="s">
        <v>56815</v>
      </c>
      <c r="C12462" s="330" t="s">
        <v>26839</v>
      </c>
      <c r="D12462" s="330" t="s">
        <v>26840</v>
      </c>
      <c r="E12462" s="330" t="s">
        <v>4634</v>
      </c>
      <c r="F12462" s="331">
        <v>0.21</v>
      </c>
      <c r="G12462" s="332">
        <v>2775</v>
      </c>
      <c r="H12462" s="333">
        <v>3358</v>
      </c>
    </row>
    <row r="12463" spans="1:8">
      <c r="A12463" s="317">
        <v>2610004782</v>
      </c>
      <c r="B12463" s="330" t="s">
        <v>56816</v>
      </c>
      <c r="C12463" s="330" t="s">
        <v>26841</v>
      </c>
      <c r="D12463" s="330" t="s">
        <v>26842</v>
      </c>
      <c r="E12463" s="330" t="s">
        <v>4634</v>
      </c>
      <c r="F12463" s="331">
        <v>0.21</v>
      </c>
      <c r="G12463" s="332">
        <v>2270</v>
      </c>
      <c r="H12463" s="333">
        <v>2747</v>
      </c>
    </row>
    <row r="12464" spans="1:8">
      <c r="A12464" s="317">
        <v>2610004783</v>
      </c>
      <c r="B12464" s="330" t="s">
        <v>56817</v>
      </c>
      <c r="C12464" s="330" t="s">
        <v>26843</v>
      </c>
      <c r="D12464" s="330" t="s">
        <v>26844</v>
      </c>
      <c r="E12464" s="330" t="s">
        <v>4634</v>
      </c>
      <c r="F12464" s="331">
        <v>0.21</v>
      </c>
      <c r="G12464" s="332">
        <v>2186</v>
      </c>
      <c r="H12464" s="333">
        <v>2646</v>
      </c>
    </row>
    <row r="12465" spans="1:8">
      <c r="A12465" s="317">
        <v>2610004784</v>
      </c>
      <c r="B12465" s="330" t="s">
        <v>56818</v>
      </c>
      <c r="C12465" s="330" t="s">
        <v>26845</v>
      </c>
      <c r="D12465" s="330" t="s">
        <v>26846</v>
      </c>
      <c r="E12465" s="330" t="s">
        <v>4634</v>
      </c>
      <c r="F12465" s="331">
        <v>0.21</v>
      </c>
      <c r="G12465" s="332">
        <v>2232</v>
      </c>
      <c r="H12465" s="333">
        <v>2701</v>
      </c>
    </row>
    <row r="12466" spans="1:8">
      <c r="A12466" s="317">
        <v>2610004789</v>
      </c>
      <c r="B12466" s="330" t="s">
        <v>56819</v>
      </c>
      <c r="C12466" s="330" t="s">
        <v>26847</v>
      </c>
      <c r="D12466" s="330" t="s">
        <v>26848</v>
      </c>
      <c r="E12466" s="330" t="s">
        <v>4634</v>
      </c>
      <c r="F12466" s="331">
        <v>0.21</v>
      </c>
      <c r="G12466" s="332">
        <v>236</v>
      </c>
      <c r="H12466" s="333">
        <v>286</v>
      </c>
    </row>
    <row r="12467" spans="1:8">
      <c r="A12467" s="317">
        <v>2610004790</v>
      </c>
      <c r="B12467" s="330" t="s">
        <v>56820</v>
      </c>
      <c r="C12467" s="330" t="s">
        <v>26849</v>
      </c>
      <c r="D12467" s="330" t="s">
        <v>26850</v>
      </c>
      <c r="E12467" s="330" t="s">
        <v>4634</v>
      </c>
      <c r="F12467" s="331">
        <v>0.21</v>
      </c>
      <c r="G12467" s="332">
        <v>928</v>
      </c>
      <c r="H12467" s="333">
        <v>1123</v>
      </c>
    </row>
    <row r="12468" spans="1:8">
      <c r="A12468" s="317">
        <v>2610004791</v>
      </c>
      <c r="B12468" s="330" t="s">
        <v>56821</v>
      </c>
      <c r="C12468" s="330" t="s">
        <v>26851</v>
      </c>
      <c r="D12468" s="330" t="s">
        <v>26852</v>
      </c>
      <c r="E12468" s="330" t="s">
        <v>4634</v>
      </c>
      <c r="F12468" s="331">
        <v>0.21</v>
      </c>
      <c r="G12468" s="332">
        <v>1759</v>
      </c>
      <c r="H12468" s="333">
        <v>2129</v>
      </c>
    </row>
    <row r="12469" spans="1:8">
      <c r="A12469" s="317">
        <v>2610004793</v>
      </c>
      <c r="B12469" s="330" t="s">
        <v>56822</v>
      </c>
      <c r="C12469" s="330" t="s">
        <v>26853</v>
      </c>
      <c r="D12469" s="330" t="s">
        <v>26854</v>
      </c>
      <c r="E12469" s="330" t="s">
        <v>4634</v>
      </c>
      <c r="F12469" s="331">
        <v>0.21</v>
      </c>
      <c r="G12469" s="332">
        <v>1229</v>
      </c>
      <c r="H12469" s="333">
        <v>1488</v>
      </c>
    </row>
    <row r="12470" spans="1:8">
      <c r="A12470" s="317">
        <v>2610004794</v>
      </c>
      <c r="B12470" s="330" t="s">
        <v>56823</v>
      </c>
      <c r="C12470" s="330" t="s">
        <v>26855</v>
      </c>
      <c r="D12470" s="330" t="s">
        <v>26856</v>
      </c>
      <c r="E12470" s="330" t="s">
        <v>4634</v>
      </c>
      <c r="F12470" s="331">
        <v>0.21</v>
      </c>
      <c r="G12470" s="332">
        <v>1262</v>
      </c>
      <c r="H12470" s="333">
        <v>1528</v>
      </c>
    </row>
    <row r="12471" spans="1:8">
      <c r="A12471" s="317">
        <v>2610004797</v>
      </c>
      <c r="B12471" s="330" t="s">
        <v>56824</v>
      </c>
      <c r="C12471" s="330" t="s">
        <v>26857</v>
      </c>
      <c r="D12471" s="330" t="s">
        <v>26848</v>
      </c>
      <c r="E12471" s="330" t="s">
        <v>4634</v>
      </c>
      <c r="F12471" s="331">
        <v>0.21</v>
      </c>
      <c r="G12471" s="332">
        <v>236</v>
      </c>
      <c r="H12471" s="333">
        <v>286</v>
      </c>
    </row>
    <row r="12472" spans="1:8">
      <c r="A12472" s="317">
        <v>2610004808</v>
      </c>
      <c r="B12472" s="330" t="s">
        <v>56825</v>
      </c>
      <c r="C12472" s="330" t="s">
        <v>26858</v>
      </c>
      <c r="D12472" s="330" t="s">
        <v>26848</v>
      </c>
      <c r="E12472" s="330" t="s">
        <v>4634</v>
      </c>
      <c r="F12472" s="331">
        <v>0.21</v>
      </c>
      <c r="G12472" s="332">
        <v>455</v>
      </c>
      <c r="H12472" s="333">
        <v>551</v>
      </c>
    </row>
    <row r="12473" spans="1:8">
      <c r="A12473" s="317">
        <v>2610004824</v>
      </c>
      <c r="B12473" s="330" t="s">
        <v>56826</v>
      </c>
      <c r="C12473" s="330" t="s">
        <v>26859</v>
      </c>
      <c r="D12473" s="330" t="s">
        <v>26860</v>
      </c>
      <c r="E12473" s="330" t="s">
        <v>4634</v>
      </c>
      <c r="F12473" s="331">
        <v>0.21</v>
      </c>
      <c r="G12473" s="332">
        <v>236</v>
      </c>
      <c r="H12473" s="333">
        <v>286</v>
      </c>
    </row>
    <row r="12474" spans="1:8">
      <c r="A12474" s="317">
        <v>2610004825</v>
      </c>
      <c r="B12474" s="330" t="s">
        <v>56827</v>
      </c>
      <c r="C12474" s="330" t="s">
        <v>26861</v>
      </c>
      <c r="D12474" s="330" t="s">
        <v>26862</v>
      </c>
      <c r="E12474" s="330" t="s">
        <v>4819</v>
      </c>
      <c r="F12474" s="331">
        <v>0.21</v>
      </c>
      <c r="G12474" s="332">
        <v>82002</v>
      </c>
      <c r="H12474" s="333">
        <v>99223</v>
      </c>
    </row>
    <row r="12475" spans="1:8">
      <c r="A12475" s="317">
        <v>2610004830</v>
      </c>
      <c r="B12475" s="330" t="s">
        <v>56828</v>
      </c>
      <c r="C12475" s="330" t="s">
        <v>26863</v>
      </c>
      <c r="D12475" s="330" t="s">
        <v>26864</v>
      </c>
      <c r="E12475" s="330" t="s">
        <v>37248</v>
      </c>
      <c r="F12475" s="331">
        <v>0.21</v>
      </c>
      <c r="G12475" s="332">
        <v>31523</v>
      </c>
      <c r="H12475" s="333">
        <v>38143</v>
      </c>
    </row>
    <row r="12476" spans="1:8">
      <c r="A12476" s="317">
        <v>2610004925</v>
      </c>
      <c r="B12476" s="330" t="s">
        <v>56829</v>
      </c>
      <c r="C12476" s="330" t="s">
        <v>26865</v>
      </c>
      <c r="D12476" s="330" t="s">
        <v>11657</v>
      </c>
      <c r="E12476" s="330" t="s">
        <v>4634</v>
      </c>
      <c r="F12476" s="331">
        <v>0.21</v>
      </c>
      <c r="G12476" s="332">
        <v>432</v>
      </c>
      <c r="H12476" s="333">
        <v>523</v>
      </c>
    </row>
    <row r="12477" spans="1:8">
      <c r="A12477" s="317">
        <v>2610005245</v>
      </c>
      <c r="B12477" s="330" t="s">
        <v>56830</v>
      </c>
      <c r="C12477" s="330" t="s">
        <v>26866</v>
      </c>
      <c r="D12477" s="330" t="s">
        <v>12652</v>
      </c>
      <c r="E12477" s="330" t="s">
        <v>37248</v>
      </c>
      <c r="F12477" s="331">
        <v>0.21</v>
      </c>
      <c r="G12477" s="332">
        <v>305</v>
      </c>
      <c r="H12477" s="333">
        <v>370</v>
      </c>
    </row>
    <row r="12478" spans="1:8">
      <c r="A12478" s="317">
        <v>2610005252</v>
      </c>
      <c r="B12478" s="330" t="s">
        <v>56831</v>
      </c>
      <c r="C12478" s="330" t="s">
        <v>26867</v>
      </c>
      <c r="D12478" s="330" t="s">
        <v>7235</v>
      </c>
      <c r="E12478" s="330" t="s">
        <v>37248</v>
      </c>
      <c r="F12478" s="331">
        <v>0.21</v>
      </c>
      <c r="G12478" s="332">
        <v>305</v>
      </c>
      <c r="H12478" s="333">
        <v>370</v>
      </c>
    </row>
    <row r="12479" spans="1:8">
      <c r="A12479" s="317">
        <v>2610005300</v>
      </c>
      <c r="B12479" s="330" t="s">
        <v>56832</v>
      </c>
      <c r="C12479" s="330" t="s">
        <v>26868</v>
      </c>
      <c r="D12479" s="330" t="s">
        <v>5015</v>
      </c>
      <c r="E12479" s="330" t="s">
        <v>37248</v>
      </c>
      <c r="F12479" s="331">
        <v>0.21</v>
      </c>
      <c r="G12479" s="332">
        <v>305</v>
      </c>
      <c r="H12479" s="333">
        <v>370</v>
      </c>
    </row>
    <row r="12480" spans="1:8">
      <c r="A12480" s="317">
        <v>2610005311</v>
      </c>
      <c r="B12480" s="330" t="s">
        <v>56833</v>
      </c>
      <c r="C12480" s="330" t="s">
        <v>26869</v>
      </c>
      <c r="D12480" s="330" t="s">
        <v>7235</v>
      </c>
      <c r="E12480" s="330" t="s">
        <v>37248</v>
      </c>
      <c r="F12480" s="331">
        <v>0.21</v>
      </c>
      <c r="G12480" s="332">
        <v>305</v>
      </c>
      <c r="H12480" s="333">
        <v>370</v>
      </c>
    </row>
    <row r="12481" spans="1:8">
      <c r="A12481" s="317">
        <v>2610005325</v>
      </c>
      <c r="B12481" s="330" t="s">
        <v>56834</v>
      </c>
      <c r="C12481" s="330" t="s">
        <v>26870</v>
      </c>
      <c r="D12481" s="330" t="s">
        <v>26871</v>
      </c>
      <c r="E12481" s="330" t="s">
        <v>37248</v>
      </c>
      <c r="F12481" s="331">
        <v>0.21</v>
      </c>
      <c r="G12481" s="332">
        <v>947</v>
      </c>
      <c r="H12481" s="333">
        <v>1146</v>
      </c>
    </row>
    <row r="12482" spans="1:8">
      <c r="A12482" s="317">
        <v>2610005340</v>
      </c>
      <c r="B12482" s="330" t="s">
        <v>56835</v>
      </c>
      <c r="C12482" s="330" t="s">
        <v>26872</v>
      </c>
      <c r="D12482" s="330" t="s">
        <v>26873</v>
      </c>
      <c r="E12482" s="330" t="s">
        <v>4634</v>
      </c>
      <c r="F12482" s="331">
        <v>0.21</v>
      </c>
      <c r="G12482" s="332">
        <v>633</v>
      </c>
      <c r="H12482" s="333">
        <v>766</v>
      </c>
    </row>
    <row r="12483" spans="1:8">
      <c r="A12483" s="317">
        <v>2610005357</v>
      </c>
      <c r="B12483" s="330" t="s">
        <v>56836</v>
      </c>
      <c r="C12483" s="330" t="s">
        <v>26874</v>
      </c>
      <c r="D12483" s="330" t="s">
        <v>7235</v>
      </c>
      <c r="E12483" s="330" t="s">
        <v>37248</v>
      </c>
      <c r="F12483" s="331">
        <v>0.21</v>
      </c>
      <c r="G12483" s="332">
        <v>305</v>
      </c>
      <c r="H12483" s="333">
        <v>370</v>
      </c>
    </row>
    <row r="12484" spans="1:8">
      <c r="A12484" s="317">
        <v>2610005381</v>
      </c>
      <c r="B12484" s="330" t="s">
        <v>56837</v>
      </c>
      <c r="C12484" s="330" t="s">
        <v>26875</v>
      </c>
      <c r="D12484" s="330" t="s">
        <v>26876</v>
      </c>
      <c r="E12484" s="330" t="s">
        <v>37248</v>
      </c>
      <c r="F12484" s="331">
        <v>0.21</v>
      </c>
      <c r="G12484" s="332">
        <v>6810</v>
      </c>
      <c r="H12484" s="333">
        <v>8241</v>
      </c>
    </row>
    <row r="12485" spans="1:8">
      <c r="A12485" s="317">
        <v>2610005460</v>
      </c>
      <c r="B12485" s="330" t="s">
        <v>56838</v>
      </c>
      <c r="C12485" s="330" t="s">
        <v>26877</v>
      </c>
      <c r="D12485" s="330" t="s">
        <v>26878</v>
      </c>
      <c r="E12485" s="330" t="s">
        <v>37248</v>
      </c>
      <c r="F12485" s="331">
        <v>0.21</v>
      </c>
      <c r="G12485" s="332">
        <v>20670</v>
      </c>
      <c r="H12485" s="333">
        <v>25011</v>
      </c>
    </row>
    <row r="12486" spans="1:8">
      <c r="A12486" s="317">
        <v>2610005471</v>
      </c>
      <c r="B12486" s="330" t="s">
        <v>56839</v>
      </c>
      <c r="C12486" s="330" t="s">
        <v>26879</v>
      </c>
      <c r="D12486" s="330" t="s">
        <v>26880</v>
      </c>
      <c r="E12486" s="330" t="s">
        <v>37248</v>
      </c>
      <c r="F12486" s="331">
        <v>0.21</v>
      </c>
      <c r="G12486" s="332">
        <v>758</v>
      </c>
      <c r="H12486" s="333">
        <v>918</v>
      </c>
    </row>
    <row r="12487" spans="1:8">
      <c r="A12487" s="317">
        <v>2610005472</v>
      </c>
      <c r="B12487" s="330" t="s">
        <v>56840</v>
      </c>
      <c r="C12487" s="330" t="s">
        <v>26881</v>
      </c>
      <c r="D12487" s="330" t="s">
        <v>26882</v>
      </c>
      <c r="E12487" s="330" t="s">
        <v>37248</v>
      </c>
      <c r="F12487" s="331">
        <v>0.21</v>
      </c>
      <c r="G12487" s="332">
        <v>675</v>
      </c>
      <c r="H12487" s="333">
        <v>817</v>
      </c>
    </row>
    <row r="12488" spans="1:8">
      <c r="A12488" s="317">
        <v>2610005473</v>
      </c>
      <c r="B12488" s="330" t="s">
        <v>56841</v>
      </c>
      <c r="C12488" s="330" t="s">
        <v>26883</v>
      </c>
      <c r="D12488" s="330" t="s">
        <v>26884</v>
      </c>
      <c r="E12488" s="330" t="s">
        <v>4819</v>
      </c>
      <c r="F12488" s="331">
        <v>0.21</v>
      </c>
      <c r="G12488" s="332">
        <v>863</v>
      </c>
      <c r="H12488" s="333">
        <v>1045</v>
      </c>
    </row>
    <row r="12489" spans="1:8">
      <c r="A12489" s="317">
        <v>2610005516</v>
      </c>
      <c r="B12489" s="330" t="s">
        <v>56842</v>
      </c>
      <c r="C12489" s="330" t="s">
        <v>26885</v>
      </c>
      <c r="D12489" s="330" t="s">
        <v>7653</v>
      </c>
      <c r="E12489" s="330" t="s">
        <v>37248</v>
      </c>
      <c r="F12489" s="331">
        <v>0.21</v>
      </c>
      <c r="G12489" s="332">
        <v>292</v>
      </c>
      <c r="H12489" s="333">
        <v>354</v>
      </c>
    </row>
    <row r="12490" spans="1:8">
      <c r="A12490" s="317">
        <v>2610005997</v>
      </c>
      <c r="B12490" s="330" t="s">
        <v>56843</v>
      </c>
      <c r="C12490" s="330" t="s">
        <v>26886</v>
      </c>
      <c r="D12490" s="330" t="s">
        <v>7653</v>
      </c>
      <c r="E12490" s="330" t="s">
        <v>37248</v>
      </c>
      <c r="F12490" s="331">
        <v>0.21</v>
      </c>
      <c r="G12490" s="332">
        <v>165</v>
      </c>
      <c r="H12490" s="333">
        <v>200</v>
      </c>
    </row>
    <row r="12491" spans="1:8">
      <c r="A12491" s="317">
        <v>2610006340</v>
      </c>
      <c r="B12491" s="330" t="s">
        <v>56844</v>
      </c>
      <c r="C12491" s="330" t="s">
        <v>26887</v>
      </c>
      <c r="D12491" s="330" t="s">
        <v>7645</v>
      </c>
      <c r="E12491" s="330" t="s">
        <v>4634</v>
      </c>
      <c r="F12491" s="331">
        <v>0.21</v>
      </c>
      <c r="G12491" s="332">
        <v>196</v>
      </c>
      <c r="H12491" s="333">
        <v>238</v>
      </c>
    </row>
    <row r="12492" spans="1:8">
      <c r="A12492" s="317">
        <v>2610006391</v>
      </c>
      <c r="B12492" s="330" t="s">
        <v>56845</v>
      </c>
      <c r="C12492" s="330" t="s">
        <v>26888</v>
      </c>
      <c r="D12492" s="330" t="s">
        <v>6310</v>
      </c>
      <c r="E12492" s="330" t="s">
        <v>37248</v>
      </c>
      <c r="F12492" s="331">
        <v>0.21</v>
      </c>
      <c r="G12492" s="332">
        <v>305</v>
      </c>
      <c r="H12492" s="333">
        <v>370</v>
      </c>
    </row>
    <row r="12493" spans="1:8">
      <c r="A12493" s="317">
        <v>2610006518</v>
      </c>
      <c r="B12493" s="330" t="s">
        <v>56846</v>
      </c>
      <c r="C12493" s="330" t="s">
        <v>26889</v>
      </c>
      <c r="D12493" s="330" t="s">
        <v>13377</v>
      </c>
      <c r="E12493" s="330" t="s">
        <v>37248</v>
      </c>
      <c r="F12493" s="331">
        <v>0.21</v>
      </c>
      <c r="G12493" s="332">
        <v>646</v>
      </c>
      <c r="H12493" s="333">
        <v>782</v>
      </c>
    </row>
    <row r="12494" spans="1:8">
      <c r="A12494" s="317">
        <v>2610006628</v>
      </c>
      <c r="B12494" s="330" t="s">
        <v>56847</v>
      </c>
      <c r="C12494" s="330" t="s">
        <v>26890</v>
      </c>
      <c r="D12494" s="330" t="s">
        <v>7235</v>
      </c>
      <c r="E12494" s="330" t="s">
        <v>37248</v>
      </c>
      <c r="F12494" s="331">
        <v>0.21</v>
      </c>
      <c r="G12494" s="332">
        <v>305</v>
      </c>
      <c r="H12494" s="333">
        <v>370</v>
      </c>
    </row>
    <row r="12495" spans="1:8">
      <c r="A12495" s="317">
        <v>2610006642</v>
      </c>
      <c r="B12495" s="330" t="s">
        <v>56848</v>
      </c>
      <c r="C12495" s="330" t="s">
        <v>26891</v>
      </c>
      <c r="D12495" s="330" t="s">
        <v>26876</v>
      </c>
      <c r="E12495" s="330" t="s">
        <v>4634</v>
      </c>
      <c r="F12495" s="331">
        <v>0.21</v>
      </c>
      <c r="G12495" s="332">
        <v>1365</v>
      </c>
      <c r="H12495" s="333">
        <v>1652</v>
      </c>
    </row>
    <row r="12496" spans="1:8">
      <c r="A12496" s="317">
        <v>2610006643</v>
      </c>
      <c r="B12496" s="330" t="s">
        <v>56849</v>
      </c>
      <c r="C12496" s="330" t="s">
        <v>26892</v>
      </c>
      <c r="D12496" s="330" t="s">
        <v>26893</v>
      </c>
      <c r="E12496" s="330" t="s">
        <v>4634</v>
      </c>
      <c r="F12496" s="331">
        <v>0.21</v>
      </c>
      <c r="G12496" s="332">
        <v>236</v>
      </c>
      <c r="H12496" s="333">
        <v>286</v>
      </c>
    </row>
    <row r="12497" spans="1:8">
      <c r="A12497" s="317">
        <v>2610006980</v>
      </c>
      <c r="B12497" s="330" t="s">
        <v>56850</v>
      </c>
      <c r="C12497" s="330" t="s">
        <v>26894</v>
      </c>
      <c r="D12497" s="330" t="s">
        <v>26895</v>
      </c>
      <c r="E12497" s="330" t="s">
        <v>4634</v>
      </c>
      <c r="F12497" s="331">
        <v>0.21</v>
      </c>
      <c r="G12497" s="332">
        <v>992</v>
      </c>
      <c r="H12497" s="333">
        <v>1201</v>
      </c>
    </row>
    <row r="12498" spans="1:8">
      <c r="A12498" s="317">
        <v>2610007023</v>
      </c>
      <c r="B12498" s="330" t="s">
        <v>56851</v>
      </c>
      <c r="C12498" s="330" t="s">
        <v>26896</v>
      </c>
      <c r="D12498" s="330" t="s">
        <v>15871</v>
      </c>
      <c r="E12498" s="330" t="s">
        <v>37248</v>
      </c>
      <c r="F12498" s="331">
        <v>0.21</v>
      </c>
      <c r="G12498" s="332">
        <v>376</v>
      </c>
      <c r="H12498" s="333">
        <v>455</v>
      </c>
    </row>
    <row r="12499" spans="1:8">
      <c r="A12499" s="317">
        <v>2610007050</v>
      </c>
      <c r="B12499" s="330" t="s">
        <v>56852</v>
      </c>
      <c r="C12499" s="330" t="s">
        <v>26897</v>
      </c>
      <c r="D12499" s="330" t="s">
        <v>5782</v>
      </c>
      <c r="E12499" s="330" t="s">
        <v>4819</v>
      </c>
      <c r="F12499" s="331">
        <v>0.21</v>
      </c>
      <c r="G12499" s="332">
        <v>2194</v>
      </c>
      <c r="H12499" s="333">
        <v>2655</v>
      </c>
    </row>
    <row r="12500" spans="1:8">
      <c r="A12500" s="317">
        <v>2610007757</v>
      </c>
      <c r="B12500" s="330" t="s">
        <v>56853</v>
      </c>
      <c r="C12500" s="330" t="s">
        <v>26898</v>
      </c>
      <c r="D12500" s="330" t="s">
        <v>26899</v>
      </c>
      <c r="E12500" s="330" t="s">
        <v>37248</v>
      </c>
      <c r="F12500" s="331">
        <v>0.21</v>
      </c>
      <c r="G12500" s="332">
        <v>5768</v>
      </c>
      <c r="H12500" s="333">
        <v>6980</v>
      </c>
    </row>
    <row r="12501" spans="1:8">
      <c r="A12501" s="317">
        <v>2610007763</v>
      </c>
      <c r="B12501" s="330" t="s">
        <v>56854</v>
      </c>
      <c r="C12501" s="330" t="s">
        <v>26900</v>
      </c>
      <c r="D12501" s="330" t="s">
        <v>7809</v>
      </c>
      <c r="E12501" s="330" t="s">
        <v>37248</v>
      </c>
      <c r="F12501" s="331">
        <v>0.21</v>
      </c>
      <c r="G12501" s="332">
        <v>1208</v>
      </c>
      <c r="H12501" s="333">
        <v>1462</v>
      </c>
    </row>
    <row r="12502" spans="1:8">
      <c r="A12502" s="317">
        <v>2610007764</v>
      </c>
      <c r="B12502" s="330" t="s">
        <v>56855</v>
      </c>
      <c r="C12502" s="330" t="s">
        <v>26901</v>
      </c>
      <c r="D12502" s="330" t="s">
        <v>26902</v>
      </c>
      <c r="E12502" s="330" t="s">
        <v>4634</v>
      </c>
      <c r="F12502" s="331">
        <v>0.21</v>
      </c>
      <c r="G12502" s="332">
        <v>1837</v>
      </c>
      <c r="H12502" s="333">
        <v>2223</v>
      </c>
    </row>
    <row r="12503" spans="1:8">
      <c r="A12503" s="317">
        <v>2610007765</v>
      </c>
      <c r="B12503" s="330" t="s">
        <v>56856</v>
      </c>
      <c r="C12503" s="330" t="s">
        <v>26903</v>
      </c>
      <c r="D12503" s="330" t="s">
        <v>26904</v>
      </c>
      <c r="E12503" s="330" t="s">
        <v>4634</v>
      </c>
      <c r="F12503" s="331">
        <v>0.21</v>
      </c>
      <c r="G12503" s="332">
        <v>541</v>
      </c>
      <c r="H12503" s="333">
        <v>655</v>
      </c>
    </row>
    <row r="12504" spans="1:8">
      <c r="A12504" s="317">
        <v>2610007957</v>
      </c>
      <c r="B12504" s="330" t="s">
        <v>56857</v>
      </c>
      <c r="C12504" s="330" t="s">
        <v>26905</v>
      </c>
      <c r="D12504" s="330" t="s">
        <v>26906</v>
      </c>
      <c r="E12504" s="330" t="s">
        <v>37248</v>
      </c>
      <c r="F12504" s="331">
        <v>0.21</v>
      </c>
      <c r="G12504" s="332">
        <v>18941</v>
      </c>
      <c r="H12504" s="333">
        <v>22919</v>
      </c>
    </row>
    <row r="12505" spans="1:8">
      <c r="A12505" s="317">
        <v>2610007979</v>
      </c>
      <c r="B12505" s="330" t="s">
        <v>56858</v>
      </c>
      <c r="C12505" s="330" t="s">
        <v>26907</v>
      </c>
      <c r="D12505" s="330" t="s">
        <v>26908</v>
      </c>
      <c r="E12505" s="330" t="s">
        <v>4819</v>
      </c>
      <c r="F12505" s="331">
        <v>0.21</v>
      </c>
      <c r="G12505" s="332">
        <v>4097</v>
      </c>
      <c r="H12505" s="333">
        <v>4958</v>
      </c>
    </row>
    <row r="12506" spans="1:8">
      <c r="A12506" s="317">
        <v>2610008113</v>
      </c>
      <c r="B12506" s="330" t="s">
        <v>56859</v>
      </c>
      <c r="C12506" s="330" t="s">
        <v>26909</v>
      </c>
      <c r="D12506" s="330" t="s">
        <v>26910</v>
      </c>
      <c r="E12506" s="330" t="s">
        <v>37248</v>
      </c>
      <c r="F12506" s="331">
        <v>0.21</v>
      </c>
      <c r="G12506" s="332">
        <v>7890</v>
      </c>
      <c r="H12506" s="333">
        <v>9547</v>
      </c>
    </row>
    <row r="12507" spans="1:8">
      <c r="A12507" s="317">
        <v>2610008115</v>
      </c>
      <c r="B12507" s="330" t="s">
        <v>56860</v>
      </c>
      <c r="C12507" s="330" t="s">
        <v>26911</v>
      </c>
      <c r="D12507" s="330" t="s">
        <v>26912</v>
      </c>
      <c r="E12507" s="330" t="s">
        <v>37248</v>
      </c>
      <c r="F12507" s="331">
        <v>0.21</v>
      </c>
      <c r="G12507" s="332">
        <v>33842</v>
      </c>
      <c r="H12507" s="333">
        <v>40949</v>
      </c>
    </row>
    <row r="12508" spans="1:8">
      <c r="A12508" s="317">
        <v>2610008117</v>
      </c>
      <c r="B12508" s="330" t="s">
        <v>56861</v>
      </c>
      <c r="C12508" s="330" t="s">
        <v>26913</v>
      </c>
      <c r="D12508" s="330" t="s">
        <v>26910</v>
      </c>
      <c r="E12508" s="330" t="s">
        <v>4634</v>
      </c>
      <c r="F12508" s="331">
        <v>0.21</v>
      </c>
      <c r="G12508" s="332">
        <v>17846</v>
      </c>
      <c r="H12508" s="333">
        <v>21594</v>
      </c>
    </row>
    <row r="12509" spans="1:8">
      <c r="A12509" s="317">
        <v>2610008123</v>
      </c>
      <c r="B12509" s="330" t="s">
        <v>56862</v>
      </c>
      <c r="C12509" s="330" t="s">
        <v>26914</v>
      </c>
      <c r="D12509" s="330" t="s">
        <v>26915</v>
      </c>
      <c r="E12509" s="330" t="s">
        <v>37248</v>
      </c>
      <c r="F12509" s="331">
        <v>0.21</v>
      </c>
      <c r="G12509" s="332">
        <v>44813</v>
      </c>
      <c r="H12509" s="333">
        <v>54224</v>
      </c>
    </row>
    <row r="12510" spans="1:8">
      <c r="A12510" s="317">
        <v>2610008124</v>
      </c>
      <c r="B12510" s="330" t="s">
        <v>56863</v>
      </c>
      <c r="C12510" s="330" t="s">
        <v>26916</v>
      </c>
      <c r="D12510" s="330" t="s">
        <v>26917</v>
      </c>
      <c r="E12510" s="330" t="s">
        <v>37248</v>
      </c>
      <c r="F12510" s="331">
        <v>0.21</v>
      </c>
      <c r="G12510" s="332">
        <v>4476</v>
      </c>
      <c r="H12510" s="333">
        <v>5416</v>
      </c>
    </row>
    <row r="12511" spans="1:8">
      <c r="A12511" s="317">
        <v>2610008200</v>
      </c>
      <c r="B12511" s="330" t="s">
        <v>56864</v>
      </c>
      <c r="C12511" s="330" t="s">
        <v>26918</v>
      </c>
      <c r="D12511" s="330" t="s">
        <v>7653</v>
      </c>
      <c r="E12511" s="330" t="s">
        <v>37248</v>
      </c>
      <c r="F12511" s="331">
        <v>0.21</v>
      </c>
      <c r="G12511" s="332">
        <v>811</v>
      </c>
      <c r="H12511" s="333">
        <v>982</v>
      </c>
    </row>
    <row r="12512" spans="1:8">
      <c r="A12512" s="317">
        <v>2610008283</v>
      </c>
      <c r="B12512" s="330" t="s">
        <v>56865</v>
      </c>
      <c r="C12512" s="330" t="s">
        <v>26919</v>
      </c>
      <c r="D12512" s="330" t="s">
        <v>13466</v>
      </c>
      <c r="E12512" s="330" t="s">
        <v>4634</v>
      </c>
      <c r="F12512" s="331">
        <v>0.21</v>
      </c>
      <c r="G12512" s="332">
        <v>455</v>
      </c>
      <c r="H12512" s="333">
        <v>551</v>
      </c>
    </row>
    <row r="12513" spans="1:8">
      <c r="A12513" s="317">
        <v>2610009047</v>
      </c>
      <c r="B12513" s="330" t="s">
        <v>56866</v>
      </c>
      <c r="C12513" s="330" t="s">
        <v>26920</v>
      </c>
      <c r="D12513" s="330" t="s">
        <v>26921</v>
      </c>
      <c r="E12513" s="330" t="s">
        <v>4634</v>
      </c>
      <c r="F12513" s="331">
        <v>0.21</v>
      </c>
      <c r="G12513" s="332">
        <v>455</v>
      </c>
      <c r="H12513" s="333">
        <v>551</v>
      </c>
    </row>
    <row r="12514" spans="1:8">
      <c r="A12514" s="317">
        <v>2610009294</v>
      </c>
      <c r="B12514" s="330" t="s">
        <v>56867</v>
      </c>
      <c r="C12514" s="330" t="s">
        <v>26922</v>
      </c>
      <c r="D12514" s="330" t="s">
        <v>26923</v>
      </c>
      <c r="E12514" s="330" t="s">
        <v>4634</v>
      </c>
      <c r="F12514" s="331">
        <v>0.21</v>
      </c>
      <c r="G12514" s="332">
        <v>372</v>
      </c>
      <c r="H12514" s="333">
        <v>451</v>
      </c>
    </row>
    <row r="12515" spans="1:8">
      <c r="A12515" s="317">
        <v>2610009615</v>
      </c>
      <c r="B12515" s="330" t="s">
        <v>56868</v>
      </c>
      <c r="C12515" s="330" t="s">
        <v>26924</v>
      </c>
      <c r="D12515" s="330" t="s">
        <v>26925</v>
      </c>
      <c r="E12515" s="330" t="s">
        <v>37248</v>
      </c>
      <c r="F12515" s="331">
        <v>0.21</v>
      </c>
      <c r="G12515" s="332">
        <v>9973</v>
      </c>
      <c r="H12515" s="333">
        <v>12068</v>
      </c>
    </row>
    <row r="12516" spans="1:8">
      <c r="A12516" s="317">
        <v>2610009742</v>
      </c>
      <c r="B12516" s="330" t="s">
        <v>56869</v>
      </c>
      <c r="C12516" s="330" t="s">
        <v>26926</v>
      </c>
      <c r="D12516" s="330" t="s">
        <v>21304</v>
      </c>
      <c r="E12516" s="330" t="s">
        <v>37248</v>
      </c>
      <c r="F12516" s="331">
        <v>0.21</v>
      </c>
      <c r="G12516" s="332">
        <v>21058</v>
      </c>
      <c r="H12516" s="333">
        <v>25481</v>
      </c>
    </row>
    <row r="12517" spans="1:8">
      <c r="A12517" s="317">
        <v>2610009743</v>
      </c>
      <c r="B12517" s="330" t="s">
        <v>56870</v>
      </c>
      <c r="C12517" s="330" t="s">
        <v>26927</v>
      </c>
      <c r="D12517" s="330" t="s">
        <v>7235</v>
      </c>
      <c r="E12517" s="330" t="s">
        <v>37248</v>
      </c>
      <c r="F12517" s="331">
        <v>0.21</v>
      </c>
      <c r="G12517" s="332">
        <v>305</v>
      </c>
      <c r="H12517" s="333">
        <v>370</v>
      </c>
    </row>
    <row r="12518" spans="1:8">
      <c r="A12518" s="317">
        <v>2610009744</v>
      </c>
      <c r="B12518" s="330" t="s">
        <v>56871</v>
      </c>
      <c r="C12518" s="330" t="s">
        <v>26928</v>
      </c>
      <c r="D12518" s="330" t="s">
        <v>26929</v>
      </c>
      <c r="E12518" s="330" t="s">
        <v>37248</v>
      </c>
      <c r="F12518" s="331">
        <v>0.21</v>
      </c>
      <c r="G12518" s="332">
        <v>1360</v>
      </c>
      <c r="H12518" s="333">
        <v>1646</v>
      </c>
    </row>
    <row r="12519" spans="1:8">
      <c r="A12519" s="317">
        <v>2610009745</v>
      </c>
      <c r="B12519" s="330" t="s">
        <v>56872</v>
      </c>
      <c r="C12519" s="330" t="s">
        <v>26930</v>
      </c>
      <c r="D12519" s="330" t="s">
        <v>12406</v>
      </c>
      <c r="E12519" s="330" t="s">
        <v>37248</v>
      </c>
      <c r="F12519" s="331">
        <v>0.21</v>
      </c>
      <c r="G12519" s="332">
        <v>1853</v>
      </c>
      <c r="H12519" s="333">
        <v>2243</v>
      </c>
    </row>
    <row r="12520" spans="1:8">
      <c r="A12520" s="317">
        <v>2610009746</v>
      </c>
      <c r="B12520" s="330" t="s">
        <v>56873</v>
      </c>
      <c r="C12520" s="330" t="s">
        <v>26931</v>
      </c>
      <c r="D12520" s="330" t="s">
        <v>26932</v>
      </c>
      <c r="E12520" s="330" t="s">
        <v>37248</v>
      </c>
      <c r="F12520" s="331">
        <v>0.21</v>
      </c>
      <c r="G12520" s="332">
        <v>814</v>
      </c>
      <c r="H12520" s="333">
        <v>985</v>
      </c>
    </row>
    <row r="12521" spans="1:8">
      <c r="A12521" s="317">
        <v>2610009747</v>
      </c>
      <c r="B12521" s="330" t="s">
        <v>56874</v>
      </c>
      <c r="C12521" s="330" t="s">
        <v>26933</v>
      </c>
      <c r="D12521" s="330" t="s">
        <v>21176</v>
      </c>
      <c r="E12521" s="330" t="s">
        <v>37248</v>
      </c>
      <c r="F12521" s="331">
        <v>0.21</v>
      </c>
      <c r="G12521" s="332">
        <v>5715</v>
      </c>
      <c r="H12521" s="333">
        <v>6916</v>
      </c>
    </row>
    <row r="12522" spans="1:8">
      <c r="A12522" s="317">
        <v>2610009748</v>
      </c>
      <c r="B12522" s="330" t="s">
        <v>56875</v>
      </c>
      <c r="C12522" s="330" t="s">
        <v>26934</v>
      </c>
      <c r="D12522" s="330" t="s">
        <v>7235</v>
      </c>
      <c r="E12522" s="330" t="s">
        <v>37248</v>
      </c>
      <c r="F12522" s="331">
        <v>0.21</v>
      </c>
      <c r="G12522" s="332">
        <v>305</v>
      </c>
      <c r="H12522" s="333">
        <v>370</v>
      </c>
    </row>
    <row r="12523" spans="1:8">
      <c r="A12523" s="317">
        <v>2610009749</v>
      </c>
      <c r="B12523" s="330" t="s">
        <v>56876</v>
      </c>
      <c r="C12523" s="330" t="s">
        <v>26935</v>
      </c>
      <c r="D12523" s="330" t="s">
        <v>9384</v>
      </c>
      <c r="E12523" s="330" t="s">
        <v>37248</v>
      </c>
      <c r="F12523" s="331">
        <v>0.21</v>
      </c>
      <c r="G12523" s="332">
        <v>689</v>
      </c>
      <c r="H12523" s="333">
        <v>834</v>
      </c>
    </row>
    <row r="12524" spans="1:8">
      <c r="A12524" s="317">
        <v>2610009750</v>
      </c>
      <c r="B12524" s="330" t="s">
        <v>56877</v>
      </c>
      <c r="C12524" s="330" t="s">
        <v>26936</v>
      </c>
      <c r="D12524" s="330" t="s">
        <v>23847</v>
      </c>
      <c r="E12524" s="330" t="s">
        <v>37248</v>
      </c>
      <c r="F12524" s="331">
        <v>0.21</v>
      </c>
      <c r="G12524" s="332">
        <v>9453</v>
      </c>
      <c r="H12524" s="333">
        <v>11439</v>
      </c>
    </row>
    <row r="12525" spans="1:8">
      <c r="A12525" s="317">
        <v>2610009751</v>
      </c>
      <c r="B12525" s="330" t="s">
        <v>56878</v>
      </c>
      <c r="C12525" s="330" t="s">
        <v>26937</v>
      </c>
      <c r="D12525" s="330" t="s">
        <v>7235</v>
      </c>
      <c r="E12525" s="330" t="s">
        <v>37248</v>
      </c>
      <c r="F12525" s="331">
        <v>0.21</v>
      </c>
      <c r="G12525" s="332">
        <v>305</v>
      </c>
      <c r="H12525" s="333">
        <v>370</v>
      </c>
    </row>
    <row r="12526" spans="1:8">
      <c r="A12526" s="317">
        <v>2610009752</v>
      </c>
      <c r="B12526" s="330" t="s">
        <v>56879</v>
      </c>
      <c r="C12526" s="330" t="s">
        <v>26938</v>
      </c>
      <c r="D12526" s="330" t="s">
        <v>26939</v>
      </c>
      <c r="E12526" s="330" t="s">
        <v>37248</v>
      </c>
      <c r="F12526" s="331">
        <v>0.21</v>
      </c>
      <c r="G12526" s="332">
        <v>814</v>
      </c>
      <c r="H12526" s="333">
        <v>985</v>
      </c>
    </row>
    <row r="12527" spans="1:8">
      <c r="A12527" s="317">
        <v>2610009754</v>
      </c>
      <c r="B12527" s="330" t="s">
        <v>56880</v>
      </c>
      <c r="C12527" s="330" t="s">
        <v>26940</v>
      </c>
      <c r="D12527" s="330" t="s">
        <v>9384</v>
      </c>
      <c r="E12527" s="330" t="s">
        <v>37248</v>
      </c>
      <c r="F12527" s="331">
        <v>0.21</v>
      </c>
      <c r="G12527" s="332">
        <v>689</v>
      </c>
      <c r="H12527" s="333">
        <v>834</v>
      </c>
    </row>
    <row r="12528" spans="1:8">
      <c r="A12528" s="317">
        <v>2610009755</v>
      </c>
      <c r="B12528" s="330" t="s">
        <v>56881</v>
      </c>
      <c r="C12528" s="330" t="s">
        <v>26941</v>
      </c>
      <c r="D12528" s="330" t="s">
        <v>26942</v>
      </c>
      <c r="E12528" s="330" t="s">
        <v>37248</v>
      </c>
      <c r="F12528" s="331">
        <v>0.21</v>
      </c>
      <c r="G12528" s="332">
        <v>947</v>
      </c>
      <c r="H12528" s="333">
        <v>1146</v>
      </c>
    </row>
    <row r="12529" spans="1:8">
      <c r="A12529" s="317">
        <v>2610009756</v>
      </c>
      <c r="B12529" s="330" t="s">
        <v>56882</v>
      </c>
      <c r="C12529" s="330" t="s">
        <v>26943</v>
      </c>
      <c r="D12529" s="330" t="s">
        <v>5015</v>
      </c>
      <c r="E12529" s="330" t="s">
        <v>37248</v>
      </c>
      <c r="F12529" s="331">
        <v>0.21</v>
      </c>
      <c r="G12529" s="332">
        <v>305</v>
      </c>
      <c r="H12529" s="333">
        <v>370</v>
      </c>
    </row>
    <row r="12530" spans="1:8">
      <c r="A12530" s="317">
        <v>2610009757</v>
      </c>
      <c r="B12530" s="330" t="s">
        <v>56883</v>
      </c>
      <c r="C12530" s="330" t="s">
        <v>26944</v>
      </c>
      <c r="D12530" s="330" t="s">
        <v>9384</v>
      </c>
      <c r="E12530" s="330" t="s">
        <v>37248</v>
      </c>
      <c r="F12530" s="331">
        <v>0.21</v>
      </c>
      <c r="G12530" s="332">
        <v>515</v>
      </c>
      <c r="H12530" s="333">
        <v>624</v>
      </c>
    </row>
    <row r="12531" spans="1:8">
      <c r="A12531" s="317">
        <v>2610009758</v>
      </c>
      <c r="B12531" s="330" t="s">
        <v>56884</v>
      </c>
      <c r="C12531" s="330" t="s">
        <v>26945</v>
      </c>
      <c r="D12531" s="330" t="s">
        <v>8455</v>
      </c>
      <c r="E12531" s="330" t="s">
        <v>37248</v>
      </c>
      <c r="F12531" s="331">
        <v>0.21</v>
      </c>
      <c r="G12531" s="332">
        <v>1360</v>
      </c>
      <c r="H12531" s="333">
        <v>1646</v>
      </c>
    </row>
    <row r="12532" spans="1:8">
      <c r="A12532" s="317">
        <v>2610009760</v>
      </c>
      <c r="B12532" s="330" t="s">
        <v>56885</v>
      </c>
      <c r="C12532" s="330" t="s">
        <v>26946</v>
      </c>
      <c r="D12532" s="330" t="s">
        <v>8653</v>
      </c>
      <c r="E12532" s="330" t="s">
        <v>37248</v>
      </c>
      <c r="F12532" s="331">
        <v>0.21</v>
      </c>
      <c r="G12532" s="332">
        <v>1191</v>
      </c>
      <c r="H12532" s="333">
        <v>1442</v>
      </c>
    </row>
    <row r="12533" spans="1:8">
      <c r="A12533" s="317">
        <v>2610009761</v>
      </c>
      <c r="B12533" s="330" t="s">
        <v>56886</v>
      </c>
      <c r="C12533" s="330" t="s">
        <v>26947</v>
      </c>
      <c r="D12533" s="330" t="s">
        <v>8653</v>
      </c>
      <c r="E12533" s="330" t="s">
        <v>37248</v>
      </c>
      <c r="F12533" s="331">
        <v>0.21</v>
      </c>
      <c r="G12533" s="332">
        <v>689</v>
      </c>
      <c r="H12533" s="333">
        <v>834</v>
      </c>
    </row>
    <row r="12534" spans="1:8">
      <c r="A12534" s="317">
        <v>2610009762</v>
      </c>
      <c r="B12534" s="330" t="s">
        <v>56887</v>
      </c>
      <c r="C12534" s="330" t="s">
        <v>26948</v>
      </c>
      <c r="D12534" s="330" t="s">
        <v>7235</v>
      </c>
      <c r="E12534" s="330" t="s">
        <v>37248</v>
      </c>
      <c r="F12534" s="331">
        <v>0.21</v>
      </c>
      <c r="G12534" s="332">
        <v>305</v>
      </c>
      <c r="H12534" s="333">
        <v>370</v>
      </c>
    </row>
    <row r="12535" spans="1:8">
      <c r="A12535" s="317">
        <v>2610009763</v>
      </c>
      <c r="B12535" s="330" t="s">
        <v>56888</v>
      </c>
      <c r="C12535" s="330" t="s">
        <v>26949</v>
      </c>
      <c r="D12535" s="330" t="s">
        <v>7235</v>
      </c>
      <c r="E12535" s="330" t="s">
        <v>37248</v>
      </c>
      <c r="F12535" s="331">
        <v>0.21</v>
      </c>
      <c r="G12535" s="332">
        <v>305</v>
      </c>
      <c r="H12535" s="333">
        <v>370</v>
      </c>
    </row>
    <row r="12536" spans="1:8">
      <c r="A12536" s="317">
        <v>2610009765</v>
      </c>
      <c r="B12536" s="330" t="s">
        <v>56889</v>
      </c>
      <c r="C12536" s="330" t="s">
        <v>26950</v>
      </c>
      <c r="D12536" s="330" t="s">
        <v>26951</v>
      </c>
      <c r="E12536" s="330" t="s">
        <v>37248</v>
      </c>
      <c r="F12536" s="331">
        <v>0.21</v>
      </c>
      <c r="G12536" s="332">
        <v>5103</v>
      </c>
      <c r="H12536" s="333">
        <v>6175</v>
      </c>
    </row>
    <row r="12537" spans="1:8">
      <c r="A12537" s="317">
        <v>2610009766</v>
      </c>
      <c r="B12537" s="330" t="s">
        <v>56890</v>
      </c>
      <c r="C12537" s="330" t="s">
        <v>26952</v>
      </c>
      <c r="D12537" s="330" t="s">
        <v>26951</v>
      </c>
      <c r="E12537" s="330" t="s">
        <v>37248</v>
      </c>
      <c r="F12537" s="331">
        <v>0.21</v>
      </c>
      <c r="G12537" s="332">
        <v>9453</v>
      </c>
      <c r="H12537" s="333">
        <v>11439</v>
      </c>
    </row>
    <row r="12538" spans="1:8">
      <c r="A12538" s="317">
        <v>2610009767</v>
      </c>
      <c r="B12538" s="330" t="s">
        <v>56891</v>
      </c>
      <c r="C12538" s="330" t="s">
        <v>26953</v>
      </c>
      <c r="D12538" s="330" t="s">
        <v>7884</v>
      </c>
      <c r="E12538" s="330" t="s">
        <v>37248</v>
      </c>
      <c r="F12538" s="331">
        <v>0.21</v>
      </c>
      <c r="G12538" s="332">
        <v>2476</v>
      </c>
      <c r="H12538" s="333">
        <v>2996</v>
      </c>
    </row>
    <row r="12539" spans="1:8">
      <c r="A12539" s="317">
        <v>2610009768</v>
      </c>
      <c r="B12539" s="330" t="s">
        <v>56892</v>
      </c>
      <c r="C12539" s="330" t="s">
        <v>26954</v>
      </c>
      <c r="D12539" s="330" t="s">
        <v>26955</v>
      </c>
      <c r="E12539" s="330" t="s">
        <v>37248</v>
      </c>
      <c r="F12539" s="331">
        <v>0.21</v>
      </c>
      <c r="G12539" s="332">
        <v>3694</v>
      </c>
      <c r="H12539" s="333">
        <v>4470</v>
      </c>
    </row>
    <row r="12540" spans="1:8">
      <c r="A12540" s="317">
        <v>2610009769</v>
      </c>
      <c r="B12540" s="330" t="s">
        <v>56893</v>
      </c>
      <c r="C12540" s="330" t="s">
        <v>26956</v>
      </c>
      <c r="D12540" s="330" t="s">
        <v>26957</v>
      </c>
      <c r="E12540" s="330" t="s">
        <v>37248</v>
      </c>
      <c r="F12540" s="331">
        <v>0.21</v>
      </c>
      <c r="G12540" s="332">
        <v>1360</v>
      </c>
      <c r="H12540" s="333">
        <v>1646</v>
      </c>
    </row>
    <row r="12541" spans="1:8">
      <c r="A12541" s="317">
        <v>2610009770</v>
      </c>
      <c r="B12541" s="330" t="s">
        <v>56894</v>
      </c>
      <c r="C12541" s="330" t="s">
        <v>26958</v>
      </c>
      <c r="D12541" s="330" t="s">
        <v>26959</v>
      </c>
      <c r="E12541" s="330" t="s">
        <v>37248</v>
      </c>
      <c r="F12541" s="331">
        <v>0.21</v>
      </c>
      <c r="G12541" s="332">
        <v>38068</v>
      </c>
      <c r="H12541" s="333">
        <v>46063</v>
      </c>
    </row>
    <row r="12542" spans="1:8">
      <c r="A12542" s="317">
        <v>2610009771</v>
      </c>
      <c r="B12542" s="330" t="s">
        <v>56895</v>
      </c>
      <c r="C12542" s="330" t="s">
        <v>26960</v>
      </c>
      <c r="D12542" s="330" t="s">
        <v>26961</v>
      </c>
      <c r="E12542" s="330" t="s">
        <v>37248</v>
      </c>
      <c r="F12542" s="331">
        <v>0.21</v>
      </c>
      <c r="G12542" s="332">
        <v>7472</v>
      </c>
      <c r="H12542" s="333">
        <v>9042</v>
      </c>
    </row>
    <row r="12543" spans="1:8">
      <c r="A12543" s="317">
        <v>2610009772</v>
      </c>
      <c r="B12543" s="330" t="s">
        <v>56896</v>
      </c>
      <c r="C12543" s="330" t="s">
        <v>26962</v>
      </c>
      <c r="D12543" s="330" t="s">
        <v>26963</v>
      </c>
      <c r="E12543" s="330" t="s">
        <v>37248</v>
      </c>
      <c r="F12543" s="331">
        <v>0.21</v>
      </c>
      <c r="G12543" s="332">
        <v>21058</v>
      </c>
      <c r="H12543" s="333">
        <v>25481</v>
      </c>
    </row>
    <row r="12544" spans="1:8">
      <c r="A12544" s="317">
        <v>2610009773</v>
      </c>
      <c r="B12544" s="330" t="s">
        <v>56897</v>
      </c>
      <c r="C12544" s="330" t="s">
        <v>26964</v>
      </c>
      <c r="D12544" s="330" t="s">
        <v>26965</v>
      </c>
      <c r="E12544" s="330" t="s">
        <v>37248</v>
      </c>
      <c r="F12544" s="331">
        <v>0.21</v>
      </c>
      <c r="G12544" s="332">
        <v>21660</v>
      </c>
      <c r="H12544" s="333">
        <v>26209</v>
      </c>
    </row>
    <row r="12545" spans="1:8">
      <c r="A12545" s="317">
        <v>2610009775</v>
      </c>
      <c r="B12545" s="330" t="s">
        <v>56898</v>
      </c>
      <c r="C12545" s="330" t="s">
        <v>26966</v>
      </c>
      <c r="D12545" s="330" t="s">
        <v>26967</v>
      </c>
      <c r="E12545" s="330" t="s">
        <v>37248</v>
      </c>
      <c r="F12545" s="331">
        <v>0.21</v>
      </c>
      <c r="G12545" s="332">
        <v>1684</v>
      </c>
      <c r="H12545" s="333">
        <v>2038</v>
      </c>
    </row>
    <row r="12546" spans="1:8">
      <c r="A12546" s="317">
        <v>2610009777</v>
      </c>
      <c r="B12546" s="330" t="s">
        <v>56899</v>
      </c>
      <c r="C12546" s="330" t="s">
        <v>26968</v>
      </c>
      <c r="D12546" s="330" t="s">
        <v>9337</v>
      </c>
      <c r="E12546" s="330" t="s">
        <v>37248</v>
      </c>
      <c r="F12546" s="331">
        <v>0.21</v>
      </c>
      <c r="G12546" s="332">
        <v>1360</v>
      </c>
      <c r="H12546" s="333">
        <v>1646</v>
      </c>
    </row>
    <row r="12547" spans="1:8">
      <c r="A12547" s="317">
        <v>2610009778</v>
      </c>
      <c r="B12547" s="330" t="s">
        <v>56900</v>
      </c>
      <c r="C12547" s="330" t="s">
        <v>26969</v>
      </c>
      <c r="D12547" s="330" t="s">
        <v>7235</v>
      </c>
      <c r="E12547" s="330" t="s">
        <v>37248</v>
      </c>
      <c r="F12547" s="331">
        <v>0.21</v>
      </c>
      <c r="G12547" s="332">
        <v>515</v>
      </c>
      <c r="H12547" s="333">
        <v>624</v>
      </c>
    </row>
    <row r="12548" spans="1:8">
      <c r="A12548" s="317">
        <v>2610009780</v>
      </c>
      <c r="B12548" s="330" t="s">
        <v>56901</v>
      </c>
      <c r="C12548" s="330" t="s">
        <v>26970</v>
      </c>
      <c r="D12548" s="330" t="s">
        <v>10213</v>
      </c>
      <c r="E12548" s="330" t="s">
        <v>37248</v>
      </c>
      <c r="F12548" s="331">
        <v>0.21</v>
      </c>
      <c r="G12548" s="332">
        <v>30809</v>
      </c>
      <c r="H12548" s="333">
        <v>37279</v>
      </c>
    </row>
    <row r="12549" spans="1:8">
      <c r="A12549" s="317">
        <v>2610009781</v>
      </c>
      <c r="B12549" s="330" t="s">
        <v>56902</v>
      </c>
      <c r="C12549" s="330" t="s">
        <v>26971</v>
      </c>
      <c r="D12549" s="330" t="s">
        <v>26972</v>
      </c>
      <c r="E12549" s="330" t="s">
        <v>37248</v>
      </c>
      <c r="F12549" s="331">
        <v>0.21</v>
      </c>
      <c r="G12549" s="332">
        <v>28227</v>
      </c>
      <c r="H12549" s="333">
        <v>34155</v>
      </c>
    </row>
    <row r="12550" spans="1:8">
      <c r="A12550" s="317">
        <v>2610009782</v>
      </c>
      <c r="B12550" s="330" t="s">
        <v>56903</v>
      </c>
      <c r="C12550" s="330" t="s">
        <v>26973</v>
      </c>
      <c r="D12550" s="330" t="s">
        <v>26974</v>
      </c>
      <c r="E12550" s="330" t="s">
        <v>37248</v>
      </c>
      <c r="F12550" s="331">
        <v>0.21</v>
      </c>
      <c r="G12550" s="332">
        <v>10953</v>
      </c>
      <c r="H12550" s="333">
        <v>13254</v>
      </c>
    </row>
    <row r="12551" spans="1:8">
      <c r="A12551" s="317">
        <v>2610009783</v>
      </c>
      <c r="B12551" s="330" t="s">
        <v>56904</v>
      </c>
      <c r="C12551" s="330" t="s">
        <v>26975</v>
      </c>
      <c r="D12551" s="330" t="s">
        <v>26976</v>
      </c>
      <c r="E12551" s="330" t="s">
        <v>37248</v>
      </c>
      <c r="F12551" s="331">
        <v>0.21</v>
      </c>
      <c r="G12551" s="332">
        <v>1360</v>
      </c>
      <c r="H12551" s="333">
        <v>1646</v>
      </c>
    </row>
    <row r="12552" spans="1:8">
      <c r="A12552" s="317">
        <v>2610009784</v>
      </c>
      <c r="B12552" s="330" t="s">
        <v>56905</v>
      </c>
      <c r="C12552" s="330" t="s">
        <v>26977</v>
      </c>
      <c r="D12552" s="330" t="s">
        <v>26978</v>
      </c>
      <c r="E12552" s="330" t="s">
        <v>37248</v>
      </c>
      <c r="F12552" s="331">
        <v>0.21</v>
      </c>
      <c r="G12552" s="332">
        <v>16965</v>
      </c>
      <c r="H12552" s="333">
        <v>20528</v>
      </c>
    </row>
    <row r="12553" spans="1:8">
      <c r="A12553" s="317">
        <v>2610009787</v>
      </c>
      <c r="B12553" s="330" t="s">
        <v>56906</v>
      </c>
      <c r="C12553" s="330" t="s">
        <v>26979</v>
      </c>
      <c r="D12553" s="330" t="s">
        <v>21304</v>
      </c>
      <c r="E12553" s="330" t="s">
        <v>37248</v>
      </c>
      <c r="F12553" s="331">
        <v>0.21</v>
      </c>
      <c r="G12553" s="332">
        <v>19086</v>
      </c>
      <c r="H12553" s="333">
        <v>23095</v>
      </c>
    </row>
    <row r="12554" spans="1:8">
      <c r="A12554" s="317">
        <v>2610009789</v>
      </c>
      <c r="B12554" s="330" t="s">
        <v>56907</v>
      </c>
      <c r="C12554" s="330" t="s">
        <v>26980</v>
      </c>
      <c r="D12554" s="330" t="s">
        <v>21206</v>
      </c>
      <c r="E12554" s="330" t="s">
        <v>37248</v>
      </c>
      <c r="F12554" s="331">
        <v>0.21</v>
      </c>
      <c r="G12554" s="332">
        <v>814</v>
      </c>
      <c r="H12554" s="333">
        <v>985</v>
      </c>
    </row>
    <row r="12555" spans="1:8">
      <c r="A12555" s="317">
        <v>2610009790</v>
      </c>
      <c r="B12555" s="330" t="s">
        <v>56908</v>
      </c>
      <c r="C12555" s="330" t="s">
        <v>26981</v>
      </c>
      <c r="D12555" s="330" t="s">
        <v>26982</v>
      </c>
      <c r="E12555" s="330" t="s">
        <v>37248</v>
      </c>
      <c r="F12555" s="331">
        <v>0.21</v>
      </c>
      <c r="G12555" s="332">
        <v>1360</v>
      </c>
      <c r="H12555" s="333">
        <v>1646</v>
      </c>
    </row>
    <row r="12556" spans="1:8">
      <c r="A12556" s="317">
        <v>2610009802</v>
      </c>
      <c r="B12556" s="330" t="s">
        <v>56909</v>
      </c>
      <c r="C12556" s="330" t="s">
        <v>26983</v>
      </c>
      <c r="D12556" s="330" t="s">
        <v>26984</v>
      </c>
      <c r="E12556" s="330" t="s">
        <v>37248</v>
      </c>
      <c r="F12556" s="331">
        <v>0.21</v>
      </c>
      <c r="G12556" s="332">
        <v>3694</v>
      </c>
      <c r="H12556" s="333">
        <v>4470</v>
      </c>
    </row>
    <row r="12557" spans="1:8">
      <c r="A12557" s="317">
        <v>2610009805</v>
      </c>
      <c r="B12557" s="330" t="s">
        <v>56910</v>
      </c>
      <c r="C12557" s="330" t="s">
        <v>26985</v>
      </c>
      <c r="D12557" s="330" t="s">
        <v>8653</v>
      </c>
      <c r="E12557" s="330" t="s">
        <v>37248</v>
      </c>
      <c r="F12557" s="331">
        <v>0.21</v>
      </c>
      <c r="G12557" s="332">
        <v>814</v>
      </c>
      <c r="H12557" s="333">
        <v>985</v>
      </c>
    </row>
    <row r="12558" spans="1:8">
      <c r="A12558" s="317">
        <v>2610009845</v>
      </c>
      <c r="B12558" s="330" t="s">
        <v>56911</v>
      </c>
      <c r="C12558" s="330" t="s">
        <v>26986</v>
      </c>
      <c r="D12558" s="330" t="s">
        <v>26987</v>
      </c>
      <c r="E12558" s="330" t="s">
        <v>37248</v>
      </c>
      <c r="F12558" s="331">
        <v>0.21</v>
      </c>
      <c r="G12558" s="332">
        <v>14065</v>
      </c>
      <c r="H12558" s="333">
        <v>17019</v>
      </c>
    </row>
    <row r="12559" spans="1:8">
      <c r="A12559" s="317">
        <v>2610009854</v>
      </c>
      <c r="B12559" s="330" t="s">
        <v>56912</v>
      </c>
      <c r="C12559" s="330" t="s">
        <v>26988</v>
      </c>
      <c r="D12559" s="330" t="s">
        <v>26989</v>
      </c>
      <c r="E12559" s="330" t="s">
        <v>37248</v>
      </c>
      <c r="F12559" s="331">
        <v>0.21</v>
      </c>
      <c r="G12559" s="332">
        <v>5523</v>
      </c>
      <c r="H12559" s="333">
        <v>6683</v>
      </c>
    </row>
    <row r="12560" spans="1:8">
      <c r="A12560" s="317">
        <v>2610010072</v>
      </c>
      <c r="B12560" s="330" t="s">
        <v>56913</v>
      </c>
      <c r="C12560" s="330" t="s">
        <v>26990</v>
      </c>
      <c r="D12560" s="330" t="s">
        <v>26991</v>
      </c>
      <c r="E12560" s="330" t="s">
        <v>37248</v>
      </c>
      <c r="F12560" s="331">
        <v>0.21</v>
      </c>
      <c r="G12560" s="332">
        <v>4557</v>
      </c>
      <c r="H12560" s="333">
        <v>5514</v>
      </c>
    </row>
    <row r="12561" spans="1:8">
      <c r="A12561" s="317">
        <v>2610010404</v>
      </c>
      <c r="B12561" s="330" t="s">
        <v>56914</v>
      </c>
      <c r="C12561" s="330" t="s">
        <v>26992</v>
      </c>
      <c r="D12561" s="330" t="s">
        <v>26993</v>
      </c>
      <c r="E12561" s="330" t="s">
        <v>37248</v>
      </c>
      <c r="F12561" s="331">
        <v>0.21</v>
      </c>
      <c r="G12561" s="332">
        <v>174</v>
      </c>
      <c r="H12561" s="333">
        <v>211</v>
      </c>
    </row>
    <row r="12562" spans="1:8">
      <c r="A12562" s="317">
        <v>2610010409</v>
      </c>
      <c r="B12562" s="330" t="s">
        <v>56915</v>
      </c>
      <c r="C12562" s="330" t="s">
        <v>26994</v>
      </c>
      <c r="D12562" s="330" t="s">
        <v>5782</v>
      </c>
      <c r="E12562" s="330" t="s">
        <v>4634</v>
      </c>
      <c r="F12562" s="331">
        <v>0.21</v>
      </c>
      <c r="G12562" s="332">
        <v>305</v>
      </c>
      <c r="H12562" s="333">
        <v>370</v>
      </c>
    </row>
    <row r="12563" spans="1:8">
      <c r="A12563" s="317">
        <v>2610011033</v>
      </c>
      <c r="B12563" s="330" t="s">
        <v>56916</v>
      </c>
      <c r="C12563" s="330" t="s">
        <v>26995</v>
      </c>
      <c r="D12563" s="330" t="s">
        <v>26996</v>
      </c>
      <c r="E12563" s="330" t="s">
        <v>37248</v>
      </c>
      <c r="F12563" s="331">
        <v>0.21</v>
      </c>
      <c r="G12563" s="332">
        <v>1247</v>
      </c>
      <c r="H12563" s="333">
        <v>1509</v>
      </c>
    </row>
    <row r="12564" spans="1:8">
      <c r="A12564" s="317">
        <v>2610011034</v>
      </c>
      <c r="B12564" s="330" t="s">
        <v>56917</v>
      </c>
      <c r="C12564" s="330" t="s">
        <v>26997</v>
      </c>
      <c r="D12564" s="330" t="s">
        <v>26998</v>
      </c>
      <c r="E12564" s="330" t="s">
        <v>37248</v>
      </c>
      <c r="F12564" s="331">
        <v>0.21</v>
      </c>
      <c r="G12564" s="332">
        <v>2197</v>
      </c>
      <c r="H12564" s="333">
        <v>2659</v>
      </c>
    </row>
    <row r="12565" spans="1:8">
      <c r="A12565" s="317">
        <v>2610011174</v>
      </c>
      <c r="B12565" s="330" t="s">
        <v>56918</v>
      </c>
      <c r="C12565" s="330" t="s">
        <v>26999</v>
      </c>
      <c r="D12565" s="330" t="s">
        <v>27000</v>
      </c>
      <c r="E12565" s="330" t="s">
        <v>4634</v>
      </c>
      <c r="F12565" s="331">
        <v>0.21</v>
      </c>
      <c r="G12565" s="332">
        <v>236</v>
      </c>
      <c r="H12565" s="333">
        <v>286</v>
      </c>
    </row>
    <row r="12566" spans="1:8">
      <c r="A12566" s="317">
        <v>2610011176</v>
      </c>
      <c r="B12566" s="330" t="s">
        <v>56919</v>
      </c>
      <c r="C12566" s="330" t="s">
        <v>27001</v>
      </c>
      <c r="D12566" s="330" t="s">
        <v>27002</v>
      </c>
      <c r="E12566" s="330" t="s">
        <v>4634</v>
      </c>
      <c r="F12566" s="331">
        <v>0.21</v>
      </c>
      <c r="G12566" s="332">
        <v>1258</v>
      </c>
      <c r="H12566" s="333">
        <v>1523</v>
      </c>
    </row>
    <row r="12567" spans="1:8">
      <c r="A12567" s="317">
        <v>2610011204</v>
      </c>
      <c r="B12567" s="330" t="s">
        <v>56920</v>
      </c>
      <c r="C12567" s="330" t="s">
        <v>27003</v>
      </c>
      <c r="D12567" s="330" t="s">
        <v>27004</v>
      </c>
      <c r="E12567" s="330" t="s">
        <v>37248</v>
      </c>
      <c r="F12567" s="331">
        <v>0.21</v>
      </c>
      <c r="G12567" s="332">
        <v>1383</v>
      </c>
      <c r="H12567" s="333">
        <v>1674</v>
      </c>
    </row>
    <row r="12568" spans="1:8">
      <c r="A12568" s="317">
        <v>2610011205</v>
      </c>
      <c r="B12568" s="330" t="s">
        <v>56921</v>
      </c>
      <c r="C12568" s="330" t="s">
        <v>27005</v>
      </c>
      <c r="D12568" s="330" t="s">
        <v>27006</v>
      </c>
      <c r="E12568" s="330" t="s">
        <v>37248</v>
      </c>
      <c r="F12568" s="331">
        <v>0.21</v>
      </c>
      <c r="G12568" s="332">
        <v>8684</v>
      </c>
      <c r="H12568" s="333">
        <v>10508</v>
      </c>
    </row>
    <row r="12569" spans="1:8">
      <c r="A12569" s="317">
        <v>2610011212</v>
      </c>
      <c r="B12569" s="330" t="s">
        <v>56922</v>
      </c>
      <c r="C12569" s="330" t="s">
        <v>27007</v>
      </c>
      <c r="D12569" s="330" t="s">
        <v>26848</v>
      </c>
      <c r="E12569" s="330" t="s">
        <v>4634</v>
      </c>
      <c r="F12569" s="331">
        <v>0.21</v>
      </c>
      <c r="G12569" s="332">
        <v>455</v>
      </c>
      <c r="H12569" s="333">
        <v>551</v>
      </c>
    </row>
    <row r="12570" spans="1:8">
      <c r="A12570" s="317">
        <v>2610011225</v>
      </c>
      <c r="B12570" s="330" t="s">
        <v>56923</v>
      </c>
      <c r="C12570" s="330" t="s">
        <v>27008</v>
      </c>
      <c r="D12570" s="330" t="s">
        <v>27009</v>
      </c>
      <c r="E12570" s="330" t="s">
        <v>4819</v>
      </c>
      <c r="F12570" s="331">
        <v>0.21</v>
      </c>
      <c r="G12570" s="332">
        <v>8777</v>
      </c>
      <c r="H12570" s="333">
        <v>10621</v>
      </c>
    </row>
    <row r="12571" spans="1:8">
      <c r="A12571" s="317">
        <v>2610011286</v>
      </c>
      <c r="B12571" s="330" t="s">
        <v>56924</v>
      </c>
      <c r="C12571" s="330" t="s">
        <v>27010</v>
      </c>
      <c r="D12571" s="330" t="s">
        <v>9732</v>
      </c>
      <c r="E12571" s="330" t="s">
        <v>4634</v>
      </c>
      <c r="F12571" s="331">
        <v>0.21</v>
      </c>
      <c r="G12571" s="332">
        <v>7787</v>
      </c>
      <c r="H12571" s="333">
        <v>9423</v>
      </c>
    </row>
    <row r="12572" spans="1:8">
      <c r="A12572" s="317">
        <v>2610011290</v>
      </c>
      <c r="B12572" s="330" t="s">
        <v>56925</v>
      </c>
      <c r="C12572" s="330" t="s">
        <v>27011</v>
      </c>
      <c r="D12572" s="330" t="s">
        <v>27012</v>
      </c>
      <c r="E12572" s="330" t="s">
        <v>37248</v>
      </c>
      <c r="F12572" s="331">
        <v>0.21</v>
      </c>
      <c r="G12572" s="332">
        <v>1403</v>
      </c>
      <c r="H12572" s="333">
        <v>1698</v>
      </c>
    </row>
    <row r="12573" spans="1:8">
      <c r="A12573" s="317">
        <v>2610011291</v>
      </c>
      <c r="B12573" s="330" t="s">
        <v>56926</v>
      </c>
      <c r="C12573" s="330" t="s">
        <v>27013</v>
      </c>
      <c r="D12573" s="330" t="s">
        <v>4602</v>
      </c>
      <c r="E12573" s="330" t="s">
        <v>37248</v>
      </c>
      <c r="F12573" s="331">
        <v>0.21</v>
      </c>
      <c r="G12573" s="332">
        <v>361</v>
      </c>
      <c r="H12573" s="333">
        <v>437</v>
      </c>
    </row>
    <row r="12574" spans="1:8">
      <c r="A12574" s="317">
        <v>2610011292</v>
      </c>
      <c r="B12574" s="330" t="s">
        <v>56927</v>
      </c>
      <c r="C12574" s="330" t="s">
        <v>27014</v>
      </c>
      <c r="D12574" s="330" t="s">
        <v>4602</v>
      </c>
      <c r="E12574" s="330" t="s">
        <v>37248</v>
      </c>
      <c r="F12574" s="331">
        <v>0.21</v>
      </c>
      <c r="G12574" s="332">
        <v>240</v>
      </c>
      <c r="H12574" s="333">
        <v>291</v>
      </c>
    </row>
    <row r="12575" spans="1:8">
      <c r="A12575" s="317">
        <v>2610011547</v>
      </c>
      <c r="B12575" s="330" t="s">
        <v>56928</v>
      </c>
      <c r="C12575" s="330" t="s">
        <v>27015</v>
      </c>
      <c r="D12575" s="330" t="s">
        <v>9487</v>
      </c>
      <c r="E12575" s="330" t="s">
        <v>4634</v>
      </c>
      <c r="F12575" s="331">
        <v>0.21</v>
      </c>
      <c r="G12575" s="332">
        <v>8414</v>
      </c>
      <c r="H12575" s="333">
        <v>10181</v>
      </c>
    </row>
    <row r="12576" spans="1:8">
      <c r="A12576" s="317">
        <v>2610011549</v>
      </c>
      <c r="B12576" s="330" t="s">
        <v>56929</v>
      </c>
      <c r="C12576" s="330" t="s">
        <v>27016</v>
      </c>
      <c r="D12576" s="330" t="s">
        <v>27017</v>
      </c>
      <c r="E12576" s="330" t="s">
        <v>4819</v>
      </c>
      <c r="F12576" s="331">
        <v>0.21</v>
      </c>
      <c r="G12576" s="332">
        <v>9563</v>
      </c>
      <c r="H12576" s="333">
        <v>11572</v>
      </c>
    </row>
    <row r="12577" spans="1:8">
      <c r="A12577" s="317">
        <v>2610011569</v>
      </c>
      <c r="B12577" s="330" t="s">
        <v>56930</v>
      </c>
      <c r="C12577" s="330" t="s">
        <v>27018</v>
      </c>
      <c r="D12577" s="330" t="s">
        <v>27019</v>
      </c>
      <c r="E12577" s="330" t="s">
        <v>4634</v>
      </c>
      <c r="F12577" s="331">
        <v>0.21</v>
      </c>
      <c r="G12577" s="332">
        <v>648</v>
      </c>
      <c r="H12577" s="333">
        <v>785</v>
      </c>
    </row>
    <row r="12578" spans="1:8">
      <c r="A12578" s="317">
        <v>2610011716</v>
      </c>
      <c r="B12578" s="330" t="s">
        <v>56931</v>
      </c>
      <c r="C12578" s="330" t="s">
        <v>27020</v>
      </c>
      <c r="D12578" s="330" t="s">
        <v>27021</v>
      </c>
      <c r="E12578" s="330" t="s">
        <v>4819</v>
      </c>
      <c r="F12578" s="331">
        <v>0.21</v>
      </c>
      <c r="G12578" s="332">
        <v>292</v>
      </c>
      <c r="H12578" s="333">
        <v>354</v>
      </c>
    </row>
    <row r="12579" spans="1:8">
      <c r="A12579" s="317">
        <v>2610011717</v>
      </c>
      <c r="B12579" s="330" t="s">
        <v>56932</v>
      </c>
      <c r="C12579" s="330" t="s">
        <v>27022</v>
      </c>
      <c r="D12579" s="330" t="s">
        <v>27023</v>
      </c>
      <c r="E12579" s="330" t="s">
        <v>37248</v>
      </c>
      <c r="F12579" s="331">
        <v>0.21</v>
      </c>
      <c r="G12579" s="332">
        <v>53215</v>
      </c>
      <c r="H12579" s="333">
        <v>64391</v>
      </c>
    </row>
    <row r="12580" spans="1:8">
      <c r="A12580" s="317">
        <v>2610011957</v>
      </c>
      <c r="B12580" s="330" t="s">
        <v>56933</v>
      </c>
      <c r="C12580" s="330" t="s">
        <v>27024</v>
      </c>
      <c r="D12580" s="330" t="s">
        <v>8159</v>
      </c>
      <c r="E12580" s="330" t="s">
        <v>37248</v>
      </c>
      <c r="F12580" s="331">
        <v>0.21</v>
      </c>
      <c r="G12580" s="332">
        <v>764</v>
      </c>
      <c r="H12580" s="333">
        <v>925</v>
      </c>
    </row>
    <row r="12581" spans="1:8">
      <c r="A12581" s="317">
        <v>2610011963</v>
      </c>
      <c r="B12581" s="330" t="s">
        <v>56934</v>
      </c>
      <c r="C12581" s="330" t="s">
        <v>27025</v>
      </c>
      <c r="D12581" s="330" t="s">
        <v>27026</v>
      </c>
      <c r="E12581" s="330" t="s">
        <v>37248</v>
      </c>
      <c r="F12581" s="331">
        <v>0.21</v>
      </c>
      <c r="G12581" s="332">
        <v>21460</v>
      </c>
      <c r="H12581" s="333">
        <v>25967</v>
      </c>
    </row>
    <row r="12582" spans="1:8">
      <c r="A12582" s="317">
        <v>2610011964</v>
      </c>
      <c r="B12582" s="330" t="s">
        <v>56935</v>
      </c>
      <c r="C12582" s="330" t="s">
        <v>27027</v>
      </c>
      <c r="D12582" s="330" t="s">
        <v>27028</v>
      </c>
      <c r="E12582" s="330" t="s">
        <v>37248</v>
      </c>
      <c r="F12582" s="331">
        <v>0.21</v>
      </c>
      <c r="G12582" s="332">
        <v>6814</v>
      </c>
      <c r="H12582" s="333">
        <v>8245</v>
      </c>
    </row>
    <row r="12583" spans="1:8">
      <c r="A12583" s="317">
        <v>2610012031</v>
      </c>
      <c r="B12583" s="330" t="s">
        <v>56936</v>
      </c>
      <c r="C12583" s="330" t="s">
        <v>27029</v>
      </c>
      <c r="D12583" s="330" t="s">
        <v>27030</v>
      </c>
      <c r="E12583" s="330" t="s">
        <v>4634</v>
      </c>
      <c r="F12583" s="331">
        <v>0.21</v>
      </c>
      <c r="G12583" s="332">
        <v>602</v>
      </c>
      <c r="H12583" s="333">
        <v>729</v>
      </c>
    </row>
    <row r="12584" spans="1:8">
      <c r="A12584" s="317">
        <v>2610012032</v>
      </c>
      <c r="B12584" s="330" t="s">
        <v>56937</v>
      </c>
      <c r="C12584" s="330" t="s">
        <v>27031</v>
      </c>
      <c r="D12584" s="330" t="s">
        <v>27032</v>
      </c>
      <c r="E12584" s="330" t="s">
        <v>37248</v>
      </c>
      <c r="F12584" s="331">
        <v>0.21</v>
      </c>
      <c r="G12584" s="332">
        <v>3218</v>
      </c>
      <c r="H12584" s="333">
        <v>3894</v>
      </c>
    </row>
    <row r="12585" spans="1:8">
      <c r="A12585" s="317">
        <v>2610012042</v>
      </c>
      <c r="B12585" s="330" t="s">
        <v>56938</v>
      </c>
      <c r="C12585" s="330" t="s">
        <v>27033</v>
      </c>
      <c r="D12585" s="330" t="s">
        <v>27034</v>
      </c>
      <c r="E12585" s="330" t="s">
        <v>4819</v>
      </c>
      <c r="F12585" s="331">
        <v>0.21</v>
      </c>
      <c r="G12585" s="332">
        <v>3468</v>
      </c>
      <c r="H12585" s="333">
        <v>4197</v>
      </c>
    </row>
    <row r="12586" spans="1:8">
      <c r="A12586" s="317">
        <v>2610012049</v>
      </c>
      <c r="B12586" s="330" t="s">
        <v>56939</v>
      </c>
      <c r="C12586" s="330" t="s">
        <v>27035</v>
      </c>
      <c r="D12586" s="330" t="s">
        <v>27036</v>
      </c>
      <c r="E12586" s="330" t="s">
        <v>4634</v>
      </c>
      <c r="F12586" s="331">
        <v>0.21</v>
      </c>
      <c r="G12586" s="332">
        <v>348</v>
      </c>
      <c r="H12586" s="333">
        <v>422</v>
      </c>
    </row>
    <row r="12587" spans="1:8">
      <c r="A12587" s="317">
        <v>2610012050</v>
      </c>
      <c r="B12587" s="330" t="s">
        <v>56940</v>
      </c>
      <c r="C12587" s="330" t="s">
        <v>27037</v>
      </c>
      <c r="D12587" s="330" t="s">
        <v>9487</v>
      </c>
      <c r="E12587" s="330" t="s">
        <v>4634</v>
      </c>
      <c r="F12587" s="331">
        <v>0.21</v>
      </c>
      <c r="G12587" s="332">
        <v>10401</v>
      </c>
      <c r="H12587" s="333">
        <v>12586</v>
      </c>
    </row>
    <row r="12588" spans="1:8">
      <c r="A12588" s="317">
        <v>2610012053</v>
      </c>
      <c r="B12588" s="330" t="s">
        <v>56941</v>
      </c>
      <c r="C12588" s="330" t="s">
        <v>27038</v>
      </c>
      <c r="D12588" s="330" t="s">
        <v>27039</v>
      </c>
      <c r="E12588" s="330" t="s">
        <v>4819</v>
      </c>
      <c r="F12588" s="331">
        <v>0.21</v>
      </c>
      <c r="G12588" s="332">
        <v>702</v>
      </c>
      <c r="H12588" s="333">
        <v>850</v>
      </c>
    </row>
    <row r="12589" spans="1:8">
      <c r="A12589" s="317">
        <v>2610012054</v>
      </c>
      <c r="B12589" s="330" t="s">
        <v>56942</v>
      </c>
      <c r="C12589" s="330" t="s">
        <v>27040</v>
      </c>
      <c r="D12589" s="330" t="s">
        <v>26816</v>
      </c>
      <c r="E12589" s="330" t="s">
        <v>4623</v>
      </c>
      <c r="F12589" s="331">
        <v>0.21</v>
      </c>
      <c r="G12589" s="332">
        <v>1521</v>
      </c>
      <c r="H12589" s="333">
        <v>1841</v>
      </c>
    </row>
    <row r="12590" spans="1:8">
      <c r="A12590" s="317">
        <v>2610012055</v>
      </c>
      <c r="B12590" s="330" t="s">
        <v>56943</v>
      </c>
      <c r="C12590" s="330" t="s">
        <v>27041</v>
      </c>
      <c r="D12590" s="330" t="s">
        <v>27042</v>
      </c>
      <c r="E12590" s="330" t="s">
        <v>4634</v>
      </c>
      <c r="F12590" s="331">
        <v>0.21</v>
      </c>
      <c r="G12590" s="332">
        <v>348</v>
      </c>
      <c r="H12590" s="333">
        <v>422</v>
      </c>
    </row>
    <row r="12591" spans="1:8">
      <c r="A12591" s="317">
        <v>2610012056</v>
      </c>
      <c r="B12591" s="330" t="s">
        <v>56944</v>
      </c>
      <c r="C12591" s="330" t="s">
        <v>27043</v>
      </c>
      <c r="D12591" s="330" t="s">
        <v>7801</v>
      </c>
      <c r="E12591" s="330" t="s">
        <v>4634</v>
      </c>
      <c r="F12591" s="331">
        <v>0.21</v>
      </c>
      <c r="G12591" s="332">
        <v>280</v>
      </c>
      <c r="H12591" s="333">
        <v>339</v>
      </c>
    </row>
    <row r="12592" spans="1:8">
      <c r="A12592" s="317">
        <v>2610012162</v>
      </c>
      <c r="B12592" s="330" t="s">
        <v>56945</v>
      </c>
      <c r="C12592" s="330" t="s">
        <v>27044</v>
      </c>
      <c r="D12592" s="330" t="s">
        <v>8004</v>
      </c>
      <c r="E12592" s="330" t="s">
        <v>37248</v>
      </c>
      <c r="F12592" s="331">
        <v>0.21</v>
      </c>
      <c r="G12592" s="332">
        <v>8864</v>
      </c>
      <c r="H12592" s="333">
        <v>10726</v>
      </c>
    </row>
    <row r="12593" spans="1:8">
      <c r="A12593" s="317">
        <v>2610012366</v>
      </c>
      <c r="B12593" s="330" t="s">
        <v>56946</v>
      </c>
      <c r="C12593" s="330" t="s">
        <v>27045</v>
      </c>
      <c r="D12593" s="330" t="s">
        <v>9487</v>
      </c>
      <c r="E12593" s="330" t="s">
        <v>37248</v>
      </c>
      <c r="F12593" s="331">
        <v>0.21</v>
      </c>
      <c r="G12593" s="332">
        <v>6573</v>
      </c>
      <c r="H12593" s="333">
        <v>7954</v>
      </c>
    </row>
    <row r="12594" spans="1:8">
      <c r="A12594" s="317">
        <v>2610012367</v>
      </c>
      <c r="B12594" s="330" t="s">
        <v>56947</v>
      </c>
      <c r="C12594" s="330" t="s">
        <v>27046</v>
      </c>
      <c r="D12594" s="330" t="s">
        <v>6803</v>
      </c>
      <c r="E12594" s="330" t="s">
        <v>37248</v>
      </c>
      <c r="F12594" s="331">
        <v>0.21</v>
      </c>
      <c r="G12594" s="332">
        <v>305</v>
      </c>
      <c r="H12594" s="333">
        <v>370</v>
      </c>
    </row>
    <row r="12595" spans="1:8">
      <c r="A12595" s="317">
        <v>2610012368</v>
      </c>
      <c r="B12595" s="330" t="s">
        <v>56948</v>
      </c>
      <c r="C12595" s="330" t="s">
        <v>27047</v>
      </c>
      <c r="D12595" s="330" t="s">
        <v>27048</v>
      </c>
      <c r="E12595" s="330" t="s">
        <v>37248</v>
      </c>
      <c r="F12595" s="331">
        <v>0.21</v>
      </c>
      <c r="G12595" s="332">
        <v>2476</v>
      </c>
      <c r="H12595" s="333">
        <v>2996</v>
      </c>
    </row>
    <row r="12596" spans="1:8">
      <c r="A12596" s="317">
        <v>2610012797</v>
      </c>
      <c r="B12596" s="330" t="s">
        <v>56949</v>
      </c>
      <c r="C12596" s="330" t="s">
        <v>27049</v>
      </c>
      <c r="D12596" s="330" t="s">
        <v>27050</v>
      </c>
      <c r="E12596" s="330" t="s">
        <v>37248</v>
      </c>
      <c r="F12596" s="331">
        <v>0.21</v>
      </c>
      <c r="G12596" s="332">
        <v>6364</v>
      </c>
      <c r="H12596" s="333">
        <v>7701</v>
      </c>
    </row>
    <row r="12597" spans="1:8">
      <c r="A12597" s="317">
        <v>2610012798</v>
      </c>
      <c r="B12597" s="330" t="s">
        <v>56950</v>
      </c>
      <c r="C12597" s="330" t="s">
        <v>27051</v>
      </c>
      <c r="D12597" s="330" t="s">
        <v>27052</v>
      </c>
      <c r="E12597" s="330" t="s">
        <v>37248</v>
      </c>
      <c r="F12597" s="331">
        <v>0.21</v>
      </c>
      <c r="G12597" s="332">
        <v>15918</v>
      </c>
      <c r="H12597" s="333">
        <v>19261</v>
      </c>
    </row>
    <row r="12598" spans="1:8">
      <c r="A12598" s="317">
        <v>2610012799</v>
      </c>
      <c r="B12598" s="330" t="s">
        <v>56951</v>
      </c>
      <c r="C12598" s="330" t="s">
        <v>27053</v>
      </c>
      <c r="D12598" s="330" t="s">
        <v>27054</v>
      </c>
      <c r="E12598" s="330" t="s">
        <v>37248</v>
      </c>
      <c r="F12598" s="331">
        <v>0.21</v>
      </c>
      <c r="G12598" s="332">
        <v>7818</v>
      </c>
      <c r="H12598" s="333">
        <v>9460</v>
      </c>
    </row>
    <row r="12599" spans="1:8">
      <c r="A12599" s="317">
        <v>2610012803</v>
      </c>
      <c r="B12599" s="330" t="s">
        <v>56952</v>
      </c>
      <c r="C12599" s="330" t="s">
        <v>27055</v>
      </c>
      <c r="D12599" s="330" t="s">
        <v>27054</v>
      </c>
      <c r="E12599" s="330" t="s">
        <v>37248</v>
      </c>
      <c r="F12599" s="331">
        <v>0.21</v>
      </c>
      <c r="G12599" s="332">
        <v>3852</v>
      </c>
      <c r="H12599" s="333">
        <v>4661</v>
      </c>
    </row>
    <row r="12600" spans="1:8">
      <c r="A12600" s="317">
        <v>2610012804</v>
      </c>
      <c r="B12600" s="330" t="s">
        <v>56953</v>
      </c>
      <c r="C12600" s="330" t="s">
        <v>27056</v>
      </c>
      <c r="D12600" s="330" t="s">
        <v>27057</v>
      </c>
      <c r="E12600" s="330" t="s">
        <v>37248</v>
      </c>
      <c r="F12600" s="331">
        <v>0.21</v>
      </c>
      <c r="G12600" s="332">
        <v>1837</v>
      </c>
      <c r="H12600" s="333">
        <v>2223</v>
      </c>
    </row>
    <row r="12601" spans="1:8">
      <c r="A12601" s="317">
        <v>2610012805</v>
      </c>
      <c r="B12601" s="330" t="s">
        <v>56954</v>
      </c>
      <c r="C12601" s="330" t="s">
        <v>27058</v>
      </c>
      <c r="D12601" s="330" t="s">
        <v>27059</v>
      </c>
      <c r="E12601" s="330" t="s">
        <v>4819</v>
      </c>
      <c r="F12601" s="331">
        <v>0.21</v>
      </c>
      <c r="G12601" s="332">
        <v>21770</v>
      </c>
      <c r="H12601" s="333">
        <v>26342</v>
      </c>
    </row>
    <row r="12602" spans="1:8">
      <c r="A12602" s="317">
        <v>2610012809</v>
      </c>
      <c r="B12602" s="330" t="s">
        <v>56955</v>
      </c>
      <c r="C12602" s="330" t="s">
        <v>27060</v>
      </c>
      <c r="D12602" s="330" t="s">
        <v>27061</v>
      </c>
      <c r="E12602" s="330" t="s">
        <v>37248</v>
      </c>
      <c r="F12602" s="331">
        <v>0.21</v>
      </c>
      <c r="G12602" s="332">
        <v>12075</v>
      </c>
      <c r="H12602" s="333">
        <v>14611</v>
      </c>
    </row>
    <row r="12603" spans="1:8">
      <c r="A12603" s="317">
        <v>2610012813</v>
      </c>
      <c r="B12603" s="330" t="s">
        <v>56956</v>
      </c>
      <c r="C12603" s="330" t="s">
        <v>27062</v>
      </c>
      <c r="D12603" s="330" t="s">
        <v>27063</v>
      </c>
      <c r="E12603" s="330" t="s">
        <v>37248</v>
      </c>
      <c r="F12603" s="331">
        <v>0.21</v>
      </c>
      <c r="G12603" s="332">
        <v>1195</v>
      </c>
      <c r="H12603" s="333">
        <v>1446</v>
      </c>
    </row>
    <row r="12604" spans="1:8">
      <c r="A12604" s="317">
        <v>2610012815</v>
      </c>
      <c r="B12604" s="330" t="s">
        <v>56957</v>
      </c>
      <c r="C12604" s="330" t="s">
        <v>27064</v>
      </c>
      <c r="D12604" s="330" t="s">
        <v>27065</v>
      </c>
      <c r="E12604" s="330" t="s">
        <v>4819</v>
      </c>
      <c r="F12604" s="331">
        <v>0.21</v>
      </c>
      <c r="G12604" s="332">
        <v>1487</v>
      </c>
      <c r="H12604" s="333">
        <v>1800</v>
      </c>
    </row>
    <row r="12605" spans="1:8">
      <c r="A12605" s="317">
        <v>2610012817</v>
      </c>
      <c r="B12605" s="330" t="s">
        <v>56958</v>
      </c>
      <c r="C12605" s="330" t="s">
        <v>27066</v>
      </c>
      <c r="D12605" s="330" t="s">
        <v>27067</v>
      </c>
      <c r="E12605" s="330" t="s">
        <v>37248</v>
      </c>
      <c r="F12605" s="331">
        <v>0.21</v>
      </c>
      <c r="G12605" s="332">
        <v>2705</v>
      </c>
      <c r="H12605" s="333">
        <v>3274</v>
      </c>
    </row>
    <row r="12606" spans="1:8">
      <c r="A12606" s="317">
        <v>2610012818</v>
      </c>
      <c r="B12606" s="330" t="s">
        <v>56959</v>
      </c>
      <c r="C12606" s="330" t="s">
        <v>27068</v>
      </c>
      <c r="D12606" s="330" t="s">
        <v>27067</v>
      </c>
      <c r="E12606" s="330" t="s">
        <v>37248</v>
      </c>
      <c r="F12606" s="331">
        <v>0.21</v>
      </c>
      <c r="G12606" s="332">
        <v>3421</v>
      </c>
      <c r="H12606" s="333">
        <v>4140</v>
      </c>
    </row>
    <row r="12607" spans="1:8">
      <c r="A12607" s="317">
        <v>2610012824</v>
      </c>
      <c r="B12607" s="330" t="s">
        <v>56960</v>
      </c>
      <c r="C12607" s="330" t="s">
        <v>27069</v>
      </c>
      <c r="D12607" s="330" t="s">
        <v>27057</v>
      </c>
      <c r="E12607" s="330" t="s">
        <v>4634</v>
      </c>
      <c r="F12607" s="331">
        <v>0.21</v>
      </c>
      <c r="G12607" s="332">
        <v>214</v>
      </c>
      <c r="H12607" s="333">
        <v>259</v>
      </c>
    </row>
    <row r="12608" spans="1:8">
      <c r="A12608" s="317">
        <v>2610012825</v>
      </c>
      <c r="B12608" s="330" t="s">
        <v>56961</v>
      </c>
      <c r="C12608" s="330" t="s">
        <v>27070</v>
      </c>
      <c r="D12608" s="330" t="s">
        <v>27071</v>
      </c>
      <c r="E12608" s="330" t="s">
        <v>4819</v>
      </c>
      <c r="F12608" s="331">
        <v>0.21</v>
      </c>
      <c r="G12608" s="332">
        <v>2875</v>
      </c>
      <c r="H12608" s="333">
        <v>3479</v>
      </c>
    </row>
    <row r="12609" spans="1:8">
      <c r="A12609" s="317">
        <v>2610012902</v>
      </c>
      <c r="B12609" s="330" t="s">
        <v>56962</v>
      </c>
      <c r="C12609" s="330" t="s">
        <v>27072</v>
      </c>
      <c r="D12609" s="330" t="s">
        <v>27054</v>
      </c>
      <c r="E12609" s="330" t="s">
        <v>37248</v>
      </c>
      <c r="F12609" s="331">
        <v>0.21</v>
      </c>
      <c r="G12609" s="332">
        <v>2687</v>
      </c>
      <c r="H12609" s="333">
        <v>3252</v>
      </c>
    </row>
    <row r="12610" spans="1:8">
      <c r="A12610" s="317">
        <v>2610012903</v>
      </c>
      <c r="B12610" s="330" t="s">
        <v>56963</v>
      </c>
      <c r="C12610" s="330" t="s">
        <v>27073</v>
      </c>
      <c r="D12610" s="330" t="s">
        <v>27054</v>
      </c>
      <c r="E12610" s="330" t="s">
        <v>4634</v>
      </c>
      <c r="F12610" s="331">
        <v>0.21</v>
      </c>
      <c r="G12610" s="332">
        <v>2137</v>
      </c>
      <c r="H12610" s="333">
        <v>2586</v>
      </c>
    </row>
    <row r="12611" spans="1:8">
      <c r="A12611" s="317">
        <v>2610012910</v>
      </c>
      <c r="B12611" s="330" t="s">
        <v>56964</v>
      </c>
      <c r="C12611" s="330" t="s">
        <v>27074</v>
      </c>
      <c r="D12611" s="330" t="s">
        <v>27054</v>
      </c>
      <c r="E12611" s="330" t="s">
        <v>37248</v>
      </c>
      <c r="F12611" s="331">
        <v>0.21</v>
      </c>
      <c r="G12611" s="332">
        <v>2156</v>
      </c>
      <c r="H12611" s="333">
        <v>2609</v>
      </c>
    </row>
    <row r="12612" spans="1:8">
      <c r="A12612" s="317">
        <v>2610012913</v>
      </c>
      <c r="B12612" s="330" t="s">
        <v>56965</v>
      </c>
      <c r="C12612" s="330" t="s">
        <v>27075</v>
      </c>
      <c r="D12612" s="330" t="s">
        <v>27076</v>
      </c>
      <c r="E12612" s="330" t="s">
        <v>4634</v>
      </c>
      <c r="F12612" s="331">
        <v>0.21</v>
      </c>
      <c r="G12612" s="332">
        <v>1293</v>
      </c>
      <c r="H12612" s="333">
        <v>1565</v>
      </c>
    </row>
    <row r="12613" spans="1:8">
      <c r="A12613" s="317">
        <v>2610012915</v>
      </c>
      <c r="B12613" s="330" t="s">
        <v>56966</v>
      </c>
      <c r="C12613" s="330" t="s">
        <v>27077</v>
      </c>
      <c r="D12613" s="330" t="s">
        <v>27054</v>
      </c>
      <c r="E12613" s="330" t="s">
        <v>4634</v>
      </c>
      <c r="F12613" s="331">
        <v>0.21</v>
      </c>
      <c r="G12613" s="332">
        <v>1137</v>
      </c>
      <c r="H12613" s="333">
        <v>1376</v>
      </c>
    </row>
    <row r="12614" spans="1:8">
      <c r="A12614" s="317">
        <v>2610012916</v>
      </c>
      <c r="B12614" s="330" t="s">
        <v>56967</v>
      </c>
      <c r="C12614" s="330" t="s">
        <v>27078</v>
      </c>
      <c r="D12614" s="330" t="s">
        <v>27079</v>
      </c>
      <c r="E12614" s="330" t="s">
        <v>4634</v>
      </c>
      <c r="F12614" s="331">
        <v>0.21</v>
      </c>
      <c r="G12614" s="332">
        <v>314</v>
      </c>
      <c r="H12614" s="333">
        <v>380</v>
      </c>
    </row>
    <row r="12615" spans="1:8">
      <c r="A12615" s="317">
        <v>2610012926</v>
      </c>
      <c r="B12615" s="330" t="s">
        <v>56968</v>
      </c>
      <c r="C12615" s="330" t="s">
        <v>27080</v>
      </c>
      <c r="D12615" s="330" t="s">
        <v>27065</v>
      </c>
      <c r="E12615" s="330" t="s">
        <v>37248</v>
      </c>
      <c r="F12615" s="331">
        <v>0.21</v>
      </c>
      <c r="G12615" s="332">
        <v>1487</v>
      </c>
      <c r="H12615" s="333">
        <v>1800</v>
      </c>
    </row>
    <row r="12616" spans="1:8">
      <c r="A12616" s="317">
        <v>2610012935</v>
      </c>
      <c r="B12616" s="330" t="s">
        <v>56969</v>
      </c>
      <c r="C12616" s="330" t="s">
        <v>27081</v>
      </c>
      <c r="D12616" s="330" t="s">
        <v>27082</v>
      </c>
      <c r="E12616" s="330" t="s">
        <v>4819</v>
      </c>
      <c r="F12616" s="331">
        <v>0.21</v>
      </c>
      <c r="G12616" s="332">
        <v>4637</v>
      </c>
      <c r="H12616" s="333">
        <v>5611</v>
      </c>
    </row>
    <row r="12617" spans="1:8">
      <c r="A12617" s="317">
        <v>2610012938</v>
      </c>
      <c r="B12617" s="330" t="s">
        <v>56970</v>
      </c>
      <c r="C12617" s="330" t="s">
        <v>27083</v>
      </c>
      <c r="D12617" s="330" t="s">
        <v>27084</v>
      </c>
      <c r="E12617" s="330" t="s">
        <v>4634</v>
      </c>
      <c r="F12617" s="331">
        <v>0.21</v>
      </c>
      <c r="G12617" s="332">
        <v>280</v>
      </c>
      <c r="H12617" s="333">
        <v>339</v>
      </c>
    </row>
    <row r="12618" spans="1:8">
      <c r="A12618" s="317">
        <v>2610012943</v>
      </c>
      <c r="B12618" s="330" t="s">
        <v>56971</v>
      </c>
      <c r="C12618" s="330" t="s">
        <v>27085</v>
      </c>
      <c r="D12618" s="330" t="s">
        <v>27086</v>
      </c>
      <c r="E12618" s="330" t="s">
        <v>37248</v>
      </c>
      <c r="F12618" s="331">
        <v>0.21</v>
      </c>
      <c r="G12618" s="332">
        <v>3604</v>
      </c>
      <c r="H12618" s="333">
        <v>4361</v>
      </c>
    </row>
    <row r="12619" spans="1:8">
      <c r="A12619" s="317">
        <v>2610012984</v>
      </c>
      <c r="B12619" s="330" t="s">
        <v>56972</v>
      </c>
      <c r="C12619" s="330" t="s">
        <v>27087</v>
      </c>
      <c r="D12619" s="330" t="s">
        <v>27088</v>
      </c>
      <c r="E12619" s="330" t="s">
        <v>37248</v>
      </c>
      <c r="F12619" s="331">
        <v>0.21</v>
      </c>
      <c r="G12619" s="332">
        <v>950</v>
      </c>
      <c r="H12619" s="333">
        <v>1150</v>
      </c>
    </row>
    <row r="12620" spans="1:8">
      <c r="A12620" s="317">
        <v>2610013003</v>
      </c>
      <c r="B12620" s="330" t="s">
        <v>56973</v>
      </c>
      <c r="C12620" s="330" t="s">
        <v>27089</v>
      </c>
      <c r="D12620" s="330" t="s">
        <v>27090</v>
      </c>
      <c r="E12620" s="330" t="s">
        <v>4623</v>
      </c>
      <c r="F12620" s="331">
        <v>0.21</v>
      </c>
      <c r="G12620" s="332">
        <v>1508</v>
      </c>
      <c r="H12620" s="333">
        <v>1825</v>
      </c>
    </row>
    <row r="12621" spans="1:8">
      <c r="A12621" s="317">
        <v>2610013053</v>
      </c>
      <c r="B12621" s="330" t="s">
        <v>56974</v>
      </c>
      <c r="C12621" s="330" t="s">
        <v>27091</v>
      </c>
      <c r="D12621" s="330" t="s">
        <v>12216</v>
      </c>
      <c r="E12621" s="330" t="s">
        <v>37248</v>
      </c>
      <c r="F12621" s="331">
        <v>0.21</v>
      </c>
      <c r="G12621" s="332">
        <v>194</v>
      </c>
      <c r="H12621" s="333">
        <v>235</v>
      </c>
    </row>
    <row r="12622" spans="1:8">
      <c r="A12622" s="317">
        <v>2610013054</v>
      </c>
      <c r="B12622" s="330" t="s">
        <v>56975</v>
      </c>
      <c r="C12622" s="330" t="s">
        <v>27092</v>
      </c>
      <c r="D12622" s="330" t="s">
        <v>27093</v>
      </c>
      <c r="E12622" s="330" t="s">
        <v>37248</v>
      </c>
      <c r="F12622" s="331">
        <v>0.21</v>
      </c>
      <c r="G12622" s="332">
        <v>702</v>
      </c>
      <c r="H12622" s="333">
        <v>850</v>
      </c>
    </row>
    <row r="12623" spans="1:8">
      <c r="A12623" s="317">
        <v>2610013162</v>
      </c>
      <c r="B12623" s="330" t="s">
        <v>56976</v>
      </c>
      <c r="C12623" s="330" t="s">
        <v>27094</v>
      </c>
      <c r="D12623" s="330" t="s">
        <v>27095</v>
      </c>
      <c r="E12623" s="330" t="s">
        <v>37248</v>
      </c>
      <c r="F12623" s="331">
        <v>0.21</v>
      </c>
      <c r="G12623" s="332">
        <v>305</v>
      </c>
      <c r="H12623" s="333">
        <v>370</v>
      </c>
    </row>
    <row r="12624" spans="1:8">
      <c r="A12624" s="317">
        <v>2610013288</v>
      </c>
      <c r="B12624" s="330" t="s">
        <v>56977</v>
      </c>
      <c r="C12624" s="330" t="s">
        <v>27096</v>
      </c>
      <c r="D12624" s="330" t="s">
        <v>9218</v>
      </c>
      <c r="E12624" s="330" t="s">
        <v>37248</v>
      </c>
      <c r="F12624" s="331">
        <v>0.21</v>
      </c>
      <c r="G12624" s="332">
        <v>11242</v>
      </c>
      <c r="H12624" s="333">
        <v>13603</v>
      </c>
    </row>
    <row r="12625" spans="1:8">
      <c r="A12625" s="317">
        <v>2610013365</v>
      </c>
      <c r="B12625" s="330" t="s">
        <v>56978</v>
      </c>
      <c r="C12625" s="330" t="s">
        <v>27097</v>
      </c>
      <c r="D12625" s="330" t="s">
        <v>27098</v>
      </c>
      <c r="E12625" s="330" t="s">
        <v>37248</v>
      </c>
      <c r="F12625" s="331">
        <v>0.21</v>
      </c>
      <c r="G12625" s="332">
        <v>174</v>
      </c>
      <c r="H12625" s="333">
        <v>211</v>
      </c>
    </row>
    <row r="12626" spans="1:8">
      <c r="A12626" s="317">
        <v>2610013388</v>
      </c>
      <c r="B12626" s="330" t="s">
        <v>56979</v>
      </c>
      <c r="C12626" s="330" t="s">
        <v>27099</v>
      </c>
      <c r="D12626" s="330" t="s">
        <v>27100</v>
      </c>
      <c r="E12626" s="330" t="s">
        <v>4634</v>
      </c>
      <c r="F12626" s="331">
        <v>0.21</v>
      </c>
      <c r="G12626" s="332">
        <v>3622</v>
      </c>
      <c r="H12626" s="333">
        <v>4383</v>
      </c>
    </row>
    <row r="12627" spans="1:8">
      <c r="A12627" s="317">
        <v>2610013393</v>
      </c>
      <c r="B12627" s="330" t="s">
        <v>56980</v>
      </c>
      <c r="C12627" s="330" t="s">
        <v>27101</v>
      </c>
      <c r="D12627" s="330" t="s">
        <v>27102</v>
      </c>
      <c r="E12627" s="330" t="s">
        <v>4634</v>
      </c>
      <c r="F12627" s="331">
        <v>0.21</v>
      </c>
      <c r="G12627" s="332">
        <v>17564</v>
      </c>
      <c r="H12627" s="333">
        <v>21253</v>
      </c>
    </row>
    <row r="12628" spans="1:8">
      <c r="A12628" s="317">
        <v>2610013397</v>
      </c>
      <c r="B12628" s="330" t="s">
        <v>56981</v>
      </c>
      <c r="C12628" s="330" t="s">
        <v>27103</v>
      </c>
      <c r="D12628" s="330" t="s">
        <v>7653</v>
      </c>
      <c r="E12628" s="330" t="s">
        <v>37248</v>
      </c>
      <c r="F12628" s="331">
        <v>0.21</v>
      </c>
      <c r="G12628" s="332">
        <v>296</v>
      </c>
      <c r="H12628" s="333">
        <v>359</v>
      </c>
    </row>
    <row r="12629" spans="1:8">
      <c r="A12629" s="317">
        <v>2610013522</v>
      </c>
      <c r="B12629" s="330" t="s">
        <v>56982</v>
      </c>
      <c r="C12629" s="330" t="s">
        <v>27104</v>
      </c>
      <c r="D12629" s="330" t="s">
        <v>7653</v>
      </c>
      <c r="E12629" s="330" t="s">
        <v>37248</v>
      </c>
      <c r="F12629" s="331">
        <v>0.21</v>
      </c>
      <c r="G12629" s="332">
        <v>305</v>
      </c>
      <c r="H12629" s="333">
        <v>370</v>
      </c>
    </row>
    <row r="12630" spans="1:8">
      <c r="A12630" s="317">
        <v>2610013523</v>
      </c>
      <c r="B12630" s="330" t="s">
        <v>56983</v>
      </c>
      <c r="C12630" s="330" t="s">
        <v>27105</v>
      </c>
      <c r="D12630" s="330" t="s">
        <v>7928</v>
      </c>
      <c r="E12630" s="330" t="s">
        <v>37248</v>
      </c>
      <c r="F12630" s="331">
        <v>0.21</v>
      </c>
      <c r="G12630" s="332">
        <v>305</v>
      </c>
      <c r="H12630" s="333">
        <v>370</v>
      </c>
    </row>
    <row r="12631" spans="1:8">
      <c r="A12631" s="317">
        <v>2610013524</v>
      </c>
      <c r="B12631" s="330" t="s">
        <v>56984</v>
      </c>
      <c r="C12631" s="330" t="s">
        <v>27106</v>
      </c>
      <c r="D12631" s="330" t="s">
        <v>7653</v>
      </c>
      <c r="E12631" s="330" t="s">
        <v>37248</v>
      </c>
      <c r="F12631" s="331">
        <v>0.21</v>
      </c>
      <c r="G12631" s="332">
        <v>515</v>
      </c>
      <c r="H12631" s="333">
        <v>624</v>
      </c>
    </row>
    <row r="12632" spans="1:8">
      <c r="A12632" s="317">
        <v>2610013525</v>
      </c>
      <c r="B12632" s="330" t="s">
        <v>56985</v>
      </c>
      <c r="C12632" s="330" t="s">
        <v>27107</v>
      </c>
      <c r="D12632" s="330" t="s">
        <v>4654</v>
      </c>
      <c r="E12632" s="330" t="s">
        <v>37248</v>
      </c>
      <c r="F12632" s="331">
        <v>0.21</v>
      </c>
      <c r="G12632" s="332">
        <v>305</v>
      </c>
      <c r="H12632" s="333">
        <v>370</v>
      </c>
    </row>
    <row r="12633" spans="1:8">
      <c r="A12633" s="317">
        <v>2610013526</v>
      </c>
      <c r="B12633" s="330" t="s">
        <v>56986</v>
      </c>
      <c r="C12633" s="330" t="s">
        <v>27108</v>
      </c>
      <c r="D12633" s="330" t="s">
        <v>7653</v>
      </c>
      <c r="E12633" s="330" t="s">
        <v>37248</v>
      </c>
      <c r="F12633" s="331">
        <v>0.21</v>
      </c>
      <c r="G12633" s="332">
        <v>515</v>
      </c>
      <c r="H12633" s="333">
        <v>624</v>
      </c>
    </row>
    <row r="12634" spans="1:8">
      <c r="A12634" s="317">
        <v>2610013527</v>
      </c>
      <c r="B12634" s="330" t="s">
        <v>56987</v>
      </c>
      <c r="C12634" s="330" t="s">
        <v>27109</v>
      </c>
      <c r="D12634" s="330" t="s">
        <v>27110</v>
      </c>
      <c r="E12634" s="330" t="s">
        <v>37248</v>
      </c>
      <c r="F12634" s="331">
        <v>0.21</v>
      </c>
      <c r="G12634" s="332">
        <v>2826</v>
      </c>
      <c r="H12634" s="333">
        <v>3420</v>
      </c>
    </row>
    <row r="12635" spans="1:8">
      <c r="A12635" s="317">
        <v>2610013528</v>
      </c>
      <c r="B12635" s="330" t="s">
        <v>56988</v>
      </c>
      <c r="C12635" s="330" t="s">
        <v>27111</v>
      </c>
      <c r="D12635" s="330" t="s">
        <v>12894</v>
      </c>
      <c r="E12635" s="330" t="s">
        <v>37248</v>
      </c>
      <c r="F12635" s="331">
        <v>0.21</v>
      </c>
      <c r="G12635" s="332">
        <v>1360</v>
      </c>
      <c r="H12635" s="333">
        <v>1646</v>
      </c>
    </row>
    <row r="12636" spans="1:8">
      <c r="A12636" s="317">
        <v>2610013529</v>
      </c>
      <c r="B12636" s="330" t="s">
        <v>56989</v>
      </c>
      <c r="C12636" s="330" t="s">
        <v>27112</v>
      </c>
      <c r="D12636" s="330" t="s">
        <v>27113</v>
      </c>
      <c r="E12636" s="330" t="s">
        <v>37248</v>
      </c>
      <c r="F12636" s="331">
        <v>0.21</v>
      </c>
      <c r="G12636" s="332">
        <v>5103</v>
      </c>
      <c r="H12636" s="333">
        <v>6175</v>
      </c>
    </row>
    <row r="12637" spans="1:8">
      <c r="A12637" s="317">
        <v>2610013530</v>
      </c>
      <c r="B12637" s="330" t="s">
        <v>56990</v>
      </c>
      <c r="C12637" s="330" t="s">
        <v>27114</v>
      </c>
      <c r="D12637" s="330" t="s">
        <v>27115</v>
      </c>
      <c r="E12637" s="330" t="s">
        <v>37248</v>
      </c>
      <c r="F12637" s="331">
        <v>0.21</v>
      </c>
      <c r="G12637" s="332">
        <v>6573</v>
      </c>
      <c r="H12637" s="333">
        <v>7954</v>
      </c>
    </row>
    <row r="12638" spans="1:8">
      <c r="A12638" s="317">
        <v>2610013531</v>
      </c>
      <c r="B12638" s="330" t="s">
        <v>56991</v>
      </c>
      <c r="C12638" s="330" t="s">
        <v>27116</v>
      </c>
      <c r="D12638" s="330" t="s">
        <v>7645</v>
      </c>
      <c r="E12638" s="330" t="s">
        <v>37248</v>
      </c>
      <c r="F12638" s="331">
        <v>0.21</v>
      </c>
      <c r="G12638" s="332">
        <v>2119</v>
      </c>
      <c r="H12638" s="333">
        <v>2564</v>
      </c>
    </row>
    <row r="12639" spans="1:8">
      <c r="A12639" s="317">
        <v>2610013532</v>
      </c>
      <c r="B12639" s="330" t="s">
        <v>56992</v>
      </c>
      <c r="C12639" s="330" t="s">
        <v>27117</v>
      </c>
      <c r="D12639" s="330" t="s">
        <v>8853</v>
      </c>
      <c r="E12639" s="330" t="s">
        <v>37248</v>
      </c>
      <c r="F12639" s="331">
        <v>0.21</v>
      </c>
      <c r="G12639" s="332">
        <v>305</v>
      </c>
      <c r="H12639" s="333">
        <v>370</v>
      </c>
    </row>
    <row r="12640" spans="1:8">
      <c r="A12640" s="317">
        <v>2610013533</v>
      </c>
      <c r="B12640" s="330" t="s">
        <v>56993</v>
      </c>
      <c r="C12640" s="330" t="s">
        <v>27118</v>
      </c>
      <c r="D12640" s="330" t="s">
        <v>27119</v>
      </c>
      <c r="E12640" s="330" t="s">
        <v>37248</v>
      </c>
      <c r="F12640" s="331">
        <v>0.21</v>
      </c>
      <c r="G12640" s="332">
        <v>2119</v>
      </c>
      <c r="H12640" s="333">
        <v>2564</v>
      </c>
    </row>
    <row r="12641" spans="1:8">
      <c r="A12641" s="317">
        <v>2610013534</v>
      </c>
      <c r="B12641" s="330" t="s">
        <v>56994</v>
      </c>
      <c r="C12641" s="330" t="s">
        <v>27120</v>
      </c>
      <c r="D12641" s="330" t="s">
        <v>7818</v>
      </c>
      <c r="E12641" s="330" t="s">
        <v>37248</v>
      </c>
      <c r="F12641" s="331">
        <v>0.21</v>
      </c>
      <c r="G12641" s="332">
        <v>305</v>
      </c>
      <c r="H12641" s="333">
        <v>370</v>
      </c>
    </row>
    <row r="12642" spans="1:8">
      <c r="A12642" s="317">
        <v>2610013535</v>
      </c>
      <c r="B12642" s="330" t="s">
        <v>56995</v>
      </c>
      <c r="C12642" s="330" t="s">
        <v>27121</v>
      </c>
      <c r="D12642" s="330" t="s">
        <v>8853</v>
      </c>
      <c r="E12642" s="330" t="s">
        <v>37248</v>
      </c>
      <c r="F12642" s="331">
        <v>0.21</v>
      </c>
      <c r="G12642" s="332">
        <v>689</v>
      </c>
      <c r="H12642" s="333">
        <v>834</v>
      </c>
    </row>
    <row r="12643" spans="1:8">
      <c r="A12643" s="317">
        <v>2610013536</v>
      </c>
      <c r="B12643" s="330" t="s">
        <v>56996</v>
      </c>
      <c r="C12643" s="330" t="s">
        <v>27122</v>
      </c>
      <c r="D12643" s="330" t="s">
        <v>8853</v>
      </c>
      <c r="E12643" s="330" t="s">
        <v>37248</v>
      </c>
      <c r="F12643" s="331">
        <v>0.21</v>
      </c>
      <c r="G12643" s="332">
        <v>515</v>
      </c>
      <c r="H12643" s="333">
        <v>624</v>
      </c>
    </row>
    <row r="12644" spans="1:8">
      <c r="A12644" s="317">
        <v>2610013537</v>
      </c>
      <c r="B12644" s="330" t="s">
        <v>56997</v>
      </c>
      <c r="C12644" s="330" t="s">
        <v>27123</v>
      </c>
      <c r="D12644" s="330" t="s">
        <v>6310</v>
      </c>
      <c r="E12644" s="330" t="s">
        <v>37248</v>
      </c>
      <c r="F12644" s="331">
        <v>0.21</v>
      </c>
      <c r="G12644" s="332">
        <v>305</v>
      </c>
      <c r="H12644" s="333">
        <v>370</v>
      </c>
    </row>
    <row r="12645" spans="1:8">
      <c r="A12645" s="317">
        <v>2610013538</v>
      </c>
      <c r="B12645" s="330" t="s">
        <v>56998</v>
      </c>
      <c r="C12645" s="330" t="s">
        <v>27124</v>
      </c>
      <c r="D12645" s="330" t="s">
        <v>21117</v>
      </c>
      <c r="E12645" s="330" t="s">
        <v>37248</v>
      </c>
      <c r="F12645" s="331">
        <v>0.21</v>
      </c>
      <c r="G12645" s="332">
        <v>5715</v>
      </c>
      <c r="H12645" s="333">
        <v>6916</v>
      </c>
    </row>
    <row r="12646" spans="1:8">
      <c r="A12646" s="317">
        <v>2610013539</v>
      </c>
      <c r="B12646" s="330" t="s">
        <v>56999</v>
      </c>
      <c r="C12646" s="330" t="s">
        <v>27125</v>
      </c>
      <c r="D12646" s="330" t="s">
        <v>27126</v>
      </c>
      <c r="E12646" s="330" t="s">
        <v>37248</v>
      </c>
      <c r="F12646" s="331">
        <v>0.21</v>
      </c>
      <c r="G12646" s="332">
        <v>4628</v>
      </c>
      <c r="H12646" s="333">
        <v>5600</v>
      </c>
    </row>
    <row r="12647" spans="1:8">
      <c r="A12647" s="317">
        <v>2610013540</v>
      </c>
      <c r="B12647" s="330" t="s">
        <v>57000</v>
      </c>
      <c r="C12647" s="330" t="s">
        <v>27127</v>
      </c>
      <c r="D12647" s="330" t="s">
        <v>27128</v>
      </c>
      <c r="E12647" s="330" t="s">
        <v>37248</v>
      </c>
      <c r="F12647" s="331">
        <v>0.21</v>
      </c>
      <c r="G12647" s="332">
        <v>1853</v>
      </c>
      <c r="H12647" s="333">
        <v>2243</v>
      </c>
    </row>
    <row r="12648" spans="1:8">
      <c r="A12648" s="317">
        <v>2610013541</v>
      </c>
      <c r="B12648" s="330" t="s">
        <v>57001</v>
      </c>
      <c r="C12648" s="330" t="s">
        <v>27129</v>
      </c>
      <c r="D12648" s="330" t="s">
        <v>4614</v>
      </c>
      <c r="E12648" s="330" t="s">
        <v>37248</v>
      </c>
      <c r="F12648" s="331">
        <v>0.21</v>
      </c>
      <c r="G12648" s="332">
        <v>2826</v>
      </c>
      <c r="H12648" s="333">
        <v>3420</v>
      </c>
    </row>
    <row r="12649" spans="1:8">
      <c r="A12649" s="317">
        <v>2610013542</v>
      </c>
      <c r="B12649" s="330" t="s">
        <v>57002</v>
      </c>
      <c r="C12649" s="330" t="s">
        <v>27130</v>
      </c>
      <c r="D12649" s="330" t="s">
        <v>8853</v>
      </c>
      <c r="E12649" s="330" t="s">
        <v>37248</v>
      </c>
      <c r="F12649" s="331">
        <v>0.21</v>
      </c>
      <c r="G12649" s="332">
        <v>305</v>
      </c>
      <c r="H12649" s="333">
        <v>370</v>
      </c>
    </row>
    <row r="12650" spans="1:8">
      <c r="A12650" s="317">
        <v>2610013543</v>
      </c>
      <c r="B12650" s="330" t="s">
        <v>57003</v>
      </c>
      <c r="C12650" s="330" t="s">
        <v>27131</v>
      </c>
      <c r="D12650" s="330" t="s">
        <v>12706</v>
      </c>
      <c r="E12650" s="330" t="s">
        <v>37248</v>
      </c>
      <c r="F12650" s="331">
        <v>0.21</v>
      </c>
      <c r="G12650" s="332">
        <v>689</v>
      </c>
      <c r="H12650" s="333">
        <v>834</v>
      </c>
    </row>
    <row r="12651" spans="1:8">
      <c r="A12651" s="317">
        <v>2610013545</v>
      </c>
      <c r="B12651" s="330" t="s">
        <v>57004</v>
      </c>
      <c r="C12651" s="330" t="s">
        <v>27132</v>
      </c>
      <c r="D12651" s="330" t="s">
        <v>4598</v>
      </c>
      <c r="E12651" s="330" t="s">
        <v>37248</v>
      </c>
      <c r="F12651" s="331">
        <v>0.21</v>
      </c>
      <c r="G12651" s="332">
        <v>1853</v>
      </c>
      <c r="H12651" s="333">
        <v>2243</v>
      </c>
    </row>
    <row r="12652" spans="1:8">
      <c r="A12652" s="317">
        <v>2610013547</v>
      </c>
      <c r="B12652" s="330" t="s">
        <v>57005</v>
      </c>
      <c r="C12652" s="330" t="s">
        <v>27133</v>
      </c>
      <c r="D12652" s="330" t="s">
        <v>12776</v>
      </c>
      <c r="E12652" s="330" t="s">
        <v>37248</v>
      </c>
      <c r="F12652" s="331">
        <v>0.21</v>
      </c>
      <c r="G12652" s="332">
        <v>305</v>
      </c>
      <c r="H12652" s="333">
        <v>370</v>
      </c>
    </row>
    <row r="12653" spans="1:8">
      <c r="A12653" s="317">
        <v>2610013548</v>
      </c>
      <c r="B12653" s="330" t="s">
        <v>57006</v>
      </c>
      <c r="C12653" s="330" t="s">
        <v>27134</v>
      </c>
      <c r="D12653" s="330" t="s">
        <v>27135</v>
      </c>
      <c r="E12653" s="330" t="s">
        <v>37248</v>
      </c>
      <c r="F12653" s="331">
        <v>0.21</v>
      </c>
      <c r="G12653" s="332">
        <v>814</v>
      </c>
      <c r="H12653" s="333">
        <v>985</v>
      </c>
    </row>
    <row r="12654" spans="1:8">
      <c r="A12654" s="317">
        <v>2610013549</v>
      </c>
      <c r="B12654" s="330" t="s">
        <v>57007</v>
      </c>
      <c r="C12654" s="330" t="s">
        <v>27136</v>
      </c>
      <c r="D12654" s="330" t="s">
        <v>4614</v>
      </c>
      <c r="E12654" s="330" t="s">
        <v>37248</v>
      </c>
      <c r="F12654" s="331">
        <v>0.21</v>
      </c>
      <c r="G12654" s="332">
        <v>2826</v>
      </c>
      <c r="H12654" s="333">
        <v>3420</v>
      </c>
    </row>
    <row r="12655" spans="1:8">
      <c r="A12655" s="317">
        <v>2610013550</v>
      </c>
      <c r="B12655" s="330" t="s">
        <v>57008</v>
      </c>
      <c r="C12655" s="330" t="s">
        <v>27137</v>
      </c>
      <c r="D12655" s="330" t="s">
        <v>8079</v>
      </c>
      <c r="E12655" s="330" t="s">
        <v>37248</v>
      </c>
      <c r="F12655" s="331">
        <v>0.21</v>
      </c>
      <c r="G12655" s="332">
        <v>814</v>
      </c>
      <c r="H12655" s="333">
        <v>985</v>
      </c>
    </row>
    <row r="12656" spans="1:8">
      <c r="A12656" s="317">
        <v>2610013551</v>
      </c>
      <c r="B12656" s="330" t="s">
        <v>57009</v>
      </c>
      <c r="C12656" s="330" t="s">
        <v>27138</v>
      </c>
      <c r="D12656" s="330" t="s">
        <v>12706</v>
      </c>
      <c r="E12656" s="330" t="s">
        <v>37248</v>
      </c>
      <c r="F12656" s="331">
        <v>0.21</v>
      </c>
      <c r="G12656" s="332">
        <v>305</v>
      </c>
      <c r="H12656" s="333">
        <v>370</v>
      </c>
    </row>
    <row r="12657" spans="1:8">
      <c r="A12657" s="317">
        <v>2610013552</v>
      </c>
      <c r="B12657" s="330" t="s">
        <v>57010</v>
      </c>
      <c r="C12657" s="330" t="s">
        <v>27139</v>
      </c>
      <c r="D12657" s="330" t="s">
        <v>4654</v>
      </c>
      <c r="E12657" s="330" t="s">
        <v>37248</v>
      </c>
      <c r="F12657" s="331">
        <v>0.21</v>
      </c>
      <c r="G12657" s="332">
        <v>305</v>
      </c>
      <c r="H12657" s="333">
        <v>370</v>
      </c>
    </row>
    <row r="12658" spans="1:8">
      <c r="A12658" s="317">
        <v>2610013553</v>
      </c>
      <c r="B12658" s="330" t="s">
        <v>57011</v>
      </c>
      <c r="C12658" s="330" t="s">
        <v>27140</v>
      </c>
      <c r="D12658" s="330" t="s">
        <v>6310</v>
      </c>
      <c r="E12658" s="330" t="s">
        <v>37248</v>
      </c>
      <c r="F12658" s="331">
        <v>0.21</v>
      </c>
      <c r="G12658" s="332">
        <v>305</v>
      </c>
      <c r="H12658" s="333">
        <v>370</v>
      </c>
    </row>
    <row r="12659" spans="1:8">
      <c r="A12659" s="317">
        <v>2610013554</v>
      </c>
      <c r="B12659" s="330" t="s">
        <v>57012</v>
      </c>
      <c r="C12659" s="330" t="s">
        <v>27141</v>
      </c>
      <c r="D12659" s="330" t="s">
        <v>13635</v>
      </c>
      <c r="E12659" s="330" t="s">
        <v>37248</v>
      </c>
      <c r="F12659" s="331">
        <v>0.21</v>
      </c>
      <c r="G12659" s="332">
        <v>689</v>
      </c>
      <c r="H12659" s="333">
        <v>834</v>
      </c>
    </row>
    <row r="12660" spans="1:8">
      <c r="A12660" s="317">
        <v>2610013555</v>
      </c>
      <c r="B12660" s="330" t="s">
        <v>57013</v>
      </c>
      <c r="C12660" s="330" t="s">
        <v>27142</v>
      </c>
      <c r="D12660" s="330" t="s">
        <v>12776</v>
      </c>
      <c r="E12660" s="330" t="s">
        <v>37248</v>
      </c>
      <c r="F12660" s="331">
        <v>0.21</v>
      </c>
      <c r="G12660" s="332">
        <v>305</v>
      </c>
      <c r="H12660" s="333">
        <v>370</v>
      </c>
    </row>
    <row r="12661" spans="1:8">
      <c r="A12661" s="317">
        <v>2610013556</v>
      </c>
      <c r="B12661" s="330" t="s">
        <v>57014</v>
      </c>
      <c r="C12661" s="330" t="s">
        <v>27143</v>
      </c>
      <c r="D12661" s="330" t="s">
        <v>7653</v>
      </c>
      <c r="E12661" s="330" t="s">
        <v>37248</v>
      </c>
      <c r="F12661" s="331">
        <v>0.21</v>
      </c>
      <c r="G12661" s="332">
        <v>515</v>
      </c>
      <c r="H12661" s="333">
        <v>624</v>
      </c>
    </row>
    <row r="12662" spans="1:8">
      <c r="A12662" s="317">
        <v>2610013559</v>
      </c>
      <c r="B12662" s="330" t="s">
        <v>57015</v>
      </c>
      <c r="C12662" s="330" t="s">
        <v>27144</v>
      </c>
      <c r="D12662" s="330" t="s">
        <v>8853</v>
      </c>
      <c r="E12662" s="330" t="s">
        <v>37248</v>
      </c>
      <c r="F12662" s="331">
        <v>0.21</v>
      </c>
      <c r="G12662" s="332">
        <v>305</v>
      </c>
      <c r="H12662" s="333">
        <v>370</v>
      </c>
    </row>
    <row r="12663" spans="1:8">
      <c r="A12663" s="317">
        <v>2610013560</v>
      </c>
      <c r="B12663" s="330" t="s">
        <v>57016</v>
      </c>
      <c r="C12663" s="330" t="s">
        <v>27145</v>
      </c>
      <c r="D12663" s="330" t="s">
        <v>27146</v>
      </c>
      <c r="E12663" s="330" t="s">
        <v>37248</v>
      </c>
      <c r="F12663" s="331">
        <v>0.21</v>
      </c>
      <c r="G12663" s="332">
        <v>3267</v>
      </c>
      <c r="H12663" s="333">
        <v>3954</v>
      </c>
    </row>
    <row r="12664" spans="1:8">
      <c r="A12664" s="317">
        <v>2610013561</v>
      </c>
      <c r="B12664" s="330" t="s">
        <v>57017</v>
      </c>
      <c r="C12664" s="330" t="s">
        <v>27147</v>
      </c>
      <c r="D12664" s="330" t="s">
        <v>5075</v>
      </c>
      <c r="E12664" s="330" t="s">
        <v>37248</v>
      </c>
      <c r="F12664" s="331">
        <v>0.21</v>
      </c>
      <c r="G12664" s="332">
        <v>53243</v>
      </c>
      <c r="H12664" s="333">
        <v>64425</v>
      </c>
    </row>
    <row r="12665" spans="1:8">
      <c r="A12665" s="317">
        <v>2610013562</v>
      </c>
      <c r="B12665" s="330" t="s">
        <v>57018</v>
      </c>
      <c r="C12665" s="330" t="s">
        <v>27148</v>
      </c>
      <c r="D12665" s="330" t="s">
        <v>4730</v>
      </c>
      <c r="E12665" s="330" t="s">
        <v>37248</v>
      </c>
      <c r="F12665" s="331">
        <v>0.21</v>
      </c>
      <c r="G12665" s="332">
        <v>1191</v>
      </c>
      <c r="H12665" s="333">
        <v>1442</v>
      </c>
    </row>
    <row r="12666" spans="1:8">
      <c r="A12666" s="317">
        <v>2610013563</v>
      </c>
      <c r="B12666" s="330" t="s">
        <v>57019</v>
      </c>
      <c r="C12666" s="330" t="s">
        <v>27149</v>
      </c>
      <c r="D12666" s="330" t="s">
        <v>6408</v>
      </c>
      <c r="E12666" s="330" t="s">
        <v>37248</v>
      </c>
      <c r="F12666" s="331">
        <v>0.21</v>
      </c>
      <c r="G12666" s="332">
        <v>305</v>
      </c>
      <c r="H12666" s="333">
        <v>370</v>
      </c>
    </row>
    <row r="12667" spans="1:8">
      <c r="A12667" s="317">
        <v>2610013564</v>
      </c>
      <c r="B12667" s="330" t="s">
        <v>57020</v>
      </c>
      <c r="C12667" s="330" t="s">
        <v>27150</v>
      </c>
      <c r="D12667" s="330" t="s">
        <v>7818</v>
      </c>
      <c r="E12667" s="330" t="s">
        <v>37248</v>
      </c>
      <c r="F12667" s="331">
        <v>0.21</v>
      </c>
      <c r="G12667" s="332">
        <v>305</v>
      </c>
      <c r="H12667" s="333">
        <v>370</v>
      </c>
    </row>
    <row r="12668" spans="1:8">
      <c r="A12668" s="317">
        <v>2610013565</v>
      </c>
      <c r="B12668" s="330" t="s">
        <v>57021</v>
      </c>
      <c r="C12668" s="330" t="s">
        <v>27151</v>
      </c>
      <c r="D12668" s="330" t="s">
        <v>8853</v>
      </c>
      <c r="E12668" s="330" t="s">
        <v>37248</v>
      </c>
      <c r="F12668" s="331">
        <v>0.21</v>
      </c>
      <c r="G12668" s="332">
        <v>305</v>
      </c>
      <c r="H12668" s="333">
        <v>370</v>
      </c>
    </row>
    <row r="12669" spans="1:8">
      <c r="A12669" s="317">
        <v>2610013689</v>
      </c>
      <c r="B12669" s="330" t="s">
        <v>57022</v>
      </c>
      <c r="C12669" s="330" t="s">
        <v>27152</v>
      </c>
      <c r="D12669" s="330" t="s">
        <v>27153</v>
      </c>
      <c r="E12669" s="330" t="s">
        <v>4634</v>
      </c>
      <c r="F12669" s="331">
        <v>0.21</v>
      </c>
      <c r="G12669" s="332">
        <v>742</v>
      </c>
      <c r="H12669" s="333">
        <v>898</v>
      </c>
    </row>
    <row r="12670" spans="1:8">
      <c r="A12670" s="317">
        <v>2610013756</v>
      </c>
      <c r="B12670" s="330" t="s">
        <v>57023</v>
      </c>
      <c r="C12670" s="330" t="s">
        <v>27154</v>
      </c>
      <c r="D12670" s="330" t="s">
        <v>27155</v>
      </c>
      <c r="E12670" s="330" t="s">
        <v>37248</v>
      </c>
      <c r="F12670" s="331">
        <v>0.21</v>
      </c>
      <c r="G12670" s="332">
        <v>32986</v>
      </c>
      <c r="H12670" s="333">
        <v>39914</v>
      </c>
    </row>
    <row r="12671" spans="1:8">
      <c r="A12671" s="317">
        <v>2610013854</v>
      </c>
      <c r="B12671" s="330" t="s">
        <v>57024</v>
      </c>
      <c r="C12671" s="330" t="s">
        <v>27156</v>
      </c>
      <c r="D12671" s="330" t="s">
        <v>27157</v>
      </c>
      <c r="E12671" s="330" t="s">
        <v>37248</v>
      </c>
      <c r="F12671" s="331">
        <v>0.21</v>
      </c>
      <c r="G12671" s="332">
        <v>863</v>
      </c>
      <c r="H12671" s="333">
        <v>1045</v>
      </c>
    </row>
    <row r="12672" spans="1:8">
      <c r="A12672" s="317">
        <v>2610013888</v>
      </c>
      <c r="B12672" s="330" t="s">
        <v>57025</v>
      </c>
      <c r="C12672" s="330" t="s">
        <v>27158</v>
      </c>
      <c r="D12672" s="330" t="s">
        <v>8004</v>
      </c>
      <c r="E12672" s="330" t="s">
        <v>37248</v>
      </c>
      <c r="F12672" s="331">
        <v>0.21</v>
      </c>
      <c r="G12672" s="332">
        <v>13058</v>
      </c>
      <c r="H12672" s="333">
        <v>15801</v>
      </c>
    </row>
    <row r="12673" spans="1:8">
      <c r="A12673" s="317">
        <v>2610013890</v>
      </c>
      <c r="B12673" s="330" t="s">
        <v>57026</v>
      </c>
      <c r="C12673" s="330" t="s">
        <v>27159</v>
      </c>
      <c r="D12673" s="330" t="s">
        <v>27160</v>
      </c>
      <c r="E12673" s="330" t="s">
        <v>37248</v>
      </c>
      <c r="F12673" s="331">
        <v>0.21</v>
      </c>
      <c r="G12673" s="332">
        <v>1652</v>
      </c>
      <c r="H12673" s="333">
        <v>1999</v>
      </c>
    </row>
    <row r="12674" spans="1:8">
      <c r="A12674" s="317">
        <v>2610013891</v>
      </c>
      <c r="B12674" s="330" t="s">
        <v>57027</v>
      </c>
      <c r="C12674" s="330" t="s">
        <v>27161</v>
      </c>
      <c r="D12674" s="330" t="s">
        <v>27162</v>
      </c>
      <c r="E12674" s="330" t="s">
        <v>4634</v>
      </c>
      <c r="F12674" s="331">
        <v>0.21</v>
      </c>
      <c r="G12674" s="332">
        <v>387</v>
      </c>
      <c r="H12674" s="333">
        <v>469</v>
      </c>
    </row>
    <row r="12675" spans="1:8">
      <c r="A12675" s="317">
        <v>2610014582</v>
      </c>
      <c r="B12675" s="330" t="s">
        <v>57028</v>
      </c>
      <c r="C12675" s="330" t="s">
        <v>27163</v>
      </c>
      <c r="D12675" s="330" t="s">
        <v>8094</v>
      </c>
      <c r="E12675" s="330" t="s">
        <v>37248</v>
      </c>
      <c r="F12675" s="331">
        <v>0.21</v>
      </c>
      <c r="G12675" s="332">
        <v>706</v>
      </c>
      <c r="H12675" s="333">
        <v>855</v>
      </c>
    </row>
    <row r="12676" spans="1:8">
      <c r="A12676" s="317">
        <v>2610014693</v>
      </c>
      <c r="B12676" s="330" t="s">
        <v>57029</v>
      </c>
      <c r="C12676" s="330" t="s">
        <v>27164</v>
      </c>
      <c r="D12676" s="330" t="s">
        <v>11686</v>
      </c>
      <c r="E12676" s="330" t="s">
        <v>37248</v>
      </c>
      <c r="F12676" s="331">
        <v>0.21</v>
      </c>
      <c r="G12676" s="332">
        <v>240</v>
      </c>
      <c r="H12676" s="333">
        <v>291</v>
      </c>
    </row>
    <row r="12677" spans="1:8">
      <c r="A12677" s="317">
        <v>2610014697</v>
      </c>
      <c r="B12677" s="330" t="s">
        <v>57030</v>
      </c>
      <c r="C12677" s="330" t="s">
        <v>27165</v>
      </c>
      <c r="D12677" s="330" t="s">
        <v>26993</v>
      </c>
      <c r="E12677" s="330" t="s">
        <v>37248</v>
      </c>
      <c r="F12677" s="331">
        <v>0.21</v>
      </c>
      <c r="G12677" s="332">
        <v>174</v>
      </c>
      <c r="H12677" s="333">
        <v>211</v>
      </c>
    </row>
    <row r="12678" spans="1:8">
      <c r="A12678" s="317">
        <v>2610014698</v>
      </c>
      <c r="B12678" s="330" t="s">
        <v>57031</v>
      </c>
      <c r="C12678" s="330" t="s">
        <v>27166</v>
      </c>
      <c r="D12678" s="330" t="s">
        <v>27167</v>
      </c>
      <c r="E12678" s="330" t="s">
        <v>37248</v>
      </c>
      <c r="F12678" s="331">
        <v>0.21</v>
      </c>
      <c r="G12678" s="332">
        <v>216</v>
      </c>
      <c r="H12678" s="333">
        <v>262</v>
      </c>
    </row>
    <row r="12679" spans="1:8">
      <c r="A12679" s="317">
        <v>2610014699</v>
      </c>
      <c r="B12679" s="330" t="s">
        <v>57032</v>
      </c>
      <c r="C12679" s="330" t="s">
        <v>27168</v>
      </c>
      <c r="D12679" s="330" t="s">
        <v>27169</v>
      </c>
      <c r="E12679" s="330" t="s">
        <v>37248</v>
      </c>
      <c r="F12679" s="331">
        <v>0.21</v>
      </c>
      <c r="G12679" s="332">
        <v>1155</v>
      </c>
      <c r="H12679" s="333">
        <v>1398</v>
      </c>
    </row>
    <row r="12680" spans="1:8">
      <c r="A12680" s="317">
        <v>2610015000</v>
      </c>
      <c r="B12680" s="330" t="s">
        <v>57033</v>
      </c>
      <c r="C12680" s="330" t="s">
        <v>27170</v>
      </c>
      <c r="D12680" s="330" t="s">
        <v>27171</v>
      </c>
      <c r="E12680" s="330" t="s">
        <v>4634</v>
      </c>
      <c r="F12680" s="331">
        <v>0.21</v>
      </c>
      <c r="G12680" s="332">
        <v>1771</v>
      </c>
      <c r="H12680" s="333">
        <v>2143</v>
      </c>
    </row>
    <row r="12681" spans="1:8">
      <c r="A12681" s="317">
        <v>2610015001</v>
      </c>
      <c r="B12681" s="330" t="s">
        <v>57034</v>
      </c>
      <c r="C12681" s="330" t="s">
        <v>27172</v>
      </c>
      <c r="D12681" s="330" t="s">
        <v>27095</v>
      </c>
      <c r="E12681" s="330" t="s">
        <v>37248</v>
      </c>
      <c r="F12681" s="331">
        <v>0.21</v>
      </c>
      <c r="G12681" s="332">
        <v>165</v>
      </c>
      <c r="H12681" s="333">
        <v>200</v>
      </c>
    </row>
    <row r="12682" spans="1:8">
      <c r="A12682" s="317">
        <v>2610015002</v>
      </c>
      <c r="B12682" s="330" t="s">
        <v>57035</v>
      </c>
      <c r="C12682" s="330" t="s">
        <v>27173</v>
      </c>
      <c r="D12682" s="330" t="s">
        <v>27174</v>
      </c>
      <c r="E12682" s="330" t="s">
        <v>37248</v>
      </c>
      <c r="F12682" s="331">
        <v>0.21</v>
      </c>
      <c r="G12682" s="332">
        <v>174</v>
      </c>
      <c r="H12682" s="333">
        <v>211</v>
      </c>
    </row>
    <row r="12683" spans="1:8">
      <c r="A12683" s="317">
        <v>2610015006</v>
      </c>
      <c r="B12683" s="330" t="s">
        <v>57036</v>
      </c>
      <c r="C12683" s="330" t="s">
        <v>27175</v>
      </c>
      <c r="D12683" s="330" t="s">
        <v>27176</v>
      </c>
      <c r="E12683" s="330" t="s">
        <v>37248</v>
      </c>
      <c r="F12683" s="331">
        <v>0.21</v>
      </c>
      <c r="G12683" s="332">
        <v>435</v>
      </c>
      <c r="H12683" s="333">
        <v>527</v>
      </c>
    </row>
    <row r="12684" spans="1:8">
      <c r="A12684" s="317">
        <v>2610015008</v>
      </c>
      <c r="B12684" s="330" t="s">
        <v>57037</v>
      </c>
      <c r="C12684" s="330" t="s">
        <v>27177</v>
      </c>
      <c r="D12684" s="330" t="s">
        <v>27167</v>
      </c>
      <c r="E12684" s="330" t="s">
        <v>37248</v>
      </c>
      <c r="F12684" s="331">
        <v>0.21</v>
      </c>
      <c r="G12684" s="332">
        <v>174</v>
      </c>
      <c r="H12684" s="333">
        <v>211</v>
      </c>
    </row>
    <row r="12685" spans="1:8">
      <c r="A12685" s="317">
        <v>2610015009</v>
      </c>
      <c r="B12685" s="330" t="s">
        <v>57038</v>
      </c>
      <c r="C12685" s="330" t="s">
        <v>27178</v>
      </c>
      <c r="D12685" s="330" t="s">
        <v>27169</v>
      </c>
      <c r="E12685" s="330" t="s">
        <v>37248</v>
      </c>
      <c r="F12685" s="331">
        <v>0.21</v>
      </c>
      <c r="G12685" s="332">
        <v>1025</v>
      </c>
      <c r="H12685" s="333">
        <v>1241</v>
      </c>
    </row>
    <row r="12686" spans="1:8">
      <c r="A12686" s="317">
        <v>2610015010</v>
      </c>
      <c r="B12686" s="330" t="s">
        <v>57039</v>
      </c>
      <c r="C12686" s="330" t="s">
        <v>27179</v>
      </c>
      <c r="D12686" s="330" t="s">
        <v>27180</v>
      </c>
      <c r="E12686" s="330" t="s">
        <v>37248</v>
      </c>
      <c r="F12686" s="331">
        <v>0.21</v>
      </c>
      <c r="G12686" s="332">
        <v>339</v>
      </c>
      <c r="H12686" s="333">
        <v>411</v>
      </c>
    </row>
    <row r="12687" spans="1:8">
      <c r="A12687" s="317">
        <v>2610015011</v>
      </c>
      <c r="B12687" s="330" t="s">
        <v>57040</v>
      </c>
      <c r="C12687" s="330" t="s">
        <v>27181</v>
      </c>
      <c r="D12687" s="330" t="s">
        <v>27095</v>
      </c>
      <c r="E12687" s="330" t="s">
        <v>37248</v>
      </c>
      <c r="F12687" s="331">
        <v>0.21</v>
      </c>
      <c r="G12687" s="332">
        <v>107</v>
      </c>
      <c r="H12687" s="333">
        <v>130</v>
      </c>
    </row>
    <row r="12688" spans="1:8">
      <c r="A12688" s="317">
        <v>2610015012</v>
      </c>
      <c r="B12688" s="330" t="s">
        <v>57041</v>
      </c>
      <c r="C12688" s="330" t="s">
        <v>27182</v>
      </c>
      <c r="D12688" s="330" t="s">
        <v>27183</v>
      </c>
      <c r="E12688" s="330" t="s">
        <v>37248</v>
      </c>
      <c r="F12688" s="331">
        <v>0.21</v>
      </c>
      <c r="G12688" s="332">
        <v>216</v>
      </c>
      <c r="H12688" s="333">
        <v>262</v>
      </c>
    </row>
    <row r="12689" spans="1:8">
      <c r="A12689" s="317">
        <v>2610015014</v>
      </c>
      <c r="B12689" s="330" t="s">
        <v>57042</v>
      </c>
      <c r="C12689" s="330" t="s">
        <v>27184</v>
      </c>
      <c r="D12689" s="330" t="s">
        <v>27185</v>
      </c>
      <c r="E12689" s="330" t="s">
        <v>37248</v>
      </c>
      <c r="F12689" s="331">
        <v>0.21</v>
      </c>
      <c r="G12689" s="332">
        <v>872</v>
      </c>
      <c r="H12689" s="333">
        <v>1056</v>
      </c>
    </row>
    <row r="12690" spans="1:8">
      <c r="A12690" s="317">
        <v>2610015015</v>
      </c>
      <c r="B12690" s="330" t="s">
        <v>57043</v>
      </c>
      <c r="C12690" s="330" t="s">
        <v>27186</v>
      </c>
      <c r="D12690" s="330" t="s">
        <v>26993</v>
      </c>
      <c r="E12690" s="330" t="s">
        <v>37248</v>
      </c>
      <c r="F12690" s="331">
        <v>0.21</v>
      </c>
      <c r="G12690" s="332">
        <v>553</v>
      </c>
      <c r="H12690" s="333">
        <v>670</v>
      </c>
    </row>
    <row r="12691" spans="1:8">
      <c r="A12691" s="317">
        <v>2610015016</v>
      </c>
      <c r="B12691" s="330" t="s">
        <v>57044</v>
      </c>
      <c r="C12691" s="330" t="s">
        <v>27187</v>
      </c>
      <c r="D12691" s="330" t="s">
        <v>27169</v>
      </c>
      <c r="E12691" s="330" t="s">
        <v>37248</v>
      </c>
      <c r="F12691" s="331">
        <v>0.21</v>
      </c>
      <c r="G12691" s="332">
        <v>2237</v>
      </c>
      <c r="H12691" s="333">
        <v>2707</v>
      </c>
    </row>
    <row r="12692" spans="1:8">
      <c r="A12692" s="317">
        <v>2610015017</v>
      </c>
      <c r="B12692" s="330" t="s">
        <v>57045</v>
      </c>
      <c r="C12692" s="330" t="s">
        <v>27188</v>
      </c>
      <c r="D12692" s="330" t="s">
        <v>27189</v>
      </c>
      <c r="E12692" s="330" t="s">
        <v>37248</v>
      </c>
      <c r="F12692" s="331">
        <v>0.21</v>
      </c>
      <c r="G12692" s="332">
        <v>2417</v>
      </c>
      <c r="H12692" s="333">
        <v>2925</v>
      </c>
    </row>
    <row r="12693" spans="1:8">
      <c r="A12693" s="317">
        <v>2610015018</v>
      </c>
      <c r="B12693" s="330" t="s">
        <v>57046</v>
      </c>
      <c r="C12693" s="330" t="s">
        <v>27190</v>
      </c>
      <c r="D12693" s="330" t="s">
        <v>26993</v>
      </c>
      <c r="E12693" s="330" t="s">
        <v>4634</v>
      </c>
      <c r="F12693" s="331">
        <v>0.21</v>
      </c>
      <c r="G12693" s="332">
        <v>153</v>
      </c>
      <c r="H12693" s="333">
        <v>186</v>
      </c>
    </row>
    <row r="12694" spans="1:8">
      <c r="A12694" s="317">
        <v>2610015019</v>
      </c>
      <c r="B12694" s="330" t="s">
        <v>57047</v>
      </c>
      <c r="C12694" s="330" t="s">
        <v>27191</v>
      </c>
      <c r="D12694" s="330" t="s">
        <v>27192</v>
      </c>
      <c r="E12694" s="330" t="s">
        <v>37248</v>
      </c>
      <c r="F12694" s="331">
        <v>0.21</v>
      </c>
      <c r="G12694" s="332">
        <v>1452</v>
      </c>
      <c r="H12694" s="333">
        <v>1757</v>
      </c>
    </row>
    <row r="12695" spans="1:8">
      <c r="A12695" s="317">
        <v>2610015021</v>
      </c>
      <c r="B12695" s="330" t="s">
        <v>57048</v>
      </c>
      <c r="C12695" s="330" t="s">
        <v>27193</v>
      </c>
      <c r="D12695" s="330" t="s">
        <v>12426</v>
      </c>
      <c r="E12695" s="330" t="s">
        <v>37248</v>
      </c>
      <c r="F12695" s="331">
        <v>0.21</v>
      </c>
      <c r="G12695" s="332">
        <v>1530</v>
      </c>
      <c r="H12695" s="333">
        <v>1852</v>
      </c>
    </row>
    <row r="12696" spans="1:8">
      <c r="A12696" s="317">
        <v>2610015022</v>
      </c>
      <c r="B12696" s="330" t="s">
        <v>57049</v>
      </c>
      <c r="C12696" s="330" t="s">
        <v>27194</v>
      </c>
      <c r="D12696" s="330" t="s">
        <v>27195</v>
      </c>
      <c r="E12696" s="330" t="s">
        <v>37248</v>
      </c>
      <c r="F12696" s="331">
        <v>0.21</v>
      </c>
      <c r="G12696" s="332">
        <v>1115</v>
      </c>
      <c r="H12696" s="333">
        <v>1350</v>
      </c>
    </row>
    <row r="12697" spans="1:8">
      <c r="A12697" s="317">
        <v>2610015026</v>
      </c>
      <c r="B12697" s="330" t="s">
        <v>57050</v>
      </c>
      <c r="C12697" s="330" t="s">
        <v>27196</v>
      </c>
      <c r="D12697" s="330" t="s">
        <v>27197</v>
      </c>
      <c r="E12697" s="330" t="s">
        <v>4634</v>
      </c>
      <c r="F12697" s="331">
        <v>0.21</v>
      </c>
      <c r="G12697" s="332">
        <v>564</v>
      </c>
      <c r="H12697" s="333">
        <v>683</v>
      </c>
    </row>
    <row r="12698" spans="1:8">
      <c r="A12698" s="317">
        <v>2610015027</v>
      </c>
      <c r="B12698" s="330" t="s">
        <v>57051</v>
      </c>
      <c r="C12698" s="330" t="s">
        <v>27198</v>
      </c>
      <c r="D12698" s="330" t="s">
        <v>27199</v>
      </c>
      <c r="E12698" s="330" t="s">
        <v>37248</v>
      </c>
      <c r="F12698" s="331">
        <v>0.21</v>
      </c>
      <c r="G12698" s="332">
        <v>194</v>
      </c>
      <c r="H12698" s="333">
        <v>235</v>
      </c>
    </row>
    <row r="12699" spans="1:8">
      <c r="A12699" s="317">
        <v>2610015030</v>
      </c>
      <c r="B12699" s="330" t="s">
        <v>57052</v>
      </c>
      <c r="C12699" s="330" t="s">
        <v>27200</v>
      </c>
      <c r="D12699" s="330" t="s">
        <v>27201</v>
      </c>
      <c r="E12699" s="330" t="s">
        <v>37248</v>
      </c>
      <c r="F12699" s="331">
        <v>0.21</v>
      </c>
      <c r="G12699" s="332">
        <v>339</v>
      </c>
      <c r="H12699" s="333">
        <v>411</v>
      </c>
    </row>
    <row r="12700" spans="1:8">
      <c r="A12700" s="317">
        <v>2610015031</v>
      </c>
      <c r="B12700" s="330" t="s">
        <v>57053</v>
      </c>
      <c r="C12700" s="330" t="s">
        <v>27202</v>
      </c>
      <c r="D12700" s="330" t="s">
        <v>27174</v>
      </c>
      <c r="E12700" s="330" t="s">
        <v>37248</v>
      </c>
      <c r="F12700" s="331">
        <v>0.21</v>
      </c>
      <c r="G12700" s="332">
        <v>194</v>
      </c>
      <c r="H12700" s="333">
        <v>235</v>
      </c>
    </row>
    <row r="12701" spans="1:8">
      <c r="A12701" s="317">
        <v>2610015035</v>
      </c>
      <c r="B12701" s="330" t="s">
        <v>57054</v>
      </c>
      <c r="C12701" s="330" t="s">
        <v>27203</v>
      </c>
      <c r="D12701" s="330" t="s">
        <v>27204</v>
      </c>
      <c r="E12701" s="330" t="s">
        <v>37248</v>
      </c>
      <c r="F12701" s="331">
        <v>0.21</v>
      </c>
      <c r="G12701" s="332">
        <v>1427</v>
      </c>
      <c r="H12701" s="333">
        <v>1727</v>
      </c>
    </row>
    <row r="12702" spans="1:8">
      <c r="A12702" s="317">
        <v>2610015038</v>
      </c>
      <c r="B12702" s="330" t="s">
        <v>57055</v>
      </c>
      <c r="C12702" s="330" t="s">
        <v>27205</v>
      </c>
      <c r="D12702" s="330" t="s">
        <v>27183</v>
      </c>
      <c r="E12702" s="330" t="s">
        <v>37248</v>
      </c>
      <c r="F12702" s="331">
        <v>0.21</v>
      </c>
      <c r="G12702" s="332">
        <v>348</v>
      </c>
      <c r="H12702" s="333">
        <v>422</v>
      </c>
    </row>
    <row r="12703" spans="1:8">
      <c r="A12703" s="317">
        <v>2610015039</v>
      </c>
      <c r="B12703" s="330" t="s">
        <v>57056</v>
      </c>
      <c r="C12703" s="330" t="s">
        <v>27206</v>
      </c>
      <c r="D12703" s="330" t="s">
        <v>27095</v>
      </c>
      <c r="E12703" s="330" t="s">
        <v>37248</v>
      </c>
      <c r="F12703" s="331">
        <v>0.21</v>
      </c>
      <c r="G12703" s="332">
        <v>107</v>
      </c>
      <c r="H12703" s="333">
        <v>130</v>
      </c>
    </row>
    <row r="12704" spans="1:8">
      <c r="A12704" s="317">
        <v>2610015040</v>
      </c>
      <c r="B12704" s="330" t="s">
        <v>57057</v>
      </c>
      <c r="C12704" s="330" t="s">
        <v>27207</v>
      </c>
      <c r="D12704" s="330" t="s">
        <v>27199</v>
      </c>
      <c r="E12704" s="330" t="s">
        <v>37248</v>
      </c>
      <c r="F12704" s="331">
        <v>0.21</v>
      </c>
      <c r="G12704" s="332">
        <v>807</v>
      </c>
      <c r="H12704" s="333">
        <v>977</v>
      </c>
    </row>
    <row r="12705" spans="1:8">
      <c r="A12705" s="317">
        <v>2610015043</v>
      </c>
      <c r="B12705" s="330" t="s">
        <v>57058</v>
      </c>
      <c r="C12705" s="330" t="s">
        <v>27208</v>
      </c>
      <c r="D12705" s="330" t="s">
        <v>27209</v>
      </c>
      <c r="E12705" s="330" t="s">
        <v>37248</v>
      </c>
      <c r="F12705" s="331">
        <v>0.21</v>
      </c>
      <c r="G12705" s="332">
        <v>807</v>
      </c>
      <c r="H12705" s="333">
        <v>977</v>
      </c>
    </row>
    <row r="12706" spans="1:8">
      <c r="A12706" s="317">
        <v>2610015044</v>
      </c>
      <c r="B12706" s="330" t="s">
        <v>57059</v>
      </c>
      <c r="C12706" s="330" t="s">
        <v>27210</v>
      </c>
      <c r="D12706" s="330" t="s">
        <v>27095</v>
      </c>
      <c r="E12706" s="330" t="s">
        <v>37248</v>
      </c>
      <c r="F12706" s="331">
        <v>0.21</v>
      </c>
      <c r="G12706" s="332">
        <v>194</v>
      </c>
      <c r="H12706" s="333">
        <v>235</v>
      </c>
    </row>
    <row r="12707" spans="1:8">
      <c r="A12707" s="317">
        <v>2610015045</v>
      </c>
      <c r="B12707" s="330" t="s">
        <v>57060</v>
      </c>
      <c r="C12707" s="330" t="s">
        <v>27211</v>
      </c>
      <c r="D12707" s="330" t="s">
        <v>26993</v>
      </c>
      <c r="E12707" s="330" t="s">
        <v>37248</v>
      </c>
      <c r="F12707" s="331">
        <v>0.21</v>
      </c>
      <c r="G12707" s="332">
        <v>64</v>
      </c>
      <c r="H12707" s="333">
        <v>78</v>
      </c>
    </row>
    <row r="12708" spans="1:8">
      <c r="A12708" s="317">
        <v>2610015047</v>
      </c>
      <c r="B12708" s="330" t="s">
        <v>57061</v>
      </c>
      <c r="C12708" s="330" t="s">
        <v>27212</v>
      </c>
      <c r="D12708" s="330" t="s">
        <v>27199</v>
      </c>
      <c r="E12708" s="330" t="s">
        <v>37248</v>
      </c>
      <c r="F12708" s="331">
        <v>0.21</v>
      </c>
      <c r="G12708" s="332">
        <v>1019</v>
      </c>
      <c r="H12708" s="333">
        <v>1233</v>
      </c>
    </row>
    <row r="12709" spans="1:8">
      <c r="A12709" s="317">
        <v>2610015048</v>
      </c>
      <c r="B12709" s="330" t="s">
        <v>57062</v>
      </c>
      <c r="C12709" s="330" t="s">
        <v>27213</v>
      </c>
      <c r="D12709" s="330" t="s">
        <v>27209</v>
      </c>
      <c r="E12709" s="330" t="s">
        <v>37248</v>
      </c>
      <c r="F12709" s="331">
        <v>0.21</v>
      </c>
      <c r="G12709" s="332">
        <v>194</v>
      </c>
      <c r="H12709" s="333">
        <v>235</v>
      </c>
    </row>
    <row r="12710" spans="1:8">
      <c r="A12710" s="317">
        <v>2610015049</v>
      </c>
      <c r="B12710" s="330" t="s">
        <v>57063</v>
      </c>
      <c r="C12710" s="330" t="s">
        <v>27214</v>
      </c>
      <c r="D12710" s="330" t="s">
        <v>27209</v>
      </c>
      <c r="E12710" s="330" t="s">
        <v>37248</v>
      </c>
      <c r="F12710" s="331">
        <v>0.21</v>
      </c>
      <c r="G12710" s="332">
        <v>1282</v>
      </c>
      <c r="H12710" s="333">
        <v>1552</v>
      </c>
    </row>
    <row r="12711" spans="1:8">
      <c r="A12711" s="317">
        <v>2610015050</v>
      </c>
      <c r="B12711" s="330" t="s">
        <v>57064</v>
      </c>
      <c r="C12711" s="330" t="s">
        <v>27215</v>
      </c>
      <c r="D12711" s="330" t="s">
        <v>27216</v>
      </c>
      <c r="E12711" s="330" t="s">
        <v>37248</v>
      </c>
      <c r="F12711" s="331">
        <v>0.21</v>
      </c>
      <c r="G12711" s="332">
        <v>2128</v>
      </c>
      <c r="H12711" s="333">
        <v>2575</v>
      </c>
    </row>
    <row r="12712" spans="1:8">
      <c r="A12712" s="317">
        <v>2610015051</v>
      </c>
      <c r="B12712" s="330" t="s">
        <v>57065</v>
      </c>
      <c r="C12712" s="330" t="s">
        <v>27217</v>
      </c>
      <c r="D12712" s="330" t="s">
        <v>27218</v>
      </c>
      <c r="E12712" s="330" t="s">
        <v>37248</v>
      </c>
      <c r="F12712" s="331">
        <v>0.21</v>
      </c>
      <c r="G12712" s="332">
        <v>1427</v>
      </c>
      <c r="H12712" s="333">
        <v>1727</v>
      </c>
    </row>
    <row r="12713" spans="1:8">
      <c r="A12713" s="317">
        <v>2610015052</v>
      </c>
      <c r="B12713" s="330" t="s">
        <v>57066</v>
      </c>
      <c r="C12713" s="330" t="s">
        <v>27219</v>
      </c>
      <c r="D12713" s="330" t="s">
        <v>26993</v>
      </c>
      <c r="E12713" s="330" t="s">
        <v>37248</v>
      </c>
      <c r="F12713" s="331">
        <v>0.21</v>
      </c>
      <c r="G12713" s="332">
        <v>292</v>
      </c>
      <c r="H12713" s="333">
        <v>354</v>
      </c>
    </row>
    <row r="12714" spans="1:8">
      <c r="A12714" s="317">
        <v>2610015053</v>
      </c>
      <c r="B12714" s="330" t="s">
        <v>57067</v>
      </c>
      <c r="C12714" s="330" t="s">
        <v>27220</v>
      </c>
      <c r="D12714" s="330" t="s">
        <v>27174</v>
      </c>
      <c r="E12714" s="330" t="s">
        <v>37248</v>
      </c>
      <c r="F12714" s="331">
        <v>0.21</v>
      </c>
      <c r="G12714" s="332">
        <v>165</v>
      </c>
      <c r="H12714" s="333">
        <v>200</v>
      </c>
    </row>
    <row r="12715" spans="1:8">
      <c r="A12715" s="317">
        <v>2610015054</v>
      </c>
      <c r="B12715" s="330" t="s">
        <v>57068</v>
      </c>
      <c r="C12715" s="330" t="s">
        <v>27221</v>
      </c>
      <c r="D12715" s="330" t="s">
        <v>27222</v>
      </c>
      <c r="E12715" s="330" t="s">
        <v>37248</v>
      </c>
      <c r="F12715" s="331">
        <v>0.21</v>
      </c>
      <c r="G12715" s="332">
        <v>1452</v>
      </c>
      <c r="H12715" s="333">
        <v>1757</v>
      </c>
    </row>
    <row r="12716" spans="1:8">
      <c r="A12716" s="317">
        <v>2610015055</v>
      </c>
      <c r="B12716" s="330" t="s">
        <v>57069</v>
      </c>
      <c r="C12716" s="330" t="s">
        <v>27223</v>
      </c>
      <c r="D12716" s="330" t="s">
        <v>27222</v>
      </c>
      <c r="E12716" s="330" t="s">
        <v>37248</v>
      </c>
      <c r="F12716" s="331">
        <v>0.21</v>
      </c>
      <c r="G12716" s="332">
        <v>339</v>
      </c>
      <c r="H12716" s="333">
        <v>411</v>
      </c>
    </row>
    <row r="12717" spans="1:8">
      <c r="A12717" s="317">
        <v>2610015058</v>
      </c>
      <c r="B12717" s="330" t="s">
        <v>57070</v>
      </c>
      <c r="C12717" s="330" t="s">
        <v>27224</v>
      </c>
      <c r="D12717" s="330" t="s">
        <v>27095</v>
      </c>
      <c r="E12717" s="330" t="s">
        <v>37248</v>
      </c>
      <c r="F12717" s="331">
        <v>0.21</v>
      </c>
      <c r="G12717" s="332">
        <v>107</v>
      </c>
      <c r="H12717" s="333">
        <v>130</v>
      </c>
    </row>
    <row r="12718" spans="1:8">
      <c r="A12718" s="317">
        <v>2610015059</v>
      </c>
      <c r="B12718" s="330" t="s">
        <v>57071</v>
      </c>
      <c r="C12718" s="330" t="s">
        <v>27225</v>
      </c>
      <c r="D12718" s="330" t="s">
        <v>27226</v>
      </c>
      <c r="E12718" s="330" t="s">
        <v>37248</v>
      </c>
      <c r="F12718" s="331">
        <v>0.21</v>
      </c>
      <c r="G12718" s="332">
        <v>720</v>
      </c>
      <c r="H12718" s="333">
        <v>872</v>
      </c>
    </row>
    <row r="12719" spans="1:8">
      <c r="A12719" s="317">
        <v>2610015061</v>
      </c>
      <c r="B12719" s="330" t="s">
        <v>57072</v>
      </c>
      <c r="C12719" s="330" t="s">
        <v>27227</v>
      </c>
      <c r="D12719" s="330" t="s">
        <v>27209</v>
      </c>
      <c r="E12719" s="330" t="s">
        <v>37248</v>
      </c>
      <c r="F12719" s="331">
        <v>0.21</v>
      </c>
      <c r="G12719" s="332">
        <v>479</v>
      </c>
      <c r="H12719" s="333">
        <v>580</v>
      </c>
    </row>
    <row r="12720" spans="1:8">
      <c r="A12720" s="317">
        <v>2610015062</v>
      </c>
      <c r="B12720" s="330" t="s">
        <v>57073</v>
      </c>
      <c r="C12720" s="330" t="s">
        <v>27228</v>
      </c>
      <c r="D12720" s="330" t="s">
        <v>27169</v>
      </c>
      <c r="E12720" s="330" t="s">
        <v>37248</v>
      </c>
      <c r="F12720" s="331">
        <v>0.21</v>
      </c>
      <c r="G12720" s="332">
        <v>1208</v>
      </c>
      <c r="H12720" s="333">
        <v>1462</v>
      </c>
    </row>
    <row r="12721" spans="1:8">
      <c r="A12721" s="317">
        <v>2610015063</v>
      </c>
      <c r="B12721" s="330" t="s">
        <v>57074</v>
      </c>
      <c r="C12721" s="330" t="s">
        <v>27229</v>
      </c>
      <c r="D12721" s="330" t="s">
        <v>27171</v>
      </c>
      <c r="E12721" s="330" t="s">
        <v>37248</v>
      </c>
      <c r="F12721" s="331">
        <v>0.21</v>
      </c>
      <c r="G12721" s="332">
        <v>1025</v>
      </c>
      <c r="H12721" s="333">
        <v>1241</v>
      </c>
    </row>
    <row r="12722" spans="1:8">
      <c r="A12722" s="317">
        <v>2610015064</v>
      </c>
      <c r="B12722" s="330" t="s">
        <v>57075</v>
      </c>
      <c r="C12722" s="330" t="s">
        <v>27230</v>
      </c>
      <c r="D12722" s="330" t="s">
        <v>27180</v>
      </c>
      <c r="E12722" s="330" t="s">
        <v>37248</v>
      </c>
      <c r="F12722" s="331">
        <v>0.21</v>
      </c>
      <c r="G12722" s="332">
        <v>435</v>
      </c>
      <c r="H12722" s="333">
        <v>527</v>
      </c>
    </row>
    <row r="12723" spans="1:8">
      <c r="A12723" s="317">
        <v>2610015065</v>
      </c>
      <c r="B12723" s="330" t="s">
        <v>57076</v>
      </c>
      <c r="C12723" s="330" t="s">
        <v>27231</v>
      </c>
      <c r="D12723" s="330" t="s">
        <v>26993</v>
      </c>
      <c r="E12723" s="330" t="s">
        <v>37248</v>
      </c>
      <c r="F12723" s="331">
        <v>0.21</v>
      </c>
      <c r="G12723" s="332">
        <v>107</v>
      </c>
      <c r="H12723" s="333">
        <v>130</v>
      </c>
    </row>
    <row r="12724" spans="1:8">
      <c r="A12724" s="317">
        <v>2610015066</v>
      </c>
      <c r="B12724" s="330" t="s">
        <v>57077</v>
      </c>
      <c r="C12724" s="330" t="s">
        <v>27232</v>
      </c>
      <c r="D12724" s="330" t="s">
        <v>27233</v>
      </c>
      <c r="E12724" s="330" t="s">
        <v>4634</v>
      </c>
      <c r="F12724" s="331">
        <v>0.21</v>
      </c>
      <c r="G12724" s="332">
        <v>615</v>
      </c>
      <c r="H12724" s="333">
        <v>745</v>
      </c>
    </row>
    <row r="12725" spans="1:8">
      <c r="A12725" s="317">
        <v>2610015067</v>
      </c>
      <c r="B12725" s="330" t="s">
        <v>57078</v>
      </c>
      <c r="C12725" s="330" t="s">
        <v>27234</v>
      </c>
      <c r="D12725" s="330" t="s">
        <v>27235</v>
      </c>
      <c r="E12725" s="330" t="s">
        <v>37248</v>
      </c>
      <c r="F12725" s="331">
        <v>0.21</v>
      </c>
      <c r="G12725" s="332">
        <v>194</v>
      </c>
      <c r="H12725" s="333">
        <v>235</v>
      </c>
    </row>
    <row r="12726" spans="1:8">
      <c r="A12726" s="317">
        <v>2610015069</v>
      </c>
      <c r="B12726" s="330" t="s">
        <v>57079</v>
      </c>
      <c r="C12726" s="330" t="s">
        <v>27236</v>
      </c>
      <c r="D12726" s="330" t="s">
        <v>27237</v>
      </c>
      <c r="E12726" s="330" t="s">
        <v>37248</v>
      </c>
      <c r="F12726" s="331">
        <v>0.21</v>
      </c>
      <c r="G12726" s="332">
        <v>4503</v>
      </c>
      <c r="H12726" s="333">
        <v>5449</v>
      </c>
    </row>
    <row r="12727" spans="1:8">
      <c r="A12727" s="317">
        <v>2610015070</v>
      </c>
      <c r="B12727" s="330" t="s">
        <v>57080</v>
      </c>
      <c r="C12727" s="330" t="s">
        <v>27238</v>
      </c>
      <c r="D12727" s="330" t="s">
        <v>26993</v>
      </c>
      <c r="E12727" s="330" t="s">
        <v>37248</v>
      </c>
      <c r="F12727" s="331">
        <v>0.21</v>
      </c>
      <c r="G12727" s="332">
        <v>194</v>
      </c>
      <c r="H12727" s="333">
        <v>235</v>
      </c>
    </row>
    <row r="12728" spans="1:8">
      <c r="A12728" s="317">
        <v>2610015071</v>
      </c>
      <c r="B12728" s="330" t="s">
        <v>57081</v>
      </c>
      <c r="C12728" s="330" t="s">
        <v>27239</v>
      </c>
      <c r="D12728" s="330" t="s">
        <v>27233</v>
      </c>
      <c r="E12728" s="330" t="s">
        <v>37248</v>
      </c>
      <c r="F12728" s="331">
        <v>0.21</v>
      </c>
      <c r="G12728" s="332">
        <v>537</v>
      </c>
      <c r="H12728" s="333">
        <v>650</v>
      </c>
    </row>
    <row r="12729" spans="1:8">
      <c r="A12729" s="317">
        <v>2610015073</v>
      </c>
      <c r="B12729" s="330" t="s">
        <v>57082</v>
      </c>
      <c r="C12729" s="330" t="s">
        <v>27240</v>
      </c>
      <c r="D12729" s="330" t="s">
        <v>27241</v>
      </c>
      <c r="E12729" s="330" t="s">
        <v>37248</v>
      </c>
      <c r="F12729" s="331">
        <v>0.21</v>
      </c>
      <c r="G12729" s="332">
        <v>1452</v>
      </c>
      <c r="H12729" s="333">
        <v>1757</v>
      </c>
    </row>
    <row r="12730" spans="1:8">
      <c r="A12730" s="317">
        <v>2610015074</v>
      </c>
      <c r="B12730" s="330" t="s">
        <v>57083</v>
      </c>
      <c r="C12730" s="330" t="s">
        <v>27242</v>
      </c>
      <c r="D12730" s="330" t="s">
        <v>27243</v>
      </c>
      <c r="E12730" s="330" t="s">
        <v>37248</v>
      </c>
      <c r="F12730" s="331">
        <v>0.21</v>
      </c>
      <c r="G12730" s="332">
        <v>8450</v>
      </c>
      <c r="H12730" s="333">
        <v>10225</v>
      </c>
    </row>
    <row r="12731" spans="1:8">
      <c r="A12731" s="317">
        <v>2610015075</v>
      </c>
      <c r="B12731" s="330" t="s">
        <v>57084</v>
      </c>
      <c r="C12731" s="330" t="s">
        <v>27244</v>
      </c>
      <c r="D12731" s="330" t="s">
        <v>27095</v>
      </c>
      <c r="E12731" s="330" t="s">
        <v>37248</v>
      </c>
      <c r="F12731" s="331">
        <v>0.21</v>
      </c>
      <c r="G12731" s="332">
        <v>107</v>
      </c>
      <c r="H12731" s="333">
        <v>130</v>
      </c>
    </row>
    <row r="12732" spans="1:8">
      <c r="A12732" s="317">
        <v>2610015076</v>
      </c>
      <c r="B12732" s="330" t="s">
        <v>57085</v>
      </c>
      <c r="C12732" s="330" t="s">
        <v>27245</v>
      </c>
      <c r="D12732" s="330" t="s">
        <v>27246</v>
      </c>
      <c r="E12732" s="330" t="s">
        <v>37248</v>
      </c>
      <c r="F12732" s="331">
        <v>0.21</v>
      </c>
      <c r="G12732" s="332">
        <v>194</v>
      </c>
      <c r="H12732" s="333">
        <v>235</v>
      </c>
    </row>
    <row r="12733" spans="1:8">
      <c r="A12733" s="317">
        <v>2610015077</v>
      </c>
      <c r="B12733" s="330" t="s">
        <v>57086</v>
      </c>
      <c r="C12733" s="330" t="s">
        <v>27247</v>
      </c>
      <c r="D12733" s="330" t="s">
        <v>27241</v>
      </c>
      <c r="E12733" s="330" t="s">
        <v>37248</v>
      </c>
      <c r="F12733" s="331">
        <v>0.21</v>
      </c>
      <c r="G12733" s="332">
        <v>702</v>
      </c>
      <c r="H12733" s="333">
        <v>850</v>
      </c>
    </row>
    <row r="12734" spans="1:8">
      <c r="A12734" s="317">
        <v>2610015078</v>
      </c>
      <c r="B12734" s="330" t="s">
        <v>57087</v>
      </c>
      <c r="C12734" s="330" t="s">
        <v>27248</v>
      </c>
      <c r="D12734" s="330" t="s">
        <v>26993</v>
      </c>
      <c r="E12734" s="330" t="s">
        <v>37248</v>
      </c>
      <c r="F12734" s="331">
        <v>0.21</v>
      </c>
      <c r="G12734" s="332">
        <v>194</v>
      </c>
      <c r="H12734" s="333">
        <v>235</v>
      </c>
    </row>
    <row r="12735" spans="1:8">
      <c r="A12735" s="317">
        <v>2610015080</v>
      </c>
      <c r="B12735" s="330" t="s">
        <v>57088</v>
      </c>
      <c r="C12735" s="330" t="s">
        <v>27249</v>
      </c>
      <c r="D12735" s="330" t="s">
        <v>26993</v>
      </c>
      <c r="E12735" s="330" t="s">
        <v>37248</v>
      </c>
      <c r="F12735" s="331">
        <v>0.21</v>
      </c>
      <c r="G12735" s="332">
        <v>216</v>
      </c>
      <c r="H12735" s="333">
        <v>262</v>
      </c>
    </row>
    <row r="12736" spans="1:8">
      <c r="A12736" s="317">
        <v>2610015091</v>
      </c>
      <c r="B12736" s="330" t="s">
        <v>57089</v>
      </c>
      <c r="C12736" s="330" t="s">
        <v>27250</v>
      </c>
      <c r="D12736" s="330" t="s">
        <v>27251</v>
      </c>
      <c r="E12736" s="330" t="s">
        <v>37248</v>
      </c>
      <c r="F12736" s="331">
        <v>0.21</v>
      </c>
      <c r="G12736" s="332">
        <v>9955</v>
      </c>
      <c r="H12736" s="333">
        <v>12046</v>
      </c>
    </row>
    <row r="12737" spans="1:8">
      <c r="A12737" s="317">
        <v>2610015093</v>
      </c>
      <c r="B12737" s="330" t="s">
        <v>57090</v>
      </c>
      <c r="C12737" s="330" t="s">
        <v>27252</v>
      </c>
      <c r="D12737" s="330" t="s">
        <v>27253</v>
      </c>
      <c r="E12737" s="330" t="s">
        <v>37248</v>
      </c>
      <c r="F12737" s="331">
        <v>0.21</v>
      </c>
      <c r="G12737" s="332">
        <v>7267</v>
      </c>
      <c r="H12737" s="333">
        <v>8794</v>
      </c>
    </row>
    <row r="12738" spans="1:8">
      <c r="A12738" s="317">
        <v>2610015236</v>
      </c>
      <c r="B12738" s="330" t="s">
        <v>57091</v>
      </c>
      <c r="C12738" s="330" t="s">
        <v>27254</v>
      </c>
      <c r="D12738" s="330" t="s">
        <v>27255</v>
      </c>
      <c r="E12738" s="330" t="s">
        <v>4634</v>
      </c>
      <c r="F12738" s="331">
        <v>0.21</v>
      </c>
      <c r="G12738" s="332">
        <v>455</v>
      </c>
      <c r="H12738" s="333">
        <v>551</v>
      </c>
    </row>
    <row r="12739" spans="1:8">
      <c r="A12739" s="317">
        <v>2610015241</v>
      </c>
      <c r="B12739" s="330" t="s">
        <v>57092</v>
      </c>
      <c r="C12739" s="330" t="s">
        <v>27256</v>
      </c>
      <c r="D12739" s="330" t="s">
        <v>27257</v>
      </c>
      <c r="E12739" s="330" t="s">
        <v>4634</v>
      </c>
      <c r="F12739" s="331">
        <v>0.21</v>
      </c>
      <c r="G12739" s="332">
        <v>372</v>
      </c>
      <c r="H12739" s="333">
        <v>451</v>
      </c>
    </row>
    <row r="12740" spans="1:8">
      <c r="A12740" s="317">
        <v>2610015256</v>
      </c>
      <c r="B12740" s="330" t="s">
        <v>57093</v>
      </c>
      <c r="C12740" s="330" t="s">
        <v>27258</v>
      </c>
      <c r="D12740" s="330" t="s">
        <v>27259</v>
      </c>
      <c r="E12740" s="330" t="s">
        <v>37248</v>
      </c>
      <c r="F12740" s="331">
        <v>0.21</v>
      </c>
      <c r="G12740" s="332">
        <v>25415</v>
      </c>
      <c r="H12740" s="333">
        <v>30753</v>
      </c>
    </row>
    <row r="12741" spans="1:8">
      <c r="A12741" s="317">
        <v>2610015357</v>
      </c>
      <c r="B12741" s="330" t="s">
        <v>57094</v>
      </c>
      <c r="C12741" s="330" t="s">
        <v>27260</v>
      </c>
      <c r="D12741" s="330" t="s">
        <v>27261</v>
      </c>
      <c r="E12741" s="330" t="s">
        <v>37248</v>
      </c>
      <c r="F12741" s="331">
        <v>0.21</v>
      </c>
      <c r="G12741" s="332">
        <v>814</v>
      </c>
      <c r="H12741" s="333">
        <v>985</v>
      </c>
    </row>
    <row r="12742" spans="1:8">
      <c r="A12742" s="317">
        <v>2610015359</v>
      </c>
      <c r="B12742" s="330" t="s">
        <v>57095</v>
      </c>
      <c r="C12742" s="330" t="s">
        <v>27262</v>
      </c>
      <c r="D12742" s="330" t="s">
        <v>26993</v>
      </c>
      <c r="E12742" s="330" t="s">
        <v>37248</v>
      </c>
      <c r="F12742" s="331">
        <v>0.21</v>
      </c>
      <c r="G12742" s="332">
        <v>216</v>
      </c>
      <c r="H12742" s="333">
        <v>262</v>
      </c>
    </row>
    <row r="12743" spans="1:8">
      <c r="A12743" s="317">
        <v>2610015446</v>
      </c>
      <c r="B12743" s="330" t="s">
        <v>57096</v>
      </c>
      <c r="C12743" s="330" t="s">
        <v>27263</v>
      </c>
      <c r="D12743" s="330" t="s">
        <v>5392</v>
      </c>
      <c r="E12743" s="330" t="s">
        <v>37248</v>
      </c>
      <c r="F12743" s="331">
        <v>0.21</v>
      </c>
      <c r="G12743" s="332">
        <v>37644</v>
      </c>
      <c r="H12743" s="333">
        <v>45550</v>
      </c>
    </row>
    <row r="12744" spans="1:8">
      <c r="A12744" s="317">
        <v>2610015507</v>
      </c>
      <c r="B12744" s="330" t="s">
        <v>57097</v>
      </c>
      <c r="C12744" s="330" t="s">
        <v>27264</v>
      </c>
      <c r="D12744" s="330" t="s">
        <v>27265</v>
      </c>
      <c r="E12744" s="330" t="s">
        <v>37248</v>
      </c>
      <c r="F12744" s="331">
        <v>0.21</v>
      </c>
      <c r="G12744" s="332">
        <v>24605</v>
      </c>
      <c r="H12744" s="333">
        <v>29773</v>
      </c>
    </row>
    <row r="12745" spans="1:8">
      <c r="A12745" s="317">
        <v>2610015629</v>
      </c>
      <c r="B12745" s="330" t="s">
        <v>57098</v>
      </c>
      <c r="C12745" s="330" t="s">
        <v>27266</v>
      </c>
      <c r="D12745" s="330" t="s">
        <v>27267</v>
      </c>
      <c r="E12745" s="330" t="s">
        <v>4634</v>
      </c>
      <c r="F12745" s="331">
        <v>0.21</v>
      </c>
      <c r="G12745" s="332">
        <v>432</v>
      </c>
      <c r="H12745" s="333">
        <v>523</v>
      </c>
    </row>
    <row r="12746" spans="1:8">
      <c r="A12746" s="317">
        <v>2610015716</v>
      </c>
      <c r="B12746" s="330" t="s">
        <v>57099</v>
      </c>
      <c r="C12746" s="330" t="s">
        <v>27268</v>
      </c>
      <c r="D12746" s="330" t="s">
        <v>5175</v>
      </c>
      <c r="E12746" s="330" t="s">
        <v>37248</v>
      </c>
      <c r="F12746" s="331">
        <v>0.21</v>
      </c>
      <c r="G12746" s="332">
        <v>32127</v>
      </c>
      <c r="H12746" s="333">
        <v>38874</v>
      </c>
    </row>
    <row r="12747" spans="1:8">
      <c r="A12747" s="317">
        <v>2610015730</v>
      </c>
      <c r="B12747" s="330" t="s">
        <v>57100</v>
      </c>
      <c r="C12747" s="330" t="s">
        <v>27269</v>
      </c>
      <c r="D12747" s="330" t="s">
        <v>27270</v>
      </c>
      <c r="E12747" s="330" t="s">
        <v>4634</v>
      </c>
      <c r="F12747" s="331">
        <v>0.21</v>
      </c>
      <c r="G12747" s="332">
        <v>274</v>
      </c>
      <c r="H12747" s="333">
        <v>332</v>
      </c>
    </row>
    <row r="12748" spans="1:8">
      <c r="A12748" s="317">
        <v>2610015844</v>
      </c>
      <c r="B12748" s="330" t="s">
        <v>57101</v>
      </c>
      <c r="C12748" s="330" t="s">
        <v>27271</v>
      </c>
      <c r="D12748" s="330" t="s">
        <v>27272</v>
      </c>
      <c r="E12748" s="330" t="s">
        <v>37248</v>
      </c>
      <c r="F12748" s="331">
        <v>0.21</v>
      </c>
      <c r="G12748" s="332">
        <v>11599</v>
      </c>
      <c r="H12748" s="333">
        <v>14035</v>
      </c>
    </row>
    <row r="12749" spans="1:8">
      <c r="A12749" s="317">
        <v>2610015848</v>
      </c>
      <c r="B12749" s="330" t="s">
        <v>57102</v>
      </c>
      <c r="C12749" s="330" t="s">
        <v>27273</v>
      </c>
      <c r="D12749" s="330" t="s">
        <v>9496</v>
      </c>
      <c r="E12749" s="330" t="s">
        <v>4819</v>
      </c>
      <c r="F12749" s="331">
        <v>0.21</v>
      </c>
      <c r="G12749" s="332">
        <v>2128</v>
      </c>
      <c r="H12749" s="333">
        <v>2575</v>
      </c>
    </row>
    <row r="12750" spans="1:8">
      <c r="A12750" s="317">
        <v>2610015849</v>
      </c>
      <c r="B12750" s="330" t="s">
        <v>57103</v>
      </c>
      <c r="C12750" s="330" t="s">
        <v>27274</v>
      </c>
      <c r="D12750" s="330" t="s">
        <v>12426</v>
      </c>
      <c r="E12750" s="330" t="s">
        <v>37248</v>
      </c>
      <c r="F12750" s="331">
        <v>0.21</v>
      </c>
      <c r="G12750" s="332">
        <v>1641</v>
      </c>
      <c r="H12750" s="333">
        <v>1986</v>
      </c>
    </row>
    <row r="12751" spans="1:8">
      <c r="A12751" s="317">
        <v>2610015850</v>
      </c>
      <c r="B12751" s="330" t="s">
        <v>57104</v>
      </c>
      <c r="C12751" s="330" t="s">
        <v>27275</v>
      </c>
      <c r="D12751" s="330" t="s">
        <v>27276</v>
      </c>
      <c r="E12751" s="330" t="s">
        <v>37248</v>
      </c>
      <c r="F12751" s="331">
        <v>0.21</v>
      </c>
      <c r="G12751" s="332">
        <v>497</v>
      </c>
      <c r="H12751" s="333">
        <v>602</v>
      </c>
    </row>
    <row r="12752" spans="1:8">
      <c r="A12752" s="317">
        <v>2610015923</v>
      </c>
      <c r="B12752" s="330" t="s">
        <v>57105</v>
      </c>
      <c r="C12752" s="330" t="s">
        <v>27277</v>
      </c>
      <c r="D12752" s="330" t="s">
        <v>27278</v>
      </c>
      <c r="E12752" s="330" t="s">
        <v>4634</v>
      </c>
      <c r="F12752" s="331">
        <v>0.21</v>
      </c>
      <c r="G12752" s="332">
        <v>972</v>
      </c>
      <c r="H12752" s="333">
        <v>1177</v>
      </c>
    </row>
    <row r="12753" spans="1:8">
      <c r="A12753" s="317">
        <v>2610015926</v>
      </c>
      <c r="B12753" s="330" t="s">
        <v>57106</v>
      </c>
      <c r="C12753" s="330" t="s">
        <v>27279</v>
      </c>
      <c r="D12753" s="330" t="s">
        <v>27280</v>
      </c>
      <c r="E12753" s="330" t="s">
        <v>37248</v>
      </c>
      <c r="F12753" s="331">
        <v>0.21</v>
      </c>
      <c r="G12753" s="332">
        <v>70458</v>
      </c>
      <c r="H12753" s="333">
        <v>85255</v>
      </c>
    </row>
    <row r="12754" spans="1:8">
      <c r="A12754" s="317">
        <v>2610016070</v>
      </c>
      <c r="B12754" s="330" t="s">
        <v>57107</v>
      </c>
      <c r="C12754" s="330" t="s">
        <v>27281</v>
      </c>
      <c r="D12754" s="330" t="s">
        <v>27282</v>
      </c>
      <c r="E12754" s="330" t="s">
        <v>4634</v>
      </c>
      <c r="F12754" s="331">
        <v>0.21</v>
      </c>
      <c r="G12754" s="332">
        <v>564</v>
      </c>
      <c r="H12754" s="333">
        <v>683</v>
      </c>
    </row>
    <row r="12755" spans="1:8">
      <c r="A12755" s="317">
        <v>2610016072</v>
      </c>
      <c r="B12755" s="330" t="s">
        <v>57108</v>
      </c>
      <c r="C12755" s="330" t="s">
        <v>27283</v>
      </c>
      <c r="D12755" s="330" t="s">
        <v>7818</v>
      </c>
      <c r="E12755" s="330" t="s">
        <v>4634</v>
      </c>
      <c r="F12755" s="331">
        <v>0.21</v>
      </c>
      <c r="G12755" s="332">
        <v>274</v>
      </c>
      <c r="H12755" s="333">
        <v>332</v>
      </c>
    </row>
    <row r="12756" spans="1:8">
      <c r="A12756" s="317">
        <v>2610016557</v>
      </c>
      <c r="B12756" s="330" t="s">
        <v>57109</v>
      </c>
      <c r="C12756" s="330" t="s">
        <v>27284</v>
      </c>
      <c r="D12756" s="330" t="s">
        <v>27095</v>
      </c>
      <c r="E12756" s="330" t="s">
        <v>37248</v>
      </c>
      <c r="F12756" s="331">
        <v>0.21</v>
      </c>
      <c r="G12756" s="332">
        <v>107</v>
      </c>
      <c r="H12756" s="333">
        <v>130</v>
      </c>
    </row>
    <row r="12757" spans="1:8">
      <c r="A12757" s="317">
        <v>2610016558</v>
      </c>
      <c r="B12757" s="330" t="s">
        <v>57110</v>
      </c>
      <c r="C12757" s="330" t="s">
        <v>27285</v>
      </c>
      <c r="D12757" s="330" t="s">
        <v>27167</v>
      </c>
      <c r="E12757" s="330" t="s">
        <v>37248</v>
      </c>
      <c r="F12757" s="331">
        <v>0.21</v>
      </c>
      <c r="G12757" s="332">
        <v>216</v>
      </c>
      <c r="H12757" s="333">
        <v>262</v>
      </c>
    </row>
    <row r="12758" spans="1:8">
      <c r="A12758" s="317">
        <v>2610016559</v>
      </c>
      <c r="B12758" s="330" t="s">
        <v>57111</v>
      </c>
      <c r="C12758" s="330" t="s">
        <v>27286</v>
      </c>
      <c r="D12758" s="330" t="s">
        <v>26993</v>
      </c>
      <c r="E12758" s="330" t="s">
        <v>37248</v>
      </c>
      <c r="F12758" s="331">
        <v>0.21</v>
      </c>
      <c r="G12758" s="332">
        <v>361</v>
      </c>
      <c r="H12758" s="333">
        <v>437</v>
      </c>
    </row>
    <row r="12759" spans="1:8">
      <c r="A12759" s="317">
        <v>2610016560</v>
      </c>
      <c r="B12759" s="330" t="s">
        <v>57112</v>
      </c>
      <c r="C12759" s="330" t="s">
        <v>27287</v>
      </c>
      <c r="D12759" s="330" t="s">
        <v>27288</v>
      </c>
      <c r="E12759" s="330" t="s">
        <v>37248</v>
      </c>
      <c r="F12759" s="331">
        <v>0.21</v>
      </c>
      <c r="G12759" s="332">
        <v>165</v>
      </c>
      <c r="H12759" s="333">
        <v>200</v>
      </c>
    </row>
    <row r="12760" spans="1:8">
      <c r="A12760" s="317">
        <v>2610016561</v>
      </c>
      <c r="B12760" s="330" t="s">
        <v>57113</v>
      </c>
      <c r="C12760" s="330" t="s">
        <v>27289</v>
      </c>
      <c r="D12760" s="330" t="s">
        <v>26993</v>
      </c>
      <c r="E12760" s="330" t="s">
        <v>37248</v>
      </c>
      <c r="F12760" s="331">
        <v>0.21</v>
      </c>
      <c r="G12760" s="332">
        <v>174</v>
      </c>
      <c r="H12760" s="333">
        <v>211</v>
      </c>
    </row>
    <row r="12761" spans="1:8">
      <c r="A12761" s="317">
        <v>2610016562</v>
      </c>
      <c r="B12761" s="330" t="s">
        <v>57114</v>
      </c>
      <c r="C12761" s="330" t="s">
        <v>27290</v>
      </c>
      <c r="D12761" s="330" t="s">
        <v>27291</v>
      </c>
      <c r="E12761" s="330" t="s">
        <v>37248</v>
      </c>
      <c r="F12761" s="331">
        <v>0.21</v>
      </c>
      <c r="G12761" s="332">
        <v>194</v>
      </c>
      <c r="H12761" s="333">
        <v>235</v>
      </c>
    </row>
    <row r="12762" spans="1:8">
      <c r="A12762" s="317">
        <v>2610016563</v>
      </c>
      <c r="B12762" s="330" t="s">
        <v>57115</v>
      </c>
      <c r="C12762" s="330" t="s">
        <v>27292</v>
      </c>
      <c r="D12762" s="330" t="s">
        <v>27093</v>
      </c>
      <c r="E12762" s="330" t="s">
        <v>37248</v>
      </c>
      <c r="F12762" s="331">
        <v>0.21</v>
      </c>
      <c r="G12762" s="332">
        <v>194</v>
      </c>
      <c r="H12762" s="333">
        <v>235</v>
      </c>
    </row>
    <row r="12763" spans="1:8">
      <c r="A12763" s="317">
        <v>2610016565</v>
      </c>
      <c r="B12763" s="330" t="s">
        <v>57116</v>
      </c>
      <c r="C12763" s="330" t="s">
        <v>27293</v>
      </c>
      <c r="D12763" s="330" t="s">
        <v>27093</v>
      </c>
      <c r="E12763" s="330" t="s">
        <v>37248</v>
      </c>
      <c r="F12763" s="331">
        <v>0.21</v>
      </c>
      <c r="G12763" s="332">
        <v>194</v>
      </c>
      <c r="H12763" s="333">
        <v>235</v>
      </c>
    </row>
    <row r="12764" spans="1:8">
      <c r="A12764" s="317">
        <v>2610016566</v>
      </c>
      <c r="B12764" s="330" t="s">
        <v>57117</v>
      </c>
      <c r="C12764" s="330" t="s">
        <v>27294</v>
      </c>
      <c r="D12764" s="330" t="s">
        <v>27095</v>
      </c>
      <c r="E12764" s="330" t="s">
        <v>37248</v>
      </c>
      <c r="F12764" s="331">
        <v>0.21</v>
      </c>
      <c r="G12764" s="332">
        <v>174</v>
      </c>
      <c r="H12764" s="333">
        <v>211</v>
      </c>
    </row>
    <row r="12765" spans="1:8">
      <c r="A12765" s="317">
        <v>2610016567</v>
      </c>
      <c r="B12765" s="330" t="s">
        <v>57118</v>
      </c>
      <c r="C12765" s="330" t="s">
        <v>27295</v>
      </c>
      <c r="D12765" s="330" t="s">
        <v>27296</v>
      </c>
      <c r="E12765" s="330" t="s">
        <v>37248</v>
      </c>
      <c r="F12765" s="331">
        <v>0.21</v>
      </c>
      <c r="G12765" s="332">
        <v>305</v>
      </c>
      <c r="H12765" s="333">
        <v>370</v>
      </c>
    </row>
    <row r="12766" spans="1:8">
      <c r="A12766" s="317">
        <v>2610016801</v>
      </c>
      <c r="B12766" s="330" t="s">
        <v>57119</v>
      </c>
      <c r="C12766" s="330" t="s">
        <v>27297</v>
      </c>
      <c r="D12766" s="330" t="s">
        <v>27298</v>
      </c>
      <c r="E12766" s="330" t="s">
        <v>37248</v>
      </c>
      <c r="F12766" s="331">
        <v>0.21</v>
      </c>
      <c r="G12766" s="332">
        <v>2206</v>
      </c>
      <c r="H12766" s="333">
        <v>2670</v>
      </c>
    </row>
    <row r="12767" spans="1:8">
      <c r="A12767" s="317">
        <v>2610016810</v>
      </c>
      <c r="B12767" s="330" t="s">
        <v>57120</v>
      </c>
      <c r="C12767" s="330" t="s">
        <v>27299</v>
      </c>
      <c r="D12767" s="330" t="s">
        <v>27300</v>
      </c>
      <c r="E12767" s="330" t="s">
        <v>37248</v>
      </c>
      <c r="F12767" s="331">
        <v>0.21</v>
      </c>
      <c r="G12767" s="332">
        <v>45808</v>
      </c>
      <c r="H12767" s="333">
        <v>55428</v>
      </c>
    </row>
    <row r="12768" spans="1:8">
      <c r="A12768" s="317">
        <v>2610016828</v>
      </c>
      <c r="B12768" s="330" t="s">
        <v>57121</v>
      </c>
      <c r="C12768" s="330" t="s">
        <v>27301</v>
      </c>
      <c r="D12768" s="330" t="s">
        <v>27302</v>
      </c>
      <c r="E12768" s="330" t="s">
        <v>4634</v>
      </c>
      <c r="F12768" s="331">
        <v>0.21</v>
      </c>
      <c r="G12768" s="332">
        <v>236</v>
      </c>
      <c r="H12768" s="333">
        <v>286</v>
      </c>
    </row>
    <row r="12769" spans="1:8">
      <c r="A12769" s="317">
        <v>2610016996</v>
      </c>
      <c r="B12769" s="330" t="s">
        <v>57122</v>
      </c>
      <c r="C12769" s="330" t="s">
        <v>27303</v>
      </c>
      <c r="D12769" s="330" t="s">
        <v>27304</v>
      </c>
      <c r="E12769" s="330" t="s">
        <v>37248</v>
      </c>
      <c r="F12769" s="331">
        <v>0.21</v>
      </c>
      <c r="G12769" s="332">
        <v>39966</v>
      </c>
      <c r="H12769" s="333">
        <v>48359</v>
      </c>
    </row>
    <row r="12770" spans="1:8">
      <c r="A12770" s="317">
        <v>2610016997</v>
      </c>
      <c r="B12770" s="330" t="s">
        <v>57123</v>
      </c>
      <c r="C12770" s="330" t="s">
        <v>27305</v>
      </c>
      <c r="D12770" s="330" t="s">
        <v>10780</v>
      </c>
      <c r="E12770" s="330" t="s">
        <v>37248</v>
      </c>
      <c r="F12770" s="331">
        <v>0.21</v>
      </c>
      <c r="G12770" s="332">
        <v>40756</v>
      </c>
      <c r="H12770" s="333">
        <v>49315</v>
      </c>
    </row>
    <row r="12771" spans="1:8">
      <c r="A12771" s="317">
        <v>2610017000</v>
      </c>
      <c r="B12771" s="330" t="s">
        <v>57124</v>
      </c>
      <c r="C12771" s="330" t="s">
        <v>27306</v>
      </c>
      <c r="D12771" s="330" t="s">
        <v>27307</v>
      </c>
      <c r="E12771" s="330" t="s">
        <v>4634</v>
      </c>
      <c r="F12771" s="331">
        <v>0.21</v>
      </c>
      <c r="G12771" s="332">
        <v>3631</v>
      </c>
      <c r="H12771" s="333">
        <v>4394</v>
      </c>
    </row>
    <row r="12772" spans="1:8">
      <c r="A12772" s="317">
        <v>2610017001</v>
      </c>
      <c r="B12772" s="330" t="s">
        <v>57125</v>
      </c>
      <c r="C12772" s="330" t="s">
        <v>27308</v>
      </c>
      <c r="D12772" s="330" t="s">
        <v>27309</v>
      </c>
      <c r="E12772" s="330" t="s">
        <v>37248</v>
      </c>
      <c r="F12772" s="331">
        <v>0.21</v>
      </c>
      <c r="G12772" s="332">
        <v>1155</v>
      </c>
      <c r="H12772" s="333">
        <v>1398</v>
      </c>
    </row>
    <row r="12773" spans="1:8">
      <c r="A12773" s="317">
        <v>2610017002</v>
      </c>
      <c r="B12773" s="330" t="s">
        <v>57126</v>
      </c>
      <c r="C12773" s="330" t="s">
        <v>27310</v>
      </c>
      <c r="D12773" s="330" t="s">
        <v>26993</v>
      </c>
      <c r="E12773" s="330" t="s">
        <v>37248</v>
      </c>
      <c r="F12773" s="331">
        <v>0.21</v>
      </c>
      <c r="G12773" s="332">
        <v>174</v>
      </c>
      <c r="H12773" s="333">
        <v>211</v>
      </c>
    </row>
    <row r="12774" spans="1:8">
      <c r="A12774" s="317">
        <v>2610017003</v>
      </c>
      <c r="B12774" s="330" t="s">
        <v>57127</v>
      </c>
      <c r="C12774" s="330" t="s">
        <v>27311</v>
      </c>
      <c r="D12774" s="330" t="s">
        <v>27183</v>
      </c>
      <c r="E12774" s="330" t="s">
        <v>37248</v>
      </c>
      <c r="F12774" s="331">
        <v>0.21</v>
      </c>
      <c r="G12774" s="332">
        <v>292</v>
      </c>
      <c r="H12774" s="333">
        <v>354</v>
      </c>
    </row>
    <row r="12775" spans="1:8">
      <c r="A12775" s="317">
        <v>2610017004</v>
      </c>
      <c r="B12775" s="330" t="s">
        <v>57128</v>
      </c>
      <c r="C12775" s="330" t="s">
        <v>27312</v>
      </c>
      <c r="D12775" s="330" t="s">
        <v>27291</v>
      </c>
      <c r="E12775" s="330" t="s">
        <v>37248</v>
      </c>
      <c r="F12775" s="331">
        <v>0.21</v>
      </c>
      <c r="G12775" s="332">
        <v>1282</v>
      </c>
      <c r="H12775" s="333">
        <v>1552</v>
      </c>
    </row>
    <row r="12776" spans="1:8">
      <c r="A12776" s="317">
        <v>2610017005</v>
      </c>
      <c r="B12776" s="330" t="s">
        <v>57129</v>
      </c>
      <c r="C12776" s="330" t="s">
        <v>27313</v>
      </c>
      <c r="D12776" s="330" t="s">
        <v>27314</v>
      </c>
      <c r="E12776" s="330" t="s">
        <v>37248</v>
      </c>
      <c r="F12776" s="331">
        <v>0.21</v>
      </c>
      <c r="G12776" s="332">
        <v>8789</v>
      </c>
      <c r="H12776" s="333">
        <v>10635</v>
      </c>
    </row>
    <row r="12777" spans="1:8">
      <c r="A12777" s="317">
        <v>2610017007</v>
      </c>
      <c r="B12777" s="330" t="s">
        <v>57130</v>
      </c>
      <c r="C12777" s="330" t="s">
        <v>27315</v>
      </c>
      <c r="D12777" s="330" t="s">
        <v>27204</v>
      </c>
      <c r="E12777" s="330" t="s">
        <v>37248</v>
      </c>
      <c r="F12777" s="331">
        <v>0.21</v>
      </c>
      <c r="G12777" s="332">
        <v>479</v>
      </c>
      <c r="H12777" s="333">
        <v>580</v>
      </c>
    </row>
    <row r="12778" spans="1:8">
      <c r="A12778" s="317">
        <v>2610017008</v>
      </c>
      <c r="B12778" s="330" t="s">
        <v>57131</v>
      </c>
      <c r="C12778" s="330" t="s">
        <v>27316</v>
      </c>
      <c r="D12778" s="330" t="s">
        <v>27317</v>
      </c>
      <c r="E12778" s="330" t="s">
        <v>37248</v>
      </c>
      <c r="F12778" s="331">
        <v>0.21</v>
      </c>
      <c r="G12778" s="332">
        <v>702</v>
      </c>
      <c r="H12778" s="333">
        <v>850</v>
      </c>
    </row>
    <row r="12779" spans="1:8">
      <c r="A12779" s="317">
        <v>2610017009</v>
      </c>
      <c r="B12779" s="330" t="s">
        <v>57132</v>
      </c>
      <c r="C12779" s="330" t="s">
        <v>27318</v>
      </c>
      <c r="D12779" s="330" t="s">
        <v>27319</v>
      </c>
      <c r="E12779" s="330" t="s">
        <v>37248</v>
      </c>
      <c r="F12779" s="331">
        <v>0.21</v>
      </c>
      <c r="G12779" s="332">
        <v>537</v>
      </c>
      <c r="H12779" s="333">
        <v>650</v>
      </c>
    </row>
    <row r="12780" spans="1:8">
      <c r="A12780" s="317">
        <v>2610017013</v>
      </c>
      <c r="B12780" s="330" t="s">
        <v>57133</v>
      </c>
      <c r="C12780" s="330" t="s">
        <v>27320</v>
      </c>
      <c r="D12780" s="330" t="s">
        <v>27201</v>
      </c>
      <c r="E12780" s="330" t="s">
        <v>37248</v>
      </c>
      <c r="F12780" s="331">
        <v>0.21</v>
      </c>
      <c r="G12780" s="332">
        <v>6058</v>
      </c>
      <c r="H12780" s="333">
        <v>7331</v>
      </c>
    </row>
    <row r="12781" spans="1:8">
      <c r="A12781" s="317">
        <v>2610017014</v>
      </c>
      <c r="B12781" s="330" t="s">
        <v>57134</v>
      </c>
      <c r="C12781" s="330" t="s">
        <v>27321</v>
      </c>
      <c r="D12781" s="330" t="s">
        <v>27322</v>
      </c>
      <c r="E12781" s="330" t="s">
        <v>4634</v>
      </c>
      <c r="F12781" s="331">
        <v>0.21</v>
      </c>
      <c r="G12781" s="332">
        <v>6219</v>
      </c>
      <c r="H12781" s="333">
        <v>7525</v>
      </c>
    </row>
    <row r="12782" spans="1:8">
      <c r="A12782" s="317">
        <v>2610017015</v>
      </c>
      <c r="B12782" s="330" t="s">
        <v>57135</v>
      </c>
      <c r="C12782" s="330" t="s">
        <v>27323</v>
      </c>
      <c r="D12782" s="330" t="s">
        <v>27324</v>
      </c>
      <c r="E12782" s="330" t="s">
        <v>37248</v>
      </c>
      <c r="F12782" s="331">
        <v>0.21</v>
      </c>
      <c r="G12782" s="332">
        <v>2215</v>
      </c>
      <c r="H12782" s="333">
        <v>2681</v>
      </c>
    </row>
    <row r="12783" spans="1:8">
      <c r="A12783" s="317">
        <v>2610017016</v>
      </c>
      <c r="B12783" s="330" t="s">
        <v>57136</v>
      </c>
      <c r="C12783" s="330" t="s">
        <v>27325</v>
      </c>
      <c r="D12783" s="330" t="s">
        <v>27326</v>
      </c>
      <c r="E12783" s="330" t="s">
        <v>4634</v>
      </c>
      <c r="F12783" s="331">
        <v>0.21</v>
      </c>
      <c r="G12783" s="332">
        <v>372</v>
      </c>
      <c r="H12783" s="333">
        <v>451</v>
      </c>
    </row>
    <row r="12784" spans="1:8">
      <c r="A12784" s="317">
        <v>2610017017</v>
      </c>
      <c r="B12784" s="330" t="s">
        <v>57137</v>
      </c>
      <c r="C12784" s="330" t="s">
        <v>27327</v>
      </c>
      <c r="D12784" s="330" t="s">
        <v>27328</v>
      </c>
      <c r="E12784" s="330" t="s">
        <v>37248</v>
      </c>
      <c r="F12784" s="331">
        <v>0.21</v>
      </c>
      <c r="G12784" s="332">
        <v>53556</v>
      </c>
      <c r="H12784" s="333">
        <v>64803</v>
      </c>
    </row>
    <row r="12785" spans="1:8">
      <c r="A12785" s="317">
        <v>2610017018</v>
      </c>
      <c r="B12785" s="330" t="s">
        <v>57138</v>
      </c>
      <c r="C12785" s="330" t="s">
        <v>27329</v>
      </c>
      <c r="D12785" s="330" t="s">
        <v>27209</v>
      </c>
      <c r="E12785" s="330" t="s">
        <v>37248</v>
      </c>
      <c r="F12785" s="331">
        <v>0.21</v>
      </c>
      <c r="G12785" s="332">
        <v>702</v>
      </c>
      <c r="H12785" s="333">
        <v>850</v>
      </c>
    </row>
    <row r="12786" spans="1:8">
      <c r="A12786" s="317">
        <v>2610017019</v>
      </c>
      <c r="B12786" s="330" t="s">
        <v>57139</v>
      </c>
      <c r="C12786" s="330" t="s">
        <v>27330</v>
      </c>
      <c r="D12786" s="330" t="s">
        <v>27331</v>
      </c>
      <c r="E12786" s="330" t="s">
        <v>37248</v>
      </c>
      <c r="F12786" s="331">
        <v>0.21</v>
      </c>
      <c r="G12786" s="332">
        <v>267259</v>
      </c>
      <c r="H12786" s="333">
        <v>323384</v>
      </c>
    </row>
    <row r="12787" spans="1:8">
      <c r="A12787" s="317">
        <v>2610017020</v>
      </c>
      <c r="B12787" s="330" t="s">
        <v>57140</v>
      </c>
      <c r="C12787" s="330" t="s">
        <v>27332</v>
      </c>
      <c r="D12787" s="330" t="s">
        <v>27333</v>
      </c>
      <c r="E12787" s="330" t="s">
        <v>37248</v>
      </c>
      <c r="F12787" s="331">
        <v>0.21</v>
      </c>
      <c r="G12787" s="332">
        <v>5273</v>
      </c>
      <c r="H12787" s="333">
        <v>6381</v>
      </c>
    </row>
    <row r="12788" spans="1:8">
      <c r="A12788" s="317">
        <v>2610017021</v>
      </c>
      <c r="B12788" s="330" t="s">
        <v>57141</v>
      </c>
      <c r="C12788" s="330" t="s">
        <v>27334</v>
      </c>
      <c r="D12788" s="330" t="s">
        <v>27335</v>
      </c>
      <c r="E12788" s="330" t="s">
        <v>37248</v>
      </c>
      <c r="F12788" s="331">
        <v>0.21</v>
      </c>
      <c r="G12788" s="332">
        <v>29169</v>
      </c>
      <c r="H12788" s="333">
        <v>35295</v>
      </c>
    </row>
    <row r="12789" spans="1:8">
      <c r="A12789" s="317">
        <v>2610017022</v>
      </c>
      <c r="B12789" s="330" t="s">
        <v>57142</v>
      </c>
      <c r="C12789" s="330" t="s">
        <v>27336</v>
      </c>
      <c r="D12789" s="330" t="s">
        <v>27337</v>
      </c>
      <c r="E12789" s="330" t="s">
        <v>37248</v>
      </c>
      <c r="F12789" s="331">
        <v>0.21</v>
      </c>
      <c r="G12789" s="332">
        <v>194</v>
      </c>
      <c r="H12789" s="333">
        <v>235</v>
      </c>
    </row>
    <row r="12790" spans="1:8">
      <c r="A12790" s="317">
        <v>2610017023</v>
      </c>
      <c r="B12790" s="330" t="s">
        <v>57143</v>
      </c>
      <c r="C12790" s="330" t="s">
        <v>27338</v>
      </c>
      <c r="D12790" s="330" t="s">
        <v>27333</v>
      </c>
      <c r="E12790" s="330" t="s">
        <v>37248</v>
      </c>
      <c r="F12790" s="331">
        <v>0.21</v>
      </c>
      <c r="G12790" s="332">
        <v>13313</v>
      </c>
      <c r="H12790" s="333">
        <v>16109</v>
      </c>
    </row>
    <row r="12791" spans="1:8">
      <c r="A12791" s="317">
        <v>2610017024</v>
      </c>
      <c r="B12791" s="330" t="s">
        <v>57144</v>
      </c>
      <c r="C12791" s="330" t="s">
        <v>27339</v>
      </c>
      <c r="D12791" s="330" t="s">
        <v>27189</v>
      </c>
      <c r="E12791" s="330" t="s">
        <v>37248</v>
      </c>
      <c r="F12791" s="331">
        <v>0.21</v>
      </c>
      <c r="G12791" s="332">
        <v>15923</v>
      </c>
      <c r="H12791" s="333">
        <v>19267</v>
      </c>
    </row>
    <row r="12792" spans="1:8">
      <c r="A12792" s="317">
        <v>2610017025</v>
      </c>
      <c r="B12792" s="330" t="s">
        <v>57145</v>
      </c>
      <c r="C12792" s="330" t="s">
        <v>27340</v>
      </c>
      <c r="D12792" s="330" t="s">
        <v>27291</v>
      </c>
      <c r="E12792" s="330" t="s">
        <v>37248</v>
      </c>
      <c r="F12792" s="331">
        <v>0.21</v>
      </c>
      <c r="G12792" s="332">
        <v>2417</v>
      </c>
      <c r="H12792" s="333">
        <v>2925</v>
      </c>
    </row>
    <row r="12793" spans="1:8">
      <c r="A12793" s="317">
        <v>2610017026</v>
      </c>
      <c r="B12793" s="330" t="s">
        <v>57146</v>
      </c>
      <c r="C12793" s="330" t="s">
        <v>27341</v>
      </c>
      <c r="D12793" s="330" t="s">
        <v>27291</v>
      </c>
      <c r="E12793" s="330" t="s">
        <v>37248</v>
      </c>
      <c r="F12793" s="331">
        <v>0.21</v>
      </c>
      <c r="G12793" s="332">
        <v>1427</v>
      </c>
      <c r="H12793" s="333">
        <v>1727</v>
      </c>
    </row>
    <row r="12794" spans="1:8">
      <c r="A12794" s="317">
        <v>2610017027</v>
      </c>
      <c r="B12794" s="330" t="s">
        <v>57147</v>
      </c>
      <c r="C12794" s="330" t="s">
        <v>27342</v>
      </c>
      <c r="D12794" s="330" t="s">
        <v>27343</v>
      </c>
      <c r="E12794" s="330" t="s">
        <v>37248</v>
      </c>
      <c r="F12794" s="331">
        <v>0.21</v>
      </c>
      <c r="G12794" s="332">
        <v>1427</v>
      </c>
      <c r="H12794" s="333">
        <v>1727</v>
      </c>
    </row>
    <row r="12795" spans="1:8">
      <c r="A12795" s="317">
        <v>2610017028</v>
      </c>
      <c r="B12795" s="330" t="s">
        <v>57148</v>
      </c>
      <c r="C12795" s="330" t="s">
        <v>27344</v>
      </c>
      <c r="D12795" s="330" t="s">
        <v>27317</v>
      </c>
      <c r="E12795" s="330" t="s">
        <v>37248</v>
      </c>
      <c r="F12795" s="331">
        <v>0.21</v>
      </c>
      <c r="G12795" s="332">
        <v>194</v>
      </c>
      <c r="H12795" s="333">
        <v>235</v>
      </c>
    </row>
    <row r="12796" spans="1:8">
      <c r="A12796" s="317">
        <v>2610017029</v>
      </c>
      <c r="B12796" s="330" t="s">
        <v>57149</v>
      </c>
      <c r="C12796" s="330" t="s">
        <v>27345</v>
      </c>
      <c r="D12796" s="330" t="s">
        <v>26993</v>
      </c>
      <c r="E12796" s="330" t="s">
        <v>37248</v>
      </c>
      <c r="F12796" s="331">
        <v>0.21</v>
      </c>
      <c r="G12796" s="332">
        <v>292</v>
      </c>
      <c r="H12796" s="333">
        <v>354</v>
      </c>
    </row>
    <row r="12797" spans="1:8">
      <c r="A12797" s="317">
        <v>2610017030</v>
      </c>
      <c r="B12797" s="330" t="s">
        <v>57150</v>
      </c>
      <c r="C12797" s="330" t="s">
        <v>27346</v>
      </c>
      <c r="D12797" s="330" t="s">
        <v>27347</v>
      </c>
      <c r="E12797" s="330" t="s">
        <v>37248</v>
      </c>
      <c r="F12797" s="331">
        <v>0.21</v>
      </c>
      <c r="G12797" s="332">
        <v>194</v>
      </c>
      <c r="H12797" s="333">
        <v>235</v>
      </c>
    </row>
    <row r="12798" spans="1:8">
      <c r="A12798" s="317">
        <v>2610017031</v>
      </c>
      <c r="B12798" s="330" t="s">
        <v>57151</v>
      </c>
      <c r="C12798" s="330" t="s">
        <v>27348</v>
      </c>
      <c r="D12798" s="330" t="s">
        <v>26993</v>
      </c>
      <c r="E12798" s="330" t="s">
        <v>37248</v>
      </c>
      <c r="F12798" s="331">
        <v>0.21</v>
      </c>
      <c r="G12798" s="332">
        <v>107</v>
      </c>
      <c r="H12798" s="333">
        <v>130</v>
      </c>
    </row>
    <row r="12799" spans="1:8">
      <c r="A12799" s="317">
        <v>2610017032</v>
      </c>
      <c r="B12799" s="330" t="s">
        <v>57152</v>
      </c>
      <c r="C12799" s="330" t="s">
        <v>27349</v>
      </c>
      <c r="D12799" s="330" t="s">
        <v>27189</v>
      </c>
      <c r="E12799" s="330" t="s">
        <v>37248</v>
      </c>
      <c r="F12799" s="331">
        <v>0.21</v>
      </c>
      <c r="G12799" s="332">
        <v>8789</v>
      </c>
      <c r="H12799" s="333">
        <v>10635</v>
      </c>
    </row>
    <row r="12800" spans="1:8">
      <c r="A12800" s="317">
        <v>2610017033</v>
      </c>
      <c r="B12800" s="330" t="s">
        <v>57153</v>
      </c>
      <c r="C12800" s="330" t="s">
        <v>27350</v>
      </c>
      <c r="D12800" s="330" t="s">
        <v>27351</v>
      </c>
      <c r="E12800" s="330" t="s">
        <v>37248</v>
      </c>
      <c r="F12800" s="331">
        <v>0.21</v>
      </c>
      <c r="G12800" s="332">
        <v>702</v>
      </c>
      <c r="H12800" s="333">
        <v>850</v>
      </c>
    </row>
    <row r="12801" spans="1:8">
      <c r="A12801" s="317">
        <v>2610017034</v>
      </c>
      <c r="B12801" s="330" t="s">
        <v>57154</v>
      </c>
      <c r="C12801" s="330" t="s">
        <v>27352</v>
      </c>
      <c r="D12801" s="330" t="s">
        <v>27353</v>
      </c>
      <c r="E12801" s="330" t="s">
        <v>37248</v>
      </c>
      <c r="F12801" s="331">
        <v>0.21</v>
      </c>
      <c r="G12801" s="332">
        <v>702</v>
      </c>
      <c r="H12801" s="333">
        <v>850</v>
      </c>
    </row>
    <row r="12802" spans="1:8">
      <c r="A12802" s="317">
        <v>2610017035</v>
      </c>
      <c r="B12802" s="330" t="s">
        <v>57155</v>
      </c>
      <c r="C12802" s="330" t="s">
        <v>27354</v>
      </c>
      <c r="D12802" s="330" t="s">
        <v>27355</v>
      </c>
      <c r="E12802" s="330" t="s">
        <v>37248</v>
      </c>
      <c r="F12802" s="331">
        <v>0.21</v>
      </c>
      <c r="G12802" s="332">
        <v>20538</v>
      </c>
      <c r="H12802" s="333">
        <v>24851</v>
      </c>
    </row>
    <row r="12803" spans="1:8">
      <c r="A12803" s="317">
        <v>2610017036</v>
      </c>
      <c r="B12803" s="330" t="s">
        <v>57156</v>
      </c>
      <c r="C12803" s="330" t="s">
        <v>27356</v>
      </c>
      <c r="D12803" s="330" t="s">
        <v>27291</v>
      </c>
      <c r="E12803" s="330" t="s">
        <v>37248</v>
      </c>
      <c r="F12803" s="331">
        <v>0.21</v>
      </c>
      <c r="G12803" s="332">
        <v>339</v>
      </c>
      <c r="H12803" s="333">
        <v>411</v>
      </c>
    </row>
    <row r="12804" spans="1:8">
      <c r="A12804" s="317">
        <v>2610017037</v>
      </c>
      <c r="B12804" s="330" t="s">
        <v>57157</v>
      </c>
      <c r="C12804" s="330" t="s">
        <v>27357</v>
      </c>
      <c r="D12804" s="330" t="s">
        <v>27358</v>
      </c>
      <c r="E12804" s="330" t="s">
        <v>37248</v>
      </c>
      <c r="F12804" s="331">
        <v>0.21</v>
      </c>
      <c r="G12804" s="332">
        <v>50004</v>
      </c>
      <c r="H12804" s="333">
        <v>60505</v>
      </c>
    </row>
    <row r="12805" spans="1:8">
      <c r="A12805" s="317">
        <v>2610017038</v>
      </c>
      <c r="B12805" s="330" t="s">
        <v>57158</v>
      </c>
      <c r="C12805" s="330" t="s">
        <v>27359</v>
      </c>
      <c r="D12805" s="330" t="s">
        <v>27167</v>
      </c>
      <c r="E12805" s="330" t="s">
        <v>37248</v>
      </c>
      <c r="F12805" s="331">
        <v>0.21</v>
      </c>
      <c r="G12805" s="332">
        <v>64</v>
      </c>
      <c r="H12805" s="333">
        <v>78</v>
      </c>
    </row>
    <row r="12806" spans="1:8">
      <c r="A12806" s="317">
        <v>2610017039</v>
      </c>
      <c r="B12806" s="330" t="s">
        <v>57159</v>
      </c>
      <c r="C12806" s="330" t="s">
        <v>27360</v>
      </c>
      <c r="D12806" s="330" t="s">
        <v>27353</v>
      </c>
      <c r="E12806" s="330" t="s">
        <v>37248</v>
      </c>
      <c r="F12806" s="331">
        <v>0.21</v>
      </c>
      <c r="G12806" s="332">
        <v>1920</v>
      </c>
      <c r="H12806" s="333">
        <v>2324</v>
      </c>
    </row>
    <row r="12807" spans="1:8">
      <c r="A12807" s="317">
        <v>2610017040</v>
      </c>
      <c r="B12807" s="330" t="s">
        <v>57160</v>
      </c>
      <c r="C12807" s="330" t="s">
        <v>27361</v>
      </c>
      <c r="D12807" s="330" t="s">
        <v>27362</v>
      </c>
      <c r="E12807" s="330" t="s">
        <v>37248</v>
      </c>
      <c r="F12807" s="331">
        <v>0.21</v>
      </c>
      <c r="G12807" s="332">
        <v>5802</v>
      </c>
      <c r="H12807" s="333">
        <v>7021</v>
      </c>
    </row>
    <row r="12808" spans="1:8">
      <c r="A12808" s="317">
        <v>2610017041</v>
      </c>
      <c r="B12808" s="330" t="s">
        <v>57161</v>
      </c>
      <c r="C12808" s="330" t="s">
        <v>27363</v>
      </c>
      <c r="D12808" s="330" t="s">
        <v>27355</v>
      </c>
      <c r="E12808" s="330" t="s">
        <v>37248</v>
      </c>
      <c r="F12808" s="331">
        <v>0.21</v>
      </c>
      <c r="G12808" s="332">
        <v>5837</v>
      </c>
      <c r="H12808" s="333">
        <v>7063</v>
      </c>
    </row>
    <row r="12809" spans="1:8">
      <c r="A12809" s="317">
        <v>2610017046</v>
      </c>
      <c r="B12809" s="330" t="s">
        <v>57162</v>
      </c>
      <c r="C12809" s="330" t="s">
        <v>27364</v>
      </c>
      <c r="D12809" s="330" t="s">
        <v>27365</v>
      </c>
      <c r="E12809" s="330" t="s">
        <v>37248</v>
      </c>
      <c r="F12809" s="331">
        <v>0.21</v>
      </c>
      <c r="G12809" s="332">
        <v>702</v>
      </c>
      <c r="H12809" s="333">
        <v>850</v>
      </c>
    </row>
    <row r="12810" spans="1:8">
      <c r="A12810" s="317">
        <v>2610017047</v>
      </c>
      <c r="B12810" s="330" t="s">
        <v>57163</v>
      </c>
      <c r="C12810" s="330" t="s">
        <v>27366</v>
      </c>
      <c r="D12810" s="330" t="s">
        <v>13488</v>
      </c>
      <c r="E12810" s="330" t="s">
        <v>37248</v>
      </c>
      <c r="F12810" s="331">
        <v>0.21</v>
      </c>
      <c r="G12810" s="332">
        <v>117728</v>
      </c>
      <c r="H12810" s="333">
        <v>142451</v>
      </c>
    </row>
    <row r="12811" spans="1:8">
      <c r="A12811" s="317">
        <v>2610017049</v>
      </c>
      <c r="B12811" s="330" t="s">
        <v>57164</v>
      </c>
      <c r="C12811" s="330" t="s">
        <v>27367</v>
      </c>
      <c r="D12811" s="330" t="s">
        <v>27368</v>
      </c>
      <c r="E12811" s="330" t="s">
        <v>37248</v>
      </c>
      <c r="F12811" s="331">
        <v>0.21</v>
      </c>
      <c r="G12811" s="332">
        <v>13253</v>
      </c>
      <c r="H12811" s="333">
        <v>16037</v>
      </c>
    </row>
    <row r="12812" spans="1:8">
      <c r="A12812" s="317">
        <v>2610017050</v>
      </c>
      <c r="B12812" s="330" t="s">
        <v>57165</v>
      </c>
      <c r="C12812" s="330" t="s">
        <v>27369</v>
      </c>
      <c r="D12812" s="330" t="s">
        <v>27291</v>
      </c>
      <c r="E12812" s="330" t="s">
        <v>37248</v>
      </c>
      <c r="F12812" s="331">
        <v>0.21</v>
      </c>
      <c r="G12812" s="332">
        <v>194</v>
      </c>
      <c r="H12812" s="333">
        <v>235</v>
      </c>
    </row>
    <row r="12813" spans="1:8">
      <c r="A12813" s="317">
        <v>2610017051</v>
      </c>
      <c r="B12813" s="330" t="s">
        <v>57166</v>
      </c>
      <c r="C12813" s="330" t="s">
        <v>27370</v>
      </c>
      <c r="D12813" s="330" t="s">
        <v>27095</v>
      </c>
      <c r="E12813" s="330" t="s">
        <v>37248</v>
      </c>
      <c r="F12813" s="331">
        <v>0.21</v>
      </c>
      <c r="G12813" s="332">
        <v>174</v>
      </c>
      <c r="H12813" s="333">
        <v>211</v>
      </c>
    </row>
    <row r="12814" spans="1:8">
      <c r="A12814" s="317">
        <v>2610017052</v>
      </c>
      <c r="B12814" s="330" t="s">
        <v>57167</v>
      </c>
      <c r="C12814" s="330" t="s">
        <v>27371</v>
      </c>
      <c r="D12814" s="330" t="s">
        <v>26993</v>
      </c>
      <c r="E12814" s="330" t="s">
        <v>37248</v>
      </c>
      <c r="F12814" s="331">
        <v>0.21</v>
      </c>
      <c r="G12814" s="332">
        <v>216</v>
      </c>
      <c r="H12814" s="333">
        <v>262</v>
      </c>
    </row>
    <row r="12815" spans="1:8">
      <c r="A12815" s="317">
        <v>2610017053</v>
      </c>
      <c r="B12815" s="330" t="s">
        <v>57168</v>
      </c>
      <c r="C12815" s="330" t="s">
        <v>27372</v>
      </c>
      <c r="D12815" s="330" t="s">
        <v>27373</v>
      </c>
      <c r="E12815" s="330" t="s">
        <v>37248</v>
      </c>
      <c r="F12815" s="331">
        <v>0.21</v>
      </c>
      <c r="G12815" s="332">
        <v>1753</v>
      </c>
      <c r="H12815" s="333">
        <v>2122</v>
      </c>
    </row>
    <row r="12816" spans="1:8">
      <c r="A12816" s="317">
        <v>2610017054</v>
      </c>
      <c r="B12816" s="330" t="s">
        <v>57169</v>
      </c>
      <c r="C12816" s="330" t="s">
        <v>27374</v>
      </c>
      <c r="D12816" s="330" t="s">
        <v>27373</v>
      </c>
      <c r="E12816" s="330" t="s">
        <v>37248</v>
      </c>
      <c r="F12816" s="331">
        <v>0.21</v>
      </c>
      <c r="G12816" s="332">
        <v>1753</v>
      </c>
      <c r="H12816" s="333">
        <v>2122</v>
      </c>
    </row>
    <row r="12817" spans="1:8">
      <c r="A12817" s="317">
        <v>2610017056</v>
      </c>
      <c r="B12817" s="330" t="s">
        <v>57170</v>
      </c>
      <c r="C12817" s="330" t="s">
        <v>27375</v>
      </c>
      <c r="D12817" s="330" t="s">
        <v>27291</v>
      </c>
      <c r="E12817" s="330" t="s">
        <v>37248</v>
      </c>
      <c r="F12817" s="331">
        <v>0.21</v>
      </c>
      <c r="G12817" s="332">
        <v>515</v>
      </c>
      <c r="H12817" s="333">
        <v>624</v>
      </c>
    </row>
    <row r="12818" spans="1:8">
      <c r="A12818" s="317">
        <v>2610017057</v>
      </c>
      <c r="B12818" s="330" t="s">
        <v>57171</v>
      </c>
      <c r="C12818" s="330" t="s">
        <v>27376</v>
      </c>
      <c r="D12818" s="330" t="s">
        <v>26993</v>
      </c>
      <c r="E12818" s="330" t="s">
        <v>37248</v>
      </c>
      <c r="F12818" s="331">
        <v>0.21</v>
      </c>
      <c r="G12818" s="332">
        <v>64</v>
      </c>
      <c r="H12818" s="333">
        <v>78</v>
      </c>
    </row>
    <row r="12819" spans="1:8">
      <c r="A12819" s="317">
        <v>2610017058</v>
      </c>
      <c r="B12819" s="330" t="s">
        <v>57172</v>
      </c>
      <c r="C12819" s="330" t="s">
        <v>27377</v>
      </c>
      <c r="D12819" s="330" t="s">
        <v>27378</v>
      </c>
      <c r="E12819" s="330" t="s">
        <v>37248</v>
      </c>
      <c r="F12819" s="331">
        <v>0.21</v>
      </c>
      <c r="G12819" s="332">
        <v>194</v>
      </c>
      <c r="H12819" s="333">
        <v>235</v>
      </c>
    </row>
    <row r="12820" spans="1:8">
      <c r="A12820" s="317">
        <v>2610017060</v>
      </c>
      <c r="B12820" s="330" t="s">
        <v>57173</v>
      </c>
      <c r="C12820" s="330" t="s">
        <v>27379</v>
      </c>
      <c r="D12820" s="330" t="s">
        <v>27351</v>
      </c>
      <c r="E12820" s="330" t="s">
        <v>37248</v>
      </c>
      <c r="F12820" s="331">
        <v>0.21</v>
      </c>
      <c r="G12820" s="332">
        <v>479</v>
      </c>
      <c r="H12820" s="333">
        <v>580</v>
      </c>
    </row>
    <row r="12821" spans="1:8">
      <c r="A12821" s="317">
        <v>2610017110</v>
      </c>
      <c r="B12821" s="330" t="s">
        <v>57174</v>
      </c>
      <c r="C12821" s="330" t="s">
        <v>27380</v>
      </c>
      <c r="D12821" s="330" t="s">
        <v>27095</v>
      </c>
      <c r="E12821" s="330" t="s">
        <v>37248</v>
      </c>
      <c r="F12821" s="331">
        <v>0.21</v>
      </c>
      <c r="G12821" s="332">
        <v>435</v>
      </c>
      <c r="H12821" s="333">
        <v>527</v>
      </c>
    </row>
    <row r="12822" spans="1:8">
      <c r="A12822" s="317">
        <v>2610017111</v>
      </c>
      <c r="B12822" s="330" t="s">
        <v>57175</v>
      </c>
      <c r="C12822" s="330" t="s">
        <v>27381</v>
      </c>
      <c r="D12822" s="330" t="s">
        <v>27382</v>
      </c>
      <c r="E12822" s="330" t="s">
        <v>37248</v>
      </c>
      <c r="F12822" s="331">
        <v>0.21</v>
      </c>
      <c r="G12822" s="332">
        <v>29544</v>
      </c>
      <c r="H12822" s="333">
        <v>35749</v>
      </c>
    </row>
    <row r="12823" spans="1:8">
      <c r="A12823" s="317">
        <v>2610017161</v>
      </c>
      <c r="B12823" s="330" t="s">
        <v>57176</v>
      </c>
      <c r="C12823" s="330" t="s">
        <v>27383</v>
      </c>
      <c r="D12823" s="330" t="s">
        <v>27384</v>
      </c>
      <c r="E12823" s="330" t="s">
        <v>37248</v>
      </c>
      <c r="F12823" s="331">
        <v>0.21</v>
      </c>
      <c r="G12823" s="332">
        <v>3883</v>
      </c>
      <c r="H12823" s="333">
        <v>4699</v>
      </c>
    </row>
    <row r="12824" spans="1:8">
      <c r="A12824" s="317">
        <v>2610017262</v>
      </c>
      <c r="B12824" s="330" t="s">
        <v>57177</v>
      </c>
      <c r="C12824" s="330" t="s">
        <v>27385</v>
      </c>
      <c r="D12824" s="330" t="s">
        <v>27386</v>
      </c>
      <c r="E12824" s="330" t="s">
        <v>4634</v>
      </c>
      <c r="F12824" s="331">
        <v>0.21</v>
      </c>
      <c r="G12824" s="332">
        <v>564</v>
      </c>
      <c r="H12824" s="333">
        <v>683</v>
      </c>
    </row>
    <row r="12825" spans="1:8">
      <c r="A12825" s="317">
        <v>2610017348</v>
      </c>
      <c r="B12825" s="330" t="s">
        <v>57178</v>
      </c>
      <c r="C12825" s="330" t="s">
        <v>27387</v>
      </c>
      <c r="D12825" s="330" t="s">
        <v>5665</v>
      </c>
      <c r="E12825" s="330" t="s">
        <v>4819</v>
      </c>
      <c r="F12825" s="331">
        <v>0.21</v>
      </c>
      <c r="G12825" s="332">
        <v>13009</v>
      </c>
      <c r="H12825" s="333">
        <v>15741</v>
      </c>
    </row>
    <row r="12826" spans="1:8">
      <c r="A12826" s="317">
        <v>2610017642</v>
      </c>
      <c r="B12826" s="330" t="s">
        <v>57179</v>
      </c>
      <c r="C12826" s="330" t="s">
        <v>27388</v>
      </c>
      <c r="D12826" s="330" t="s">
        <v>27389</v>
      </c>
      <c r="E12826" s="330" t="s">
        <v>4634</v>
      </c>
      <c r="F12826" s="331">
        <v>0.21</v>
      </c>
      <c r="G12826" s="332">
        <v>274</v>
      </c>
      <c r="H12826" s="333">
        <v>332</v>
      </c>
    </row>
    <row r="12827" spans="1:8">
      <c r="A12827" s="317">
        <v>2610017807</v>
      </c>
      <c r="B12827" s="330" t="s">
        <v>57180</v>
      </c>
      <c r="C12827" s="330" t="s">
        <v>27390</v>
      </c>
      <c r="D12827" s="330" t="s">
        <v>27391</v>
      </c>
      <c r="E12827" s="330" t="s">
        <v>4819</v>
      </c>
      <c r="F12827" s="331">
        <v>0.21</v>
      </c>
      <c r="G12827" s="332">
        <v>7376</v>
      </c>
      <c r="H12827" s="333">
        <v>8925</v>
      </c>
    </row>
    <row r="12828" spans="1:8">
      <c r="A12828" s="317">
        <v>2610017808</v>
      </c>
      <c r="B12828" s="330" t="s">
        <v>57181</v>
      </c>
      <c r="C12828" s="330" t="s">
        <v>27392</v>
      </c>
      <c r="D12828" s="330" t="s">
        <v>7845</v>
      </c>
      <c r="E12828" s="330" t="s">
        <v>4634</v>
      </c>
      <c r="F12828" s="331">
        <v>0.21</v>
      </c>
      <c r="G12828" s="332">
        <v>1371</v>
      </c>
      <c r="H12828" s="333">
        <v>1659</v>
      </c>
    </row>
    <row r="12829" spans="1:8">
      <c r="A12829" s="317">
        <v>2610018332</v>
      </c>
      <c r="B12829" s="330" t="s">
        <v>57182</v>
      </c>
      <c r="C12829" s="330" t="s">
        <v>27393</v>
      </c>
      <c r="D12829" s="330" t="s">
        <v>27394</v>
      </c>
      <c r="E12829" s="330" t="s">
        <v>37248</v>
      </c>
      <c r="F12829" s="331">
        <v>0.21</v>
      </c>
      <c r="G12829" s="332">
        <v>19030</v>
      </c>
      <c r="H12829" s="333">
        <v>23027</v>
      </c>
    </row>
    <row r="12830" spans="1:8">
      <c r="A12830" s="317">
        <v>2610018374</v>
      </c>
      <c r="B12830" s="330" t="s">
        <v>57183</v>
      </c>
      <c r="C12830" s="330" t="s">
        <v>27395</v>
      </c>
      <c r="D12830" s="330" t="s">
        <v>27396</v>
      </c>
      <c r="E12830" s="330" t="s">
        <v>37248</v>
      </c>
      <c r="F12830" s="331">
        <v>0.21</v>
      </c>
      <c r="G12830" s="332">
        <v>15802</v>
      </c>
      <c r="H12830" s="333">
        <v>19121</v>
      </c>
    </row>
    <row r="12831" spans="1:8">
      <c r="A12831" s="317">
        <v>2610018461</v>
      </c>
      <c r="B12831" s="330" t="s">
        <v>57184</v>
      </c>
      <c r="C12831" s="330" t="s">
        <v>27397</v>
      </c>
      <c r="D12831" s="330" t="s">
        <v>27398</v>
      </c>
      <c r="E12831" s="330" t="s">
        <v>37248</v>
      </c>
      <c r="F12831" s="331">
        <v>0.21</v>
      </c>
      <c r="G12831" s="332">
        <v>1182</v>
      </c>
      <c r="H12831" s="333">
        <v>1431</v>
      </c>
    </row>
    <row r="12832" spans="1:8">
      <c r="A12832" s="317">
        <v>2610018891</v>
      </c>
      <c r="B12832" s="330" t="s">
        <v>57185</v>
      </c>
      <c r="C12832" s="330" t="s">
        <v>27399</v>
      </c>
      <c r="D12832" s="330" t="s">
        <v>27400</v>
      </c>
      <c r="E12832" s="330" t="s">
        <v>37248</v>
      </c>
      <c r="F12832" s="331">
        <v>0.21</v>
      </c>
      <c r="G12832" s="332">
        <v>8690</v>
      </c>
      <c r="H12832" s="333">
        <v>10515</v>
      </c>
    </row>
    <row r="12833" spans="1:8">
      <c r="A12833" s="317">
        <v>2610018983</v>
      </c>
      <c r="B12833" s="330" t="s">
        <v>57186</v>
      </c>
      <c r="C12833" s="330" t="s">
        <v>27401</v>
      </c>
      <c r="D12833" s="330" t="s">
        <v>27402</v>
      </c>
      <c r="E12833" s="330" t="s">
        <v>37248</v>
      </c>
      <c r="F12833" s="331">
        <v>0.21</v>
      </c>
      <c r="G12833" s="332">
        <v>240</v>
      </c>
      <c r="H12833" s="333">
        <v>291</v>
      </c>
    </row>
    <row r="12834" spans="1:8">
      <c r="A12834" s="317">
        <v>2610018987</v>
      </c>
      <c r="B12834" s="330" t="s">
        <v>57187</v>
      </c>
      <c r="C12834" s="330" t="s">
        <v>27403</v>
      </c>
      <c r="D12834" s="330" t="s">
        <v>27404</v>
      </c>
      <c r="E12834" s="330" t="s">
        <v>37248</v>
      </c>
      <c r="F12834" s="331">
        <v>0.21</v>
      </c>
      <c r="G12834" s="332">
        <v>112423</v>
      </c>
      <c r="H12834" s="333">
        <v>136032</v>
      </c>
    </row>
    <row r="12835" spans="1:8">
      <c r="A12835" s="317">
        <v>2610019122</v>
      </c>
      <c r="B12835" s="330" t="s">
        <v>57188</v>
      </c>
      <c r="C12835" s="330" t="s">
        <v>27405</v>
      </c>
      <c r="D12835" s="330" t="s">
        <v>13749</v>
      </c>
      <c r="E12835" s="330" t="s">
        <v>37248</v>
      </c>
      <c r="F12835" s="331">
        <v>0.21</v>
      </c>
      <c r="G12835" s="332">
        <v>18769</v>
      </c>
      <c r="H12835" s="333">
        <v>22711</v>
      </c>
    </row>
    <row r="12836" spans="1:8">
      <c r="A12836" s="317">
        <v>2610019126</v>
      </c>
      <c r="B12836" s="330" t="s">
        <v>57189</v>
      </c>
      <c r="C12836" s="330" t="s">
        <v>27406</v>
      </c>
      <c r="D12836" s="330" t="s">
        <v>27407</v>
      </c>
      <c r="E12836" s="330" t="s">
        <v>37248</v>
      </c>
      <c r="F12836" s="331">
        <v>0.21</v>
      </c>
      <c r="G12836" s="332">
        <v>64263</v>
      </c>
      <c r="H12836" s="333">
        <v>77759</v>
      </c>
    </row>
    <row r="12837" spans="1:8">
      <c r="A12837" s="317">
        <v>2610020639</v>
      </c>
      <c r="B12837" s="330" t="s">
        <v>57190</v>
      </c>
      <c r="C12837" s="330" t="s">
        <v>27408</v>
      </c>
      <c r="D12837" s="330" t="s">
        <v>27409</v>
      </c>
      <c r="E12837" s="330" t="s">
        <v>4819</v>
      </c>
      <c r="F12837" s="331">
        <v>0.21</v>
      </c>
      <c r="G12837" s="332">
        <v>3825</v>
      </c>
      <c r="H12837" s="333">
        <v>4629</v>
      </c>
    </row>
    <row r="12838" spans="1:8">
      <c r="A12838" s="317">
        <v>2610020656</v>
      </c>
      <c r="B12838" s="330" t="s">
        <v>57191</v>
      </c>
      <c r="C12838" s="330" t="s">
        <v>27410</v>
      </c>
      <c r="D12838" s="330" t="s">
        <v>27411</v>
      </c>
      <c r="E12838" s="330" t="s">
        <v>4634</v>
      </c>
      <c r="F12838" s="331">
        <v>0.21</v>
      </c>
      <c r="G12838" s="332">
        <v>455</v>
      </c>
      <c r="H12838" s="333">
        <v>551</v>
      </c>
    </row>
    <row r="12839" spans="1:8">
      <c r="A12839" s="317">
        <v>2610020858</v>
      </c>
      <c r="B12839" s="330" t="s">
        <v>57192</v>
      </c>
      <c r="C12839" s="330" t="s">
        <v>27412</v>
      </c>
      <c r="D12839" s="330" t="s">
        <v>27413</v>
      </c>
      <c r="E12839" s="330" t="s">
        <v>37248</v>
      </c>
      <c r="F12839" s="331">
        <v>0.21</v>
      </c>
      <c r="G12839" s="332">
        <v>515</v>
      </c>
      <c r="H12839" s="333">
        <v>624</v>
      </c>
    </row>
    <row r="12840" spans="1:8">
      <c r="A12840" s="317">
        <v>2610020934</v>
      </c>
      <c r="B12840" s="330" t="s">
        <v>57193</v>
      </c>
      <c r="C12840" s="330" t="s">
        <v>27414</v>
      </c>
      <c r="D12840" s="330" t="s">
        <v>27415</v>
      </c>
      <c r="E12840" s="330" t="s">
        <v>37248</v>
      </c>
      <c r="F12840" s="331">
        <v>0.21</v>
      </c>
      <c r="G12840" s="332">
        <v>219197</v>
      </c>
      <c r="H12840" s="333">
        <v>265229</v>
      </c>
    </row>
    <row r="12841" spans="1:8">
      <c r="A12841" s="317">
        <v>2610020976</v>
      </c>
      <c r="B12841" s="330" t="s">
        <v>57194</v>
      </c>
      <c r="C12841" s="330" t="s">
        <v>27416</v>
      </c>
      <c r="D12841" s="330" t="s">
        <v>27417</v>
      </c>
      <c r="E12841" s="330" t="s">
        <v>37248</v>
      </c>
      <c r="F12841" s="331">
        <v>0.21</v>
      </c>
      <c r="G12841" s="332">
        <v>133814</v>
      </c>
      <c r="H12841" s="333">
        <v>161915</v>
      </c>
    </row>
    <row r="12842" spans="1:8">
      <c r="A12842" s="317">
        <v>2610021159</v>
      </c>
      <c r="B12842" s="330" t="s">
        <v>57195</v>
      </c>
      <c r="C12842" s="330" t="s">
        <v>27418</v>
      </c>
      <c r="D12842" s="330" t="s">
        <v>7651</v>
      </c>
      <c r="E12842" s="330" t="s">
        <v>37248</v>
      </c>
      <c r="F12842" s="331">
        <v>0.21</v>
      </c>
      <c r="G12842" s="332">
        <v>41712</v>
      </c>
      <c r="H12842" s="333">
        <v>50472</v>
      </c>
    </row>
    <row r="12843" spans="1:8">
      <c r="A12843" s="317">
        <v>2610021218</v>
      </c>
      <c r="B12843" s="330" t="s">
        <v>57196</v>
      </c>
      <c r="C12843" s="330" t="s">
        <v>27419</v>
      </c>
      <c r="D12843" s="330" t="s">
        <v>27420</v>
      </c>
      <c r="E12843" s="330" t="s">
        <v>37248</v>
      </c>
      <c r="F12843" s="331">
        <v>0.21</v>
      </c>
      <c r="G12843" s="332">
        <v>10042</v>
      </c>
      <c r="H12843" s="333">
        <v>12151</v>
      </c>
    </row>
    <row r="12844" spans="1:8">
      <c r="A12844" s="317">
        <v>2610021281</v>
      </c>
      <c r="B12844" s="330" t="s">
        <v>57197</v>
      </c>
      <c r="C12844" s="330" t="s">
        <v>27421</v>
      </c>
      <c r="D12844" s="330" t="s">
        <v>27422</v>
      </c>
      <c r="E12844" s="330" t="s">
        <v>37248</v>
      </c>
      <c r="F12844" s="331">
        <v>0.21</v>
      </c>
      <c r="G12844" s="332">
        <v>26873</v>
      </c>
      <c r="H12844" s="333">
        <v>32517</v>
      </c>
    </row>
    <row r="12845" spans="1:8">
      <c r="A12845" s="317">
        <v>2610021311</v>
      </c>
      <c r="B12845" s="330" t="s">
        <v>57198</v>
      </c>
      <c r="C12845" s="330" t="s">
        <v>27423</v>
      </c>
      <c r="D12845" s="330" t="s">
        <v>4939</v>
      </c>
      <c r="E12845" s="330" t="s">
        <v>37248</v>
      </c>
      <c r="F12845" s="331">
        <v>0.21</v>
      </c>
      <c r="G12845" s="332">
        <v>8180</v>
      </c>
      <c r="H12845" s="333">
        <v>9898</v>
      </c>
    </row>
    <row r="12846" spans="1:8">
      <c r="A12846" s="317">
        <v>2610021321</v>
      </c>
      <c r="B12846" s="330" t="s">
        <v>57199</v>
      </c>
      <c r="C12846" s="330" t="s">
        <v>27424</v>
      </c>
      <c r="D12846" s="330" t="s">
        <v>27425</v>
      </c>
      <c r="E12846" s="330" t="s">
        <v>4634</v>
      </c>
      <c r="F12846" s="331">
        <v>0.21</v>
      </c>
      <c r="G12846" s="332">
        <v>47051</v>
      </c>
      <c r="H12846" s="333">
        <v>56932</v>
      </c>
    </row>
    <row r="12847" spans="1:8">
      <c r="A12847" s="317">
        <v>2610021327</v>
      </c>
      <c r="B12847" s="330" t="s">
        <v>57200</v>
      </c>
      <c r="C12847" s="330" t="s">
        <v>27426</v>
      </c>
      <c r="D12847" s="330" t="s">
        <v>27032</v>
      </c>
      <c r="E12847" s="330" t="s">
        <v>37248</v>
      </c>
      <c r="F12847" s="331">
        <v>0.21</v>
      </c>
      <c r="G12847" s="332">
        <v>1195</v>
      </c>
      <c r="H12847" s="333">
        <v>1446</v>
      </c>
    </row>
    <row r="12848" spans="1:8">
      <c r="A12848" s="317">
        <v>2610022571</v>
      </c>
      <c r="B12848" s="330" t="s">
        <v>57201</v>
      </c>
      <c r="C12848" s="330" t="s">
        <v>27427</v>
      </c>
      <c r="D12848" s="330" t="s">
        <v>27428</v>
      </c>
      <c r="E12848" s="330" t="s">
        <v>37248</v>
      </c>
      <c r="F12848" s="331">
        <v>0.21</v>
      </c>
      <c r="G12848" s="332">
        <v>48298</v>
      </c>
      <c r="H12848" s="333">
        <v>58441</v>
      </c>
    </row>
    <row r="12849" spans="1:8">
      <c r="A12849" s="317">
        <v>2610023173</v>
      </c>
      <c r="B12849" s="330" t="s">
        <v>57202</v>
      </c>
      <c r="C12849" s="330" t="s">
        <v>27429</v>
      </c>
      <c r="D12849" s="330" t="s">
        <v>27430</v>
      </c>
      <c r="E12849" s="330" t="s">
        <v>37248</v>
      </c>
      <c r="F12849" s="331">
        <v>0.21</v>
      </c>
      <c r="G12849" s="332">
        <v>890</v>
      </c>
      <c r="H12849" s="333">
        <v>1077</v>
      </c>
    </row>
    <row r="12850" spans="1:8">
      <c r="A12850" s="317">
        <v>2610023174</v>
      </c>
      <c r="B12850" s="330" t="s">
        <v>57203</v>
      </c>
      <c r="C12850" s="330" t="s">
        <v>27431</v>
      </c>
      <c r="D12850" s="330" t="s">
        <v>27432</v>
      </c>
      <c r="E12850" s="330" t="s">
        <v>37248</v>
      </c>
      <c r="F12850" s="331">
        <v>0.21</v>
      </c>
      <c r="G12850" s="332">
        <v>194</v>
      </c>
      <c r="H12850" s="333">
        <v>235</v>
      </c>
    </row>
    <row r="12851" spans="1:8">
      <c r="A12851" s="317">
        <v>2610023231</v>
      </c>
      <c r="B12851" s="330" t="s">
        <v>57204</v>
      </c>
      <c r="C12851" s="330" t="s">
        <v>27433</v>
      </c>
      <c r="D12851" s="330" t="s">
        <v>27434</v>
      </c>
      <c r="E12851" s="330" t="s">
        <v>37248</v>
      </c>
      <c r="F12851" s="331">
        <v>0.21</v>
      </c>
      <c r="G12851" s="332">
        <v>5117</v>
      </c>
      <c r="H12851" s="333">
        <v>6192</v>
      </c>
    </row>
    <row r="12852" spans="1:8">
      <c r="A12852" s="317">
        <v>2610024569</v>
      </c>
      <c r="B12852" s="330" t="s">
        <v>57205</v>
      </c>
      <c r="C12852" s="330" t="s">
        <v>27435</v>
      </c>
      <c r="D12852" s="330" t="s">
        <v>27436</v>
      </c>
      <c r="E12852" s="330" t="s">
        <v>37248</v>
      </c>
      <c r="F12852" s="331">
        <v>0.21</v>
      </c>
      <c r="G12852" s="332">
        <v>6047</v>
      </c>
      <c r="H12852" s="333">
        <v>7317</v>
      </c>
    </row>
    <row r="12853" spans="1:8">
      <c r="A12853" s="317">
        <v>2610024574</v>
      </c>
      <c r="B12853" s="330" t="s">
        <v>57206</v>
      </c>
      <c r="C12853" s="330" t="s">
        <v>27437</v>
      </c>
      <c r="D12853" s="330" t="s">
        <v>27438</v>
      </c>
      <c r="E12853" s="330" t="s">
        <v>37248</v>
      </c>
      <c r="F12853" s="331">
        <v>0.21</v>
      </c>
      <c r="G12853" s="332">
        <v>7472</v>
      </c>
      <c r="H12853" s="333">
        <v>9042</v>
      </c>
    </row>
    <row r="12854" spans="1:8">
      <c r="A12854" s="317">
        <v>2610024575</v>
      </c>
      <c r="B12854" s="330" t="s">
        <v>57207</v>
      </c>
      <c r="C12854" s="330" t="s">
        <v>27439</v>
      </c>
      <c r="D12854" s="330" t="s">
        <v>27440</v>
      </c>
      <c r="E12854" s="330" t="s">
        <v>37248</v>
      </c>
      <c r="F12854" s="331">
        <v>0.21</v>
      </c>
      <c r="G12854" s="332">
        <v>5103</v>
      </c>
      <c r="H12854" s="333">
        <v>6175</v>
      </c>
    </row>
    <row r="12855" spans="1:8">
      <c r="A12855" s="317">
        <v>2610024626</v>
      </c>
      <c r="B12855" s="330" t="s">
        <v>57208</v>
      </c>
      <c r="C12855" s="330" t="s">
        <v>27441</v>
      </c>
      <c r="D12855" s="330" t="s">
        <v>27442</v>
      </c>
      <c r="E12855" s="330" t="s">
        <v>4819</v>
      </c>
      <c r="F12855" s="331">
        <v>0.21</v>
      </c>
      <c r="G12855" s="332">
        <v>1287</v>
      </c>
      <c r="H12855" s="333">
        <v>1558</v>
      </c>
    </row>
    <row r="12856" spans="1:8">
      <c r="A12856" s="317">
        <v>2610024627</v>
      </c>
      <c r="B12856" s="330" t="s">
        <v>57209</v>
      </c>
      <c r="C12856" s="330" t="s">
        <v>27443</v>
      </c>
      <c r="D12856" s="330" t="s">
        <v>27444</v>
      </c>
      <c r="E12856" s="330" t="s">
        <v>37248</v>
      </c>
      <c r="F12856" s="331">
        <v>0.21</v>
      </c>
      <c r="G12856" s="332">
        <v>23282</v>
      </c>
      <c r="H12856" s="333">
        <v>28172</v>
      </c>
    </row>
    <row r="12857" spans="1:8">
      <c r="A12857" s="317">
        <v>2610025596</v>
      </c>
      <c r="B12857" s="330" t="s">
        <v>57210</v>
      </c>
      <c r="C12857" s="330" t="s">
        <v>27445</v>
      </c>
      <c r="D12857" s="330" t="s">
        <v>27446</v>
      </c>
      <c r="E12857" s="330" t="s">
        <v>37248</v>
      </c>
      <c r="F12857" s="331">
        <v>0.21</v>
      </c>
      <c r="G12857" s="332">
        <v>165509</v>
      </c>
      <c r="H12857" s="333">
        <v>200266</v>
      </c>
    </row>
    <row r="12858" spans="1:8">
      <c r="A12858" s="317">
        <v>2610026126</v>
      </c>
      <c r="B12858" s="330" t="s">
        <v>57211</v>
      </c>
      <c r="C12858" s="330" t="s">
        <v>27447</v>
      </c>
      <c r="D12858" s="330" t="s">
        <v>27448</v>
      </c>
      <c r="E12858" s="330" t="s">
        <v>4634</v>
      </c>
      <c r="F12858" s="331">
        <v>0.21</v>
      </c>
      <c r="G12858" s="332">
        <v>372</v>
      </c>
      <c r="H12858" s="333">
        <v>451</v>
      </c>
    </row>
    <row r="12859" spans="1:8">
      <c r="A12859" s="317">
        <v>2610026667</v>
      </c>
      <c r="B12859" s="330" t="s">
        <v>57212</v>
      </c>
      <c r="C12859" s="330" t="s">
        <v>27449</v>
      </c>
      <c r="D12859" s="330" t="s">
        <v>27155</v>
      </c>
      <c r="E12859" s="330" t="s">
        <v>4634</v>
      </c>
      <c r="F12859" s="331">
        <v>0.21</v>
      </c>
      <c r="G12859" s="332">
        <v>29073</v>
      </c>
      <c r="H12859" s="333">
        <v>35179</v>
      </c>
    </row>
    <row r="12860" spans="1:8">
      <c r="A12860" s="317">
        <v>2610027360</v>
      </c>
      <c r="B12860" s="330" t="s">
        <v>57213</v>
      </c>
      <c r="C12860" s="330" t="s">
        <v>27450</v>
      </c>
      <c r="D12860" s="330" t="s">
        <v>7653</v>
      </c>
      <c r="E12860" s="330" t="s">
        <v>37248</v>
      </c>
      <c r="F12860" s="331">
        <v>0.21</v>
      </c>
      <c r="G12860" s="332">
        <v>452</v>
      </c>
      <c r="H12860" s="333">
        <v>547</v>
      </c>
    </row>
    <row r="12861" spans="1:8">
      <c r="A12861" s="317">
        <v>2610027372</v>
      </c>
      <c r="B12861" s="330" t="s">
        <v>57214</v>
      </c>
      <c r="C12861" s="330" t="s">
        <v>27451</v>
      </c>
      <c r="D12861" s="330" t="s">
        <v>27452</v>
      </c>
      <c r="E12861" s="330" t="s">
        <v>4634</v>
      </c>
      <c r="F12861" s="331">
        <v>0.21</v>
      </c>
      <c r="G12861" s="332">
        <v>142</v>
      </c>
      <c r="H12861" s="333">
        <v>172</v>
      </c>
    </row>
    <row r="12862" spans="1:8">
      <c r="A12862" s="317">
        <v>2610027396</v>
      </c>
      <c r="B12862" s="330" t="s">
        <v>57215</v>
      </c>
      <c r="C12862" s="330" t="s">
        <v>27453</v>
      </c>
      <c r="D12862" s="330" t="s">
        <v>27454</v>
      </c>
      <c r="E12862" s="330" t="s">
        <v>4634</v>
      </c>
      <c r="F12862" s="331">
        <v>0.21</v>
      </c>
      <c r="G12862" s="332">
        <v>372</v>
      </c>
      <c r="H12862" s="333">
        <v>451</v>
      </c>
    </row>
    <row r="12863" spans="1:8">
      <c r="A12863" s="317">
        <v>2610027445</v>
      </c>
      <c r="B12863" s="330" t="s">
        <v>57216</v>
      </c>
      <c r="C12863" s="330" t="s">
        <v>27455</v>
      </c>
      <c r="D12863" s="330" t="s">
        <v>27456</v>
      </c>
      <c r="E12863" s="330" t="s">
        <v>4634</v>
      </c>
      <c r="F12863" s="331">
        <v>0.21</v>
      </c>
      <c r="G12863" s="332">
        <v>372</v>
      </c>
      <c r="H12863" s="333">
        <v>451</v>
      </c>
    </row>
    <row r="12864" spans="1:8">
      <c r="A12864" s="317">
        <v>2610028780</v>
      </c>
      <c r="B12864" s="330" t="s">
        <v>57217</v>
      </c>
      <c r="C12864" s="330" t="s">
        <v>27457</v>
      </c>
      <c r="D12864" s="330" t="s">
        <v>27458</v>
      </c>
      <c r="E12864" s="330" t="s">
        <v>4634</v>
      </c>
      <c r="F12864" s="331">
        <v>0.21</v>
      </c>
      <c r="G12864" s="332">
        <v>372</v>
      </c>
      <c r="H12864" s="333">
        <v>451</v>
      </c>
    </row>
    <row r="12865" spans="1:8">
      <c r="A12865" s="317">
        <v>2610029234</v>
      </c>
      <c r="B12865" s="330" t="s">
        <v>57218</v>
      </c>
      <c r="C12865" s="330" t="s">
        <v>27459</v>
      </c>
      <c r="D12865" s="330" t="s">
        <v>27460</v>
      </c>
      <c r="E12865" s="330" t="s">
        <v>4634</v>
      </c>
      <c r="F12865" s="331">
        <v>0.21</v>
      </c>
      <c r="G12865" s="332">
        <v>280</v>
      </c>
      <c r="H12865" s="333">
        <v>339</v>
      </c>
    </row>
    <row r="12866" spans="1:8">
      <c r="A12866" s="317">
        <v>2610029562</v>
      </c>
      <c r="B12866" s="330" t="s">
        <v>57219</v>
      </c>
      <c r="C12866" s="330" t="s">
        <v>27461</v>
      </c>
      <c r="D12866" s="330" t="s">
        <v>27462</v>
      </c>
      <c r="E12866" s="330" t="s">
        <v>4634</v>
      </c>
      <c r="F12866" s="331">
        <v>0.21</v>
      </c>
      <c r="G12866" s="332">
        <v>564</v>
      </c>
      <c r="H12866" s="333">
        <v>683</v>
      </c>
    </row>
    <row r="12867" spans="1:8">
      <c r="A12867" s="317">
        <v>2610030004</v>
      </c>
      <c r="B12867" s="330" t="s">
        <v>57220</v>
      </c>
      <c r="C12867" s="330" t="s">
        <v>27463</v>
      </c>
      <c r="D12867" s="330" t="s">
        <v>27464</v>
      </c>
      <c r="E12867" s="330" t="s">
        <v>37248</v>
      </c>
      <c r="F12867" s="331">
        <v>0.21</v>
      </c>
      <c r="G12867" s="332">
        <v>4737</v>
      </c>
      <c r="H12867" s="333">
        <v>5732</v>
      </c>
    </row>
    <row r="12868" spans="1:8">
      <c r="A12868" s="317">
        <v>2610031628</v>
      </c>
      <c r="B12868" s="330" t="s">
        <v>57221</v>
      </c>
      <c r="C12868" s="330" t="s">
        <v>27465</v>
      </c>
      <c r="D12868" s="330" t="s">
        <v>27466</v>
      </c>
      <c r="E12868" s="330" t="s">
        <v>37248</v>
      </c>
      <c r="F12868" s="331">
        <v>0.21</v>
      </c>
      <c r="G12868" s="332">
        <v>6159</v>
      </c>
      <c r="H12868" s="333">
        <v>7453</v>
      </c>
    </row>
    <row r="12869" spans="1:8">
      <c r="A12869" s="317">
        <v>2610031712</v>
      </c>
      <c r="B12869" s="330" t="s">
        <v>57222</v>
      </c>
      <c r="C12869" s="330" t="s">
        <v>27467</v>
      </c>
      <c r="D12869" s="330" t="s">
        <v>7474</v>
      </c>
      <c r="E12869" s="330" t="s">
        <v>37248</v>
      </c>
      <c r="F12869" s="331">
        <v>0.21</v>
      </c>
      <c r="G12869" s="332">
        <v>1191</v>
      </c>
      <c r="H12869" s="333">
        <v>1442</v>
      </c>
    </row>
    <row r="12870" spans="1:8">
      <c r="A12870" s="317">
        <v>2610031874</v>
      </c>
      <c r="B12870" s="330" t="s">
        <v>57223</v>
      </c>
      <c r="C12870" s="330" t="s">
        <v>27468</v>
      </c>
      <c r="D12870" s="330" t="s">
        <v>27469</v>
      </c>
      <c r="E12870" s="330" t="s">
        <v>4819</v>
      </c>
      <c r="F12870" s="331">
        <v>0.21</v>
      </c>
      <c r="G12870" s="332">
        <v>764</v>
      </c>
      <c r="H12870" s="333">
        <v>925</v>
      </c>
    </row>
    <row r="12871" spans="1:8">
      <c r="A12871" s="317">
        <v>2610031876</v>
      </c>
      <c r="B12871" s="330" t="s">
        <v>57224</v>
      </c>
      <c r="C12871" s="330" t="s">
        <v>27470</v>
      </c>
      <c r="D12871" s="330" t="s">
        <v>27471</v>
      </c>
      <c r="E12871" s="330" t="s">
        <v>37248</v>
      </c>
      <c r="F12871" s="331">
        <v>0.21</v>
      </c>
      <c r="G12871" s="332">
        <v>479</v>
      </c>
      <c r="H12871" s="333">
        <v>580</v>
      </c>
    </row>
    <row r="12872" spans="1:8">
      <c r="A12872" s="317">
        <v>2610031877</v>
      </c>
      <c r="B12872" s="330" t="s">
        <v>57225</v>
      </c>
      <c r="C12872" s="330" t="s">
        <v>27472</v>
      </c>
      <c r="D12872" s="330" t="s">
        <v>27471</v>
      </c>
      <c r="E12872" s="330" t="s">
        <v>37248</v>
      </c>
      <c r="F12872" s="331">
        <v>0.21</v>
      </c>
      <c r="G12872" s="332">
        <v>479</v>
      </c>
      <c r="H12872" s="333">
        <v>580</v>
      </c>
    </row>
    <row r="12873" spans="1:8">
      <c r="A12873" s="317">
        <v>2610031890</v>
      </c>
      <c r="B12873" s="330" t="s">
        <v>57226</v>
      </c>
      <c r="C12873" s="330" t="s">
        <v>27473</v>
      </c>
      <c r="D12873" s="330" t="s">
        <v>13573</v>
      </c>
      <c r="E12873" s="330" t="s">
        <v>37248</v>
      </c>
      <c r="F12873" s="331">
        <v>0.21</v>
      </c>
      <c r="G12873" s="332">
        <v>178</v>
      </c>
      <c r="H12873" s="333">
        <v>216</v>
      </c>
    </row>
    <row r="12874" spans="1:8">
      <c r="A12874" s="317">
        <v>2610033091</v>
      </c>
      <c r="B12874" s="330" t="s">
        <v>57227</v>
      </c>
      <c r="C12874" s="330" t="s">
        <v>27474</v>
      </c>
      <c r="D12874" s="330" t="s">
        <v>27475</v>
      </c>
      <c r="E12874" s="330" t="s">
        <v>37248</v>
      </c>
      <c r="F12874" s="331">
        <v>0.21</v>
      </c>
      <c r="G12874" s="332">
        <v>39107</v>
      </c>
      <c r="H12874" s="333">
        <v>47320</v>
      </c>
    </row>
    <row r="12875" spans="1:8">
      <c r="A12875" s="317">
        <v>2610033160</v>
      </c>
      <c r="B12875" s="330" t="s">
        <v>57228</v>
      </c>
      <c r="C12875" s="330" t="s">
        <v>27476</v>
      </c>
      <c r="D12875" s="330" t="s">
        <v>27477</v>
      </c>
      <c r="E12875" s="330" t="s">
        <v>37248</v>
      </c>
      <c r="F12875" s="331">
        <v>0.21</v>
      </c>
      <c r="G12875" s="332">
        <v>675</v>
      </c>
      <c r="H12875" s="333">
        <v>817</v>
      </c>
    </row>
    <row r="12876" spans="1:8">
      <c r="A12876" s="317">
        <v>2610033555</v>
      </c>
      <c r="B12876" s="330" t="s">
        <v>57229</v>
      </c>
      <c r="C12876" s="330" t="s">
        <v>27478</v>
      </c>
      <c r="D12876" s="330" t="s">
        <v>7626</v>
      </c>
      <c r="E12876" s="330" t="s">
        <v>37248</v>
      </c>
      <c r="F12876" s="331">
        <v>0.21</v>
      </c>
      <c r="G12876" s="332">
        <v>16965</v>
      </c>
      <c r="H12876" s="333">
        <v>20528</v>
      </c>
    </row>
    <row r="12877" spans="1:8">
      <c r="A12877" s="317">
        <v>2610033559</v>
      </c>
      <c r="B12877" s="330" t="s">
        <v>57230</v>
      </c>
      <c r="C12877" s="330" t="s">
        <v>27479</v>
      </c>
      <c r="D12877" s="330" t="s">
        <v>27480</v>
      </c>
      <c r="E12877" s="330" t="s">
        <v>37248</v>
      </c>
      <c r="F12877" s="331">
        <v>0.21</v>
      </c>
      <c r="G12877" s="332">
        <v>5103</v>
      </c>
      <c r="H12877" s="333">
        <v>6175</v>
      </c>
    </row>
    <row r="12878" spans="1:8">
      <c r="A12878" s="317">
        <v>2610033560</v>
      </c>
      <c r="B12878" s="330" t="s">
        <v>57231</v>
      </c>
      <c r="C12878" s="330" t="s">
        <v>27481</v>
      </c>
      <c r="D12878" s="330" t="s">
        <v>8171</v>
      </c>
      <c r="E12878" s="330" t="s">
        <v>37248</v>
      </c>
      <c r="F12878" s="331">
        <v>0.21</v>
      </c>
      <c r="G12878" s="332">
        <v>515</v>
      </c>
      <c r="H12878" s="333">
        <v>624</v>
      </c>
    </row>
    <row r="12879" spans="1:8">
      <c r="A12879" s="317">
        <v>2610033561</v>
      </c>
      <c r="B12879" s="330" t="s">
        <v>57232</v>
      </c>
      <c r="C12879" s="330" t="s">
        <v>27482</v>
      </c>
      <c r="D12879" s="330" t="s">
        <v>7851</v>
      </c>
      <c r="E12879" s="330" t="s">
        <v>37248</v>
      </c>
      <c r="F12879" s="331">
        <v>0.21</v>
      </c>
      <c r="G12879" s="332">
        <v>515</v>
      </c>
      <c r="H12879" s="333">
        <v>624</v>
      </c>
    </row>
    <row r="12880" spans="1:8">
      <c r="A12880" s="317">
        <v>2610033563</v>
      </c>
      <c r="B12880" s="330" t="s">
        <v>57233</v>
      </c>
      <c r="C12880" s="330" t="s">
        <v>27483</v>
      </c>
      <c r="D12880" s="330" t="s">
        <v>27484</v>
      </c>
      <c r="E12880" s="330" t="s">
        <v>37248</v>
      </c>
      <c r="F12880" s="331">
        <v>0.21</v>
      </c>
      <c r="G12880" s="332">
        <v>515</v>
      </c>
      <c r="H12880" s="333">
        <v>624</v>
      </c>
    </row>
    <row r="12881" spans="1:8">
      <c r="A12881" s="317">
        <v>2610033564</v>
      </c>
      <c r="B12881" s="330" t="s">
        <v>57234</v>
      </c>
      <c r="C12881" s="330" t="s">
        <v>27485</v>
      </c>
      <c r="D12881" s="330" t="s">
        <v>9913</v>
      </c>
      <c r="E12881" s="330" t="s">
        <v>37248</v>
      </c>
      <c r="F12881" s="331">
        <v>0.21</v>
      </c>
      <c r="G12881" s="332">
        <v>515</v>
      </c>
      <c r="H12881" s="333">
        <v>624</v>
      </c>
    </row>
    <row r="12882" spans="1:8">
      <c r="A12882" s="317">
        <v>2610033566</v>
      </c>
      <c r="B12882" s="330" t="s">
        <v>57235</v>
      </c>
      <c r="C12882" s="330" t="s">
        <v>27486</v>
      </c>
      <c r="D12882" s="330" t="s">
        <v>27487</v>
      </c>
      <c r="E12882" s="330" t="s">
        <v>37248</v>
      </c>
      <c r="F12882" s="331">
        <v>0.21</v>
      </c>
      <c r="G12882" s="332">
        <v>3694</v>
      </c>
      <c r="H12882" s="333">
        <v>4470</v>
      </c>
    </row>
    <row r="12883" spans="1:8">
      <c r="A12883" s="317">
        <v>2610033571</v>
      </c>
      <c r="B12883" s="330" t="s">
        <v>57236</v>
      </c>
      <c r="C12883" s="330" t="s">
        <v>27488</v>
      </c>
      <c r="D12883" s="330" t="s">
        <v>19265</v>
      </c>
      <c r="E12883" s="330" t="s">
        <v>37248</v>
      </c>
      <c r="F12883" s="331">
        <v>0.21</v>
      </c>
      <c r="G12883" s="332">
        <v>947</v>
      </c>
      <c r="H12883" s="333">
        <v>1146</v>
      </c>
    </row>
    <row r="12884" spans="1:8">
      <c r="A12884" s="317">
        <v>2610033572</v>
      </c>
      <c r="B12884" s="330" t="s">
        <v>57237</v>
      </c>
      <c r="C12884" s="330" t="s">
        <v>27489</v>
      </c>
      <c r="D12884" s="330" t="s">
        <v>12706</v>
      </c>
      <c r="E12884" s="330" t="s">
        <v>37248</v>
      </c>
      <c r="F12884" s="331">
        <v>0.21</v>
      </c>
      <c r="G12884" s="332">
        <v>814</v>
      </c>
      <c r="H12884" s="333">
        <v>985</v>
      </c>
    </row>
    <row r="12885" spans="1:8">
      <c r="A12885" s="317">
        <v>2610033576</v>
      </c>
      <c r="B12885" s="330" t="s">
        <v>57238</v>
      </c>
      <c r="C12885" s="330" t="s">
        <v>27490</v>
      </c>
      <c r="D12885" s="330" t="s">
        <v>27491</v>
      </c>
      <c r="E12885" s="330" t="s">
        <v>37248</v>
      </c>
      <c r="F12885" s="331">
        <v>0.21</v>
      </c>
      <c r="G12885" s="332">
        <v>515</v>
      </c>
      <c r="H12885" s="333">
        <v>624</v>
      </c>
    </row>
    <row r="12886" spans="1:8">
      <c r="A12886" s="317">
        <v>2610033577</v>
      </c>
      <c r="B12886" s="330" t="s">
        <v>57239</v>
      </c>
      <c r="C12886" s="330" t="s">
        <v>27492</v>
      </c>
      <c r="D12886" s="330" t="s">
        <v>27491</v>
      </c>
      <c r="E12886" s="330" t="s">
        <v>37248</v>
      </c>
      <c r="F12886" s="331">
        <v>0.21</v>
      </c>
      <c r="G12886" s="332">
        <v>515</v>
      </c>
      <c r="H12886" s="333">
        <v>624</v>
      </c>
    </row>
    <row r="12887" spans="1:8">
      <c r="A12887" s="317">
        <v>2610033578</v>
      </c>
      <c r="B12887" s="330" t="s">
        <v>57240</v>
      </c>
      <c r="C12887" s="330" t="s">
        <v>27493</v>
      </c>
      <c r="D12887" s="330" t="s">
        <v>27494</v>
      </c>
      <c r="E12887" s="330" t="s">
        <v>37248</v>
      </c>
      <c r="F12887" s="331">
        <v>0.21</v>
      </c>
      <c r="G12887" s="332">
        <v>947</v>
      </c>
      <c r="H12887" s="333">
        <v>1146</v>
      </c>
    </row>
    <row r="12888" spans="1:8">
      <c r="A12888" s="317">
        <v>2610033579</v>
      </c>
      <c r="B12888" s="330" t="s">
        <v>57241</v>
      </c>
      <c r="C12888" s="330" t="s">
        <v>27495</v>
      </c>
      <c r="D12888" s="330" t="s">
        <v>5417</v>
      </c>
      <c r="E12888" s="330" t="s">
        <v>37248</v>
      </c>
      <c r="F12888" s="331">
        <v>0.21</v>
      </c>
      <c r="G12888" s="332">
        <v>515</v>
      </c>
      <c r="H12888" s="333">
        <v>624</v>
      </c>
    </row>
    <row r="12889" spans="1:8">
      <c r="A12889" s="317">
        <v>2610033580</v>
      </c>
      <c r="B12889" s="330" t="s">
        <v>57242</v>
      </c>
      <c r="C12889" s="330" t="s">
        <v>27496</v>
      </c>
      <c r="D12889" s="330" t="s">
        <v>13516</v>
      </c>
      <c r="E12889" s="330" t="s">
        <v>37248</v>
      </c>
      <c r="F12889" s="331">
        <v>0.21</v>
      </c>
      <c r="G12889" s="332">
        <v>305</v>
      </c>
      <c r="H12889" s="333">
        <v>370</v>
      </c>
    </row>
    <row r="12890" spans="1:8">
      <c r="A12890" s="317">
        <v>2610033581</v>
      </c>
      <c r="B12890" s="330" t="s">
        <v>57243</v>
      </c>
      <c r="C12890" s="330" t="s">
        <v>27497</v>
      </c>
      <c r="D12890" s="330" t="s">
        <v>27498</v>
      </c>
      <c r="E12890" s="330" t="s">
        <v>37248</v>
      </c>
      <c r="F12890" s="331">
        <v>0.21</v>
      </c>
      <c r="G12890" s="332">
        <v>689</v>
      </c>
      <c r="H12890" s="333">
        <v>834</v>
      </c>
    </row>
    <row r="12891" spans="1:8">
      <c r="A12891" s="317">
        <v>2610033592</v>
      </c>
      <c r="B12891" s="330" t="s">
        <v>57244</v>
      </c>
      <c r="C12891" s="330" t="s">
        <v>27499</v>
      </c>
      <c r="D12891" s="330" t="s">
        <v>27500</v>
      </c>
      <c r="E12891" s="330" t="s">
        <v>4623</v>
      </c>
      <c r="F12891" s="331">
        <v>0.21</v>
      </c>
      <c r="G12891" s="332">
        <v>51086</v>
      </c>
      <c r="H12891" s="333">
        <v>61815</v>
      </c>
    </row>
    <row r="12892" spans="1:8">
      <c r="A12892" s="317">
        <v>2610033601</v>
      </c>
      <c r="B12892" s="330" t="s">
        <v>57245</v>
      </c>
      <c r="C12892" s="330" t="s">
        <v>27501</v>
      </c>
      <c r="D12892" s="330" t="s">
        <v>27502</v>
      </c>
      <c r="E12892" s="330" t="s">
        <v>4634</v>
      </c>
      <c r="F12892" s="331">
        <v>0.21</v>
      </c>
      <c r="G12892" s="332">
        <v>1963</v>
      </c>
      <c r="H12892" s="333">
        <v>2376</v>
      </c>
    </row>
    <row r="12893" spans="1:8">
      <c r="A12893" s="317">
        <v>2610033602</v>
      </c>
      <c r="B12893" s="330" t="s">
        <v>57246</v>
      </c>
      <c r="C12893" s="330" t="s">
        <v>27503</v>
      </c>
      <c r="D12893" s="330" t="s">
        <v>7879</v>
      </c>
      <c r="E12893" s="330" t="s">
        <v>37248</v>
      </c>
      <c r="F12893" s="331">
        <v>0.21</v>
      </c>
      <c r="G12893" s="332">
        <v>3756</v>
      </c>
      <c r="H12893" s="333">
        <v>4545</v>
      </c>
    </row>
    <row r="12894" spans="1:8">
      <c r="A12894" s="317">
        <v>2610033603</v>
      </c>
      <c r="B12894" s="330" t="s">
        <v>57247</v>
      </c>
      <c r="C12894" s="330" t="s">
        <v>27504</v>
      </c>
      <c r="D12894" s="330" t="s">
        <v>27505</v>
      </c>
      <c r="E12894" s="330" t="s">
        <v>4819</v>
      </c>
      <c r="F12894" s="331">
        <v>0.21</v>
      </c>
      <c r="G12894" s="332">
        <v>11124</v>
      </c>
      <c r="H12894" s="333">
        <v>13461</v>
      </c>
    </row>
    <row r="12895" spans="1:8">
      <c r="A12895" s="317">
        <v>2610033606</v>
      </c>
      <c r="B12895" s="330" t="s">
        <v>57248</v>
      </c>
      <c r="C12895" s="330" t="s">
        <v>27506</v>
      </c>
      <c r="D12895" s="330" t="s">
        <v>27507</v>
      </c>
      <c r="E12895" s="330" t="s">
        <v>37248</v>
      </c>
      <c r="F12895" s="331">
        <v>0.21</v>
      </c>
      <c r="G12895" s="332">
        <v>2001</v>
      </c>
      <c r="H12895" s="333">
        <v>2422</v>
      </c>
    </row>
    <row r="12896" spans="1:8">
      <c r="A12896" s="317">
        <v>2610033973</v>
      </c>
      <c r="B12896" s="330" t="s">
        <v>57249</v>
      </c>
      <c r="C12896" s="330" t="s">
        <v>27508</v>
      </c>
      <c r="D12896" s="330" t="s">
        <v>27509</v>
      </c>
      <c r="E12896" s="330" t="s">
        <v>4819</v>
      </c>
      <c r="F12896" s="331">
        <v>0.21</v>
      </c>
      <c r="G12896" s="332">
        <v>8900</v>
      </c>
      <c r="H12896" s="333">
        <v>10769</v>
      </c>
    </row>
    <row r="12897" spans="1:8">
      <c r="A12897" s="317">
        <v>2610033988</v>
      </c>
      <c r="B12897" s="330" t="s">
        <v>57250</v>
      </c>
      <c r="C12897" s="330" t="s">
        <v>27510</v>
      </c>
      <c r="D12897" s="330" t="s">
        <v>27511</v>
      </c>
      <c r="E12897" s="330" t="s">
        <v>4634</v>
      </c>
      <c r="F12897" s="331">
        <v>0.21</v>
      </c>
      <c r="G12897" s="332">
        <v>7162</v>
      </c>
      <c r="H12897" s="333">
        <v>8667</v>
      </c>
    </row>
    <row r="12898" spans="1:8">
      <c r="A12898" s="317">
        <v>2610034087</v>
      </c>
      <c r="B12898" s="330" t="s">
        <v>57251</v>
      </c>
      <c r="C12898" s="330" t="s">
        <v>27512</v>
      </c>
      <c r="D12898" s="330" t="s">
        <v>5075</v>
      </c>
      <c r="E12898" s="330" t="s">
        <v>37248</v>
      </c>
      <c r="F12898" s="331">
        <v>0.21</v>
      </c>
      <c r="G12898" s="332">
        <v>38068</v>
      </c>
      <c r="H12898" s="333">
        <v>46063</v>
      </c>
    </row>
    <row r="12899" spans="1:8">
      <c r="A12899" s="317">
        <v>2610034090</v>
      </c>
      <c r="B12899" s="330" t="s">
        <v>57252</v>
      </c>
      <c r="C12899" s="330" t="s">
        <v>27513</v>
      </c>
      <c r="D12899" s="330" t="s">
        <v>13060</v>
      </c>
      <c r="E12899" s="330" t="s">
        <v>37248</v>
      </c>
      <c r="F12899" s="331">
        <v>0.21</v>
      </c>
      <c r="G12899" s="332">
        <v>19086</v>
      </c>
      <c r="H12899" s="333">
        <v>23095</v>
      </c>
    </row>
    <row r="12900" spans="1:8">
      <c r="A12900" s="317">
        <v>2610034094</v>
      </c>
      <c r="B12900" s="330" t="s">
        <v>57253</v>
      </c>
      <c r="C12900" s="330" t="s">
        <v>27514</v>
      </c>
      <c r="D12900" s="330" t="s">
        <v>7653</v>
      </c>
      <c r="E12900" s="330" t="s">
        <v>37248</v>
      </c>
      <c r="F12900" s="331">
        <v>0.21</v>
      </c>
      <c r="G12900" s="332">
        <v>305</v>
      </c>
      <c r="H12900" s="333">
        <v>370</v>
      </c>
    </row>
    <row r="12901" spans="1:8">
      <c r="A12901" s="317">
        <v>2610034095</v>
      </c>
      <c r="B12901" s="330" t="s">
        <v>57254</v>
      </c>
      <c r="C12901" s="330" t="s">
        <v>27515</v>
      </c>
      <c r="D12901" s="330" t="s">
        <v>8083</v>
      </c>
      <c r="E12901" s="330" t="s">
        <v>37248</v>
      </c>
      <c r="F12901" s="331">
        <v>0.21</v>
      </c>
      <c r="G12901" s="332">
        <v>515</v>
      </c>
      <c r="H12901" s="333">
        <v>624</v>
      </c>
    </row>
    <row r="12902" spans="1:8">
      <c r="A12902" s="317">
        <v>2610034096</v>
      </c>
      <c r="B12902" s="330" t="s">
        <v>57255</v>
      </c>
      <c r="C12902" s="330" t="s">
        <v>27516</v>
      </c>
      <c r="D12902" s="330" t="s">
        <v>27517</v>
      </c>
      <c r="E12902" s="330" t="s">
        <v>37248</v>
      </c>
      <c r="F12902" s="331">
        <v>0.21</v>
      </c>
      <c r="G12902" s="332">
        <v>3267</v>
      </c>
      <c r="H12902" s="333">
        <v>3954</v>
      </c>
    </row>
    <row r="12903" spans="1:8">
      <c r="A12903" s="317">
        <v>2610034103</v>
      </c>
      <c r="B12903" s="330" t="s">
        <v>57256</v>
      </c>
      <c r="C12903" s="330" t="s">
        <v>27518</v>
      </c>
      <c r="D12903" s="330" t="s">
        <v>7801</v>
      </c>
      <c r="E12903" s="330" t="s">
        <v>37248</v>
      </c>
      <c r="F12903" s="331">
        <v>0.21</v>
      </c>
      <c r="G12903" s="332">
        <v>305</v>
      </c>
      <c r="H12903" s="333">
        <v>370</v>
      </c>
    </row>
    <row r="12904" spans="1:8">
      <c r="A12904" s="317">
        <v>2610034140</v>
      </c>
      <c r="B12904" s="330" t="s">
        <v>57257</v>
      </c>
      <c r="C12904" s="330" t="s">
        <v>27519</v>
      </c>
      <c r="D12904" s="330" t="s">
        <v>7653</v>
      </c>
      <c r="E12904" s="330" t="s">
        <v>37248</v>
      </c>
      <c r="F12904" s="331">
        <v>0.21</v>
      </c>
      <c r="G12904" s="332">
        <v>305</v>
      </c>
      <c r="H12904" s="333">
        <v>370</v>
      </c>
    </row>
    <row r="12905" spans="1:8">
      <c r="A12905" s="317">
        <v>2610034141</v>
      </c>
      <c r="B12905" s="330" t="s">
        <v>57258</v>
      </c>
      <c r="C12905" s="330" t="s">
        <v>27520</v>
      </c>
      <c r="D12905" s="330" t="s">
        <v>27498</v>
      </c>
      <c r="E12905" s="330" t="s">
        <v>37248</v>
      </c>
      <c r="F12905" s="331">
        <v>0.21</v>
      </c>
      <c r="G12905" s="332">
        <v>515</v>
      </c>
      <c r="H12905" s="333">
        <v>624</v>
      </c>
    </row>
    <row r="12906" spans="1:8">
      <c r="A12906" s="317">
        <v>2610034142</v>
      </c>
      <c r="B12906" s="330" t="s">
        <v>57259</v>
      </c>
      <c r="C12906" s="330" t="s">
        <v>27521</v>
      </c>
      <c r="D12906" s="330" t="s">
        <v>6803</v>
      </c>
      <c r="E12906" s="330" t="s">
        <v>37248</v>
      </c>
      <c r="F12906" s="331">
        <v>0.21</v>
      </c>
      <c r="G12906" s="332">
        <v>305</v>
      </c>
      <c r="H12906" s="333">
        <v>370</v>
      </c>
    </row>
    <row r="12907" spans="1:8">
      <c r="A12907" s="317">
        <v>2610034143</v>
      </c>
      <c r="B12907" s="330" t="s">
        <v>57260</v>
      </c>
      <c r="C12907" s="330" t="s">
        <v>27522</v>
      </c>
      <c r="D12907" s="330" t="s">
        <v>8091</v>
      </c>
      <c r="E12907" s="330" t="s">
        <v>37248</v>
      </c>
      <c r="F12907" s="331">
        <v>0.21</v>
      </c>
      <c r="G12907" s="332">
        <v>305</v>
      </c>
      <c r="H12907" s="333">
        <v>370</v>
      </c>
    </row>
    <row r="12908" spans="1:8">
      <c r="A12908" s="317">
        <v>2610034144</v>
      </c>
      <c r="B12908" s="330" t="s">
        <v>57261</v>
      </c>
      <c r="C12908" s="330" t="s">
        <v>27523</v>
      </c>
      <c r="D12908" s="330" t="s">
        <v>7653</v>
      </c>
      <c r="E12908" s="330" t="s">
        <v>37248</v>
      </c>
      <c r="F12908" s="331">
        <v>0.21</v>
      </c>
      <c r="G12908" s="332">
        <v>305</v>
      </c>
      <c r="H12908" s="333">
        <v>370</v>
      </c>
    </row>
    <row r="12909" spans="1:8">
      <c r="A12909" s="317">
        <v>2610034145</v>
      </c>
      <c r="B12909" s="330" t="s">
        <v>57262</v>
      </c>
      <c r="C12909" s="330" t="s">
        <v>27524</v>
      </c>
      <c r="D12909" s="330" t="s">
        <v>7653</v>
      </c>
      <c r="E12909" s="330" t="s">
        <v>37248</v>
      </c>
      <c r="F12909" s="331">
        <v>0.21</v>
      </c>
      <c r="G12909" s="332">
        <v>305</v>
      </c>
      <c r="H12909" s="333">
        <v>370</v>
      </c>
    </row>
    <row r="12910" spans="1:8">
      <c r="A12910" s="317">
        <v>2610034146</v>
      </c>
      <c r="B12910" s="330" t="s">
        <v>57263</v>
      </c>
      <c r="C12910" s="330" t="s">
        <v>27525</v>
      </c>
      <c r="D12910" s="330" t="s">
        <v>7653</v>
      </c>
      <c r="E12910" s="330" t="s">
        <v>37248</v>
      </c>
      <c r="F12910" s="331">
        <v>0.21</v>
      </c>
      <c r="G12910" s="332">
        <v>305</v>
      </c>
      <c r="H12910" s="333">
        <v>370</v>
      </c>
    </row>
    <row r="12911" spans="1:8">
      <c r="A12911" s="317">
        <v>2610034147</v>
      </c>
      <c r="B12911" s="330" t="s">
        <v>57264</v>
      </c>
      <c r="C12911" s="330" t="s">
        <v>27526</v>
      </c>
      <c r="D12911" s="330" t="s">
        <v>4654</v>
      </c>
      <c r="E12911" s="330" t="s">
        <v>37248</v>
      </c>
      <c r="F12911" s="331">
        <v>0.21</v>
      </c>
      <c r="G12911" s="332">
        <v>305</v>
      </c>
      <c r="H12911" s="333">
        <v>370</v>
      </c>
    </row>
    <row r="12912" spans="1:8">
      <c r="A12912" s="317">
        <v>2610034148</v>
      </c>
      <c r="B12912" s="330" t="s">
        <v>57265</v>
      </c>
      <c r="C12912" s="330" t="s">
        <v>27527</v>
      </c>
      <c r="D12912" s="330" t="s">
        <v>27498</v>
      </c>
      <c r="E12912" s="330" t="s">
        <v>37248</v>
      </c>
      <c r="F12912" s="331">
        <v>0.21</v>
      </c>
      <c r="G12912" s="332">
        <v>689</v>
      </c>
      <c r="H12912" s="333">
        <v>834</v>
      </c>
    </row>
    <row r="12913" spans="1:8">
      <c r="A12913" s="317">
        <v>2610034150</v>
      </c>
      <c r="B12913" s="330" t="s">
        <v>57266</v>
      </c>
      <c r="C12913" s="330" t="s">
        <v>27528</v>
      </c>
      <c r="D12913" s="330" t="s">
        <v>12706</v>
      </c>
      <c r="E12913" s="330" t="s">
        <v>37248</v>
      </c>
      <c r="F12913" s="331">
        <v>0.21</v>
      </c>
      <c r="G12913" s="332">
        <v>305</v>
      </c>
      <c r="H12913" s="333">
        <v>370</v>
      </c>
    </row>
    <row r="12914" spans="1:8">
      <c r="A12914" s="317">
        <v>2610034151</v>
      </c>
      <c r="B12914" s="330" t="s">
        <v>57267</v>
      </c>
      <c r="C12914" s="330" t="s">
        <v>27529</v>
      </c>
      <c r="D12914" s="330" t="s">
        <v>12776</v>
      </c>
      <c r="E12914" s="330" t="s">
        <v>37248</v>
      </c>
      <c r="F12914" s="331">
        <v>0.21</v>
      </c>
      <c r="G12914" s="332">
        <v>305</v>
      </c>
      <c r="H12914" s="333">
        <v>370</v>
      </c>
    </row>
    <row r="12915" spans="1:8">
      <c r="A12915" s="317">
        <v>2610034153</v>
      </c>
      <c r="B12915" s="330" t="s">
        <v>57268</v>
      </c>
      <c r="C12915" s="330" t="s">
        <v>27530</v>
      </c>
      <c r="D12915" s="330" t="s">
        <v>6408</v>
      </c>
      <c r="E12915" s="330" t="s">
        <v>37248</v>
      </c>
      <c r="F12915" s="331">
        <v>0.21</v>
      </c>
      <c r="G12915" s="332">
        <v>305</v>
      </c>
      <c r="H12915" s="333">
        <v>370</v>
      </c>
    </row>
    <row r="12916" spans="1:8">
      <c r="A12916" s="317">
        <v>2610034156</v>
      </c>
      <c r="B12916" s="330" t="s">
        <v>57269</v>
      </c>
      <c r="C12916" s="330" t="s">
        <v>27531</v>
      </c>
      <c r="D12916" s="330" t="s">
        <v>7818</v>
      </c>
      <c r="E12916" s="330" t="s">
        <v>37248</v>
      </c>
      <c r="F12916" s="331">
        <v>0.21</v>
      </c>
      <c r="G12916" s="332">
        <v>305</v>
      </c>
      <c r="H12916" s="333">
        <v>370</v>
      </c>
    </row>
    <row r="12917" spans="1:8">
      <c r="A12917" s="317">
        <v>2610034157</v>
      </c>
      <c r="B12917" s="330" t="s">
        <v>57270</v>
      </c>
      <c r="C12917" s="330" t="s">
        <v>27532</v>
      </c>
      <c r="D12917" s="330" t="s">
        <v>7818</v>
      </c>
      <c r="E12917" s="330" t="s">
        <v>37248</v>
      </c>
      <c r="F12917" s="331">
        <v>0.21</v>
      </c>
      <c r="G12917" s="332">
        <v>305</v>
      </c>
      <c r="H12917" s="333">
        <v>370</v>
      </c>
    </row>
    <row r="12918" spans="1:8">
      <c r="A12918" s="317">
        <v>2610034158</v>
      </c>
      <c r="B12918" s="330" t="s">
        <v>57271</v>
      </c>
      <c r="C12918" s="330" t="s">
        <v>27533</v>
      </c>
      <c r="D12918" s="330" t="s">
        <v>7653</v>
      </c>
      <c r="E12918" s="330" t="s">
        <v>37248</v>
      </c>
      <c r="F12918" s="331">
        <v>0.21</v>
      </c>
      <c r="G12918" s="332">
        <v>305</v>
      </c>
      <c r="H12918" s="333">
        <v>370</v>
      </c>
    </row>
    <row r="12919" spans="1:8">
      <c r="A12919" s="317">
        <v>2610034159</v>
      </c>
      <c r="B12919" s="330" t="s">
        <v>57272</v>
      </c>
      <c r="C12919" s="330" t="s">
        <v>27534</v>
      </c>
      <c r="D12919" s="330" t="s">
        <v>7653</v>
      </c>
      <c r="E12919" s="330" t="s">
        <v>37248</v>
      </c>
      <c r="F12919" s="331">
        <v>0.21</v>
      </c>
      <c r="G12919" s="332">
        <v>305</v>
      </c>
      <c r="H12919" s="333">
        <v>370</v>
      </c>
    </row>
    <row r="12920" spans="1:8">
      <c r="A12920" s="317">
        <v>2610034161</v>
      </c>
      <c r="B12920" s="330" t="s">
        <v>57273</v>
      </c>
      <c r="C12920" s="330" t="s">
        <v>27535</v>
      </c>
      <c r="D12920" s="330" t="s">
        <v>27536</v>
      </c>
      <c r="E12920" s="330" t="s">
        <v>37248</v>
      </c>
      <c r="F12920" s="331">
        <v>0.21</v>
      </c>
      <c r="G12920" s="332">
        <v>305</v>
      </c>
      <c r="H12920" s="333">
        <v>370</v>
      </c>
    </row>
    <row r="12921" spans="1:8">
      <c r="A12921" s="317">
        <v>2610035222</v>
      </c>
      <c r="B12921" s="330" t="s">
        <v>57274</v>
      </c>
      <c r="C12921" s="330" t="s">
        <v>27537</v>
      </c>
      <c r="D12921" s="330" t="s">
        <v>25603</v>
      </c>
      <c r="E12921" s="330" t="s">
        <v>37248</v>
      </c>
      <c r="F12921" s="331">
        <v>0.21</v>
      </c>
      <c r="G12921" s="332">
        <v>6984</v>
      </c>
      <c r="H12921" s="333">
        <v>8451</v>
      </c>
    </row>
    <row r="12922" spans="1:8">
      <c r="A12922" s="317">
        <v>2610035267</v>
      </c>
      <c r="B12922" s="330" t="s">
        <v>57275</v>
      </c>
      <c r="C12922" s="330" t="s">
        <v>27538</v>
      </c>
      <c r="D12922" s="330" t="s">
        <v>8229</v>
      </c>
      <c r="E12922" s="330" t="s">
        <v>37248</v>
      </c>
      <c r="F12922" s="331">
        <v>0.21</v>
      </c>
      <c r="G12922" s="332">
        <v>2119</v>
      </c>
      <c r="H12922" s="333">
        <v>2564</v>
      </c>
    </row>
    <row r="12923" spans="1:8">
      <c r="A12923" s="317">
        <v>2610035686</v>
      </c>
      <c r="B12923" s="330" t="s">
        <v>57276</v>
      </c>
      <c r="C12923" s="330" t="s">
        <v>27539</v>
      </c>
      <c r="D12923" s="330" t="s">
        <v>20316</v>
      </c>
      <c r="E12923" s="330" t="s">
        <v>4819</v>
      </c>
      <c r="F12923" s="331">
        <v>0.21</v>
      </c>
      <c r="G12923" s="332">
        <v>13629</v>
      </c>
      <c r="H12923" s="333">
        <v>16492</v>
      </c>
    </row>
    <row r="12924" spans="1:8">
      <c r="A12924" s="317">
        <v>2610035687</v>
      </c>
      <c r="B12924" s="330" t="s">
        <v>57277</v>
      </c>
      <c r="C12924" s="330" t="s">
        <v>27540</v>
      </c>
      <c r="D12924" s="330" t="s">
        <v>27541</v>
      </c>
      <c r="E12924" s="330" t="s">
        <v>4634</v>
      </c>
      <c r="F12924" s="331">
        <v>0.21</v>
      </c>
      <c r="G12924" s="332">
        <v>1827</v>
      </c>
      <c r="H12924" s="333">
        <v>2211</v>
      </c>
    </row>
    <row r="12925" spans="1:8">
      <c r="A12925" s="317">
        <v>2610035688</v>
      </c>
      <c r="B12925" s="330" t="s">
        <v>57278</v>
      </c>
      <c r="C12925" s="330" t="s">
        <v>27542</v>
      </c>
      <c r="D12925" s="330" t="s">
        <v>27543</v>
      </c>
      <c r="E12925" s="330" t="s">
        <v>4819</v>
      </c>
      <c r="F12925" s="331">
        <v>0.21</v>
      </c>
      <c r="G12925" s="332">
        <v>4407</v>
      </c>
      <c r="H12925" s="333">
        <v>5333</v>
      </c>
    </row>
    <row r="12926" spans="1:8">
      <c r="A12926" s="317">
        <v>2610039153</v>
      </c>
      <c r="B12926" s="330" t="s">
        <v>57279</v>
      </c>
      <c r="C12926" s="330" t="s">
        <v>27544</v>
      </c>
      <c r="D12926" s="330" t="s">
        <v>20485</v>
      </c>
      <c r="E12926" s="330" t="s">
        <v>4819</v>
      </c>
      <c r="F12926" s="331">
        <v>0.21</v>
      </c>
      <c r="G12926" s="332">
        <v>15325</v>
      </c>
      <c r="H12926" s="333">
        <v>18544</v>
      </c>
    </row>
    <row r="12927" spans="1:8">
      <c r="A12927" s="317">
        <v>2610039904</v>
      </c>
      <c r="B12927" s="330" t="s">
        <v>57280</v>
      </c>
      <c r="C12927" s="330" t="s">
        <v>27545</v>
      </c>
      <c r="D12927" s="330" t="s">
        <v>27546</v>
      </c>
      <c r="E12927" s="330" t="s">
        <v>4634</v>
      </c>
      <c r="F12927" s="331">
        <v>0.21</v>
      </c>
      <c r="G12927" s="332">
        <v>372</v>
      </c>
      <c r="H12927" s="333">
        <v>451</v>
      </c>
    </row>
    <row r="12928" spans="1:8">
      <c r="A12928" s="317">
        <v>2610042699</v>
      </c>
      <c r="B12928" s="330" t="s">
        <v>57281</v>
      </c>
      <c r="C12928" s="330" t="s">
        <v>27547</v>
      </c>
      <c r="D12928" s="330" t="s">
        <v>27548</v>
      </c>
      <c r="E12928" s="330" t="s">
        <v>4634</v>
      </c>
      <c r="F12928" s="331">
        <v>0.21</v>
      </c>
      <c r="G12928" s="332">
        <v>1907</v>
      </c>
      <c r="H12928" s="333">
        <v>2308</v>
      </c>
    </row>
    <row r="12929" spans="1:8">
      <c r="A12929" s="317">
        <v>2610043378</v>
      </c>
      <c r="B12929" s="330" t="s">
        <v>57282</v>
      </c>
      <c r="C12929" s="330" t="s">
        <v>27549</v>
      </c>
      <c r="D12929" s="330" t="s">
        <v>12484</v>
      </c>
      <c r="E12929" s="330" t="s">
        <v>37248</v>
      </c>
      <c r="F12929" s="331">
        <v>0.21</v>
      </c>
      <c r="G12929" s="332">
        <v>435</v>
      </c>
      <c r="H12929" s="333">
        <v>527</v>
      </c>
    </row>
    <row r="12930" spans="1:8">
      <c r="A12930" s="317">
        <v>2610045182</v>
      </c>
      <c r="B12930" s="330" t="s">
        <v>57283</v>
      </c>
      <c r="C12930" s="330" t="s">
        <v>27550</v>
      </c>
      <c r="D12930" s="330" t="s">
        <v>8379</v>
      </c>
      <c r="E12930" s="330" t="s">
        <v>4634</v>
      </c>
      <c r="F12930" s="331">
        <v>0.21</v>
      </c>
      <c r="G12930" s="332">
        <v>475</v>
      </c>
      <c r="H12930" s="333">
        <v>575</v>
      </c>
    </row>
    <row r="12931" spans="1:8">
      <c r="A12931" s="317">
        <v>2610052109</v>
      </c>
      <c r="B12931" s="330" t="s">
        <v>57284</v>
      </c>
      <c r="C12931" s="330" t="s">
        <v>27551</v>
      </c>
      <c r="D12931" s="330" t="s">
        <v>27552</v>
      </c>
      <c r="E12931" s="330" t="s">
        <v>37248</v>
      </c>
      <c r="F12931" s="331">
        <v>0.21</v>
      </c>
      <c r="G12931" s="332">
        <v>178</v>
      </c>
      <c r="H12931" s="333">
        <v>216</v>
      </c>
    </row>
    <row r="12932" spans="1:8">
      <c r="A12932" s="317">
        <v>2610060362</v>
      </c>
      <c r="B12932" s="330" t="s">
        <v>57285</v>
      </c>
      <c r="C12932" s="330" t="s">
        <v>27553</v>
      </c>
      <c r="D12932" s="330" t="s">
        <v>12706</v>
      </c>
      <c r="E12932" s="330" t="s">
        <v>37248</v>
      </c>
      <c r="F12932" s="331">
        <v>0.21</v>
      </c>
      <c r="G12932" s="332">
        <v>976</v>
      </c>
      <c r="H12932" s="333">
        <v>1181</v>
      </c>
    </row>
    <row r="12933" spans="1:8">
      <c r="A12933" s="317">
        <v>2610061550</v>
      </c>
      <c r="B12933" s="330" t="s">
        <v>57286</v>
      </c>
      <c r="C12933" s="330" t="s">
        <v>27554</v>
      </c>
      <c r="D12933" s="330" t="s">
        <v>27555</v>
      </c>
      <c r="E12933" s="330" t="s">
        <v>4634</v>
      </c>
      <c r="F12933" s="331">
        <v>0.21</v>
      </c>
      <c r="G12933" s="332">
        <v>1233</v>
      </c>
      <c r="H12933" s="333">
        <v>1492</v>
      </c>
    </row>
    <row r="12934" spans="1:8">
      <c r="A12934" s="317">
        <v>2610062425</v>
      </c>
      <c r="B12934" s="330" t="s">
        <v>57287</v>
      </c>
      <c r="C12934" s="330" t="s">
        <v>27556</v>
      </c>
      <c r="D12934" s="330" t="s">
        <v>27557</v>
      </c>
      <c r="E12934" s="330" t="s">
        <v>4634</v>
      </c>
      <c r="F12934" s="331">
        <v>0.21</v>
      </c>
      <c r="G12934" s="332">
        <v>372</v>
      </c>
      <c r="H12934" s="333">
        <v>451</v>
      </c>
    </row>
    <row r="12935" spans="1:8">
      <c r="A12935" s="317">
        <v>2610062916</v>
      </c>
      <c r="B12935" s="330" t="s">
        <v>57288</v>
      </c>
      <c r="C12935" s="330" t="s">
        <v>27558</v>
      </c>
      <c r="D12935" s="330" t="s">
        <v>27559</v>
      </c>
      <c r="E12935" s="330" t="s">
        <v>4634</v>
      </c>
      <c r="F12935" s="331">
        <v>0.21</v>
      </c>
      <c r="G12935" s="332">
        <v>372</v>
      </c>
      <c r="H12935" s="333">
        <v>451</v>
      </c>
    </row>
    <row r="12936" spans="1:8">
      <c r="A12936" s="317">
        <v>2610068566</v>
      </c>
      <c r="B12936" s="330" t="s">
        <v>57289</v>
      </c>
      <c r="C12936" s="330" t="s">
        <v>27560</v>
      </c>
      <c r="D12936" s="330" t="s">
        <v>27561</v>
      </c>
      <c r="E12936" s="330" t="s">
        <v>4634</v>
      </c>
      <c r="F12936" s="331">
        <v>0.21</v>
      </c>
      <c r="G12936" s="332">
        <v>711</v>
      </c>
      <c r="H12936" s="333">
        <v>861</v>
      </c>
    </row>
    <row r="12937" spans="1:8">
      <c r="A12937" s="317">
        <v>2610069183</v>
      </c>
      <c r="B12937" s="330" t="s">
        <v>57290</v>
      </c>
      <c r="C12937" s="330" t="s">
        <v>27562</v>
      </c>
      <c r="D12937" s="330" t="s">
        <v>27561</v>
      </c>
      <c r="E12937" s="330" t="s">
        <v>4634</v>
      </c>
      <c r="F12937" s="331">
        <v>0.21</v>
      </c>
      <c r="G12937" s="332">
        <v>564</v>
      </c>
      <c r="H12937" s="333">
        <v>683</v>
      </c>
    </row>
    <row r="12938" spans="1:8">
      <c r="A12938" s="317">
        <v>2610072554</v>
      </c>
      <c r="B12938" s="330" t="s">
        <v>57291</v>
      </c>
      <c r="C12938" s="330" t="s">
        <v>27563</v>
      </c>
      <c r="D12938" s="330" t="s">
        <v>27564</v>
      </c>
      <c r="E12938" s="330" t="s">
        <v>4634</v>
      </c>
      <c r="F12938" s="331">
        <v>0.21</v>
      </c>
      <c r="G12938" s="332">
        <v>372</v>
      </c>
      <c r="H12938" s="333">
        <v>451</v>
      </c>
    </row>
    <row r="12939" spans="1:8">
      <c r="A12939" s="317">
        <v>2610096901</v>
      </c>
      <c r="B12939" s="330" t="s">
        <v>57292</v>
      </c>
      <c r="C12939" s="330" t="s">
        <v>27565</v>
      </c>
      <c r="D12939" s="330" t="s">
        <v>27566</v>
      </c>
      <c r="E12939" s="330" t="s">
        <v>4634</v>
      </c>
      <c r="F12939" s="331">
        <v>0.21</v>
      </c>
      <c r="G12939" s="332">
        <v>8918</v>
      </c>
      <c r="H12939" s="333">
        <v>10791</v>
      </c>
    </row>
    <row r="12940" spans="1:8">
      <c r="A12940" s="317">
        <v>2610233020</v>
      </c>
      <c r="B12940" s="330" t="s">
        <v>57293</v>
      </c>
      <c r="C12940" s="330" t="s">
        <v>27567</v>
      </c>
      <c r="D12940" s="330" t="s">
        <v>27568</v>
      </c>
      <c r="E12940" s="330" t="s">
        <v>37248</v>
      </c>
      <c r="F12940" s="331">
        <v>0.21</v>
      </c>
      <c r="G12940" s="332">
        <v>3154</v>
      </c>
      <c r="H12940" s="333">
        <v>3817</v>
      </c>
    </row>
    <row r="12941" spans="1:8">
      <c r="A12941" s="317">
        <v>2610296243</v>
      </c>
      <c r="B12941" s="330" t="s">
        <v>57294</v>
      </c>
      <c r="C12941" s="330" t="s">
        <v>27569</v>
      </c>
      <c r="D12941" s="330" t="s">
        <v>11698</v>
      </c>
      <c r="E12941" s="330" t="s">
        <v>4634</v>
      </c>
      <c r="F12941" s="331">
        <v>0.21</v>
      </c>
      <c r="G12941" s="332">
        <v>359</v>
      </c>
      <c r="H12941" s="333">
        <v>435</v>
      </c>
    </row>
    <row r="12942" spans="1:8">
      <c r="A12942" s="317">
        <v>2610297323</v>
      </c>
      <c r="B12942" s="330" t="s">
        <v>57295</v>
      </c>
      <c r="C12942" s="330" t="s">
        <v>27570</v>
      </c>
      <c r="D12942" s="330" t="s">
        <v>11698</v>
      </c>
      <c r="E12942" s="330" t="s">
        <v>4634</v>
      </c>
      <c r="F12942" s="331">
        <v>0.21</v>
      </c>
      <c r="G12942" s="332">
        <v>180</v>
      </c>
      <c r="H12942" s="333">
        <v>218</v>
      </c>
    </row>
    <row r="12943" spans="1:8">
      <c r="A12943" s="317">
        <v>2610302855</v>
      </c>
      <c r="B12943" s="330" t="s">
        <v>57296</v>
      </c>
      <c r="C12943" s="330" t="s">
        <v>27571</v>
      </c>
      <c r="D12943" s="330" t="s">
        <v>27572</v>
      </c>
      <c r="E12943" s="330" t="s">
        <v>4634</v>
      </c>
      <c r="F12943" s="331">
        <v>0.21</v>
      </c>
      <c r="G12943" s="332">
        <v>673</v>
      </c>
      <c r="H12943" s="333">
        <v>815</v>
      </c>
    </row>
    <row r="12944" spans="1:8">
      <c r="A12944" s="317">
        <v>2610303020</v>
      </c>
      <c r="B12944" s="330" t="s">
        <v>57297</v>
      </c>
      <c r="C12944" s="330" t="s">
        <v>27573</v>
      </c>
      <c r="D12944" s="330" t="s">
        <v>11708</v>
      </c>
      <c r="E12944" s="330" t="s">
        <v>4634</v>
      </c>
      <c r="F12944" s="331">
        <v>0.21</v>
      </c>
      <c r="G12944" s="332">
        <v>265</v>
      </c>
      <c r="H12944" s="333">
        <v>321</v>
      </c>
    </row>
    <row r="12945" spans="1:8">
      <c r="A12945" s="317">
        <v>2610303023</v>
      </c>
      <c r="B12945" s="330" t="s">
        <v>57298</v>
      </c>
      <c r="C12945" s="330" t="s">
        <v>27574</v>
      </c>
      <c r="D12945" s="330" t="s">
        <v>11698</v>
      </c>
      <c r="E12945" s="330" t="s">
        <v>4634</v>
      </c>
      <c r="F12945" s="331">
        <v>0.21</v>
      </c>
      <c r="G12945" s="332">
        <v>274</v>
      </c>
      <c r="H12945" s="333">
        <v>332</v>
      </c>
    </row>
    <row r="12946" spans="1:8">
      <c r="A12946" s="317">
        <v>2610303026</v>
      </c>
      <c r="B12946" s="330" t="s">
        <v>57299</v>
      </c>
      <c r="C12946" s="330" t="s">
        <v>27575</v>
      </c>
      <c r="D12946" s="330" t="s">
        <v>11698</v>
      </c>
      <c r="E12946" s="330" t="s">
        <v>4634</v>
      </c>
      <c r="F12946" s="331">
        <v>0.21</v>
      </c>
      <c r="G12946" s="332">
        <v>274</v>
      </c>
      <c r="H12946" s="333">
        <v>332</v>
      </c>
    </row>
    <row r="12947" spans="1:8">
      <c r="A12947" s="317">
        <v>2610303029</v>
      </c>
      <c r="B12947" s="330" t="s">
        <v>57300</v>
      </c>
      <c r="C12947" s="330" t="s">
        <v>27576</v>
      </c>
      <c r="D12947" s="330" t="s">
        <v>11698</v>
      </c>
      <c r="E12947" s="330" t="s">
        <v>4634</v>
      </c>
      <c r="F12947" s="331">
        <v>0.21</v>
      </c>
      <c r="G12947" s="332">
        <v>274</v>
      </c>
      <c r="H12947" s="333">
        <v>332</v>
      </c>
    </row>
    <row r="12948" spans="1:8">
      <c r="A12948" s="317">
        <v>2610304772</v>
      </c>
      <c r="B12948" s="330" t="s">
        <v>57301</v>
      </c>
      <c r="C12948" s="330" t="s">
        <v>27577</v>
      </c>
      <c r="D12948" s="330" t="s">
        <v>27578</v>
      </c>
      <c r="E12948" s="330" t="s">
        <v>4634</v>
      </c>
      <c r="F12948" s="331">
        <v>0.21</v>
      </c>
      <c r="G12948" s="332">
        <v>274</v>
      </c>
      <c r="H12948" s="333">
        <v>332</v>
      </c>
    </row>
    <row r="12949" spans="1:8">
      <c r="A12949" s="317">
        <v>2610305670</v>
      </c>
      <c r="B12949" s="330" t="s">
        <v>57302</v>
      </c>
      <c r="C12949" s="330" t="s">
        <v>27579</v>
      </c>
      <c r="D12949" s="330" t="s">
        <v>27580</v>
      </c>
      <c r="E12949" s="330" t="s">
        <v>4634</v>
      </c>
      <c r="F12949" s="331">
        <v>0.21</v>
      </c>
      <c r="G12949" s="332">
        <v>486</v>
      </c>
      <c r="H12949" s="333">
        <v>589</v>
      </c>
    </row>
    <row r="12950" spans="1:8">
      <c r="A12950" s="317">
        <v>2610309525</v>
      </c>
      <c r="B12950" s="330" t="s">
        <v>57303</v>
      </c>
      <c r="C12950" s="330" t="s">
        <v>27581</v>
      </c>
      <c r="D12950" s="330" t="s">
        <v>27582</v>
      </c>
      <c r="E12950" s="330" t="s">
        <v>4634</v>
      </c>
      <c r="F12950" s="331">
        <v>0.21</v>
      </c>
      <c r="G12950" s="332">
        <v>437</v>
      </c>
      <c r="H12950" s="333">
        <v>529</v>
      </c>
    </row>
    <row r="12951" spans="1:8">
      <c r="A12951" s="317">
        <v>2610309996</v>
      </c>
      <c r="B12951" s="330" t="s">
        <v>57304</v>
      </c>
      <c r="C12951" s="330" t="s">
        <v>27583</v>
      </c>
      <c r="D12951" s="330" t="s">
        <v>27584</v>
      </c>
      <c r="E12951" s="330" t="s">
        <v>4634</v>
      </c>
      <c r="F12951" s="331">
        <v>0.21</v>
      </c>
      <c r="G12951" s="332">
        <v>372</v>
      </c>
      <c r="H12951" s="333">
        <v>451</v>
      </c>
    </row>
    <row r="12952" spans="1:8">
      <c r="A12952" s="317">
        <v>2610313808</v>
      </c>
      <c r="B12952" s="330" t="s">
        <v>57305</v>
      </c>
      <c r="C12952" s="330" t="s">
        <v>27585</v>
      </c>
      <c r="D12952" s="330" t="s">
        <v>27586</v>
      </c>
      <c r="E12952" s="330" t="s">
        <v>4634</v>
      </c>
      <c r="F12952" s="331">
        <v>0.21</v>
      </c>
      <c r="G12952" s="332">
        <v>73</v>
      </c>
      <c r="H12952" s="333">
        <v>89</v>
      </c>
    </row>
    <row r="12953" spans="1:8">
      <c r="A12953" s="317">
        <v>2610315386</v>
      </c>
      <c r="B12953" s="330" t="s">
        <v>57306</v>
      </c>
      <c r="C12953" s="330" t="s">
        <v>27587</v>
      </c>
      <c r="D12953" s="330" t="s">
        <v>7653</v>
      </c>
      <c r="E12953" s="330" t="s">
        <v>4634</v>
      </c>
      <c r="F12953" s="331">
        <v>0.21</v>
      </c>
      <c r="G12953" s="332">
        <v>280</v>
      </c>
      <c r="H12953" s="333">
        <v>339</v>
      </c>
    </row>
    <row r="12954" spans="1:8">
      <c r="A12954" s="317">
        <v>2610315865</v>
      </c>
      <c r="B12954" s="330" t="s">
        <v>57307</v>
      </c>
      <c r="C12954" s="330" t="s">
        <v>27588</v>
      </c>
      <c r="D12954" s="330" t="s">
        <v>27589</v>
      </c>
      <c r="E12954" s="330" t="s">
        <v>4634</v>
      </c>
      <c r="F12954" s="331">
        <v>0.21</v>
      </c>
      <c r="G12954" s="332">
        <v>5371</v>
      </c>
      <c r="H12954" s="333">
        <v>6499</v>
      </c>
    </row>
    <row r="12955" spans="1:8">
      <c r="A12955" s="317">
        <v>2610320126</v>
      </c>
      <c r="B12955" s="330" t="s">
        <v>57308</v>
      </c>
      <c r="C12955" s="330" t="s">
        <v>27590</v>
      </c>
      <c r="D12955" s="330" t="s">
        <v>27591</v>
      </c>
      <c r="E12955" s="330" t="s">
        <v>4634</v>
      </c>
      <c r="F12955" s="331">
        <v>0.21</v>
      </c>
      <c r="G12955" s="332">
        <v>432</v>
      </c>
      <c r="H12955" s="333">
        <v>523</v>
      </c>
    </row>
    <row r="12956" spans="1:8">
      <c r="A12956" s="317">
        <v>2610320339</v>
      </c>
      <c r="B12956" s="330" t="s">
        <v>57309</v>
      </c>
      <c r="C12956" s="330" t="s">
        <v>27592</v>
      </c>
      <c r="D12956" s="330" t="s">
        <v>11698</v>
      </c>
      <c r="E12956" s="330" t="s">
        <v>4634</v>
      </c>
      <c r="F12956" s="331">
        <v>0.21</v>
      </c>
      <c r="G12956" s="332">
        <v>274</v>
      </c>
      <c r="H12956" s="333">
        <v>332</v>
      </c>
    </row>
    <row r="12957" spans="1:8">
      <c r="A12957" s="317">
        <v>2610320345</v>
      </c>
      <c r="B12957" s="330" t="s">
        <v>57310</v>
      </c>
      <c r="C12957" s="330" t="s">
        <v>27593</v>
      </c>
      <c r="D12957" s="330" t="s">
        <v>11528</v>
      </c>
      <c r="E12957" s="330" t="s">
        <v>4634</v>
      </c>
      <c r="F12957" s="331">
        <v>0.21</v>
      </c>
      <c r="G12957" s="332">
        <v>274</v>
      </c>
      <c r="H12957" s="333">
        <v>332</v>
      </c>
    </row>
    <row r="12958" spans="1:8">
      <c r="A12958" s="317">
        <v>2610320418</v>
      </c>
      <c r="B12958" s="330" t="s">
        <v>57311</v>
      </c>
      <c r="C12958" s="330" t="s">
        <v>27594</v>
      </c>
      <c r="D12958" s="330" t="s">
        <v>27595</v>
      </c>
      <c r="E12958" s="330" t="s">
        <v>4634</v>
      </c>
      <c r="F12958" s="331">
        <v>0.21</v>
      </c>
      <c r="G12958" s="332">
        <v>455</v>
      </c>
      <c r="H12958" s="333">
        <v>551</v>
      </c>
    </row>
    <row r="12959" spans="1:8">
      <c r="A12959" s="317">
        <v>2610320494</v>
      </c>
      <c r="B12959" s="330" t="s">
        <v>57312</v>
      </c>
      <c r="C12959" s="330" t="s">
        <v>27596</v>
      </c>
      <c r="D12959" s="330" t="s">
        <v>27546</v>
      </c>
      <c r="E12959" s="330" t="s">
        <v>4634</v>
      </c>
      <c r="F12959" s="331">
        <v>0.21</v>
      </c>
      <c r="G12959" s="332">
        <v>372</v>
      </c>
      <c r="H12959" s="333">
        <v>451</v>
      </c>
    </row>
    <row r="12960" spans="1:8">
      <c r="A12960" s="317">
        <v>2610320548</v>
      </c>
      <c r="B12960" s="330" t="s">
        <v>57313</v>
      </c>
      <c r="C12960" s="330" t="s">
        <v>27597</v>
      </c>
      <c r="D12960" s="330" t="s">
        <v>27598</v>
      </c>
      <c r="E12960" s="330" t="s">
        <v>4819</v>
      </c>
      <c r="F12960" s="331">
        <v>0.21</v>
      </c>
      <c r="G12960" s="332">
        <v>3303</v>
      </c>
      <c r="H12960" s="333">
        <v>3997</v>
      </c>
    </row>
    <row r="12961" spans="1:8">
      <c r="A12961" s="317">
        <v>2610321417</v>
      </c>
      <c r="B12961" s="330" t="s">
        <v>57314</v>
      </c>
      <c r="C12961" s="330" t="s">
        <v>27599</v>
      </c>
      <c r="D12961" s="330" t="s">
        <v>27600</v>
      </c>
      <c r="E12961" s="330" t="s">
        <v>4634</v>
      </c>
      <c r="F12961" s="331">
        <v>0.21</v>
      </c>
      <c r="G12961" s="332">
        <v>1824</v>
      </c>
      <c r="H12961" s="333">
        <v>2208</v>
      </c>
    </row>
    <row r="12962" spans="1:8">
      <c r="A12962" s="317">
        <v>2610321605</v>
      </c>
      <c r="B12962" s="330" t="s">
        <v>57315</v>
      </c>
      <c r="C12962" s="330" t="s">
        <v>27601</v>
      </c>
      <c r="D12962" s="330" t="s">
        <v>27602</v>
      </c>
      <c r="E12962" s="330" t="s">
        <v>4634</v>
      </c>
      <c r="F12962" s="331">
        <v>0.21</v>
      </c>
      <c r="G12962" s="332">
        <v>274</v>
      </c>
      <c r="H12962" s="333">
        <v>332</v>
      </c>
    </row>
    <row r="12963" spans="1:8">
      <c r="A12963" s="317">
        <v>2610321608</v>
      </c>
      <c r="B12963" s="330" t="s">
        <v>57316</v>
      </c>
      <c r="C12963" s="330" t="s">
        <v>27603</v>
      </c>
      <c r="D12963" s="330" t="s">
        <v>27604</v>
      </c>
      <c r="E12963" s="330" t="s">
        <v>4634</v>
      </c>
      <c r="F12963" s="331">
        <v>0.21</v>
      </c>
      <c r="G12963" s="332">
        <v>6970</v>
      </c>
      <c r="H12963" s="333">
        <v>8434</v>
      </c>
    </row>
    <row r="12964" spans="1:8">
      <c r="A12964" s="317">
        <v>2610326017</v>
      </c>
      <c r="B12964" s="330" t="s">
        <v>57317</v>
      </c>
      <c r="C12964" s="330" t="s">
        <v>27605</v>
      </c>
      <c r="D12964" s="330" t="s">
        <v>27606</v>
      </c>
      <c r="E12964" s="330" t="s">
        <v>4634</v>
      </c>
      <c r="F12964" s="331">
        <v>0.21</v>
      </c>
      <c r="G12964" s="332">
        <v>1581</v>
      </c>
      <c r="H12964" s="333">
        <v>1914</v>
      </c>
    </row>
    <row r="12965" spans="1:8">
      <c r="A12965" s="317">
        <v>2610326023</v>
      </c>
      <c r="B12965" s="330" t="s">
        <v>57318</v>
      </c>
      <c r="C12965" s="330" t="s">
        <v>27607</v>
      </c>
      <c r="D12965" s="330" t="s">
        <v>27608</v>
      </c>
      <c r="E12965" s="330" t="s">
        <v>4634</v>
      </c>
      <c r="F12965" s="331">
        <v>0.21</v>
      </c>
      <c r="G12965" s="332">
        <v>892</v>
      </c>
      <c r="H12965" s="333">
        <v>1080</v>
      </c>
    </row>
    <row r="12966" spans="1:8">
      <c r="A12966" s="317">
        <v>2610326529</v>
      </c>
      <c r="B12966" s="330" t="s">
        <v>57319</v>
      </c>
      <c r="C12966" s="330" t="s">
        <v>27609</v>
      </c>
      <c r="D12966" s="330" t="s">
        <v>27610</v>
      </c>
      <c r="E12966" s="330" t="s">
        <v>4634</v>
      </c>
      <c r="F12966" s="331">
        <v>0.21</v>
      </c>
      <c r="G12966" s="332">
        <v>584</v>
      </c>
      <c r="H12966" s="333">
        <v>707</v>
      </c>
    </row>
    <row r="12967" spans="1:8">
      <c r="A12967" s="317">
        <v>2610326586</v>
      </c>
      <c r="B12967" s="330" t="s">
        <v>57320</v>
      </c>
      <c r="C12967" s="330" t="s">
        <v>27611</v>
      </c>
      <c r="D12967" s="330" t="s">
        <v>27612</v>
      </c>
      <c r="E12967" s="330" t="s">
        <v>4634</v>
      </c>
      <c r="F12967" s="331">
        <v>0.21</v>
      </c>
      <c r="G12967" s="332">
        <v>274</v>
      </c>
      <c r="H12967" s="333">
        <v>332</v>
      </c>
    </row>
    <row r="12968" spans="1:8">
      <c r="A12968" s="317">
        <v>2610327772</v>
      </c>
      <c r="B12968" s="330" t="s">
        <v>57321</v>
      </c>
      <c r="C12968" s="330" t="s">
        <v>27613</v>
      </c>
      <c r="D12968" s="330" t="s">
        <v>27557</v>
      </c>
      <c r="E12968" s="330" t="s">
        <v>4634</v>
      </c>
      <c r="F12968" s="331">
        <v>0.21</v>
      </c>
      <c r="G12968" s="332">
        <v>580</v>
      </c>
      <c r="H12968" s="333">
        <v>702</v>
      </c>
    </row>
    <row r="12969" spans="1:8">
      <c r="A12969" s="317">
        <v>2610327868</v>
      </c>
      <c r="B12969" s="330" t="s">
        <v>57322</v>
      </c>
      <c r="C12969" s="330" t="s">
        <v>27614</v>
      </c>
      <c r="D12969" s="330" t="s">
        <v>27167</v>
      </c>
      <c r="E12969" s="330" t="s">
        <v>37248</v>
      </c>
      <c r="F12969" s="331">
        <v>0.21</v>
      </c>
      <c r="G12969" s="332">
        <v>1373</v>
      </c>
      <c r="H12969" s="333">
        <v>1662</v>
      </c>
    </row>
    <row r="12970" spans="1:8">
      <c r="A12970" s="317">
        <v>2610328605</v>
      </c>
      <c r="B12970" s="330" t="s">
        <v>57323</v>
      </c>
      <c r="C12970" s="330" t="s">
        <v>27615</v>
      </c>
      <c r="D12970" s="330" t="s">
        <v>11745</v>
      </c>
      <c r="E12970" s="330" t="s">
        <v>4634</v>
      </c>
      <c r="F12970" s="331">
        <v>0.21</v>
      </c>
      <c r="G12970" s="332">
        <v>274</v>
      </c>
      <c r="H12970" s="333">
        <v>332</v>
      </c>
    </row>
    <row r="12971" spans="1:8">
      <c r="A12971" s="317">
        <v>2610328617</v>
      </c>
      <c r="B12971" s="330" t="s">
        <v>57324</v>
      </c>
      <c r="C12971" s="330" t="s">
        <v>27616</v>
      </c>
      <c r="D12971" s="330" t="s">
        <v>11698</v>
      </c>
      <c r="E12971" s="330" t="s">
        <v>4634</v>
      </c>
      <c r="F12971" s="331">
        <v>0.21</v>
      </c>
      <c r="G12971" s="332">
        <v>280</v>
      </c>
      <c r="H12971" s="333">
        <v>339</v>
      </c>
    </row>
    <row r="12972" spans="1:8">
      <c r="A12972" s="317">
        <v>2610328618</v>
      </c>
      <c r="B12972" s="330" t="s">
        <v>57325</v>
      </c>
      <c r="C12972" s="330" t="s">
        <v>27617</v>
      </c>
      <c r="D12972" s="330" t="s">
        <v>12242</v>
      </c>
      <c r="E12972" s="330" t="s">
        <v>4634</v>
      </c>
      <c r="F12972" s="331">
        <v>0.21</v>
      </c>
      <c r="G12972" s="332">
        <v>274</v>
      </c>
      <c r="H12972" s="333">
        <v>332</v>
      </c>
    </row>
    <row r="12973" spans="1:8">
      <c r="A12973" s="317">
        <v>2610329896</v>
      </c>
      <c r="B12973" s="330" t="s">
        <v>57326</v>
      </c>
      <c r="C12973" s="330" t="s">
        <v>27618</v>
      </c>
      <c r="D12973" s="330" t="s">
        <v>27619</v>
      </c>
      <c r="E12973" s="330" t="s">
        <v>4634</v>
      </c>
      <c r="F12973" s="331">
        <v>0.21</v>
      </c>
      <c r="G12973" s="332">
        <v>348</v>
      </c>
      <c r="H12973" s="333">
        <v>422</v>
      </c>
    </row>
    <row r="12974" spans="1:8">
      <c r="A12974" s="317">
        <v>2610329898</v>
      </c>
      <c r="B12974" s="330" t="s">
        <v>57327</v>
      </c>
      <c r="C12974" s="330" t="s">
        <v>27620</v>
      </c>
      <c r="D12974" s="330" t="s">
        <v>27621</v>
      </c>
      <c r="E12974" s="330" t="s">
        <v>4634</v>
      </c>
      <c r="F12974" s="331">
        <v>0.21</v>
      </c>
      <c r="G12974" s="332">
        <v>387</v>
      </c>
      <c r="H12974" s="333">
        <v>469</v>
      </c>
    </row>
    <row r="12975" spans="1:8">
      <c r="A12975" s="317">
        <v>2610335225</v>
      </c>
      <c r="B12975" s="330" t="s">
        <v>57328</v>
      </c>
      <c r="C12975" s="330" t="s">
        <v>27622</v>
      </c>
      <c r="D12975" s="330" t="s">
        <v>27623</v>
      </c>
      <c r="E12975" s="330" t="s">
        <v>4634</v>
      </c>
      <c r="F12975" s="331">
        <v>0.21</v>
      </c>
      <c r="G12975" s="332">
        <v>4004</v>
      </c>
      <c r="H12975" s="333">
        <v>4845</v>
      </c>
    </row>
    <row r="12976" spans="1:8">
      <c r="A12976" s="317">
        <v>2610341255</v>
      </c>
      <c r="B12976" s="330" t="s">
        <v>57329</v>
      </c>
      <c r="C12976" s="330" t="s">
        <v>27624</v>
      </c>
      <c r="D12976" s="330" t="s">
        <v>27625</v>
      </c>
      <c r="E12976" s="330" t="s">
        <v>4634</v>
      </c>
      <c r="F12976" s="331">
        <v>0.21</v>
      </c>
      <c r="G12976" s="332">
        <v>791</v>
      </c>
      <c r="H12976" s="333">
        <v>958</v>
      </c>
    </row>
    <row r="12977" spans="1:8">
      <c r="A12977" s="317">
        <v>2610341257</v>
      </c>
      <c r="B12977" s="330" t="s">
        <v>57330</v>
      </c>
      <c r="C12977" s="330" t="s">
        <v>27626</v>
      </c>
      <c r="D12977" s="330" t="s">
        <v>27627</v>
      </c>
      <c r="E12977" s="330" t="s">
        <v>4634</v>
      </c>
      <c r="F12977" s="331">
        <v>0.21</v>
      </c>
      <c r="G12977" s="332">
        <v>823</v>
      </c>
      <c r="H12977" s="333">
        <v>996</v>
      </c>
    </row>
    <row r="12978" spans="1:8">
      <c r="A12978" s="317">
        <v>2610341268</v>
      </c>
      <c r="B12978" s="330" t="s">
        <v>57331</v>
      </c>
      <c r="C12978" s="330" t="s">
        <v>27628</v>
      </c>
      <c r="D12978" s="330" t="s">
        <v>27629</v>
      </c>
      <c r="E12978" s="330" t="s">
        <v>4634</v>
      </c>
      <c r="F12978" s="331">
        <v>0.21</v>
      </c>
      <c r="G12978" s="332">
        <v>35738</v>
      </c>
      <c r="H12978" s="333">
        <v>43243</v>
      </c>
    </row>
    <row r="12979" spans="1:8">
      <c r="A12979" s="317">
        <v>2610341288</v>
      </c>
      <c r="B12979" s="330" t="s">
        <v>57332</v>
      </c>
      <c r="C12979" s="330" t="s">
        <v>27630</v>
      </c>
      <c r="D12979" s="330" t="s">
        <v>27631</v>
      </c>
      <c r="E12979" s="330" t="s">
        <v>4634</v>
      </c>
      <c r="F12979" s="331">
        <v>0.21</v>
      </c>
      <c r="G12979" s="332">
        <v>584</v>
      </c>
      <c r="H12979" s="333">
        <v>707</v>
      </c>
    </row>
    <row r="12980" spans="1:8">
      <c r="A12980" s="317">
        <v>2610341299</v>
      </c>
      <c r="B12980" s="330" t="s">
        <v>57333</v>
      </c>
      <c r="C12980" s="330" t="s">
        <v>27632</v>
      </c>
      <c r="D12980" s="330" t="s">
        <v>27633</v>
      </c>
      <c r="E12980" s="330" t="s">
        <v>4634</v>
      </c>
      <c r="F12980" s="331">
        <v>0.21</v>
      </c>
      <c r="G12980" s="332">
        <v>1956</v>
      </c>
      <c r="H12980" s="333">
        <v>2367</v>
      </c>
    </row>
    <row r="12981" spans="1:8">
      <c r="A12981" s="317">
        <v>2610341304</v>
      </c>
      <c r="B12981" s="330" t="s">
        <v>57334</v>
      </c>
      <c r="C12981" s="330" t="s">
        <v>27634</v>
      </c>
      <c r="D12981" s="330" t="s">
        <v>27635</v>
      </c>
      <c r="E12981" s="330" t="s">
        <v>4634</v>
      </c>
      <c r="F12981" s="331">
        <v>0.21</v>
      </c>
      <c r="G12981" s="332">
        <v>5819</v>
      </c>
      <c r="H12981" s="333">
        <v>7041</v>
      </c>
    </row>
    <row r="12982" spans="1:8">
      <c r="A12982" s="317">
        <v>2610341307</v>
      </c>
      <c r="B12982" s="330" t="s">
        <v>57335</v>
      </c>
      <c r="C12982" s="330" t="s">
        <v>27636</v>
      </c>
      <c r="D12982" s="330" t="s">
        <v>27637</v>
      </c>
      <c r="E12982" s="330" t="s">
        <v>4634</v>
      </c>
      <c r="F12982" s="331">
        <v>0.21</v>
      </c>
      <c r="G12982" s="332">
        <v>21247</v>
      </c>
      <c r="H12982" s="333">
        <v>25709</v>
      </c>
    </row>
    <row r="12983" spans="1:8">
      <c r="A12983" s="317">
        <v>2610341343</v>
      </c>
      <c r="B12983" s="330" t="s">
        <v>57336</v>
      </c>
      <c r="C12983" s="330" t="s">
        <v>27638</v>
      </c>
      <c r="D12983" s="330" t="s">
        <v>27639</v>
      </c>
      <c r="E12983" s="330" t="s">
        <v>4623</v>
      </c>
      <c r="F12983" s="331">
        <v>0.21</v>
      </c>
      <c r="G12983" s="332">
        <v>5046</v>
      </c>
      <c r="H12983" s="333">
        <v>6106</v>
      </c>
    </row>
    <row r="12984" spans="1:8">
      <c r="A12984" s="317">
        <v>2610341347</v>
      </c>
      <c r="B12984" s="330" t="s">
        <v>57337</v>
      </c>
      <c r="C12984" s="330" t="s">
        <v>27640</v>
      </c>
      <c r="D12984" s="330" t="s">
        <v>9919</v>
      </c>
      <c r="E12984" s="330" t="s">
        <v>4634</v>
      </c>
      <c r="F12984" s="331">
        <v>0.21</v>
      </c>
      <c r="G12984" s="332">
        <v>3622</v>
      </c>
      <c r="H12984" s="333">
        <v>4383</v>
      </c>
    </row>
    <row r="12985" spans="1:8">
      <c r="A12985" s="317">
        <v>2610341350</v>
      </c>
      <c r="B12985" s="330" t="s">
        <v>57338</v>
      </c>
      <c r="C12985" s="330" t="s">
        <v>27641</v>
      </c>
      <c r="D12985" s="330" t="s">
        <v>27642</v>
      </c>
      <c r="E12985" s="330" t="s">
        <v>4634</v>
      </c>
      <c r="F12985" s="331">
        <v>0.21</v>
      </c>
      <c r="G12985" s="332">
        <v>2881</v>
      </c>
      <c r="H12985" s="333">
        <v>3487</v>
      </c>
    </row>
    <row r="12986" spans="1:8">
      <c r="A12986" s="317">
        <v>2610341354</v>
      </c>
      <c r="B12986" s="330" t="s">
        <v>57339</v>
      </c>
      <c r="C12986" s="330" t="s">
        <v>27643</v>
      </c>
      <c r="D12986" s="330" t="s">
        <v>27644</v>
      </c>
      <c r="E12986" s="330" t="s">
        <v>4634</v>
      </c>
      <c r="F12986" s="331">
        <v>0.21</v>
      </c>
      <c r="G12986" s="332">
        <v>455</v>
      </c>
      <c r="H12986" s="333">
        <v>551</v>
      </c>
    </row>
    <row r="12987" spans="1:8">
      <c r="A12987" s="317">
        <v>2610341359</v>
      </c>
      <c r="B12987" s="330" t="s">
        <v>57340</v>
      </c>
      <c r="C12987" s="330" t="s">
        <v>27645</v>
      </c>
      <c r="D12987" s="330" t="s">
        <v>27646</v>
      </c>
      <c r="E12987" s="330" t="s">
        <v>37248</v>
      </c>
      <c r="F12987" s="331">
        <v>0.21</v>
      </c>
      <c r="G12987" s="332">
        <v>3171</v>
      </c>
      <c r="H12987" s="333">
        <v>3837</v>
      </c>
    </row>
    <row r="12988" spans="1:8">
      <c r="A12988" s="317">
        <v>2610341361</v>
      </c>
      <c r="B12988" s="330" t="s">
        <v>57341</v>
      </c>
      <c r="C12988" s="330" t="s">
        <v>27647</v>
      </c>
      <c r="D12988" s="330" t="s">
        <v>27648</v>
      </c>
      <c r="E12988" s="330" t="s">
        <v>4634</v>
      </c>
      <c r="F12988" s="331">
        <v>0.21</v>
      </c>
      <c r="G12988" s="332">
        <v>1150</v>
      </c>
      <c r="H12988" s="333">
        <v>1392</v>
      </c>
    </row>
    <row r="12989" spans="1:8">
      <c r="A12989" s="317">
        <v>2610341363</v>
      </c>
      <c r="B12989" s="330" t="s">
        <v>57342</v>
      </c>
      <c r="C12989" s="330" t="s">
        <v>27649</v>
      </c>
      <c r="D12989" s="330" t="s">
        <v>27650</v>
      </c>
      <c r="E12989" s="330" t="s">
        <v>4634</v>
      </c>
      <c r="F12989" s="331">
        <v>0.21</v>
      </c>
      <c r="G12989" s="332">
        <v>437</v>
      </c>
      <c r="H12989" s="333">
        <v>529</v>
      </c>
    </row>
    <row r="12990" spans="1:8">
      <c r="A12990" s="317">
        <v>2610341366</v>
      </c>
      <c r="B12990" s="330" t="s">
        <v>57343</v>
      </c>
      <c r="C12990" s="330" t="s">
        <v>27651</v>
      </c>
      <c r="D12990" s="330" t="s">
        <v>27652</v>
      </c>
      <c r="E12990" s="330" t="s">
        <v>4634</v>
      </c>
      <c r="F12990" s="331">
        <v>0.21</v>
      </c>
      <c r="G12990" s="332">
        <v>678</v>
      </c>
      <c r="H12990" s="333">
        <v>821</v>
      </c>
    </row>
    <row r="12991" spans="1:8">
      <c r="A12991" s="317">
        <v>2610341392</v>
      </c>
      <c r="B12991" s="330" t="s">
        <v>57344</v>
      </c>
      <c r="C12991" s="330" t="s">
        <v>27653</v>
      </c>
      <c r="D12991" s="330" t="s">
        <v>27654</v>
      </c>
      <c r="E12991" s="330" t="s">
        <v>4634</v>
      </c>
      <c r="F12991" s="331">
        <v>0.21</v>
      </c>
      <c r="G12991" s="332">
        <v>490</v>
      </c>
      <c r="H12991" s="333">
        <v>593</v>
      </c>
    </row>
    <row r="12992" spans="1:8">
      <c r="A12992" s="317">
        <v>2610341394</v>
      </c>
      <c r="B12992" s="330" t="s">
        <v>57345</v>
      </c>
      <c r="C12992" s="330" t="s">
        <v>27655</v>
      </c>
      <c r="D12992" s="330" t="s">
        <v>27656</v>
      </c>
      <c r="E12992" s="330" t="s">
        <v>4634</v>
      </c>
      <c r="F12992" s="331">
        <v>0.21</v>
      </c>
      <c r="G12992" s="332">
        <v>564</v>
      </c>
      <c r="H12992" s="333">
        <v>683</v>
      </c>
    </row>
    <row r="12993" spans="1:8">
      <c r="A12993" s="317">
        <v>2610341395</v>
      </c>
      <c r="B12993" s="330" t="s">
        <v>57346</v>
      </c>
      <c r="C12993" s="330" t="s">
        <v>27657</v>
      </c>
      <c r="D12993" s="330" t="s">
        <v>27658</v>
      </c>
      <c r="E12993" s="330" t="s">
        <v>4634</v>
      </c>
      <c r="F12993" s="331">
        <v>0.21</v>
      </c>
      <c r="G12993" s="332">
        <v>437</v>
      </c>
      <c r="H12993" s="333">
        <v>529</v>
      </c>
    </row>
    <row r="12994" spans="1:8">
      <c r="A12994" s="317">
        <v>2610341396</v>
      </c>
      <c r="B12994" s="330" t="s">
        <v>57347</v>
      </c>
      <c r="C12994" s="330" t="s">
        <v>27659</v>
      </c>
      <c r="D12994" s="330" t="s">
        <v>27660</v>
      </c>
      <c r="E12994" s="330" t="s">
        <v>4634</v>
      </c>
      <c r="F12994" s="331">
        <v>0.21</v>
      </c>
      <c r="G12994" s="332">
        <v>51461</v>
      </c>
      <c r="H12994" s="333">
        <v>62268</v>
      </c>
    </row>
    <row r="12995" spans="1:8">
      <c r="A12995" s="317">
        <v>2610341405</v>
      </c>
      <c r="B12995" s="330" t="s">
        <v>57348</v>
      </c>
      <c r="C12995" s="330" t="s">
        <v>27661</v>
      </c>
      <c r="D12995" s="330" t="s">
        <v>27662</v>
      </c>
      <c r="E12995" s="330" t="s">
        <v>4634</v>
      </c>
      <c r="F12995" s="331">
        <v>0.21</v>
      </c>
      <c r="G12995" s="332">
        <v>27092</v>
      </c>
      <c r="H12995" s="333">
        <v>32782</v>
      </c>
    </row>
    <row r="12996" spans="1:8">
      <c r="A12996" s="317">
        <v>2610341465</v>
      </c>
      <c r="B12996" s="330" t="s">
        <v>57349</v>
      </c>
      <c r="C12996" s="330" t="s">
        <v>27663</v>
      </c>
      <c r="D12996" s="330" t="s">
        <v>27664</v>
      </c>
      <c r="E12996" s="330" t="s">
        <v>4819</v>
      </c>
      <c r="F12996" s="331">
        <v>0.21</v>
      </c>
      <c r="G12996" s="332">
        <v>2900</v>
      </c>
      <c r="H12996" s="333">
        <v>3509</v>
      </c>
    </row>
    <row r="12997" spans="1:8">
      <c r="A12997" s="317">
        <v>2610346315</v>
      </c>
      <c r="B12997" s="330" t="s">
        <v>57350</v>
      </c>
      <c r="C12997" s="330" t="s">
        <v>27665</v>
      </c>
      <c r="D12997" s="330" t="s">
        <v>27666</v>
      </c>
      <c r="E12997" s="330" t="s">
        <v>4634</v>
      </c>
      <c r="F12997" s="331">
        <v>0.21</v>
      </c>
      <c r="G12997" s="332">
        <v>1450</v>
      </c>
      <c r="H12997" s="333">
        <v>1755</v>
      </c>
    </row>
    <row r="12998" spans="1:8">
      <c r="A12998" s="317">
        <v>2610346316</v>
      </c>
      <c r="B12998" s="330" t="s">
        <v>57351</v>
      </c>
      <c r="C12998" s="330" t="s">
        <v>27667</v>
      </c>
      <c r="D12998" s="330" t="s">
        <v>27668</v>
      </c>
      <c r="E12998" s="330" t="s">
        <v>4634</v>
      </c>
      <c r="F12998" s="331">
        <v>0.21</v>
      </c>
      <c r="G12998" s="332">
        <v>584</v>
      </c>
      <c r="H12998" s="333">
        <v>707</v>
      </c>
    </row>
    <row r="12999" spans="1:8">
      <c r="A12999" s="317">
        <v>2610346317</v>
      </c>
      <c r="B12999" s="330" t="s">
        <v>57352</v>
      </c>
      <c r="C12999" s="330" t="s">
        <v>27669</v>
      </c>
      <c r="D12999" s="330" t="s">
        <v>27670</v>
      </c>
      <c r="E12999" s="330" t="s">
        <v>4634</v>
      </c>
      <c r="F12999" s="331">
        <v>0.21</v>
      </c>
      <c r="G12999" s="332">
        <v>348</v>
      </c>
      <c r="H12999" s="333">
        <v>422</v>
      </c>
    </row>
    <row r="13000" spans="1:8">
      <c r="A13000" s="317">
        <v>2610346320</v>
      </c>
      <c r="B13000" s="330" t="s">
        <v>57353</v>
      </c>
      <c r="C13000" s="330" t="s">
        <v>27671</v>
      </c>
      <c r="D13000" s="330" t="s">
        <v>27672</v>
      </c>
      <c r="E13000" s="330" t="s">
        <v>4634</v>
      </c>
      <c r="F13000" s="331">
        <v>0.21</v>
      </c>
      <c r="G13000" s="332">
        <v>711</v>
      </c>
      <c r="H13000" s="333">
        <v>861</v>
      </c>
    </row>
    <row r="13001" spans="1:8">
      <c r="A13001" s="317">
        <v>2610346330</v>
      </c>
      <c r="B13001" s="330" t="s">
        <v>57354</v>
      </c>
      <c r="C13001" s="330" t="s">
        <v>27673</v>
      </c>
      <c r="D13001" s="330" t="s">
        <v>27674</v>
      </c>
      <c r="E13001" s="330" t="s">
        <v>4634</v>
      </c>
      <c r="F13001" s="331">
        <v>0.21</v>
      </c>
      <c r="G13001" s="332">
        <v>928</v>
      </c>
      <c r="H13001" s="333">
        <v>1123</v>
      </c>
    </row>
    <row r="13002" spans="1:8">
      <c r="A13002" s="317">
        <v>2610346332</v>
      </c>
      <c r="B13002" s="330" t="s">
        <v>57355</v>
      </c>
      <c r="C13002" s="330" t="s">
        <v>27675</v>
      </c>
      <c r="D13002" s="330" t="s">
        <v>27676</v>
      </c>
      <c r="E13002" s="330" t="s">
        <v>4634</v>
      </c>
      <c r="F13002" s="331">
        <v>0.21</v>
      </c>
      <c r="G13002" s="332">
        <v>274</v>
      </c>
      <c r="H13002" s="333">
        <v>332</v>
      </c>
    </row>
    <row r="13003" spans="1:8">
      <c r="A13003" s="317">
        <v>2610346341</v>
      </c>
      <c r="B13003" s="330" t="s">
        <v>57356</v>
      </c>
      <c r="C13003" s="330" t="s">
        <v>27677</v>
      </c>
      <c r="D13003" s="330" t="s">
        <v>27678</v>
      </c>
      <c r="E13003" s="330" t="s">
        <v>4634</v>
      </c>
      <c r="F13003" s="331">
        <v>0.21</v>
      </c>
      <c r="G13003" s="332">
        <v>2059</v>
      </c>
      <c r="H13003" s="333">
        <v>2492</v>
      </c>
    </row>
    <row r="13004" spans="1:8">
      <c r="A13004" s="317">
        <v>2610346342</v>
      </c>
      <c r="B13004" s="330" t="s">
        <v>57357</v>
      </c>
      <c r="C13004" s="330" t="s">
        <v>27679</v>
      </c>
      <c r="D13004" s="330" t="s">
        <v>27680</v>
      </c>
      <c r="E13004" s="330" t="s">
        <v>4634</v>
      </c>
      <c r="F13004" s="331">
        <v>0.21</v>
      </c>
      <c r="G13004" s="332">
        <v>2186</v>
      </c>
      <c r="H13004" s="333">
        <v>2646</v>
      </c>
    </row>
    <row r="13005" spans="1:8">
      <c r="A13005" s="317">
        <v>2610346349</v>
      </c>
      <c r="B13005" s="330" t="s">
        <v>57358</v>
      </c>
      <c r="C13005" s="330" t="s">
        <v>27681</v>
      </c>
      <c r="D13005" s="330" t="s">
        <v>27682</v>
      </c>
      <c r="E13005" s="330" t="s">
        <v>4634</v>
      </c>
      <c r="F13005" s="331">
        <v>0.21</v>
      </c>
      <c r="G13005" s="332">
        <v>584</v>
      </c>
      <c r="H13005" s="333">
        <v>707</v>
      </c>
    </row>
    <row r="13006" spans="1:8">
      <c r="A13006" s="317">
        <v>2610346351</v>
      </c>
      <c r="B13006" s="330" t="s">
        <v>57359</v>
      </c>
      <c r="C13006" s="330" t="s">
        <v>27683</v>
      </c>
      <c r="D13006" s="330" t="s">
        <v>27684</v>
      </c>
      <c r="E13006" s="330" t="s">
        <v>4634</v>
      </c>
      <c r="F13006" s="331">
        <v>0.21</v>
      </c>
      <c r="G13006" s="332">
        <v>348</v>
      </c>
      <c r="H13006" s="333">
        <v>422</v>
      </c>
    </row>
    <row r="13007" spans="1:8">
      <c r="A13007" s="317">
        <v>2610346352</v>
      </c>
      <c r="B13007" s="330" t="s">
        <v>57360</v>
      </c>
      <c r="C13007" s="330" t="s">
        <v>27685</v>
      </c>
      <c r="D13007" s="330" t="s">
        <v>27686</v>
      </c>
      <c r="E13007" s="330" t="s">
        <v>4634</v>
      </c>
      <c r="F13007" s="331">
        <v>0.21</v>
      </c>
      <c r="G13007" s="332">
        <v>791</v>
      </c>
      <c r="H13007" s="333">
        <v>958</v>
      </c>
    </row>
    <row r="13008" spans="1:8">
      <c r="A13008" s="317">
        <v>2610346358</v>
      </c>
      <c r="B13008" s="330" t="s">
        <v>57361</v>
      </c>
      <c r="C13008" s="330" t="s">
        <v>27687</v>
      </c>
      <c r="D13008" s="330" t="s">
        <v>27688</v>
      </c>
      <c r="E13008" s="330" t="s">
        <v>4634</v>
      </c>
      <c r="F13008" s="331">
        <v>0.21</v>
      </c>
      <c r="G13008" s="332">
        <v>372</v>
      </c>
      <c r="H13008" s="333">
        <v>451</v>
      </c>
    </row>
    <row r="13009" spans="1:8">
      <c r="A13009" s="317">
        <v>2610346362</v>
      </c>
      <c r="B13009" s="330" t="s">
        <v>57362</v>
      </c>
      <c r="C13009" s="330" t="s">
        <v>27689</v>
      </c>
      <c r="D13009" s="330" t="s">
        <v>27690</v>
      </c>
      <c r="E13009" s="330" t="s">
        <v>4634</v>
      </c>
      <c r="F13009" s="331">
        <v>0.21</v>
      </c>
      <c r="G13009" s="332">
        <v>1844</v>
      </c>
      <c r="H13009" s="333">
        <v>2232</v>
      </c>
    </row>
    <row r="13010" spans="1:8">
      <c r="A13010" s="317">
        <v>2610346364</v>
      </c>
      <c r="B13010" s="330" t="s">
        <v>57363</v>
      </c>
      <c r="C13010" s="330" t="s">
        <v>27691</v>
      </c>
      <c r="D13010" s="330" t="s">
        <v>27692</v>
      </c>
      <c r="E13010" s="330" t="s">
        <v>4634</v>
      </c>
      <c r="F13010" s="331">
        <v>0.21</v>
      </c>
      <c r="G13010" s="332">
        <v>2748</v>
      </c>
      <c r="H13010" s="333">
        <v>3326</v>
      </c>
    </row>
    <row r="13011" spans="1:8">
      <c r="A13011" s="317">
        <v>2610346370</v>
      </c>
      <c r="B13011" s="330" t="s">
        <v>57364</v>
      </c>
      <c r="C13011" s="330" t="s">
        <v>27693</v>
      </c>
      <c r="D13011" s="330" t="s">
        <v>27694</v>
      </c>
      <c r="E13011" s="330" t="s">
        <v>4634</v>
      </c>
      <c r="F13011" s="331">
        <v>0.21</v>
      </c>
      <c r="G13011" s="332">
        <v>1371</v>
      </c>
      <c r="H13011" s="333">
        <v>1659</v>
      </c>
    </row>
    <row r="13012" spans="1:8">
      <c r="A13012" s="317">
        <v>2610346372</v>
      </c>
      <c r="B13012" s="330" t="s">
        <v>57365</v>
      </c>
      <c r="C13012" s="330" t="s">
        <v>27695</v>
      </c>
      <c r="D13012" s="330" t="s">
        <v>27696</v>
      </c>
      <c r="E13012" s="330" t="s">
        <v>4634</v>
      </c>
      <c r="F13012" s="331">
        <v>0.21</v>
      </c>
      <c r="G13012" s="332">
        <v>274</v>
      </c>
      <c r="H13012" s="333">
        <v>332</v>
      </c>
    </row>
    <row r="13013" spans="1:8">
      <c r="A13013" s="317">
        <v>2610346373</v>
      </c>
      <c r="B13013" s="330" t="s">
        <v>57366</v>
      </c>
      <c r="C13013" s="330" t="s">
        <v>27697</v>
      </c>
      <c r="D13013" s="330" t="s">
        <v>27698</v>
      </c>
      <c r="E13013" s="330" t="s">
        <v>4634</v>
      </c>
      <c r="F13013" s="331">
        <v>0.21</v>
      </c>
      <c r="G13013" s="332">
        <v>274</v>
      </c>
      <c r="H13013" s="333">
        <v>332</v>
      </c>
    </row>
    <row r="13014" spans="1:8">
      <c r="A13014" s="317">
        <v>2610346374</v>
      </c>
      <c r="B13014" s="330" t="s">
        <v>57367</v>
      </c>
      <c r="C13014" s="330" t="s">
        <v>27699</v>
      </c>
      <c r="D13014" s="330" t="s">
        <v>27700</v>
      </c>
      <c r="E13014" s="330" t="s">
        <v>4634</v>
      </c>
      <c r="F13014" s="331">
        <v>0.21</v>
      </c>
      <c r="G13014" s="332">
        <v>372</v>
      </c>
      <c r="H13014" s="333">
        <v>451</v>
      </c>
    </row>
    <row r="13015" spans="1:8">
      <c r="A13015" s="317">
        <v>2610346380</v>
      </c>
      <c r="B13015" s="330" t="s">
        <v>57368</v>
      </c>
      <c r="C13015" s="330" t="s">
        <v>27701</v>
      </c>
      <c r="D13015" s="330" t="s">
        <v>27702</v>
      </c>
      <c r="E13015" s="330" t="s">
        <v>4634</v>
      </c>
      <c r="F13015" s="331">
        <v>0.21</v>
      </c>
      <c r="G13015" s="332">
        <v>372</v>
      </c>
      <c r="H13015" s="333">
        <v>451</v>
      </c>
    </row>
    <row r="13016" spans="1:8">
      <c r="A13016" s="317">
        <v>2610346381</v>
      </c>
      <c r="B13016" s="330" t="s">
        <v>57369</v>
      </c>
      <c r="C13016" s="330" t="s">
        <v>27703</v>
      </c>
      <c r="D13016" s="330" t="s">
        <v>27704</v>
      </c>
      <c r="E13016" s="330" t="s">
        <v>4634</v>
      </c>
      <c r="F13016" s="331">
        <v>0.21</v>
      </c>
      <c r="G13016" s="332">
        <v>274</v>
      </c>
      <c r="H13016" s="333">
        <v>332</v>
      </c>
    </row>
    <row r="13017" spans="1:8">
      <c r="A13017" s="317">
        <v>2610346454</v>
      </c>
      <c r="B13017" s="330" t="s">
        <v>57370</v>
      </c>
      <c r="C13017" s="330" t="s">
        <v>27705</v>
      </c>
      <c r="D13017" s="330" t="s">
        <v>27706</v>
      </c>
      <c r="E13017" s="330" t="s">
        <v>4634</v>
      </c>
      <c r="F13017" s="331">
        <v>0.21</v>
      </c>
      <c r="G13017" s="332">
        <v>5157</v>
      </c>
      <c r="H13017" s="333">
        <v>6240</v>
      </c>
    </row>
    <row r="13018" spans="1:8">
      <c r="A13018" s="317">
        <v>2610346455</v>
      </c>
      <c r="B13018" s="330" t="s">
        <v>57371</v>
      </c>
      <c r="C13018" s="330" t="s">
        <v>27707</v>
      </c>
      <c r="D13018" s="330" t="s">
        <v>27708</v>
      </c>
      <c r="E13018" s="330" t="s">
        <v>4634</v>
      </c>
      <c r="F13018" s="331">
        <v>0.21</v>
      </c>
      <c r="G13018" s="332">
        <v>7531</v>
      </c>
      <c r="H13018" s="333">
        <v>9113</v>
      </c>
    </row>
    <row r="13019" spans="1:8">
      <c r="A13019" s="317">
        <v>2610346456</v>
      </c>
      <c r="B13019" s="330" t="s">
        <v>57372</v>
      </c>
      <c r="C13019" s="330" t="s">
        <v>27709</v>
      </c>
      <c r="D13019" s="330" t="s">
        <v>27710</v>
      </c>
      <c r="E13019" s="330" t="s">
        <v>4634</v>
      </c>
      <c r="F13019" s="331">
        <v>0.21</v>
      </c>
      <c r="G13019" s="332">
        <v>5523</v>
      </c>
      <c r="H13019" s="333">
        <v>6683</v>
      </c>
    </row>
    <row r="13020" spans="1:8">
      <c r="A13020" s="317">
        <v>2610346459</v>
      </c>
      <c r="B13020" s="330" t="s">
        <v>57373</v>
      </c>
      <c r="C13020" s="330" t="s">
        <v>27711</v>
      </c>
      <c r="D13020" s="330" t="s">
        <v>27712</v>
      </c>
      <c r="E13020" s="330" t="s">
        <v>4634</v>
      </c>
      <c r="F13020" s="331">
        <v>0.21</v>
      </c>
      <c r="G13020" s="332">
        <v>8135</v>
      </c>
      <c r="H13020" s="333">
        <v>9844</v>
      </c>
    </row>
    <row r="13021" spans="1:8">
      <c r="A13021" s="317">
        <v>2610346554</v>
      </c>
      <c r="B13021" s="330" t="s">
        <v>57374</v>
      </c>
      <c r="C13021" s="330" t="s">
        <v>27713</v>
      </c>
      <c r="D13021" s="330" t="s">
        <v>27714</v>
      </c>
      <c r="E13021" s="330" t="s">
        <v>4634</v>
      </c>
      <c r="F13021" s="331">
        <v>0.21</v>
      </c>
      <c r="G13021" s="332">
        <v>2948</v>
      </c>
      <c r="H13021" s="333">
        <v>3568</v>
      </c>
    </row>
    <row r="13022" spans="1:8">
      <c r="A13022" s="317">
        <v>2610346603</v>
      </c>
      <c r="B13022" s="330" t="s">
        <v>57375</v>
      </c>
      <c r="C13022" s="330" t="s">
        <v>27715</v>
      </c>
      <c r="D13022" s="330" t="s">
        <v>27716</v>
      </c>
      <c r="E13022" s="330" t="s">
        <v>4634</v>
      </c>
      <c r="F13022" s="331">
        <v>0.21</v>
      </c>
      <c r="G13022" s="332">
        <v>3283</v>
      </c>
      <c r="H13022" s="333">
        <v>3973</v>
      </c>
    </row>
    <row r="13023" spans="1:8">
      <c r="A13023" s="317">
        <v>2610346609</v>
      </c>
      <c r="B13023" s="330" t="s">
        <v>57376</v>
      </c>
      <c r="C13023" s="330" t="s">
        <v>27717</v>
      </c>
      <c r="D13023" s="330" t="s">
        <v>27718</v>
      </c>
      <c r="E13023" s="330" t="s">
        <v>4634</v>
      </c>
      <c r="F13023" s="331">
        <v>0.21</v>
      </c>
      <c r="G13023" s="332">
        <v>3490</v>
      </c>
      <c r="H13023" s="333">
        <v>4223</v>
      </c>
    </row>
    <row r="13024" spans="1:8">
      <c r="A13024" s="317">
        <v>2610346618</v>
      </c>
      <c r="B13024" s="330" t="s">
        <v>57377</v>
      </c>
      <c r="C13024" s="330" t="s">
        <v>27719</v>
      </c>
      <c r="D13024" s="330" t="s">
        <v>8273</v>
      </c>
      <c r="E13024" s="330" t="s">
        <v>4819</v>
      </c>
      <c r="F13024" s="331">
        <v>0.21</v>
      </c>
      <c r="G13024" s="332">
        <v>22345</v>
      </c>
      <c r="H13024" s="333">
        <v>27038</v>
      </c>
    </row>
    <row r="13025" spans="1:8">
      <c r="A13025" s="317">
        <v>2610346793</v>
      </c>
      <c r="B13025" s="330" t="s">
        <v>57378</v>
      </c>
      <c r="C13025" s="330" t="s">
        <v>27720</v>
      </c>
      <c r="D13025" s="330" t="s">
        <v>27721</v>
      </c>
      <c r="E13025" s="330" t="s">
        <v>4634</v>
      </c>
      <c r="F13025" s="331">
        <v>0.21</v>
      </c>
      <c r="G13025" s="332">
        <v>372</v>
      </c>
      <c r="H13025" s="333">
        <v>451</v>
      </c>
    </row>
    <row r="13026" spans="1:8">
      <c r="A13026" s="317">
        <v>2610347092</v>
      </c>
      <c r="B13026" s="330" t="s">
        <v>57379</v>
      </c>
      <c r="C13026" s="330" t="s">
        <v>27722</v>
      </c>
      <c r="D13026" s="330" t="s">
        <v>27723</v>
      </c>
      <c r="E13026" s="330" t="s">
        <v>37248</v>
      </c>
      <c r="F13026" s="331">
        <v>0.21</v>
      </c>
      <c r="G13026" s="332">
        <v>107</v>
      </c>
      <c r="H13026" s="333">
        <v>130</v>
      </c>
    </row>
    <row r="13027" spans="1:8">
      <c r="A13027" s="317">
        <v>2610347100</v>
      </c>
      <c r="B13027" s="330" t="s">
        <v>57380</v>
      </c>
      <c r="C13027" s="330" t="s">
        <v>27724</v>
      </c>
      <c r="D13027" s="330" t="s">
        <v>6170</v>
      </c>
      <c r="E13027" s="330" t="s">
        <v>4634</v>
      </c>
      <c r="F13027" s="331">
        <v>0.21</v>
      </c>
      <c r="G13027" s="332">
        <v>564</v>
      </c>
      <c r="H13027" s="333">
        <v>683</v>
      </c>
    </row>
    <row r="13028" spans="1:8">
      <c r="A13028" s="317">
        <v>2610347126</v>
      </c>
      <c r="B13028" s="330" t="s">
        <v>57381</v>
      </c>
      <c r="C13028" s="330" t="s">
        <v>27725</v>
      </c>
      <c r="D13028" s="330" t="s">
        <v>27726</v>
      </c>
      <c r="E13028" s="330" t="s">
        <v>4634</v>
      </c>
      <c r="F13028" s="331">
        <v>0.21</v>
      </c>
      <c r="G13028" s="332">
        <v>3490</v>
      </c>
      <c r="H13028" s="333">
        <v>4223</v>
      </c>
    </row>
    <row r="13029" spans="1:8">
      <c r="A13029" s="317">
        <v>2610347301</v>
      </c>
      <c r="B13029" s="330" t="s">
        <v>57382</v>
      </c>
      <c r="C13029" s="330" t="s">
        <v>27727</v>
      </c>
      <c r="D13029" s="330" t="s">
        <v>27728</v>
      </c>
      <c r="E13029" s="330" t="s">
        <v>4634</v>
      </c>
      <c r="F13029" s="331">
        <v>0.21</v>
      </c>
      <c r="G13029" s="332">
        <v>1474</v>
      </c>
      <c r="H13029" s="333">
        <v>1784</v>
      </c>
    </row>
    <row r="13030" spans="1:8">
      <c r="A13030" s="317">
        <v>2610347305</v>
      </c>
      <c r="B13030" s="330" t="s">
        <v>57383</v>
      </c>
      <c r="C13030" s="330" t="s">
        <v>27729</v>
      </c>
      <c r="D13030" s="330" t="s">
        <v>27730</v>
      </c>
      <c r="E13030" s="330" t="s">
        <v>4634</v>
      </c>
      <c r="F13030" s="331">
        <v>0.21</v>
      </c>
      <c r="G13030" s="332">
        <v>972</v>
      </c>
      <c r="H13030" s="333">
        <v>1177</v>
      </c>
    </row>
    <row r="13031" spans="1:8">
      <c r="A13031" s="317">
        <v>2610347349</v>
      </c>
      <c r="B13031" s="330" t="s">
        <v>57384</v>
      </c>
      <c r="C13031" s="330" t="s">
        <v>27731</v>
      </c>
      <c r="D13031" s="330" t="s">
        <v>27732</v>
      </c>
      <c r="E13031" s="330" t="s">
        <v>4634</v>
      </c>
      <c r="F13031" s="331">
        <v>0.21</v>
      </c>
      <c r="G13031" s="332">
        <v>791</v>
      </c>
      <c r="H13031" s="333">
        <v>958</v>
      </c>
    </row>
    <row r="13032" spans="1:8">
      <c r="A13032" s="317">
        <v>2610347350</v>
      </c>
      <c r="B13032" s="330" t="s">
        <v>57385</v>
      </c>
      <c r="C13032" s="330" t="s">
        <v>27733</v>
      </c>
      <c r="D13032" s="330" t="s">
        <v>27734</v>
      </c>
      <c r="E13032" s="330" t="s">
        <v>4634</v>
      </c>
      <c r="F13032" s="331">
        <v>0.21</v>
      </c>
      <c r="G13032" s="332">
        <v>372</v>
      </c>
      <c r="H13032" s="333">
        <v>451</v>
      </c>
    </row>
    <row r="13033" spans="1:8">
      <c r="A13033" s="317">
        <v>2610347358</v>
      </c>
      <c r="B13033" s="330" t="s">
        <v>57386</v>
      </c>
      <c r="C13033" s="330" t="s">
        <v>27735</v>
      </c>
      <c r="D13033" s="330" t="s">
        <v>27389</v>
      </c>
      <c r="E13033" s="330" t="s">
        <v>4634</v>
      </c>
      <c r="F13033" s="331">
        <v>0.21</v>
      </c>
      <c r="G13033" s="332">
        <v>372</v>
      </c>
      <c r="H13033" s="333">
        <v>451</v>
      </c>
    </row>
    <row r="13034" spans="1:8">
      <c r="A13034" s="317">
        <v>2610347363</v>
      </c>
      <c r="B13034" s="330" t="s">
        <v>57387</v>
      </c>
      <c r="C13034" s="330" t="s">
        <v>27736</v>
      </c>
      <c r="D13034" s="330" t="s">
        <v>27737</v>
      </c>
      <c r="E13034" s="330" t="s">
        <v>4634</v>
      </c>
      <c r="F13034" s="331">
        <v>0.21</v>
      </c>
      <c r="G13034" s="332">
        <v>1798</v>
      </c>
      <c r="H13034" s="333">
        <v>2176</v>
      </c>
    </row>
    <row r="13035" spans="1:8">
      <c r="A13035" s="317">
        <v>2610347406</v>
      </c>
      <c r="B13035" s="330" t="s">
        <v>57388</v>
      </c>
      <c r="C13035" s="330" t="s">
        <v>27738</v>
      </c>
      <c r="D13035" s="330" t="s">
        <v>27739</v>
      </c>
      <c r="E13035" s="330" t="s">
        <v>4634</v>
      </c>
      <c r="F13035" s="331">
        <v>0.21</v>
      </c>
      <c r="G13035" s="332">
        <v>63947</v>
      </c>
      <c r="H13035" s="333">
        <v>77376</v>
      </c>
    </row>
    <row r="13036" spans="1:8">
      <c r="A13036" s="317">
        <v>2610347486</v>
      </c>
      <c r="B13036" s="330" t="s">
        <v>57389</v>
      </c>
      <c r="C13036" s="330" t="s">
        <v>27740</v>
      </c>
      <c r="D13036" s="330" t="s">
        <v>7991</v>
      </c>
      <c r="E13036" s="330" t="s">
        <v>4819</v>
      </c>
      <c r="F13036" s="331">
        <v>0.21</v>
      </c>
      <c r="G13036" s="332">
        <v>3689</v>
      </c>
      <c r="H13036" s="333">
        <v>4464</v>
      </c>
    </row>
    <row r="13037" spans="1:8">
      <c r="A13037" s="317">
        <v>2610347566</v>
      </c>
      <c r="B13037" s="330" t="s">
        <v>57390</v>
      </c>
      <c r="C13037" s="330" t="s">
        <v>27741</v>
      </c>
      <c r="D13037" s="330" t="s">
        <v>27742</v>
      </c>
      <c r="E13037" s="330" t="s">
        <v>4634</v>
      </c>
      <c r="F13037" s="331">
        <v>0.21</v>
      </c>
      <c r="G13037" s="332">
        <v>387</v>
      </c>
      <c r="H13037" s="333">
        <v>469</v>
      </c>
    </row>
    <row r="13038" spans="1:8">
      <c r="A13038" s="317">
        <v>2610347892</v>
      </c>
      <c r="B13038" s="330" t="s">
        <v>57391</v>
      </c>
      <c r="C13038" s="330" t="s">
        <v>27743</v>
      </c>
      <c r="D13038" s="330" t="s">
        <v>27744</v>
      </c>
      <c r="E13038" s="330" t="s">
        <v>4634</v>
      </c>
      <c r="F13038" s="331">
        <v>0.21</v>
      </c>
      <c r="G13038" s="332">
        <v>791</v>
      </c>
      <c r="H13038" s="333">
        <v>958</v>
      </c>
    </row>
    <row r="13039" spans="1:8">
      <c r="A13039" s="317">
        <v>2610347911</v>
      </c>
      <c r="B13039" s="330" t="s">
        <v>57392</v>
      </c>
      <c r="C13039" s="330" t="s">
        <v>27745</v>
      </c>
      <c r="D13039" s="330" t="s">
        <v>27746</v>
      </c>
      <c r="E13039" s="330" t="s">
        <v>4634</v>
      </c>
      <c r="F13039" s="331">
        <v>0.21</v>
      </c>
      <c r="G13039" s="332">
        <v>348</v>
      </c>
      <c r="H13039" s="333">
        <v>422</v>
      </c>
    </row>
    <row r="13040" spans="1:8">
      <c r="A13040" s="317">
        <v>2610347918</v>
      </c>
      <c r="B13040" s="330" t="s">
        <v>57393</v>
      </c>
      <c r="C13040" s="330" t="s">
        <v>27747</v>
      </c>
      <c r="D13040" s="330" t="s">
        <v>27748</v>
      </c>
      <c r="E13040" s="330" t="s">
        <v>4634</v>
      </c>
      <c r="F13040" s="331">
        <v>0.21</v>
      </c>
      <c r="G13040" s="332">
        <v>348</v>
      </c>
      <c r="H13040" s="333">
        <v>422</v>
      </c>
    </row>
    <row r="13041" spans="1:8">
      <c r="A13041" s="317">
        <v>2610347948</v>
      </c>
      <c r="B13041" s="330" t="s">
        <v>57394</v>
      </c>
      <c r="C13041" s="330" t="s">
        <v>27749</v>
      </c>
      <c r="D13041" s="330" t="s">
        <v>27750</v>
      </c>
      <c r="E13041" s="330" t="s">
        <v>4634</v>
      </c>
      <c r="F13041" s="331">
        <v>0.21</v>
      </c>
      <c r="G13041" s="332">
        <v>432</v>
      </c>
      <c r="H13041" s="333">
        <v>523</v>
      </c>
    </row>
    <row r="13042" spans="1:8">
      <c r="A13042" s="317">
        <v>2610348065</v>
      </c>
      <c r="B13042" s="330" t="s">
        <v>57395</v>
      </c>
      <c r="C13042" s="330" t="s">
        <v>27751</v>
      </c>
      <c r="D13042" s="330" t="s">
        <v>27752</v>
      </c>
      <c r="E13042" s="330" t="s">
        <v>4634</v>
      </c>
      <c r="F13042" s="331">
        <v>0.21</v>
      </c>
      <c r="G13042" s="332">
        <v>348</v>
      </c>
      <c r="H13042" s="333">
        <v>422</v>
      </c>
    </row>
    <row r="13043" spans="1:8">
      <c r="A13043" s="317">
        <v>2610348355</v>
      </c>
      <c r="B13043" s="330" t="s">
        <v>57396</v>
      </c>
      <c r="C13043" s="330" t="s">
        <v>27753</v>
      </c>
      <c r="D13043" s="330" t="s">
        <v>27754</v>
      </c>
      <c r="E13043" s="330" t="s">
        <v>4634</v>
      </c>
      <c r="F13043" s="331">
        <v>0.21</v>
      </c>
      <c r="G13043" s="332">
        <v>7075</v>
      </c>
      <c r="H13043" s="333">
        <v>8561</v>
      </c>
    </row>
    <row r="13044" spans="1:8">
      <c r="A13044" s="317">
        <v>2610348357</v>
      </c>
      <c r="B13044" s="330" t="s">
        <v>57397</v>
      </c>
      <c r="C13044" s="330" t="s">
        <v>27755</v>
      </c>
      <c r="D13044" s="330" t="s">
        <v>27756</v>
      </c>
      <c r="E13044" s="330" t="s">
        <v>4634</v>
      </c>
      <c r="F13044" s="331">
        <v>0.21</v>
      </c>
      <c r="G13044" s="332">
        <v>372</v>
      </c>
      <c r="H13044" s="333">
        <v>451</v>
      </c>
    </row>
    <row r="13045" spans="1:8">
      <c r="A13045" s="317">
        <v>2610348374</v>
      </c>
      <c r="B13045" s="330" t="s">
        <v>57398</v>
      </c>
      <c r="C13045" s="330" t="s">
        <v>27757</v>
      </c>
      <c r="D13045" s="330" t="s">
        <v>27758</v>
      </c>
      <c r="E13045" s="330" t="s">
        <v>4634</v>
      </c>
      <c r="F13045" s="331">
        <v>0.21</v>
      </c>
      <c r="G13045" s="332">
        <v>437</v>
      </c>
      <c r="H13045" s="333">
        <v>529</v>
      </c>
    </row>
    <row r="13046" spans="1:8">
      <c r="A13046" s="317">
        <v>2610348394</v>
      </c>
      <c r="B13046" s="330" t="s">
        <v>57399</v>
      </c>
      <c r="C13046" s="330" t="s">
        <v>27759</v>
      </c>
      <c r="D13046" s="330" t="s">
        <v>27760</v>
      </c>
      <c r="E13046" s="330" t="s">
        <v>4634</v>
      </c>
      <c r="F13046" s="331">
        <v>0.21</v>
      </c>
      <c r="G13046" s="332">
        <v>6660</v>
      </c>
      <c r="H13046" s="333">
        <v>8059</v>
      </c>
    </row>
    <row r="13047" spans="1:8">
      <c r="A13047" s="317">
        <v>2610348399</v>
      </c>
      <c r="B13047" s="330" t="s">
        <v>57400</v>
      </c>
      <c r="C13047" s="330" t="s">
        <v>27761</v>
      </c>
      <c r="D13047" s="330" t="s">
        <v>27762</v>
      </c>
      <c r="E13047" s="330" t="s">
        <v>4634</v>
      </c>
      <c r="F13047" s="331">
        <v>0.21</v>
      </c>
      <c r="G13047" s="332">
        <v>1405</v>
      </c>
      <c r="H13047" s="333">
        <v>1701</v>
      </c>
    </row>
    <row r="13048" spans="1:8">
      <c r="A13048" s="317">
        <v>2610348570</v>
      </c>
      <c r="B13048" s="330" t="s">
        <v>57401</v>
      </c>
      <c r="C13048" s="330" t="s">
        <v>27763</v>
      </c>
      <c r="D13048" s="330" t="s">
        <v>27764</v>
      </c>
      <c r="E13048" s="330" t="s">
        <v>4634</v>
      </c>
      <c r="F13048" s="331">
        <v>0.21</v>
      </c>
      <c r="G13048" s="332">
        <v>348</v>
      </c>
      <c r="H13048" s="333">
        <v>422</v>
      </c>
    </row>
    <row r="13049" spans="1:8">
      <c r="A13049" s="317">
        <v>2610348586</v>
      </c>
      <c r="B13049" s="330" t="s">
        <v>57402</v>
      </c>
      <c r="C13049" s="330" t="s">
        <v>27765</v>
      </c>
      <c r="D13049" s="330" t="s">
        <v>27766</v>
      </c>
      <c r="E13049" s="330" t="s">
        <v>4634</v>
      </c>
      <c r="F13049" s="331">
        <v>0.21</v>
      </c>
      <c r="G13049" s="332">
        <v>584</v>
      </c>
      <c r="H13049" s="333">
        <v>707</v>
      </c>
    </row>
    <row r="13050" spans="1:8">
      <c r="A13050" s="317">
        <v>2610348609</v>
      </c>
      <c r="B13050" s="330" t="s">
        <v>57403</v>
      </c>
      <c r="C13050" s="330" t="s">
        <v>27767</v>
      </c>
      <c r="D13050" s="330" t="s">
        <v>27768</v>
      </c>
      <c r="E13050" s="330" t="s">
        <v>4634</v>
      </c>
      <c r="F13050" s="331">
        <v>0.21</v>
      </c>
      <c r="G13050" s="332">
        <v>1075</v>
      </c>
      <c r="H13050" s="333">
        <v>1301</v>
      </c>
    </row>
    <row r="13051" spans="1:8">
      <c r="A13051" s="317">
        <v>2610348613</v>
      </c>
      <c r="B13051" s="330" t="s">
        <v>57404</v>
      </c>
      <c r="C13051" s="330" t="s">
        <v>27769</v>
      </c>
      <c r="D13051" s="330" t="s">
        <v>27770</v>
      </c>
      <c r="E13051" s="330" t="s">
        <v>4634</v>
      </c>
      <c r="F13051" s="331">
        <v>0.21</v>
      </c>
      <c r="G13051" s="332">
        <v>648</v>
      </c>
      <c r="H13051" s="333">
        <v>785</v>
      </c>
    </row>
    <row r="13052" spans="1:8">
      <c r="A13052" s="317">
        <v>2610348614</v>
      </c>
      <c r="B13052" s="330" t="s">
        <v>57405</v>
      </c>
      <c r="C13052" s="330" t="s">
        <v>27771</v>
      </c>
      <c r="D13052" s="330" t="s">
        <v>27772</v>
      </c>
      <c r="E13052" s="330" t="s">
        <v>4634</v>
      </c>
      <c r="F13052" s="331">
        <v>0.21</v>
      </c>
      <c r="G13052" s="332">
        <v>1844</v>
      </c>
      <c r="H13052" s="333">
        <v>2232</v>
      </c>
    </row>
    <row r="13053" spans="1:8">
      <c r="A13053" s="317">
        <v>2610348621</v>
      </c>
      <c r="B13053" s="330" t="s">
        <v>57406</v>
      </c>
      <c r="C13053" s="330" t="s">
        <v>27773</v>
      </c>
      <c r="D13053" s="330" t="s">
        <v>27774</v>
      </c>
      <c r="E13053" s="330" t="s">
        <v>4634</v>
      </c>
      <c r="F13053" s="331">
        <v>0.21</v>
      </c>
      <c r="G13053" s="332">
        <v>372</v>
      </c>
      <c r="H13053" s="333">
        <v>451</v>
      </c>
    </row>
    <row r="13054" spans="1:8">
      <c r="A13054" s="317">
        <v>2610348628</v>
      </c>
      <c r="B13054" s="330" t="s">
        <v>57407</v>
      </c>
      <c r="C13054" s="330" t="s">
        <v>27775</v>
      </c>
      <c r="D13054" s="330" t="s">
        <v>27774</v>
      </c>
      <c r="E13054" s="330" t="s">
        <v>4634</v>
      </c>
      <c r="F13054" s="331">
        <v>0.21</v>
      </c>
      <c r="G13054" s="332">
        <v>274</v>
      </c>
      <c r="H13054" s="333">
        <v>332</v>
      </c>
    </row>
    <row r="13055" spans="1:8">
      <c r="A13055" s="317">
        <v>2610350009</v>
      </c>
      <c r="B13055" s="330" t="s">
        <v>57408</v>
      </c>
      <c r="C13055" s="330" t="s">
        <v>27776</v>
      </c>
      <c r="D13055" s="330" t="s">
        <v>27777</v>
      </c>
      <c r="E13055" s="330" t="s">
        <v>4634</v>
      </c>
      <c r="F13055" s="331">
        <v>0.21</v>
      </c>
      <c r="G13055" s="332">
        <v>2707</v>
      </c>
      <c r="H13055" s="333">
        <v>3276</v>
      </c>
    </row>
    <row r="13056" spans="1:8">
      <c r="A13056" s="317">
        <v>2610350103</v>
      </c>
      <c r="B13056" s="330" t="s">
        <v>57409</v>
      </c>
      <c r="C13056" s="330" t="s">
        <v>27778</v>
      </c>
      <c r="D13056" s="330" t="s">
        <v>27779</v>
      </c>
      <c r="E13056" s="330" t="s">
        <v>37248</v>
      </c>
      <c r="F13056" s="331">
        <v>0.21</v>
      </c>
      <c r="G13056" s="332">
        <v>671</v>
      </c>
      <c r="H13056" s="333">
        <v>812</v>
      </c>
    </row>
    <row r="13057" spans="1:8">
      <c r="A13057" s="317">
        <v>2610350311</v>
      </c>
      <c r="B13057" s="330" t="s">
        <v>57410</v>
      </c>
      <c r="C13057" s="330" t="s">
        <v>27780</v>
      </c>
      <c r="D13057" s="330" t="s">
        <v>27781</v>
      </c>
      <c r="E13057" s="330" t="s">
        <v>4819</v>
      </c>
      <c r="F13057" s="331">
        <v>0.21</v>
      </c>
      <c r="G13057" s="332">
        <v>17770</v>
      </c>
      <c r="H13057" s="333">
        <v>21502</v>
      </c>
    </row>
    <row r="13058" spans="1:8">
      <c r="A13058" s="317">
        <v>2610350352</v>
      </c>
      <c r="B13058" s="330" t="s">
        <v>57411</v>
      </c>
      <c r="C13058" s="330" t="s">
        <v>27782</v>
      </c>
      <c r="D13058" s="330" t="s">
        <v>27257</v>
      </c>
      <c r="E13058" s="330" t="s">
        <v>4634</v>
      </c>
      <c r="F13058" s="331">
        <v>0.21</v>
      </c>
      <c r="G13058" s="332">
        <v>791</v>
      </c>
      <c r="H13058" s="333">
        <v>958</v>
      </c>
    </row>
    <row r="13059" spans="1:8">
      <c r="A13059" s="317">
        <v>2610350359</v>
      </c>
      <c r="B13059" s="330" t="s">
        <v>57412</v>
      </c>
      <c r="C13059" s="330" t="s">
        <v>27783</v>
      </c>
      <c r="D13059" s="330" t="s">
        <v>27784</v>
      </c>
      <c r="E13059" s="330" t="s">
        <v>4634</v>
      </c>
      <c r="F13059" s="331">
        <v>0.21</v>
      </c>
      <c r="G13059" s="332">
        <v>348</v>
      </c>
      <c r="H13059" s="333">
        <v>422</v>
      </c>
    </row>
    <row r="13060" spans="1:8">
      <c r="A13060" s="317">
        <v>2610350360</v>
      </c>
      <c r="B13060" s="330" t="s">
        <v>57413</v>
      </c>
      <c r="C13060" s="330" t="s">
        <v>27785</v>
      </c>
      <c r="D13060" s="330" t="s">
        <v>27786</v>
      </c>
      <c r="E13060" s="330" t="s">
        <v>4634</v>
      </c>
      <c r="F13060" s="331">
        <v>0.21</v>
      </c>
      <c r="G13060" s="332">
        <v>274</v>
      </c>
      <c r="H13060" s="333">
        <v>332</v>
      </c>
    </row>
    <row r="13061" spans="1:8">
      <c r="A13061" s="317">
        <v>2610350377</v>
      </c>
      <c r="B13061" s="330" t="s">
        <v>57414</v>
      </c>
      <c r="C13061" s="330" t="s">
        <v>27787</v>
      </c>
      <c r="D13061" s="330" t="s">
        <v>27788</v>
      </c>
      <c r="E13061" s="330" t="s">
        <v>4634</v>
      </c>
      <c r="F13061" s="331">
        <v>0.21</v>
      </c>
      <c r="G13061" s="332">
        <v>2462</v>
      </c>
      <c r="H13061" s="333">
        <v>2980</v>
      </c>
    </row>
    <row r="13062" spans="1:8">
      <c r="A13062" s="317">
        <v>2610350554</v>
      </c>
      <c r="B13062" s="330" t="s">
        <v>57415</v>
      </c>
      <c r="C13062" s="330" t="s">
        <v>27789</v>
      </c>
      <c r="D13062" s="330" t="s">
        <v>27790</v>
      </c>
      <c r="E13062" s="330" t="s">
        <v>4634</v>
      </c>
      <c r="F13062" s="331">
        <v>0.21</v>
      </c>
      <c r="G13062" s="332">
        <v>4650</v>
      </c>
      <c r="H13062" s="333">
        <v>5627</v>
      </c>
    </row>
    <row r="13063" spans="1:8">
      <c r="A13063" s="317">
        <v>2610350555</v>
      </c>
      <c r="B13063" s="330" t="s">
        <v>57416</v>
      </c>
      <c r="C13063" s="330" t="s">
        <v>27791</v>
      </c>
      <c r="D13063" s="330" t="s">
        <v>27792</v>
      </c>
      <c r="E13063" s="330" t="s">
        <v>4634</v>
      </c>
      <c r="F13063" s="331">
        <v>0.21</v>
      </c>
      <c r="G13063" s="332">
        <v>928</v>
      </c>
      <c r="H13063" s="333">
        <v>1123</v>
      </c>
    </row>
    <row r="13064" spans="1:8">
      <c r="A13064" s="317">
        <v>2610350556</v>
      </c>
      <c r="B13064" s="330" t="s">
        <v>57417</v>
      </c>
      <c r="C13064" s="330" t="s">
        <v>27793</v>
      </c>
      <c r="D13064" s="330" t="s">
        <v>27794</v>
      </c>
      <c r="E13064" s="330" t="s">
        <v>4634</v>
      </c>
      <c r="F13064" s="331">
        <v>0.21</v>
      </c>
      <c r="G13064" s="332">
        <v>9712</v>
      </c>
      <c r="H13064" s="333">
        <v>11752</v>
      </c>
    </row>
    <row r="13065" spans="1:8">
      <c r="A13065" s="317">
        <v>2610350558</v>
      </c>
      <c r="B13065" s="330" t="s">
        <v>57418</v>
      </c>
      <c r="C13065" s="330" t="s">
        <v>27795</v>
      </c>
      <c r="D13065" s="330" t="s">
        <v>27796</v>
      </c>
      <c r="E13065" s="330" t="s">
        <v>4634</v>
      </c>
      <c r="F13065" s="331">
        <v>0.21</v>
      </c>
      <c r="G13065" s="332">
        <v>274</v>
      </c>
      <c r="H13065" s="333">
        <v>332</v>
      </c>
    </row>
    <row r="13066" spans="1:8">
      <c r="A13066" s="317">
        <v>2610350560</v>
      </c>
      <c r="B13066" s="330" t="s">
        <v>57419</v>
      </c>
      <c r="C13066" s="330" t="s">
        <v>27797</v>
      </c>
      <c r="D13066" s="330" t="s">
        <v>27798</v>
      </c>
      <c r="E13066" s="330" t="s">
        <v>4634</v>
      </c>
      <c r="F13066" s="331">
        <v>0.21</v>
      </c>
      <c r="G13066" s="332">
        <v>874</v>
      </c>
      <c r="H13066" s="333">
        <v>1058</v>
      </c>
    </row>
    <row r="13067" spans="1:8">
      <c r="A13067" s="317">
        <v>2610350567</v>
      </c>
      <c r="B13067" s="330" t="s">
        <v>57420</v>
      </c>
      <c r="C13067" s="330" t="s">
        <v>27799</v>
      </c>
      <c r="D13067" s="330" t="s">
        <v>27800</v>
      </c>
      <c r="E13067" s="330" t="s">
        <v>4634</v>
      </c>
      <c r="F13067" s="331">
        <v>0.21</v>
      </c>
      <c r="G13067" s="332">
        <v>1150</v>
      </c>
      <c r="H13067" s="333">
        <v>1392</v>
      </c>
    </row>
    <row r="13068" spans="1:8">
      <c r="A13068" s="317">
        <v>2610350568</v>
      </c>
      <c r="B13068" s="330" t="s">
        <v>57421</v>
      </c>
      <c r="C13068" s="330" t="s">
        <v>27801</v>
      </c>
      <c r="D13068" s="330" t="s">
        <v>27802</v>
      </c>
      <c r="E13068" s="330" t="s">
        <v>4634</v>
      </c>
      <c r="F13068" s="331">
        <v>0.21</v>
      </c>
      <c r="G13068" s="332">
        <v>968</v>
      </c>
      <c r="H13068" s="333">
        <v>1172</v>
      </c>
    </row>
    <row r="13069" spans="1:8">
      <c r="A13069" s="317">
        <v>2610350570</v>
      </c>
      <c r="B13069" s="330" t="s">
        <v>57422</v>
      </c>
      <c r="C13069" s="330" t="s">
        <v>27803</v>
      </c>
      <c r="D13069" s="330" t="s">
        <v>27804</v>
      </c>
      <c r="E13069" s="330" t="s">
        <v>4634</v>
      </c>
      <c r="F13069" s="331">
        <v>0.21</v>
      </c>
      <c r="G13069" s="332">
        <v>702</v>
      </c>
      <c r="H13069" s="333">
        <v>850</v>
      </c>
    </row>
    <row r="13070" spans="1:8">
      <c r="A13070" s="317">
        <v>2610350571</v>
      </c>
      <c r="B13070" s="330" t="s">
        <v>57423</v>
      </c>
      <c r="C13070" s="330" t="s">
        <v>27805</v>
      </c>
      <c r="D13070" s="330" t="s">
        <v>27806</v>
      </c>
      <c r="E13070" s="330" t="s">
        <v>4634</v>
      </c>
      <c r="F13070" s="331">
        <v>0.21</v>
      </c>
      <c r="G13070" s="332">
        <v>678</v>
      </c>
      <c r="H13070" s="333">
        <v>821</v>
      </c>
    </row>
    <row r="13071" spans="1:8">
      <c r="A13071" s="317">
        <v>2610350572</v>
      </c>
      <c r="B13071" s="330" t="s">
        <v>57424</v>
      </c>
      <c r="C13071" s="330" t="s">
        <v>27807</v>
      </c>
      <c r="D13071" s="330" t="s">
        <v>27806</v>
      </c>
      <c r="E13071" s="330" t="s">
        <v>4634</v>
      </c>
      <c r="F13071" s="331">
        <v>0.21</v>
      </c>
      <c r="G13071" s="332">
        <v>564</v>
      </c>
      <c r="H13071" s="333">
        <v>683</v>
      </c>
    </row>
    <row r="13072" spans="1:8">
      <c r="A13072" s="317">
        <v>2610350575</v>
      </c>
      <c r="B13072" s="330" t="s">
        <v>57425</v>
      </c>
      <c r="C13072" s="330" t="s">
        <v>27808</v>
      </c>
      <c r="D13072" s="330" t="s">
        <v>27809</v>
      </c>
      <c r="E13072" s="330" t="s">
        <v>4634</v>
      </c>
      <c r="F13072" s="331">
        <v>0.21</v>
      </c>
      <c r="G13072" s="332">
        <v>4004</v>
      </c>
      <c r="H13072" s="333">
        <v>4845</v>
      </c>
    </row>
    <row r="13073" spans="1:8">
      <c r="A13073" s="317">
        <v>2610350583</v>
      </c>
      <c r="B13073" s="330" t="s">
        <v>57426</v>
      </c>
      <c r="C13073" s="330" t="s">
        <v>27810</v>
      </c>
      <c r="D13073" s="330" t="s">
        <v>27811</v>
      </c>
      <c r="E13073" s="330" t="s">
        <v>4634</v>
      </c>
      <c r="F13073" s="331">
        <v>0.21</v>
      </c>
      <c r="G13073" s="332">
        <v>702</v>
      </c>
      <c r="H13073" s="333">
        <v>850</v>
      </c>
    </row>
    <row r="13074" spans="1:8">
      <c r="A13074" s="317">
        <v>2610350655</v>
      </c>
      <c r="B13074" s="330" t="s">
        <v>57427</v>
      </c>
      <c r="C13074" s="330" t="s">
        <v>27812</v>
      </c>
      <c r="D13074" s="330" t="s">
        <v>27813</v>
      </c>
      <c r="E13074" s="330" t="s">
        <v>4634</v>
      </c>
      <c r="F13074" s="331">
        <v>0.21</v>
      </c>
      <c r="G13074" s="332">
        <v>372</v>
      </c>
      <c r="H13074" s="333">
        <v>451</v>
      </c>
    </row>
    <row r="13075" spans="1:8">
      <c r="A13075" s="317">
        <v>2610350657</v>
      </c>
      <c r="B13075" s="330" t="s">
        <v>57428</v>
      </c>
      <c r="C13075" s="330" t="s">
        <v>27814</v>
      </c>
      <c r="D13075" s="330" t="s">
        <v>27815</v>
      </c>
      <c r="E13075" s="330" t="s">
        <v>4634</v>
      </c>
      <c r="F13075" s="331">
        <v>0.21</v>
      </c>
      <c r="G13075" s="332">
        <v>4088</v>
      </c>
      <c r="H13075" s="333">
        <v>4947</v>
      </c>
    </row>
    <row r="13076" spans="1:8">
      <c r="A13076" s="317">
        <v>2610350662</v>
      </c>
      <c r="B13076" s="330" t="s">
        <v>57429</v>
      </c>
      <c r="C13076" s="330" t="s">
        <v>27816</v>
      </c>
      <c r="D13076" s="330" t="s">
        <v>27817</v>
      </c>
      <c r="E13076" s="330" t="s">
        <v>4634</v>
      </c>
      <c r="F13076" s="331">
        <v>0.21</v>
      </c>
      <c r="G13076" s="332">
        <v>1126</v>
      </c>
      <c r="H13076" s="333">
        <v>1363</v>
      </c>
    </row>
    <row r="13077" spans="1:8">
      <c r="A13077" s="317">
        <v>2610350665</v>
      </c>
      <c r="B13077" s="330" t="s">
        <v>57430</v>
      </c>
      <c r="C13077" s="330" t="s">
        <v>27818</v>
      </c>
      <c r="D13077" s="330" t="s">
        <v>27819</v>
      </c>
      <c r="E13077" s="330" t="s">
        <v>4634</v>
      </c>
      <c r="F13077" s="331">
        <v>0.21</v>
      </c>
      <c r="G13077" s="332">
        <v>678</v>
      </c>
      <c r="H13077" s="333">
        <v>821</v>
      </c>
    </row>
    <row r="13078" spans="1:8">
      <c r="A13078" s="317">
        <v>2610350667</v>
      </c>
      <c r="B13078" s="330" t="s">
        <v>57431</v>
      </c>
      <c r="C13078" s="330" t="s">
        <v>27820</v>
      </c>
      <c r="D13078" s="330" t="s">
        <v>27821</v>
      </c>
      <c r="E13078" s="330" t="s">
        <v>4634</v>
      </c>
      <c r="F13078" s="331">
        <v>0.21</v>
      </c>
      <c r="G13078" s="332">
        <v>455</v>
      </c>
      <c r="H13078" s="333">
        <v>551</v>
      </c>
    </row>
    <row r="13079" spans="1:8">
      <c r="A13079" s="317">
        <v>2610350668</v>
      </c>
      <c r="B13079" s="330" t="s">
        <v>57432</v>
      </c>
      <c r="C13079" s="330" t="s">
        <v>27822</v>
      </c>
      <c r="D13079" s="330" t="s">
        <v>27823</v>
      </c>
      <c r="E13079" s="330" t="s">
        <v>4634</v>
      </c>
      <c r="F13079" s="331">
        <v>0.21</v>
      </c>
      <c r="G13079" s="332">
        <v>24</v>
      </c>
      <c r="H13079" s="333">
        <v>30</v>
      </c>
    </row>
    <row r="13080" spans="1:8">
      <c r="A13080" s="317">
        <v>2610350672</v>
      </c>
      <c r="B13080" s="330" t="s">
        <v>57433</v>
      </c>
      <c r="C13080" s="330" t="s">
        <v>27824</v>
      </c>
      <c r="D13080" s="330" t="s">
        <v>27825</v>
      </c>
      <c r="E13080" s="330" t="s">
        <v>4634</v>
      </c>
      <c r="F13080" s="331">
        <v>0.21</v>
      </c>
      <c r="G13080" s="332">
        <v>44332</v>
      </c>
      <c r="H13080" s="333">
        <v>53642</v>
      </c>
    </row>
    <row r="13081" spans="1:8">
      <c r="A13081" s="317">
        <v>2610350677</v>
      </c>
      <c r="B13081" s="330" t="s">
        <v>57434</v>
      </c>
      <c r="C13081" s="330" t="s">
        <v>27826</v>
      </c>
      <c r="D13081" s="330" t="s">
        <v>27827</v>
      </c>
      <c r="E13081" s="330" t="s">
        <v>4634</v>
      </c>
      <c r="F13081" s="331">
        <v>0.21</v>
      </c>
      <c r="G13081" s="332">
        <v>64</v>
      </c>
      <c r="H13081" s="333">
        <v>78</v>
      </c>
    </row>
    <row r="13082" spans="1:8">
      <c r="A13082" s="317">
        <v>2610350679</v>
      </c>
      <c r="B13082" s="330" t="s">
        <v>57435</v>
      </c>
      <c r="C13082" s="330" t="s">
        <v>27828</v>
      </c>
      <c r="D13082" s="330" t="s">
        <v>27829</v>
      </c>
      <c r="E13082" s="330" t="s">
        <v>4634</v>
      </c>
      <c r="F13082" s="331">
        <v>0.21</v>
      </c>
      <c r="G13082" s="332">
        <v>5819</v>
      </c>
      <c r="H13082" s="333">
        <v>7041</v>
      </c>
    </row>
    <row r="13083" spans="1:8">
      <c r="A13083" s="317">
        <v>2610350683</v>
      </c>
      <c r="B13083" s="330" t="s">
        <v>57436</v>
      </c>
      <c r="C13083" s="330" t="s">
        <v>27830</v>
      </c>
      <c r="D13083" s="330" t="s">
        <v>27831</v>
      </c>
      <c r="E13083" s="330" t="s">
        <v>4634</v>
      </c>
      <c r="F13083" s="331">
        <v>0.21</v>
      </c>
      <c r="G13083" s="332">
        <v>455</v>
      </c>
      <c r="H13083" s="333">
        <v>551</v>
      </c>
    </row>
    <row r="13084" spans="1:8">
      <c r="A13084" s="317">
        <v>2610350688</v>
      </c>
      <c r="B13084" s="330" t="s">
        <v>57437</v>
      </c>
      <c r="C13084" s="330" t="s">
        <v>27832</v>
      </c>
      <c r="D13084" s="330" t="s">
        <v>27833</v>
      </c>
      <c r="E13084" s="330" t="s">
        <v>4634</v>
      </c>
      <c r="F13084" s="331">
        <v>0.21</v>
      </c>
      <c r="G13084" s="332">
        <v>628</v>
      </c>
      <c r="H13084" s="333">
        <v>760</v>
      </c>
    </row>
    <row r="13085" spans="1:8">
      <c r="A13085" s="317">
        <v>2610350691</v>
      </c>
      <c r="B13085" s="330" t="s">
        <v>57438</v>
      </c>
      <c r="C13085" s="330" t="s">
        <v>27834</v>
      </c>
      <c r="D13085" s="330" t="s">
        <v>27835</v>
      </c>
      <c r="E13085" s="330" t="s">
        <v>4634</v>
      </c>
      <c r="F13085" s="331">
        <v>0.21</v>
      </c>
      <c r="G13085" s="332">
        <v>19188</v>
      </c>
      <c r="H13085" s="333">
        <v>23218</v>
      </c>
    </row>
    <row r="13086" spans="1:8">
      <c r="A13086" s="317">
        <v>2610350720</v>
      </c>
      <c r="B13086" s="330" t="s">
        <v>57439</v>
      </c>
      <c r="C13086" s="330" t="s">
        <v>27836</v>
      </c>
      <c r="D13086" s="330" t="s">
        <v>27837</v>
      </c>
      <c r="E13086" s="330" t="s">
        <v>4634</v>
      </c>
      <c r="F13086" s="331">
        <v>0.21</v>
      </c>
      <c r="G13086" s="332">
        <v>12447</v>
      </c>
      <c r="H13086" s="333">
        <v>15061</v>
      </c>
    </row>
    <row r="13087" spans="1:8">
      <c r="A13087" s="317">
        <v>2610350729</v>
      </c>
      <c r="B13087" s="330" t="s">
        <v>57440</v>
      </c>
      <c r="C13087" s="330" t="s">
        <v>27838</v>
      </c>
      <c r="D13087" s="330" t="s">
        <v>27839</v>
      </c>
      <c r="E13087" s="330" t="s">
        <v>4634</v>
      </c>
      <c r="F13087" s="331">
        <v>0.21</v>
      </c>
      <c r="G13087" s="332">
        <v>7551</v>
      </c>
      <c r="H13087" s="333">
        <v>9137</v>
      </c>
    </row>
    <row r="13088" spans="1:8">
      <c r="A13088" s="317">
        <v>2610350758</v>
      </c>
      <c r="B13088" s="330" t="s">
        <v>57441</v>
      </c>
      <c r="C13088" s="330" t="s">
        <v>27840</v>
      </c>
      <c r="D13088" s="330" t="s">
        <v>27841</v>
      </c>
      <c r="E13088" s="330" t="s">
        <v>4634</v>
      </c>
      <c r="F13088" s="331">
        <v>0.21</v>
      </c>
      <c r="G13088" s="332">
        <v>9128</v>
      </c>
      <c r="H13088" s="333">
        <v>11045</v>
      </c>
    </row>
    <row r="13089" spans="1:8">
      <c r="A13089" s="317">
        <v>2610350763</v>
      </c>
      <c r="B13089" s="330" t="s">
        <v>57442</v>
      </c>
      <c r="C13089" s="330" t="s">
        <v>27842</v>
      </c>
      <c r="D13089" s="330" t="s">
        <v>27843</v>
      </c>
      <c r="E13089" s="330" t="s">
        <v>4634</v>
      </c>
      <c r="F13089" s="331">
        <v>0.21</v>
      </c>
      <c r="G13089" s="332">
        <v>372</v>
      </c>
      <c r="H13089" s="333">
        <v>451</v>
      </c>
    </row>
    <row r="13090" spans="1:8">
      <c r="A13090" s="317">
        <v>2610350765</v>
      </c>
      <c r="B13090" s="330" t="s">
        <v>57443</v>
      </c>
      <c r="C13090" s="330" t="s">
        <v>27844</v>
      </c>
      <c r="D13090" s="330" t="s">
        <v>27845</v>
      </c>
      <c r="E13090" s="330" t="s">
        <v>4634</v>
      </c>
      <c r="F13090" s="331">
        <v>0.21</v>
      </c>
      <c r="G13090" s="332">
        <v>2806</v>
      </c>
      <c r="H13090" s="333">
        <v>3396</v>
      </c>
    </row>
    <row r="13091" spans="1:8">
      <c r="A13091" s="317">
        <v>2610350776</v>
      </c>
      <c r="B13091" s="330" t="s">
        <v>57444</v>
      </c>
      <c r="C13091" s="330" t="s">
        <v>27846</v>
      </c>
      <c r="D13091" s="330" t="s">
        <v>27847</v>
      </c>
      <c r="E13091" s="330" t="s">
        <v>4634</v>
      </c>
      <c r="F13091" s="331">
        <v>0.21</v>
      </c>
      <c r="G13091" s="332">
        <v>372</v>
      </c>
      <c r="H13091" s="333">
        <v>451</v>
      </c>
    </row>
    <row r="13092" spans="1:8">
      <c r="A13092" s="317">
        <v>2610350777</v>
      </c>
      <c r="B13092" s="330" t="s">
        <v>57445</v>
      </c>
      <c r="C13092" s="330" t="s">
        <v>27848</v>
      </c>
      <c r="D13092" s="330" t="s">
        <v>27849</v>
      </c>
      <c r="E13092" s="330" t="s">
        <v>4634</v>
      </c>
      <c r="F13092" s="331">
        <v>0.21</v>
      </c>
      <c r="G13092" s="332">
        <v>1411</v>
      </c>
      <c r="H13092" s="333">
        <v>1708</v>
      </c>
    </row>
    <row r="13093" spans="1:8">
      <c r="A13093" s="317">
        <v>2610350781</v>
      </c>
      <c r="B13093" s="330" t="s">
        <v>57446</v>
      </c>
      <c r="C13093" s="330" t="s">
        <v>27850</v>
      </c>
      <c r="D13093" s="330" t="s">
        <v>27851</v>
      </c>
      <c r="E13093" s="330" t="s">
        <v>4634</v>
      </c>
      <c r="F13093" s="331">
        <v>0.21</v>
      </c>
      <c r="G13093" s="332">
        <v>1126</v>
      </c>
      <c r="H13093" s="333">
        <v>1363</v>
      </c>
    </row>
    <row r="13094" spans="1:8">
      <c r="A13094" s="317">
        <v>2610350788</v>
      </c>
      <c r="B13094" s="330" t="s">
        <v>57447</v>
      </c>
      <c r="C13094" s="330" t="s">
        <v>27852</v>
      </c>
      <c r="D13094" s="330" t="s">
        <v>27853</v>
      </c>
      <c r="E13094" s="330" t="s">
        <v>4634</v>
      </c>
      <c r="F13094" s="331">
        <v>0.21</v>
      </c>
      <c r="G13094" s="332">
        <v>11216</v>
      </c>
      <c r="H13094" s="333">
        <v>13572</v>
      </c>
    </row>
    <row r="13095" spans="1:8">
      <c r="A13095" s="317">
        <v>2610350793</v>
      </c>
      <c r="B13095" s="330" t="s">
        <v>57448</v>
      </c>
      <c r="C13095" s="330" t="s">
        <v>27854</v>
      </c>
      <c r="D13095" s="330" t="s">
        <v>27855</v>
      </c>
      <c r="E13095" s="330" t="s">
        <v>4634</v>
      </c>
      <c r="F13095" s="331">
        <v>0.21</v>
      </c>
      <c r="G13095" s="332">
        <v>5909</v>
      </c>
      <c r="H13095" s="333">
        <v>7150</v>
      </c>
    </row>
    <row r="13096" spans="1:8">
      <c r="A13096" s="317">
        <v>2610350934</v>
      </c>
      <c r="B13096" s="330" t="s">
        <v>57449</v>
      </c>
      <c r="C13096" s="330" t="s">
        <v>27856</v>
      </c>
      <c r="D13096" s="330" t="s">
        <v>27857</v>
      </c>
      <c r="E13096" s="330" t="s">
        <v>4634</v>
      </c>
      <c r="F13096" s="331">
        <v>0.21</v>
      </c>
      <c r="G13096" s="332">
        <v>584</v>
      </c>
      <c r="H13096" s="333">
        <v>707</v>
      </c>
    </row>
    <row r="13097" spans="1:8">
      <c r="A13097" s="317">
        <v>2610350939</v>
      </c>
      <c r="B13097" s="330" t="s">
        <v>57450</v>
      </c>
      <c r="C13097" s="330" t="s">
        <v>27858</v>
      </c>
      <c r="D13097" s="330" t="s">
        <v>27859</v>
      </c>
      <c r="E13097" s="330" t="s">
        <v>4634</v>
      </c>
      <c r="F13097" s="331">
        <v>0.21</v>
      </c>
      <c r="G13097" s="332">
        <v>1798</v>
      </c>
      <c r="H13097" s="333">
        <v>2176</v>
      </c>
    </row>
    <row r="13098" spans="1:8">
      <c r="A13098" s="317">
        <v>2610350941</v>
      </c>
      <c r="B13098" s="330" t="s">
        <v>57451</v>
      </c>
      <c r="C13098" s="330" t="s">
        <v>27860</v>
      </c>
      <c r="D13098" s="330" t="s">
        <v>27861</v>
      </c>
      <c r="E13098" s="330" t="s">
        <v>4634</v>
      </c>
      <c r="F13098" s="331">
        <v>0.21</v>
      </c>
      <c r="G13098" s="332">
        <v>455</v>
      </c>
      <c r="H13098" s="333">
        <v>551</v>
      </c>
    </row>
    <row r="13099" spans="1:8">
      <c r="A13099" s="317">
        <v>2610350943</v>
      </c>
      <c r="B13099" s="330" t="s">
        <v>57452</v>
      </c>
      <c r="C13099" s="330" t="s">
        <v>27862</v>
      </c>
      <c r="D13099" s="330" t="s">
        <v>27863</v>
      </c>
      <c r="E13099" s="330" t="s">
        <v>4634</v>
      </c>
      <c r="F13099" s="331">
        <v>0.21</v>
      </c>
      <c r="G13099" s="332">
        <v>372</v>
      </c>
      <c r="H13099" s="333">
        <v>451</v>
      </c>
    </row>
    <row r="13100" spans="1:8">
      <c r="A13100" s="317">
        <v>2610350945</v>
      </c>
      <c r="B13100" s="330" t="s">
        <v>57453</v>
      </c>
      <c r="C13100" s="330" t="s">
        <v>27864</v>
      </c>
      <c r="D13100" s="330" t="s">
        <v>27865</v>
      </c>
      <c r="E13100" s="330" t="s">
        <v>4634</v>
      </c>
      <c r="F13100" s="331">
        <v>0.21</v>
      </c>
      <c r="G13100" s="332">
        <v>584</v>
      </c>
      <c r="H13100" s="333">
        <v>707</v>
      </c>
    </row>
    <row r="13101" spans="1:8">
      <c r="A13101" s="317">
        <v>2610351011</v>
      </c>
      <c r="B13101" s="330" t="s">
        <v>57454</v>
      </c>
      <c r="C13101" s="330" t="s">
        <v>27866</v>
      </c>
      <c r="D13101" s="330" t="s">
        <v>27867</v>
      </c>
      <c r="E13101" s="330" t="s">
        <v>4634</v>
      </c>
      <c r="F13101" s="331">
        <v>0.21</v>
      </c>
      <c r="G13101" s="332">
        <v>455</v>
      </c>
      <c r="H13101" s="333">
        <v>551</v>
      </c>
    </row>
    <row r="13102" spans="1:8">
      <c r="A13102" s="317">
        <v>2610351012</v>
      </c>
      <c r="B13102" s="330" t="s">
        <v>57455</v>
      </c>
      <c r="C13102" s="330" t="s">
        <v>27868</v>
      </c>
      <c r="D13102" s="330" t="s">
        <v>27869</v>
      </c>
      <c r="E13102" s="330" t="s">
        <v>4634</v>
      </c>
      <c r="F13102" s="331">
        <v>0.21</v>
      </c>
      <c r="G13102" s="332">
        <v>372</v>
      </c>
      <c r="H13102" s="333">
        <v>451</v>
      </c>
    </row>
    <row r="13103" spans="1:8">
      <c r="A13103" s="317">
        <v>2610351014</v>
      </c>
      <c r="B13103" s="330" t="s">
        <v>57456</v>
      </c>
      <c r="C13103" s="330" t="s">
        <v>27870</v>
      </c>
      <c r="D13103" s="330" t="s">
        <v>27871</v>
      </c>
      <c r="E13103" s="330" t="s">
        <v>4634</v>
      </c>
      <c r="F13103" s="331">
        <v>0.21</v>
      </c>
      <c r="G13103" s="332">
        <v>372</v>
      </c>
      <c r="H13103" s="333">
        <v>451</v>
      </c>
    </row>
    <row r="13104" spans="1:8">
      <c r="A13104" s="317">
        <v>2610351015</v>
      </c>
      <c r="B13104" s="330" t="s">
        <v>57457</v>
      </c>
      <c r="C13104" s="330" t="s">
        <v>27872</v>
      </c>
      <c r="D13104" s="330" t="s">
        <v>27873</v>
      </c>
      <c r="E13104" s="330" t="s">
        <v>4634</v>
      </c>
      <c r="F13104" s="331">
        <v>0.21</v>
      </c>
      <c r="G13104" s="332">
        <v>348</v>
      </c>
      <c r="H13104" s="333">
        <v>422</v>
      </c>
    </row>
    <row r="13105" spans="1:8">
      <c r="A13105" s="317">
        <v>2610351016</v>
      </c>
      <c r="B13105" s="330" t="s">
        <v>57458</v>
      </c>
      <c r="C13105" s="330" t="s">
        <v>27874</v>
      </c>
      <c r="D13105" s="330" t="s">
        <v>27875</v>
      </c>
      <c r="E13105" s="330" t="s">
        <v>4634</v>
      </c>
      <c r="F13105" s="331">
        <v>0.21</v>
      </c>
      <c r="G13105" s="332">
        <v>455</v>
      </c>
      <c r="H13105" s="333">
        <v>551</v>
      </c>
    </row>
    <row r="13106" spans="1:8">
      <c r="A13106" s="317">
        <v>2610351018</v>
      </c>
      <c r="B13106" s="330" t="s">
        <v>57459</v>
      </c>
      <c r="C13106" s="330" t="s">
        <v>27876</v>
      </c>
      <c r="D13106" s="330" t="s">
        <v>27877</v>
      </c>
      <c r="E13106" s="330" t="s">
        <v>4634</v>
      </c>
      <c r="F13106" s="331">
        <v>0.21</v>
      </c>
      <c r="G13106" s="332">
        <v>584</v>
      </c>
      <c r="H13106" s="333">
        <v>707</v>
      </c>
    </row>
    <row r="13107" spans="1:8">
      <c r="A13107" s="317">
        <v>2610351034</v>
      </c>
      <c r="B13107" s="330" t="s">
        <v>57460</v>
      </c>
      <c r="C13107" s="330" t="s">
        <v>27878</v>
      </c>
      <c r="D13107" s="330" t="s">
        <v>27879</v>
      </c>
      <c r="E13107" s="330" t="s">
        <v>4634</v>
      </c>
      <c r="F13107" s="331">
        <v>0.21</v>
      </c>
      <c r="G13107" s="332">
        <v>584</v>
      </c>
      <c r="H13107" s="333">
        <v>707</v>
      </c>
    </row>
    <row r="13108" spans="1:8">
      <c r="A13108" s="317">
        <v>2610351037</v>
      </c>
      <c r="B13108" s="330" t="s">
        <v>57461</v>
      </c>
      <c r="C13108" s="330" t="s">
        <v>27880</v>
      </c>
      <c r="D13108" s="330" t="s">
        <v>27881</v>
      </c>
      <c r="E13108" s="330" t="s">
        <v>4634</v>
      </c>
      <c r="F13108" s="331">
        <v>0.21</v>
      </c>
      <c r="G13108" s="332">
        <v>791</v>
      </c>
      <c r="H13108" s="333">
        <v>958</v>
      </c>
    </row>
    <row r="13109" spans="1:8">
      <c r="A13109" s="317">
        <v>2610351040</v>
      </c>
      <c r="B13109" s="330" t="s">
        <v>57462</v>
      </c>
      <c r="C13109" s="330" t="s">
        <v>27882</v>
      </c>
      <c r="D13109" s="330" t="s">
        <v>27883</v>
      </c>
      <c r="E13109" s="330" t="s">
        <v>4634</v>
      </c>
      <c r="F13109" s="331">
        <v>0.21</v>
      </c>
      <c r="G13109" s="332">
        <v>584</v>
      </c>
      <c r="H13109" s="333">
        <v>707</v>
      </c>
    </row>
    <row r="13110" spans="1:8">
      <c r="A13110" s="317">
        <v>2610351041</v>
      </c>
      <c r="B13110" s="330" t="s">
        <v>57463</v>
      </c>
      <c r="C13110" s="330" t="s">
        <v>27884</v>
      </c>
      <c r="D13110" s="330" t="s">
        <v>27885</v>
      </c>
      <c r="E13110" s="330" t="s">
        <v>4634</v>
      </c>
      <c r="F13110" s="331">
        <v>0.21</v>
      </c>
      <c r="G13110" s="332">
        <v>584</v>
      </c>
      <c r="H13110" s="333">
        <v>707</v>
      </c>
    </row>
    <row r="13111" spans="1:8">
      <c r="A13111" s="317">
        <v>2610351048</v>
      </c>
      <c r="B13111" s="330" t="s">
        <v>57464</v>
      </c>
      <c r="C13111" s="330" t="s">
        <v>27886</v>
      </c>
      <c r="D13111" s="330" t="s">
        <v>27887</v>
      </c>
      <c r="E13111" s="330" t="s">
        <v>4634</v>
      </c>
      <c r="F13111" s="331">
        <v>0.21</v>
      </c>
      <c r="G13111" s="332">
        <v>791</v>
      </c>
      <c r="H13111" s="333">
        <v>958</v>
      </c>
    </row>
    <row r="13112" spans="1:8">
      <c r="A13112" s="317">
        <v>2610351049</v>
      </c>
      <c r="B13112" s="330" t="s">
        <v>57465</v>
      </c>
      <c r="C13112" s="330" t="s">
        <v>27888</v>
      </c>
      <c r="D13112" s="330" t="s">
        <v>27889</v>
      </c>
      <c r="E13112" s="330" t="s">
        <v>4634</v>
      </c>
      <c r="F13112" s="331">
        <v>0.21</v>
      </c>
      <c r="G13112" s="332">
        <v>928</v>
      </c>
      <c r="H13112" s="333">
        <v>1123</v>
      </c>
    </row>
    <row r="13113" spans="1:8">
      <c r="A13113" s="317">
        <v>2610351201</v>
      </c>
      <c r="B13113" s="330" t="s">
        <v>57466</v>
      </c>
      <c r="C13113" s="330" t="s">
        <v>27890</v>
      </c>
      <c r="D13113" s="330" t="s">
        <v>27891</v>
      </c>
      <c r="E13113" s="330" t="s">
        <v>4634</v>
      </c>
      <c r="F13113" s="331">
        <v>0.21</v>
      </c>
      <c r="G13113" s="332">
        <v>49</v>
      </c>
      <c r="H13113" s="333">
        <v>60</v>
      </c>
    </row>
    <row r="13114" spans="1:8">
      <c r="A13114" s="317">
        <v>2610351222</v>
      </c>
      <c r="B13114" s="330" t="s">
        <v>57467</v>
      </c>
      <c r="C13114" s="330" t="s">
        <v>27892</v>
      </c>
      <c r="D13114" s="330" t="s">
        <v>27893</v>
      </c>
      <c r="E13114" s="330" t="s">
        <v>4634</v>
      </c>
      <c r="F13114" s="331">
        <v>0.21</v>
      </c>
      <c r="G13114" s="332">
        <v>1474</v>
      </c>
      <c r="H13114" s="333">
        <v>1784</v>
      </c>
    </row>
    <row r="13115" spans="1:8">
      <c r="A13115" s="317">
        <v>2610351285</v>
      </c>
      <c r="B13115" s="330" t="s">
        <v>57468</v>
      </c>
      <c r="C13115" s="330" t="s">
        <v>27894</v>
      </c>
      <c r="D13115" s="330" t="s">
        <v>27895</v>
      </c>
      <c r="E13115" s="330" t="s">
        <v>4634</v>
      </c>
      <c r="F13115" s="331">
        <v>0.21</v>
      </c>
      <c r="G13115" s="332">
        <v>564</v>
      </c>
      <c r="H13115" s="333">
        <v>683</v>
      </c>
    </row>
    <row r="13116" spans="1:8">
      <c r="A13116" s="317">
        <v>2610351295</v>
      </c>
      <c r="B13116" s="330" t="s">
        <v>57469</v>
      </c>
      <c r="C13116" s="330" t="s">
        <v>27896</v>
      </c>
      <c r="D13116" s="330" t="s">
        <v>27897</v>
      </c>
      <c r="E13116" s="330" t="s">
        <v>4634</v>
      </c>
      <c r="F13116" s="331">
        <v>0.21</v>
      </c>
      <c r="G13116" s="332">
        <v>2063</v>
      </c>
      <c r="H13116" s="333">
        <v>2497</v>
      </c>
    </row>
    <row r="13117" spans="1:8">
      <c r="A13117" s="317">
        <v>2610351348</v>
      </c>
      <c r="B13117" s="330" t="s">
        <v>57470</v>
      </c>
      <c r="C13117" s="330" t="s">
        <v>27898</v>
      </c>
      <c r="D13117" s="330" t="s">
        <v>27899</v>
      </c>
      <c r="E13117" s="330" t="s">
        <v>4634</v>
      </c>
      <c r="F13117" s="331">
        <v>0.21</v>
      </c>
      <c r="G13117" s="332">
        <v>678</v>
      </c>
      <c r="H13117" s="333">
        <v>821</v>
      </c>
    </row>
    <row r="13118" spans="1:8">
      <c r="A13118" s="317">
        <v>2610351415</v>
      </c>
      <c r="B13118" s="330" t="s">
        <v>57471</v>
      </c>
      <c r="C13118" s="330" t="s">
        <v>27900</v>
      </c>
      <c r="D13118" s="330" t="s">
        <v>27901</v>
      </c>
      <c r="E13118" s="330" t="s">
        <v>4634</v>
      </c>
      <c r="F13118" s="331">
        <v>0.21</v>
      </c>
      <c r="G13118" s="332">
        <v>142</v>
      </c>
      <c r="H13118" s="333">
        <v>172</v>
      </c>
    </row>
    <row r="13119" spans="1:8">
      <c r="A13119" s="317">
        <v>2610351837</v>
      </c>
      <c r="B13119" s="330" t="s">
        <v>57472</v>
      </c>
      <c r="C13119" s="330" t="s">
        <v>27902</v>
      </c>
      <c r="D13119" s="330" t="s">
        <v>27903</v>
      </c>
      <c r="E13119" s="330" t="s">
        <v>4634</v>
      </c>
      <c r="F13119" s="331">
        <v>0.21</v>
      </c>
      <c r="G13119" s="332">
        <v>6946</v>
      </c>
      <c r="H13119" s="333">
        <v>8405</v>
      </c>
    </row>
    <row r="13120" spans="1:8">
      <c r="A13120" s="317">
        <v>2610351851</v>
      </c>
      <c r="B13120" s="330" t="s">
        <v>57473</v>
      </c>
      <c r="C13120" s="330" t="s">
        <v>27904</v>
      </c>
      <c r="D13120" s="330" t="s">
        <v>27905</v>
      </c>
      <c r="E13120" s="330" t="s">
        <v>4634</v>
      </c>
      <c r="F13120" s="331">
        <v>0.21</v>
      </c>
      <c r="G13120" s="332">
        <v>274</v>
      </c>
      <c r="H13120" s="333">
        <v>332</v>
      </c>
    </row>
    <row r="13121" spans="1:8">
      <c r="A13121" s="317">
        <v>2610351853</v>
      </c>
      <c r="B13121" s="330" t="s">
        <v>57474</v>
      </c>
      <c r="C13121" s="330" t="s">
        <v>27906</v>
      </c>
      <c r="D13121" s="330" t="s">
        <v>27907</v>
      </c>
      <c r="E13121" s="330" t="s">
        <v>4634</v>
      </c>
      <c r="F13121" s="331">
        <v>0.21</v>
      </c>
      <c r="G13121" s="332">
        <v>372</v>
      </c>
      <c r="H13121" s="333">
        <v>451</v>
      </c>
    </row>
    <row r="13122" spans="1:8">
      <c r="A13122" s="317">
        <v>2610351861</v>
      </c>
      <c r="B13122" s="330" t="s">
        <v>57475</v>
      </c>
      <c r="C13122" s="330" t="s">
        <v>27908</v>
      </c>
      <c r="D13122" s="330" t="s">
        <v>4614</v>
      </c>
      <c r="E13122" s="330" t="s">
        <v>4634</v>
      </c>
      <c r="F13122" s="331">
        <v>0.21</v>
      </c>
      <c r="G13122" s="332">
        <v>3589</v>
      </c>
      <c r="H13122" s="333">
        <v>4343</v>
      </c>
    </row>
    <row r="13123" spans="1:8">
      <c r="A13123" s="317">
        <v>2610351898</v>
      </c>
      <c r="B13123" s="330" t="s">
        <v>57476</v>
      </c>
      <c r="C13123" s="330" t="s">
        <v>27909</v>
      </c>
      <c r="D13123" s="330" t="s">
        <v>27910</v>
      </c>
      <c r="E13123" s="330" t="s">
        <v>4634</v>
      </c>
      <c r="F13123" s="331">
        <v>0.21</v>
      </c>
      <c r="G13123" s="332">
        <v>2059</v>
      </c>
      <c r="H13123" s="333">
        <v>2492</v>
      </c>
    </row>
    <row r="13124" spans="1:8">
      <c r="A13124" s="317">
        <v>2610352019</v>
      </c>
      <c r="B13124" s="330" t="s">
        <v>57477</v>
      </c>
      <c r="C13124" s="330" t="s">
        <v>27911</v>
      </c>
      <c r="D13124" s="330" t="s">
        <v>27912</v>
      </c>
      <c r="E13124" s="330" t="s">
        <v>4634</v>
      </c>
      <c r="F13124" s="331">
        <v>0.21</v>
      </c>
      <c r="G13124" s="332">
        <v>348</v>
      </c>
      <c r="H13124" s="333">
        <v>422</v>
      </c>
    </row>
    <row r="13125" spans="1:8">
      <c r="A13125" s="317">
        <v>2610352042</v>
      </c>
      <c r="B13125" s="330" t="s">
        <v>57478</v>
      </c>
      <c r="C13125" s="330" t="s">
        <v>27913</v>
      </c>
      <c r="D13125" s="330" t="s">
        <v>27914</v>
      </c>
      <c r="E13125" s="330" t="s">
        <v>4634</v>
      </c>
      <c r="F13125" s="331">
        <v>0.21</v>
      </c>
      <c r="G13125" s="332">
        <v>372</v>
      </c>
      <c r="H13125" s="333">
        <v>451</v>
      </c>
    </row>
    <row r="13126" spans="1:8">
      <c r="A13126" s="317">
        <v>2610352107</v>
      </c>
      <c r="B13126" s="330" t="s">
        <v>57479</v>
      </c>
      <c r="C13126" s="330" t="s">
        <v>27915</v>
      </c>
      <c r="D13126" s="330" t="s">
        <v>27916</v>
      </c>
      <c r="E13126" s="330" t="s">
        <v>4634</v>
      </c>
      <c r="F13126" s="331">
        <v>0.21</v>
      </c>
      <c r="G13126" s="332">
        <v>426</v>
      </c>
      <c r="H13126" s="333">
        <v>516</v>
      </c>
    </row>
    <row r="13127" spans="1:8">
      <c r="A13127" s="317">
        <v>2610352355</v>
      </c>
      <c r="B13127" s="330" t="s">
        <v>57480</v>
      </c>
      <c r="C13127" s="330" t="s">
        <v>27917</v>
      </c>
      <c r="D13127" s="330" t="s">
        <v>27918</v>
      </c>
      <c r="E13127" s="330" t="s">
        <v>4634</v>
      </c>
      <c r="F13127" s="331">
        <v>0.21</v>
      </c>
      <c r="G13127" s="332">
        <v>1581</v>
      </c>
      <c r="H13127" s="333">
        <v>1914</v>
      </c>
    </row>
    <row r="13128" spans="1:8">
      <c r="A13128" s="317">
        <v>2610352367</v>
      </c>
      <c r="B13128" s="330" t="s">
        <v>57481</v>
      </c>
      <c r="C13128" s="330" t="s">
        <v>27919</v>
      </c>
      <c r="D13128" s="330" t="s">
        <v>27920</v>
      </c>
      <c r="E13128" s="330" t="s">
        <v>4634</v>
      </c>
      <c r="F13128" s="331">
        <v>0.21</v>
      </c>
      <c r="G13128" s="332">
        <v>3056</v>
      </c>
      <c r="H13128" s="333">
        <v>3698</v>
      </c>
    </row>
    <row r="13129" spans="1:8">
      <c r="A13129" s="317">
        <v>2610352373</v>
      </c>
      <c r="B13129" s="330" t="s">
        <v>57482</v>
      </c>
      <c r="C13129" s="330" t="s">
        <v>27921</v>
      </c>
      <c r="D13129" s="330" t="s">
        <v>27922</v>
      </c>
      <c r="E13129" s="330" t="s">
        <v>4634</v>
      </c>
      <c r="F13129" s="331">
        <v>0.21</v>
      </c>
      <c r="G13129" s="332">
        <v>564</v>
      </c>
      <c r="H13129" s="333">
        <v>683</v>
      </c>
    </row>
    <row r="13130" spans="1:8">
      <c r="A13130" s="317">
        <v>2610352613</v>
      </c>
      <c r="B13130" s="330" t="s">
        <v>57483</v>
      </c>
      <c r="C13130" s="330" t="s">
        <v>27923</v>
      </c>
      <c r="D13130" s="330" t="s">
        <v>27924</v>
      </c>
      <c r="E13130" s="330" t="s">
        <v>4634</v>
      </c>
      <c r="F13130" s="331">
        <v>0.21</v>
      </c>
      <c r="G13130" s="332">
        <v>348</v>
      </c>
      <c r="H13130" s="333">
        <v>422</v>
      </c>
    </row>
    <row r="13131" spans="1:8">
      <c r="A13131" s="317">
        <v>2610352624</v>
      </c>
      <c r="B13131" s="330" t="s">
        <v>57484</v>
      </c>
      <c r="C13131" s="330" t="s">
        <v>27925</v>
      </c>
      <c r="D13131" s="330" t="s">
        <v>27926</v>
      </c>
      <c r="E13131" s="330" t="s">
        <v>4634</v>
      </c>
      <c r="F13131" s="331">
        <v>0.21</v>
      </c>
      <c r="G13131" s="332">
        <v>348</v>
      </c>
      <c r="H13131" s="333">
        <v>422</v>
      </c>
    </row>
    <row r="13132" spans="1:8">
      <c r="A13132" s="317">
        <v>2610352629</v>
      </c>
      <c r="B13132" s="330" t="s">
        <v>57485</v>
      </c>
      <c r="C13132" s="330" t="s">
        <v>27927</v>
      </c>
      <c r="D13132" s="330" t="s">
        <v>27928</v>
      </c>
      <c r="E13132" s="330" t="s">
        <v>4634</v>
      </c>
      <c r="F13132" s="331">
        <v>0.21</v>
      </c>
      <c r="G13132" s="332">
        <v>584</v>
      </c>
      <c r="H13132" s="333">
        <v>707</v>
      </c>
    </row>
    <row r="13133" spans="1:8">
      <c r="A13133" s="317">
        <v>2610352716</v>
      </c>
      <c r="B13133" s="330" t="s">
        <v>57486</v>
      </c>
      <c r="C13133" s="330" t="s">
        <v>27929</v>
      </c>
      <c r="D13133" s="330" t="s">
        <v>27930</v>
      </c>
      <c r="E13133" s="330" t="s">
        <v>4634</v>
      </c>
      <c r="F13133" s="331">
        <v>0.21</v>
      </c>
      <c r="G13133" s="332">
        <v>2186</v>
      </c>
      <c r="H13133" s="333">
        <v>2646</v>
      </c>
    </row>
    <row r="13134" spans="1:8">
      <c r="A13134" s="317">
        <v>2610352770</v>
      </c>
      <c r="B13134" s="330" t="s">
        <v>57487</v>
      </c>
      <c r="C13134" s="330" t="s">
        <v>27931</v>
      </c>
      <c r="D13134" s="330" t="s">
        <v>27932</v>
      </c>
      <c r="E13134" s="330" t="s">
        <v>4634</v>
      </c>
      <c r="F13134" s="331">
        <v>0.21</v>
      </c>
      <c r="G13134" s="332">
        <v>1798</v>
      </c>
      <c r="H13134" s="333">
        <v>2176</v>
      </c>
    </row>
    <row r="13135" spans="1:8">
      <c r="A13135" s="317">
        <v>2610352772</v>
      </c>
      <c r="B13135" s="330" t="s">
        <v>57488</v>
      </c>
      <c r="C13135" s="330" t="s">
        <v>27933</v>
      </c>
      <c r="D13135" s="330" t="s">
        <v>27934</v>
      </c>
      <c r="E13135" s="330" t="s">
        <v>4634</v>
      </c>
      <c r="F13135" s="331">
        <v>0.21</v>
      </c>
      <c r="G13135" s="332">
        <v>16503</v>
      </c>
      <c r="H13135" s="333">
        <v>19969</v>
      </c>
    </row>
    <row r="13136" spans="1:8">
      <c r="A13136" s="317">
        <v>2610352773</v>
      </c>
      <c r="B13136" s="330" t="s">
        <v>57489</v>
      </c>
      <c r="C13136" s="330" t="s">
        <v>27935</v>
      </c>
      <c r="D13136" s="330" t="s">
        <v>27936</v>
      </c>
      <c r="E13136" s="330" t="s">
        <v>4634</v>
      </c>
      <c r="F13136" s="331">
        <v>0.21</v>
      </c>
      <c r="G13136" s="332">
        <v>3966</v>
      </c>
      <c r="H13136" s="333">
        <v>4799</v>
      </c>
    </row>
    <row r="13137" spans="1:8">
      <c r="A13137" s="317">
        <v>2610352774</v>
      </c>
      <c r="B13137" s="330" t="s">
        <v>57490</v>
      </c>
      <c r="C13137" s="330" t="s">
        <v>27937</v>
      </c>
      <c r="D13137" s="330" t="s">
        <v>27938</v>
      </c>
      <c r="E13137" s="330" t="s">
        <v>4634</v>
      </c>
      <c r="F13137" s="331">
        <v>0.21</v>
      </c>
      <c r="G13137" s="332">
        <v>820</v>
      </c>
      <c r="H13137" s="333">
        <v>993</v>
      </c>
    </row>
    <row r="13138" spans="1:8">
      <c r="A13138" s="317">
        <v>2610352805</v>
      </c>
      <c r="B13138" s="330" t="s">
        <v>57491</v>
      </c>
      <c r="C13138" s="330" t="s">
        <v>27939</v>
      </c>
      <c r="D13138" s="330" t="s">
        <v>27940</v>
      </c>
      <c r="E13138" s="330" t="s">
        <v>4634</v>
      </c>
      <c r="F13138" s="331">
        <v>0.21</v>
      </c>
      <c r="G13138" s="332">
        <v>702</v>
      </c>
      <c r="H13138" s="333">
        <v>850</v>
      </c>
    </row>
    <row r="13139" spans="1:8">
      <c r="A13139" s="317">
        <v>2610352839</v>
      </c>
      <c r="B13139" s="330" t="s">
        <v>57492</v>
      </c>
      <c r="C13139" s="330" t="s">
        <v>27941</v>
      </c>
      <c r="D13139" s="330" t="s">
        <v>27942</v>
      </c>
      <c r="E13139" s="330" t="s">
        <v>4634</v>
      </c>
      <c r="F13139" s="331">
        <v>0.21</v>
      </c>
      <c r="G13139" s="332">
        <v>584</v>
      </c>
      <c r="H13139" s="333">
        <v>707</v>
      </c>
    </row>
    <row r="13140" spans="1:8">
      <c r="A13140" s="317">
        <v>2610352840</v>
      </c>
      <c r="B13140" s="330" t="s">
        <v>57493</v>
      </c>
      <c r="C13140" s="330" t="s">
        <v>27943</v>
      </c>
      <c r="D13140" s="330" t="s">
        <v>27944</v>
      </c>
      <c r="E13140" s="330" t="s">
        <v>4634</v>
      </c>
      <c r="F13140" s="331">
        <v>0.21</v>
      </c>
      <c r="G13140" s="332">
        <v>1798</v>
      </c>
      <c r="H13140" s="333">
        <v>2176</v>
      </c>
    </row>
    <row r="13141" spans="1:8">
      <c r="A13141" s="317">
        <v>2610352856</v>
      </c>
      <c r="B13141" s="330" t="s">
        <v>57494</v>
      </c>
      <c r="C13141" s="330" t="s">
        <v>27945</v>
      </c>
      <c r="D13141" s="330" t="s">
        <v>27946</v>
      </c>
      <c r="E13141" s="330" t="s">
        <v>4634</v>
      </c>
      <c r="F13141" s="331">
        <v>0.21</v>
      </c>
      <c r="G13141" s="332">
        <v>791</v>
      </c>
      <c r="H13141" s="333">
        <v>958</v>
      </c>
    </row>
    <row r="13142" spans="1:8">
      <c r="A13142" s="317">
        <v>2610352858</v>
      </c>
      <c r="B13142" s="330" t="s">
        <v>57495</v>
      </c>
      <c r="C13142" s="330" t="s">
        <v>27947</v>
      </c>
      <c r="D13142" s="330" t="s">
        <v>27948</v>
      </c>
      <c r="E13142" s="330" t="s">
        <v>4634</v>
      </c>
      <c r="F13142" s="331">
        <v>0.21</v>
      </c>
      <c r="G13142" s="332">
        <v>1798</v>
      </c>
      <c r="H13142" s="333">
        <v>2176</v>
      </c>
    </row>
    <row r="13143" spans="1:8">
      <c r="A13143" s="317">
        <v>2610352875</v>
      </c>
      <c r="B13143" s="330" t="s">
        <v>57496</v>
      </c>
      <c r="C13143" s="330" t="s">
        <v>27949</v>
      </c>
      <c r="D13143" s="330" t="s">
        <v>27950</v>
      </c>
      <c r="E13143" s="330" t="s">
        <v>4634</v>
      </c>
      <c r="F13143" s="331">
        <v>0.21</v>
      </c>
      <c r="G13143" s="332">
        <v>2491</v>
      </c>
      <c r="H13143" s="333">
        <v>3015</v>
      </c>
    </row>
    <row r="13144" spans="1:8">
      <c r="A13144" s="317">
        <v>2610352876</v>
      </c>
      <c r="B13144" s="330" t="s">
        <v>57497</v>
      </c>
      <c r="C13144" s="330" t="s">
        <v>27951</v>
      </c>
      <c r="D13144" s="330" t="s">
        <v>27952</v>
      </c>
      <c r="E13144" s="330" t="s">
        <v>4634</v>
      </c>
      <c r="F13144" s="331">
        <v>0.21</v>
      </c>
      <c r="G13144" s="332">
        <v>3383</v>
      </c>
      <c r="H13144" s="333">
        <v>4094</v>
      </c>
    </row>
    <row r="13145" spans="1:8">
      <c r="A13145" s="317">
        <v>2610352893</v>
      </c>
      <c r="B13145" s="330" t="s">
        <v>57498</v>
      </c>
      <c r="C13145" s="330" t="s">
        <v>27953</v>
      </c>
      <c r="D13145" s="330" t="s">
        <v>27954</v>
      </c>
      <c r="E13145" s="330" t="s">
        <v>4634</v>
      </c>
      <c r="F13145" s="331">
        <v>0.21</v>
      </c>
      <c r="G13145" s="332">
        <v>678</v>
      </c>
      <c r="H13145" s="333">
        <v>821</v>
      </c>
    </row>
    <row r="13146" spans="1:8">
      <c r="A13146" s="317">
        <v>2610353027</v>
      </c>
      <c r="B13146" s="330" t="s">
        <v>57499</v>
      </c>
      <c r="C13146" s="330" t="s">
        <v>27955</v>
      </c>
      <c r="D13146" s="330" t="s">
        <v>27956</v>
      </c>
      <c r="E13146" s="330" t="s">
        <v>4634</v>
      </c>
      <c r="F13146" s="331">
        <v>0.21</v>
      </c>
      <c r="G13146" s="332">
        <v>1956</v>
      </c>
      <c r="H13146" s="333">
        <v>2367</v>
      </c>
    </row>
    <row r="13147" spans="1:8">
      <c r="A13147" s="317">
        <v>2610353292</v>
      </c>
      <c r="B13147" s="330" t="s">
        <v>57500</v>
      </c>
      <c r="C13147" s="330" t="s">
        <v>27957</v>
      </c>
      <c r="D13147" s="330" t="s">
        <v>27958</v>
      </c>
      <c r="E13147" s="330" t="s">
        <v>4634</v>
      </c>
      <c r="F13147" s="331">
        <v>0.21</v>
      </c>
      <c r="G13147" s="332">
        <v>4073</v>
      </c>
      <c r="H13147" s="333">
        <v>4929</v>
      </c>
    </row>
    <row r="13148" spans="1:8">
      <c r="A13148" s="317">
        <v>2610353294</v>
      </c>
      <c r="B13148" s="330" t="s">
        <v>57501</v>
      </c>
      <c r="C13148" s="330" t="s">
        <v>27959</v>
      </c>
      <c r="D13148" s="330" t="s">
        <v>27960</v>
      </c>
      <c r="E13148" s="330" t="s">
        <v>4634</v>
      </c>
      <c r="F13148" s="331">
        <v>0.21</v>
      </c>
      <c r="G13148" s="332">
        <v>3154</v>
      </c>
      <c r="H13148" s="333">
        <v>3817</v>
      </c>
    </row>
    <row r="13149" spans="1:8">
      <c r="A13149" s="317">
        <v>2610353356</v>
      </c>
      <c r="B13149" s="330" t="s">
        <v>57502</v>
      </c>
      <c r="C13149" s="330" t="s">
        <v>27961</v>
      </c>
      <c r="D13149" s="330" t="s">
        <v>27962</v>
      </c>
      <c r="E13149" s="330" t="s">
        <v>4634</v>
      </c>
      <c r="F13149" s="331">
        <v>0.21</v>
      </c>
      <c r="G13149" s="332">
        <v>14687</v>
      </c>
      <c r="H13149" s="333">
        <v>17772</v>
      </c>
    </row>
    <row r="13150" spans="1:8">
      <c r="A13150" s="317">
        <v>2610353370</v>
      </c>
      <c r="B13150" s="330" t="s">
        <v>57503</v>
      </c>
      <c r="C13150" s="330" t="s">
        <v>27963</v>
      </c>
      <c r="D13150" s="330" t="s">
        <v>27964</v>
      </c>
      <c r="E13150" s="330" t="s">
        <v>4634</v>
      </c>
      <c r="F13150" s="331">
        <v>0.21</v>
      </c>
      <c r="G13150" s="332">
        <v>1030</v>
      </c>
      <c r="H13150" s="333">
        <v>1247</v>
      </c>
    </row>
    <row r="13151" spans="1:8">
      <c r="A13151" s="317">
        <v>2610353371</v>
      </c>
      <c r="B13151" s="330" t="s">
        <v>57504</v>
      </c>
      <c r="C13151" s="330" t="s">
        <v>27965</v>
      </c>
      <c r="D13151" s="330" t="s">
        <v>27966</v>
      </c>
      <c r="E13151" s="330" t="s">
        <v>4634</v>
      </c>
      <c r="F13151" s="331">
        <v>0.21</v>
      </c>
      <c r="G13151" s="332">
        <v>791</v>
      </c>
      <c r="H13151" s="333">
        <v>958</v>
      </c>
    </row>
    <row r="13152" spans="1:8">
      <c r="A13152" s="317">
        <v>2610353372</v>
      </c>
      <c r="B13152" s="330" t="s">
        <v>57505</v>
      </c>
      <c r="C13152" s="330" t="s">
        <v>27967</v>
      </c>
      <c r="D13152" s="330" t="s">
        <v>27968</v>
      </c>
      <c r="E13152" s="330" t="s">
        <v>4634</v>
      </c>
      <c r="F13152" s="331">
        <v>0.21</v>
      </c>
      <c r="G13152" s="332">
        <v>372</v>
      </c>
      <c r="H13152" s="333">
        <v>451</v>
      </c>
    </row>
    <row r="13153" spans="1:8">
      <c r="A13153" s="317">
        <v>2610353373</v>
      </c>
      <c r="B13153" s="330" t="s">
        <v>57506</v>
      </c>
      <c r="C13153" s="330" t="s">
        <v>27969</v>
      </c>
      <c r="D13153" s="330" t="s">
        <v>27970</v>
      </c>
      <c r="E13153" s="330" t="s">
        <v>4634</v>
      </c>
      <c r="F13153" s="331">
        <v>0.21</v>
      </c>
      <c r="G13153" s="332">
        <v>992</v>
      </c>
      <c r="H13153" s="333">
        <v>1201</v>
      </c>
    </row>
    <row r="13154" spans="1:8">
      <c r="A13154" s="317">
        <v>2610353374</v>
      </c>
      <c r="B13154" s="330" t="s">
        <v>57507</v>
      </c>
      <c r="C13154" s="330" t="s">
        <v>27971</v>
      </c>
      <c r="D13154" s="330" t="s">
        <v>27972</v>
      </c>
      <c r="E13154" s="330" t="s">
        <v>4634</v>
      </c>
      <c r="F13154" s="331">
        <v>0.21</v>
      </c>
      <c r="G13154" s="332">
        <v>28</v>
      </c>
      <c r="H13154" s="333">
        <v>34</v>
      </c>
    </row>
    <row r="13155" spans="1:8">
      <c r="A13155" s="317">
        <v>2610353376</v>
      </c>
      <c r="B13155" s="330" t="s">
        <v>57508</v>
      </c>
      <c r="C13155" s="330" t="s">
        <v>27973</v>
      </c>
      <c r="D13155" s="330" t="s">
        <v>27974</v>
      </c>
      <c r="E13155" s="330" t="s">
        <v>4634</v>
      </c>
      <c r="F13155" s="331">
        <v>0.21</v>
      </c>
      <c r="G13155" s="332">
        <v>372</v>
      </c>
      <c r="H13155" s="333">
        <v>451</v>
      </c>
    </row>
    <row r="13156" spans="1:8">
      <c r="A13156" s="317">
        <v>2610353377</v>
      </c>
      <c r="B13156" s="330" t="s">
        <v>57509</v>
      </c>
      <c r="C13156" s="330" t="s">
        <v>27975</v>
      </c>
      <c r="D13156" s="330" t="s">
        <v>27976</v>
      </c>
      <c r="E13156" s="330" t="s">
        <v>4819</v>
      </c>
      <c r="F13156" s="331">
        <v>0.21</v>
      </c>
      <c r="G13156" s="332">
        <v>6154</v>
      </c>
      <c r="H13156" s="333">
        <v>7447</v>
      </c>
    </row>
    <row r="13157" spans="1:8">
      <c r="A13157" s="317">
        <v>2610353378</v>
      </c>
      <c r="B13157" s="330" t="s">
        <v>57510</v>
      </c>
      <c r="C13157" s="330" t="s">
        <v>27977</v>
      </c>
      <c r="D13157" s="330" t="s">
        <v>27978</v>
      </c>
      <c r="E13157" s="330" t="s">
        <v>4634</v>
      </c>
      <c r="F13157" s="331">
        <v>0.21</v>
      </c>
      <c r="G13157" s="332">
        <v>584</v>
      </c>
      <c r="H13157" s="333">
        <v>707</v>
      </c>
    </row>
    <row r="13158" spans="1:8">
      <c r="A13158" s="317">
        <v>2610353379</v>
      </c>
      <c r="B13158" s="330" t="s">
        <v>57511</v>
      </c>
      <c r="C13158" s="330" t="s">
        <v>27979</v>
      </c>
      <c r="D13158" s="330" t="s">
        <v>27980</v>
      </c>
      <c r="E13158" s="330" t="s">
        <v>4634</v>
      </c>
      <c r="F13158" s="331">
        <v>0.21</v>
      </c>
      <c r="G13158" s="332">
        <v>372</v>
      </c>
      <c r="H13158" s="333">
        <v>451</v>
      </c>
    </row>
    <row r="13159" spans="1:8">
      <c r="A13159" s="317">
        <v>2610353380</v>
      </c>
      <c r="B13159" s="330" t="s">
        <v>57512</v>
      </c>
      <c r="C13159" s="330" t="s">
        <v>27981</v>
      </c>
      <c r="D13159" s="330" t="s">
        <v>27982</v>
      </c>
      <c r="E13159" s="330" t="s">
        <v>4634</v>
      </c>
      <c r="F13159" s="331">
        <v>0.21</v>
      </c>
      <c r="G13159" s="332">
        <v>372</v>
      </c>
      <c r="H13159" s="333">
        <v>451</v>
      </c>
    </row>
    <row r="13160" spans="1:8">
      <c r="A13160" s="317">
        <v>2610353381</v>
      </c>
      <c r="B13160" s="330" t="s">
        <v>57513</v>
      </c>
      <c r="C13160" s="330" t="s">
        <v>27983</v>
      </c>
      <c r="D13160" s="330" t="s">
        <v>27984</v>
      </c>
      <c r="E13160" s="330" t="s">
        <v>4634</v>
      </c>
      <c r="F13160" s="331">
        <v>0.21</v>
      </c>
      <c r="G13160" s="332">
        <v>49</v>
      </c>
      <c r="H13160" s="333">
        <v>60</v>
      </c>
    </row>
    <row r="13161" spans="1:8">
      <c r="A13161" s="317">
        <v>2610353384</v>
      </c>
      <c r="B13161" s="330" t="s">
        <v>57514</v>
      </c>
      <c r="C13161" s="330" t="s">
        <v>27985</v>
      </c>
      <c r="D13161" s="330" t="s">
        <v>27986</v>
      </c>
      <c r="E13161" s="330" t="s">
        <v>4634</v>
      </c>
      <c r="F13161" s="331">
        <v>0.21</v>
      </c>
      <c r="G13161" s="332">
        <v>4737</v>
      </c>
      <c r="H13161" s="333">
        <v>5732</v>
      </c>
    </row>
    <row r="13162" spans="1:8">
      <c r="A13162" s="317">
        <v>2610353395</v>
      </c>
      <c r="B13162" s="330" t="s">
        <v>57515</v>
      </c>
      <c r="C13162" s="330" t="s">
        <v>27987</v>
      </c>
      <c r="D13162" s="330" t="s">
        <v>27988</v>
      </c>
      <c r="E13162" s="330" t="s">
        <v>4634</v>
      </c>
      <c r="F13162" s="331">
        <v>0.21</v>
      </c>
      <c r="G13162" s="332">
        <v>791</v>
      </c>
      <c r="H13162" s="333">
        <v>958</v>
      </c>
    </row>
    <row r="13163" spans="1:8">
      <c r="A13163" s="317">
        <v>2610353399</v>
      </c>
      <c r="B13163" s="330" t="s">
        <v>57516</v>
      </c>
      <c r="C13163" s="330" t="s">
        <v>27989</v>
      </c>
      <c r="D13163" s="330" t="s">
        <v>27990</v>
      </c>
      <c r="E13163" s="330" t="s">
        <v>4634</v>
      </c>
      <c r="F13163" s="331">
        <v>0.21</v>
      </c>
      <c r="G13163" s="332">
        <v>905</v>
      </c>
      <c r="H13163" s="333">
        <v>1096</v>
      </c>
    </row>
    <row r="13164" spans="1:8">
      <c r="A13164" s="317">
        <v>2610353400</v>
      </c>
      <c r="B13164" s="330" t="s">
        <v>57517</v>
      </c>
      <c r="C13164" s="330" t="s">
        <v>27991</v>
      </c>
      <c r="D13164" s="330" t="s">
        <v>27992</v>
      </c>
      <c r="E13164" s="330" t="s">
        <v>4634</v>
      </c>
      <c r="F13164" s="331">
        <v>0.21</v>
      </c>
      <c r="G13164" s="332">
        <v>5717</v>
      </c>
      <c r="H13164" s="333">
        <v>6918</v>
      </c>
    </row>
    <row r="13165" spans="1:8">
      <c r="A13165" s="317">
        <v>2610353401</v>
      </c>
      <c r="B13165" s="330" t="s">
        <v>57518</v>
      </c>
      <c r="C13165" s="330" t="s">
        <v>27993</v>
      </c>
      <c r="D13165" s="330" t="s">
        <v>27994</v>
      </c>
      <c r="E13165" s="330" t="s">
        <v>4634</v>
      </c>
      <c r="F13165" s="331">
        <v>0.21</v>
      </c>
      <c r="G13165" s="332">
        <v>2299</v>
      </c>
      <c r="H13165" s="333">
        <v>2782</v>
      </c>
    </row>
    <row r="13166" spans="1:8">
      <c r="A13166" s="317">
        <v>2610353407</v>
      </c>
      <c r="B13166" s="330" t="s">
        <v>57519</v>
      </c>
      <c r="C13166" s="330" t="s">
        <v>27995</v>
      </c>
      <c r="D13166" s="330" t="s">
        <v>27996</v>
      </c>
      <c r="E13166" s="330" t="s">
        <v>4634</v>
      </c>
      <c r="F13166" s="331">
        <v>0.21</v>
      </c>
      <c r="G13166" s="332">
        <v>372</v>
      </c>
      <c r="H13166" s="333">
        <v>451</v>
      </c>
    </row>
    <row r="13167" spans="1:8">
      <c r="A13167" s="317">
        <v>2610353411</v>
      </c>
      <c r="B13167" s="330" t="s">
        <v>57520</v>
      </c>
      <c r="C13167" s="330" t="s">
        <v>27997</v>
      </c>
      <c r="D13167" s="330" t="s">
        <v>27998</v>
      </c>
      <c r="E13167" s="330" t="s">
        <v>4634</v>
      </c>
      <c r="F13167" s="331">
        <v>0.21</v>
      </c>
      <c r="G13167" s="332">
        <v>584</v>
      </c>
      <c r="H13167" s="333">
        <v>707</v>
      </c>
    </row>
    <row r="13168" spans="1:8">
      <c r="A13168" s="317">
        <v>2610353412</v>
      </c>
      <c r="B13168" s="330" t="s">
        <v>57521</v>
      </c>
      <c r="C13168" s="330" t="s">
        <v>27999</v>
      </c>
      <c r="D13168" s="330" t="s">
        <v>28000</v>
      </c>
      <c r="E13168" s="330" t="s">
        <v>4634</v>
      </c>
      <c r="F13168" s="331">
        <v>0.21</v>
      </c>
      <c r="G13168" s="332">
        <v>584</v>
      </c>
      <c r="H13168" s="333">
        <v>707</v>
      </c>
    </row>
    <row r="13169" spans="1:8">
      <c r="A13169" s="317">
        <v>2610353424</v>
      </c>
      <c r="B13169" s="330" t="s">
        <v>57522</v>
      </c>
      <c r="C13169" s="330" t="s">
        <v>28001</v>
      </c>
      <c r="D13169" s="330" t="s">
        <v>28002</v>
      </c>
      <c r="E13169" s="330" t="s">
        <v>4634</v>
      </c>
      <c r="F13169" s="331">
        <v>0.21</v>
      </c>
      <c r="G13169" s="332">
        <v>4004</v>
      </c>
      <c r="H13169" s="333">
        <v>4845</v>
      </c>
    </row>
    <row r="13170" spans="1:8">
      <c r="A13170" s="317">
        <v>2610353425</v>
      </c>
      <c r="B13170" s="330" t="s">
        <v>57523</v>
      </c>
      <c r="C13170" s="330" t="s">
        <v>28003</v>
      </c>
      <c r="D13170" s="330" t="s">
        <v>28004</v>
      </c>
      <c r="E13170" s="330" t="s">
        <v>4634</v>
      </c>
      <c r="F13170" s="331">
        <v>0.21</v>
      </c>
      <c r="G13170" s="332">
        <v>791</v>
      </c>
      <c r="H13170" s="333">
        <v>958</v>
      </c>
    </row>
    <row r="13171" spans="1:8">
      <c r="A13171" s="317">
        <v>2610353426</v>
      </c>
      <c r="B13171" s="330" t="s">
        <v>57524</v>
      </c>
      <c r="C13171" s="330" t="s">
        <v>28005</v>
      </c>
      <c r="D13171" s="330" t="s">
        <v>28006</v>
      </c>
      <c r="E13171" s="330" t="s">
        <v>4634</v>
      </c>
      <c r="F13171" s="331">
        <v>0.21</v>
      </c>
      <c r="G13171" s="332">
        <v>12447</v>
      </c>
      <c r="H13171" s="333">
        <v>15061</v>
      </c>
    </row>
    <row r="13172" spans="1:8">
      <c r="A13172" s="317">
        <v>2610353433</v>
      </c>
      <c r="B13172" s="330" t="s">
        <v>57525</v>
      </c>
      <c r="C13172" s="330" t="s">
        <v>28007</v>
      </c>
      <c r="D13172" s="330" t="s">
        <v>28008</v>
      </c>
      <c r="E13172" s="330" t="s">
        <v>4634</v>
      </c>
      <c r="F13172" s="331">
        <v>0.21</v>
      </c>
      <c r="G13172" s="332">
        <v>372</v>
      </c>
      <c r="H13172" s="333">
        <v>451</v>
      </c>
    </row>
    <row r="13173" spans="1:8">
      <c r="A13173" s="317">
        <v>2610353434</v>
      </c>
      <c r="B13173" s="330" t="s">
        <v>57526</v>
      </c>
      <c r="C13173" s="330" t="s">
        <v>28009</v>
      </c>
      <c r="D13173" s="330" t="s">
        <v>28010</v>
      </c>
      <c r="E13173" s="330" t="s">
        <v>4634</v>
      </c>
      <c r="F13173" s="331">
        <v>0.21</v>
      </c>
      <c r="G13173" s="332">
        <v>348</v>
      </c>
      <c r="H13173" s="333">
        <v>422</v>
      </c>
    </row>
    <row r="13174" spans="1:8">
      <c r="A13174" s="317">
        <v>2610353446</v>
      </c>
      <c r="B13174" s="330" t="s">
        <v>57527</v>
      </c>
      <c r="C13174" s="330" t="s">
        <v>28011</v>
      </c>
      <c r="D13174" s="330" t="s">
        <v>28012</v>
      </c>
      <c r="E13174" s="330" t="s">
        <v>4634</v>
      </c>
      <c r="F13174" s="331">
        <v>0.21</v>
      </c>
      <c r="G13174" s="332">
        <v>2203</v>
      </c>
      <c r="H13174" s="333">
        <v>2666</v>
      </c>
    </row>
    <row r="13175" spans="1:8">
      <c r="A13175" s="317">
        <v>2610353447</v>
      </c>
      <c r="B13175" s="330" t="s">
        <v>57528</v>
      </c>
      <c r="C13175" s="330" t="s">
        <v>28013</v>
      </c>
      <c r="D13175" s="330" t="s">
        <v>28014</v>
      </c>
      <c r="E13175" s="330" t="s">
        <v>4634</v>
      </c>
      <c r="F13175" s="331">
        <v>0.21</v>
      </c>
      <c r="G13175" s="332">
        <v>584</v>
      </c>
      <c r="H13175" s="333">
        <v>707</v>
      </c>
    </row>
    <row r="13176" spans="1:8">
      <c r="A13176" s="317">
        <v>2610353495</v>
      </c>
      <c r="B13176" s="330" t="s">
        <v>57529</v>
      </c>
      <c r="C13176" s="330" t="s">
        <v>28015</v>
      </c>
      <c r="D13176" s="330" t="s">
        <v>28016</v>
      </c>
      <c r="E13176" s="330" t="s">
        <v>4634</v>
      </c>
      <c r="F13176" s="331">
        <v>0.21</v>
      </c>
      <c r="G13176" s="332">
        <v>584</v>
      </c>
      <c r="H13176" s="333">
        <v>707</v>
      </c>
    </row>
    <row r="13177" spans="1:8">
      <c r="A13177" s="317">
        <v>2610353752</v>
      </c>
      <c r="B13177" s="330" t="s">
        <v>57530</v>
      </c>
      <c r="C13177" s="330" t="s">
        <v>28017</v>
      </c>
      <c r="D13177" s="330" t="s">
        <v>28018</v>
      </c>
      <c r="E13177" s="330" t="s">
        <v>4634</v>
      </c>
      <c r="F13177" s="331">
        <v>0.21</v>
      </c>
      <c r="G13177" s="332">
        <v>6984</v>
      </c>
      <c r="H13177" s="333">
        <v>8451</v>
      </c>
    </row>
    <row r="13178" spans="1:8">
      <c r="A13178" s="317">
        <v>2610353753</v>
      </c>
      <c r="B13178" s="330" t="s">
        <v>57531</v>
      </c>
      <c r="C13178" s="330" t="s">
        <v>28019</v>
      </c>
      <c r="D13178" s="330" t="s">
        <v>28020</v>
      </c>
      <c r="E13178" s="330" t="s">
        <v>4623</v>
      </c>
      <c r="F13178" s="331">
        <v>0.21</v>
      </c>
      <c r="G13178" s="332">
        <v>28627</v>
      </c>
      <c r="H13178" s="333">
        <v>34639</v>
      </c>
    </row>
    <row r="13179" spans="1:8">
      <c r="A13179" s="317">
        <v>2610353754</v>
      </c>
      <c r="B13179" s="330" t="s">
        <v>57532</v>
      </c>
      <c r="C13179" s="330" t="s">
        <v>28021</v>
      </c>
      <c r="D13179" s="330" t="s">
        <v>28022</v>
      </c>
      <c r="E13179" s="330" t="s">
        <v>4634</v>
      </c>
      <c r="F13179" s="331">
        <v>0.21</v>
      </c>
      <c r="G13179" s="332">
        <v>363</v>
      </c>
      <c r="H13179" s="333">
        <v>440</v>
      </c>
    </row>
    <row r="13180" spans="1:8">
      <c r="A13180" s="317">
        <v>2610353759</v>
      </c>
      <c r="B13180" s="330" t="s">
        <v>57533</v>
      </c>
      <c r="C13180" s="330" t="s">
        <v>28023</v>
      </c>
      <c r="D13180" s="330" t="s">
        <v>28024</v>
      </c>
      <c r="E13180" s="330" t="s">
        <v>4634</v>
      </c>
      <c r="F13180" s="331">
        <v>0.21</v>
      </c>
      <c r="G13180" s="332">
        <v>2837</v>
      </c>
      <c r="H13180" s="333">
        <v>3433</v>
      </c>
    </row>
    <row r="13181" spans="1:8">
      <c r="A13181" s="317">
        <v>2610353949</v>
      </c>
      <c r="B13181" s="330" t="s">
        <v>57534</v>
      </c>
      <c r="C13181" s="330" t="s">
        <v>28025</v>
      </c>
      <c r="D13181" s="330" t="s">
        <v>28026</v>
      </c>
      <c r="E13181" s="330" t="s">
        <v>4634</v>
      </c>
      <c r="F13181" s="331">
        <v>0.21</v>
      </c>
      <c r="G13181" s="332">
        <v>2462</v>
      </c>
      <c r="H13181" s="333">
        <v>2980</v>
      </c>
    </row>
    <row r="13182" spans="1:8">
      <c r="A13182" s="317">
        <v>2610353992</v>
      </c>
      <c r="B13182" s="330" t="s">
        <v>57535</v>
      </c>
      <c r="C13182" s="330" t="s">
        <v>28027</v>
      </c>
      <c r="D13182" s="330" t="s">
        <v>28028</v>
      </c>
      <c r="E13182" s="330" t="s">
        <v>4634</v>
      </c>
      <c r="F13182" s="331">
        <v>0.21</v>
      </c>
      <c r="G13182" s="332">
        <v>6984</v>
      </c>
      <c r="H13182" s="333">
        <v>8451</v>
      </c>
    </row>
    <row r="13183" spans="1:8">
      <c r="A13183" s="317">
        <v>2610353993</v>
      </c>
      <c r="B13183" s="330" t="s">
        <v>57536</v>
      </c>
      <c r="C13183" s="330" t="s">
        <v>28029</v>
      </c>
      <c r="D13183" s="330" t="s">
        <v>28030</v>
      </c>
      <c r="E13183" s="330" t="s">
        <v>4634</v>
      </c>
      <c r="F13183" s="331">
        <v>0.21</v>
      </c>
      <c r="G13183" s="332">
        <v>4349</v>
      </c>
      <c r="H13183" s="333">
        <v>5263</v>
      </c>
    </row>
    <row r="13184" spans="1:8">
      <c r="A13184" s="317">
        <v>2610353994</v>
      </c>
      <c r="B13184" s="330" t="s">
        <v>57537</v>
      </c>
      <c r="C13184" s="330" t="s">
        <v>28031</v>
      </c>
      <c r="D13184" s="330" t="s">
        <v>28032</v>
      </c>
      <c r="E13184" s="330" t="s">
        <v>4634</v>
      </c>
      <c r="F13184" s="331">
        <v>0.21</v>
      </c>
      <c r="G13184" s="332">
        <v>5288</v>
      </c>
      <c r="H13184" s="333">
        <v>6399</v>
      </c>
    </row>
    <row r="13185" spans="1:8">
      <c r="A13185" s="317">
        <v>2610353999</v>
      </c>
      <c r="B13185" s="330" t="s">
        <v>57538</v>
      </c>
      <c r="C13185" s="330" t="s">
        <v>28033</v>
      </c>
      <c r="D13185" s="330" t="s">
        <v>28034</v>
      </c>
      <c r="E13185" s="330" t="s">
        <v>4634</v>
      </c>
      <c r="F13185" s="331">
        <v>0.21</v>
      </c>
      <c r="G13185" s="332">
        <v>5239</v>
      </c>
      <c r="H13185" s="333">
        <v>6340</v>
      </c>
    </row>
    <row r="13186" spans="1:8">
      <c r="A13186" s="317">
        <v>2610354001</v>
      </c>
      <c r="B13186" s="330" t="s">
        <v>57539</v>
      </c>
      <c r="C13186" s="330" t="s">
        <v>28035</v>
      </c>
      <c r="D13186" s="330" t="s">
        <v>28036</v>
      </c>
      <c r="E13186" s="330" t="s">
        <v>4634</v>
      </c>
      <c r="F13186" s="331">
        <v>0.21</v>
      </c>
      <c r="G13186" s="332">
        <v>820</v>
      </c>
      <c r="H13186" s="333">
        <v>993</v>
      </c>
    </row>
    <row r="13187" spans="1:8">
      <c r="A13187" s="317">
        <v>2610354011</v>
      </c>
      <c r="B13187" s="330" t="s">
        <v>57540</v>
      </c>
      <c r="C13187" s="330" t="s">
        <v>28037</v>
      </c>
      <c r="D13187" s="330" t="s">
        <v>28038</v>
      </c>
      <c r="E13187" s="330" t="s">
        <v>4634</v>
      </c>
      <c r="F13187" s="331">
        <v>0.21</v>
      </c>
      <c r="G13187" s="332">
        <v>16590</v>
      </c>
      <c r="H13187" s="333">
        <v>20074</v>
      </c>
    </row>
    <row r="13188" spans="1:8">
      <c r="A13188" s="317">
        <v>2610354016</v>
      </c>
      <c r="B13188" s="330" t="s">
        <v>57541</v>
      </c>
      <c r="C13188" s="330" t="s">
        <v>28039</v>
      </c>
      <c r="D13188" s="330" t="s">
        <v>28040</v>
      </c>
      <c r="E13188" s="330" t="s">
        <v>4634</v>
      </c>
      <c r="F13188" s="331">
        <v>0.21</v>
      </c>
      <c r="G13188" s="332">
        <v>1170</v>
      </c>
      <c r="H13188" s="333">
        <v>1416</v>
      </c>
    </row>
    <row r="13189" spans="1:8">
      <c r="A13189" s="317">
        <v>2610354063</v>
      </c>
      <c r="B13189" s="330" t="s">
        <v>57542</v>
      </c>
      <c r="C13189" s="330" t="s">
        <v>28041</v>
      </c>
      <c r="D13189" s="330" t="s">
        <v>28042</v>
      </c>
      <c r="E13189" s="330" t="s">
        <v>4634</v>
      </c>
      <c r="F13189" s="331">
        <v>0.21</v>
      </c>
      <c r="G13189" s="332">
        <v>45074</v>
      </c>
      <c r="H13189" s="333">
        <v>54540</v>
      </c>
    </row>
    <row r="13190" spans="1:8">
      <c r="A13190" s="317">
        <v>2610354064</v>
      </c>
      <c r="B13190" s="330" t="s">
        <v>57543</v>
      </c>
      <c r="C13190" s="330" t="s">
        <v>28043</v>
      </c>
      <c r="D13190" s="330" t="s">
        <v>28044</v>
      </c>
      <c r="E13190" s="330" t="s">
        <v>4634</v>
      </c>
      <c r="F13190" s="331">
        <v>0.21</v>
      </c>
      <c r="G13190" s="332">
        <v>3966</v>
      </c>
      <c r="H13190" s="333">
        <v>4799</v>
      </c>
    </row>
    <row r="13191" spans="1:8">
      <c r="A13191" s="317">
        <v>2610354369</v>
      </c>
      <c r="B13191" s="330" t="s">
        <v>57544</v>
      </c>
      <c r="C13191" s="330" t="s">
        <v>28045</v>
      </c>
      <c r="D13191" s="330" t="s">
        <v>28046</v>
      </c>
      <c r="E13191" s="330" t="s">
        <v>4634</v>
      </c>
      <c r="F13191" s="331">
        <v>0.21</v>
      </c>
      <c r="G13191" s="332">
        <v>1922</v>
      </c>
      <c r="H13191" s="333">
        <v>2326</v>
      </c>
    </row>
    <row r="13192" spans="1:8">
      <c r="A13192" s="317">
        <v>2610354385</v>
      </c>
      <c r="B13192" s="330" t="s">
        <v>57545</v>
      </c>
      <c r="C13192" s="330" t="s">
        <v>28047</v>
      </c>
      <c r="D13192" s="330" t="s">
        <v>28048</v>
      </c>
      <c r="E13192" s="330" t="s">
        <v>4634</v>
      </c>
      <c r="F13192" s="331">
        <v>0.21</v>
      </c>
      <c r="G13192" s="332">
        <v>11124</v>
      </c>
      <c r="H13192" s="333">
        <v>13461</v>
      </c>
    </row>
    <row r="13193" spans="1:8">
      <c r="A13193" s="317">
        <v>2610354398</v>
      </c>
      <c r="B13193" s="330" t="s">
        <v>57546</v>
      </c>
      <c r="C13193" s="330" t="s">
        <v>28049</v>
      </c>
      <c r="D13193" s="330" t="s">
        <v>28050</v>
      </c>
      <c r="E13193" s="330" t="s">
        <v>4634</v>
      </c>
      <c r="F13193" s="331">
        <v>0.21</v>
      </c>
      <c r="G13193" s="332">
        <v>1547</v>
      </c>
      <c r="H13193" s="333">
        <v>1872</v>
      </c>
    </row>
    <row r="13194" spans="1:8">
      <c r="A13194" s="317">
        <v>2610354457</v>
      </c>
      <c r="B13194" s="330" t="s">
        <v>57547</v>
      </c>
      <c r="C13194" s="330" t="s">
        <v>28051</v>
      </c>
      <c r="D13194" s="330" t="s">
        <v>28052</v>
      </c>
      <c r="E13194" s="330" t="s">
        <v>4634</v>
      </c>
      <c r="F13194" s="331">
        <v>0.21</v>
      </c>
      <c r="G13194" s="332">
        <v>348</v>
      </c>
      <c r="H13194" s="333">
        <v>422</v>
      </c>
    </row>
    <row r="13195" spans="1:8">
      <c r="A13195" s="317">
        <v>2610354662</v>
      </c>
      <c r="B13195" s="330" t="s">
        <v>57548</v>
      </c>
      <c r="C13195" s="330" t="s">
        <v>28053</v>
      </c>
      <c r="D13195" s="330" t="s">
        <v>28054</v>
      </c>
      <c r="E13195" s="330" t="s">
        <v>4634</v>
      </c>
      <c r="F13195" s="331">
        <v>0.21</v>
      </c>
      <c r="G13195" s="332">
        <v>3966</v>
      </c>
      <c r="H13195" s="333">
        <v>4799</v>
      </c>
    </row>
    <row r="13196" spans="1:8">
      <c r="A13196" s="317">
        <v>2610354697</v>
      </c>
      <c r="B13196" s="330" t="s">
        <v>57549</v>
      </c>
      <c r="C13196" s="330" t="s">
        <v>28055</v>
      </c>
      <c r="D13196" s="330" t="s">
        <v>28056</v>
      </c>
      <c r="E13196" s="330" t="s">
        <v>4634</v>
      </c>
      <c r="F13196" s="331">
        <v>0.21</v>
      </c>
      <c r="G13196" s="332">
        <v>584</v>
      </c>
      <c r="H13196" s="333">
        <v>707</v>
      </c>
    </row>
    <row r="13197" spans="1:8">
      <c r="A13197" s="317">
        <v>2610354721</v>
      </c>
      <c r="B13197" s="330" t="s">
        <v>57550</v>
      </c>
      <c r="C13197" s="330" t="s">
        <v>28057</v>
      </c>
      <c r="D13197" s="330" t="s">
        <v>27960</v>
      </c>
      <c r="E13197" s="330" t="s">
        <v>4634</v>
      </c>
      <c r="F13197" s="331">
        <v>0.21</v>
      </c>
      <c r="G13197" s="332">
        <v>2491</v>
      </c>
      <c r="H13197" s="333">
        <v>3015</v>
      </c>
    </row>
    <row r="13198" spans="1:8">
      <c r="A13198" s="317">
        <v>2610354744</v>
      </c>
      <c r="B13198" s="330" t="s">
        <v>57551</v>
      </c>
      <c r="C13198" s="330" t="s">
        <v>28058</v>
      </c>
      <c r="D13198" s="330" t="s">
        <v>28059</v>
      </c>
      <c r="E13198" s="330" t="s">
        <v>4634</v>
      </c>
      <c r="F13198" s="331">
        <v>0.21</v>
      </c>
      <c r="G13198" s="332">
        <v>1371</v>
      </c>
      <c r="H13198" s="333">
        <v>1659</v>
      </c>
    </row>
    <row r="13199" spans="1:8">
      <c r="A13199" s="317">
        <v>2610354747</v>
      </c>
      <c r="B13199" s="330" t="s">
        <v>57552</v>
      </c>
      <c r="C13199" s="330" t="s">
        <v>28060</v>
      </c>
      <c r="D13199" s="330" t="s">
        <v>28061</v>
      </c>
      <c r="E13199" s="330" t="s">
        <v>4634</v>
      </c>
      <c r="F13199" s="331">
        <v>0.21</v>
      </c>
      <c r="G13199" s="332">
        <v>2059</v>
      </c>
      <c r="H13199" s="333">
        <v>2492</v>
      </c>
    </row>
    <row r="13200" spans="1:8">
      <c r="A13200" s="317">
        <v>2610355200</v>
      </c>
      <c r="B13200" s="330" t="s">
        <v>57553</v>
      </c>
      <c r="C13200" s="330" t="s">
        <v>28062</v>
      </c>
      <c r="D13200" s="330" t="s">
        <v>28063</v>
      </c>
      <c r="E13200" s="330" t="s">
        <v>4634</v>
      </c>
      <c r="F13200" s="331">
        <v>0.21</v>
      </c>
      <c r="G13200" s="332">
        <v>1844</v>
      </c>
      <c r="H13200" s="333">
        <v>2232</v>
      </c>
    </row>
    <row r="13201" spans="1:8">
      <c r="A13201" s="317">
        <v>2610355202</v>
      </c>
      <c r="B13201" s="330" t="s">
        <v>57554</v>
      </c>
      <c r="C13201" s="330" t="s">
        <v>28064</v>
      </c>
      <c r="D13201" s="330" t="s">
        <v>28065</v>
      </c>
      <c r="E13201" s="330" t="s">
        <v>4634</v>
      </c>
      <c r="F13201" s="331">
        <v>0.21</v>
      </c>
      <c r="G13201" s="332">
        <v>372</v>
      </c>
      <c r="H13201" s="333">
        <v>451</v>
      </c>
    </row>
    <row r="13202" spans="1:8">
      <c r="A13202" s="317">
        <v>2610355205</v>
      </c>
      <c r="B13202" s="330" t="s">
        <v>57555</v>
      </c>
      <c r="C13202" s="330" t="s">
        <v>28066</v>
      </c>
      <c r="D13202" s="330" t="s">
        <v>28067</v>
      </c>
      <c r="E13202" s="330" t="s">
        <v>4634</v>
      </c>
      <c r="F13202" s="331">
        <v>0.21</v>
      </c>
      <c r="G13202" s="332">
        <v>678</v>
      </c>
      <c r="H13202" s="333">
        <v>821</v>
      </c>
    </row>
    <row r="13203" spans="1:8">
      <c r="A13203" s="317">
        <v>2610355206</v>
      </c>
      <c r="B13203" s="330" t="s">
        <v>57556</v>
      </c>
      <c r="C13203" s="330" t="s">
        <v>28068</v>
      </c>
      <c r="D13203" s="330" t="s">
        <v>28069</v>
      </c>
      <c r="E13203" s="330" t="s">
        <v>4634</v>
      </c>
      <c r="F13203" s="331">
        <v>0.21</v>
      </c>
      <c r="G13203" s="332">
        <v>348</v>
      </c>
      <c r="H13203" s="333">
        <v>422</v>
      </c>
    </row>
    <row r="13204" spans="1:8">
      <c r="A13204" s="317">
        <v>2610355207</v>
      </c>
      <c r="B13204" s="330" t="s">
        <v>57557</v>
      </c>
      <c r="C13204" s="330" t="s">
        <v>28070</v>
      </c>
      <c r="D13204" s="330" t="s">
        <v>28071</v>
      </c>
      <c r="E13204" s="330" t="s">
        <v>4634</v>
      </c>
      <c r="F13204" s="331">
        <v>0.21</v>
      </c>
      <c r="G13204" s="332">
        <v>5344</v>
      </c>
      <c r="H13204" s="333">
        <v>6467</v>
      </c>
    </row>
    <row r="13205" spans="1:8">
      <c r="A13205" s="317">
        <v>2610355208</v>
      </c>
      <c r="B13205" s="330" t="s">
        <v>57558</v>
      </c>
      <c r="C13205" s="330" t="s">
        <v>28072</v>
      </c>
      <c r="D13205" s="330" t="s">
        <v>28073</v>
      </c>
      <c r="E13205" s="330" t="s">
        <v>4634</v>
      </c>
      <c r="F13205" s="331">
        <v>0.21</v>
      </c>
      <c r="G13205" s="332">
        <v>4432</v>
      </c>
      <c r="H13205" s="333">
        <v>5363</v>
      </c>
    </row>
    <row r="13206" spans="1:8">
      <c r="A13206" s="317">
        <v>2610355209</v>
      </c>
      <c r="B13206" s="330" t="s">
        <v>57559</v>
      </c>
      <c r="C13206" s="330" t="s">
        <v>28074</v>
      </c>
      <c r="D13206" s="330" t="s">
        <v>28075</v>
      </c>
      <c r="E13206" s="330" t="s">
        <v>4634</v>
      </c>
      <c r="F13206" s="331">
        <v>0.21</v>
      </c>
      <c r="G13206" s="332">
        <v>2707</v>
      </c>
      <c r="H13206" s="333">
        <v>3276</v>
      </c>
    </row>
    <row r="13207" spans="1:8">
      <c r="A13207" s="317">
        <v>2610355210</v>
      </c>
      <c r="B13207" s="330" t="s">
        <v>57560</v>
      </c>
      <c r="C13207" s="330" t="s">
        <v>28076</v>
      </c>
      <c r="D13207" s="330" t="s">
        <v>28077</v>
      </c>
      <c r="E13207" s="330" t="s">
        <v>4634</v>
      </c>
      <c r="F13207" s="331">
        <v>0.21</v>
      </c>
      <c r="G13207" s="332">
        <v>7551</v>
      </c>
      <c r="H13207" s="333">
        <v>9137</v>
      </c>
    </row>
    <row r="13208" spans="1:8">
      <c r="A13208" s="317">
        <v>2610355211</v>
      </c>
      <c r="B13208" s="330" t="s">
        <v>57561</v>
      </c>
      <c r="C13208" s="330" t="s">
        <v>28078</v>
      </c>
      <c r="D13208" s="330" t="s">
        <v>28079</v>
      </c>
      <c r="E13208" s="330" t="s">
        <v>4634</v>
      </c>
      <c r="F13208" s="331">
        <v>0.21</v>
      </c>
      <c r="G13208" s="332">
        <v>2059</v>
      </c>
      <c r="H13208" s="333">
        <v>2492</v>
      </c>
    </row>
    <row r="13209" spans="1:8">
      <c r="A13209" s="317">
        <v>2610355212</v>
      </c>
      <c r="B13209" s="330" t="s">
        <v>57562</v>
      </c>
      <c r="C13209" s="330" t="s">
        <v>28080</v>
      </c>
      <c r="D13209" s="330" t="s">
        <v>28081</v>
      </c>
      <c r="E13209" s="330" t="s">
        <v>4634</v>
      </c>
      <c r="F13209" s="331">
        <v>0.21</v>
      </c>
      <c r="G13209" s="332">
        <v>1844</v>
      </c>
      <c r="H13209" s="333">
        <v>2232</v>
      </c>
    </row>
    <row r="13210" spans="1:8">
      <c r="A13210" s="317">
        <v>2610355217</v>
      </c>
      <c r="B13210" s="330" t="s">
        <v>57563</v>
      </c>
      <c r="C13210" s="330" t="s">
        <v>28082</v>
      </c>
      <c r="D13210" s="330" t="s">
        <v>28083</v>
      </c>
      <c r="E13210" s="330" t="s">
        <v>4634</v>
      </c>
      <c r="F13210" s="331">
        <v>0.21</v>
      </c>
      <c r="G13210" s="332">
        <v>3966</v>
      </c>
      <c r="H13210" s="333">
        <v>4799</v>
      </c>
    </row>
    <row r="13211" spans="1:8">
      <c r="A13211" s="317">
        <v>2610355264</v>
      </c>
      <c r="B13211" s="330" t="s">
        <v>57564</v>
      </c>
      <c r="C13211" s="330" t="s">
        <v>28084</v>
      </c>
      <c r="D13211" s="330" t="s">
        <v>28085</v>
      </c>
      <c r="E13211" s="330" t="s">
        <v>4634</v>
      </c>
      <c r="F13211" s="331">
        <v>0.21</v>
      </c>
      <c r="G13211" s="332">
        <v>455</v>
      </c>
      <c r="H13211" s="333">
        <v>551</v>
      </c>
    </row>
    <row r="13212" spans="1:8">
      <c r="A13212" s="317">
        <v>2610355267</v>
      </c>
      <c r="B13212" s="330" t="s">
        <v>57565</v>
      </c>
      <c r="C13212" s="330" t="s">
        <v>28086</v>
      </c>
      <c r="D13212" s="330" t="s">
        <v>11745</v>
      </c>
      <c r="E13212" s="330" t="s">
        <v>4634</v>
      </c>
      <c r="F13212" s="331">
        <v>0.21</v>
      </c>
      <c r="G13212" s="332">
        <v>236</v>
      </c>
      <c r="H13212" s="333">
        <v>286</v>
      </c>
    </row>
    <row r="13213" spans="1:8">
      <c r="A13213" s="317">
        <v>2610355272</v>
      </c>
      <c r="B13213" s="330" t="s">
        <v>57566</v>
      </c>
      <c r="C13213" s="330" t="s">
        <v>28087</v>
      </c>
      <c r="D13213" s="330" t="s">
        <v>28088</v>
      </c>
      <c r="E13213" s="330" t="s">
        <v>4634</v>
      </c>
      <c r="F13213" s="331">
        <v>0.21</v>
      </c>
      <c r="G13213" s="332">
        <v>564</v>
      </c>
      <c r="H13213" s="333">
        <v>683</v>
      </c>
    </row>
    <row r="13214" spans="1:8">
      <c r="A13214" s="317">
        <v>2610355278</v>
      </c>
      <c r="B13214" s="330" t="s">
        <v>57567</v>
      </c>
      <c r="C13214" s="330" t="s">
        <v>28089</v>
      </c>
      <c r="D13214" s="330" t="s">
        <v>28090</v>
      </c>
      <c r="E13214" s="330" t="s">
        <v>4634</v>
      </c>
      <c r="F13214" s="331">
        <v>0.21</v>
      </c>
      <c r="G13214" s="332">
        <v>539</v>
      </c>
      <c r="H13214" s="333">
        <v>653</v>
      </c>
    </row>
    <row r="13215" spans="1:8">
      <c r="A13215" s="317">
        <v>2610355293</v>
      </c>
      <c r="B13215" s="330" t="s">
        <v>57568</v>
      </c>
      <c r="C13215" s="330" t="s">
        <v>28091</v>
      </c>
      <c r="D13215" s="330" t="s">
        <v>12366</v>
      </c>
      <c r="E13215" s="330" t="s">
        <v>4634</v>
      </c>
      <c r="F13215" s="331">
        <v>0.21</v>
      </c>
      <c r="G13215" s="332">
        <v>564</v>
      </c>
      <c r="H13215" s="333">
        <v>683</v>
      </c>
    </row>
    <row r="13216" spans="1:8">
      <c r="A13216" s="317">
        <v>2610355295</v>
      </c>
      <c r="B13216" s="330" t="s">
        <v>57569</v>
      </c>
      <c r="C13216" s="330" t="s">
        <v>28092</v>
      </c>
      <c r="D13216" s="330" t="s">
        <v>11698</v>
      </c>
      <c r="E13216" s="330" t="s">
        <v>4634</v>
      </c>
      <c r="F13216" s="331">
        <v>0.21</v>
      </c>
      <c r="G13216" s="332">
        <v>280</v>
      </c>
      <c r="H13216" s="333">
        <v>339</v>
      </c>
    </row>
    <row r="13217" spans="1:8">
      <c r="A13217" s="317">
        <v>2610355304</v>
      </c>
      <c r="B13217" s="330" t="s">
        <v>57570</v>
      </c>
      <c r="C13217" s="330" t="s">
        <v>28093</v>
      </c>
      <c r="D13217" s="330" t="s">
        <v>28094</v>
      </c>
      <c r="E13217" s="330" t="s">
        <v>4634</v>
      </c>
      <c r="F13217" s="331">
        <v>0.21</v>
      </c>
      <c r="G13217" s="332">
        <v>928</v>
      </c>
      <c r="H13217" s="333">
        <v>1123</v>
      </c>
    </row>
    <row r="13218" spans="1:8">
      <c r="A13218" s="317">
        <v>2610355320</v>
      </c>
      <c r="B13218" s="330" t="s">
        <v>57571</v>
      </c>
      <c r="C13218" s="330" t="s">
        <v>28095</v>
      </c>
      <c r="D13218" s="330" t="s">
        <v>28096</v>
      </c>
      <c r="E13218" s="330" t="s">
        <v>4634</v>
      </c>
      <c r="F13218" s="331">
        <v>0.21</v>
      </c>
      <c r="G13218" s="332">
        <v>1411</v>
      </c>
      <c r="H13218" s="333">
        <v>1708</v>
      </c>
    </row>
    <row r="13219" spans="1:8">
      <c r="A13219" s="317">
        <v>2610355325</v>
      </c>
      <c r="B13219" s="330" t="s">
        <v>57572</v>
      </c>
      <c r="C13219" s="330" t="s">
        <v>28097</v>
      </c>
      <c r="D13219" s="330" t="s">
        <v>27098</v>
      </c>
      <c r="E13219" s="330" t="s">
        <v>37248</v>
      </c>
      <c r="F13219" s="331">
        <v>0.21</v>
      </c>
      <c r="G13219" s="332">
        <v>174</v>
      </c>
      <c r="H13219" s="333">
        <v>211</v>
      </c>
    </row>
    <row r="13220" spans="1:8">
      <c r="A13220" s="317">
        <v>2610355332</v>
      </c>
      <c r="B13220" s="330" t="s">
        <v>57573</v>
      </c>
      <c r="C13220" s="330" t="s">
        <v>28098</v>
      </c>
      <c r="D13220" s="330" t="s">
        <v>28099</v>
      </c>
      <c r="E13220" s="330" t="s">
        <v>4634</v>
      </c>
      <c r="F13220" s="331">
        <v>0.21</v>
      </c>
      <c r="G13220" s="332">
        <v>236</v>
      </c>
      <c r="H13220" s="333">
        <v>286</v>
      </c>
    </row>
    <row r="13221" spans="1:8">
      <c r="A13221" s="317">
        <v>2610355337</v>
      </c>
      <c r="B13221" s="330" t="s">
        <v>57574</v>
      </c>
      <c r="C13221" s="330" t="s">
        <v>28100</v>
      </c>
      <c r="D13221" s="330" t="s">
        <v>11528</v>
      </c>
      <c r="E13221" s="330" t="s">
        <v>4634</v>
      </c>
      <c r="F13221" s="331">
        <v>0.21</v>
      </c>
      <c r="G13221" s="332">
        <v>972</v>
      </c>
      <c r="H13221" s="333">
        <v>1177</v>
      </c>
    </row>
    <row r="13222" spans="1:8">
      <c r="A13222" s="317">
        <v>2610355338</v>
      </c>
      <c r="B13222" s="330" t="s">
        <v>57575</v>
      </c>
      <c r="C13222" s="330" t="s">
        <v>28101</v>
      </c>
      <c r="D13222" s="330" t="s">
        <v>28102</v>
      </c>
      <c r="E13222" s="330" t="s">
        <v>4634</v>
      </c>
      <c r="F13222" s="331">
        <v>0.21</v>
      </c>
      <c r="G13222" s="332">
        <v>972</v>
      </c>
      <c r="H13222" s="333">
        <v>1177</v>
      </c>
    </row>
    <row r="13223" spans="1:8">
      <c r="A13223" s="317">
        <v>2610355550</v>
      </c>
      <c r="B13223" s="330" t="s">
        <v>57576</v>
      </c>
      <c r="C13223" s="330" t="s">
        <v>28103</v>
      </c>
      <c r="D13223" s="330" t="s">
        <v>28104</v>
      </c>
      <c r="E13223" s="330" t="s">
        <v>4634</v>
      </c>
      <c r="F13223" s="331">
        <v>0.21</v>
      </c>
      <c r="G13223" s="332">
        <v>49</v>
      </c>
      <c r="H13223" s="333">
        <v>60</v>
      </c>
    </row>
    <row r="13224" spans="1:8">
      <c r="A13224" s="317">
        <v>2610355559</v>
      </c>
      <c r="B13224" s="330" t="s">
        <v>57577</v>
      </c>
      <c r="C13224" s="330" t="s">
        <v>28105</v>
      </c>
      <c r="D13224" s="330" t="s">
        <v>28106</v>
      </c>
      <c r="E13224" s="330" t="s">
        <v>4634</v>
      </c>
      <c r="F13224" s="331">
        <v>0.21</v>
      </c>
      <c r="G13224" s="332">
        <v>5123</v>
      </c>
      <c r="H13224" s="333">
        <v>6199</v>
      </c>
    </row>
    <row r="13225" spans="1:8">
      <c r="A13225" s="317">
        <v>2610355560</v>
      </c>
      <c r="B13225" s="330" t="s">
        <v>57578</v>
      </c>
      <c r="C13225" s="330" t="s">
        <v>28107</v>
      </c>
      <c r="D13225" s="330" t="s">
        <v>28108</v>
      </c>
      <c r="E13225" s="330" t="s">
        <v>4634</v>
      </c>
      <c r="F13225" s="331">
        <v>0.21</v>
      </c>
      <c r="G13225" s="332">
        <v>21286</v>
      </c>
      <c r="H13225" s="333">
        <v>25757</v>
      </c>
    </row>
    <row r="13226" spans="1:8">
      <c r="A13226" s="317">
        <v>2610355570</v>
      </c>
      <c r="B13226" s="330" t="s">
        <v>57579</v>
      </c>
      <c r="C13226" s="330" t="s">
        <v>28109</v>
      </c>
      <c r="D13226" s="330" t="s">
        <v>11708</v>
      </c>
      <c r="E13226" s="330" t="s">
        <v>4634</v>
      </c>
      <c r="F13226" s="331">
        <v>0.21</v>
      </c>
      <c r="G13226" s="332">
        <v>455</v>
      </c>
      <c r="H13226" s="333">
        <v>551</v>
      </c>
    </row>
    <row r="13227" spans="1:8">
      <c r="A13227" s="317">
        <v>2610355577</v>
      </c>
      <c r="B13227" s="330" t="s">
        <v>57580</v>
      </c>
      <c r="C13227" s="330" t="s">
        <v>28110</v>
      </c>
      <c r="D13227" s="330" t="s">
        <v>28111</v>
      </c>
      <c r="E13227" s="330" t="s">
        <v>4634</v>
      </c>
      <c r="F13227" s="331">
        <v>0.21</v>
      </c>
      <c r="G13227" s="332">
        <v>455</v>
      </c>
      <c r="H13227" s="333">
        <v>551</v>
      </c>
    </row>
    <row r="13228" spans="1:8">
      <c r="A13228" s="317">
        <v>2610355581</v>
      </c>
      <c r="B13228" s="330" t="s">
        <v>57581</v>
      </c>
      <c r="C13228" s="330" t="s">
        <v>28112</v>
      </c>
      <c r="D13228" s="330" t="s">
        <v>28113</v>
      </c>
      <c r="E13228" s="330" t="s">
        <v>4634</v>
      </c>
      <c r="F13228" s="331">
        <v>0.21</v>
      </c>
      <c r="G13228" s="332">
        <v>885</v>
      </c>
      <c r="H13228" s="333">
        <v>1071</v>
      </c>
    </row>
    <row r="13229" spans="1:8">
      <c r="A13229" s="317">
        <v>2610355582</v>
      </c>
      <c r="B13229" s="330" t="s">
        <v>57582</v>
      </c>
      <c r="C13229" s="330" t="s">
        <v>28114</v>
      </c>
      <c r="D13229" s="330" t="s">
        <v>28115</v>
      </c>
      <c r="E13229" s="330" t="s">
        <v>4634</v>
      </c>
      <c r="F13229" s="331">
        <v>0.21</v>
      </c>
      <c r="G13229" s="332">
        <v>4115</v>
      </c>
      <c r="H13229" s="333">
        <v>4980</v>
      </c>
    </row>
    <row r="13230" spans="1:8">
      <c r="A13230" s="317">
        <v>2610355586</v>
      </c>
      <c r="B13230" s="330" t="s">
        <v>57583</v>
      </c>
      <c r="C13230" s="330" t="s">
        <v>28116</v>
      </c>
      <c r="D13230" s="330" t="s">
        <v>28117</v>
      </c>
      <c r="E13230" s="330" t="s">
        <v>4634</v>
      </c>
      <c r="F13230" s="331">
        <v>0.21</v>
      </c>
      <c r="G13230" s="332">
        <v>6902</v>
      </c>
      <c r="H13230" s="333">
        <v>8352</v>
      </c>
    </row>
    <row r="13231" spans="1:8">
      <c r="A13231" s="317">
        <v>2610355596</v>
      </c>
      <c r="B13231" s="330" t="s">
        <v>57584</v>
      </c>
      <c r="C13231" s="330" t="s">
        <v>28118</v>
      </c>
      <c r="D13231" s="330" t="s">
        <v>28119</v>
      </c>
      <c r="E13231" s="330" t="s">
        <v>4634</v>
      </c>
      <c r="F13231" s="331">
        <v>0.21</v>
      </c>
      <c r="G13231" s="332">
        <v>318</v>
      </c>
      <c r="H13231" s="333">
        <v>385</v>
      </c>
    </row>
    <row r="13232" spans="1:8">
      <c r="A13232" s="317">
        <v>2610355655</v>
      </c>
      <c r="B13232" s="330" t="s">
        <v>57585</v>
      </c>
      <c r="C13232" s="330" t="s">
        <v>28120</v>
      </c>
      <c r="D13232" s="330" t="s">
        <v>28121</v>
      </c>
      <c r="E13232" s="330" t="s">
        <v>4634</v>
      </c>
      <c r="F13232" s="331">
        <v>0.21</v>
      </c>
      <c r="G13232" s="332">
        <v>584</v>
      </c>
      <c r="H13232" s="333">
        <v>707</v>
      </c>
    </row>
    <row r="13233" spans="1:8">
      <c r="A13233" s="317">
        <v>2610355665</v>
      </c>
      <c r="B13233" s="330" t="s">
        <v>57586</v>
      </c>
      <c r="C13233" s="330" t="s">
        <v>28122</v>
      </c>
      <c r="D13233" s="330" t="s">
        <v>28123</v>
      </c>
      <c r="E13233" s="330" t="s">
        <v>4634</v>
      </c>
      <c r="F13233" s="331">
        <v>0.21</v>
      </c>
      <c r="G13233" s="332">
        <v>10825</v>
      </c>
      <c r="H13233" s="333">
        <v>13099</v>
      </c>
    </row>
    <row r="13234" spans="1:8">
      <c r="A13234" s="317">
        <v>2610355677</v>
      </c>
      <c r="B13234" s="330" t="s">
        <v>57587</v>
      </c>
      <c r="C13234" s="330" t="s">
        <v>28124</v>
      </c>
      <c r="D13234" s="330" t="s">
        <v>28125</v>
      </c>
      <c r="E13234" s="330" t="s">
        <v>4634</v>
      </c>
      <c r="F13234" s="331">
        <v>0.21</v>
      </c>
      <c r="G13234" s="332">
        <v>27150</v>
      </c>
      <c r="H13234" s="333">
        <v>32852</v>
      </c>
    </row>
    <row r="13235" spans="1:8">
      <c r="A13235" s="317">
        <v>2610355678</v>
      </c>
      <c r="B13235" s="330" t="s">
        <v>57588</v>
      </c>
      <c r="C13235" s="330" t="s">
        <v>28126</v>
      </c>
      <c r="D13235" s="330" t="s">
        <v>28127</v>
      </c>
      <c r="E13235" s="330" t="s">
        <v>4634</v>
      </c>
      <c r="F13235" s="331">
        <v>0.21</v>
      </c>
      <c r="G13235" s="332">
        <v>791</v>
      </c>
      <c r="H13235" s="333">
        <v>958</v>
      </c>
    </row>
    <row r="13236" spans="1:8">
      <c r="A13236" s="317">
        <v>2610355710</v>
      </c>
      <c r="B13236" s="330" t="s">
        <v>57589</v>
      </c>
      <c r="C13236" s="330" t="s">
        <v>28128</v>
      </c>
      <c r="D13236" s="330" t="s">
        <v>28129</v>
      </c>
      <c r="E13236" s="330" t="s">
        <v>4634</v>
      </c>
      <c r="F13236" s="331">
        <v>0.21</v>
      </c>
      <c r="G13236" s="332">
        <v>11439</v>
      </c>
      <c r="H13236" s="333">
        <v>13842</v>
      </c>
    </row>
    <row r="13237" spans="1:8">
      <c r="A13237" s="317">
        <v>2610355738</v>
      </c>
      <c r="B13237" s="330" t="s">
        <v>57590</v>
      </c>
      <c r="C13237" s="330" t="s">
        <v>28130</v>
      </c>
      <c r="D13237" s="330" t="s">
        <v>28131</v>
      </c>
      <c r="E13237" s="330" t="s">
        <v>4634</v>
      </c>
      <c r="F13237" s="331">
        <v>0.21</v>
      </c>
      <c r="G13237" s="332">
        <v>5909</v>
      </c>
      <c r="H13237" s="333">
        <v>7150</v>
      </c>
    </row>
    <row r="13238" spans="1:8">
      <c r="A13238" s="317">
        <v>2610355739</v>
      </c>
      <c r="B13238" s="330" t="s">
        <v>57591</v>
      </c>
      <c r="C13238" s="330" t="s">
        <v>28132</v>
      </c>
      <c r="D13238" s="330" t="s">
        <v>28133</v>
      </c>
      <c r="E13238" s="330" t="s">
        <v>4634</v>
      </c>
      <c r="F13238" s="331">
        <v>0.21</v>
      </c>
      <c r="G13238" s="332">
        <v>791</v>
      </c>
      <c r="H13238" s="333">
        <v>958</v>
      </c>
    </row>
    <row r="13239" spans="1:8">
      <c r="A13239" s="317">
        <v>2610355746</v>
      </c>
      <c r="B13239" s="330" t="s">
        <v>57592</v>
      </c>
      <c r="C13239" s="330" t="s">
        <v>28134</v>
      </c>
      <c r="D13239" s="330" t="s">
        <v>28135</v>
      </c>
      <c r="E13239" s="330" t="s">
        <v>4634</v>
      </c>
      <c r="F13239" s="331">
        <v>0.21</v>
      </c>
      <c r="G13239" s="332">
        <v>2821</v>
      </c>
      <c r="H13239" s="333">
        <v>3414</v>
      </c>
    </row>
    <row r="13240" spans="1:8">
      <c r="A13240" s="317">
        <v>2610355777</v>
      </c>
      <c r="B13240" s="330" t="s">
        <v>57593</v>
      </c>
      <c r="C13240" s="330" t="s">
        <v>28136</v>
      </c>
      <c r="D13240" s="330" t="s">
        <v>28137</v>
      </c>
      <c r="E13240" s="330" t="s">
        <v>4634</v>
      </c>
      <c r="F13240" s="331">
        <v>0.21</v>
      </c>
      <c r="G13240" s="332">
        <v>180</v>
      </c>
      <c r="H13240" s="333">
        <v>218</v>
      </c>
    </row>
    <row r="13241" spans="1:8">
      <c r="A13241" s="317">
        <v>2610356016</v>
      </c>
      <c r="B13241" s="330" t="s">
        <v>57594</v>
      </c>
      <c r="C13241" s="330" t="s">
        <v>28138</v>
      </c>
      <c r="D13241" s="330" t="s">
        <v>28139</v>
      </c>
      <c r="E13241" s="330" t="s">
        <v>4634</v>
      </c>
      <c r="F13241" s="331">
        <v>0.21</v>
      </c>
      <c r="G13241" s="332">
        <v>457</v>
      </c>
      <c r="H13241" s="333">
        <v>553</v>
      </c>
    </row>
    <row r="13242" spans="1:8">
      <c r="A13242" s="317">
        <v>2610356017</v>
      </c>
      <c r="B13242" s="330" t="s">
        <v>57595</v>
      </c>
      <c r="C13242" s="330" t="s">
        <v>28140</v>
      </c>
      <c r="D13242" s="330" t="s">
        <v>28141</v>
      </c>
      <c r="E13242" s="330" t="s">
        <v>4634</v>
      </c>
      <c r="F13242" s="331">
        <v>0.21</v>
      </c>
      <c r="G13242" s="332">
        <v>649</v>
      </c>
      <c r="H13242" s="333">
        <v>786</v>
      </c>
    </row>
    <row r="13243" spans="1:8">
      <c r="A13243" s="317">
        <v>2610356029</v>
      </c>
      <c r="B13243" s="330" t="s">
        <v>57596</v>
      </c>
      <c r="C13243" s="330" t="s">
        <v>28142</v>
      </c>
      <c r="D13243" s="330" t="s">
        <v>28143</v>
      </c>
      <c r="E13243" s="330" t="s">
        <v>4634</v>
      </c>
      <c r="F13243" s="331">
        <v>0.21</v>
      </c>
      <c r="G13243" s="332">
        <v>372</v>
      </c>
      <c r="H13243" s="333">
        <v>451</v>
      </c>
    </row>
    <row r="13244" spans="1:8">
      <c r="A13244" s="317">
        <v>2610356033</v>
      </c>
      <c r="B13244" s="330" t="s">
        <v>57597</v>
      </c>
      <c r="C13244" s="330" t="s">
        <v>28144</v>
      </c>
      <c r="D13244" s="330" t="s">
        <v>28145</v>
      </c>
      <c r="E13244" s="330" t="s">
        <v>4634</v>
      </c>
      <c r="F13244" s="331">
        <v>0.21</v>
      </c>
      <c r="G13244" s="332">
        <v>584</v>
      </c>
      <c r="H13244" s="333">
        <v>707</v>
      </c>
    </row>
    <row r="13245" spans="1:8">
      <c r="A13245" s="317">
        <v>2610356036</v>
      </c>
      <c r="B13245" s="330" t="s">
        <v>57598</v>
      </c>
      <c r="C13245" s="330" t="s">
        <v>28146</v>
      </c>
      <c r="D13245" s="330" t="s">
        <v>28147</v>
      </c>
      <c r="E13245" s="330" t="s">
        <v>4634</v>
      </c>
      <c r="F13245" s="331">
        <v>0.21</v>
      </c>
      <c r="G13245" s="332">
        <v>348</v>
      </c>
      <c r="H13245" s="333">
        <v>422</v>
      </c>
    </row>
    <row r="13246" spans="1:8">
      <c r="A13246" s="317">
        <v>2610356652</v>
      </c>
      <c r="B13246" s="330" t="s">
        <v>57599</v>
      </c>
      <c r="C13246" s="330" t="s">
        <v>28148</v>
      </c>
      <c r="D13246" s="330" t="s">
        <v>28149</v>
      </c>
      <c r="E13246" s="330" t="s">
        <v>4634</v>
      </c>
      <c r="F13246" s="331">
        <v>0.21</v>
      </c>
      <c r="G13246" s="332">
        <v>348</v>
      </c>
      <c r="H13246" s="333">
        <v>422</v>
      </c>
    </row>
    <row r="13247" spans="1:8">
      <c r="A13247" s="317">
        <v>2610356675</v>
      </c>
      <c r="B13247" s="330" t="s">
        <v>57600</v>
      </c>
      <c r="C13247" s="330" t="s">
        <v>28150</v>
      </c>
      <c r="D13247" s="330" t="s">
        <v>28151</v>
      </c>
      <c r="E13247" s="330" t="s">
        <v>4634</v>
      </c>
      <c r="F13247" s="331">
        <v>0.21</v>
      </c>
      <c r="G13247" s="332">
        <v>10190</v>
      </c>
      <c r="H13247" s="333">
        <v>12330</v>
      </c>
    </row>
    <row r="13248" spans="1:8">
      <c r="A13248" s="317">
        <v>2610356680</v>
      </c>
      <c r="B13248" s="330" t="s">
        <v>57601</v>
      </c>
      <c r="C13248" s="330" t="s">
        <v>28152</v>
      </c>
      <c r="D13248" s="330" t="s">
        <v>28153</v>
      </c>
      <c r="E13248" s="330" t="s">
        <v>4634</v>
      </c>
      <c r="F13248" s="331">
        <v>0.21</v>
      </c>
      <c r="G13248" s="332">
        <v>6984</v>
      </c>
      <c r="H13248" s="333">
        <v>8451</v>
      </c>
    </row>
    <row r="13249" spans="1:8">
      <c r="A13249" s="317">
        <v>2610356706</v>
      </c>
      <c r="B13249" s="330" t="s">
        <v>57602</v>
      </c>
      <c r="C13249" s="330" t="s">
        <v>28154</v>
      </c>
      <c r="D13249" s="330" t="s">
        <v>11710</v>
      </c>
      <c r="E13249" s="330" t="s">
        <v>4634</v>
      </c>
      <c r="F13249" s="331">
        <v>0.21</v>
      </c>
      <c r="G13249" s="332">
        <v>372</v>
      </c>
      <c r="H13249" s="333">
        <v>451</v>
      </c>
    </row>
    <row r="13250" spans="1:8">
      <c r="A13250" s="317">
        <v>2610356733</v>
      </c>
      <c r="B13250" s="330" t="s">
        <v>57603</v>
      </c>
      <c r="C13250" s="330" t="s">
        <v>28155</v>
      </c>
      <c r="D13250" s="330" t="s">
        <v>28156</v>
      </c>
      <c r="E13250" s="330" t="s">
        <v>4634</v>
      </c>
      <c r="F13250" s="331">
        <v>0.21</v>
      </c>
      <c r="G13250" s="332">
        <v>274</v>
      </c>
      <c r="H13250" s="333">
        <v>332</v>
      </c>
    </row>
    <row r="13251" spans="1:8">
      <c r="A13251" s="317">
        <v>2610356794</v>
      </c>
      <c r="B13251" s="330" t="s">
        <v>57604</v>
      </c>
      <c r="C13251" s="330" t="s">
        <v>28157</v>
      </c>
      <c r="D13251" s="330" t="s">
        <v>28158</v>
      </c>
      <c r="E13251" s="330" t="s">
        <v>4634</v>
      </c>
      <c r="F13251" s="331">
        <v>0.21</v>
      </c>
      <c r="G13251" s="332">
        <v>928</v>
      </c>
      <c r="H13251" s="333">
        <v>1123</v>
      </c>
    </row>
    <row r="13252" spans="1:8">
      <c r="A13252" s="317">
        <v>2610357092</v>
      </c>
      <c r="B13252" s="330" t="s">
        <v>57605</v>
      </c>
      <c r="C13252" s="330" t="s">
        <v>28159</v>
      </c>
      <c r="D13252" s="330" t="s">
        <v>28160</v>
      </c>
      <c r="E13252" s="330" t="s">
        <v>4634</v>
      </c>
      <c r="F13252" s="331">
        <v>0.21</v>
      </c>
      <c r="G13252" s="332">
        <v>39</v>
      </c>
      <c r="H13252" s="333">
        <v>48</v>
      </c>
    </row>
    <row r="13253" spans="1:8">
      <c r="A13253" s="317">
        <v>2610357411</v>
      </c>
      <c r="B13253" s="330" t="s">
        <v>57606</v>
      </c>
      <c r="C13253" s="330" t="s">
        <v>28161</v>
      </c>
      <c r="D13253" s="330" t="s">
        <v>28162</v>
      </c>
      <c r="E13253" s="330" t="s">
        <v>4634</v>
      </c>
      <c r="F13253" s="331">
        <v>0.21</v>
      </c>
      <c r="G13253" s="332">
        <v>1844</v>
      </c>
      <c r="H13253" s="333">
        <v>2232</v>
      </c>
    </row>
    <row r="13254" spans="1:8">
      <c r="A13254" s="317">
        <v>2610357532</v>
      </c>
      <c r="B13254" s="330" t="s">
        <v>57607</v>
      </c>
      <c r="C13254" s="330" t="s">
        <v>28163</v>
      </c>
      <c r="D13254" s="330" t="s">
        <v>28164</v>
      </c>
      <c r="E13254" s="330" t="s">
        <v>4634</v>
      </c>
      <c r="F13254" s="331">
        <v>0.21</v>
      </c>
      <c r="G13254" s="332">
        <v>4481</v>
      </c>
      <c r="H13254" s="333">
        <v>5423</v>
      </c>
    </row>
    <row r="13255" spans="1:8">
      <c r="A13255" s="317">
        <v>2610357542</v>
      </c>
      <c r="B13255" s="330" t="s">
        <v>57608</v>
      </c>
      <c r="C13255" s="330" t="s">
        <v>28165</v>
      </c>
      <c r="D13255" s="330" t="s">
        <v>28166</v>
      </c>
      <c r="E13255" s="330" t="s">
        <v>4634</v>
      </c>
      <c r="F13255" s="331">
        <v>0.21</v>
      </c>
      <c r="G13255" s="332">
        <v>2837</v>
      </c>
      <c r="H13255" s="333">
        <v>3433</v>
      </c>
    </row>
    <row r="13256" spans="1:8">
      <c r="A13256" s="317">
        <v>2610358001</v>
      </c>
      <c r="B13256" s="330" t="s">
        <v>57609</v>
      </c>
      <c r="C13256" s="330" t="s">
        <v>28167</v>
      </c>
      <c r="D13256" s="330" t="s">
        <v>28168</v>
      </c>
      <c r="E13256" s="330" t="s">
        <v>4634</v>
      </c>
      <c r="F13256" s="331">
        <v>0.21</v>
      </c>
      <c r="G13256" s="332">
        <v>1170</v>
      </c>
      <c r="H13256" s="333">
        <v>1416</v>
      </c>
    </row>
    <row r="13257" spans="1:8">
      <c r="A13257" s="317">
        <v>2610358010</v>
      </c>
      <c r="B13257" s="330" t="s">
        <v>57610</v>
      </c>
      <c r="C13257" s="330" t="s">
        <v>28169</v>
      </c>
      <c r="D13257" s="330" t="s">
        <v>28170</v>
      </c>
      <c r="E13257" s="330" t="s">
        <v>4634</v>
      </c>
      <c r="F13257" s="331">
        <v>0.21</v>
      </c>
      <c r="G13257" s="332">
        <v>20532</v>
      </c>
      <c r="H13257" s="333">
        <v>24844</v>
      </c>
    </row>
    <row r="13258" spans="1:8">
      <c r="A13258" s="317">
        <v>2610358011</v>
      </c>
      <c r="B13258" s="330" t="s">
        <v>57611</v>
      </c>
      <c r="C13258" s="330" t="s">
        <v>28171</v>
      </c>
      <c r="D13258" s="330" t="s">
        <v>28172</v>
      </c>
      <c r="E13258" s="330" t="s">
        <v>4634</v>
      </c>
      <c r="F13258" s="331">
        <v>0.21</v>
      </c>
      <c r="G13258" s="332">
        <v>7684</v>
      </c>
      <c r="H13258" s="333">
        <v>9298</v>
      </c>
    </row>
    <row r="13259" spans="1:8">
      <c r="A13259" s="317">
        <v>2610358013</v>
      </c>
      <c r="B13259" s="330" t="s">
        <v>57612</v>
      </c>
      <c r="C13259" s="330" t="s">
        <v>28173</v>
      </c>
      <c r="D13259" s="330" t="s">
        <v>28174</v>
      </c>
      <c r="E13259" s="330" t="s">
        <v>4634</v>
      </c>
      <c r="F13259" s="331">
        <v>0.21</v>
      </c>
      <c r="G13259" s="332">
        <v>437</v>
      </c>
      <c r="H13259" s="333">
        <v>529</v>
      </c>
    </row>
    <row r="13260" spans="1:8">
      <c r="A13260" s="317">
        <v>2610358021</v>
      </c>
      <c r="B13260" s="330" t="s">
        <v>57613</v>
      </c>
      <c r="C13260" s="330" t="s">
        <v>28175</v>
      </c>
      <c r="D13260" s="330" t="s">
        <v>28176</v>
      </c>
      <c r="E13260" s="330" t="s">
        <v>4634</v>
      </c>
      <c r="F13260" s="331">
        <v>0.21</v>
      </c>
      <c r="G13260" s="332">
        <v>1798</v>
      </c>
      <c r="H13260" s="333">
        <v>2176</v>
      </c>
    </row>
    <row r="13261" spans="1:8">
      <c r="A13261" s="317">
        <v>2610358055</v>
      </c>
      <c r="B13261" s="330" t="s">
        <v>57614</v>
      </c>
      <c r="C13261" s="330" t="s">
        <v>28177</v>
      </c>
      <c r="D13261" s="330" t="s">
        <v>28178</v>
      </c>
      <c r="E13261" s="330" t="s">
        <v>4634</v>
      </c>
      <c r="F13261" s="331">
        <v>0.21</v>
      </c>
      <c r="G13261" s="332">
        <v>791</v>
      </c>
      <c r="H13261" s="333">
        <v>958</v>
      </c>
    </row>
    <row r="13262" spans="1:8">
      <c r="A13262" s="317">
        <v>2610358064</v>
      </c>
      <c r="B13262" s="330" t="s">
        <v>57615</v>
      </c>
      <c r="C13262" s="330" t="s">
        <v>28179</v>
      </c>
      <c r="D13262" s="330" t="s">
        <v>28180</v>
      </c>
      <c r="E13262" s="330" t="s">
        <v>4634</v>
      </c>
      <c r="F13262" s="331">
        <v>0.21</v>
      </c>
      <c r="G13262" s="332">
        <v>1664</v>
      </c>
      <c r="H13262" s="333">
        <v>2014</v>
      </c>
    </row>
    <row r="13263" spans="1:8">
      <c r="A13263" s="317">
        <v>2610358149</v>
      </c>
      <c r="B13263" s="330" t="s">
        <v>57616</v>
      </c>
      <c r="C13263" s="330" t="s">
        <v>28181</v>
      </c>
      <c r="D13263" s="330" t="s">
        <v>11710</v>
      </c>
      <c r="E13263" s="330" t="s">
        <v>4819</v>
      </c>
      <c r="F13263" s="331">
        <v>0.21</v>
      </c>
      <c r="G13263" s="332">
        <v>410</v>
      </c>
      <c r="H13263" s="333">
        <v>497</v>
      </c>
    </row>
    <row r="13264" spans="1:8">
      <c r="A13264" s="317">
        <v>2610358172</v>
      </c>
      <c r="B13264" s="330" t="s">
        <v>57617</v>
      </c>
      <c r="C13264" s="330" t="s">
        <v>28182</v>
      </c>
      <c r="D13264" s="330" t="s">
        <v>28183</v>
      </c>
      <c r="E13264" s="330" t="s">
        <v>4634</v>
      </c>
      <c r="F13264" s="331">
        <v>0.21</v>
      </c>
      <c r="G13264" s="332">
        <v>274</v>
      </c>
      <c r="H13264" s="333">
        <v>332</v>
      </c>
    </row>
    <row r="13265" spans="1:8">
      <c r="A13265" s="317">
        <v>2610358439</v>
      </c>
      <c r="B13265" s="330" t="s">
        <v>57618</v>
      </c>
      <c r="C13265" s="330" t="s">
        <v>28184</v>
      </c>
      <c r="D13265" s="330" t="s">
        <v>28085</v>
      </c>
      <c r="E13265" s="330" t="s">
        <v>4634</v>
      </c>
      <c r="F13265" s="331">
        <v>0.21</v>
      </c>
      <c r="G13265" s="332">
        <v>142</v>
      </c>
      <c r="H13265" s="333">
        <v>172</v>
      </c>
    </row>
    <row r="13266" spans="1:8">
      <c r="A13266" s="317">
        <v>2610358560</v>
      </c>
      <c r="B13266" s="330" t="s">
        <v>57619</v>
      </c>
      <c r="C13266" s="330" t="s">
        <v>28185</v>
      </c>
      <c r="D13266" s="330" t="s">
        <v>28186</v>
      </c>
      <c r="E13266" s="330" t="s">
        <v>4634</v>
      </c>
      <c r="F13266" s="331">
        <v>0.21</v>
      </c>
      <c r="G13266" s="332">
        <v>348</v>
      </c>
      <c r="H13266" s="333">
        <v>422</v>
      </c>
    </row>
    <row r="13267" spans="1:8">
      <c r="A13267" s="317">
        <v>2610358578</v>
      </c>
      <c r="B13267" s="330" t="s">
        <v>57620</v>
      </c>
      <c r="C13267" s="330" t="s">
        <v>28187</v>
      </c>
      <c r="D13267" s="330" t="s">
        <v>28188</v>
      </c>
      <c r="E13267" s="330" t="s">
        <v>4634</v>
      </c>
      <c r="F13267" s="331">
        <v>0.21</v>
      </c>
      <c r="G13267" s="332">
        <v>1798</v>
      </c>
      <c r="H13267" s="333">
        <v>2176</v>
      </c>
    </row>
    <row r="13268" spans="1:8">
      <c r="A13268" s="317">
        <v>2610358595</v>
      </c>
      <c r="B13268" s="330" t="s">
        <v>57621</v>
      </c>
      <c r="C13268" s="330" t="s">
        <v>28189</v>
      </c>
      <c r="D13268" s="330" t="s">
        <v>28190</v>
      </c>
      <c r="E13268" s="330" t="s">
        <v>4634</v>
      </c>
      <c r="F13268" s="331">
        <v>0.21</v>
      </c>
      <c r="G13268" s="332">
        <v>7662</v>
      </c>
      <c r="H13268" s="333">
        <v>9272</v>
      </c>
    </row>
    <row r="13269" spans="1:8">
      <c r="A13269" s="317">
        <v>2610358598</v>
      </c>
      <c r="B13269" s="330" t="s">
        <v>57622</v>
      </c>
      <c r="C13269" s="330" t="s">
        <v>28191</v>
      </c>
      <c r="D13269" s="330" t="s">
        <v>28192</v>
      </c>
      <c r="E13269" s="330" t="s">
        <v>4634</v>
      </c>
      <c r="F13269" s="331">
        <v>0.21</v>
      </c>
      <c r="G13269" s="332">
        <v>15307</v>
      </c>
      <c r="H13269" s="333">
        <v>18522</v>
      </c>
    </row>
    <row r="13270" spans="1:8">
      <c r="A13270" s="317">
        <v>2610358652</v>
      </c>
      <c r="B13270" s="330" t="s">
        <v>57623</v>
      </c>
      <c r="C13270" s="330" t="s">
        <v>28193</v>
      </c>
      <c r="D13270" s="330" t="s">
        <v>28194</v>
      </c>
      <c r="E13270" s="330" t="s">
        <v>4634</v>
      </c>
      <c r="F13270" s="331">
        <v>0.21</v>
      </c>
      <c r="G13270" s="332">
        <v>584</v>
      </c>
      <c r="H13270" s="333">
        <v>707</v>
      </c>
    </row>
    <row r="13271" spans="1:8">
      <c r="A13271" s="317">
        <v>2610358802</v>
      </c>
      <c r="B13271" s="330" t="s">
        <v>57624</v>
      </c>
      <c r="C13271" s="330" t="s">
        <v>28195</v>
      </c>
      <c r="D13271" s="330" t="s">
        <v>11708</v>
      </c>
      <c r="E13271" s="330" t="s">
        <v>4634</v>
      </c>
      <c r="F13271" s="331">
        <v>0.21</v>
      </c>
      <c r="G13271" s="332">
        <v>274</v>
      </c>
      <c r="H13271" s="333">
        <v>332</v>
      </c>
    </row>
    <row r="13272" spans="1:8">
      <c r="A13272" s="317">
        <v>2610358832</v>
      </c>
      <c r="B13272" s="330" t="s">
        <v>57625</v>
      </c>
      <c r="C13272" s="330" t="s">
        <v>28196</v>
      </c>
      <c r="D13272" s="330" t="s">
        <v>12194</v>
      </c>
      <c r="E13272" s="330" t="s">
        <v>4634</v>
      </c>
      <c r="F13272" s="331">
        <v>0.21</v>
      </c>
      <c r="G13272" s="332">
        <v>432</v>
      </c>
      <c r="H13272" s="333">
        <v>523</v>
      </c>
    </row>
    <row r="13273" spans="1:8">
      <c r="A13273" s="317">
        <v>2610358842</v>
      </c>
      <c r="B13273" s="330" t="s">
        <v>57626</v>
      </c>
      <c r="C13273" s="330" t="s">
        <v>28197</v>
      </c>
      <c r="D13273" s="330" t="s">
        <v>28198</v>
      </c>
      <c r="E13273" s="330" t="s">
        <v>4634</v>
      </c>
      <c r="F13273" s="331">
        <v>0.21</v>
      </c>
      <c r="G13273" s="332">
        <v>372</v>
      </c>
      <c r="H13273" s="333">
        <v>451</v>
      </c>
    </row>
    <row r="13274" spans="1:8">
      <c r="A13274" s="317">
        <v>2610358844</v>
      </c>
      <c r="B13274" s="330" t="s">
        <v>57627</v>
      </c>
      <c r="C13274" s="330" t="s">
        <v>28199</v>
      </c>
      <c r="D13274" s="330" t="s">
        <v>11698</v>
      </c>
      <c r="E13274" s="330" t="s">
        <v>4634</v>
      </c>
      <c r="F13274" s="331">
        <v>0.21</v>
      </c>
      <c r="G13274" s="332">
        <v>711</v>
      </c>
      <c r="H13274" s="333">
        <v>861</v>
      </c>
    </row>
    <row r="13275" spans="1:8">
      <c r="A13275" s="317">
        <v>2610358846</v>
      </c>
      <c r="B13275" s="330" t="s">
        <v>57628</v>
      </c>
      <c r="C13275" s="330" t="s">
        <v>28200</v>
      </c>
      <c r="D13275" s="330" t="s">
        <v>28201</v>
      </c>
      <c r="E13275" s="330" t="s">
        <v>4634</v>
      </c>
      <c r="F13275" s="331">
        <v>0.21</v>
      </c>
      <c r="G13275" s="332">
        <v>236</v>
      </c>
      <c r="H13275" s="333">
        <v>286</v>
      </c>
    </row>
    <row r="13276" spans="1:8">
      <c r="A13276" s="317">
        <v>2610358858</v>
      </c>
      <c r="B13276" s="330" t="s">
        <v>57629</v>
      </c>
      <c r="C13276" s="330" t="s">
        <v>28202</v>
      </c>
      <c r="D13276" s="330" t="s">
        <v>27167</v>
      </c>
      <c r="E13276" s="330" t="s">
        <v>37248</v>
      </c>
      <c r="F13276" s="331">
        <v>0.21</v>
      </c>
      <c r="G13276" s="332">
        <v>9108</v>
      </c>
      <c r="H13276" s="333">
        <v>11021</v>
      </c>
    </row>
    <row r="13277" spans="1:8">
      <c r="A13277" s="317">
        <v>2610358892</v>
      </c>
      <c r="B13277" s="330" t="s">
        <v>57630</v>
      </c>
      <c r="C13277" s="330" t="s">
        <v>28203</v>
      </c>
      <c r="D13277" s="330" t="s">
        <v>28204</v>
      </c>
      <c r="E13277" s="330" t="s">
        <v>4634</v>
      </c>
      <c r="F13277" s="331">
        <v>0.21</v>
      </c>
      <c r="G13277" s="332">
        <v>584</v>
      </c>
      <c r="H13277" s="333">
        <v>707</v>
      </c>
    </row>
    <row r="13278" spans="1:8">
      <c r="A13278" s="317">
        <v>2610358901</v>
      </c>
      <c r="B13278" s="330" t="s">
        <v>57631</v>
      </c>
      <c r="C13278" s="330" t="s">
        <v>28205</v>
      </c>
      <c r="D13278" s="330" t="s">
        <v>11528</v>
      </c>
      <c r="E13278" s="330" t="s">
        <v>4634</v>
      </c>
      <c r="F13278" s="331">
        <v>0.21</v>
      </c>
      <c r="G13278" s="332">
        <v>236</v>
      </c>
      <c r="H13278" s="333">
        <v>286</v>
      </c>
    </row>
    <row r="13279" spans="1:8">
      <c r="A13279" s="317">
        <v>2610358932</v>
      </c>
      <c r="B13279" s="330" t="s">
        <v>57632</v>
      </c>
      <c r="C13279" s="330" t="s">
        <v>28206</v>
      </c>
      <c r="D13279" s="330" t="s">
        <v>28207</v>
      </c>
      <c r="E13279" s="330" t="s">
        <v>4634</v>
      </c>
      <c r="F13279" s="331">
        <v>0.21</v>
      </c>
      <c r="G13279" s="332">
        <v>432</v>
      </c>
      <c r="H13279" s="333">
        <v>523</v>
      </c>
    </row>
    <row r="13280" spans="1:8">
      <c r="A13280" s="317">
        <v>2610358936</v>
      </c>
      <c r="B13280" s="330" t="s">
        <v>57633</v>
      </c>
      <c r="C13280" s="330" t="s">
        <v>28208</v>
      </c>
      <c r="D13280" s="330" t="s">
        <v>12199</v>
      </c>
      <c r="E13280" s="330" t="s">
        <v>4634</v>
      </c>
      <c r="F13280" s="331">
        <v>0.21</v>
      </c>
      <c r="G13280" s="332">
        <v>432</v>
      </c>
      <c r="H13280" s="333">
        <v>523</v>
      </c>
    </row>
    <row r="13281" spans="1:8">
      <c r="A13281" s="317">
        <v>2610360176</v>
      </c>
      <c r="B13281" s="330" t="s">
        <v>57634</v>
      </c>
      <c r="C13281" s="330" t="s">
        <v>28209</v>
      </c>
      <c r="D13281" s="330" t="s">
        <v>28210</v>
      </c>
      <c r="E13281" s="330" t="s">
        <v>4634</v>
      </c>
      <c r="F13281" s="331">
        <v>0.21</v>
      </c>
      <c r="G13281" s="332">
        <v>432</v>
      </c>
      <c r="H13281" s="333">
        <v>523</v>
      </c>
    </row>
    <row r="13282" spans="1:8">
      <c r="A13282" s="317">
        <v>2610361473</v>
      </c>
      <c r="B13282" s="330" t="s">
        <v>57635</v>
      </c>
      <c r="C13282" s="330" t="s">
        <v>28211</v>
      </c>
      <c r="D13282" s="330" t="s">
        <v>28212</v>
      </c>
      <c r="E13282" s="330" t="s">
        <v>4634</v>
      </c>
      <c r="F13282" s="331">
        <v>0.21</v>
      </c>
      <c r="G13282" s="332">
        <v>372</v>
      </c>
      <c r="H13282" s="333">
        <v>451</v>
      </c>
    </row>
    <row r="13283" spans="1:8">
      <c r="A13283" s="317">
        <v>2610361665</v>
      </c>
      <c r="B13283" s="330" t="s">
        <v>57636</v>
      </c>
      <c r="C13283" s="330" t="s">
        <v>28213</v>
      </c>
      <c r="D13283" s="330" t="s">
        <v>28214</v>
      </c>
      <c r="E13283" s="330" t="s">
        <v>4634</v>
      </c>
      <c r="F13283" s="331">
        <v>0.21</v>
      </c>
      <c r="G13283" s="332">
        <v>584</v>
      </c>
      <c r="H13283" s="333">
        <v>707</v>
      </c>
    </row>
    <row r="13284" spans="1:8">
      <c r="A13284" s="317">
        <v>2610361694</v>
      </c>
      <c r="B13284" s="330" t="s">
        <v>57637</v>
      </c>
      <c r="C13284" s="330" t="s">
        <v>28215</v>
      </c>
      <c r="D13284" s="330" t="s">
        <v>28216</v>
      </c>
      <c r="E13284" s="330" t="s">
        <v>4634</v>
      </c>
      <c r="F13284" s="331">
        <v>0.21</v>
      </c>
      <c r="G13284" s="332">
        <v>678</v>
      </c>
      <c r="H13284" s="333">
        <v>821</v>
      </c>
    </row>
    <row r="13285" spans="1:8">
      <c r="A13285" s="317">
        <v>2610362954</v>
      </c>
      <c r="B13285" s="330" t="s">
        <v>57638</v>
      </c>
      <c r="C13285" s="330" t="s">
        <v>28217</v>
      </c>
      <c r="D13285" s="330" t="s">
        <v>28218</v>
      </c>
      <c r="E13285" s="330" t="s">
        <v>4634</v>
      </c>
      <c r="F13285" s="331">
        <v>0.21</v>
      </c>
      <c r="G13285" s="332">
        <v>1267</v>
      </c>
      <c r="H13285" s="333">
        <v>1534</v>
      </c>
    </row>
    <row r="13286" spans="1:8">
      <c r="A13286" s="317">
        <v>2610364015</v>
      </c>
      <c r="B13286" s="330" t="s">
        <v>57639</v>
      </c>
      <c r="C13286" s="330" t="s">
        <v>28219</v>
      </c>
      <c r="D13286" s="330" t="s">
        <v>28220</v>
      </c>
      <c r="E13286" s="330" t="s">
        <v>37248</v>
      </c>
      <c r="F13286" s="331">
        <v>0.21</v>
      </c>
      <c r="G13286" s="332">
        <v>1704</v>
      </c>
      <c r="H13286" s="333">
        <v>2062</v>
      </c>
    </row>
    <row r="13287" spans="1:8">
      <c r="A13287" s="317">
        <v>2610364374</v>
      </c>
      <c r="B13287" s="330" t="s">
        <v>57640</v>
      </c>
      <c r="C13287" s="330" t="s">
        <v>28221</v>
      </c>
      <c r="D13287" s="330" t="s">
        <v>28222</v>
      </c>
      <c r="E13287" s="330" t="s">
        <v>4634</v>
      </c>
      <c r="F13287" s="331">
        <v>0.21</v>
      </c>
      <c r="G13287" s="332">
        <v>1798</v>
      </c>
      <c r="H13287" s="333">
        <v>2176</v>
      </c>
    </row>
    <row r="13288" spans="1:8">
      <c r="A13288" s="317">
        <v>2610366280</v>
      </c>
      <c r="B13288" s="330" t="s">
        <v>57641</v>
      </c>
      <c r="C13288" s="330" t="s">
        <v>28223</v>
      </c>
      <c r="D13288" s="330" t="s">
        <v>28224</v>
      </c>
      <c r="E13288" s="330" t="s">
        <v>4634</v>
      </c>
      <c r="F13288" s="331">
        <v>0.21</v>
      </c>
      <c r="G13288" s="332">
        <v>3886</v>
      </c>
      <c r="H13288" s="333">
        <v>4703</v>
      </c>
    </row>
    <row r="13289" spans="1:8">
      <c r="A13289" s="317">
        <v>2610366556</v>
      </c>
      <c r="B13289" s="330" t="s">
        <v>57642</v>
      </c>
      <c r="C13289" s="330" t="s">
        <v>28225</v>
      </c>
      <c r="D13289" s="330" t="s">
        <v>28226</v>
      </c>
      <c r="E13289" s="330" t="s">
        <v>4634</v>
      </c>
      <c r="F13289" s="331">
        <v>0.21</v>
      </c>
      <c r="G13289" s="332">
        <v>7379</v>
      </c>
      <c r="H13289" s="333">
        <v>8929</v>
      </c>
    </row>
    <row r="13290" spans="1:8">
      <c r="A13290" s="317">
        <v>2610366564</v>
      </c>
      <c r="B13290" s="330" t="s">
        <v>57643</v>
      </c>
      <c r="C13290" s="330" t="s">
        <v>28227</v>
      </c>
      <c r="D13290" s="330" t="s">
        <v>28228</v>
      </c>
      <c r="E13290" s="330" t="s">
        <v>4634</v>
      </c>
      <c r="F13290" s="331">
        <v>0.21</v>
      </c>
      <c r="G13290" s="332">
        <v>18222</v>
      </c>
      <c r="H13290" s="333">
        <v>22049</v>
      </c>
    </row>
    <row r="13291" spans="1:8">
      <c r="A13291" s="317">
        <v>2610366635</v>
      </c>
      <c r="B13291" s="330" t="s">
        <v>57644</v>
      </c>
      <c r="C13291" s="330" t="s">
        <v>28229</v>
      </c>
      <c r="D13291" s="330" t="s">
        <v>28230</v>
      </c>
      <c r="E13291" s="330" t="s">
        <v>4634</v>
      </c>
      <c r="F13291" s="331">
        <v>0.21</v>
      </c>
      <c r="G13291" s="332">
        <v>372</v>
      </c>
      <c r="H13291" s="333">
        <v>451</v>
      </c>
    </row>
    <row r="13292" spans="1:8">
      <c r="A13292" s="317">
        <v>2610366653</v>
      </c>
      <c r="B13292" s="330" t="s">
        <v>57645</v>
      </c>
      <c r="C13292" s="330" t="s">
        <v>28231</v>
      </c>
      <c r="D13292" s="330" t="s">
        <v>28232</v>
      </c>
      <c r="E13292" s="330" t="s">
        <v>4634</v>
      </c>
      <c r="F13292" s="331">
        <v>0.21</v>
      </c>
      <c r="G13292" s="332">
        <v>2462</v>
      </c>
      <c r="H13292" s="333">
        <v>2980</v>
      </c>
    </row>
    <row r="13293" spans="1:8">
      <c r="A13293" s="317">
        <v>2610367088</v>
      </c>
      <c r="B13293" s="330" t="s">
        <v>57646</v>
      </c>
      <c r="C13293" s="330" t="s">
        <v>28233</v>
      </c>
      <c r="D13293" s="330" t="s">
        <v>28234</v>
      </c>
      <c r="E13293" s="330" t="s">
        <v>4634</v>
      </c>
      <c r="F13293" s="331">
        <v>0.21</v>
      </c>
      <c r="G13293" s="332">
        <v>372</v>
      </c>
      <c r="H13293" s="333">
        <v>451</v>
      </c>
    </row>
    <row r="13294" spans="1:8">
      <c r="A13294" s="317">
        <v>2610367507</v>
      </c>
      <c r="B13294" s="330" t="s">
        <v>57647</v>
      </c>
      <c r="C13294" s="330" t="s">
        <v>28235</v>
      </c>
      <c r="D13294" s="330" t="s">
        <v>28236</v>
      </c>
      <c r="E13294" s="330" t="s">
        <v>4634</v>
      </c>
      <c r="F13294" s="331">
        <v>0.21</v>
      </c>
      <c r="G13294" s="332">
        <v>280</v>
      </c>
      <c r="H13294" s="333">
        <v>339</v>
      </c>
    </row>
    <row r="13295" spans="1:8">
      <c r="A13295" s="317">
        <v>2610367556</v>
      </c>
      <c r="B13295" s="330" t="s">
        <v>57648</v>
      </c>
      <c r="C13295" s="330" t="s">
        <v>28237</v>
      </c>
      <c r="D13295" s="330" t="s">
        <v>28238</v>
      </c>
      <c r="E13295" s="330" t="s">
        <v>4634</v>
      </c>
      <c r="F13295" s="331">
        <v>0.21</v>
      </c>
      <c r="G13295" s="332">
        <v>387</v>
      </c>
      <c r="H13295" s="333">
        <v>469</v>
      </c>
    </row>
    <row r="13296" spans="1:8">
      <c r="A13296" s="317">
        <v>2610367938</v>
      </c>
      <c r="B13296" s="330" t="s">
        <v>57649</v>
      </c>
      <c r="C13296" s="330" t="s">
        <v>28239</v>
      </c>
      <c r="D13296" s="330" t="s">
        <v>28240</v>
      </c>
      <c r="E13296" s="330" t="s">
        <v>4634</v>
      </c>
      <c r="F13296" s="331">
        <v>0.21</v>
      </c>
      <c r="G13296" s="332">
        <v>437</v>
      </c>
      <c r="H13296" s="333">
        <v>529</v>
      </c>
    </row>
    <row r="13297" spans="1:8">
      <c r="A13297" s="317">
        <v>2610370203</v>
      </c>
      <c r="B13297" s="330" t="s">
        <v>57650</v>
      </c>
      <c r="C13297" s="330" t="s">
        <v>28241</v>
      </c>
      <c r="D13297" s="330" t="s">
        <v>28242</v>
      </c>
      <c r="E13297" s="330" t="s">
        <v>4634</v>
      </c>
      <c r="F13297" s="331">
        <v>0.21</v>
      </c>
      <c r="G13297" s="332">
        <v>1798</v>
      </c>
      <c r="H13297" s="333">
        <v>2176</v>
      </c>
    </row>
    <row r="13298" spans="1:8">
      <c r="A13298" s="317">
        <v>2610370207</v>
      </c>
      <c r="B13298" s="330" t="s">
        <v>57651</v>
      </c>
      <c r="C13298" s="330" t="s">
        <v>28243</v>
      </c>
      <c r="D13298" s="330" t="s">
        <v>28244</v>
      </c>
      <c r="E13298" s="330" t="s">
        <v>4634</v>
      </c>
      <c r="F13298" s="331">
        <v>0.21</v>
      </c>
      <c r="G13298" s="332">
        <v>1411</v>
      </c>
      <c r="H13298" s="333">
        <v>1708</v>
      </c>
    </row>
    <row r="13299" spans="1:8">
      <c r="A13299" s="317">
        <v>2610370208</v>
      </c>
      <c r="B13299" s="330" t="s">
        <v>57652</v>
      </c>
      <c r="C13299" s="330" t="s">
        <v>28245</v>
      </c>
      <c r="D13299" s="330" t="s">
        <v>28246</v>
      </c>
      <c r="E13299" s="330" t="s">
        <v>4634</v>
      </c>
      <c r="F13299" s="331">
        <v>0.21</v>
      </c>
      <c r="G13299" s="332">
        <v>3056</v>
      </c>
      <c r="H13299" s="333">
        <v>3698</v>
      </c>
    </row>
    <row r="13300" spans="1:8">
      <c r="A13300" s="317">
        <v>2610370209</v>
      </c>
      <c r="B13300" s="330" t="s">
        <v>57653</v>
      </c>
      <c r="C13300" s="330" t="s">
        <v>28247</v>
      </c>
      <c r="D13300" s="330" t="s">
        <v>28248</v>
      </c>
      <c r="E13300" s="330" t="s">
        <v>4634</v>
      </c>
      <c r="F13300" s="331">
        <v>0.21</v>
      </c>
      <c r="G13300" s="332">
        <v>3154</v>
      </c>
      <c r="H13300" s="333">
        <v>3817</v>
      </c>
    </row>
    <row r="13301" spans="1:8">
      <c r="A13301" s="317">
        <v>2610370210</v>
      </c>
      <c r="B13301" s="330" t="s">
        <v>57654</v>
      </c>
      <c r="C13301" s="330" t="s">
        <v>28249</v>
      </c>
      <c r="D13301" s="330" t="s">
        <v>28250</v>
      </c>
      <c r="E13301" s="330" t="s">
        <v>4634</v>
      </c>
      <c r="F13301" s="331">
        <v>0.21</v>
      </c>
      <c r="G13301" s="332">
        <v>1030</v>
      </c>
      <c r="H13301" s="333">
        <v>1247</v>
      </c>
    </row>
    <row r="13302" spans="1:8">
      <c r="A13302" s="317">
        <v>2610370211</v>
      </c>
      <c r="B13302" s="330" t="s">
        <v>57655</v>
      </c>
      <c r="C13302" s="330" t="s">
        <v>28251</v>
      </c>
      <c r="D13302" s="330" t="s">
        <v>28244</v>
      </c>
      <c r="E13302" s="330" t="s">
        <v>4634</v>
      </c>
      <c r="F13302" s="331">
        <v>0.21</v>
      </c>
      <c r="G13302" s="332">
        <v>1030</v>
      </c>
      <c r="H13302" s="333">
        <v>1247</v>
      </c>
    </row>
    <row r="13303" spans="1:8">
      <c r="A13303" s="317">
        <v>2610370213</v>
      </c>
      <c r="B13303" s="330" t="s">
        <v>57656</v>
      </c>
      <c r="C13303" s="330" t="s">
        <v>28252</v>
      </c>
      <c r="D13303" s="330" t="s">
        <v>28253</v>
      </c>
      <c r="E13303" s="330" t="s">
        <v>4634</v>
      </c>
      <c r="F13303" s="331">
        <v>0.21</v>
      </c>
      <c r="G13303" s="332">
        <v>3490</v>
      </c>
      <c r="H13303" s="333">
        <v>4223</v>
      </c>
    </row>
    <row r="13304" spans="1:8">
      <c r="A13304" s="317">
        <v>2610370222</v>
      </c>
      <c r="B13304" s="330" t="s">
        <v>57657</v>
      </c>
      <c r="C13304" s="330" t="s">
        <v>28254</v>
      </c>
      <c r="D13304" s="330" t="s">
        <v>28255</v>
      </c>
      <c r="E13304" s="330" t="s">
        <v>4634</v>
      </c>
      <c r="F13304" s="331">
        <v>0.21</v>
      </c>
      <c r="G13304" s="332">
        <v>4211</v>
      </c>
      <c r="H13304" s="333">
        <v>5096</v>
      </c>
    </row>
    <row r="13305" spans="1:8">
      <c r="A13305" s="317">
        <v>2610370223</v>
      </c>
      <c r="B13305" s="330" t="s">
        <v>57658</v>
      </c>
      <c r="C13305" s="330" t="s">
        <v>28256</v>
      </c>
      <c r="D13305" s="330" t="s">
        <v>28257</v>
      </c>
      <c r="E13305" s="330" t="s">
        <v>4634</v>
      </c>
      <c r="F13305" s="331">
        <v>0.21</v>
      </c>
      <c r="G13305" s="332">
        <v>2462</v>
      </c>
      <c r="H13305" s="333">
        <v>2980</v>
      </c>
    </row>
    <row r="13306" spans="1:8">
      <c r="A13306" s="317">
        <v>2610370224</v>
      </c>
      <c r="B13306" s="330" t="s">
        <v>57659</v>
      </c>
      <c r="C13306" s="330" t="s">
        <v>28258</v>
      </c>
      <c r="D13306" s="330" t="s">
        <v>28259</v>
      </c>
      <c r="E13306" s="330" t="s">
        <v>4634</v>
      </c>
      <c r="F13306" s="331">
        <v>0.21</v>
      </c>
      <c r="G13306" s="332">
        <v>702</v>
      </c>
      <c r="H13306" s="333">
        <v>850</v>
      </c>
    </row>
    <row r="13307" spans="1:8">
      <c r="A13307" s="317">
        <v>2610370225</v>
      </c>
      <c r="B13307" s="330" t="s">
        <v>57660</v>
      </c>
      <c r="C13307" s="330" t="s">
        <v>28260</v>
      </c>
      <c r="D13307" s="330" t="s">
        <v>28261</v>
      </c>
      <c r="E13307" s="330" t="s">
        <v>4634</v>
      </c>
      <c r="F13307" s="331">
        <v>0.21</v>
      </c>
      <c r="G13307" s="332">
        <v>5835</v>
      </c>
      <c r="H13307" s="333">
        <v>7061</v>
      </c>
    </row>
    <row r="13308" spans="1:8">
      <c r="A13308" s="317">
        <v>2610370230</v>
      </c>
      <c r="B13308" s="330" t="s">
        <v>57661</v>
      </c>
      <c r="C13308" s="330" t="s">
        <v>28262</v>
      </c>
      <c r="D13308" s="330" t="s">
        <v>28263</v>
      </c>
      <c r="E13308" s="330" t="s">
        <v>4634</v>
      </c>
      <c r="F13308" s="331">
        <v>0.21</v>
      </c>
      <c r="G13308" s="332">
        <v>791</v>
      </c>
      <c r="H13308" s="333">
        <v>958</v>
      </c>
    </row>
    <row r="13309" spans="1:8">
      <c r="A13309" s="317">
        <v>2610370234</v>
      </c>
      <c r="B13309" s="330" t="s">
        <v>57662</v>
      </c>
      <c r="C13309" s="330" t="s">
        <v>28264</v>
      </c>
      <c r="D13309" s="330" t="s">
        <v>28265</v>
      </c>
      <c r="E13309" s="330" t="s">
        <v>4634</v>
      </c>
      <c r="F13309" s="331">
        <v>0.21</v>
      </c>
      <c r="G13309" s="332">
        <v>6065</v>
      </c>
      <c r="H13309" s="333">
        <v>7339</v>
      </c>
    </row>
    <row r="13310" spans="1:8">
      <c r="A13310" s="317">
        <v>2610370238</v>
      </c>
      <c r="B13310" s="330" t="s">
        <v>57663</v>
      </c>
      <c r="C13310" s="330" t="s">
        <v>28266</v>
      </c>
      <c r="D13310" s="330" t="s">
        <v>28265</v>
      </c>
      <c r="E13310" s="330" t="s">
        <v>4634</v>
      </c>
      <c r="F13310" s="331">
        <v>0.21</v>
      </c>
      <c r="G13310" s="332">
        <v>8307</v>
      </c>
      <c r="H13310" s="333">
        <v>10052</v>
      </c>
    </row>
    <row r="13311" spans="1:8">
      <c r="A13311" s="317">
        <v>2610370241</v>
      </c>
      <c r="B13311" s="330" t="s">
        <v>57664</v>
      </c>
      <c r="C13311" s="330" t="s">
        <v>28267</v>
      </c>
      <c r="D13311" s="330" t="s">
        <v>28268</v>
      </c>
      <c r="E13311" s="330" t="s">
        <v>4634</v>
      </c>
      <c r="F13311" s="331">
        <v>0.21</v>
      </c>
      <c r="G13311" s="332">
        <v>25272</v>
      </c>
      <c r="H13311" s="333">
        <v>30580</v>
      </c>
    </row>
    <row r="13312" spans="1:8">
      <c r="A13312" s="317">
        <v>2610370243</v>
      </c>
      <c r="B13312" s="330" t="s">
        <v>57665</v>
      </c>
      <c r="C13312" s="330" t="s">
        <v>28269</v>
      </c>
      <c r="D13312" s="330" t="s">
        <v>28270</v>
      </c>
      <c r="E13312" s="330" t="s">
        <v>4634</v>
      </c>
      <c r="F13312" s="331">
        <v>0.21</v>
      </c>
      <c r="G13312" s="332">
        <v>455</v>
      </c>
      <c r="H13312" s="333">
        <v>551</v>
      </c>
    </row>
    <row r="13313" spans="1:8">
      <c r="A13313" s="317">
        <v>2610370967</v>
      </c>
      <c r="B13313" s="330" t="s">
        <v>57666</v>
      </c>
      <c r="C13313" s="330" t="s">
        <v>28271</v>
      </c>
      <c r="D13313" s="330" t="s">
        <v>28272</v>
      </c>
      <c r="E13313" s="330" t="s">
        <v>4634</v>
      </c>
      <c r="F13313" s="331">
        <v>0.21</v>
      </c>
      <c r="G13313" s="332">
        <v>3171</v>
      </c>
      <c r="H13313" s="333">
        <v>3837</v>
      </c>
    </row>
    <row r="13314" spans="1:8">
      <c r="A13314" s="317">
        <v>2610371010</v>
      </c>
      <c r="B13314" s="330" t="s">
        <v>57667</v>
      </c>
      <c r="C13314" s="330" t="s">
        <v>28273</v>
      </c>
      <c r="D13314" s="330" t="s">
        <v>28274</v>
      </c>
      <c r="E13314" s="330" t="s">
        <v>4634</v>
      </c>
      <c r="F13314" s="331">
        <v>0.21</v>
      </c>
      <c r="G13314" s="332">
        <v>1126</v>
      </c>
      <c r="H13314" s="333">
        <v>1363</v>
      </c>
    </row>
    <row r="13315" spans="1:8">
      <c r="A13315" s="317">
        <v>2610371020</v>
      </c>
      <c r="B13315" s="330" t="s">
        <v>57668</v>
      </c>
      <c r="C13315" s="330" t="s">
        <v>28275</v>
      </c>
      <c r="D13315" s="330" t="s">
        <v>28276</v>
      </c>
      <c r="E13315" s="330" t="s">
        <v>4634</v>
      </c>
      <c r="F13315" s="331">
        <v>0.21</v>
      </c>
      <c r="G13315" s="332">
        <v>455</v>
      </c>
      <c r="H13315" s="333">
        <v>551</v>
      </c>
    </row>
    <row r="13316" spans="1:8">
      <c r="A13316" s="317">
        <v>2610371021</v>
      </c>
      <c r="B13316" s="330" t="s">
        <v>57669</v>
      </c>
      <c r="C13316" s="330" t="s">
        <v>28277</v>
      </c>
      <c r="D13316" s="330" t="s">
        <v>28278</v>
      </c>
      <c r="E13316" s="330" t="s">
        <v>4634</v>
      </c>
      <c r="F13316" s="331">
        <v>0.21</v>
      </c>
      <c r="G13316" s="332">
        <v>791</v>
      </c>
      <c r="H13316" s="333">
        <v>958</v>
      </c>
    </row>
    <row r="13317" spans="1:8">
      <c r="A13317" s="317">
        <v>2610371026</v>
      </c>
      <c r="B13317" s="330" t="s">
        <v>57670</v>
      </c>
      <c r="C13317" s="330" t="s">
        <v>28279</v>
      </c>
      <c r="D13317" s="330" t="s">
        <v>28280</v>
      </c>
      <c r="E13317" s="330" t="s">
        <v>4634</v>
      </c>
      <c r="F13317" s="331">
        <v>0.21</v>
      </c>
      <c r="G13317" s="332">
        <v>30095</v>
      </c>
      <c r="H13317" s="333">
        <v>36415</v>
      </c>
    </row>
    <row r="13318" spans="1:8">
      <c r="A13318" s="317">
        <v>2610371027</v>
      </c>
      <c r="B13318" s="330" t="s">
        <v>57671</v>
      </c>
      <c r="C13318" s="330" t="s">
        <v>28281</v>
      </c>
      <c r="D13318" s="330" t="s">
        <v>28282</v>
      </c>
      <c r="E13318" s="330" t="s">
        <v>4634</v>
      </c>
      <c r="F13318" s="331">
        <v>0.21</v>
      </c>
      <c r="G13318" s="332">
        <v>791</v>
      </c>
      <c r="H13318" s="333">
        <v>958</v>
      </c>
    </row>
    <row r="13319" spans="1:8">
      <c r="A13319" s="317">
        <v>2610371028</v>
      </c>
      <c r="B13319" s="330" t="s">
        <v>57672</v>
      </c>
      <c r="C13319" s="330" t="s">
        <v>28283</v>
      </c>
      <c r="D13319" s="330" t="s">
        <v>28284</v>
      </c>
      <c r="E13319" s="330" t="s">
        <v>4634</v>
      </c>
      <c r="F13319" s="331">
        <v>0.21</v>
      </c>
      <c r="G13319" s="332">
        <v>2232</v>
      </c>
      <c r="H13319" s="333">
        <v>2701</v>
      </c>
    </row>
    <row r="13320" spans="1:8">
      <c r="A13320" s="317">
        <v>2610371029</v>
      </c>
      <c r="B13320" s="330" t="s">
        <v>57673</v>
      </c>
      <c r="C13320" s="330" t="s">
        <v>28285</v>
      </c>
      <c r="D13320" s="330" t="s">
        <v>28286</v>
      </c>
      <c r="E13320" s="330" t="s">
        <v>4634</v>
      </c>
      <c r="F13320" s="331">
        <v>0.21</v>
      </c>
      <c r="G13320" s="332">
        <v>1150</v>
      </c>
      <c r="H13320" s="333">
        <v>1392</v>
      </c>
    </row>
    <row r="13321" spans="1:8">
      <c r="A13321" s="317">
        <v>2610371031</v>
      </c>
      <c r="B13321" s="330" t="s">
        <v>57674</v>
      </c>
      <c r="C13321" s="330" t="s">
        <v>28287</v>
      </c>
      <c r="D13321" s="330" t="s">
        <v>28288</v>
      </c>
      <c r="E13321" s="330" t="s">
        <v>4634</v>
      </c>
      <c r="F13321" s="331">
        <v>0.21</v>
      </c>
      <c r="G13321" s="332">
        <v>274</v>
      </c>
      <c r="H13321" s="333">
        <v>332</v>
      </c>
    </row>
    <row r="13322" spans="1:8">
      <c r="A13322" s="317">
        <v>2610371034</v>
      </c>
      <c r="B13322" s="330" t="s">
        <v>57675</v>
      </c>
      <c r="C13322" s="330" t="s">
        <v>28289</v>
      </c>
      <c r="D13322" s="330" t="s">
        <v>28290</v>
      </c>
      <c r="E13322" s="330" t="s">
        <v>4634</v>
      </c>
      <c r="F13322" s="331">
        <v>0.21</v>
      </c>
      <c r="G13322" s="332">
        <v>928</v>
      </c>
      <c r="H13322" s="333">
        <v>1123</v>
      </c>
    </row>
    <row r="13323" spans="1:8">
      <c r="A13323" s="317">
        <v>2610371035</v>
      </c>
      <c r="B13323" s="330" t="s">
        <v>57676</v>
      </c>
      <c r="C13323" s="330" t="s">
        <v>28291</v>
      </c>
      <c r="D13323" s="330" t="s">
        <v>28292</v>
      </c>
      <c r="E13323" s="330" t="s">
        <v>4634</v>
      </c>
      <c r="F13323" s="331">
        <v>0.21</v>
      </c>
      <c r="G13323" s="332">
        <v>1030</v>
      </c>
      <c r="H13323" s="333">
        <v>1247</v>
      </c>
    </row>
    <row r="13324" spans="1:8">
      <c r="A13324" s="317">
        <v>2610371036</v>
      </c>
      <c r="B13324" s="330" t="s">
        <v>57677</v>
      </c>
      <c r="C13324" s="330" t="s">
        <v>28293</v>
      </c>
      <c r="D13324" s="330" t="s">
        <v>28294</v>
      </c>
      <c r="E13324" s="330" t="s">
        <v>4634</v>
      </c>
      <c r="F13324" s="331">
        <v>0.21</v>
      </c>
      <c r="G13324" s="332">
        <v>564</v>
      </c>
      <c r="H13324" s="333">
        <v>683</v>
      </c>
    </row>
    <row r="13325" spans="1:8">
      <c r="A13325" s="317">
        <v>2610371037</v>
      </c>
      <c r="B13325" s="330" t="s">
        <v>57678</v>
      </c>
      <c r="C13325" s="330" t="s">
        <v>28295</v>
      </c>
      <c r="D13325" s="330" t="s">
        <v>28296</v>
      </c>
      <c r="E13325" s="330" t="s">
        <v>4634</v>
      </c>
      <c r="F13325" s="331">
        <v>0.21</v>
      </c>
      <c r="G13325" s="332">
        <v>348</v>
      </c>
      <c r="H13325" s="333">
        <v>422</v>
      </c>
    </row>
    <row r="13326" spans="1:8">
      <c r="A13326" s="317">
        <v>2610371038</v>
      </c>
      <c r="B13326" s="330" t="s">
        <v>57679</v>
      </c>
      <c r="C13326" s="330" t="s">
        <v>28297</v>
      </c>
      <c r="D13326" s="330" t="s">
        <v>28298</v>
      </c>
      <c r="E13326" s="330" t="s">
        <v>4634</v>
      </c>
      <c r="F13326" s="331">
        <v>0.21</v>
      </c>
      <c r="G13326" s="332">
        <v>564</v>
      </c>
      <c r="H13326" s="333">
        <v>683</v>
      </c>
    </row>
    <row r="13327" spans="1:8">
      <c r="A13327" s="317">
        <v>2610371043</v>
      </c>
      <c r="B13327" s="330" t="s">
        <v>57680</v>
      </c>
      <c r="C13327" s="330" t="s">
        <v>28299</v>
      </c>
      <c r="D13327" s="330" t="s">
        <v>28300</v>
      </c>
      <c r="E13327" s="330" t="s">
        <v>4634</v>
      </c>
      <c r="F13327" s="331">
        <v>0.21</v>
      </c>
      <c r="G13327" s="332">
        <v>24747</v>
      </c>
      <c r="H13327" s="333">
        <v>29944</v>
      </c>
    </row>
    <row r="13328" spans="1:8">
      <c r="A13328" s="317">
        <v>2610371044</v>
      </c>
      <c r="B13328" s="330" t="s">
        <v>57681</v>
      </c>
      <c r="C13328" s="330" t="s">
        <v>28301</v>
      </c>
      <c r="D13328" s="330" t="s">
        <v>28302</v>
      </c>
      <c r="E13328" s="330" t="s">
        <v>4634</v>
      </c>
      <c r="F13328" s="331">
        <v>0.21</v>
      </c>
      <c r="G13328" s="332">
        <v>11075</v>
      </c>
      <c r="H13328" s="333">
        <v>13401</v>
      </c>
    </row>
    <row r="13329" spans="1:8">
      <c r="A13329" s="317">
        <v>2610371045</v>
      </c>
      <c r="B13329" s="330" t="s">
        <v>57682</v>
      </c>
      <c r="C13329" s="330" t="s">
        <v>28303</v>
      </c>
      <c r="D13329" s="330" t="s">
        <v>28304</v>
      </c>
      <c r="E13329" s="330" t="s">
        <v>4634</v>
      </c>
      <c r="F13329" s="331">
        <v>0.21</v>
      </c>
      <c r="G13329" s="332">
        <v>791</v>
      </c>
      <c r="H13329" s="333">
        <v>958</v>
      </c>
    </row>
    <row r="13330" spans="1:8">
      <c r="A13330" s="317">
        <v>2610371048</v>
      </c>
      <c r="B13330" s="330" t="s">
        <v>57683</v>
      </c>
      <c r="C13330" s="330" t="s">
        <v>28305</v>
      </c>
      <c r="D13330" s="330" t="s">
        <v>28306</v>
      </c>
      <c r="E13330" s="330" t="s">
        <v>4634</v>
      </c>
      <c r="F13330" s="331">
        <v>0.21</v>
      </c>
      <c r="G13330" s="332">
        <v>5626</v>
      </c>
      <c r="H13330" s="333">
        <v>6808</v>
      </c>
    </row>
    <row r="13331" spans="1:8">
      <c r="A13331" s="317">
        <v>2610371049</v>
      </c>
      <c r="B13331" s="330" t="s">
        <v>57684</v>
      </c>
      <c r="C13331" s="330" t="s">
        <v>28307</v>
      </c>
      <c r="D13331" s="330" t="s">
        <v>28274</v>
      </c>
      <c r="E13331" s="330" t="s">
        <v>4634</v>
      </c>
      <c r="F13331" s="331">
        <v>0.21</v>
      </c>
      <c r="G13331" s="332">
        <v>731</v>
      </c>
      <c r="H13331" s="333">
        <v>885</v>
      </c>
    </row>
    <row r="13332" spans="1:8">
      <c r="A13332" s="317">
        <v>2610371278</v>
      </c>
      <c r="B13332" s="330" t="s">
        <v>57685</v>
      </c>
      <c r="C13332" s="330" t="s">
        <v>28308</v>
      </c>
      <c r="D13332" s="330" t="s">
        <v>28309</v>
      </c>
      <c r="E13332" s="330" t="s">
        <v>4634</v>
      </c>
      <c r="F13332" s="331">
        <v>0.21</v>
      </c>
      <c r="G13332" s="332">
        <v>791</v>
      </c>
      <c r="H13332" s="333">
        <v>958</v>
      </c>
    </row>
    <row r="13333" spans="1:8">
      <c r="A13333" s="317">
        <v>2610371776</v>
      </c>
      <c r="B13333" s="330" t="s">
        <v>57686</v>
      </c>
      <c r="C13333" s="330" t="s">
        <v>28310</v>
      </c>
      <c r="D13333" s="330" t="s">
        <v>28311</v>
      </c>
      <c r="E13333" s="330" t="s">
        <v>4634</v>
      </c>
      <c r="F13333" s="331">
        <v>0.21</v>
      </c>
      <c r="G13333" s="332">
        <v>564</v>
      </c>
      <c r="H13333" s="333">
        <v>683</v>
      </c>
    </row>
    <row r="13334" spans="1:8">
      <c r="A13334" s="317">
        <v>2610371777</v>
      </c>
      <c r="B13334" s="330" t="s">
        <v>57687</v>
      </c>
      <c r="C13334" s="330" t="s">
        <v>28312</v>
      </c>
      <c r="D13334" s="330" t="s">
        <v>28313</v>
      </c>
      <c r="E13334" s="330" t="s">
        <v>4634</v>
      </c>
      <c r="F13334" s="331">
        <v>0.21</v>
      </c>
      <c r="G13334" s="332">
        <v>791</v>
      </c>
      <c r="H13334" s="333">
        <v>958</v>
      </c>
    </row>
    <row r="13335" spans="1:8">
      <c r="A13335" s="317">
        <v>2610371784</v>
      </c>
      <c r="B13335" s="330" t="s">
        <v>57688</v>
      </c>
      <c r="C13335" s="330" t="s">
        <v>28314</v>
      </c>
      <c r="D13335" s="330" t="s">
        <v>28315</v>
      </c>
      <c r="E13335" s="330" t="s">
        <v>4634</v>
      </c>
      <c r="F13335" s="331">
        <v>0.21</v>
      </c>
      <c r="G13335" s="332">
        <v>648</v>
      </c>
      <c r="H13335" s="333">
        <v>785</v>
      </c>
    </row>
    <row r="13336" spans="1:8">
      <c r="A13336" s="317">
        <v>2610372012</v>
      </c>
      <c r="B13336" s="330" t="s">
        <v>57689</v>
      </c>
      <c r="C13336" s="330" t="s">
        <v>28316</v>
      </c>
      <c r="D13336" s="330" t="s">
        <v>28317</v>
      </c>
      <c r="E13336" s="330" t="s">
        <v>4634</v>
      </c>
      <c r="F13336" s="331">
        <v>0.21</v>
      </c>
      <c r="G13336" s="332">
        <v>387</v>
      </c>
      <c r="H13336" s="333">
        <v>469</v>
      </c>
    </row>
    <row r="13337" spans="1:8">
      <c r="A13337" s="317">
        <v>2610372068</v>
      </c>
      <c r="B13337" s="330" t="s">
        <v>57690</v>
      </c>
      <c r="C13337" s="330" t="s">
        <v>28318</v>
      </c>
      <c r="D13337" s="330" t="s">
        <v>28319</v>
      </c>
      <c r="E13337" s="330" t="s">
        <v>4634</v>
      </c>
      <c r="F13337" s="331">
        <v>0.21</v>
      </c>
      <c r="G13337" s="332">
        <v>992</v>
      </c>
      <c r="H13337" s="333">
        <v>1201</v>
      </c>
    </row>
    <row r="13338" spans="1:8">
      <c r="A13338" s="317">
        <v>2610372635</v>
      </c>
      <c r="B13338" s="330" t="s">
        <v>57691</v>
      </c>
      <c r="C13338" s="330" t="s">
        <v>28320</v>
      </c>
      <c r="D13338" s="330" t="s">
        <v>28321</v>
      </c>
      <c r="E13338" s="330" t="s">
        <v>4634</v>
      </c>
      <c r="F13338" s="331">
        <v>0.21</v>
      </c>
      <c r="G13338" s="332">
        <v>2232</v>
      </c>
      <c r="H13338" s="333">
        <v>2701</v>
      </c>
    </row>
    <row r="13339" spans="1:8">
      <c r="A13339" s="317">
        <v>2610372764</v>
      </c>
      <c r="B13339" s="330" t="s">
        <v>57692</v>
      </c>
      <c r="C13339" s="330" t="s">
        <v>28322</v>
      </c>
      <c r="D13339" s="330" t="s">
        <v>28323</v>
      </c>
      <c r="E13339" s="330" t="s">
        <v>4634</v>
      </c>
      <c r="F13339" s="331">
        <v>0.21</v>
      </c>
      <c r="G13339" s="332">
        <v>1258</v>
      </c>
      <c r="H13339" s="333">
        <v>1523</v>
      </c>
    </row>
    <row r="13340" spans="1:8">
      <c r="A13340" s="317">
        <v>2610372768</v>
      </c>
      <c r="B13340" s="330" t="s">
        <v>57693</v>
      </c>
      <c r="C13340" s="330" t="s">
        <v>28324</v>
      </c>
      <c r="D13340" s="330" t="s">
        <v>28325</v>
      </c>
      <c r="E13340" s="330" t="s">
        <v>4634</v>
      </c>
      <c r="F13340" s="331">
        <v>0.21</v>
      </c>
      <c r="G13340" s="332">
        <v>372</v>
      </c>
      <c r="H13340" s="333">
        <v>451</v>
      </c>
    </row>
    <row r="13341" spans="1:8">
      <c r="A13341" s="317">
        <v>2610372770</v>
      </c>
      <c r="B13341" s="330" t="s">
        <v>57694</v>
      </c>
      <c r="C13341" s="330" t="s">
        <v>28326</v>
      </c>
      <c r="D13341" s="330" t="s">
        <v>28327</v>
      </c>
      <c r="E13341" s="330" t="s">
        <v>4634</v>
      </c>
      <c r="F13341" s="331">
        <v>0.21</v>
      </c>
      <c r="G13341" s="332">
        <v>387</v>
      </c>
      <c r="H13341" s="333">
        <v>469</v>
      </c>
    </row>
    <row r="13342" spans="1:8">
      <c r="A13342" s="317">
        <v>2610372780</v>
      </c>
      <c r="B13342" s="330" t="s">
        <v>57695</v>
      </c>
      <c r="C13342" s="330" t="s">
        <v>28328</v>
      </c>
      <c r="D13342" s="330" t="s">
        <v>28329</v>
      </c>
      <c r="E13342" s="330" t="s">
        <v>4819</v>
      </c>
      <c r="F13342" s="331">
        <v>0.21</v>
      </c>
      <c r="G13342" s="332">
        <v>4737</v>
      </c>
      <c r="H13342" s="333">
        <v>5732</v>
      </c>
    </row>
    <row r="13343" spans="1:8">
      <c r="A13343" s="317">
        <v>2610372781</v>
      </c>
      <c r="B13343" s="330" t="s">
        <v>57696</v>
      </c>
      <c r="C13343" s="330" t="s">
        <v>28330</v>
      </c>
      <c r="D13343" s="330" t="s">
        <v>28331</v>
      </c>
      <c r="E13343" s="330" t="s">
        <v>4634</v>
      </c>
      <c r="F13343" s="331">
        <v>0.21</v>
      </c>
      <c r="G13343" s="332">
        <v>455</v>
      </c>
      <c r="H13343" s="333">
        <v>551</v>
      </c>
    </row>
    <row r="13344" spans="1:8">
      <c r="A13344" s="317">
        <v>2610372783</v>
      </c>
      <c r="B13344" s="330" t="s">
        <v>57697</v>
      </c>
      <c r="C13344" s="330" t="s">
        <v>28332</v>
      </c>
      <c r="D13344" s="330" t="s">
        <v>28333</v>
      </c>
      <c r="E13344" s="330" t="s">
        <v>4634</v>
      </c>
      <c r="F13344" s="331">
        <v>0.21</v>
      </c>
      <c r="G13344" s="332">
        <v>1547</v>
      </c>
      <c r="H13344" s="333">
        <v>1872</v>
      </c>
    </row>
    <row r="13345" spans="1:8">
      <c r="A13345" s="317">
        <v>2610372789</v>
      </c>
      <c r="B13345" s="330" t="s">
        <v>57698</v>
      </c>
      <c r="C13345" s="330" t="s">
        <v>28334</v>
      </c>
      <c r="D13345" s="330" t="s">
        <v>28335</v>
      </c>
      <c r="E13345" s="330" t="s">
        <v>4634</v>
      </c>
      <c r="F13345" s="331">
        <v>0.21</v>
      </c>
      <c r="G13345" s="332">
        <v>5034</v>
      </c>
      <c r="H13345" s="333">
        <v>6092</v>
      </c>
    </row>
    <row r="13346" spans="1:8">
      <c r="A13346" s="317">
        <v>2610372883</v>
      </c>
      <c r="B13346" s="330" t="s">
        <v>57699</v>
      </c>
      <c r="C13346" s="330" t="s">
        <v>28336</v>
      </c>
      <c r="D13346" s="330" t="s">
        <v>28337</v>
      </c>
      <c r="E13346" s="330" t="s">
        <v>4634</v>
      </c>
      <c r="F13346" s="331">
        <v>0.21</v>
      </c>
      <c r="G13346" s="332">
        <v>1595</v>
      </c>
      <c r="H13346" s="333">
        <v>1930</v>
      </c>
    </row>
    <row r="13347" spans="1:8">
      <c r="A13347" s="317">
        <v>2610373248</v>
      </c>
      <c r="B13347" s="330" t="s">
        <v>57700</v>
      </c>
      <c r="C13347" s="330" t="s">
        <v>28338</v>
      </c>
      <c r="D13347" s="330" t="s">
        <v>28339</v>
      </c>
      <c r="E13347" s="330" t="s">
        <v>4634</v>
      </c>
      <c r="F13347" s="331">
        <v>0.21</v>
      </c>
      <c r="G13347" s="332">
        <v>1871</v>
      </c>
      <c r="H13347" s="333">
        <v>2264</v>
      </c>
    </row>
    <row r="13348" spans="1:8">
      <c r="A13348" s="317">
        <v>2610373249</v>
      </c>
      <c r="B13348" s="330" t="s">
        <v>57701</v>
      </c>
      <c r="C13348" s="330" t="s">
        <v>28340</v>
      </c>
      <c r="D13348" s="330" t="s">
        <v>28341</v>
      </c>
      <c r="E13348" s="330" t="s">
        <v>4634</v>
      </c>
      <c r="F13348" s="331">
        <v>0.21</v>
      </c>
      <c r="G13348" s="332">
        <v>972</v>
      </c>
      <c r="H13348" s="333">
        <v>1177</v>
      </c>
    </row>
    <row r="13349" spans="1:8">
      <c r="A13349" s="317">
        <v>2610373250</v>
      </c>
      <c r="B13349" s="330" t="s">
        <v>57702</v>
      </c>
      <c r="C13349" s="330" t="s">
        <v>28342</v>
      </c>
      <c r="D13349" s="330" t="s">
        <v>28341</v>
      </c>
      <c r="E13349" s="330" t="s">
        <v>4634</v>
      </c>
      <c r="F13349" s="331">
        <v>0.21</v>
      </c>
      <c r="G13349" s="332">
        <v>678</v>
      </c>
      <c r="H13349" s="333">
        <v>821</v>
      </c>
    </row>
    <row r="13350" spans="1:8">
      <c r="A13350" s="317">
        <v>2610373251</v>
      </c>
      <c r="B13350" s="330" t="s">
        <v>57703</v>
      </c>
      <c r="C13350" s="330" t="s">
        <v>28343</v>
      </c>
      <c r="D13350" s="330" t="s">
        <v>28344</v>
      </c>
      <c r="E13350" s="330" t="s">
        <v>4634</v>
      </c>
      <c r="F13350" s="331">
        <v>0.21</v>
      </c>
      <c r="G13350" s="332">
        <v>2270</v>
      </c>
      <c r="H13350" s="333">
        <v>2747</v>
      </c>
    </row>
    <row r="13351" spans="1:8">
      <c r="A13351" s="317">
        <v>2610373315</v>
      </c>
      <c r="B13351" s="330" t="s">
        <v>57704</v>
      </c>
      <c r="C13351" s="330" t="s">
        <v>28345</v>
      </c>
      <c r="D13351" s="330" t="s">
        <v>28346</v>
      </c>
      <c r="E13351" s="330" t="s">
        <v>4634</v>
      </c>
      <c r="F13351" s="331">
        <v>0.21</v>
      </c>
      <c r="G13351" s="332">
        <v>584</v>
      </c>
      <c r="H13351" s="333">
        <v>707</v>
      </c>
    </row>
    <row r="13352" spans="1:8">
      <c r="A13352" s="317">
        <v>2610373415</v>
      </c>
      <c r="B13352" s="330" t="s">
        <v>57705</v>
      </c>
      <c r="C13352" s="330" t="s">
        <v>28347</v>
      </c>
      <c r="D13352" s="330" t="s">
        <v>28348</v>
      </c>
      <c r="E13352" s="330" t="s">
        <v>4634</v>
      </c>
      <c r="F13352" s="331">
        <v>0.21</v>
      </c>
      <c r="G13352" s="332">
        <v>372</v>
      </c>
      <c r="H13352" s="333">
        <v>451</v>
      </c>
    </row>
    <row r="13353" spans="1:8">
      <c r="A13353" s="317">
        <v>2610373494</v>
      </c>
      <c r="B13353" s="330" t="s">
        <v>57706</v>
      </c>
      <c r="C13353" s="330" t="s">
        <v>28349</v>
      </c>
      <c r="D13353" s="330" t="s">
        <v>28350</v>
      </c>
      <c r="E13353" s="330" t="s">
        <v>4634</v>
      </c>
      <c r="F13353" s="331">
        <v>0.21</v>
      </c>
      <c r="G13353" s="332">
        <v>678</v>
      </c>
      <c r="H13353" s="333">
        <v>821</v>
      </c>
    </row>
    <row r="13354" spans="1:8">
      <c r="A13354" s="317">
        <v>2610373897</v>
      </c>
      <c r="B13354" s="330" t="s">
        <v>57707</v>
      </c>
      <c r="C13354" s="330" t="s">
        <v>28351</v>
      </c>
      <c r="D13354" s="330" t="s">
        <v>28352</v>
      </c>
      <c r="E13354" s="330" t="s">
        <v>4634</v>
      </c>
      <c r="F13354" s="331">
        <v>0.21</v>
      </c>
      <c r="G13354" s="332">
        <v>372</v>
      </c>
      <c r="H13354" s="333">
        <v>451</v>
      </c>
    </row>
    <row r="13355" spans="1:8">
      <c r="A13355" s="317">
        <v>2610373995</v>
      </c>
      <c r="B13355" s="330" t="s">
        <v>57708</v>
      </c>
      <c r="C13355" s="330" t="s">
        <v>28353</v>
      </c>
      <c r="D13355" s="330" t="s">
        <v>28354</v>
      </c>
      <c r="E13355" s="330" t="s">
        <v>4634</v>
      </c>
      <c r="F13355" s="331">
        <v>0.21</v>
      </c>
      <c r="G13355" s="332">
        <v>584</v>
      </c>
      <c r="H13355" s="333">
        <v>707</v>
      </c>
    </row>
    <row r="13356" spans="1:8">
      <c r="A13356" s="317">
        <v>2610373997</v>
      </c>
      <c r="B13356" s="330" t="s">
        <v>57709</v>
      </c>
      <c r="C13356" s="330" t="s">
        <v>28355</v>
      </c>
      <c r="D13356" s="330" t="s">
        <v>28356</v>
      </c>
      <c r="E13356" s="330" t="s">
        <v>4634</v>
      </c>
      <c r="F13356" s="331">
        <v>0.21</v>
      </c>
      <c r="G13356" s="332">
        <v>2768</v>
      </c>
      <c r="H13356" s="333">
        <v>3350</v>
      </c>
    </row>
    <row r="13357" spans="1:8">
      <c r="A13357" s="317">
        <v>2610374649</v>
      </c>
      <c r="B13357" s="330" t="s">
        <v>57710</v>
      </c>
      <c r="C13357" s="330" t="s">
        <v>28357</v>
      </c>
      <c r="D13357" s="330" t="s">
        <v>28358</v>
      </c>
      <c r="E13357" s="330" t="s">
        <v>4634</v>
      </c>
      <c r="F13357" s="331">
        <v>0.21</v>
      </c>
      <c r="G13357" s="332">
        <v>372</v>
      </c>
      <c r="H13357" s="333">
        <v>451</v>
      </c>
    </row>
    <row r="13358" spans="1:8">
      <c r="A13358" s="317">
        <v>2610374700</v>
      </c>
      <c r="B13358" s="330" t="s">
        <v>57711</v>
      </c>
      <c r="C13358" s="330" t="s">
        <v>28359</v>
      </c>
      <c r="D13358" s="330" t="s">
        <v>28360</v>
      </c>
      <c r="E13358" s="330" t="s">
        <v>4634</v>
      </c>
      <c r="F13358" s="331">
        <v>0.21</v>
      </c>
      <c r="G13358" s="332">
        <v>372</v>
      </c>
      <c r="H13358" s="333">
        <v>451</v>
      </c>
    </row>
    <row r="13359" spans="1:8">
      <c r="A13359" s="317">
        <v>2610374704</v>
      </c>
      <c r="B13359" s="330" t="s">
        <v>57712</v>
      </c>
      <c r="C13359" s="330" t="s">
        <v>28361</v>
      </c>
      <c r="D13359" s="330" t="s">
        <v>28362</v>
      </c>
      <c r="E13359" s="330" t="s">
        <v>4634</v>
      </c>
      <c r="F13359" s="331">
        <v>0.21</v>
      </c>
      <c r="G13359" s="332">
        <v>678</v>
      </c>
      <c r="H13359" s="333">
        <v>821</v>
      </c>
    </row>
    <row r="13360" spans="1:8">
      <c r="A13360" s="317">
        <v>2610374725</v>
      </c>
      <c r="B13360" s="330" t="s">
        <v>57713</v>
      </c>
      <c r="C13360" s="330" t="s">
        <v>28363</v>
      </c>
      <c r="D13360" s="330" t="s">
        <v>28364</v>
      </c>
      <c r="E13360" s="330" t="s">
        <v>4634</v>
      </c>
      <c r="F13360" s="331">
        <v>0.21</v>
      </c>
      <c r="G13360" s="332">
        <v>1075</v>
      </c>
      <c r="H13360" s="333">
        <v>1301</v>
      </c>
    </row>
    <row r="13361" spans="1:8">
      <c r="A13361" s="317">
        <v>2610374862</v>
      </c>
      <c r="B13361" s="330" t="s">
        <v>57714</v>
      </c>
      <c r="C13361" s="330" t="s">
        <v>28365</v>
      </c>
      <c r="D13361" s="330" t="s">
        <v>28366</v>
      </c>
      <c r="E13361" s="330" t="s">
        <v>4634</v>
      </c>
      <c r="F13361" s="331">
        <v>0.21</v>
      </c>
      <c r="G13361" s="332">
        <v>8367</v>
      </c>
      <c r="H13361" s="333">
        <v>10125</v>
      </c>
    </row>
    <row r="13362" spans="1:8">
      <c r="A13362" s="317">
        <v>2610374919</v>
      </c>
      <c r="B13362" s="330" t="s">
        <v>57715</v>
      </c>
      <c r="C13362" s="330" t="s">
        <v>28367</v>
      </c>
      <c r="D13362" s="330" t="s">
        <v>27557</v>
      </c>
      <c r="E13362" s="330" t="s">
        <v>4634</v>
      </c>
      <c r="F13362" s="331">
        <v>0.21</v>
      </c>
      <c r="G13362" s="332">
        <v>274</v>
      </c>
      <c r="H13362" s="333">
        <v>332</v>
      </c>
    </row>
    <row r="13363" spans="1:8">
      <c r="A13363" s="317">
        <v>2610374984</v>
      </c>
      <c r="B13363" s="330" t="s">
        <v>57716</v>
      </c>
      <c r="C13363" s="330" t="s">
        <v>28368</v>
      </c>
      <c r="D13363" s="330" t="s">
        <v>28369</v>
      </c>
      <c r="E13363" s="330" t="s">
        <v>4634</v>
      </c>
      <c r="F13363" s="331">
        <v>0.21</v>
      </c>
      <c r="G13363" s="332">
        <v>2040</v>
      </c>
      <c r="H13363" s="333">
        <v>2469</v>
      </c>
    </row>
    <row r="13364" spans="1:8">
      <c r="A13364" s="317">
        <v>2610374994</v>
      </c>
      <c r="B13364" s="330" t="s">
        <v>57717</v>
      </c>
      <c r="C13364" s="330" t="s">
        <v>28370</v>
      </c>
      <c r="D13364" s="330" t="s">
        <v>28371</v>
      </c>
      <c r="E13364" s="330" t="s">
        <v>4634</v>
      </c>
      <c r="F13364" s="331">
        <v>0.21</v>
      </c>
      <c r="G13364" s="332">
        <v>372</v>
      </c>
      <c r="H13364" s="333">
        <v>451</v>
      </c>
    </row>
    <row r="13365" spans="1:8">
      <c r="A13365" s="317">
        <v>2610376135</v>
      </c>
      <c r="B13365" s="330" t="s">
        <v>57718</v>
      </c>
      <c r="C13365" s="330" t="s">
        <v>28372</v>
      </c>
      <c r="D13365" s="330" t="s">
        <v>28373</v>
      </c>
      <c r="E13365" s="330" t="s">
        <v>4634</v>
      </c>
      <c r="F13365" s="331">
        <v>0.21</v>
      </c>
      <c r="G13365" s="332">
        <v>678</v>
      </c>
      <c r="H13365" s="333">
        <v>821</v>
      </c>
    </row>
    <row r="13366" spans="1:8">
      <c r="A13366" s="317">
        <v>2610376140</v>
      </c>
      <c r="B13366" s="330" t="s">
        <v>57719</v>
      </c>
      <c r="C13366" s="330" t="s">
        <v>28374</v>
      </c>
      <c r="D13366" s="330" t="s">
        <v>28375</v>
      </c>
      <c r="E13366" s="330" t="s">
        <v>4634</v>
      </c>
      <c r="F13366" s="331">
        <v>0.21</v>
      </c>
      <c r="G13366" s="332">
        <v>17837</v>
      </c>
      <c r="H13366" s="333">
        <v>21583</v>
      </c>
    </row>
    <row r="13367" spans="1:8">
      <c r="A13367" s="317">
        <v>2610376234</v>
      </c>
      <c r="B13367" s="330" t="s">
        <v>57720</v>
      </c>
      <c r="C13367" s="330" t="s">
        <v>28376</v>
      </c>
      <c r="D13367" s="330" t="s">
        <v>28377</v>
      </c>
      <c r="E13367" s="330" t="s">
        <v>4634</v>
      </c>
      <c r="F13367" s="331">
        <v>0.21</v>
      </c>
      <c r="G13367" s="332">
        <v>6593</v>
      </c>
      <c r="H13367" s="333">
        <v>7978</v>
      </c>
    </row>
    <row r="13368" spans="1:8">
      <c r="A13368" s="317">
        <v>2610376249</v>
      </c>
      <c r="B13368" s="330" t="s">
        <v>57721</v>
      </c>
      <c r="C13368" s="330" t="s">
        <v>28378</v>
      </c>
      <c r="D13368" s="330" t="s">
        <v>28379</v>
      </c>
      <c r="E13368" s="330" t="s">
        <v>4634</v>
      </c>
      <c r="F13368" s="331">
        <v>0.21</v>
      </c>
      <c r="G13368" s="332">
        <v>1798</v>
      </c>
      <c r="H13368" s="333">
        <v>2176</v>
      </c>
    </row>
    <row r="13369" spans="1:8">
      <c r="A13369" s="317">
        <v>2610376473</v>
      </c>
      <c r="B13369" s="330" t="s">
        <v>57722</v>
      </c>
      <c r="C13369" s="330" t="s">
        <v>28380</v>
      </c>
      <c r="D13369" s="330" t="s">
        <v>28381</v>
      </c>
      <c r="E13369" s="330" t="s">
        <v>4634</v>
      </c>
      <c r="F13369" s="331">
        <v>0.21</v>
      </c>
      <c r="G13369" s="332">
        <v>1474</v>
      </c>
      <c r="H13369" s="333">
        <v>1784</v>
      </c>
    </row>
    <row r="13370" spans="1:8">
      <c r="A13370" s="317">
        <v>2610376656</v>
      </c>
      <c r="B13370" s="330" t="s">
        <v>57723</v>
      </c>
      <c r="C13370" s="330" t="s">
        <v>28382</v>
      </c>
      <c r="D13370" s="330" t="s">
        <v>28383</v>
      </c>
      <c r="E13370" s="330" t="s">
        <v>4634</v>
      </c>
      <c r="F13370" s="331">
        <v>0.21</v>
      </c>
      <c r="G13370" s="332">
        <v>372</v>
      </c>
      <c r="H13370" s="333">
        <v>451</v>
      </c>
    </row>
    <row r="13371" spans="1:8">
      <c r="A13371" s="317">
        <v>2610376663</v>
      </c>
      <c r="B13371" s="330" t="s">
        <v>57724</v>
      </c>
      <c r="C13371" s="330" t="s">
        <v>28384</v>
      </c>
      <c r="D13371" s="330" t="s">
        <v>28385</v>
      </c>
      <c r="E13371" s="330" t="s">
        <v>4634</v>
      </c>
      <c r="F13371" s="331">
        <v>0.21</v>
      </c>
      <c r="G13371" s="332">
        <v>372</v>
      </c>
      <c r="H13371" s="333">
        <v>451</v>
      </c>
    </row>
    <row r="13372" spans="1:8">
      <c r="A13372" s="317">
        <v>2610376669</v>
      </c>
      <c r="B13372" s="330" t="s">
        <v>57725</v>
      </c>
      <c r="C13372" s="330" t="s">
        <v>28386</v>
      </c>
      <c r="D13372" s="330" t="s">
        <v>28387</v>
      </c>
      <c r="E13372" s="330" t="s">
        <v>4634</v>
      </c>
      <c r="F13372" s="331">
        <v>0.21</v>
      </c>
      <c r="G13372" s="332">
        <v>372</v>
      </c>
      <c r="H13372" s="333">
        <v>451</v>
      </c>
    </row>
    <row r="13373" spans="1:8">
      <c r="A13373" s="317">
        <v>2610376674</v>
      </c>
      <c r="B13373" s="330" t="s">
        <v>57726</v>
      </c>
      <c r="C13373" s="330" t="s">
        <v>28388</v>
      </c>
      <c r="D13373" s="330" t="s">
        <v>28389</v>
      </c>
      <c r="E13373" s="330" t="s">
        <v>4634</v>
      </c>
      <c r="F13373" s="331">
        <v>0.21</v>
      </c>
      <c r="G13373" s="332">
        <v>10721</v>
      </c>
      <c r="H13373" s="333">
        <v>12973</v>
      </c>
    </row>
    <row r="13374" spans="1:8">
      <c r="A13374" s="317">
        <v>2610376749</v>
      </c>
      <c r="B13374" s="330" t="s">
        <v>57727</v>
      </c>
      <c r="C13374" s="330" t="s">
        <v>28390</v>
      </c>
      <c r="D13374" s="330" t="s">
        <v>28391</v>
      </c>
      <c r="E13374" s="330" t="s">
        <v>4634</v>
      </c>
      <c r="F13374" s="331">
        <v>0.21</v>
      </c>
      <c r="G13374" s="332">
        <v>20810</v>
      </c>
      <c r="H13374" s="333">
        <v>25181</v>
      </c>
    </row>
    <row r="13375" spans="1:8">
      <c r="A13375" s="317">
        <v>2610376750</v>
      </c>
      <c r="B13375" s="330" t="s">
        <v>57728</v>
      </c>
      <c r="C13375" s="330" t="s">
        <v>28392</v>
      </c>
      <c r="D13375" s="330" t="s">
        <v>28393</v>
      </c>
      <c r="E13375" s="330" t="s">
        <v>4634</v>
      </c>
      <c r="F13375" s="331">
        <v>0.21</v>
      </c>
      <c r="G13375" s="332">
        <v>4481</v>
      </c>
      <c r="H13375" s="333">
        <v>5423</v>
      </c>
    </row>
    <row r="13376" spans="1:8">
      <c r="A13376" s="317">
        <v>2610376866</v>
      </c>
      <c r="B13376" s="330" t="s">
        <v>57729</v>
      </c>
      <c r="C13376" s="330" t="s">
        <v>28394</v>
      </c>
      <c r="D13376" s="330" t="s">
        <v>28395</v>
      </c>
      <c r="E13376" s="330" t="s">
        <v>4634</v>
      </c>
      <c r="F13376" s="331">
        <v>0.21</v>
      </c>
      <c r="G13376" s="332">
        <v>1411</v>
      </c>
      <c r="H13376" s="333">
        <v>1708</v>
      </c>
    </row>
    <row r="13377" spans="1:8">
      <c r="A13377" s="317">
        <v>2610376869</v>
      </c>
      <c r="B13377" s="330" t="s">
        <v>57730</v>
      </c>
      <c r="C13377" s="330" t="s">
        <v>28396</v>
      </c>
      <c r="D13377" s="330" t="s">
        <v>28397</v>
      </c>
      <c r="E13377" s="330" t="s">
        <v>4634</v>
      </c>
      <c r="F13377" s="331">
        <v>0.21</v>
      </c>
      <c r="G13377" s="332">
        <v>5239</v>
      </c>
      <c r="H13377" s="333">
        <v>6340</v>
      </c>
    </row>
    <row r="13378" spans="1:8">
      <c r="A13378" s="317">
        <v>2610376870</v>
      </c>
      <c r="B13378" s="330" t="s">
        <v>57731</v>
      </c>
      <c r="C13378" s="330" t="s">
        <v>28398</v>
      </c>
      <c r="D13378" s="330" t="s">
        <v>28399</v>
      </c>
      <c r="E13378" s="330" t="s">
        <v>4634</v>
      </c>
      <c r="F13378" s="331">
        <v>0.21</v>
      </c>
      <c r="G13378" s="332">
        <v>791</v>
      </c>
      <c r="H13378" s="333">
        <v>958</v>
      </c>
    </row>
    <row r="13379" spans="1:8">
      <c r="A13379" s="317">
        <v>2610376873</v>
      </c>
      <c r="B13379" s="330" t="s">
        <v>57732</v>
      </c>
      <c r="C13379" s="330" t="s">
        <v>28400</v>
      </c>
      <c r="D13379" s="330" t="s">
        <v>28401</v>
      </c>
      <c r="E13379" s="330" t="s">
        <v>4634</v>
      </c>
      <c r="F13379" s="331">
        <v>0.21</v>
      </c>
      <c r="G13379" s="332">
        <v>2881</v>
      </c>
      <c r="H13379" s="333">
        <v>3487</v>
      </c>
    </row>
    <row r="13380" spans="1:8">
      <c r="A13380" s="317">
        <v>2610376874</v>
      </c>
      <c r="B13380" s="330" t="s">
        <v>57733</v>
      </c>
      <c r="C13380" s="330" t="s">
        <v>28402</v>
      </c>
      <c r="D13380" s="330" t="s">
        <v>28403</v>
      </c>
      <c r="E13380" s="330" t="s">
        <v>4634</v>
      </c>
      <c r="F13380" s="331">
        <v>0.21</v>
      </c>
      <c r="G13380" s="332">
        <v>9982</v>
      </c>
      <c r="H13380" s="333">
        <v>12079</v>
      </c>
    </row>
    <row r="13381" spans="1:8">
      <c r="A13381" s="317">
        <v>2610376878</v>
      </c>
      <c r="B13381" s="330" t="s">
        <v>57734</v>
      </c>
      <c r="C13381" s="330" t="s">
        <v>28404</v>
      </c>
      <c r="D13381" s="330" t="s">
        <v>28405</v>
      </c>
      <c r="E13381" s="330" t="s">
        <v>4634</v>
      </c>
      <c r="F13381" s="331">
        <v>0.21</v>
      </c>
      <c r="G13381" s="332">
        <v>6542</v>
      </c>
      <c r="H13381" s="333">
        <v>7916</v>
      </c>
    </row>
    <row r="13382" spans="1:8">
      <c r="A13382" s="317">
        <v>2610376880</v>
      </c>
      <c r="B13382" s="330" t="s">
        <v>57735</v>
      </c>
      <c r="C13382" s="330" t="s">
        <v>28406</v>
      </c>
      <c r="D13382" s="330" t="s">
        <v>28407</v>
      </c>
      <c r="E13382" s="330" t="s">
        <v>4634</v>
      </c>
      <c r="F13382" s="331">
        <v>0.21</v>
      </c>
      <c r="G13382" s="332">
        <v>2775</v>
      </c>
      <c r="H13382" s="333">
        <v>3358</v>
      </c>
    </row>
    <row r="13383" spans="1:8">
      <c r="A13383" s="317">
        <v>2610377099</v>
      </c>
      <c r="B13383" s="330" t="s">
        <v>57736</v>
      </c>
      <c r="C13383" s="330" t="s">
        <v>28408</v>
      </c>
      <c r="D13383" s="330" t="s">
        <v>28409</v>
      </c>
      <c r="E13383" s="330" t="s">
        <v>4634</v>
      </c>
      <c r="F13383" s="331">
        <v>0.21</v>
      </c>
      <c r="G13383" s="332">
        <v>348</v>
      </c>
      <c r="H13383" s="333">
        <v>422</v>
      </c>
    </row>
    <row r="13384" spans="1:8">
      <c r="A13384" s="317">
        <v>2610377223</v>
      </c>
      <c r="B13384" s="330" t="s">
        <v>57737</v>
      </c>
      <c r="C13384" s="330" t="s">
        <v>28410</v>
      </c>
      <c r="D13384" s="330" t="s">
        <v>28411</v>
      </c>
      <c r="E13384" s="330" t="s">
        <v>4634</v>
      </c>
      <c r="F13384" s="331">
        <v>0.21</v>
      </c>
      <c r="G13384" s="332">
        <v>1322</v>
      </c>
      <c r="H13384" s="333">
        <v>1600</v>
      </c>
    </row>
    <row r="13385" spans="1:8">
      <c r="A13385" s="317">
        <v>2610377318</v>
      </c>
      <c r="B13385" s="330" t="s">
        <v>57738</v>
      </c>
      <c r="C13385" s="330" t="s">
        <v>28412</v>
      </c>
      <c r="D13385" s="330" t="s">
        <v>28413</v>
      </c>
      <c r="E13385" s="330" t="s">
        <v>4634</v>
      </c>
      <c r="F13385" s="331">
        <v>0.21</v>
      </c>
      <c r="G13385" s="332">
        <v>5869</v>
      </c>
      <c r="H13385" s="333">
        <v>7102</v>
      </c>
    </row>
    <row r="13386" spans="1:8">
      <c r="A13386" s="317">
        <v>2610377321</v>
      </c>
      <c r="B13386" s="330" t="s">
        <v>57739</v>
      </c>
      <c r="C13386" s="330" t="s">
        <v>28414</v>
      </c>
      <c r="D13386" s="330" t="s">
        <v>28415</v>
      </c>
      <c r="E13386" s="330" t="s">
        <v>4634</v>
      </c>
      <c r="F13386" s="331">
        <v>0.21</v>
      </c>
      <c r="G13386" s="332">
        <v>5559</v>
      </c>
      <c r="H13386" s="333">
        <v>6727</v>
      </c>
    </row>
    <row r="13387" spans="1:8">
      <c r="A13387" s="317">
        <v>2610377470</v>
      </c>
      <c r="B13387" s="330" t="s">
        <v>57740</v>
      </c>
      <c r="C13387" s="330" t="s">
        <v>28416</v>
      </c>
      <c r="D13387" s="330" t="s">
        <v>28417</v>
      </c>
      <c r="E13387" s="330" t="s">
        <v>4634</v>
      </c>
      <c r="F13387" s="331">
        <v>0.21</v>
      </c>
      <c r="G13387" s="332">
        <v>348</v>
      </c>
      <c r="H13387" s="333">
        <v>422</v>
      </c>
    </row>
    <row r="13388" spans="1:8">
      <c r="A13388" s="317">
        <v>2610377476</v>
      </c>
      <c r="B13388" s="330" t="s">
        <v>57741</v>
      </c>
      <c r="C13388" s="330" t="s">
        <v>28418</v>
      </c>
      <c r="D13388" s="330" t="s">
        <v>28419</v>
      </c>
      <c r="E13388" s="330" t="s">
        <v>4634</v>
      </c>
      <c r="F13388" s="331">
        <v>0.21</v>
      </c>
      <c r="G13388" s="332">
        <v>2491</v>
      </c>
      <c r="H13388" s="333">
        <v>3015</v>
      </c>
    </row>
    <row r="13389" spans="1:8">
      <c r="A13389" s="317">
        <v>2610377477</v>
      </c>
      <c r="B13389" s="330" t="s">
        <v>57742</v>
      </c>
      <c r="C13389" s="330" t="s">
        <v>28420</v>
      </c>
      <c r="D13389" s="330" t="s">
        <v>28421</v>
      </c>
      <c r="E13389" s="330" t="s">
        <v>4634</v>
      </c>
      <c r="F13389" s="331">
        <v>0.21</v>
      </c>
      <c r="G13389" s="332">
        <v>455</v>
      </c>
      <c r="H13389" s="333">
        <v>551</v>
      </c>
    </row>
    <row r="13390" spans="1:8">
      <c r="A13390" s="317">
        <v>2610377480</v>
      </c>
      <c r="B13390" s="330" t="s">
        <v>57743</v>
      </c>
      <c r="C13390" s="330" t="s">
        <v>28422</v>
      </c>
      <c r="D13390" s="330" t="s">
        <v>28423</v>
      </c>
      <c r="E13390" s="330" t="s">
        <v>4634</v>
      </c>
      <c r="F13390" s="331">
        <v>0.21</v>
      </c>
      <c r="G13390" s="332">
        <v>372</v>
      </c>
      <c r="H13390" s="333">
        <v>451</v>
      </c>
    </row>
    <row r="13391" spans="1:8">
      <c r="A13391" s="317">
        <v>2610377484</v>
      </c>
      <c r="B13391" s="330" t="s">
        <v>57744</v>
      </c>
      <c r="C13391" s="330" t="s">
        <v>28424</v>
      </c>
      <c r="D13391" s="330" t="s">
        <v>28425</v>
      </c>
      <c r="E13391" s="330" t="s">
        <v>4634</v>
      </c>
      <c r="F13391" s="331">
        <v>0.21</v>
      </c>
      <c r="G13391" s="332">
        <v>372</v>
      </c>
      <c r="H13391" s="333">
        <v>451</v>
      </c>
    </row>
    <row r="13392" spans="1:8">
      <c r="A13392" s="317">
        <v>2610377487</v>
      </c>
      <c r="B13392" s="330" t="s">
        <v>57745</v>
      </c>
      <c r="C13392" s="330" t="s">
        <v>28426</v>
      </c>
      <c r="D13392" s="330" t="s">
        <v>28427</v>
      </c>
      <c r="E13392" s="330" t="s">
        <v>4634</v>
      </c>
      <c r="F13392" s="331">
        <v>0.21</v>
      </c>
      <c r="G13392" s="332">
        <v>372</v>
      </c>
      <c r="H13392" s="333">
        <v>451</v>
      </c>
    </row>
    <row r="13393" spans="1:8">
      <c r="A13393" s="317">
        <v>2610377562</v>
      </c>
      <c r="B13393" s="330" t="s">
        <v>57746</v>
      </c>
      <c r="C13393" s="330" t="s">
        <v>28428</v>
      </c>
      <c r="D13393" s="330" t="s">
        <v>28429</v>
      </c>
      <c r="E13393" s="330" t="s">
        <v>4634</v>
      </c>
      <c r="F13393" s="331">
        <v>0.21</v>
      </c>
      <c r="G13393" s="332">
        <v>9222</v>
      </c>
      <c r="H13393" s="333">
        <v>11159</v>
      </c>
    </row>
    <row r="13394" spans="1:8">
      <c r="A13394" s="317">
        <v>2610377563</v>
      </c>
      <c r="B13394" s="330" t="s">
        <v>57747</v>
      </c>
      <c r="C13394" s="330" t="s">
        <v>28430</v>
      </c>
      <c r="D13394" s="330" t="s">
        <v>28431</v>
      </c>
      <c r="E13394" s="330" t="s">
        <v>4634</v>
      </c>
      <c r="F13394" s="331">
        <v>0.21</v>
      </c>
      <c r="G13394" s="332">
        <v>4432</v>
      </c>
      <c r="H13394" s="333">
        <v>5363</v>
      </c>
    </row>
    <row r="13395" spans="1:8">
      <c r="A13395" s="317">
        <v>2610377565</v>
      </c>
      <c r="B13395" s="330" t="s">
        <v>57748</v>
      </c>
      <c r="C13395" s="330" t="s">
        <v>28432</v>
      </c>
      <c r="D13395" s="330" t="s">
        <v>28433</v>
      </c>
      <c r="E13395" s="330" t="s">
        <v>4634</v>
      </c>
      <c r="F13395" s="331">
        <v>0.21</v>
      </c>
      <c r="G13395" s="332">
        <v>9402</v>
      </c>
      <c r="H13395" s="333">
        <v>11377</v>
      </c>
    </row>
    <row r="13396" spans="1:8">
      <c r="A13396" s="317">
        <v>2610377566</v>
      </c>
      <c r="B13396" s="330" t="s">
        <v>57749</v>
      </c>
      <c r="C13396" s="330" t="s">
        <v>28434</v>
      </c>
      <c r="D13396" s="330" t="s">
        <v>28435</v>
      </c>
      <c r="E13396" s="330" t="s">
        <v>4634</v>
      </c>
      <c r="F13396" s="331">
        <v>0.21</v>
      </c>
      <c r="G13396" s="332">
        <v>3528</v>
      </c>
      <c r="H13396" s="333">
        <v>4269</v>
      </c>
    </row>
    <row r="13397" spans="1:8">
      <c r="A13397" s="317">
        <v>2610377567</v>
      </c>
      <c r="B13397" s="330" t="s">
        <v>57750</v>
      </c>
      <c r="C13397" s="330" t="s">
        <v>28436</v>
      </c>
      <c r="D13397" s="330" t="s">
        <v>28437</v>
      </c>
      <c r="E13397" s="330" t="s">
        <v>4634</v>
      </c>
      <c r="F13397" s="331">
        <v>0.21</v>
      </c>
      <c r="G13397" s="332">
        <v>7551</v>
      </c>
      <c r="H13397" s="333">
        <v>9137</v>
      </c>
    </row>
    <row r="13398" spans="1:8">
      <c r="A13398" s="317">
        <v>2610383159</v>
      </c>
      <c r="B13398" s="330" t="s">
        <v>57751</v>
      </c>
      <c r="C13398" s="330" t="s">
        <v>28438</v>
      </c>
      <c r="D13398" s="330" t="s">
        <v>28439</v>
      </c>
      <c r="E13398" s="330" t="s">
        <v>4634</v>
      </c>
      <c r="F13398" s="331">
        <v>0.21</v>
      </c>
      <c r="G13398" s="332">
        <v>1547</v>
      </c>
      <c r="H13398" s="333">
        <v>1872</v>
      </c>
    </row>
    <row r="13399" spans="1:8">
      <c r="A13399" s="317">
        <v>2610384231</v>
      </c>
      <c r="B13399" s="330" t="s">
        <v>57752</v>
      </c>
      <c r="C13399" s="330" t="s">
        <v>28440</v>
      </c>
      <c r="D13399" s="330" t="s">
        <v>28441</v>
      </c>
      <c r="E13399" s="330" t="s">
        <v>4634</v>
      </c>
      <c r="F13399" s="331">
        <v>0.21</v>
      </c>
      <c r="G13399" s="332">
        <v>3189</v>
      </c>
      <c r="H13399" s="333">
        <v>3859</v>
      </c>
    </row>
    <row r="13400" spans="1:8">
      <c r="A13400" s="317">
        <v>2610384233</v>
      </c>
      <c r="B13400" s="330" t="s">
        <v>57753</v>
      </c>
      <c r="C13400" s="330" t="s">
        <v>28442</v>
      </c>
      <c r="D13400" s="330" t="s">
        <v>28443</v>
      </c>
      <c r="E13400" s="330" t="s">
        <v>4634</v>
      </c>
      <c r="F13400" s="331">
        <v>0.21</v>
      </c>
      <c r="G13400" s="332">
        <v>2496</v>
      </c>
      <c r="H13400" s="333">
        <v>3021</v>
      </c>
    </row>
    <row r="13401" spans="1:8">
      <c r="A13401" s="317">
        <v>2610384236</v>
      </c>
      <c r="B13401" s="330" t="s">
        <v>57754</v>
      </c>
      <c r="C13401" s="330" t="s">
        <v>28444</v>
      </c>
      <c r="D13401" s="330" t="s">
        <v>28445</v>
      </c>
      <c r="E13401" s="330" t="s">
        <v>4634</v>
      </c>
      <c r="F13401" s="331">
        <v>0.21</v>
      </c>
      <c r="G13401" s="332">
        <v>584</v>
      </c>
      <c r="H13401" s="333">
        <v>707</v>
      </c>
    </row>
    <row r="13402" spans="1:8">
      <c r="A13402" s="317">
        <v>2610384237</v>
      </c>
      <c r="B13402" s="330" t="s">
        <v>57755</v>
      </c>
      <c r="C13402" s="330" t="s">
        <v>28446</v>
      </c>
      <c r="D13402" s="330" t="s">
        <v>28447</v>
      </c>
      <c r="E13402" s="330" t="s">
        <v>4634</v>
      </c>
      <c r="F13402" s="331">
        <v>0.21</v>
      </c>
      <c r="G13402" s="332">
        <v>791</v>
      </c>
      <c r="H13402" s="333">
        <v>958</v>
      </c>
    </row>
    <row r="13403" spans="1:8">
      <c r="A13403" s="317">
        <v>2610384240</v>
      </c>
      <c r="B13403" s="330" t="s">
        <v>57756</v>
      </c>
      <c r="C13403" s="330" t="s">
        <v>28448</v>
      </c>
      <c r="D13403" s="330" t="s">
        <v>28449</v>
      </c>
      <c r="E13403" s="330" t="s">
        <v>4634</v>
      </c>
      <c r="F13403" s="331">
        <v>0.21</v>
      </c>
      <c r="G13403" s="332">
        <v>584</v>
      </c>
      <c r="H13403" s="333">
        <v>707</v>
      </c>
    </row>
    <row r="13404" spans="1:8">
      <c r="A13404" s="317">
        <v>2610384263</v>
      </c>
      <c r="B13404" s="330" t="s">
        <v>57757</v>
      </c>
      <c r="C13404" s="330" t="s">
        <v>28450</v>
      </c>
      <c r="D13404" s="330" t="s">
        <v>28451</v>
      </c>
      <c r="E13404" s="330" t="s">
        <v>4634</v>
      </c>
      <c r="F13404" s="331">
        <v>0.21</v>
      </c>
      <c r="G13404" s="332">
        <v>1798</v>
      </c>
      <c r="H13404" s="333">
        <v>2176</v>
      </c>
    </row>
    <row r="13405" spans="1:8">
      <c r="A13405" s="317">
        <v>2610384264</v>
      </c>
      <c r="B13405" s="330" t="s">
        <v>57758</v>
      </c>
      <c r="C13405" s="330" t="s">
        <v>28452</v>
      </c>
      <c r="D13405" s="330" t="s">
        <v>28453</v>
      </c>
      <c r="E13405" s="330" t="s">
        <v>4634</v>
      </c>
      <c r="F13405" s="331">
        <v>0.21</v>
      </c>
      <c r="G13405" s="332">
        <v>7618</v>
      </c>
      <c r="H13405" s="333">
        <v>9218</v>
      </c>
    </row>
    <row r="13406" spans="1:8">
      <c r="A13406" s="317">
        <v>2610384266</v>
      </c>
      <c r="B13406" s="330" t="s">
        <v>57759</v>
      </c>
      <c r="C13406" s="330" t="s">
        <v>28454</v>
      </c>
      <c r="D13406" s="330" t="s">
        <v>28455</v>
      </c>
      <c r="E13406" s="330" t="s">
        <v>4634</v>
      </c>
      <c r="F13406" s="331">
        <v>0.21</v>
      </c>
      <c r="G13406" s="332">
        <v>1126</v>
      </c>
      <c r="H13406" s="333">
        <v>1363</v>
      </c>
    </row>
    <row r="13407" spans="1:8">
      <c r="A13407" s="317">
        <v>2610384267</v>
      </c>
      <c r="B13407" s="330" t="s">
        <v>57760</v>
      </c>
      <c r="C13407" s="330" t="s">
        <v>28456</v>
      </c>
      <c r="D13407" s="330" t="s">
        <v>28457</v>
      </c>
      <c r="E13407" s="330" t="s">
        <v>4634</v>
      </c>
      <c r="F13407" s="331">
        <v>0.21</v>
      </c>
      <c r="G13407" s="332">
        <v>1547</v>
      </c>
      <c r="H13407" s="333">
        <v>1872</v>
      </c>
    </row>
    <row r="13408" spans="1:8">
      <c r="A13408" s="317">
        <v>2610384299</v>
      </c>
      <c r="B13408" s="330" t="s">
        <v>57761</v>
      </c>
      <c r="C13408" s="330" t="s">
        <v>28458</v>
      </c>
      <c r="D13408" s="330" t="s">
        <v>28459</v>
      </c>
      <c r="E13408" s="330" t="s">
        <v>4634</v>
      </c>
      <c r="F13408" s="331">
        <v>0.21</v>
      </c>
      <c r="G13408" s="332">
        <v>1222</v>
      </c>
      <c r="H13408" s="333">
        <v>1479</v>
      </c>
    </row>
    <row r="13409" spans="1:8">
      <c r="A13409" s="317">
        <v>2610384300</v>
      </c>
      <c r="B13409" s="330" t="s">
        <v>57762</v>
      </c>
      <c r="C13409" s="330" t="s">
        <v>28460</v>
      </c>
      <c r="D13409" s="330" t="s">
        <v>28461</v>
      </c>
      <c r="E13409" s="330" t="s">
        <v>4634</v>
      </c>
      <c r="F13409" s="331">
        <v>0.21</v>
      </c>
      <c r="G13409" s="332">
        <v>702</v>
      </c>
      <c r="H13409" s="333">
        <v>850</v>
      </c>
    </row>
    <row r="13410" spans="1:8">
      <c r="A13410" s="317">
        <v>2610384301</v>
      </c>
      <c r="B13410" s="330" t="s">
        <v>57763</v>
      </c>
      <c r="C13410" s="330" t="s">
        <v>28462</v>
      </c>
      <c r="D13410" s="330" t="s">
        <v>28463</v>
      </c>
      <c r="E13410" s="330" t="s">
        <v>4634</v>
      </c>
      <c r="F13410" s="331">
        <v>0.21</v>
      </c>
      <c r="G13410" s="332">
        <v>1798</v>
      </c>
      <c r="H13410" s="333">
        <v>2176</v>
      </c>
    </row>
    <row r="13411" spans="1:8">
      <c r="A13411" s="317">
        <v>2610384302</v>
      </c>
      <c r="B13411" s="330" t="s">
        <v>57764</v>
      </c>
      <c r="C13411" s="330" t="s">
        <v>28464</v>
      </c>
      <c r="D13411" s="330" t="s">
        <v>28465</v>
      </c>
      <c r="E13411" s="330" t="s">
        <v>4634</v>
      </c>
      <c r="F13411" s="331">
        <v>0.21</v>
      </c>
      <c r="G13411" s="332">
        <v>648</v>
      </c>
      <c r="H13411" s="333">
        <v>785</v>
      </c>
    </row>
    <row r="13412" spans="1:8">
      <c r="A13412" s="317">
        <v>2610384304</v>
      </c>
      <c r="B13412" s="330" t="s">
        <v>57765</v>
      </c>
      <c r="C13412" s="330" t="s">
        <v>28466</v>
      </c>
      <c r="D13412" s="330" t="s">
        <v>28467</v>
      </c>
      <c r="E13412" s="330" t="s">
        <v>4634</v>
      </c>
      <c r="F13412" s="331">
        <v>0.21</v>
      </c>
      <c r="G13412" s="332">
        <v>584</v>
      </c>
      <c r="H13412" s="333">
        <v>707</v>
      </c>
    </row>
    <row r="13413" spans="1:8">
      <c r="A13413" s="317">
        <v>2610384305</v>
      </c>
      <c r="B13413" s="330" t="s">
        <v>57766</v>
      </c>
      <c r="C13413" s="330" t="s">
        <v>28468</v>
      </c>
      <c r="D13413" s="330" t="s">
        <v>28469</v>
      </c>
      <c r="E13413" s="330" t="s">
        <v>4634</v>
      </c>
      <c r="F13413" s="331">
        <v>0.21</v>
      </c>
      <c r="G13413" s="332">
        <v>91</v>
      </c>
      <c r="H13413" s="333">
        <v>111</v>
      </c>
    </row>
    <row r="13414" spans="1:8">
      <c r="A13414" s="317">
        <v>2610384306</v>
      </c>
      <c r="B13414" s="330" t="s">
        <v>57767</v>
      </c>
      <c r="C13414" s="330" t="s">
        <v>28470</v>
      </c>
      <c r="D13414" s="330" t="s">
        <v>28471</v>
      </c>
      <c r="E13414" s="330" t="s">
        <v>4634</v>
      </c>
      <c r="F13414" s="331">
        <v>0.21</v>
      </c>
      <c r="G13414" s="332">
        <v>820</v>
      </c>
      <c r="H13414" s="333">
        <v>993</v>
      </c>
    </row>
    <row r="13415" spans="1:8">
      <c r="A13415" s="317">
        <v>2610384309</v>
      </c>
      <c r="B13415" s="330" t="s">
        <v>57768</v>
      </c>
      <c r="C13415" s="330" t="s">
        <v>28472</v>
      </c>
      <c r="D13415" s="330" t="s">
        <v>28473</v>
      </c>
      <c r="E13415" s="330" t="s">
        <v>4634</v>
      </c>
      <c r="F13415" s="331">
        <v>0.21</v>
      </c>
      <c r="G13415" s="332">
        <v>1170</v>
      </c>
      <c r="H13415" s="333">
        <v>1416</v>
      </c>
    </row>
    <row r="13416" spans="1:8">
      <c r="A13416" s="317">
        <v>2610384310</v>
      </c>
      <c r="B13416" s="330" t="s">
        <v>57769</v>
      </c>
      <c r="C13416" s="330" t="s">
        <v>28474</v>
      </c>
      <c r="D13416" s="330" t="s">
        <v>28475</v>
      </c>
      <c r="E13416" s="330" t="s">
        <v>4634</v>
      </c>
      <c r="F13416" s="331">
        <v>0.21</v>
      </c>
      <c r="G13416" s="332">
        <v>1030</v>
      </c>
      <c r="H13416" s="333">
        <v>1247</v>
      </c>
    </row>
    <row r="13417" spans="1:8">
      <c r="A13417" s="317">
        <v>2610384311</v>
      </c>
      <c r="B13417" s="330" t="s">
        <v>57770</v>
      </c>
      <c r="C13417" s="330" t="s">
        <v>28476</v>
      </c>
      <c r="D13417" s="330" t="s">
        <v>28477</v>
      </c>
      <c r="E13417" s="330" t="s">
        <v>4634</v>
      </c>
      <c r="F13417" s="331">
        <v>0.21</v>
      </c>
      <c r="G13417" s="332">
        <v>2154</v>
      </c>
      <c r="H13417" s="333">
        <v>2607</v>
      </c>
    </row>
    <row r="13418" spans="1:8">
      <c r="A13418" s="317">
        <v>2610384321</v>
      </c>
      <c r="B13418" s="330" t="s">
        <v>57771</v>
      </c>
      <c r="C13418" s="330" t="s">
        <v>28478</v>
      </c>
      <c r="D13418" s="330" t="s">
        <v>28479</v>
      </c>
      <c r="E13418" s="330" t="s">
        <v>4634</v>
      </c>
      <c r="F13418" s="331">
        <v>0.21</v>
      </c>
      <c r="G13418" s="332">
        <v>8075</v>
      </c>
      <c r="H13418" s="333">
        <v>9771</v>
      </c>
    </row>
    <row r="13419" spans="1:8">
      <c r="A13419" s="317">
        <v>2610384329</v>
      </c>
      <c r="B13419" s="330" t="s">
        <v>57772</v>
      </c>
      <c r="C13419" s="330" t="s">
        <v>28480</v>
      </c>
      <c r="D13419" s="330" t="s">
        <v>28481</v>
      </c>
      <c r="E13419" s="330" t="s">
        <v>4634</v>
      </c>
      <c r="F13419" s="331">
        <v>0.21</v>
      </c>
      <c r="G13419" s="332">
        <v>11075</v>
      </c>
      <c r="H13419" s="333">
        <v>13401</v>
      </c>
    </row>
    <row r="13420" spans="1:8">
      <c r="A13420" s="317">
        <v>2610384337</v>
      </c>
      <c r="B13420" s="330" t="s">
        <v>57773</v>
      </c>
      <c r="C13420" s="330" t="s">
        <v>28482</v>
      </c>
      <c r="D13420" s="330" t="s">
        <v>22589</v>
      </c>
      <c r="E13420" s="330" t="s">
        <v>4634</v>
      </c>
      <c r="F13420" s="331">
        <v>0.21</v>
      </c>
      <c r="G13420" s="332">
        <v>348</v>
      </c>
      <c r="H13420" s="333">
        <v>422</v>
      </c>
    </row>
    <row r="13421" spans="1:8">
      <c r="A13421" s="317">
        <v>2610384418</v>
      </c>
      <c r="B13421" s="330" t="s">
        <v>57774</v>
      </c>
      <c r="C13421" s="330" t="s">
        <v>28483</v>
      </c>
      <c r="D13421" s="330" t="s">
        <v>28484</v>
      </c>
      <c r="E13421" s="330" t="s">
        <v>4634</v>
      </c>
      <c r="F13421" s="331">
        <v>0.21</v>
      </c>
      <c r="G13421" s="332">
        <v>584</v>
      </c>
      <c r="H13421" s="333">
        <v>707</v>
      </c>
    </row>
    <row r="13422" spans="1:8">
      <c r="A13422" s="317">
        <v>2610384555</v>
      </c>
      <c r="B13422" s="330" t="s">
        <v>57775</v>
      </c>
      <c r="C13422" s="330" t="s">
        <v>28485</v>
      </c>
      <c r="D13422" s="330" t="s">
        <v>28486</v>
      </c>
      <c r="E13422" s="330" t="s">
        <v>4634</v>
      </c>
      <c r="F13422" s="331">
        <v>0.21</v>
      </c>
      <c r="G13422" s="332">
        <v>5344</v>
      </c>
      <c r="H13422" s="333">
        <v>6467</v>
      </c>
    </row>
    <row r="13423" spans="1:8">
      <c r="A13423" s="317">
        <v>2610384556</v>
      </c>
      <c r="B13423" s="330" t="s">
        <v>57776</v>
      </c>
      <c r="C13423" s="330" t="s">
        <v>28487</v>
      </c>
      <c r="D13423" s="330" t="s">
        <v>28488</v>
      </c>
      <c r="E13423" s="330" t="s">
        <v>4634</v>
      </c>
      <c r="F13423" s="331">
        <v>0.21</v>
      </c>
      <c r="G13423" s="332">
        <v>1945</v>
      </c>
      <c r="H13423" s="333">
        <v>2354</v>
      </c>
    </row>
    <row r="13424" spans="1:8">
      <c r="A13424" s="317">
        <v>2610384558</v>
      </c>
      <c r="B13424" s="330" t="s">
        <v>57777</v>
      </c>
      <c r="C13424" s="330" t="s">
        <v>28489</v>
      </c>
      <c r="D13424" s="330" t="s">
        <v>28490</v>
      </c>
      <c r="E13424" s="330" t="s">
        <v>4634</v>
      </c>
      <c r="F13424" s="331">
        <v>0.21</v>
      </c>
      <c r="G13424" s="332">
        <v>4592</v>
      </c>
      <c r="H13424" s="333">
        <v>5557</v>
      </c>
    </row>
    <row r="13425" spans="1:8">
      <c r="A13425" s="317">
        <v>2610384778</v>
      </c>
      <c r="B13425" s="330" t="s">
        <v>57778</v>
      </c>
      <c r="C13425" s="330" t="s">
        <v>28491</v>
      </c>
      <c r="D13425" s="330" t="s">
        <v>28415</v>
      </c>
      <c r="E13425" s="330" t="s">
        <v>4634</v>
      </c>
      <c r="F13425" s="331">
        <v>0.21</v>
      </c>
      <c r="G13425" s="332">
        <v>3154</v>
      </c>
      <c r="H13425" s="333">
        <v>3817</v>
      </c>
    </row>
    <row r="13426" spans="1:8">
      <c r="A13426" s="317">
        <v>2610384794</v>
      </c>
      <c r="B13426" s="330" t="s">
        <v>57779</v>
      </c>
      <c r="C13426" s="330" t="s">
        <v>28492</v>
      </c>
      <c r="D13426" s="330" t="s">
        <v>28493</v>
      </c>
      <c r="E13426" s="330" t="s">
        <v>4634</v>
      </c>
      <c r="F13426" s="331">
        <v>0.21</v>
      </c>
      <c r="G13426" s="332">
        <v>5123</v>
      </c>
      <c r="H13426" s="333">
        <v>6199</v>
      </c>
    </row>
    <row r="13427" spans="1:8">
      <c r="A13427" s="317">
        <v>2610384795</v>
      </c>
      <c r="B13427" s="330" t="s">
        <v>57780</v>
      </c>
      <c r="C13427" s="330" t="s">
        <v>28494</v>
      </c>
      <c r="D13427" s="330" t="s">
        <v>28495</v>
      </c>
      <c r="E13427" s="330" t="s">
        <v>4634</v>
      </c>
      <c r="F13427" s="331">
        <v>0.21</v>
      </c>
      <c r="G13427" s="332">
        <v>791</v>
      </c>
      <c r="H13427" s="333">
        <v>958</v>
      </c>
    </row>
    <row r="13428" spans="1:8">
      <c r="A13428" s="317">
        <v>2610384797</v>
      </c>
      <c r="B13428" s="330" t="s">
        <v>57781</v>
      </c>
      <c r="C13428" s="330" t="s">
        <v>28496</v>
      </c>
      <c r="D13428" s="330" t="s">
        <v>28272</v>
      </c>
      <c r="E13428" s="330" t="s">
        <v>4634</v>
      </c>
      <c r="F13428" s="331">
        <v>0.21</v>
      </c>
      <c r="G13428" s="332">
        <v>584</v>
      </c>
      <c r="H13428" s="333">
        <v>707</v>
      </c>
    </row>
    <row r="13429" spans="1:8">
      <c r="A13429" s="317">
        <v>2610384960</v>
      </c>
      <c r="B13429" s="330" t="s">
        <v>57782</v>
      </c>
      <c r="C13429" s="330" t="s">
        <v>28497</v>
      </c>
      <c r="D13429" s="330" t="s">
        <v>28498</v>
      </c>
      <c r="E13429" s="330" t="s">
        <v>4634</v>
      </c>
      <c r="F13429" s="331">
        <v>0.21</v>
      </c>
      <c r="G13429" s="332">
        <v>851</v>
      </c>
      <c r="H13429" s="333">
        <v>1030</v>
      </c>
    </row>
    <row r="13430" spans="1:8">
      <c r="A13430" s="317">
        <v>2610384961</v>
      </c>
      <c r="B13430" s="330" t="s">
        <v>57783</v>
      </c>
      <c r="C13430" s="330" t="s">
        <v>28499</v>
      </c>
      <c r="D13430" s="330" t="s">
        <v>23597</v>
      </c>
      <c r="E13430" s="330" t="s">
        <v>4634</v>
      </c>
      <c r="F13430" s="331">
        <v>0.21</v>
      </c>
      <c r="G13430" s="332">
        <v>4004</v>
      </c>
      <c r="H13430" s="333">
        <v>4845</v>
      </c>
    </row>
    <row r="13431" spans="1:8">
      <c r="A13431" s="317">
        <v>2610384962</v>
      </c>
      <c r="B13431" s="330" t="s">
        <v>57784</v>
      </c>
      <c r="C13431" s="330" t="s">
        <v>28500</v>
      </c>
      <c r="D13431" s="330" t="s">
        <v>28501</v>
      </c>
      <c r="E13431" s="330" t="s">
        <v>4634</v>
      </c>
      <c r="F13431" s="331">
        <v>0.21</v>
      </c>
      <c r="G13431" s="332">
        <v>68</v>
      </c>
      <c r="H13431" s="333">
        <v>83</v>
      </c>
    </row>
    <row r="13432" spans="1:8">
      <c r="A13432" s="317">
        <v>2610385129</v>
      </c>
      <c r="B13432" s="330" t="s">
        <v>57785</v>
      </c>
      <c r="C13432" s="330" t="s">
        <v>28502</v>
      </c>
      <c r="D13432" s="330" t="s">
        <v>28503</v>
      </c>
      <c r="E13432" s="330" t="s">
        <v>4634</v>
      </c>
      <c r="F13432" s="331">
        <v>0.21</v>
      </c>
      <c r="G13432" s="332">
        <v>1170</v>
      </c>
      <c r="H13432" s="333">
        <v>1416</v>
      </c>
    </row>
    <row r="13433" spans="1:8">
      <c r="A13433" s="317">
        <v>2610385171</v>
      </c>
      <c r="B13433" s="330" t="s">
        <v>57786</v>
      </c>
      <c r="C13433" s="330" t="s">
        <v>28504</v>
      </c>
      <c r="D13433" s="330" t="s">
        <v>28505</v>
      </c>
      <c r="E13433" s="330" t="s">
        <v>4634</v>
      </c>
      <c r="F13433" s="331">
        <v>0.21</v>
      </c>
      <c r="G13433" s="332">
        <v>372</v>
      </c>
      <c r="H13433" s="333">
        <v>451</v>
      </c>
    </row>
    <row r="13434" spans="1:8">
      <c r="A13434" s="317">
        <v>2610385254</v>
      </c>
      <c r="B13434" s="330" t="s">
        <v>57787</v>
      </c>
      <c r="C13434" s="330" t="s">
        <v>28506</v>
      </c>
      <c r="D13434" s="330" t="s">
        <v>28507</v>
      </c>
      <c r="E13434" s="330" t="s">
        <v>4634</v>
      </c>
      <c r="F13434" s="331">
        <v>0.21</v>
      </c>
      <c r="G13434" s="332">
        <v>791</v>
      </c>
      <c r="H13434" s="333">
        <v>958</v>
      </c>
    </row>
    <row r="13435" spans="1:8">
      <c r="A13435" s="317">
        <v>2610385396</v>
      </c>
      <c r="B13435" s="330" t="s">
        <v>57788</v>
      </c>
      <c r="C13435" s="330" t="s">
        <v>28508</v>
      </c>
      <c r="D13435" s="330" t="s">
        <v>28509</v>
      </c>
      <c r="E13435" s="330" t="s">
        <v>4634</v>
      </c>
      <c r="F13435" s="331">
        <v>0.21</v>
      </c>
      <c r="G13435" s="332">
        <v>3490</v>
      </c>
      <c r="H13435" s="333">
        <v>4223</v>
      </c>
    </row>
    <row r="13436" spans="1:8">
      <c r="A13436" s="317">
        <v>2610385456</v>
      </c>
      <c r="B13436" s="330" t="s">
        <v>57789</v>
      </c>
      <c r="C13436" s="330" t="s">
        <v>28510</v>
      </c>
      <c r="D13436" s="330" t="s">
        <v>28511</v>
      </c>
      <c r="E13436" s="330" t="s">
        <v>4634</v>
      </c>
      <c r="F13436" s="331">
        <v>0.21</v>
      </c>
      <c r="G13436" s="332">
        <v>791</v>
      </c>
      <c r="H13436" s="333">
        <v>958</v>
      </c>
    </row>
    <row r="13437" spans="1:8">
      <c r="A13437" s="317">
        <v>2610385457</v>
      </c>
      <c r="B13437" s="330" t="s">
        <v>57790</v>
      </c>
      <c r="C13437" s="330" t="s">
        <v>28512</v>
      </c>
      <c r="D13437" s="330" t="s">
        <v>28513</v>
      </c>
      <c r="E13437" s="330" t="s">
        <v>4634</v>
      </c>
      <c r="F13437" s="331">
        <v>0.21</v>
      </c>
      <c r="G13437" s="332">
        <v>7144</v>
      </c>
      <c r="H13437" s="333">
        <v>8645</v>
      </c>
    </row>
    <row r="13438" spans="1:8">
      <c r="A13438" s="317">
        <v>2610385458</v>
      </c>
      <c r="B13438" s="330" t="s">
        <v>57791</v>
      </c>
      <c r="C13438" s="330" t="s">
        <v>28514</v>
      </c>
      <c r="D13438" s="330" t="s">
        <v>28515</v>
      </c>
      <c r="E13438" s="330" t="s">
        <v>4634</v>
      </c>
      <c r="F13438" s="331">
        <v>0.21</v>
      </c>
      <c r="G13438" s="332">
        <v>791</v>
      </c>
      <c r="H13438" s="333">
        <v>958</v>
      </c>
    </row>
    <row r="13439" spans="1:8">
      <c r="A13439" s="317">
        <v>2610385459</v>
      </c>
      <c r="B13439" s="330" t="s">
        <v>57792</v>
      </c>
      <c r="C13439" s="330" t="s">
        <v>28516</v>
      </c>
      <c r="D13439" s="330" t="s">
        <v>28517</v>
      </c>
      <c r="E13439" s="330" t="s">
        <v>4634</v>
      </c>
      <c r="F13439" s="331">
        <v>0.21</v>
      </c>
      <c r="G13439" s="332">
        <v>2286</v>
      </c>
      <c r="H13439" s="333">
        <v>2767</v>
      </c>
    </row>
    <row r="13440" spans="1:8">
      <c r="A13440" s="317">
        <v>2610385460</v>
      </c>
      <c r="B13440" s="330" t="s">
        <v>57793</v>
      </c>
      <c r="C13440" s="330" t="s">
        <v>28518</v>
      </c>
      <c r="D13440" s="330" t="s">
        <v>28519</v>
      </c>
      <c r="E13440" s="330" t="s">
        <v>4634</v>
      </c>
      <c r="F13440" s="331">
        <v>0.21</v>
      </c>
      <c r="G13440" s="332">
        <v>648</v>
      </c>
      <c r="H13440" s="333">
        <v>785</v>
      </c>
    </row>
    <row r="13441" spans="1:8">
      <c r="A13441" s="317">
        <v>2610385613</v>
      </c>
      <c r="B13441" s="330" t="s">
        <v>57794</v>
      </c>
      <c r="C13441" s="330" t="s">
        <v>28520</v>
      </c>
      <c r="D13441" s="330" t="s">
        <v>28521</v>
      </c>
      <c r="E13441" s="330" t="s">
        <v>4634</v>
      </c>
      <c r="F13441" s="331">
        <v>0.21</v>
      </c>
      <c r="G13441" s="332">
        <v>348</v>
      </c>
      <c r="H13441" s="333">
        <v>422</v>
      </c>
    </row>
    <row r="13442" spans="1:8">
      <c r="A13442" s="317">
        <v>2610385699</v>
      </c>
      <c r="B13442" s="330" t="s">
        <v>57795</v>
      </c>
      <c r="C13442" s="330" t="s">
        <v>28522</v>
      </c>
      <c r="D13442" s="330" t="s">
        <v>28523</v>
      </c>
      <c r="E13442" s="330" t="s">
        <v>4634</v>
      </c>
      <c r="F13442" s="331">
        <v>0.21</v>
      </c>
      <c r="G13442" s="332">
        <v>1945</v>
      </c>
      <c r="H13442" s="333">
        <v>2354</v>
      </c>
    </row>
    <row r="13443" spans="1:8">
      <c r="A13443" s="317">
        <v>2610385740</v>
      </c>
      <c r="B13443" s="330" t="s">
        <v>57796</v>
      </c>
      <c r="C13443" s="330" t="s">
        <v>28524</v>
      </c>
      <c r="D13443" s="330" t="s">
        <v>28525</v>
      </c>
      <c r="E13443" s="330" t="s">
        <v>4634</v>
      </c>
      <c r="F13443" s="331">
        <v>0.21</v>
      </c>
      <c r="G13443" s="332">
        <v>1641</v>
      </c>
      <c r="H13443" s="333">
        <v>1986</v>
      </c>
    </row>
    <row r="13444" spans="1:8">
      <c r="A13444" s="317">
        <v>2610385741</v>
      </c>
      <c r="B13444" s="330" t="s">
        <v>57797</v>
      </c>
      <c r="C13444" s="330" t="s">
        <v>28526</v>
      </c>
      <c r="D13444" s="330" t="s">
        <v>28527</v>
      </c>
      <c r="E13444" s="330" t="s">
        <v>4634</v>
      </c>
      <c r="F13444" s="331">
        <v>0.21</v>
      </c>
      <c r="G13444" s="332">
        <v>4004</v>
      </c>
      <c r="H13444" s="333">
        <v>4845</v>
      </c>
    </row>
    <row r="13445" spans="1:8">
      <c r="A13445" s="317">
        <v>2610385742</v>
      </c>
      <c r="B13445" s="330" t="s">
        <v>57798</v>
      </c>
      <c r="C13445" s="330" t="s">
        <v>28528</v>
      </c>
      <c r="D13445" s="330" t="s">
        <v>28529</v>
      </c>
      <c r="E13445" s="330" t="s">
        <v>4634</v>
      </c>
      <c r="F13445" s="331">
        <v>0.21</v>
      </c>
      <c r="G13445" s="332">
        <v>5869</v>
      </c>
      <c r="H13445" s="333">
        <v>7102</v>
      </c>
    </row>
    <row r="13446" spans="1:8">
      <c r="A13446" s="317">
        <v>2610385776</v>
      </c>
      <c r="B13446" s="330" t="s">
        <v>57799</v>
      </c>
      <c r="C13446" s="330" t="s">
        <v>28530</v>
      </c>
      <c r="D13446" s="330" t="s">
        <v>28531</v>
      </c>
      <c r="E13446" s="330" t="s">
        <v>4634</v>
      </c>
      <c r="F13446" s="331">
        <v>0.21</v>
      </c>
      <c r="G13446" s="332">
        <v>5819</v>
      </c>
      <c r="H13446" s="333">
        <v>7041</v>
      </c>
    </row>
    <row r="13447" spans="1:8">
      <c r="A13447" s="317">
        <v>2610385958</v>
      </c>
      <c r="B13447" s="330" t="s">
        <v>57800</v>
      </c>
      <c r="C13447" s="330" t="s">
        <v>28532</v>
      </c>
      <c r="D13447" s="330" t="s">
        <v>28533</v>
      </c>
      <c r="E13447" s="330" t="s">
        <v>4634</v>
      </c>
      <c r="F13447" s="331">
        <v>0.21</v>
      </c>
      <c r="G13447" s="332">
        <v>401</v>
      </c>
      <c r="H13447" s="333">
        <v>486</v>
      </c>
    </row>
    <row r="13448" spans="1:8">
      <c r="A13448" s="317">
        <v>2610385960</v>
      </c>
      <c r="B13448" s="330" t="s">
        <v>57801</v>
      </c>
      <c r="C13448" s="330" t="s">
        <v>28534</v>
      </c>
      <c r="D13448" s="330" t="s">
        <v>28535</v>
      </c>
      <c r="E13448" s="330" t="s">
        <v>4634</v>
      </c>
      <c r="F13448" s="331">
        <v>0.21</v>
      </c>
      <c r="G13448" s="332">
        <v>9866</v>
      </c>
      <c r="H13448" s="333">
        <v>11938</v>
      </c>
    </row>
    <row r="13449" spans="1:8">
      <c r="A13449" s="317">
        <v>2610385991</v>
      </c>
      <c r="B13449" s="330" t="s">
        <v>57802</v>
      </c>
      <c r="C13449" s="330" t="s">
        <v>28536</v>
      </c>
      <c r="D13449" s="330" t="s">
        <v>28537</v>
      </c>
      <c r="E13449" s="330" t="s">
        <v>4634</v>
      </c>
      <c r="F13449" s="331">
        <v>0.21</v>
      </c>
      <c r="G13449" s="332">
        <v>791</v>
      </c>
      <c r="H13449" s="333">
        <v>958</v>
      </c>
    </row>
    <row r="13450" spans="1:8">
      <c r="A13450" s="317">
        <v>2610386053</v>
      </c>
      <c r="B13450" s="330" t="s">
        <v>57803</v>
      </c>
      <c r="C13450" s="330" t="s">
        <v>28538</v>
      </c>
      <c r="D13450" s="330" t="s">
        <v>28539</v>
      </c>
      <c r="E13450" s="330" t="s">
        <v>4634</v>
      </c>
      <c r="F13450" s="331">
        <v>0.21</v>
      </c>
      <c r="G13450" s="332">
        <v>584</v>
      </c>
      <c r="H13450" s="333">
        <v>707</v>
      </c>
    </row>
    <row r="13451" spans="1:8">
      <c r="A13451" s="317">
        <v>2610386089</v>
      </c>
      <c r="B13451" s="330" t="s">
        <v>57804</v>
      </c>
      <c r="C13451" s="330" t="s">
        <v>28540</v>
      </c>
      <c r="D13451" s="330" t="s">
        <v>28541</v>
      </c>
      <c r="E13451" s="330" t="s">
        <v>4634</v>
      </c>
      <c r="F13451" s="331">
        <v>0.21</v>
      </c>
      <c r="G13451" s="332">
        <v>678</v>
      </c>
      <c r="H13451" s="333">
        <v>821</v>
      </c>
    </row>
    <row r="13452" spans="1:8">
      <c r="A13452" s="317">
        <v>2610386090</v>
      </c>
      <c r="B13452" s="330" t="s">
        <v>57805</v>
      </c>
      <c r="C13452" s="330" t="s">
        <v>28542</v>
      </c>
      <c r="D13452" s="330" t="s">
        <v>28543</v>
      </c>
      <c r="E13452" s="330" t="s">
        <v>4634</v>
      </c>
      <c r="F13452" s="331">
        <v>0.21</v>
      </c>
      <c r="G13452" s="332">
        <v>1581</v>
      </c>
      <c r="H13452" s="333">
        <v>1914</v>
      </c>
    </row>
    <row r="13453" spans="1:8">
      <c r="A13453" s="317">
        <v>2610386091</v>
      </c>
      <c r="B13453" s="330" t="s">
        <v>57806</v>
      </c>
      <c r="C13453" s="330" t="s">
        <v>28544</v>
      </c>
      <c r="D13453" s="330" t="s">
        <v>28545</v>
      </c>
      <c r="E13453" s="330" t="s">
        <v>4634</v>
      </c>
      <c r="F13453" s="331">
        <v>0.21</v>
      </c>
      <c r="G13453" s="332">
        <v>3838</v>
      </c>
      <c r="H13453" s="333">
        <v>4644</v>
      </c>
    </row>
    <row r="13454" spans="1:8">
      <c r="A13454" s="317">
        <v>2610386095</v>
      </c>
      <c r="B13454" s="330" t="s">
        <v>57807</v>
      </c>
      <c r="C13454" s="330" t="s">
        <v>28546</v>
      </c>
      <c r="D13454" s="330" t="s">
        <v>28547</v>
      </c>
      <c r="E13454" s="330" t="s">
        <v>4634</v>
      </c>
      <c r="F13454" s="331">
        <v>0.21</v>
      </c>
      <c r="G13454" s="332">
        <v>372</v>
      </c>
      <c r="H13454" s="333">
        <v>451</v>
      </c>
    </row>
    <row r="13455" spans="1:8">
      <c r="A13455" s="317">
        <v>2610386102</v>
      </c>
      <c r="B13455" s="330" t="s">
        <v>57808</v>
      </c>
      <c r="C13455" s="330" t="s">
        <v>28548</v>
      </c>
      <c r="D13455" s="330" t="s">
        <v>28549</v>
      </c>
      <c r="E13455" s="330" t="s">
        <v>4634</v>
      </c>
      <c r="F13455" s="331">
        <v>0.21</v>
      </c>
      <c r="G13455" s="332">
        <v>372</v>
      </c>
      <c r="H13455" s="333">
        <v>451</v>
      </c>
    </row>
    <row r="13456" spans="1:8">
      <c r="A13456" s="317">
        <v>2610386104</v>
      </c>
      <c r="B13456" s="330" t="s">
        <v>57809</v>
      </c>
      <c r="C13456" s="330" t="s">
        <v>28550</v>
      </c>
      <c r="D13456" s="330" t="s">
        <v>28551</v>
      </c>
      <c r="E13456" s="330" t="s">
        <v>4634</v>
      </c>
      <c r="F13456" s="331">
        <v>0.21</v>
      </c>
      <c r="G13456" s="332">
        <v>348</v>
      </c>
      <c r="H13456" s="333">
        <v>422</v>
      </c>
    </row>
    <row r="13457" spans="1:8">
      <c r="A13457" s="317">
        <v>2610386382</v>
      </c>
      <c r="B13457" s="330" t="s">
        <v>57810</v>
      </c>
      <c r="C13457" s="330" t="s">
        <v>28552</v>
      </c>
      <c r="D13457" s="330" t="s">
        <v>28553</v>
      </c>
      <c r="E13457" s="330" t="s">
        <v>4634</v>
      </c>
      <c r="F13457" s="331">
        <v>0.21</v>
      </c>
      <c r="G13457" s="332">
        <v>12545</v>
      </c>
      <c r="H13457" s="333">
        <v>15180</v>
      </c>
    </row>
    <row r="13458" spans="1:8">
      <c r="A13458" s="317">
        <v>2610386395</v>
      </c>
      <c r="B13458" s="330" t="s">
        <v>57811</v>
      </c>
      <c r="C13458" s="330" t="s">
        <v>28554</v>
      </c>
      <c r="D13458" s="330" t="s">
        <v>28555</v>
      </c>
      <c r="E13458" s="330" t="s">
        <v>4634</v>
      </c>
      <c r="F13458" s="331">
        <v>0.21</v>
      </c>
      <c r="G13458" s="332">
        <v>928</v>
      </c>
      <c r="H13458" s="333">
        <v>1123</v>
      </c>
    </row>
    <row r="13459" spans="1:8">
      <c r="A13459" s="317">
        <v>2610386398</v>
      </c>
      <c r="B13459" s="330" t="s">
        <v>57812</v>
      </c>
      <c r="C13459" s="330" t="s">
        <v>28556</v>
      </c>
      <c r="D13459" s="330" t="s">
        <v>28557</v>
      </c>
      <c r="E13459" s="330" t="s">
        <v>4634</v>
      </c>
      <c r="F13459" s="331">
        <v>0.21</v>
      </c>
      <c r="G13459" s="332">
        <v>1371</v>
      </c>
      <c r="H13459" s="333">
        <v>1659</v>
      </c>
    </row>
    <row r="13460" spans="1:8">
      <c r="A13460" s="317">
        <v>2610386423</v>
      </c>
      <c r="B13460" s="330" t="s">
        <v>57813</v>
      </c>
      <c r="C13460" s="330" t="s">
        <v>28558</v>
      </c>
      <c r="D13460" s="330" t="s">
        <v>28559</v>
      </c>
      <c r="E13460" s="330" t="s">
        <v>4634</v>
      </c>
      <c r="F13460" s="331">
        <v>0.21</v>
      </c>
      <c r="G13460" s="332">
        <v>455</v>
      </c>
      <c r="H13460" s="333">
        <v>551</v>
      </c>
    </row>
    <row r="13461" spans="1:8">
      <c r="A13461" s="317">
        <v>2610386442</v>
      </c>
      <c r="B13461" s="330" t="s">
        <v>57814</v>
      </c>
      <c r="C13461" s="330" t="s">
        <v>28560</v>
      </c>
      <c r="D13461" s="330" t="s">
        <v>28561</v>
      </c>
      <c r="E13461" s="330" t="s">
        <v>4634</v>
      </c>
      <c r="F13461" s="331">
        <v>0.21</v>
      </c>
      <c r="G13461" s="332">
        <v>387</v>
      </c>
      <c r="H13461" s="333">
        <v>469</v>
      </c>
    </row>
    <row r="13462" spans="1:8">
      <c r="A13462" s="317">
        <v>2610386454</v>
      </c>
      <c r="B13462" s="330" t="s">
        <v>57815</v>
      </c>
      <c r="C13462" s="330" t="s">
        <v>28562</v>
      </c>
      <c r="D13462" s="330" t="s">
        <v>28563</v>
      </c>
      <c r="E13462" s="330" t="s">
        <v>4634</v>
      </c>
      <c r="F13462" s="331">
        <v>0.21</v>
      </c>
      <c r="G13462" s="332">
        <v>541</v>
      </c>
      <c r="H13462" s="333">
        <v>655</v>
      </c>
    </row>
    <row r="13463" spans="1:8">
      <c r="A13463" s="317">
        <v>2610386470</v>
      </c>
      <c r="B13463" s="330" t="s">
        <v>57816</v>
      </c>
      <c r="C13463" s="330" t="s">
        <v>28564</v>
      </c>
      <c r="D13463" s="330" t="s">
        <v>28565</v>
      </c>
      <c r="E13463" s="330" t="s">
        <v>4634</v>
      </c>
      <c r="F13463" s="331">
        <v>0.21</v>
      </c>
      <c r="G13463" s="332">
        <v>820</v>
      </c>
      <c r="H13463" s="333">
        <v>993</v>
      </c>
    </row>
    <row r="13464" spans="1:8">
      <c r="A13464" s="317">
        <v>2610386471</v>
      </c>
      <c r="B13464" s="330" t="s">
        <v>57817</v>
      </c>
      <c r="C13464" s="330" t="s">
        <v>28566</v>
      </c>
      <c r="D13464" s="330" t="s">
        <v>28567</v>
      </c>
      <c r="E13464" s="330" t="s">
        <v>4634</v>
      </c>
      <c r="F13464" s="331">
        <v>0.21</v>
      </c>
      <c r="G13464" s="332">
        <v>992</v>
      </c>
      <c r="H13464" s="333">
        <v>1201</v>
      </c>
    </row>
    <row r="13465" spans="1:8">
      <c r="A13465" s="317">
        <v>2610386472</v>
      </c>
      <c r="B13465" s="330" t="s">
        <v>57818</v>
      </c>
      <c r="C13465" s="330" t="s">
        <v>28568</v>
      </c>
      <c r="D13465" s="330" t="s">
        <v>28569</v>
      </c>
      <c r="E13465" s="330" t="s">
        <v>4634</v>
      </c>
      <c r="F13465" s="331">
        <v>0.21</v>
      </c>
      <c r="G13465" s="332">
        <v>648</v>
      </c>
      <c r="H13465" s="333">
        <v>785</v>
      </c>
    </row>
    <row r="13466" spans="1:8">
      <c r="A13466" s="317">
        <v>2610386516</v>
      </c>
      <c r="B13466" s="330" t="s">
        <v>57819</v>
      </c>
      <c r="C13466" s="330" t="s">
        <v>28570</v>
      </c>
      <c r="D13466" s="330" t="s">
        <v>4658</v>
      </c>
      <c r="E13466" s="330" t="s">
        <v>37248</v>
      </c>
      <c r="F13466" s="331">
        <v>0.21</v>
      </c>
      <c r="G13466" s="332">
        <v>976</v>
      </c>
      <c r="H13466" s="333">
        <v>1181</v>
      </c>
    </row>
    <row r="13467" spans="1:8">
      <c r="A13467" s="317">
        <v>2610386542</v>
      </c>
      <c r="B13467" s="330" t="s">
        <v>57820</v>
      </c>
      <c r="C13467" s="330" t="s">
        <v>28571</v>
      </c>
      <c r="D13467" s="330" t="s">
        <v>28572</v>
      </c>
      <c r="E13467" s="330" t="s">
        <v>4634</v>
      </c>
      <c r="F13467" s="331">
        <v>0.21</v>
      </c>
      <c r="G13467" s="332">
        <v>1639</v>
      </c>
      <c r="H13467" s="333">
        <v>1984</v>
      </c>
    </row>
    <row r="13468" spans="1:8">
      <c r="A13468" s="317">
        <v>2610386545</v>
      </c>
      <c r="B13468" s="330" t="s">
        <v>57821</v>
      </c>
      <c r="C13468" s="330" t="s">
        <v>28573</v>
      </c>
      <c r="D13468" s="330" t="s">
        <v>28574</v>
      </c>
      <c r="E13468" s="330" t="s">
        <v>4634</v>
      </c>
      <c r="F13468" s="331">
        <v>0.21</v>
      </c>
      <c r="G13468" s="332">
        <v>1222</v>
      </c>
      <c r="H13468" s="333">
        <v>1479</v>
      </c>
    </row>
    <row r="13469" spans="1:8">
      <c r="A13469" s="317">
        <v>2610386546</v>
      </c>
      <c r="B13469" s="330" t="s">
        <v>57822</v>
      </c>
      <c r="C13469" s="330" t="s">
        <v>28575</v>
      </c>
      <c r="D13469" s="330" t="s">
        <v>28576</v>
      </c>
      <c r="E13469" s="330" t="s">
        <v>4634</v>
      </c>
      <c r="F13469" s="331">
        <v>0.21</v>
      </c>
      <c r="G13469" s="332">
        <v>3036</v>
      </c>
      <c r="H13469" s="333">
        <v>3674</v>
      </c>
    </row>
    <row r="13470" spans="1:8">
      <c r="A13470" s="317">
        <v>2610386556</v>
      </c>
      <c r="B13470" s="330" t="s">
        <v>57823</v>
      </c>
      <c r="C13470" s="330" t="s">
        <v>28577</v>
      </c>
      <c r="D13470" s="330" t="s">
        <v>12706</v>
      </c>
      <c r="E13470" s="330" t="s">
        <v>4634</v>
      </c>
      <c r="F13470" s="331">
        <v>0.21</v>
      </c>
      <c r="G13470" s="332">
        <v>372</v>
      </c>
      <c r="H13470" s="333">
        <v>451</v>
      </c>
    </row>
    <row r="13471" spans="1:8">
      <c r="A13471" s="317">
        <v>2610386570</v>
      </c>
      <c r="B13471" s="330" t="s">
        <v>57824</v>
      </c>
      <c r="C13471" s="330" t="s">
        <v>28578</v>
      </c>
      <c r="D13471" s="330" t="s">
        <v>28579</v>
      </c>
      <c r="E13471" s="330" t="s">
        <v>4634</v>
      </c>
      <c r="F13471" s="331">
        <v>0.21</v>
      </c>
      <c r="G13471" s="332">
        <v>1170</v>
      </c>
      <c r="H13471" s="333">
        <v>1416</v>
      </c>
    </row>
    <row r="13472" spans="1:8">
      <c r="A13472" s="317">
        <v>2610386606</v>
      </c>
      <c r="B13472" s="330" t="s">
        <v>57825</v>
      </c>
      <c r="C13472" s="330" t="s">
        <v>28580</v>
      </c>
      <c r="D13472" s="330" t="s">
        <v>28581</v>
      </c>
      <c r="E13472" s="330" t="s">
        <v>4634</v>
      </c>
      <c r="F13472" s="331">
        <v>0.21</v>
      </c>
      <c r="G13472" s="332">
        <v>348</v>
      </c>
      <c r="H13472" s="333">
        <v>422</v>
      </c>
    </row>
    <row r="13473" spans="1:8">
      <c r="A13473" s="317">
        <v>2610386607</v>
      </c>
      <c r="B13473" s="330" t="s">
        <v>57826</v>
      </c>
      <c r="C13473" s="330" t="s">
        <v>28582</v>
      </c>
      <c r="D13473" s="330" t="s">
        <v>28583</v>
      </c>
      <c r="E13473" s="330" t="s">
        <v>4634</v>
      </c>
      <c r="F13473" s="331">
        <v>0.21</v>
      </c>
      <c r="G13473" s="332">
        <v>348</v>
      </c>
      <c r="H13473" s="333">
        <v>422</v>
      </c>
    </row>
    <row r="13474" spans="1:8">
      <c r="A13474" s="317">
        <v>2610386608</v>
      </c>
      <c r="B13474" s="330" t="s">
        <v>57827</v>
      </c>
      <c r="C13474" s="330" t="s">
        <v>28584</v>
      </c>
      <c r="D13474" s="330" t="s">
        <v>28585</v>
      </c>
      <c r="E13474" s="330" t="s">
        <v>4634</v>
      </c>
      <c r="F13474" s="331">
        <v>0.21</v>
      </c>
      <c r="G13474" s="332">
        <v>348</v>
      </c>
      <c r="H13474" s="333">
        <v>422</v>
      </c>
    </row>
    <row r="13475" spans="1:8">
      <c r="A13475" s="317">
        <v>2610386630</v>
      </c>
      <c r="B13475" s="330" t="s">
        <v>57828</v>
      </c>
      <c r="C13475" s="330" t="s">
        <v>28586</v>
      </c>
      <c r="D13475" s="330" t="s">
        <v>28587</v>
      </c>
      <c r="E13475" s="330" t="s">
        <v>4634</v>
      </c>
      <c r="F13475" s="331">
        <v>0.21</v>
      </c>
      <c r="G13475" s="332">
        <v>372</v>
      </c>
      <c r="H13475" s="333">
        <v>451</v>
      </c>
    </row>
    <row r="13476" spans="1:8">
      <c r="A13476" s="317">
        <v>2610386669</v>
      </c>
      <c r="B13476" s="330" t="s">
        <v>57829</v>
      </c>
      <c r="C13476" s="330" t="s">
        <v>28588</v>
      </c>
      <c r="D13476" s="330" t="s">
        <v>28589</v>
      </c>
      <c r="E13476" s="330" t="s">
        <v>4634</v>
      </c>
      <c r="F13476" s="331">
        <v>0.21</v>
      </c>
      <c r="G13476" s="332">
        <v>6593</v>
      </c>
      <c r="H13476" s="333">
        <v>7978</v>
      </c>
    </row>
    <row r="13477" spans="1:8">
      <c r="A13477" s="317">
        <v>2610386695</v>
      </c>
      <c r="B13477" s="330" t="s">
        <v>57830</v>
      </c>
      <c r="C13477" s="330" t="s">
        <v>28590</v>
      </c>
      <c r="D13477" s="330" t="s">
        <v>28591</v>
      </c>
      <c r="E13477" s="330" t="s">
        <v>4634</v>
      </c>
      <c r="F13477" s="331">
        <v>0.21</v>
      </c>
      <c r="G13477" s="332">
        <v>348</v>
      </c>
      <c r="H13477" s="333">
        <v>422</v>
      </c>
    </row>
    <row r="13478" spans="1:8">
      <c r="A13478" s="317">
        <v>2610386696</v>
      </c>
      <c r="B13478" s="330" t="s">
        <v>57831</v>
      </c>
      <c r="C13478" s="330" t="s">
        <v>28592</v>
      </c>
      <c r="D13478" s="330" t="s">
        <v>28593</v>
      </c>
      <c r="E13478" s="330" t="s">
        <v>4634</v>
      </c>
      <c r="F13478" s="331">
        <v>0.21</v>
      </c>
      <c r="G13478" s="332">
        <v>3056</v>
      </c>
      <c r="H13478" s="333">
        <v>3698</v>
      </c>
    </row>
    <row r="13479" spans="1:8">
      <c r="A13479" s="317">
        <v>2610386698</v>
      </c>
      <c r="B13479" s="330" t="s">
        <v>57832</v>
      </c>
      <c r="C13479" s="330" t="s">
        <v>28594</v>
      </c>
      <c r="D13479" s="330" t="s">
        <v>28595</v>
      </c>
      <c r="E13479" s="330" t="s">
        <v>4634</v>
      </c>
      <c r="F13479" s="331">
        <v>0.21</v>
      </c>
      <c r="G13479" s="332">
        <v>2755</v>
      </c>
      <c r="H13479" s="333">
        <v>3334</v>
      </c>
    </row>
    <row r="13480" spans="1:8">
      <c r="A13480" s="317">
        <v>2610386700</v>
      </c>
      <c r="B13480" s="330" t="s">
        <v>57833</v>
      </c>
      <c r="C13480" s="330" t="s">
        <v>28596</v>
      </c>
      <c r="D13480" s="330" t="s">
        <v>28597</v>
      </c>
      <c r="E13480" s="330" t="s">
        <v>4634</v>
      </c>
      <c r="F13480" s="331">
        <v>0.21</v>
      </c>
      <c r="G13480" s="332">
        <v>3923</v>
      </c>
      <c r="H13480" s="333">
        <v>4747</v>
      </c>
    </row>
    <row r="13481" spans="1:8">
      <c r="A13481" s="317">
        <v>2610386701</v>
      </c>
      <c r="B13481" s="330" t="s">
        <v>57834</v>
      </c>
      <c r="C13481" s="330" t="s">
        <v>28598</v>
      </c>
      <c r="D13481" s="330" t="s">
        <v>28599</v>
      </c>
      <c r="E13481" s="330" t="s">
        <v>4634</v>
      </c>
      <c r="F13481" s="331">
        <v>0.21</v>
      </c>
      <c r="G13481" s="332">
        <v>2881</v>
      </c>
      <c r="H13481" s="333">
        <v>3487</v>
      </c>
    </row>
    <row r="13482" spans="1:8">
      <c r="A13482" s="317">
        <v>2610386702</v>
      </c>
      <c r="B13482" s="330" t="s">
        <v>57835</v>
      </c>
      <c r="C13482" s="330" t="s">
        <v>28600</v>
      </c>
      <c r="D13482" s="330" t="s">
        <v>28601</v>
      </c>
      <c r="E13482" s="330" t="s">
        <v>4634</v>
      </c>
      <c r="F13482" s="331">
        <v>0.21</v>
      </c>
      <c r="G13482" s="332">
        <v>3696</v>
      </c>
      <c r="H13482" s="333">
        <v>4473</v>
      </c>
    </row>
    <row r="13483" spans="1:8">
      <c r="A13483" s="317">
        <v>2610386834</v>
      </c>
      <c r="B13483" s="330" t="s">
        <v>57836</v>
      </c>
      <c r="C13483" s="330" t="s">
        <v>28602</v>
      </c>
      <c r="D13483" s="330" t="s">
        <v>28603</v>
      </c>
      <c r="E13483" s="330" t="s">
        <v>4634</v>
      </c>
      <c r="F13483" s="331">
        <v>0.21</v>
      </c>
      <c r="G13483" s="332">
        <v>455</v>
      </c>
      <c r="H13483" s="333">
        <v>551</v>
      </c>
    </row>
    <row r="13484" spans="1:8">
      <c r="A13484" s="317">
        <v>2610386835</v>
      </c>
      <c r="B13484" s="330" t="s">
        <v>57837</v>
      </c>
      <c r="C13484" s="330" t="s">
        <v>28604</v>
      </c>
      <c r="D13484" s="330" t="s">
        <v>28605</v>
      </c>
      <c r="E13484" s="330" t="s">
        <v>4634</v>
      </c>
      <c r="F13484" s="331">
        <v>0.21</v>
      </c>
      <c r="G13484" s="332">
        <v>348</v>
      </c>
      <c r="H13484" s="333">
        <v>422</v>
      </c>
    </row>
    <row r="13485" spans="1:8">
      <c r="A13485" s="317">
        <v>2610386836</v>
      </c>
      <c r="B13485" s="330" t="s">
        <v>57838</v>
      </c>
      <c r="C13485" s="330" t="s">
        <v>28606</v>
      </c>
      <c r="D13485" s="330" t="s">
        <v>28607</v>
      </c>
      <c r="E13485" s="330" t="s">
        <v>4634</v>
      </c>
      <c r="F13485" s="331">
        <v>0.21</v>
      </c>
      <c r="G13485" s="332">
        <v>372</v>
      </c>
      <c r="H13485" s="333">
        <v>451</v>
      </c>
    </row>
    <row r="13486" spans="1:8">
      <c r="A13486" s="317">
        <v>2610386889</v>
      </c>
      <c r="B13486" s="330" t="s">
        <v>57839</v>
      </c>
      <c r="C13486" s="330" t="s">
        <v>28608</v>
      </c>
      <c r="D13486" s="330" t="s">
        <v>28609</v>
      </c>
      <c r="E13486" s="330" t="s">
        <v>4634</v>
      </c>
      <c r="F13486" s="331">
        <v>0.21</v>
      </c>
      <c r="G13486" s="332">
        <v>1759</v>
      </c>
      <c r="H13486" s="333">
        <v>2129</v>
      </c>
    </row>
    <row r="13487" spans="1:8">
      <c r="A13487" s="317">
        <v>2610386922</v>
      </c>
      <c r="B13487" s="330" t="s">
        <v>57840</v>
      </c>
      <c r="C13487" s="330" t="s">
        <v>28610</v>
      </c>
      <c r="D13487" s="330" t="s">
        <v>28611</v>
      </c>
      <c r="E13487" s="330" t="s">
        <v>4634</v>
      </c>
      <c r="F13487" s="331">
        <v>0.21</v>
      </c>
      <c r="G13487" s="332">
        <v>722</v>
      </c>
      <c r="H13487" s="333">
        <v>874</v>
      </c>
    </row>
    <row r="13488" spans="1:8">
      <c r="A13488" s="317">
        <v>2610387014</v>
      </c>
      <c r="B13488" s="330" t="s">
        <v>57841</v>
      </c>
      <c r="C13488" s="330" t="s">
        <v>28612</v>
      </c>
      <c r="D13488" s="330" t="s">
        <v>28613</v>
      </c>
      <c r="E13488" s="330" t="s">
        <v>4634</v>
      </c>
      <c r="F13488" s="331">
        <v>0.21</v>
      </c>
      <c r="G13488" s="332">
        <v>564</v>
      </c>
      <c r="H13488" s="333">
        <v>683</v>
      </c>
    </row>
    <row r="13489" spans="1:8">
      <c r="A13489" s="317">
        <v>2610387047</v>
      </c>
      <c r="B13489" s="330" t="s">
        <v>57842</v>
      </c>
      <c r="C13489" s="330" t="s">
        <v>28614</v>
      </c>
      <c r="D13489" s="330" t="s">
        <v>28615</v>
      </c>
      <c r="E13489" s="330" t="s">
        <v>4634</v>
      </c>
      <c r="F13489" s="331">
        <v>0.21</v>
      </c>
      <c r="G13489" s="332">
        <v>5088</v>
      </c>
      <c r="H13489" s="333">
        <v>6157</v>
      </c>
    </row>
    <row r="13490" spans="1:8">
      <c r="A13490" s="317">
        <v>2610387211</v>
      </c>
      <c r="B13490" s="330" t="s">
        <v>57843</v>
      </c>
      <c r="C13490" s="330" t="s">
        <v>28616</v>
      </c>
      <c r="D13490" s="330" t="s">
        <v>28617</v>
      </c>
      <c r="E13490" s="330" t="s">
        <v>4634</v>
      </c>
      <c r="F13490" s="331">
        <v>0.21</v>
      </c>
      <c r="G13490" s="332">
        <v>2319</v>
      </c>
      <c r="H13490" s="333">
        <v>2806</v>
      </c>
    </row>
    <row r="13491" spans="1:8">
      <c r="A13491" s="317">
        <v>2610387212</v>
      </c>
      <c r="B13491" s="330" t="s">
        <v>57844</v>
      </c>
      <c r="C13491" s="330" t="s">
        <v>28618</v>
      </c>
      <c r="D13491" s="330" t="s">
        <v>28619</v>
      </c>
      <c r="E13491" s="330" t="s">
        <v>4634</v>
      </c>
      <c r="F13491" s="331">
        <v>0.21</v>
      </c>
      <c r="G13491" s="332">
        <v>3519</v>
      </c>
      <c r="H13491" s="333">
        <v>4258</v>
      </c>
    </row>
    <row r="13492" spans="1:8">
      <c r="A13492" s="317">
        <v>2610387218</v>
      </c>
      <c r="B13492" s="330" t="s">
        <v>57845</v>
      </c>
      <c r="C13492" s="330" t="s">
        <v>28620</v>
      </c>
      <c r="D13492" s="330" t="s">
        <v>28621</v>
      </c>
      <c r="E13492" s="330" t="s">
        <v>4634</v>
      </c>
      <c r="F13492" s="331">
        <v>0.21</v>
      </c>
      <c r="G13492" s="332">
        <v>2837</v>
      </c>
      <c r="H13492" s="333">
        <v>3433</v>
      </c>
    </row>
    <row r="13493" spans="1:8">
      <c r="A13493" s="317">
        <v>2610387247</v>
      </c>
      <c r="B13493" s="330" t="s">
        <v>57846</v>
      </c>
      <c r="C13493" s="330" t="s">
        <v>28622</v>
      </c>
      <c r="D13493" s="330" t="s">
        <v>28623</v>
      </c>
      <c r="E13493" s="330" t="s">
        <v>4819</v>
      </c>
      <c r="F13493" s="331">
        <v>0.21</v>
      </c>
      <c r="G13493" s="332">
        <v>5570</v>
      </c>
      <c r="H13493" s="333">
        <v>6740</v>
      </c>
    </row>
    <row r="13494" spans="1:8">
      <c r="A13494" s="317">
        <v>2610387532</v>
      </c>
      <c r="B13494" s="330" t="s">
        <v>57847</v>
      </c>
      <c r="C13494" s="330" t="s">
        <v>28624</v>
      </c>
      <c r="D13494" s="330" t="s">
        <v>28625</v>
      </c>
      <c r="E13494" s="330" t="s">
        <v>4634</v>
      </c>
      <c r="F13494" s="331">
        <v>0.21</v>
      </c>
      <c r="G13494" s="332">
        <v>2299</v>
      </c>
      <c r="H13494" s="333">
        <v>2782</v>
      </c>
    </row>
    <row r="13495" spans="1:8">
      <c r="A13495" s="317">
        <v>2610387779</v>
      </c>
      <c r="B13495" s="330" t="s">
        <v>57848</v>
      </c>
      <c r="C13495" s="330" t="s">
        <v>28626</v>
      </c>
      <c r="D13495" s="330" t="s">
        <v>28627</v>
      </c>
      <c r="E13495" s="330" t="s">
        <v>4634</v>
      </c>
      <c r="F13495" s="331">
        <v>0.21</v>
      </c>
      <c r="G13495" s="332">
        <v>1367</v>
      </c>
      <c r="H13495" s="333">
        <v>1655</v>
      </c>
    </row>
    <row r="13496" spans="1:8">
      <c r="A13496" s="317">
        <v>2610387781</v>
      </c>
      <c r="B13496" s="330" t="s">
        <v>57849</v>
      </c>
      <c r="C13496" s="330" t="s">
        <v>28628</v>
      </c>
      <c r="D13496" s="330" t="s">
        <v>28629</v>
      </c>
      <c r="E13496" s="330" t="s">
        <v>4634</v>
      </c>
      <c r="F13496" s="331">
        <v>0.21</v>
      </c>
      <c r="G13496" s="332">
        <v>455</v>
      </c>
      <c r="H13496" s="333">
        <v>551</v>
      </c>
    </row>
    <row r="13497" spans="1:8">
      <c r="A13497" s="317">
        <v>2610387799</v>
      </c>
      <c r="B13497" s="330" t="s">
        <v>57850</v>
      </c>
      <c r="C13497" s="330" t="s">
        <v>28630</v>
      </c>
      <c r="D13497" s="330" t="s">
        <v>28631</v>
      </c>
      <c r="E13497" s="330" t="s">
        <v>4634</v>
      </c>
      <c r="F13497" s="331">
        <v>0.21</v>
      </c>
      <c r="G13497" s="332">
        <v>1376</v>
      </c>
      <c r="H13497" s="333">
        <v>1665</v>
      </c>
    </row>
    <row r="13498" spans="1:8">
      <c r="A13498" s="317">
        <v>2610387874</v>
      </c>
      <c r="B13498" s="330" t="s">
        <v>57851</v>
      </c>
      <c r="C13498" s="330" t="s">
        <v>28632</v>
      </c>
      <c r="D13498" s="330" t="s">
        <v>28633</v>
      </c>
      <c r="E13498" s="330" t="s">
        <v>4634</v>
      </c>
      <c r="F13498" s="331">
        <v>0.21</v>
      </c>
      <c r="G13498" s="332">
        <v>2059</v>
      </c>
      <c r="H13498" s="333">
        <v>2492</v>
      </c>
    </row>
    <row r="13499" spans="1:8">
      <c r="A13499" s="317">
        <v>2610387875</v>
      </c>
      <c r="B13499" s="330" t="s">
        <v>57852</v>
      </c>
      <c r="C13499" s="330" t="s">
        <v>28634</v>
      </c>
      <c r="D13499" s="330" t="s">
        <v>4654</v>
      </c>
      <c r="E13499" s="330" t="s">
        <v>37248</v>
      </c>
      <c r="F13499" s="331">
        <v>0.21</v>
      </c>
      <c r="G13499" s="332">
        <v>976</v>
      </c>
      <c r="H13499" s="333">
        <v>1181</v>
      </c>
    </row>
    <row r="13500" spans="1:8">
      <c r="A13500" s="317">
        <v>2610387920</v>
      </c>
      <c r="B13500" s="330" t="s">
        <v>57853</v>
      </c>
      <c r="C13500" s="330" t="s">
        <v>28635</v>
      </c>
      <c r="D13500" s="330" t="s">
        <v>28636</v>
      </c>
      <c r="E13500" s="330" t="s">
        <v>4634</v>
      </c>
      <c r="F13500" s="331">
        <v>0.21</v>
      </c>
      <c r="G13500" s="332">
        <v>372</v>
      </c>
      <c r="H13500" s="333">
        <v>451</v>
      </c>
    </row>
    <row r="13501" spans="1:8">
      <c r="A13501" s="317">
        <v>2610387925</v>
      </c>
      <c r="B13501" s="330" t="s">
        <v>57854</v>
      </c>
      <c r="C13501" s="330" t="s">
        <v>28637</v>
      </c>
      <c r="D13501" s="330" t="s">
        <v>28638</v>
      </c>
      <c r="E13501" s="330" t="s">
        <v>4634</v>
      </c>
      <c r="F13501" s="331">
        <v>0.21</v>
      </c>
      <c r="G13501" s="332">
        <v>2649</v>
      </c>
      <c r="H13501" s="333">
        <v>3206</v>
      </c>
    </row>
    <row r="13502" spans="1:8">
      <c r="A13502" s="317">
        <v>2610387965</v>
      </c>
      <c r="B13502" s="330" t="s">
        <v>57855</v>
      </c>
      <c r="C13502" s="330" t="s">
        <v>28639</v>
      </c>
      <c r="D13502" s="330" t="s">
        <v>28640</v>
      </c>
      <c r="E13502" s="330" t="s">
        <v>4819</v>
      </c>
      <c r="F13502" s="331">
        <v>0.21</v>
      </c>
      <c r="G13502" s="332">
        <v>5317</v>
      </c>
      <c r="H13502" s="333">
        <v>6434</v>
      </c>
    </row>
    <row r="13503" spans="1:8">
      <c r="A13503" s="317">
        <v>2610387966</v>
      </c>
      <c r="B13503" s="330" t="s">
        <v>57856</v>
      </c>
      <c r="C13503" s="330" t="s">
        <v>28641</v>
      </c>
      <c r="D13503" s="330" t="s">
        <v>28642</v>
      </c>
      <c r="E13503" s="330" t="s">
        <v>4634</v>
      </c>
      <c r="F13503" s="331">
        <v>0.21</v>
      </c>
      <c r="G13503" s="332">
        <v>791</v>
      </c>
      <c r="H13503" s="333">
        <v>958</v>
      </c>
    </row>
    <row r="13504" spans="1:8">
      <c r="A13504" s="317">
        <v>2610387967</v>
      </c>
      <c r="B13504" s="330" t="s">
        <v>57857</v>
      </c>
      <c r="C13504" s="330" t="s">
        <v>28643</v>
      </c>
      <c r="D13504" s="330" t="s">
        <v>28644</v>
      </c>
      <c r="E13504" s="330" t="s">
        <v>4634</v>
      </c>
      <c r="F13504" s="331">
        <v>0.21</v>
      </c>
      <c r="G13504" s="332">
        <v>455</v>
      </c>
      <c r="H13504" s="333">
        <v>551</v>
      </c>
    </row>
    <row r="13505" spans="1:8">
      <c r="A13505" s="317">
        <v>2610387977</v>
      </c>
      <c r="B13505" s="330" t="s">
        <v>57858</v>
      </c>
      <c r="C13505" s="330" t="s">
        <v>28645</v>
      </c>
      <c r="D13505" s="330" t="s">
        <v>28646</v>
      </c>
      <c r="E13505" s="330" t="s">
        <v>4634</v>
      </c>
      <c r="F13505" s="331">
        <v>0.21</v>
      </c>
      <c r="G13505" s="332">
        <v>6946</v>
      </c>
      <c r="H13505" s="333">
        <v>8405</v>
      </c>
    </row>
    <row r="13506" spans="1:8">
      <c r="A13506" s="317">
        <v>2610387984</v>
      </c>
      <c r="B13506" s="330" t="s">
        <v>57859</v>
      </c>
      <c r="C13506" s="330" t="s">
        <v>28647</v>
      </c>
      <c r="D13506" s="330" t="s">
        <v>28648</v>
      </c>
      <c r="E13506" s="330" t="s">
        <v>37248</v>
      </c>
      <c r="F13506" s="331">
        <v>0.21</v>
      </c>
      <c r="G13506" s="332">
        <v>11146</v>
      </c>
      <c r="H13506" s="333">
        <v>13487</v>
      </c>
    </row>
    <row r="13507" spans="1:8">
      <c r="A13507" s="317">
        <v>2610387990</v>
      </c>
      <c r="B13507" s="330" t="s">
        <v>57860</v>
      </c>
      <c r="C13507" s="330" t="s">
        <v>28649</v>
      </c>
      <c r="D13507" s="330" t="s">
        <v>28650</v>
      </c>
      <c r="E13507" s="330" t="s">
        <v>4634</v>
      </c>
      <c r="F13507" s="331">
        <v>0.21</v>
      </c>
      <c r="G13507" s="332">
        <v>30974</v>
      </c>
      <c r="H13507" s="333">
        <v>37479</v>
      </c>
    </row>
    <row r="13508" spans="1:8">
      <c r="A13508" s="317">
        <v>2610387991</v>
      </c>
      <c r="B13508" s="330" t="s">
        <v>57861</v>
      </c>
      <c r="C13508" s="330" t="s">
        <v>28651</v>
      </c>
      <c r="D13508" s="330" t="s">
        <v>28652</v>
      </c>
      <c r="E13508" s="330" t="s">
        <v>4819</v>
      </c>
      <c r="F13508" s="331">
        <v>0.21</v>
      </c>
      <c r="G13508" s="332">
        <v>3310</v>
      </c>
      <c r="H13508" s="333">
        <v>4006</v>
      </c>
    </row>
    <row r="13509" spans="1:8">
      <c r="A13509" s="317">
        <v>2610388002</v>
      </c>
      <c r="B13509" s="330" t="s">
        <v>57862</v>
      </c>
      <c r="C13509" s="330" t="s">
        <v>28653</v>
      </c>
      <c r="D13509" s="330" t="s">
        <v>28654</v>
      </c>
      <c r="E13509" s="330" t="s">
        <v>4634</v>
      </c>
      <c r="F13509" s="331">
        <v>0.21</v>
      </c>
      <c r="G13509" s="332">
        <v>541</v>
      </c>
      <c r="H13509" s="333">
        <v>655</v>
      </c>
    </row>
    <row r="13510" spans="1:8">
      <c r="A13510" s="317">
        <v>2610388048</v>
      </c>
      <c r="B13510" s="330" t="s">
        <v>57863</v>
      </c>
      <c r="C13510" s="330" t="s">
        <v>28655</v>
      </c>
      <c r="D13510" s="330" t="s">
        <v>28656</v>
      </c>
      <c r="E13510" s="330" t="s">
        <v>4634</v>
      </c>
      <c r="F13510" s="331">
        <v>0.21</v>
      </c>
      <c r="G13510" s="332">
        <v>3966</v>
      </c>
      <c r="H13510" s="333">
        <v>4799</v>
      </c>
    </row>
    <row r="13511" spans="1:8">
      <c r="A13511" s="317">
        <v>2610388050</v>
      </c>
      <c r="B13511" s="330" t="s">
        <v>57864</v>
      </c>
      <c r="C13511" s="330" t="s">
        <v>28657</v>
      </c>
      <c r="D13511" s="330" t="s">
        <v>28658</v>
      </c>
      <c r="E13511" s="330" t="s">
        <v>4634</v>
      </c>
      <c r="F13511" s="331">
        <v>0.21</v>
      </c>
      <c r="G13511" s="332">
        <v>3966</v>
      </c>
      <c r="H13511" s="333">
        <v>4799</v>
      </c>
    </row>
    <row r="13512" spans="1:8">
      <c r="A13512" s="317">
        <v>2610388051</v>
      </c>
      <c r="B13512" s="330" t="s">
        <v>57865</v>
      </c>
      <c r="C13512" s="330" t="s">
        <v>28659</v>
      </c>
      <c r="D13512" s="330" t="s">
        <v>28660</v>
      </c>
      <c r="E13512" s="330" t="s">
        <v>4634</v>
      </c>
      <c r="F13512" s="331">
        <v>0.21</v>
      </c>
      <c r="G13512" s="332">
        <v>3966</v>
      </c>
      <c r="H13512" s="333">
        <v>4799</v>
      </c>
    </row>
    <row r="13513" spans="1:8">
      <c r="A13513" s="317">
        <v>2610388251</v>
      </c>
      <c r="B13513" s="330" t="s">
        <v>57866</v>
      </c>
      <c r="C13513" s="330" t="s">
        <v>28661</v>
      </c>
      <c r="D13513" s="330" t="s">
        <v>28662</v>
      </c>
      <c r="E13513" s="330" t="s">
        <v>4634</v>
      </c>
      <c r="F13513" s="331">
        <v>0.21</v>
      </c>
      <c r="G13513" s="332">
        <v>1494</v>
      </c>
      <c r="H13513" s="333">
        <v>1808</v>
      </c>
    </row>
    <row r="13514" spans="1:8">
      <c r="A13514" s="317">
        <v>2610388369</v>
      </c>
      <c r="B13514" s="330" t="s">
        <v>57867</v>
      </c>
      <c r="C13514" s="330" t="s">
        <v>28663</v>
      </c>
      <c r="D13514" s="330" t="s">
        <v>28664</v>
      </c>
      <c r="E13514" s="330" t="s">
        <v>4634</v>
      </c>
      <c r="F13514" s="331">
        <v>0.21</v>
      </c>
      <c r="G13514" s="332">
        <v>2806</v>
      </c>
      <c r="H13514" s="333">
        <v>3396</v>
      </c>
    </row>
    <row r="13515" spans="1:8">
      <c r="A13515" s="317">
        <v>2610388523</v>
      </c>
      <c r="B13515" s="330" t="s">
        <v>57868</v>
      </c>
      <c r="C13515" s="330" t="s">
        <v>28665</v>
      </c>
      <c r="D13515" s="330" t="s">
        <v>28666</v>
      </c>
      <c r="E13515" s="330" t="s">
        <v>4634</v>
      </c>
      <c r="F13515" s="331">
        <v>0.21</v>
      </c>
      <c r="G13515" s="332">
        <v>5123</v>
      </c>
      <c r="H13515" s="333">
        <v>6199</v>
      </c>
    </row>
    <row r="13516" spans="1:8">
      <c r="A13516" s="317">
        <v>2610388701</v>
      </c>
      <c r="B13516" s="330" t="s">
        <v>57869</v>
      </c>
      <c r="C13516" s="330" t="s">
        <v>28667</v>
      </c>
      <c r="D13516" s="330" t="s">
        <v>28668</v>
      </c>
      <c r="E13516" s="330" t="s">
        <v>4634</v>
      </c>
      <c r="F13516" s="331">
        <v>0.21</v>
      </c>
      <c r="G13516" s="332">
        <v>820</v>
      </c>
      <c r="H13516" s="333">
        <v>993</v>
      </c>
    </row>
    <row r="13517" spans="1:8">
      <c r="A13517" s="317">
        <v>2610388757</v>
      </c>
      <c r="B13517" s="330" t="s">
        <v>57870</v>
      </c>
      <c r="C13517" s="330" t="s">
        <v>28669</v>
      </c>
      <c r="D13517" s="330" t="s">
        <v>28670</v>
      </c>
      <c r="E13517" s="330" t="s">
        <v>4634</v>
      </c>
      <c r="F13517" s="331">
        <v>0.21</v>
      </c>
      <c r="G13517" s="332">
        <v>6542</v>
      </c>
      <c r="H13517" s="333">
        <v>7916</v>
      </c>
    </row>
    <row r="13518" spans="1:8">
      <c r="A13518" s="317">
        <v>2610388759</v>
      </c>
      <c r="B13518" s="330" t="s">
        <v>57871</v>
      </c>
      <c r="C13518" s="330" t="s">
        <v>28671</v>
      </c>
      <c r="D13518" s="330" t="s">
        <v>28672</v>
      </c>
      <c r="E13518" s="330" t="s">
        <v>4634</v>
      </c>
      <c r="F13518" s="331">
        <v>0.21</v>
      </c>
      <c r="G13518" s="332">
        <v>1371</v>
      </c>
      <c r="H13518" s="333">
        <v>1659</v>
      </c>
    </row>
    <row r="13519" spans="1:8">
      <c r="A13519" s="317">
        <v>2610388779</v>
      </c>
      <c r="B13519" s="330" t="s">
        <v>57872</v>
      </c>
      <c r="C13519" s="330" t="s">
        <v>28673</v>
      </c>
      <c r="D13519" s="330" t="s">
        <v>28674</v>
      </c>
      <c r="E13519" s="330" t="s">
        <v>4634</v>
      </c>
      <c r="F13519" s="331">
        <v>0.21</v>
      </c>
      <c r="G13519" s="332">
        <v>648</v>
      </c>
      <c r="H13519" s="333">
        <v>785</v>
      </c>
    </row>
    <row r="13520" spans="1:8">
      <c r="A13520" s="317">
        <v>2610388781</v>
      </c>
      <c r="B13520" s="330" t="s">
        <v>57873</v>
      </c>
      <c r="C13520" s="330" t="s">
        <v>28675</v>
      </c>
      <c r="D13520" s="330" t="s">
        <v>28676</v>
      </c>
      <c r="E13520" s="330" t="s">
        <v>4634</v>
      </c>
      <c r="F13520" s="331">
        <v>0.21</v>
      </c>
      <c r="G13520" s="332">
        <v>329</v>
      </c>
      <c r="H13520" s="333">
        <v>399</v>
      </c>
    </row>
    <row r="13521" spans="1:8">
      <c r="A13521" s="317">
        <v>2610388813</v>
      </c>
      <c r="B13521" s="330" t="s">
        <v>57874</v>
      </c>
      <c r="C13521" s="330" t="s">
        <v>28677</v>
      </c>
      <c r="D13521" s="330" t="s">
        <v>28678</v>
      </c>
      <c r="E13521" s="330" t="s">
        <v>4634</v>
      </c>
      <c r="F13521" s="331">
        <v>0.21</v>
      </c>
      <c r="G13521" s="332">
        <v>541</v>
      </c>
      <c r="H13521" s="333">
        <v>655</v>
      </c>
    </row>
    <row r="13522" spans="1:8">
      <c r="A13522" s="317">
        <v>2610388840</v>
      </c>
      <c r="B13522" s="330" t="s">
        <v>57875</v>
      </c>
      <c r="C13522" s="330" t="s">
        <v>28679</v>
      </c>
      <c r="D13522" s="330" t="s">
        <v>28680</v>
      </c>
      <c r="E13522" s="330" t="s">
        <v>4634</v>
      </c>
      <c r="F13522" s="331">
        <v>0.21</v>
      </c>
      <c r="G13522" s="332">
        <v>1547</v>
      </c>
      <c r="H13522" s="333">
        <v>1872</v>
      </c>
    </row>
    <row r="13523" spans="1:8">
      <c r="A13523" s="317">
        <v>2610388950</v>
      </c>
      <c r="B13523" s="330" t="s">
        <v>57876</v>
      </c>
      <c r="C13523" s="330" t="s">
        <v>28681</v>
      </c>
      <c r="D13523" s="330" t="s">
        <v>28682</v>
      </c>
      <c r="E13523" s="330" t="s">
        <v>4634</v>
      </c>
      <c r="F13523" s="331">
        <v>0.21</v>
      </c>
      <c r="G13523" s="332">
        <v>5157</v>
      </c>
      <c r="H13523" s="333">
        <v>6240</v>
      </c>
    </row>
    <row r="13524" spans="1:8">
      <c r="A13524" s="317">
        <v>2610388968</v>
      </c>
      <c r="B13524" s="330" t="s">
        <v>57877</v>
      </c>
      <c r="C13524" s="330" t="s">
        <v>28683</v>
      </c>
      <c r="D13524" s="330" t="s">
        <v>28684</v>
      </c>
      <c r="E13524" s="330" t="s">
        <v>4634</v>
      </c>
      <c r="F13524" s="331">
        <v>0.21</v>
      </c>
      <c r="G13524" s="332">
        <v>126</v>
      </c>
      <c r="H13524" s="333">
        <v>153</v>
      </c>
    </row>
    <row r="13525" spans="1:8">
      <c r="A13525" s="317">
        <v>2610389010</v>
      </c>
      <c r="B13525" s="330" t="s">
        <v>57878</v>
      </c>
      <c r="C13525" s="330" t="s">
        <v>28685</v>
      </c>
      <c r="D13525" s="330" t="s">
        <v>28686</v>
      </c>
      <c r="E13525" s="330" t="s">
        <v>4634</v>
      </c>
      <c r="F13525" s="331">
        <v>0.21</v>
      </c>
      <c r="G13525" s="332">
        <v>519</v>
      </c>
      <c r="H13525" s="333">
        <v>628</v>
      </c>
    </row>
    <row r="13526" spans="1:8">
      <c r="A13526" s="317">
        <v>2610389032</v>
      </c>
      <c r="B13526" s="330" t="s">
        <v>57879</v>
      </c>
      <c r="C13526" s="330" t="s">
        <v>28687</v>
      </c>
      <c r="D13526" s="330" t="s">
        <v>9067</v>
      </c>
      <c r="E13526" s="330" t="s">
        <v>4634</v>
      </c>
      <c r="F13526" s="331">
        <v>0.21</v>
      </c>
      <c r="G13526" s="332">
        <v>4004</v>
      </c>
      <c r="H13526" s="333">
        <v>4845</v>
      </c>
    </row>
    <row r="13527" spans="1:8">
      <c r="A13527" s="317">
        <v>2610389035</v>
      </c>
      <c r="B13527" s="330" t="s">
        <v>57880</v>
      </c>
      <c r="C13527" s="330" t="s">
        <v>28688</v>
      </c>
      <c r="D13527" s="330" t="s">
        <v>28689</v>
      </c>
      <c r="E13527" s="330" t="s">
        <v>4634</v>
      </c>
      <c r="F13527" s="331">
        <v>0.21</v>
      </c>
      <c r="G13527" s="332">
        <v>3490</v>
      </c>
      <c r="H13527" s="333">
        <v>4223</v>
      </c>
    </row>
    <row r="13528" spans="1:8">
      <c r="A13528" s="317">
        <v>2610389036</v>
      </c>
      <c r="B13528" s="330" t="s">
        <v>57881</v>
      </c>
      <c r="C13528" s="330" t="s">
        <v>28690</v>
      </c>
      <c r="D13528" s="330" t="s">
        <v>28691</v>
      </c>
      <c r="E13528" s="330" t="s">
        <v>4634</v>
      </c>
      <c r="F13528" s="331">
        <v>0.21</v>
      </c>
      <c r="G13528" s="332">
        <v>7463</v>
      </c>
      <c r="H13528" s="333">
        <v>9031</v>
      </c>
    </row>
    <row r="13529" spans="1:8">
      <c r="A13529" s="317">
        <v>2610389040</v>
      </c>
      <c r="B13529" s="330" t="s">
        <v>57882</v>
      </c>
      <c r="C13529" s="330" t="s">
        <v>28692</v>
      </c>
      <c r="D13529" s="330" t="s">
        <v>28693</v>
      </c>
      <c r="E13529" s="330" t="s">
        <v>4634</v>
      </c>
      <c r="F13529" s="331">
        <v>0.21</v>
      </c>
      <c r="G13529" s="332">
        <v>2146</v>
      </c>
      <c r="H13529" s="333">
        <v>2597</v>
      </c>
    </row>
    <row r="13530" spans="1:8">
      <c r="A13530" s="317">
        <v>2610389123</v>
      </c>
      <c r="B13530" s="330" t="s">
        <v>57883</v>
      </c>
      <c r="C13530" s="330" t="s">
        <v>28694</v>
      </c>
      <c r="D13530" s="330" t="s">
        <v>28695</v>
      </c>
      <c r="E13530" s="330" t="s">
        <v>4634</v>
      </c>
      <c r="F13530" s="331">
        <v>0.21</v>
      </c>
      <c r="G13530" s="332">
        <v>1371</v>
      </c>
      <c r="H13530" s="333">
        <v>1659</v>
      </c>
    </row>
    <row r="13531" spans="1:8">
      <c r="A13531" s="317">
        <v>2610389703</v>
      </c>
      <c r="B13531" s="330" t="s">
        <v>57884</v>
      </c>
      <c r="C13531" s="330" t="s">
        <v>28696</v>
      </c>
      <c r="D13531" s="330" t="s">
        <v>28697</v>
      </c>
      <c r="E13531" s="330" t="s">
        <v>4634</v>
      </c>
      <c r="F13531" s="331">
        <v>0.21</v>
      </c>
      <c r="G13531" s="332">
        <v>3383</v>
      </c>
      <c r="H13531" s="333">
        <v>4094</v>
      </c>
    </row>
    <row r="13532" spans="1:8">
      <c r="A13532" s="317">
        <v>2610389756</v>
      </c>
      <c r="B13532" s="330" t="s">
        <v>57885</v>
      </c>
      <c r="C13532" s="330" t="s">
        <v>28698</v>
      </c>
      <c r="D13532" s="330" t="s">
        <v>28699</v>
      </c>
      <c r="E13532" s="330" t="s">
        <v>4634</v>
      </c>
      <c r="F13532" s="331">
        <v>0.21</v>
      </c>
      <c r="G13532" s="332">
        <v>6065</v>
      </c>
      <c r="H13532" s="333">
        <v>7339</v>
      </c>
    </row>
    <row r="13533" spans="1:8">
      <c r="A13533" s="317">
        <v>2610390098</v>
      </c>
      <c r="B13533" s="330" t="s">
        <v>57886</v>
      </c>
      <c r="C13533" s="330" t="s">
        <v>28700</v>
      </c>
      <c r="D13533" s="330" t="s">
        <v>28701</v>
      </c>
      <c r="E13533" s="330" t="s">
        <v>4634</v>
      </c>
      <c r="F13533" s="331">
        <v>0.21</v>
      </c>
      <c r="G13533" s="332">
        <v>5239</v>
      </c>
      <c r="H13533" s="333">
        <v>6340</v>
      </c>
    </row>
    <row r="13534" spans="1:8">
      <c r="A13534" s="317">
        <v>2610390620</v>
      </c>
      <c r="B13534" s="330" t="s">
        <v>57887</v>
      </c>
      <c r="C13534" s="330" t="s">
        <v>28702</v>
      </c>
      <c r="D13534" s="330" t="s">
        <v>28703</v>
      </c>
      <c r="E13534" s="330" t="s">
        <v>4634</v>
      </c>
      <c r="F13534" s="331">
        <v>0.21</v>
      </c>
      <c r="G13534" s="332">
        <v>5117</v>
      </c>
      <c r="H13534" s="333">
        <v>6192</v>
      </c>
    </row>
    <row r="13535" spans="1:8">
      <c r="A13535" s="317">
        <v>2610390892</v>
      </c>
      <c r="B13535" s="330" t="s">
        <v>57888</v>
      </c>
      <c r="C13535" s="330" t="s">
        <v>28704</v>
      </c>
      <c r="D13535" s="330" t="s">
        <v>28705</v>
      </c>
      <c r="E13535" s="330" t="s">
        <v>4634</v>
      </c>
      <c r="F13535" s="331">
        <v>0.21</v>
      </c>
      <c r="G13535" s="332">
        <v>4432</v>
      </c>
      <c r="H13535" s="333">
        <v>5363</v>
      </c>
    </row>
    <row r="13536" spans="1:8">
      <c r="A13536" s="317">
        <v>2610390992</v>
      </c>
      <c r="B13536" s="330" t="s">
        <v>57889</v>
      </c>
      <c r="C13536" s="330" t="s">
        <v>28706</v>
      </c>
      <c r="D13536" s="330" t="s">
        <v>28707</v>
      </c>
      <c r="E13536" s="330" t="s">
        <v>4634</v>
      </c>
      <c r="F13536" s="331">
        <v>0.21</v>
      </c>
      <c r="G13536" s="332">
        <v>15876</v>
      </c>
      <c r="H13536" s="333">
        <v>19210</v>
      </c>
    </row>
    <row r="13537" spans="1:8">
      <c r="A13537" s="317">
        <v>2610391898</v>
      </c>
      <c r="B13537" s="330" t="s">
        <v>57890</v>
      </c>
      <c r="C13537" s="330" t="s">
        <v>28708</v>
      </c>
      <c r="D13537" s="330" t="s">
        <v>28709</v>
      </c>
      <c r="E13537" s="330" t="s">
        <v>4634</v>
      </c>
      <c r="F13537" s="331">
        <v>0.21</v>
      </c>
      <c r="G13537" s="332">
        <v>2707</v>
      </c>
      <c r="H13537" s="333">
        <v>3276</v>
      </c>
    </row>
    <row r="13538" spans="1:8">
      <c r="A13538" s="317">
        <v>2610392429</v>
      </c>
      <c r="B13538" s="330" t="s">
        <v>57891</v>
      </c>
      <c r="C13538" s="330" t="s">
        <v>28710</v>
      </c>
      <c r="D13538" s="330" t="s">
        <v>28711</v>
      </c>
      <c r="E13538" s="330" t="s">
        <v>4634</v>
      </c>
      <c r="F13538" s="331">
        <v>0.21</v>
      </c>
      <c r="G13538" s="332">
        <v>968</v>
      </c>
      <c r="H13538" s="333">
        <v>1172</v>
      </c>
    </row>
    <row r="13539" spans="1:8">
      <c r="A13539" s="317">
        <v>2610393200</v>
      </c>
      <c r="B13539" s="330" t="s">
        <v>57892</v>
      </c>
      <c r="C13539" s="330" t="s">
        <v>28712</v>
      </c>
      <c r="D13539" s="330" t="s">
        <v>5073</v>
      </c>
      <c r="E13539" s="330" t="s">
        <v>4634</v>
      </c>
      <c r="F13539" s="331">
        <v>0.21</v>
      </c>
      <c r="G13539" s="332">
        <v>11291</v>
      </c>
      <c r="H13539" s="333">
        <v>13663</v>
      </c>
    </row>
    <row r="13540" spans="1:8">
      <c r="A13540" s="317">
        <v>2610393201</v>
      </c>
      <c r="B13540" s="330" t="s">
        <v>57893</v>
      </c>
      <c r="C13540" s="330" t="s">
        <v>28713</v>
      </c>
      <c r="D13540" s="330" t="s">
        <v>28714</v>
      </c>
      <c r="E13540" s="330" t="s">
        <v>4634</v>
      </c>
      <c r="F13540" s="331">
        <v>0.21</v>
      </c>
      <c r="G13540" s="332">
        <v>3535</v>
      </c>
      <c r="H13540" s="333">
        <v>4278</v>
      </c>
    </row>
    <row r="13541" spans="1:8">
      <c r="A13541" s="317">
        <v>2610393202</v>
      </c>
      <c r="B13541" s="330" t="s">
        <v>57894</v>
      </c>
      <c r="C13541" s="330" t="s">
        <v>28715</v>
      </c>
      <c r="D13541" s="330" t="s">
        <v>28716</v>
      </c>
      <c r="E13541" s="330" t="s">
        <v>4634</v>
      </c>
      <c r="F13541" s="331">
        <v>0.21</v>
      </c>
      <c r="G13541" s="332">
        <v>40568</v>
      </c>
      <c r="H13541" s="333">
        <v>49088</v>
      </c>
    </row>
    <row r="13542" spans="1:8">
      <c r="A13542" s="317">
        <v>2610393203</v>
      </c>
      <c r="B13542" s="330" t="s">
        <v>57895</v>
      </c>
      <c r="C13542" s="330" t="s">
        <v>28717</v>
      </c>
      <c r="D13542" s="330" t="s">
        <v>28716</v>
      </c>
      <c r="E13542" s="330" t="s">
        <v>4634</v>
      </c>
      <c r="F13542" s="331">
        <v>0.21</v>
      </c>
      <c r="G13542" s="332">
        <v>12315</v>
      </c>
      <c r="H13542" s="333">
        <v>14902</v>
      </c>
    </row>
    <row r="13543" spans="1:8">
      <c r="A13543" s="317">
        <v>2610393204</v>
      </c>
      <c r="B13543" s="330" t="s">
        <v>57896</v>
      </c>
      <c r="C13543" s="330" t="s">
        <v>28718</v>
      </c>
      <c r="D13543" s="330" t="s">
        <v>5044</v>
      </c>
      <c r="E13543" s="330" t="s">
        <v>4634</v>
      </c>
      <c r="F13543" s="331">
        <v>0.21</v>
      </c>
      <c r="G13543" s="332">
        <v>4653</v>
      </c>
      <c r="H13543" s="333">
        <v>5631</v>
      </c>
    </row>
    <row r="13544" spans="1:8">
      <c r="A13544" s="317">
        <v>2610393205</v>
      </c>
      <c r="B13544" s="330" t="s">
        <v>57897</v>
      </c>
      <c r="C13544" s="330" t="s">
        <v>28719</v>
      </c>
      <c r="D13544" s="330" t="s">
        <v>28720</v>
      </c>
      <c r="E13544" s="330" t="s">
        <v>4634</v>
      </c>
      <c r="F13544" s="331">
        <v>0.21</v>
      </c>
      <c r="G13544" s="332">
        <v>39243</v>
      </c>
      <c r="H13544" s="333">
        <v>47485</v>
      </c>
    </row>
    <row r="13545" spans="1:8">
      <c r="A13545" s="317">
        <v>2610393206</v>
      </c>
      <c r="B13545" s="330" t="s">
        <v>57898</v>
      </c>
      <c r="C13545" s="330" t="s">
        <v>28721</v>
      </c>
      <c r="D13545" s="330" t="s">
        <v>28722</v>
      </c>
      <c r="E13545" s="330" t="s">
        <v>4634</v>
      </c>
      <c r="F13545" s="331">
        <v>0.21</v>
      </c>
      <c r="G13545" s="332">
        <v>11291</v>
      </c>
      <c r="H13545" s="333">
        <v>13663</v>
      </c>
    </row>
    <row r="13546" spans="1:8">
      <c r="A13546" s="317">
        <v>2610393207</v>
      </c>
      <c r="B13546" s="330" t="s">
        <v>57899</v>
      </c>
      <c r="C13546" s="330" t="s">
        <v>28723</v>
      </c>
      <c r="D13546" s="330" t="s">
        <v>28724</v>
      </c>
      <c r="E13546" s="330" t="s">
        <v>4634</v>
      </c>
      <c r="F13546" s="331">
        <v>0.21</v>
      </c>
      <c r="G13546" s="332">
        <v>31444</v>
      </c>
      <c r="H13546" s="333">
        <v>38048</v>
      </c>
    </row>
    <row r="13547" spans="1:8">
      <c r="A13547" s="317">
        <v>2610393208</v>
      </c>
      <c r="B13547" s="330" t="s">
        <v>57900</v>
      </c>
      <c r="C13547" s="330" t="s">
        <v>28725</v>
      </c>
      <c r="D13547" s="330" t="s">
        <v>28726</v>
      </c>
      <c r="E13547" s="330" t="s">
        <v>4634</v>
      </c>
      <c r="F13547" s="331">
        <v>0.21</v>
      </c>
      <c r="G13547" s="332">
        <v>12035</v>
      </c>
      <c r="H13547" s="333">
        <v>14563</v>
      </c>
    </row>
    <row r="13548" spans="1:8">
      <c r="A13548" s="317">
        <v>2610393209</v>
      </c>
      <c r="B13548" s="330" t="s">
        <v>57901</v>
      </c>
      <c r="C13548" s="330" t="s">
        <v>28727</v>
      </c>
      <c r="D13548" s="330" t="s">
        <v>28728</v>
      </c>
      <c r="E13548" s="330" t="s">
        <v>4634</v>
      </c>
      <c r="F13548" s="331">
        <v>0.21</v>
      </c>
      <c r="G13548" s="332">
        <v>8262</v>
      </c>
      <c r="H13548" s="333">
        <v>9998</v>
      </c>
    </row>
    <row r="13549" spans="1:8">
      <c r="A13549" s="317">
        <v>2610393210</v>
      </c>
      <c r="B13549" s="330" t="s">
        <v>57902</v>
      </c>
      <c r="C13549" s="330" t="s">
        <v>28729</v>
      </c>
      <c r="D13549" s="330" t="s">
        <v>28730</v>
      </c>
      <c r="E13549" s="330" t="s">
        <v>4634</v>
      </c>
      <c r="F13549" s="331">
        <v>0.21</v>
      </c>
      <c r="G13549" s="332">
        <v>15122</v>
      </c>
      <c r="H13549" s="333">
        <v>18298</v>
      </c>
    </row>
    <row r="13550" spans="1:8">
      <c r="A13550" s="317">
        <v>2610393212</v>
      </c>
      <c r="B13550" s="330" t="s">
        <v>57903</v>
      </c>
      <c r="C13550" s="330" t="s">
        <v>28731</v>
      </c>
      <c r="D13550" s="330" t="s">
        <v>28732</v>
      </c>
      <c r="E13550" s="330" t="s">
        <v>4634</v>
      </c>
      <c r="F13550" s="331">
        <v>0.21</v>
      </c>
      <c r="G13550" s="332">
        <v>236</v>
      </c>
      <c r="H13550" s="333">
        <v>286</v>
      </c>
    </row>
    <row r="13551" spans="1:8">
      <c r="A13551" s="317">
        <v>2610393213</v>
      </c>
      <c r="B13551" s="330" t="s">
        <v>57904</v>
      </c>
      <c r="C13551" s="330" t="s">
        <v>28733</v>
      </c>
      <c r="D13551" s="330" t="s">
        <v>28734</v>
      </c>
      <c r="E13551" s="330" t="s">
        <v>4634</v>
      </c>
      <c r="F13551" s="331">
        <v>0.21</v>
      </c>
      <c r="G13551" s="332">
        <v>1980</v>
      </c>
      <c r="H13551" s="333">
        <v>2396</v>
      </c>
    </row>
    <row r="13552" spans="1:8">
      <c r="A13552" s="317">
        <v>2610393214</v>
      </c>
      <c r="B13552" s="330" t="s">
        <v>57905</v>
      </c>
      <c r="C13552" s="330" t="s">
        <v>28735</v>
      </c>
      <c r="D13552" s="330" t="s">
        <v>28736</v>
      </c>
      <c r="E13552" s="330" t="s">
        <v>4634</v>
      </c>
      <c r="F13552" s="331">
        <v>0.21</v>
      </c>
      <c r="G13552" s="332">
        <v>9744</v>
      </c>
      <c r="H13552" s="333">
        <v>11791</v>
      </c>
    </row>
    <row r="13553" spans="1:8">
      <c r="A13553" s="317">
        <v>2610393215</v>
      </c>
      <c r="B13553" s="330" t="s">
        <v>57906</v>
      </c>
      <c r="C13553" s="330" t="s">
        <v>28737</v>
      </c>
      <c r="D13553" s="330" t="s">
        <v>28738</v>
      </c>
      <c r="E13553" s="330" t="s">
        <v>4634</v>
      </c>
      <c r="F13553" s="331">
        <v>0.21</v>
      </c>
      <c r="G13553" s="332">
        <v>13110</v>
      </c>
      <c r="H13553" s="333">
        <v>15864</v>
      </c>
    </row>
    <row r="13554" spans="1:8">
      <c r="A13554" s="317">
        <v>2610393852</v>
      </c>
      <c r="B13554" s="330" t="s">
        <v>57907</v>
      </c>
      <c r="C13554" s="330" t="s">
        <v>28739</v>
      </c>
      <c r="D13554" s="330" t="s">
        <v>28740</v>
      </c>
      <c r="E13554" s="330" t="s">
        <v>4634</v>
      </c>
      <c r="F13554" s="331">
        <v>0.21</v>
      </c>
      <c r="G13554" s="332">
        <v>5137</v>
      </c>
      <c r="H13554" s="333">
        <v>6216</v>
      </c>
    </row>
    <row r="13555" spans="1:8">
      <c r="A13555" s="317">
        <v>2610393855</v>
      </c>
      <c r="B13555" s="330" t="s">
        <v>57908</v>
      </c>
      <c r="C13555" s="330" t="s">
        <v>28741</v>
      </c>
      <c r="D13555" s="330" t="s">
        <v>28742</v>
      </c>
      <c r="E13555" s="330" t="s">
        <v>4634</v>
      </c>
      <c r="F13555" s="331">
        <v>0.21</v>
      </c>
      <c r="G13555" s="332">
        <v>9822</v>
      </c>
      <c r="H13555" s="333">
        <v>11885</v>
      </c>
    </row>
    <row r="13556" spans="1:8">
      <c r="A13556" s="317">
        <v>2610393858</v>
      </c>
      <c r="B13556" s="330" t="s">
        <v>57909</v>
      </c>
      <c r="C13556" s="330" t="s">
        <v>28743</v>
      </c>
      <c r="D13556" s="330" t="s">
        <v>28744</v>
      </c>
      <c r="E13556" s="330" t="s">
        <v>4634</v>
      </c>
      <c r="F13556" s="331">
        <v>0.21</v>
      </c>
      <c r="G13556" s="332">
        <v>10082</v>
      </c>
      <c r="H13556" s="333">
        <v>12200</v>
      </c>
    </row>
    <row r="13557" spans="1:8">
      <c r="A13557" s="317">
        <v>2610393904</v>
      </c>
      <c r="B13557" s="330" t="s">
        <v>57910</v>
      </c>
      <c r="C13557" s="330" t="s">
        <v>28745</v>
      </c>
      <c r="D13557" s="330" t="s">
        <v>28746</v>
      </c>
      <c r="E13557" s="330" t="s">
        <v>4634</v>
      </c>
      <c r="F13557" s="331">
        <v>0.21</v>
      </c>
      <c r="G13557" s="332">
        <v>3171</v>
      </c>
      <c r="H13557" s="333">
        <v>3837</v>
      </c>
    </row>
    <row r="13558" spans="1:8">
      <c r="A13558" s="317">
        <v>2610393906</v>
      </c>
      <c r="B13558" s="330" t="s">
        <v>57911</v>
      </c>
      <c r="C13558" s="330" t="s">
        <v>28747</v>
      </c>
      <c r="D13558" s="330" t="s">
        <v>28748</v>
      </c>
      <c r="E13558" s="330" t="s">
        <v>4634</v>
      </c>
      <c r="F13558" s="331">
        <v>0.21</v>
      </c>
      <c r="G13558" s="332">
        <v>3789</v>
      </c>
      <c r="H13558" s="333">
        <v>4585</v>
      </c>
    </row>
    <row r="13559" spans="1:8">
      <c r="A13559" s="317">
        <v>2610393908</v>
      </c>
      <c r="B13559" s="330" t="s">
        <v>57912</v>
      </c>
      <c r="C13559" s="330" t="s">
        <v>28749</v>
      </c>
      <c r="D13559" s="330" t="s">
        <v>28750</v>
      </c>
      <c r="E13559" s="330" t="s">
        <v>4634</v>
      </c>
      <c r="F13559" s="331">
        <v>0.21</v>
      </c>
      <c r="G13559" s="332">
        <v>4459</v>
      </c>
      <c r="H13559" s="333">
        <v>5396</v>
      </c>
    </row>
    <row r="13560" spans="1:8">
      <c r="A13560" s="317">
        <v>2610394008</v>
      </c>
      <c r="B13560" s="330" t="s">
        <v>57913</v>
      </c>
      <c r="C13560" s="330" t="s">
        <v>28751</v>
      </c>
      <c r="D13560" s="330" t="s">
        <v>28752</v>
      </c>
      <c r="E13560" s="330" t="s">
        <v>4634</v>
      </c>
      <c r="F13560" s="331">
        <v>0.21</v>
      </c>
      <c r="G13560" s="332">
        <v>7618</v>
      </c>
      <c r="H13560" s="333">
        <v>9218</v>
      </c>
    </row>
    <row r="13561" spans="1:8">
      <c r="A13561" s="317">
        <v>2610394009</v>
      </c>
      <c r="B13561" s="330" t="s">
        <v>57914</v>
      </c>
      <c r="C13561" s="330" t="s">
        <v>28753</v>
      </c>
      <c r="D13561" s="330" t="s">
        <v>28754</v>
      </c>
      <c r="E13561" s="330" t="s">
        <v>4634</v>
      </c>
      <c r="F13561" s="331">
        <v>0.21</v>
      </c>
      <c r="G13561" s="332">
        <v>4320</v>
      </c>
      <c r="H13561" s="333">
        <v>5228</v>
      </c>
    </row>
    <row r="13562" spans="1:8">
      <c r="A13562" s="317">
        <v>2610394010</v>
      </c>
      <c r="B13562" s="330" t="s">
        <v>57915</v>
      </c>
      <c r="C13562" s="330" t="s">
        <v>28755</v>
      </c>
      <c r="D13562" s="330" t="s">
        <v>5073</v>
      </c>
      <c r="E13562" s="330" t="s">
        <v>4634</v>
      </c>
      <c r="F13562" s="331">
        <v>0.21</v>
      </c>
      <c r="G13562" s="332">
        <v>27155</v>
      </c>
      <c r="H13562" s="333">
        <v>32858</v>
      </c>
    </row>
    <row r="13563" spans="1:8">
      <c r="A13563" s="317">
        <v>2610394011</v>
      </c>
      <c r="B13563" s="330" t="s">
        <v>57916</v>
      </c>
      <c r="C13563" s="330" t="s">
        <v>28756</v>
      </c>
      <c r="D13563" s="330" t="s">
        <v>11209</v>
      </c>
      <c r="E13563" s="330" t="s">
        <v>4634</v>
      </c>
      <c r="F13563" s="331">
        <v>0.21</v>
      </c>
      <c r="G13563" s="332">
        <v>4428</v>
      </c>
      <c r="H13563" s="333">
        <v>5358</v>
      </c>
    </row>
    <row r="13564" spans="1:8">
      <c r="A13564" s="317">
        <v>2610394012</v>
      </c>
      <c r="B13564" s="330" t="s">
        <v>57917</v>
      </c>
      <c r="C13564" s="330" t="s">
        <v>28757</v>
      </c>
      <c r="D13564" s="330" t="s">
        <v>28758</v>
      </c>
      <c r="E13564" s="330" t="s">
        <v>4634</v>
      </c>
      <c r="F13564" s="331">
        <v>0.21</v>
      </c>
      <c r="G13564" s="332">
        <v>8481</v>
      </c>
      <c r="H13564" s="333">
        <v>10263</v>
      </c>
    </row>
    <row r="13565" spans="1:8">
      <c r="A13565" s="317">
        <v>2610394013</v>
      </c>
      <c r="B13565" s="330" t="s">
        <v>57918</v>
      </c>
      <c r="C13565" s="330" t="s">
        <v>28759</v>
      </c>
      <c r="D13565" s="330" t="s">
        <v>9501</v>
      </c>
      <c r="E13565" s="330" t="s">
        <v>4634</v>
      </c>
      <c r="F13565" s="331">
        <v>0.21</v>
      </c>
      <c r="G13565" s="332">
        <v>23133</v>
      </c>
      <c r="H13565" s="333">
        <v>27991</v>
      </c>
    </row>
    <row r="13566" spans="1:8">
      <c r="A13566" s="317">
        <v>2610394014</v>
      </c>
      <c r="B13566" s="330" t="s">
        <v>57919</v>
      </c>
      <c r="C13566" s="330" t="s">
        <v>28760</v>
      </c>
      <c r="D13566" s="330" t="s">
        <v>21267</v>
      </c>
      <c r="E13566" s="330" t="s">
        <v>4634</v>
      </c>
      <c r="F13566" s="331">
        <v>0.21</v>
      </c>
      <c r="G13566" s="332">
        <v>854</v>
      </c>
      <c r="H13566" s="333">
        <v>1034</v>
      </c>
    </row>
    <row r="13567" spans="1:8">
      <c r="A13567" s="317">
        <v>2610394092</v>
      </c>
      <c r="B13567" s="330" t="s">
        <v>57920</v>
      </c>
      <c r="C13567" s="330" t="s">
        <v>28761</v>
      </c>
      <c r="D13567" s="330" t="s">
        <v>28762</v>
      </c>
      <c r="E13567" s="330" t="s">
        <v>4634</v>
      </c>
      <c r="F13567" s="331">
        <v>0.21</v>
      </c>
      <c r="G13567" s="332">
        <v>1233</v>
      </c>
      <c r="H13567" s="333">
        <v>1492</v>
      </c>
    </row>
    <row r="13568" spans="1:8">
      <c r="A13568" s="317">
        <v>2610394095</v>
      </c>
      <c r="B13568" s="330" t="s">
        <v>57921</v>
      </c>
      <c r="C13568" s="330" t="s">
        <v>28763</v>
      </c>
      <c r="D13568" s="330" t="s">
        <v>14777</v>
      </c>
      <c r="E13568" s="330" t="s">
        <v>4634</v>
      </c>
      <c r="F13568" s="331">
        <v>0.21</v>
      </c>
      <c r="G13568" s="332">
        <v>280</v>
      </c>
      <c r="H13568" s="333">
        <v>339</v>
      </c>
    </row>
    <row r="13569" spans="1:8">
      <c r="A13569" s="317">
        <v>2610394097</v>
      </c>
      <c r="B13569" s="330" t="s">
        <v>57922</v>
      </c>
      <c r="C13569" s="330" t="s">
        <v>28764</v>
      </c>
      <c r="D13569" s="330" t="s">
        <v>12614</v>
      </c>
      <c r="E13569" s="330" t="s">
        <v>4623</v>
      </c>
      <c r="F13569" s="331">
        <v>0.21</v>
      </c>
      <c r="G13569" s="332">
        <v>1530</v>
      </c>
      <c r="H13569" s="333">
        <v>1852</v>
      </c>
    </row>
    <row r="13570" spans="1:8">
      <c r="A13570" s="317">
        <v>2610394098</v>
      </c>
      <c r="B13570" s="330" t="s">
        <v>57923</v>
      </c>
      <c r="C13570" s="330" t="s">
        <v>28765</v>
      </c>
      <c r="D13570" s="330" t="s">
        <v>7991</v>
      </c>
      <c r="E13570" s="330" t="s">
        <v>4634</v>
      </c>
      <c r="F13570" s="331">
        <v>0.21</v>
      </c>
      <c r="G13570" s="332">
        <v>1273</v>
      </c>
      <c r="H13570" s="333">
        <v>1541</v>
      </c>
    </row>
    <row r="13571" spans="1:8">
      <c r="A13571" s="317">
        <v>2610394099</v>
      </c>
      <c r="B13571" s="330" t="s">
        <v>57924</v>
      </c>
      <c r="C13571" s="330" t="s">
        <v>28766</v>
      </c>
      <c r="D13571" s="330" t="s">
        <v>20964</v>
      </c>
      <c r="E13571" s="330" t="s">
        <v>4634</v>
      </c>
      <c r="F13571" s="331">
        <v>0.21</v>
      </c>
      <c r="G13571" s="332">
        <v>1731</v>
      </c>
      <c r="H13571" s="333">
        <v>2095</v>
      </c>
    </row>
    <row r="13572" spans="1:8">
      <c r="A13572" s="317">
        <v>2610394100</v>
      </c>
      <c r="B13572" s="330" t="s">
        <v>57925</v>
      </c>
      <c r="C13572" s="330" t="s">
        <v>28767</v>
      </c>
      <c r="D13572" s="330" t="s">
        <v>28768</v>
      </c>
      <c r="E13572" s="330" t="s">
        <v>4623</v>
      </c>
      <c r="F13572" s="331">
        <v>0.21</v>
      </c>
      <c r="G13572" s="332">
        <v>1639</v>
      </c>
      <c r="H13572" s="333">
        <v>1984</v>
      </c>
    </row>
    <row r="13573" spans="1:8">
      <c r="A13573" s="317">
        <v>2610394101</v>
      </c>
      <c r="B13573" s="330" t="s">
        <v>57926</v>
      </c>
      <c r="C13573" s="330" t="s">
        <v>28769</v>
      </c>
      <c r="D13573" s="330" t="s">
        <v>28770</v>
      </c>
      <c r="E13573" s="330" t="s">
        <v>4634</v>
      </c>
      <c r="F13573" s="331">
        <v>0.21</v>
      </c>
      <c r="G13573" s="332">
        <v>481</v>
      </c>
      <c r="H13573" s="333">
        <v>583</v>
      </c>
    </row>
    <row r="13574" spans="1:8">
      <c r="A13574" s="317">
        <v>2610394102</v>
      </c>
      <c r="B13574" s="330" t="s">
        <v>57927</v>
      </c>
      <c r="C13574" s="330" t="s">
        <v>28771</v>
      </c>
      <c r="D13574" s="330" t="s">
        <v>28772</v>
      </c>
      <c r="E13574" s="330" t="s">
        <v>4634</v>
      </c>
      <c r="F13574" s="331">
        <v>0.21</v>
      </c>
      <c r="G13574" s="332">
        <v>9505</v>
      </c>
      <c r="H13574" s="333">
        <v>11502</v>
      </c>
    </row>
    <row r="13575" spans="1:8">
      <c r="A13575" s="317">
        <v>2610394103</v>
      </c>
      <c r="B13575" s="330" t="s">
        <v>57928</v>
      </c>
      <c r="C13575" s="330" t="s">
        <v>28773</v>
      </c>
      <c r="D13575" s="330" t="s">
        <v>28774</v>
      </c>
      <c r="E13575" s="330" t="s">
        <v>4634</v>
      </c>
      <c r="F13575" s="331">
        <v>0.21</v>
      </c>
      <c r="G13575" s="332">
        <v>4325</v>
      </c>
      <c r="H13575" s="333">
        <v>5234</v>
      </c>
    </row>
    <row r="13576" spans="1:8">
      <c r="A13576" s="317">
        <v>2610394105</v>
      </c>
      <c r="B13576" s="330" t="s">
        <v>57929</v>
      </c>
      <c r="C13576" s="330" t="s">
        <v>28775</v>
      </c>
      <c r="D13576" s="330" t="s">
        <v>28776</v>
      </c>
      <c r="E13576" s="330" t="s">
        <v>4634</v>
      </c>
      <c r="F13576" s="331">
        <v>0.21</v>
      </c>
      <c r="G13576" s="332">
        <v>5008</v>
      </c>
      <c r="H13576" s="333">
        <v>6060</v>
      </c>
    </row>
    <row r="13577" spans="1:8">
      <c r="A13577" s="317">
        <v>2610394289</v>
      </c>
      <c r="B13577" s="330" t="s">
        <v>57930</v>
      </c>
      <c r="C13577" s="330" t="s">
        <v>28777</v>
      </c>
      <c r="D13577" s="330" t="s">
        <v>28778</v>
      </c>
      <c r="E13577" s="330" t="s">
        <v>4634</v>
      </c>
      <c r="F13577" s="331">
        <v>0.21</v>
      </c>
      <c r="G13577" s="332">
        <v>2841</v>
      </c>
      <c r="H13577" s="333">
        <v>3438</v>
      </c>
    </row>
    <row r="13578" spans="1:8">
      <c r="A13578" s="317">
        <v>2610394290</v>
      </c>
      <c r="B13578" s="330" t="s">
        <v>57931</v>
      </c>
      <c r="C13578" s="330" t="s">
        <v>28779</v>
      </c>
      <c r="D13578" s="330" t="s">
        <v>28780</v>
      </c>
      <c r="E13578" s="330" t="s">
        <v>4634</v>
      </c>
      <c r="F13578" s="331">
        <v>0.21</v>
      </c>
      <c r="G13578" s="332">
        <v>5220</v>
      </c>
      <c r="H13578" s="333">
        <v>6317</v>
      </c>
    </row>
    <row r="13579" spans="1:8">
      <c r="A13579" s="317">
        <v>2610394291</v>
      </c>
      <c r="B13579" s="330" t="s">
        <v>57932</v>
      </c>
      <c r="C13579" s="330" t="s">
        <v>28781</v>
      </c>
      <c r="D13579" s="330" t="s">
        <v>28782</v>
      </c>
      <c r="E13579" s="330" t="s">
        <v>4634</v>
      </c>
      <c r="F13579" s="331">
        <v>0.21</v>
      </c>
      <c r="G13579" s="332">
        <v>673</v>
      </c>
      <c r="H13579" s="333">
        <v>815</v>
      </c>
    </row>
    <row r="13580" spans="1:8">
      <c r="A13580" s="317">
        <v>2610394292</v>
      </c>
      <c r="B13580" s="330" t="s">
        <v>57933</v>
      </c>
      <c r="C13580" s="330" t="s">
        <v>28783</v>
      </c>
      <c r="D13580" s="330" t="s">
        <v>9581</v>
      </c>
      <c r="E13580" s="330" t="s">
        <v>4634</v>
      </c>
      <c r="F13580" s="331">
        <v>0.21</v>
      </c>
      <c r="G13580" s="332">
        <v>6243</v>
      </c>
      <c r="H13580" s="333">
        <v>7555</v>
      </c>
    </row>
    <row r="13581" spans="1:8">
      <c r="A13581" s="317">
        <v>2610394293</v>
      </c>
      <c r="B13581" s="330" t="s">
        <v>57934</v>
      </c>
      <c r="C13581" s="330" t="s">
        <v>28784</v>
      </c>
      <c r="D13581" s="330" t="s">
        <v>28785</v>
      </c>
      <c r="E13581" s="330" t="s">
        <v>4634</v>
      </c>
      <c r="F13581" s="331">
        <v>0.21</v>
      </c>
      <c r="G13581" s="332">
        <v>9373</v>
      </c>
      <c r="H13581" s="333">
        <v>11342</v>
      </c>
    </row>
    <row r="13582" spans="1:8">
      <c r="A13582" s="317">
        <v>2610394294</v>
      </c>
      <c r="B13582" s="330" t="s">
        <v>57935</v>
      </c>
      <c r="C13582" s="330" t="s">
        <v>28786</v>
      </c>
      <c r="D13582" s="330" t="s">
        <v>28787</v>
      </c>
      <c r="E13582" s="330" t="s">
        <v>4634</v>
      </c>
      <c r="F13582" s="331">
        <v>0.21</v>
      </c>
      <c r="G13582" s="332">
        <v>3805</v>
      </c>
      <c r="H13582" s="333">
        <v>4605</v>
      </c>
    </row>
    <row r="13583" spans="1:8">
      <c r="A13583" s="317">
        <v>2610394295</v>
      </c>
      <c r="B13583" s="330" t="s">
        <v>57936</v>
      </c>
      <c r="C13583" s="330" t="s">
        <v>28788</v>
      </c>
      <c r="D13583" s="330" t="s">
        <v>7235</v>
      </c>
      <c r="E13583" s="330" t="s">
        <v>4634</v>
      </c>
      <c r="F13583" s="331">
        <v>0.21</v>
      </c>
      <c r="G13583" s="332">
        <v>285</v>
      </c>
      <c r="H13583" s="333">
        <v>345</v>
      </c>
    </row>
    <row r="13584" spans="1:8">
      <c r="A13584" s="317">
        <v>2610394296</v>
      </c>
      <c r="B13584" s="330" t="s">
        <v>57937</v>
      </c>
      <c r="C13584" s="330" t="s">
        <v>28789</v>
      </c>
      <c r="D13584" s="330" t="s">
        <v>28790</v>
      </c>
      <c r="E13584" s="330" t="s">
        <v>4634</v>
      </c>
      <c r="F13584" s="331">
        <v>0.21</v>
      </c>
      <c r="G13584" s="332">
        <v>2837</v>
      </c>
      <c r="H13584" s="333">
        <v>3433</v>
      </c>
    </row>
    <row r="13585" spans="1:8">
      <c r="A13585" s="317">
        <v>2610394297</v>
      </c>
      <c r="B13585" s="330" t="s">
        <v>57938</v>
      </c>
      <c r="C13585" s="330" t="s">
        <v>28791</v>
      </c>
      <c r="D13585" s="330" t="s">
        <v>28792</v>
      </c>
      <c r="E13585" s="330" t="s">
        <v>4634</v>
      </c>
      <c r="F13585" s="331">
        <v>0.21</v>
      </c>
      <c r="G13585" s="332">
        <v>2708</v>
      </c>
      <c r="H13585" s="333">
        <v>3277</v>
      </c>
    </row>
    <row r="13586" spans="1:8">
      <c r="A13586" s="317">
        <v>2610394298</v>
      </c>
      <c r="B13586" s="330" t="s">
        <v>57939</v>
      </c>
      <c r="C13586" s="330" t="s">
        <v>28793</v>
      </c>
      <c r="D13586" s="330" t="s">
        <v>28794</v>
      </c>
      <c r="E13586" s="330" t="s">
        <v>4634</v>
      </c>
      <c r="F13586" s="331">
        <v>0.21</v>
      </c>
      <c r="G13586" s="332">
        <v>671</v>
      </c>
      <c r="H13586" s="333">
        <v>812</v>
      </c>
    </row>
    <row r="13587" spans="1:8">
      <c r="A13587" s="317">
        <v>2610394299</v>
      </c>
      <c r="B13587" s="330" t="s">
        <v>57940</v>
      </c>
      <c r="C13587" s="330" t="s">
        <v>28795</v>
      </c>
      <c r="D13587" s="330" t="s">
        <v>28796</v>
      </c>
      <c r="E13587" s="330" t="s">
        <v>4634</v>
      </c>
      <c r="F13587" s="331">
        <v>0.21</v>
      </c>
      <c r="G13587" s="332">
        <v>8148</v>
      </c>
      <c r="H13587" s="333">
        <v>9860</v>
      </c>
    </row>
    <row r="13588" spans="1:8">
      <c r="A13588" s="317">
        <v>2610394300</v>
      </c>
      <c r="B13588" s="330" t="s">
        <v>57941</v>
      </c>
      <c r="C13588" s="330" t="s">
        <v>28797</v>
      </c>
      <c r="D13588" s="330" t="s">
        <v>22460</v>
      </c>
      <c r="E13588" s="330" t="s">
        <v>4634</v>
      </c>
      <c r="F13588" s="331">
        <v>0.21</v>
      </c>
      <c r="G13588" s="332">
        <v>613</v>
      </c>
      <c r="H13588" s="333">
        <v>742</v>
      </c>
    </row>
    <row r="13589" spans="1:8">
      <c r="A13589" s="317">
        <v>2610394302</v>
      </c>
      <c r="B13589" s="330" t="s">
        <v>57942</v>
      </c>
      <c r="C13589" s="330" t="s">
        <v>28798</v>
      </c>
      <c r="D13589" s="330" t="s">
        <v>28799</v>
      </c>
      <c r="E13589" s="330" t="s">
        <v>4634</v>
      </c>
      <c r="F13589" s="331">
        <v>0.21</v>
      </c>
      <c r="G13589" s="332">
        <v>1440</v>
      </c>
      <c r="H13589" s="333">
        <v>1743</v>
      </c>
    </row>
    <row r="13590" spans="1:8">
      <c r="A13590" s="317">
        <v>2610394303</v>
      </c>
      <c r="B13590" s="330" t="s">
        <v>57943</v>
      </c>
      <c r="C13590" s="330" t="s">
        <v>28800</v>
      </c>
      <c r="D13590" s="330" t="s">
        <v>28801</v>
      </c>
      <c r="E13590" s="330" t="s">
        <v>4634</v>
      </c>
      <c r="F13590" s="331">
        <v>0.21</v>
      </c>
      <c r="G13590" s="332">
        <v>5175</v>
      </c>
      <c r="H13590" s="333">
        <v>6262</v>
      </c>
    </row>
    <row r="13591" spans="1:8">
      <c r="A13591" s="317">
        <v>2610394307</v>
      </c>
      <c r="B13591" s="330" t="s">
        <v>57944</v>
      </c>
      <c r="C13591" s="330" t="s">
        <v>28802</v>
      </c>
      <c r="D13591" s="330" t="s">
        <v>28803</v>
      </c>
      <c r="E13591" s="330" t="s">
        <v>4634</v>
      </c>
      <c r="F13591" s="331">
        <v>0.21</v>
      </c>
      <c r="G13591" s="332">
        <v>245</v>
      </c>
      <c r="H13591" s="333">
        <v>297</v>
      </c>
    </row>
    <row r="13592" spans="1:8">
      <c r="A13592" s="317">
        <v>2610394329</v>
      </c>
      <c r="B13592" s="330" t="s">
        <v>57945</v>
      </c>
      <c r="C13592" s="330" t="s">
        <v>28804</v>
      </c>
      <c r="D13592" s="330" t="s">
        <v>28805</v>
      </c>
      <c r="E13592" s="330" t="s">
        <v>4634</v>
      </c>
      <c r="F13592" s="331">
        <v>0.21</v>
      </c>
      <c r="G13592" s="332">
        <v>14212</v>
      </c>
      <c r="H13592" s="333">
        <v>17197</v>
      </c>
    </row>
    <row r="13593" spans="1:8">
      <c r="A13593" s="317">
        <v>2610394330</v>
      </c>
      <c r="B13593" s="330" t="s">
        <v>57946</v>
      </c>
      <c r="C13593" s="330" t="s">
        <v>28806</v>
      </c>
      <c r="D13593" s="330" t="s">
        <v>11078</v>
      </c>
      <c r="E13593" s="330" t="s">
        <v>4634</v>
      </c>
      <c r="F13593" s="331">
        <v>0.21</v>
      </c>
      <c r="G13593" s="332">
        <v>10274</v>
      </c>
      <c r="H13593" s="333">
        <v>12432</v>
      </c>
    </row>
    <row r="13594" spans="1:8">
      <c r="A13594" s="317">
        <v>2610394331</v>
      </c>
      <c r="B13594" s="330" t="s">
        <v>57947</v>
      </c>
      <c r="C13594" s="330" t="s">
        <v>28807</v>
      </c>
      <c r="D13594" s="330" t="s">
        <v>28808</v>
      </c>
      <c r="E13594" s="330" t="s">
        <v>4634</v>
      </c>
      <c r="F13594" s="331">
        <v>0.21</v>
      </c>
      <c r="G13594" s="332">
        <v>53547</v>
      </c>
      <c r="H13594" s="333">
        <v>64792</v>
      </c>
    </row>
    <row r="13595" spans="1:8">
      <c r="A13595" s="317">
        <v>2610394332</v>
      </c>
      <c r="B13595" s="330" t="s">
        <v>57948</v>
      </c>
      <c r="C13595" s="330" t="s">
        <v>28809</v>
      </c>
      <c r="D13595" s="330" t="s">
        <v>28810</v>
      </c>
      <c r="E13595" s="330" t="s">
        <v>4634</v>
      </c>
      <c r="F13595" s="331">
        <v>0.21</v>
      </c>
      <c r="G13595" s="332">
        <v>280</v>
      </c>
      <c r="H13595" s="333">
        <v>339</v>
      </c>
    </row>
    <row r="13596" spans="1:8">
      <c r="A13596" s="317">
        <v>2610394333</v>
      </c>
      <c r="B13596" s="330" t="s">
        <v>57949</v>
      </c>
      <c r="C13596" s="330" t="s">
        <v>28811</v>
      </c>
      <c r="D13596" s="330" t="s">
        <v>28812</v>
      </c>
      <c r="E13596" s="330" t="s">
        <v>4634</v>
      </c>
      <c r="F13596" s="331">
        <v>0.21</v>
      </c>
      <c r="G13596" s="332">
        <v>1871</v>
      </c>
      <c r="H13596" s="333">
        <v>2264</v>
      </c>
    </row>
    <row r="13597" spans="1:8">
      <c r="A13597" s="317">
        <v>2610394334</v>
      </c>
      <c r="B13597" s="330" t="s">
        <v>57950</v>
      </c>
      <c r="C13597" s="330" t="s">
        <v>28813</v>
      </c>
      <c r="D13597" s="330" t="s">
        <v>5044</v>
      </c>
      <c r="E13597" s="330" t="s">
        <v>4634</v>
      </c>
      <c r="F13597" s="331">
        <v>0.21</v>
      </c>
      <c r="G13597" s="332">
        <v>1273</v>
      </c>
      <c r="H13597" s="333">
        <v>1541</v>
      </c>
    </row>
    <row r="13598" spans="1:8">
      <c r="A13598" s="317">
        <v>2610394451</v>
      </c>
      <c r="B13598" s="330" t="s">
        <v>57951</v>
      </c>
      <c r="C13598" s="330" t="s">
        <v>28814</v>
      </c>
      <c r="D13598" s="330" t="s">
        <v>28815</v>
      </c>
      <c r="E13598" s="330" t="s">
        <v>4634</v>
      </c>
      <c r="F13598" s="331">
        <v>0.21</v>
      </c>
      <c r="G13598" s="332">
        <v>9797</v>
      </c>
      <c r="H13598" s="333">
        <v>11855</v>
      </c>
    </row>
    <row r="13599" spans="1:8">
      <c r="A13599" s="317">
        <v>2610394608</v>
      </c>
      <c r="B13599" s="330" t="s">
        <v>57952</v>
      </c>
      <c r="C13599" s="330" t="s">
        <v>28816</v>
      </c>
      <c r="D13599" s="330" t="s">
        <v>28817</v>
      </c>
      <c r="E13599" s="330" t="s">
        <v>37248</v>
      </c>
      <c r="F13599" s="331">
        <v>0.21</v>
      </c>
      <c r="G13599" s="332">
        <v>42723</v>
      </c>
      <c r="H13599" s="333">
        <v>51695</v>
      </c>
    </row>
    <row r="13600" spans="1:8">
      <c r="A13600" s="317">
        <v>2610394609</v>
      </c>
      <c r="B13600" s="330" t="s">
        <v>57953</v>
      </c>
      <c r="C13600" s="330" t="s">
        <v>28818</v>
      </c>
      <c r="D13600" s="330" t="s">
        <v>28819</v>
      </c>
      <c r="E13600" s="330" t="s">
        <v>37248</v>
      </c>
      <c r="F13600" s="331">
        <v>0.21</v>
      </c>
      <c r="G13600" s="332">
        <v>23179</v>
      </c>
      <c r="H13600" s="333">
        <v>28047</v>
      </c>
    </row>
    <row r="13601" spans="1:8">
      <c r="A13601" s="317">
        <v>2610394612</v>
      </c>
      <c r="B13601" s="330" t="s">
        <v>57954</v>
      </c>
      <c r="C13601" s="330" t="s">
        <v>28820</v>
      </c>
      <c r="D13601" s="330" t="s">
        <v>28821</v>
      </c>
      <c r="E13601" s="330" t="s">
        <v>37248</v>
      </c>
      <c r="F13601" s="331">
        <v>0.21</v>
      </c>
      <c r="G13601" s="332">
        <v>11923</v>
      </c>
      <c r="H13601" s="333">
        <v>14427</v>
      </c>
    </row>
    <row r="13602" spans="1:8">
      <c r="A13602" s="317">
        <v>2610394613</v>
      </c>
      <c r="B13602" s="330" t="s">
        <v>57955</v>
      </c>
      <c r="C13602" s="330" t="s">
        <v>28822</v>
      </c>
      <c r="D13602" s="330" t="s">
        <v>11209</v>
      </c>
      <c r="E13602" s="330" t="s">
        <v>37248</v>
      </c>
      <c r="F13602" s="331">
        <v>0.21</v>
      </c>
      <c r="G13602" s="332">
        <v>265</v>
      </c>
      <c r="H13602" s="333">
        <v>321</v>
      </c>
    </row>
    <row r="13603" spans="1:8">
      <c r="A13603" s="317">
        <v>2610394614</v>
      </c>
      <c r="B13603" s="330" t="s">
        <v>57956</v>
      </c>
      <c r="C13603" s="330" t="s">
        <v>28823</v>
      </c>
      <c r="D13603" s="330" t="s">
        <v>28824</v>
      </c>
      <c r="E13603" s="330" t="s">
        <v>37248</v>
      </c>
      <c r="F13603" s="331">
        <v>0.21</v>
      </c>
      <c r="G13603" s="332">
        <v>356</v>
      </c>
      <c r="H13603" s="333">
        <v>431</v>
      </c>
    </row>
    <row r="13604" spans="1:8">
      <c r="A13604" s="317">
        <v>2610394615</v>
      </c>
      <c r="B13604" s="330" t="s">
        <v>57957</v>
      </c>
      <c r="C13604" s="330" t="s">
        <v>28825</v>
      </c>
      <c r="D13604" s="330" t="s">
        <v>28734</v>
      </c>
      <c r="E13604" s="330" t="s">
        <v>37248</v>
      </c>
      <c r="F13604" s="331">
        <v>0.21</v>
      </c>
      <c r="G13604" s="332">
        <v>240</v>
      </c>
      <c r="H13604" s="333">
        <v>291</v>
      </c>
    </row>
    <row r="13605" spans="1:8">
      <c r="A13605" s="317">
        <v>2610394617</v>
      </c>
      <c r="B13605" s="330" t="s">
        <v>57958</v>
      </c>
      <c r="C13605" s="330" t="s">
        <v>28826</v>
      </c>
      <c r="D13605" s="330" t="s">
        <v>28827</v>
      </c>
      <c r="E13605" s="330" t="s">
        <v>4634</v>
      </c>
      <c r="F13605" s="331">
        <v>0.21</v>
      </c>
      <c r="G13605" s="332">
        <v>2708</v>
      </c>
      <c r="H13605" s="333">
        <v>3277</v>
      </c>
    </row>
    <row r="13606" spans="1:8">
      <c r="A13606" s="317">
        <v>2610394619</v>
      </c>
      <c r="B13606" s="330" t="s">
        <v>57959</v>
      </c>
      <c r="C13606" s="330" t="s">
        <v>28828</v>
      </c>
      <c r="D13606" s="330" t="s">
        <v>28829</v>
      </c>
      <c r="E13606" s="330" t="s">
        <v>4634</v>
      </c>
      <c r="F13606" s="331">
        <v>0.21</v>
      </c>
      <c r="G13606" s="332">
        <v>3399</v>
      </c>
      <c r="H13606" s="333">
        <v>4113</v>
      </c>
    </row>
    <row r="13607" spans="1:8">
      <c r="A13607" s="317">
        <v>2610394621</v>
      </c>
      <c r="B13607" s="330" t="s">
        <v>57960</v>
      </c>
      <c r="C13607" s="330" t="s">
        <v>28830</v>
      </c>
      <c r="D13607" s="330" t="s">
        <v>12508</v>
      </c>
      <c r="E13607" s="330" t="s">
        <v>37248</v>
      </c>
      <c r="F13607" s="331">
        <v>0.21</v>
      </c>
      <c r="G13607" s="332">
        <v>488</v>
      </c>
      <c r="H13607" s="333">
        <v>591</v>
      </c>
    </row>
    <row r="13608" spans="1:8">
      <c r="A13608" s="317">
        <v>2610394623</v>
      </c>
      <c r="B13608" s="330" t="s">
        <v>57961</v>
      </c>
      <c r="C13608" s="330" t="s">
        <v>28831</v>
      </c>
      <c r="D13608" s="330" t="s">
        <v>28832</v>
      </c>
      <c r="E13608" s="330" t="s">
        <v>37248</v>
      </c>
      <c r="F13608" s="331">
        <v>0.21</v>
      </c>
      <c r="G13608" s="332">
        <v>470</v>
      </c>
      <c r="H13608" s="333">
        <v>569</v>
      </c>
    </row>
    <row r="13609" spans="1:8">
      <c r="A13609" s="317">
        <v>2610394625</v>
      </c>
      <c r="B13609" s="330" t="s">
        <v>57962</v>
      </c>
      <c r="C13609" s="330" t="s">
        <v>28833</v>
      </c>
      <c r="D13609" s="330" t="s">
        <v>28834</v>
      </c>
      <c r="E13609" s="330" t="s">
        <v>37248</v>
      </c>
      <c r="F13609" s="331">
        <v>0.21</v>
      </c>
      <c r="G13609" s="332">
        <v>3303</v>
      </c>
      <c r="H13609" s="333">
        <v>3997</v>
      </c>
    </row>
    <row r="13610" spans="1:8">
      <c r="A13610" s="317">
        <v>2610394626</v>
      </c>
      <c r="B13610" s="330" t="s">
        <v>57963</v>
      </c>
      <c r="C13610" s="330" t="s">
        <v>28835</v>
      </c>
      <c r="D13610" s="330" t="s">
        <v>6506</v>
      </c>
      <c r="E13610" s="330" t="s">
        <v>37248</v>
      </c>
      <c r="F13610" s="331">
        <v>0.21</v>
      </c>
      <c r="G13610" s="332">
        <v>1264</v>
      </c>
      <c r="H13610" s="333">
        <v>1530</v>
      </c>
    </row>
    <row r="13611" spans="1:8">
      <c r="A13611" s="317">
        <v>2610394627</v>
      </c>
      <c r="B13611" s="330" t="s">
        <v>57964</v>
      </c>
      <c r="C13611" s="330" t="s">
        <v>28836</v>
      </c>
      <c r="D13611" s="330" t="s">
        <v>8557</v>
      </c>
      <c r="E13611" s="330" t="s">
        <v>37248</v>
      </c>
      <c r="F13611" s="331">
        <v>0.21</v>
      </c>
      <c r="G13611" s="332">
        <v>7499</v>
      </c>
      <c r="H13611" s="333">
        <v>9074</v>
      </c>
    </row>
    <row r="13612" spans="1:8">
      <c r="A13612" s="317">
        <v>2610394628</v>
      </c>
      <c r="B13612" s="330" t="s">
        <v>57965</v>
      </c>
      <c r="C13612" s="330" t="s">
        <v>28837</v>
      </c>
      <c r="D13612" s="330" t="s">
        <v>11098</v>
      </c>
      <c r="E13612" s="330" t="s">
        <v>37248</v>
      </c>
      <c r="F13612" s="331">
        <v>0.21</v>
      </c>
      <c r="G13612" s="332">
        <v>4972</v>
      </c>
      <c r="H13612" s="333">
        <v>6017</v>
      </c>
    </row>
    <row r="13613" spans="1:8">
      <c r="A13613" s="317">
        <v>2610394630</v>
      </c>
      <c r="B13613" s="330" t="s">
        <v>57966</v>
      </c>
      <c r="C13613" s="330" t="s">
        <v>28838</v>
      </c>
      <c r="D13613" s="330" t="s">
        <v>20964</v>
      </c>
      <c r="E13613" s="330" t="s">
        <v>37248</v>
      </c>
      <c r="F13613" s="331">
        <v>0.21</v>
      </c>
      <c r="G13613" s="332">
        <v>16119</v>
      </c>
      <c r="H13613" s="333">
        <v>19504</v>
      </c>
    </row>
    <row r="13614" spans="1:8">
      <c r="A13614" s="317">
        <v>2610394631</v>
      </c>
      <c r="B13614" s="330" t="s">
        <v>57967</v>
      </c>
      <c r="C13614" s="330" t="s">
        <v>28839</v>
      </c>
      <c r="D13614" s="330" t="s">
        <v>10134</v>
      </c>
      <c r="E13614" s="330" t="s">
        <v>37248</v>
      </c>
      <c r="F13614" s="331">
        <v>0.21</v>
      </c>
      <c r="G13614" s="332">
        <v>1775</v>
      </c>
      <c r="H13614" s="333">
        <v>2148</v>
      </c>
    </row>
    <row r="13615" spans="1:8">
      <c r="A13615" s="317">
        <v>2610394632</v>
      </c>
      <c r="B13615" s="330" t="s">
        <v>57968</v>
      </c>
      <c r="C13615" s="330" t="s">
        <v>28840</v>
      </c>
      <c r="D13615" s="330" t="s">
        <v>28841</v>
      </c>
      <c r="E13615" s="330" t="s">
        <v>37248</v>
      </c>
      <c r="F13615" s="331">
        <v>0.21</v>
      </c>
      <c r="G13615" s="332">
        <v>240</v>
      </c>
      <c r="H13615" s="333">
        <v>291</v>
      </c>
    </row>
    <row r="13616" spans="1:8">
      <c r="A13616" s="317">
        <v>2610394634</v>
      </c>
      <c r="B13616" s="330" t="s">
        <v>57969</v>
      </c>
      <c r="C13616" s="330" t="s">
        <v>28842</v>
      </c>
      <c r="D13616" s="330" t="s">
        <v>9919</v>
      </c>
      <c r="E13616" s="330" t="s">
        <v>4634</v>
      </c>
      <c r="F13616" s="331">
        <v>0.21</v>
      </c>
      <c r="G13616" s="332">
        <v>12599</v>
      </c>
      <c r="H13616" s="333">
        <v>15245</v>
      </c>
    </row>
    <row r="13617" spans="1:8">
      <c r="A13617" s="317">
        <v>2610394635</v>
      </c>
      <c r="B13617" s="330" t="s">
        <v>57970</v>
      </c>
      <c r="C13617" s="330" t="s">
        <v>28843</v>
      </c>
      <c r="D13617" s="330" t="s">
        <v>28844</v>
      </c>
      <c r="E13617" s="330" t="s">
        <v>4634</v>
      </c>
      <c r="F13617" s="331">
        <v>0.21</v>
      </c>
      <c r="G13617" s="332">
        <v>2881</v>
      </c>
      <c r="H13617" s="333">
        <v>3487</v>
      </c>
    </row>
    <row r="13618" spans="1:8">
      <c r="A13618" s="317">
        <v>2610394636</v>
      </c>
      <c r="B13618" s="330" t="s">
        <v>57971</v>
      </c>
      <c r="C13618" s="330" t="s">
        <v>28845</v>
      </c>
      <c r="D13618" s="330" t="s">
        <v>12578</v>
      </c>
      <c r="E13618" s="330" t="s">
        <v>4634</v>
      </c>
      <c r="F13618" s="331">
        <v>0.21</v>
      </c>
      <c r="G13618" s="332">
        <v>823</v>
      </c>
      <c r="H13618" s="333">
        <v>996</v>
      </c>
    </row>
    <row r="13619" spans="1:8">
      <c r="A13619" s="317">
        <v>2610394689</v>
      </c>
      <c r="B13619" s="330" t="s">
        <v>57972</v>
      </c>
      <c r="C13619" s="330" t="s">
        <v>28846</v>
      </c>
      <c r="D13619" s="330" t="s">
        <v>7235</v>
      </c>
      <c r="E13619" s="330" t="s">
        <v>4634</v>
      </c>
      <c r="F13619" s="331">
        <v>0.21</v>
      </c>
      <c r="G13619" s="332">
        <v>194</v>
      </c>
      <c r="H13619" s="333">
        <v>235</v>
      </c>
    </row>
    <row r="13620" spans="1:8">
      <c r="A13620" s="317">
        <v>2610395100</v>
      </c>
      <c r="B13620" s="330" t="s">
        <v>57973</v>
      </c>
      <c r="C13620" s="330" t="s">
        <v>28847</v>
      </c>
      <c r="D13620" s="330" t="s">
        <v>28848</v>
      </c>
      <c r="E13620" s="330" t="s">
        <v>4634</v>
      </c>
      <c r="F13620" s="331">
        <v>0.21</v>
      </c>
      <c r="G13620" s="332">
        <v>9266</v>
      </c>
      <c r="H13620" s="333">
        <v>11212</v>
      </c>
    </row>
    <row r="13621" spans="1:8">
      <c r="A13621" s="317">
        <v>2610395434</v>
      </c>
      <c r="B13621" s="330" t="s">
        <v>57974</v>
      </c>
      <c r="C13621" s="330" t="s">
        <v>28849</v>
      </c>
      <c r="D13621" s="330" t="s">
        <v>28850</v>
      </c>
      <c r="E13621" s="330" t="s">
        <v>4634</v>
      </c>
      <c r="F13621" s="331">
        <v>0.21</v>
      </c>
      <c r="G13621" s="332">
        <v>6640</v>
      </c>
      <c r="H13621" s="333">
        <v>8035</v>
      </c>
    </row>
    <row r="13622" spans="1:8">
      <c r="A13622" s="317">
        <v>2610395435</v>
      </c>
      <c r="B13622" s="330" t="s">
        <v>57975</v>
      </c>
      <c r="C13622" s="330" t="s">
        <v>28851</v>
      </c>
      <c r="D13622" s="330" t="s">
        <v>28852</v>
      </c>
      <c r="E13622" s="330" t="s">
        <v>4634</v>
      </c>
      <c r="F13622" s="331">
        <v>0.21</v>
      </c>
      <c r="G13622" s="332">
        <v>4978</v>
      </c>
      <c r="H13622" s="333">
        <v>6024</v>
      </c>
    </row>
    <row r="13623" spans="1:8">
      <c r="A13623" s="317">
        <v>2610395436</v>
      </c>
      <c r="B13623" s="330" t="s">
        <v>57976</v>
      </c>
      <c r="C13623" s="330" t="s">
        <v>28853</v>
      </c>
      <c r="D13623" s="330" t="s">
        <v>28854</v>
      </c>
      <c r="E13623" s="330" t="s">
        <v>4634</v>
      </c>
      <c r="F13623" s="331">
        <v>0.21</v>
      </c>
      <c r="G13623" s="332">
        <v>3551</v>
      </c>
      <c r="H13623" s="333">
        <v>4297</v>
      </c>
    </row>
    <row r="13624" spans="1:8">
      <c r="A13624" s="317">
        <v>2610395438</v>
      </c>
      <c r="B13624" s="330" t="s">
        <v>57977</v>
      </c>
      <c r="C13624" s="330" t="s">
        <v>28855</v>
      </c>
      <c r="D13624" s="330" t="s">
        <v>28734</v>
      </c>
      <c r="E13624" s="330" t="s">
        <v>4634</v>
      </c>
      <c r="F13624" s="331">
        <v>0.21</v>
      </c>
      <c r="G13624" s="332">
        <v>194</v>
      </c>
      <c r="H13624" s="333">
        <v>235</v>
      </c>
    </row>
    <row r="13625" spans="1:8">
      <c r="A13625" s="317">
        <v>2610395439</v>
      </c>
      <c r="B13625" s="330" t="s">
        <v>57978</v>
      </c>
      <c r="C13625" s="330" t="s">
        <v>28856</v>
      </c>
      <c r="D13625" s="330" t="s">
        <v>11209</v>
      </c>
      <c r="E13625" s="330" t="s">
        <v>4634</v>
      </c>
      <c r="F13625" s="331">
        <v>0.21</v>
      </c>
      <c r="G13625" s="332">
        <v>758</v>
      </c>
      <c r="H13625" s="333">
        <v>918</v>
      </c>
    </row>
    <row r="13626" spans="1:8">
      <c r="A13626" s="317">
        <v>2610395440</v>
      </c>
      <c r="B13626" s="330" t="s">
        <v>57979</v>
      </c>
      <c r="C13626" s="330" t="s">
        <v>28857</v>
      </c>
      <c r="D13626" s="330" t="s">
        <v>28858</v>
      </c>
      <c r="E13626" s="330" t="s">
        <v>4634</v>
      </c>
      <c r="F13626" s="331">
        <v>0.21</v>
      </c>
      <c r="G13626" s="332">
        <v>724</v>
      </c>
      <c r="H13626" s="333">
        <v>877</v>
      </c>
    </row>
    <row r="13627" spans="1:8">
      <c r="A13627" s="317">
        <v>2610395441</v>
      </c>
      <c r="B13627" s="330" t="s">
        <v>57980</v>
      </c>
      <c r="C13627" s="330" t="s">
        <v>28859</v>
      </c>
      <c r="D13627" s="330" t="s">
        <v>28860</v>
      </c>
      <c r="E13627" s="330" t="s">
        <v>4634</v>
      </c>
      <c r="F13627" s="331">
        <v>0.21</v>
      </c>
      <c r="G13627" s="332">
        <v>3934</v>
      </c>
      <c r="H13627" s="333">
        <v>4761</v>
      </c>
    </row>
    <row r="13628" spans="1:8">
      <c r="A13628" s="317">
        <v>2610395442</v>
      </c>
      <c r="B13628" s="330" t="s">
        <v>57981</v>
      </c>
      <c r="C13628" s="330" t="s">
        <v>28861</v>
      </c>
      <c r="D13628" s="330" t="s">
        <v>28862</v>
      </c>
      <c r="E13628" s="330" t="s">
        <v>4634</v>
      </c>
      <c r="F13628" s="331">
        <v>0.21</v>
      </c>
      <c r="G13628" s="332">
        <v>3995</v>
      </c>
      <c r="H13628" s="333">
        <v>4834</v>
      </c>
    </row>
    <row r="13629" spans="1:8">
      <c r="A13629" s="317">
        <v>2610395444</v>
      </c>
      <c r="B13629" s="330" t="s">
        <v>57982</v>
      </c>
      <c r="C13629" s="330" t="s">
        <v>28863</v>
      </c>
      <c r="D13629" s="330" t="s">
        <v>28864</v>
      </c>
      <c r="E13629" s="330" t="s">
        <v>37248</v>
      </c>
      <c r="F13629" s="331">
        <v>0.21</v>
      </c>
      <c r="G13629" s="332">
        <v>12503</v>
      </c>
      <c r="H13629" s="333">
        <v>15129</v>
      </c>
    </row>
    <row r="13630" spans="1:8">
      <c r="A13630" s="317">
        <v>2610395445</v>
      </c>
      <c r="B13630" s="330" t="s">
        <v>57983</v>
      </c>
      <c r="C13630" s="330" t="s">
        <v>28865</v>
      </c>
      <c r="D13630" s="330" t="s">
        <v>28866</v>
      </c>
      <c r="E13630" s="330" t="s">
        <v>37248</v>
      </c>
      <c r="F13630" s="331">
        <v>0.21</v>
      </c>
      <c r="G13630" s="332">
        <v>548</v>
      </c>
      <c r="H13630" s="333">
        <v>664</v>
      </c>
    </row>
    <row r="13631" spans="1:8">
      <c r="A13631" s="317">
        <v>2610395446</v>
      </c>
      <c r="B13631" s="330" t="s">
        <v>57984</v>
      </c>
      <c r="C13631" s="330" t="s">
        <v>28867</v>
      </c>
      <c r="D13631" s="330" t="s">
        <v>28868</v>
      </c>
      <c r="E13631" s="330" t="s">
        <v>4623</v>
      </c>
      <c r="F13631" s="331">
        <v>0.21</v>
      </c>
      <c r="G13631" s="332">
        <v>823</v>
      </c>
      <c r="H13631" s="333">
        <v>996</v>
      </c>
    </row>
    <row r="13632" spans="1:8">
      <c r="A13632" s="317">
        <v>2610395447</v>
      </c>
      <c r="B13632" s="330" t="s">
        <v>57985</v>
      </c>
      <c r="C13632" s="330" t="s">
        <v>28869</v>
      </c>
      <c r="D13632" s="330" t="s">
        <v>28870</v>
      </c>
      <c r="E13632" s="330" t="s">
        <v>4634</v>
      </c>
      <c r="F13632" s="331">
        <v>0.21</v>
      </c>
      <c r="G13632" s="332">
        <v>194</v>
      </c>
      <c r="H13632" s="333">
        <v>235</v>
      </c>
    </row>
    <row r="13633" spans="1:8">
      <c r="A13633" s="317">
        <v>2610395448</v>
      </c>
      <c r="B13633" s="330" t="s">
        <v>57986</v>
      </c>
      <c r="C13633" s="330" t="s">
        <v>28871</v>
      </c>
      <c r="D13633" s="330" t="s">
        <v>28872</v>
      </c>
      <c r="E13633" s="330" t="s">
        <v>4634</v>
      </c>
      <c r="F13633" s="331">
        <v>0.21</v>
      </c>
      <c r="G13633" s="332">
        <v>1557</v>
      </c>
      <c r="H13633" s="333">
        <v>1884</v>
      </c>
    </row>
    <row r="13634" spans="1:8">
      <c r="A13634" s="317">
        <v>2610395449</v>
      </c>
      <c r="B13634" s="330" t="s">
        <v>57987</v>
      </c>
      <c r="C13634" s="330" t="s">
        <v>28873</v>
      </c>
      <c r="D13634" s="330" t="s">
        <v>28874</v>
      </c>
      <c r="E13634" s="330" t="s">
        <v>4634</v>
      </c>
      <c r="F13634" s="331">
        <v>0.21</v>
      </c>
      <c r="G13634" s="332">
        <v>194</v>
      </c>
      <c r="H13634" s="333">
        <v>235</v>
      </c>
    </row>
    <row r="13635" spans="1:8">
      <c r="A13635" s="317">
        <v>2610395786</v>
      </c>
      <c r="B13635" s="330" t="s">
        <v>57988</v>
      </c>
      <c r="C13635" s="330" t="s">
        <v>28875</v>
      </c>
      <c r="D13635" s="330" t="s">
        <v>12576</v>
      </c>
      <c r="E13635" s="330" t="s">
        <v>4634</v>
      </c>
      <c r="F13635" s="331">
        <v>0.21</v>
      </c>
      <c r="G13635" s="332">
        <v>2688</v>
      </c>
      <c r="H13635" s="333">
        <v>3253</v>
      </c>
    </row>
    <row r="13636" spans="1:8">
      <c r="A13636" s="317">
        <v>2610395788</v>
      </c>
      <c r="B13636" s="330" t="s">
        <v>57989</v>
      </c>
      <c r="C13636" s="330" t="s">
        <v>28876</v>
      </c>
      <c r="D13636" s="330" t="s">
        <v>28877</v>
      </c>
      <c r="E13636" s="330" t="s">
        <v>4634</v>
      </c>
      <c r="F13636" s="331">
        <v>0.21</v>
      </c>
      <c r="G13636" s="332">
        <v>12969</v>
      </c>
      <c r="H13636" s="333">
        <v>15693</v>
      </c>
    </row>
    <row r="13637" spans="1:8">
      <c r="A13637" s="317">
        <v>2610395789</v>
      </c>
      <c r="B13637" s="330" t="s">
        <v>57990</v>
      </c>
      <c r="C13637" s="330" t="s">
        <v>28878</v>
      </c>
      <c r="D13637" s="330" t="s">
        <v>28879</v>
      </c>
      <c r="E13637" s="330" t="s">
        <v>4634</v>
      </c>
      <c r="F13637" s="331">
        <v>0.21</v>
      </c>
      <c r="G13637" s="332">
        <v>9282</v>
      </c>
      <c r="H13637" s="333">
        <v>11232</v>
      </c>
    </row>
    <row r="13638" spans="1:8">
      <c r="A13638" s="317">
        <v>2610395791</v>
      </c>
      <c r="B13638" s="330" t="s">
        <v>57991</v>
      </c>
      <c r="C13638" s="330" t="s">
        <v>28880</v>
      </c>
      <c r="D13638" s="330" t="s">
        <v>28881</v>
      </c>
      <c r="E13638" s="330" t="s">
        <v>37248</v>
      </c>
      <c r="F13638" s="331">
        <v>0.21</v>
      </c>
      <c r="G13638" s="332">
        <v>34289</v>
      </c>
      <c r="H13638" s="333">
        <v>41490</v>
      </c>
    </row>
    <row r="13639" spans="1:8">
      <c r="A13639" s="317">
        <v>2610395792</v>
      </c>
      <c r="B13639" s="330" t="s">
        <v>57992</v>
      </c>
      <c r="C13639" s="330" t="s">
        <v>28882</v>
      </c>
      <c r="D13639" s="330" t="s">
        <v>28883</v>
      </c>
      <c r="E13639" s="330" t="s">
        <v>4634</v>
      </c>
      <c r="F13639" s="331">
        <v>0.21</v>
      </c>
      <c r="G13639" s="332">
        <v>1344</v>
      </c>
      <c r="H13639" s="333">
        <v>1627</v>
      </c>
    </row>
    <row r="13640" spans="1:8">
      <c r="A13640" s="317">
        <v>2610395793</v>
      </c>
      <c r="B13640" s="330" t="s">
        <v>57993</v>
      </c>
      <c r="C13640" s="330" t="s">
        <v>28884</v>
      </c>
      <c r="D13640" s="330" t="s">
        <v>6109</v>
      </c>
      <c r="E13640" s="330" t="s">
        <v>4634</v>
      </c>
      <c r="F13640" s="331">
        <v>0.21</v>
      </c>
      <c r="G13640" s="332">
        <v>1530</v>
      </c>
      <c r="H13640" s="333">
        <v>1852</v>
      </c>
    </row>
    <row r="13641" spans="1:8">
      <c r="A13641" s="317">
        <v>2610395794</v>
      </c>
      <c r="B13641" s="330" t="s">
        <v>57994</v>
      </c>
      <c r="C13641" s="330" t="s">
        <v>28885</v>
      </c>
      <c r="D13641" s="330" t="s">
        <v>28886</v>
      </c>
      <c r="E13641" s="330" t="s">
        <v>4634</v>
      </c>
      <c r="F13641" s="331">
        <v>0.21</v>
      </c>
      <c r="G13641" s="332">
        <v>4215</v>
      </c>
      <c r="H13641" s="333">
        <v>5101</v>
      </c>
    </row>
    <row r="13642" spans="1:8">
      <c r="A13642" s="317">
        <v>2610395795</v>
      </c>
      <c r="B13642" s="330" t="s">
        <v>57995</v>
      </c>
      <c r="C13642" s="330" t="s">
        <v>28887</v>
      </c>
      <c r="D13642" s="330" t="s">
        <v>9581</v>
      </c>
      <c r="E13642" s="330" t="s">
        <v>4634</v>
      </c>
      <c r="F13642" s="331">
        <v>0.21</v>
      </c>
      <c r="G13642" s="332">
        <v>4176</v>
      </c>
      <c r="H13642" s="333">
        <v>5053</v>
      </c>
    </row>
    <row r="13643" spans="1:8">
      <c r="A13643" s="317">
        <v>2610395796</v>
      </c>
      <c r="B13643" s="330" t="s">
        <v>57996</v>
      </c>
      <c r="C13643" s="330" t="s">
        <v>28888</v>
      </c>
      <c r="D13643" s="330" t="s">
        <v>28734</v>
      </c>
      <c r="E13643" s="330" t="s">
        <v>4634</v>
      </c>
      <c r="F13643" s="331">
        <v>0.21</v>
      </c>
      <c r="G13643" s="332">
        <v>280</v>
      </c>
      <c r="H13643" s="333">
        <v>339</v>
      </c>
    </row>
    <row r="13644" spans="1:8">
      <c r="A13644" s="317">
        <v>2610395797</v>
      </c>
      <c r="B13644" s="330" t="s">
        <v>57997</v>
      </c>
      <c r="C13644" s="330" t="s">
        <v>28889</v>
      </c>
      <c r="D13644" s="330" t="s">
        <v>28890</v>
      </c>
      <c r="E13644" s="330" t="s">
        <v>4634</v>
      </c>
      <c r="F13644" s="331">
        <v>0.21</v>
      </c>
      <c r="G13644" s="332">
        <v>2270</v>
      </c>
      <c r="H13644" s="333">
        <v>2747</v>
      </c>
    </row>
    <row r="13645" spans="1:8">
      <c r="A13645" s="317">
        <v>2610395798</v>
      </c>
      <c r="B13645" s="330" t="s">
        <v>57998</v>
      </c>
      <c r="C13645" s="330" t="s">
        <v>28891</v>
      </c>
      <c r="D13645" s="330" t="s">
        <v>28892</v>
      </c>
      <c r="E13645" s="330" t="s">
        <v>4634</v>
      </c>
      <c r="F13645" s="331">
        <v>0.21</v>
      </c>
      <c r="G13645" s="332">
        <v>16639</v>
      </c>
      <c r="H13645" s="333">
        <v>20134</v>
      </c>
    </row>
    <row r="13646" spans="1:8">
      <c r="A13646" s="317">
        <v>2610395799</v>
      </c>
      <c r="B13646" s="330" t="s">
        <v>57999</v>
      </c>
      <c r="C13646" s="330" t="s">
        <v>28893</v>
      </c>
      <c r="D13646" s="330" t="s">
        <v>28894</v>
      </c>
      <c r="E13646" s="330" t="s">
        <v>37248</v>
      </c>
      <c r="F13646" s="331">
        <v>0.21</v>
      </c>
      <c r="G13646" s="332">
        <v>73646</v>
      </c>
      <c r="H13646" s="333">
        <v>89112</v>
      </c>
    </row>
    <row r="13647" spans="1:8">
      <c r="A13647" s="317">
        <v>2610395802</v>
      </c>
      <c r="B13647" s="330" t="s">
        <v>58000</v>
      </c>
      <c r="C13647" s="330" t="s">
        <v>28895</v>
      </c>
      <c r="D13647" s="330" t="s">
        <v>21644</v>
      </c>
      <c r="E13647" s="330" t="s">
        <v>4634</v>
      </c>
      <c r="F13647" s="331">
        <v>0.21</v>
      </c>
      <c r="G13647" s="332">
        <v>1784</v>
      </c>
      <c r="H13647" s="333">
        <v>2159</v>
      </c>
    </row>
    <row r="13648" spans="1:8">
      <c r="A13648" s="317">
        <v>2610395803</v>
      </c>
      <c r="B13648" s="330" t="s">
        <v>58001</v>
      </c>
      <c r="C13648" s="330" t="s">
        <v>28896</v>
      </c>
      <c r="D13648" s="330" t="s">
        <v>28897</v>
      </c>
      <c r="E13648" s="330" t="s">
        <v>37248</v>
      </c>
      <c r="F13648" s="331">
        <v>0.21</v>
      </c>
      <c r="G13648" s="332">
        <v>30891</v>
      </c>
      <c r="H13648" s="333">
        <v>37379</v>
      </c>
    </row>
    <row r="13649" spans="1:8">
      <c r="A13649" s="317">
        <v>2610395804</v>
      </c>
      <c r="B13649" s="330" t="s">
        <v>58002</v>
      </c>
      <c r="C13649" s="330" t="s">
        <v>28898</v>
      </c>
      <c r="D13649" s="330" t="s">
        <v>19787</v>
      </c>
      <c r="E13649" s="330" t="s">
        <v>4634</v>
      </c>
      <c r="F13649" s="331">
        <v>0.21</v>
      </c>
      <c r="G13649" s="332">
        <v>938</v>
      </c>
      <c r="H13649" s="333">
        <v>1135</v>
      </c>
    </row>
    <row r="13650" spans="1:8">
      <c r="A13650" s="317">
        <v>2610395805</v>
      </c>
      <c r="B13650" s="330" t="s">
        <v>58003</v>
      </c>
      <c r="C13650" s="330" t="s">
        <v>28899</v>
      </c>
      <c r="D13650" s="330" t="s">
        <v>19787</v>
      </c>
      <c r="E13650" s="330" t="s">
        <v>4634</v>
      </c>
      <c r="F13650" s="331">
        <v>0.21</v>
      </c>
      <c r="G13650" s="332">
        <v>305</v>
      </c>
      <c r="H13650" s="333">
        <v>370</v>
      </c>
    </row>
    <row r="13651" spans="1:8">
      <c r="A13651" s="317">
        <v>2610395810</v>
      </c>
      <c r="B13651" s="330" t="s">
        <v>58004</v>
      </c>
      <c r="C13651" s="330" t="s">
        <v>28900</v>
      </c>
      <c r="D13651" s="330" t="s">
        <v>11209</v>
      </c>
      <c r="E13651" s="330" t="s">
        <v>4634</v>
      </c>
      <c r="F13651" s="331">
        <v>0.21</v>
      </c>
      <c r="G13651" s="332">
        <v>285</v>
      </c>
      <c r="H13651" s="333">
        <v>345</v>
      </c>
    </row>
    <row r="13652" spans="1:8">
      <c r="A13652" s="317">
        <v>2610395811</v>
      </c>
      <c r="B13652" s="330" t="s">
        <v>58005</v>
      </c>
      <c r="C13652" s="330" t="s">
        <v>28901</v>
      </c>
      <c r="D13652" s="330" t="s">
        <v>19787</v>
      </c>
      <c r="E13652" s="330" t="s">
        <v>4634</v>
      </c>
      <c r="F13652" s="331">
        <v>0.21</v>
      </c>
      <c r="G13652" s="332">
        <v>1052</v>
      </c>
      <c r="H13652" s="333">
        <v>1273</v>
      </c>
    </row>
    <row r="13653" spans="1:8">
      <c r="A13653" s="317">
        <v>2610395812</v>
      </c>
      <c r="B13653" s="330" t="s">
        <v>58006</v>
      </c>
      <c r="C13653" s="330" t="s">
        <v>28902</v>
      </c>
      <c r="D13653" s="330" t="s">
        <v>19787</v>
      </c>
      <c r="E13653" s="330" t="s">
        <v>4634</v>
      </c>
      <c r="F13653" s="331">
        <v>0.21</v>
      </c>
      <c r="G13653" s="332">
        <v>977</v>
      </c>
      <c r="H13653" s="333">
        <v>1183</v>
      </c>
    </row>
    <row r="13654" spans="1:8">
      <c r="A13654" s="317">
        <v>2610396238</v>
      </c>
      <c r="B13654" s="330" t="s">
        <v>58007</v>
      </c>
      <c r="C13654" s="330" t="s">
        <v>28903</v>
      </c>
      <c r="D13654" s="330" t="s">
        <v>28904</v>
      </c>
      <c r="E13654" s="330" t="s">
        <v>4634</v>
      </c>
      <c r="F13654" s="331">
        <v>0.21</v>
      </c>
      <c r="G13654" s="332">
        <v>1623</v>
      </c>
      <c r="H13654" s="333">
        <v>1964</v>
      </c>
    </row>
    <row r="13655" spans="1:8">
      <c r="A13655" s="317">
        <v>2610396241</v>
      </c>
      <c r="B13655" s="330" t="s">
        <v>58008</v>
      </c>
      <c r="C13655" s="330" t="s">
        <v>28905</v>
      </c>
      <c r="D13655" s="330" t="s">
        <v>28906</v>
      </c>
      <c r="E13655" s="330" t="s">
        <v>4634</v>
      </c>
      <c r="F13655" s="331">
        <v>0.21</v>
      </c>
      <c r="G13655" s="332">
        <v>7357</v>
      </c>
      <c r="H13655" s="333">
        <v>8902</v>
      </c>
    </row>
    <row r="13656" spans="1:8">
      <c r="A13656" s="317">
        <v>2610396242</v>
      </c>
      <c r="B13656" s="330" t="s">
        <v>58009</v>
      </c>
      <c r="C13656" s="330" t="s">
        <v>28907</v>
      </c>
      <c r="D13656" s="330" t="s">
        <v>28908</v>
      </c>
      <c r="E13656" s="330" t="s">
        <v>4634</v>
      </c>
      <c r="F13656" s="331">
        <v>0.21</v>
      </c>
      <c r="G13656" s="332">
        <v>9605</v>
      </c>
      <c r="H13656" s="333">
        <v>11623</v>
      </c>
    </row>
    <row r="13657" spans="1:8">
      <c r="A13657" s="317">
        <v>2610396244</v>
      </c>
      <c r="B13657" s="330" t="s">
        <v>58010</v>
      </c>
      <c r="C13657" s="330" t="s">
        <v>28909</v>
      </c>
      <c r="D13657" s="330" t="s">
        <v>28910</v>
      </c>
      <c r="E13657" s="330" t="s">
        <v>4634</v>
      </c>
      <c r="F13657" s="331">
        <v>0.21</v>
      </c>
      <c r="G13657" s="332">
        <v>2324</v>
      </c>
      <c r="H13657" s="333">
        <v>2813</v>
      </c>
    </row>
    <row r="13658" spans="1:8">
      <c r="A13658" s="317">
        <v>2610396245</v>
      </c>
      <c r="B13658" s="330" t="s">
        <v>58011</v>
      </c>
      <c r="C13658" s="330" t="s">
        <v>28911</v>
      </c>
      <c r="D13658" s="330" t="s">
        <v>28912</v>
      </c>
      <c r="E13658" s="330" t="s">
        <v>4634</v>
      </c>
      <c r="F13658" s="331">
        <v>0.21</v>
      </c>
      <c r="G13658" s="332">
        <v>673</v>
      </c>
      <c r="H13658" s="333">
        <v>815</v>
      </c>
    </row>
    <row r="13659" spans="1:8">
      <c r="A13659" s="317">
        <v>2610396251</v>
      </c>
      <c r="B13659" s="330" t="s">
        <v>58012</v>
      </c>
      <c r="C13659" s="330" t="s">
        <v>28913</v>
      </c>
      <c r="D13659" s="330" t="s">
        <v>28914</v>
      </c>
      <c r="E13659" s="330" t="s">
        <v>4634</v>
      </c>
      <c r="F13659" s="331">
        <v>0.21</v>
      </c>
      <c r="G13659" s="332">
        <v>305</v>
      </c>
      <c r="H13659" s="333">
        <v>370</v>
      </c>
    </row>
    <row r="13660" spans="1:8">
      <c r="A13660" s="317">
        <v>2610396254</v>
      </c>
      <c r="B13660" s="330" t="s">
        <v>58013</v>
      </c>
      <c r="C13660" s="330" t="s">
        <v>28915</v>
      </c>
      <c r="D13660" s="330" t="s">
        <v>28916</v>
      </c>
      <c r="E13660" s="330" t="s">
        <v>4634</v>
      </c>
      <c r="F13660" s="331">
        <v>0.21</v>
      </c>
      <c r="G13660" s="332">
        <v>2551</v>
      </c>
      <c r="H13660" s="333">
        <v>3087</v>
      </c>
    </row>
    <row r="13661" spans="1:8">
      <c r="A13661" s="317">
        <v>2610396255</v>
      </c>
      <c r="B13661" s="330" t="s">
        <v>58014</v>
      </c>
      <c r="C13661" s="330" t="s">
        <v>28917</v>
      </c>
      <c r="D13661" s="330" t="s">
        <v>28918</v>
      </c>
      <c r="E13661" s="330" t="s">
        <v>4634</v>
      </c>
      <c r="F13661" s="331">
        <v>0.21</v>
      </c>
      <c r="G13661" s="332">
        <v>194</v>
      </c>
      <c r="H13661" s="333">
        <v>235</v>
      </c>
    </row>
    <row r="13662" spans="1:8">
      <c r="A13662" s="317">
        <v>2610396256</v>
      </c>
      <c r="B13662" s="330" t="s">
        <v>58015</v>
      </c>
      <c r="C13662" s="330" t="s">
        <v>28919</v>
      </c>
      <c r="D13662" s="330" t="s">
        <v>28914</v>
      </c>
      <c r="E13662" s="330" t="s">
        <v>4634</v>
      </c>
      <c r="F13662" s="331">
        <v>0.21</v>
      </c>
      <c r="G13662" s="332">
        <v>2998</v>
      </c>
      <c r="H13662" s="333">
        <v>3628</v>
      </c>
    </row>
    <row r="13663" spans="1:8">
      <c r="A13663" s="317">
        <v>2610396257</v>
      </c>
      <c r="B13663" s="330" t="s">
        <v>58016</v>
      </c>
      <c r="C13663" s="330" t="s">
        <v>28920</v>
      </c>
      <c r="D13663" s="330" t="s">
        <v>28921</v>
      </c>
      <c r="E13663" s="330" t="s">
        <v>4634</v>
      </c>
      <c r="F13663" s="331">
        <v>0.21</v>
      </c>
      <c r="G13663" s="332">
        <v>280</v>
      </c>
      <c r="H13663" s="333">
        <v>339</v>
      </c>
    </row>
    <row r="13664" spans="1:8">
      <c r="A13664" s="317">
        <v>2610396346</v>
      </c>
      <c r="B13664" s="330" t="s">
        <v>58017</v>
      </c>
      <c r="C13664" s="330" t="s">
        <v>28922</v>
      </c>
      <c r="D13664" s="330" t="s">
        <v>28923</v>
      </c>
      <c r="E13664" s="330" t="s">
        <v>4634</v>
      </c>
      <c r="F13664" s="331">
        <v>0.21</v>
      </c>
      <c r="G13664" s="332">
        <v>4285</v>
      </c>
      <c r="H13664" s="333">
        <v>5185</v>
      </c>
    </row>
    <row r="13665" spans="1:8">
      <c r="A13665" s="317">
        <v>2610396347</v>
      </c>
      <c r="B13665" s="330" t="s">
        <v>58018</v>
      </c>
      <c r="C13665" s="330" t="s">
        <v>28924</v>
      </c>
      <c r="D13665" s="330" t="s">
        <v>28925</v>
      </c>
      <c r="E13665" s="330" t="s">
        <v>4634</v>
      </c>
      <c r="F13665" s="331">
        <v>0.21</v>
      </c>
      <c r="G13665" s="332">
        <v>1153</v>
      </c>
      <c r="H13665" s="333">
        <v>1396</v>
      </c>
    </row>
    <row r="13666" spans="1:8">
      <c r="A13666" s="317">
        <v>2610396350</v>
      </c>
      <c r="B13666" s="330" t="s">
        <v>58019</v>
      </c>
      <c r="C13666" s="330" t="s">
        <v>28926</v>
      </c>
      <c r="D13666" s="330" t="s">
        <v>28927</v>
      </c>
      <c r="E13666" s="330" t="s">
        <v>4634</v>
      </c>
      <c r="F13666" s="331">
        <v>0.21</v>
      </c>
      <c r="G13666" s="332">
        <v>16337</v>
      </c>
      <c r="H13666" s="333">
        <v>19768</v>
      </c>
    </row>
    <row r="13667" spans="1:8">
      <c r="A13667" s="317">
        <v>2610396352</v>
      </c>
      <c r="B13667" s="330" t="s">
        <v>58020</v>
      </c>
      <c r="C13667" s="330" t="s">
        <v>28928</v>
      </c>
      <c r="D13667" s="330" t="s">
        <v>28929</v>
      </c>
      <c r="E13667" s="330" t="s">
        <v>4634</v>
      </c>
      <c r="F13667" s="331">
        <v>0.21</v>
      </c>
      <c r="G13667" s="332">
        <v>10082</v>
      </c>
      <c r="H13667" s="333">
        <v>12200</v>
      </c>
    </row>
    <row r="13668" spans="1:8">
      <c r="A13668" s="317">
        <v>2610396358</v>
      </c>
      <c r="B13668" s="330" t="s">
        <v>58021</v>
      </c>
      <c r="C13668" s="330" t="s">
        <v>28930</v>
      </c>
      <c r="D13668" s="330" t="s">
        <v>28931</v>
      </c>
      <c r="E13668" s="330" t="s">
        <v>4634</v>
      </c>
      <c r="F13668" s="331">
        <v>0.21</v>
      </c>
      <c r="G13668" s="332">
        <v>11865</v>
      </c>
      <c r="H13668" s="333">
        <v>14357</v>
      </c>
    </row>
    <row r="13669" spans="1:8">
      <c r="A13669" s="317">
        <v>2610396536</v>
      </c>
      <c r="B13669" s="330" t="s">
        <v>58022</v>
      </c>
      <c r="C13669" s="330" t="s">
        <v>28932</v>
      </c>
      <c r="D13669" s="330" t="s">
        <v>28933</v>
      </c>
      <c r="E13669" s="330" t="s">
        <v>4634</v>
      </c>
      <c r="F13669" s="331">
        <v>0.21</v>
      </c>
      <c r="G13669" s="332">
        <v>849</v>
      </c>
      <c r="H13669" s="333">
        <v>1028</v>
      </c>
    </row>
    <row r="13670" spans="1:8">
      <c r="A13670" s="317">
        <v>2610396574</v>
      </c>
      <c r="B13670" s="330" t="s">
        <v>58023</v>
      </c>
      <c r="C13670" s="330" t="s">
        <v>28934</v>
      </c>
      <c r="D13670" s="330" t="s">
        <v>28935</v>
      </c>
      <c r="E13670" s="330" t="s">
        <v>4634</v>
      </c>
      <c r="F13670" s="331">
        <v>0.21</v>
      </c>
      <c r="G13670" s="332">
        <v>84</v>
      </c>
      <c r="H13670" s="333">
        <v>102</v>
      </c>
    </row>
    <row r="13671" spans="1:8">
      <c r="A13671" s="317">
        <v>2610397036</v>
      </c>
      <c r="B13671" s="330" t="s">
        <v>58024</v>
      </c>
      <c r="C13671" s="330" t="s">
        <v>28936</v>
      </c>
      <c r="D13671" s="330" t="s">
        <v>28937</v>
      </c>
      <c r="E13671" s="330" t="s">
        <v>4623</v>
      </c>
      <c r="F13671" s="331">
        <v>0.21</v>
      </c>
      <c r="G13671" s="332">
        <v>14047</v>
      </c>
      <c r="H13671" s="333">
        <v>16997</v>
      </c>
    </row>
    <row r="13672" spans="1:8">
      <c r="A13672" s="317">
        <v>2610397037</v>
      </c>
      <c r="B13672" s="330" t="s">
        <v>58025</v>
      </c>
      <c r="C13672" s="330" t="s">
        <v>28938</v>
      </c>
      <c r="D13672" s="330" t="s">
        <v>28939</v>
      </c>
      <c r="E13672" s="330" t="s">
        <v>4634</v>
      </c>
      <c r="F13672" s="331">
        <v>0.21</v>
      </c>
      <c r="G13672" s="332">
        <v>3424</v>
      </c>
      <c r="H13672" s="333">
        <v>4144</v>
      </c>
    </row>
    <row r="13673" spans="1:8">
      <c r="A13673" s="317">
        <v>2610397038</v>
      </c>
      <c r="B13673" s="330" t="s">
        <v>58026</v>
      </c>
      <c r="C13673" s="330" t="s">
        <v>28940</v>
      </c>
      <c r="D13673" s="330" t="s">
        <v>28941</v>
      </c>
      <c r="E13673" s="330" t="s">
        <v>4634</v>
      </c>
      <c r="F13673" s="331">
        <v>0.21</v>
      </c>
      <c r="G13673" s="332">
        <v>61720</v>
      </c>
      <c r="H13673" s="333">
        <v>74682</v>
      </c>
    </row>
    <row r="13674" spans="1:8">
      <c r="A13674" s="317">
        <v>2610397039</v>
      </c>
      <c r="B13674" s="330" t="s">
        <v>58027</v>
      </c>
      <c r="C13674" s="330" t="s">
        <v>28942</v>
      </c>
      <c r="D13674" s="330" t="s">
        <v>28943</v>
      </c>
      <c r="E13674" s="330" t="s">
        <v>4634</v>
      </c>
      <c r="F13674" s="331">
        <v>0.21</v>
      </c>
      <c r="G13674" s="332">
        <v>45530</v>
      </c>
      <c r="H13674" s="333">
        <v>55092</v>
      </c>
    </row>
    <row r="13675" spans="1:8">
      <c r="A13675" s="317">
        <v>2610397040</v>
      </c>
      <c r="B13675" s="330" t="s">
        <v>58028</v>
      </c>
      <c r="C13675" s="330" t="s">
        <v>28944</v>
      </c>
      <c r="D13675" s="330" t="s">
        <v>28945</v>
      </c>
      <c r="E13675" s="330" t="s">
        <v>4634</v>
      </c>
      <c r="F13675" s="331">
        <v>0.21</v>
      </c>
      <c r="G13675" s="332">
        <v>32239</v>
      </c>
      <c r="H13675" s="333">
        <v>39010</v>
      </c>
    </row>
    <row r="13676" spans="1:8">
      <c r="A13676" s="317">
        <v>2610397041</v>
      </c>
      <c r="B13676" s="330" t="s">
        <v>58029</v>
      </c>
      <c r="C13676" s="330" t="s">
        <v>28946</v>
      </c>
      <c r="D13676" s="330" t="s">
        <v>28947</v>
      </c>
      <c r="E13676" s="330" t="s">
        <v>4634</v>
      </c>
      <c r="F13676" s="331">
        <v>0.21</v>
      </c>
      <c r="G13676" s="332">
        <v>977</v>
      </c>
      <c r="H13676" s="333">
        <v>1183</v>
      </c>
    </row>
    <row r="13677" spans="1:8">
      <c r="A13677" s="317">
        <v>2610397042</v>
      </c>
      <c r="B13677" s="330" t="s">
        <v>58030</v>
      </c>
      <c r="C13677" s="330" t="s">
        <v>28948</v>
      </c>
      <c r="D13677" s="330" t="s">
        <v>28949</v>
      </c>
      <c r="E13677" s="330" t="s">
        <v>4634</v>
      </c>
      <c r="F13677" s="331">
        <v>0.21</v>
      </c>
      <c r="G13677" s="332">
        <v>2161</v>
      </c>
      <c r="H13677" s="333">
        <v>2615</v>
      </c>
    </row>
    <row r="13678" spans="1:8">
      <c r="A13678" s="317">
        <v>2610397043</v>
      </c>
      <c r="B13678" s="330" t="s">
        <v>58031</v>
      </c>
      <c r="C13678" s="330" t="s">
        <v>28950</v>
      </c>
      <c r="D13678" s="330" t="s">
        <v>28951</v>
      </c>
      <c r="E13678" s="330" t="s">
        <v>4634</v>
      </c>
      <c r="F13678" s="331">
        <v>0.21</v>
      </c>
      <c r="G13678" s="332">
        <v>673</v>
      </c>
      <c r="H13678" s="333">
        <v>815</v>
      </c>
    </row>
    <row r="13679" spans="1:8">
      <c r="A13679" s="317">
        <v>2610397044</v>
      </c>
      <c r="B13679" s="330" t="s">
        <v>58032</v>
      </c>
      <c r="C13679" s="330" t="s">
        <v>28952</v>
      </c>
      <c r="D13679" s="330" t="s">
        <v>28953</v>
      </c>
      <c r="E13679" s="330" t="s">
        <v>4634</v>
      </c>
      <c r="F13679" s="331">
        <v>0.21</v>
      </c>
      <c r="G13679" s="332">
        <v>673</v>
      </c>
      <c r="H13679" s="333">
        <v>815</v>
      </c>
    </row>
    <row r="13680" spans="1:8">
      <c r="A13680" s="317">
        <v>2610397045</v>
      </c>
      <c r="B13680" s="330" t="s">
        <v>58033</v>
      </c>
      <c r="C13680" s="330" t="s">
        <v>28954</v>
      </c>
      <c r="D13680" s="330" t="s">
        <v>28955</v>
      </c>
      <c r="E13680" s="330" t="s">
        <v>4634</v>
      </c>
      <c r="F13680" s="331">
        <v>0.21</v>
      </c>
      <c r="G13680" s="332">
        <v>2293</v>
      </c>
      <c r="H13680" s="333">
        <v>2775</v>
      </c>
    </row>
    <row r="13681" spans="1:8">
      <c r="A13681" s="317">
        <v>2610397046</v>
      </c>
      <c r="B13681" s="330" t="s">
        <v>58034</v>
      </c>
      <c r="C13681" s="330" t="s">
        <v>28956</v>
      </c>
      <c r="D13681" s="330" t="s">
        <v>28957</v>
      </c>
      <c r="E13681" s="330" t="s">
        <v>4634</v>
      </c>
      <c r="F13681" s="331">
        <v>0.21</v>
      </c>
      <c r="G13681" s="332">
        <v>3332</v>
      </c>
      <c r="H13681" s="333">
        <v>4032</v>
      </c>
    </row>
    <row r="13682" spans="1:8">
      <c r="A13682" s="317">
        <v>2610397047</v>
      </c>
      <c r="B13682" s="330" t="s">
        <v>58035</v>
      </c>
      <c r="C13682" s="330" t="s">
        <v>28958</v>
      </c>
      <c r="D13682" s="330" t="s">
        <v>28959</v>
      </c>
      <c r="E13682" s="330" t="s">
        <v>4634</v>
      </c>
      <c r="F13682" s="331">
        <v>0.21</v>
      </c>
      <c r="G13682" s="332">
        <v>5924</v>
      </c>
      <c r="H13682" s="333">
        <v>7169</v>
      </c>
    </row>
    <row r="13683" spans="1:8">
      <c r="A13683" s="317">
        <v>2610397056</v>
      </c>
      <c r="B13683" s="330" t="s">
        <v>58036</v>
      </c>
      <c r="C13683" s="330" t="s">
        <v>28960</v>
      </c>
      <c r="D13683" s="330" t="s">
        <v>28961</v>
      </c>
      <c r="E13683" s="330" t="s">
        <v>37248</v>
      </c>
      <c r="F13683" s="331">
        <v>0.21</v>
      </c>
      <c r="G13683" s="332">
        <v>14584</v>
      </c>
      <c r="H13683" s="333">
        <v>17647</v>
      </c>
    </row>
    <row r="13684" spans="1:8">
      <c r="A13684" s="317">
        <v>2610397057</v>
      </c>
      <c r="B13684" s="330" t="s">
        <v>58037</v>
      </c>
      <c r="C13684" s="330" t="s">
        <v>28962</v>
      </c>
      <c r="D13684" s="330" t="s">
        <v>28963</v>
      </c>
      <c r="E13684" s="330" t="s">
        <v>37248</v>
      </c>
      <c r="F13684" s="331">
        <v>0.21</v>
      </c>
      <c r="G13684" s="332">
        <v>12565</v>
      </c>
      <c r="H13684" s="333">
        <v>15204</v>
      </c>
    </row>
    <row r="13685" spans="1:8">
      <c r="A13685" s="317">
        <v>2610397058</v>
      </c>
      <c r="B13685" s="330" t="s">
        <v>58038</v>
      </c>
      <c r="C13685" s="330" t="s">
        <v>28964</v>
      </c>
      <c r="D13685" s="330" t="s">
        <v>28965</v>
      </c>
      <c r="E13685" s="330" t="s">
        <v>37248</v>
      </c>
      <c r="F13685" s="331">
        <v>0.21</v>
      </c>
      <c r="G13685" s="332">
        <v>38857</v>
      </c>
      <c r="H13685" s="333">
        <v>47017</v>
      </c>
    </row>
    <row r="13686" spans="1:8">
      <c r="A13686" s="317">
        <v>2610397059</v>
      </c>
      <c r="B13686" s="330" t="s">
        <v>58039</v>
      </c>
      <c r="C13686" s="330" t="s">
        <v>28966</v>
      </c>
      <c r="D13686" s="330" t="s">
        <v>28967</v>
      </c>
      <c r="E13686" s="330" t="s">
        <v>4634</v>
      </c>
      <c r="F13686" s="331">
        <v>0.21</v>
      </c>
      <c r="G13686" s="332">
        <v>5543</v>
      </c>
      <c r="H13686" s="333">
        <v>6708</v>
      </c>
    </row>
    <row r="13687" spans="1:8">
      <c r="A13687" s="317">
        <v>2610397060</v>
      </c>
      <c r="B13687" s="330" t="s">
        <v>58040</v>
      </c>
      <c r="C13687" s="330" t="s">
        <v>28968</v>
      </c>
      <c r="D13687" s="330" t="s">
        <v>28969</v>
      </c>
      <c r="E13687" s="330" t="s">
        <v>4634</v>
      </c>
      <c r="F13687" s="331">
        <v>0.21</v>
      </c>
      <c r="G13687" s="332">
        <v>5456</v>
      </c>
      <c r="H13687" s="333">
        <v>6602</v>
      </c>
    </row>
    <row r="13688" spans="1:8">
      <c r="A13688" s="317">
        <v>2610397061</v>
      </c>
      <c r="B13688" s="330" t="s">
        <v>58041</v>
      </c>
      <c r="C13688" s="330" t="s">
        <v>28970</v>
      </c>
      <c r="D13688" s="330" t="s">
        <v>28971</v>
      </c>
      <c r="E13688" s="330" t="s">
        <v>37248</v>
      </c>
      <c r="F13688" s="331">
        <v>0.21</v>
      </c>
      <c r="G13688" s="332">
        <v>4829</v>
      </c>
      <c r="H13688" s="333">
        <v>5844</v>
      </c>
    </row>
    <row r="13689" spans="1:8">
      <c r="A13689" s="317">
        <v>2610397066</v>
      </c>
      <c r="B13689" s="330" t="s">
        <v>58042</v>
      </c>
      <c r="C13689" s="330" t="s">
        <v>28972</v>
      </c>
      <c r="D13689" s="330" t="s">
        <v>28973</v>
      </c>
      <c r="E13689" s="330" t="s">
        <v>4634</v>
      </c>
      <c r="F13689" s="331">
        <v>0.21</v>
      </c>
      <c r="G13689" s="332">
        <v>736</v>
      </c>
      <c r="H13689" s="333">
        <v>891</v>
      </c>
    </row>
    <row r="13690" spans="1:8">
      <c r="A13690" s="317">
        <v>2610397067</v>
      </c>
      <c r="B13690" s="330" t="s">
        <v>58043</v>
      </c>
      <c r="C13690" s="330" t="s">
        <v>28974</v>
      </c>
      <c r="D13690" s="330" t="s">
        <v>28975</v>
      </c>
      <c r="E13690" s="330" t="s">
        <v>4634</v>
      </c>
      <c r="F13690" s="331">
        <v>0.21</v>
      </c>
      <c r="G13690" s="332">
        <v>22053</v>
      </c>
      <c r="H13690" s="333">
        <v>26685</v>
      </c>
    </row>
    <row r="13691" spans="1:8">
      <c r="A13691" s="317">
        <v>2610397068</v>
      </c>
      <c r="B13691" s="330" t="s">
        <v>58044</v>
      </c>
      <c r="C13691" s="330" t="s">
        <v>28976</v>
      </c>
      <c r="D13691" s="330" t="s">
        <v>28977</v>
      </c>
      <c r="E13691" s="330" t="s">
        <v>4819</v>
      </c>
      <c r="F13691" s="331">
        <v>0.21</v>
      </c>
      <c r="G13691" s="332">
        <v>7869</v>
      </c>
      <c r="H13691" s="333">
        <v>9522</v>
      </c>
    </row>
    <row r="13692" spans="1:8">
      <c r="A13692" s="317">
        <v>2610397069</v>
      </c>
      <c r="B13692" s="330" t="s">
        <v>58045</v>
      </c>
      <c r="C13692" s="330" t="s">
        <v>28978</v>
      </c>
      <c r="D13692" s="330" t="s">
        <v>28961</v>
      </c>
      <c r="E13692" s="330" t="s">
        <v>4634</v>
      </c>
      <c r="F13692" s="331">
        <v>0.21</v>
      </c>
      <c r="G13692" s="332">
        <v>6317</v>
      </c>
      <c r="H13692" s="333">
        <v>7644</v>
      </c>
    </row>
    <row r="13693" spans="1:8">
      <c r="A13693" s="317">
        <v>2610397124</v>
      </c>
      <c r="B13693" s="330" t="s">
        <v>58046</v>
      </c>
      <c r="C13693" s="330" t="s">
        <v>28979</v>
      </c>
      <c r="D13693" s="330" t="s">
        <v>28980</v>
      </c>
      <c r="E13693" s="330" t="s">
        <v>4819</v>
      </c>
      <c r="F13693" s="331">
        <v>0.21</v>
      </c>
      <c r="G13693" s="332">
        <v>6047</v>
      </c>
      <c r="H13693" s="333">
        <v>7317</v>
      </c>
    </row>
    <row r="13694" spans="1:8">
      <c r="A13694" s="317">
        <v>2610397235</v>
      </c>
      <c r="B13694" s="330" t="s">
        <v>58047</v>
      </c>
      <c r="C13694" s="330" t="s">
        <v>28981</v>
      </c>
      <c r="D13694" s="330" t="s">
        <v>28982</v>
      </c>
      <c r="E13694" s="330" t="s">
        <v>37248</v>
      </c>
      <c r="F13694" s="331">
        <v>0.21</v>
      </c>
      <c r="G13694" s="332">
        <v>5719</v>
      </c>
      <c r="H13694" s="333">
        <v>6920</v>
      </c>
    </row>
    <row r="13695" spans="1:8">
      <c r="A13695" s="317">
        <v>2610397236</v>
      </c>
      <c r="B13695" s="330" t="s">
        <v>58048</v>
      </c>
      <c r="C13695" s="330" t="s">
        <v>28983</v>
      </c>
      <c r="D13695" s="330" t="s">
        <v>8219</v>
      </c>
      <c r="E13695" s="330" t="s">
        <v>37248</v>
      </c>
      <c r="F13695" s="331">
        <v>0.21</v>
      </c>
      <c r="G13695" s="332">
        <v>32296</v>
      </c>
      <c r="H13695" s="333">
        <v>39079</v>
      </c>
    </row>
    <row r="13696" spans="1:8">
      <c r="A13696" s="317">
        <v>2610397345</v>
      </c>
      <c r="B13696" s="330" t="s">
        <v>58049</v>
      </c>
      <c r="C13696" s="330" t="s">
        <v>28984</v>
      </c>
      <c r="D13696" s="330" t="s">
        <v>28985</v>
      </c>
      <c r="E13696" s="330" t="s">
        <v>4634</v>
      </c>
      <c r="F13696" s="331">
        <v>0.21</v>
      </c>
      <c r="G13696" s="332">
        <v>711</v>
      </c>
      <c r="H13696" s="333">
        <v>861</v>
      </c>
    </row>
    <row r="13697" spans="1:8">
      <c r="A13697" s="317">
        <v>2610397346</v>
      </c>
      <c r="B13697" s="330" t="s">
        <v>58050</v>
      </c>
      <c r="C13697" s="330" t="s">
        <v>28986</v>
      </c>
      <c r="D13697" s="330" t="s">
        <v>28787</v>
      </c>
      <c r="E13697" s="330" t="s">
        <v>4634</v>
      </c>
      <c r="F13697" s="331">
        <v>0.21</v>
      </c>
      <c r="G13697" s="332">
        <v>16813</v>
      </c>
      <c r="H13697" s="333">
        <v>20344</v>
      </c>
    </row>
    <row r="13698" spans="1:8">
      <c r="A13698" s="317">
        <v>2610397748</v>
      </c>
      <c r="B13698" s="330" t="s">
        <v>58051</v>
      </c>
      <c r="C13698" s="330" t="s">
        <v>28987</v>
      </c>
      <c r="D13698" s="330" t="s">
        <v>28988</v>
      </c>
      <c r="E13698" s="330" t="s">
        <v>4634</v>
      </c>
      <c r="F13698" s="331">
        <v>0.21</v>
      </c>
      <c r="G13698" s="332">
        <v>285</v>
      </c>
      <c r="H13698" s="333">
        <v>345</v>
      </c>
    </row>
    <row r="13699" spans="1:8">
      <c r="A13699" s="317">
        <v>2610398305</v>
      </c>
      <c r="B13699" s="330" t="s">
        <v>58052</v>
      </c>
      <c r="C13699" s="330" t="s">
        <v>28989</v>
      </c>
      <c r="D13699" s="330" t="s">
        <v>28990</v>
      </c>
      <c r="E13699" s="330" t="s">
        <v>4634</v>
      </c>
      <c r="F13699" s="331">
        <v>0.21</v>
      </c>
      <c r="G13699" s="332">
        <v>6960</v>
      </c>
      <c r="H13699" s="333">
        <v>8422</v>
      </c>
    </row>
    <row r="13700" spans="1:8">
      <c r="A13700" s="317">
        <v>2610398306</v>
      </c>
      <c r="B13700" s="330" t="s">
        <v>58053</v>
      </c>
      <c r="C13700" s="330" t="s">
        <v>28991</v>
      </c>
      <c r="D13700" s="330" t="s">
        <v>28992</v>
      </c>
      <c r="E13700" s="330" t="s">
        <v>4634</v>
      </c>
      <c r="F13700" s="331">
        <v>0.21</v>
      </c>
      <c r="G13700" s="332">
        <v>6819</v>
      </c>
      <c r="H13700" s="333">
        <v>8251</v>
      </c>
    </row>
    <row r="13701" spans="1:8">
      <c r="A13701" s="317">
        <v>2610398487</v>
      </c>
      <c r="B13701" s="330" t="s">
        <v>58054</v>
      </c>
      <c r="C13701" s="330" t="s">
        <v>28993</v>
      </c>
      <c r="D13701" s="330" t="s">
        <v>28994</v>
      </c>
      <c r="E13701" s="330" t="s">
        <v>4634</v>
      </c>
      <c r="F13701" s="331">
        <v>0.21</v>
      </c>
      <c r="G13701" s="332">
        <v>3238</v>
      </c>
      <c r="H13701" s="333">
        <v>3918</v>
      </c>
    </row>
    <row r="13702" spans="1:8">
      <c r="A13702" s="317">
        <v>2610398522</v>
      </c>
      <c r="B13702" s="330" t="s">
        <v>58055</v>
      </c>
      <c r="C13702" s="330" t="s">
        <v>28995</v>
      </c>
      <c r="D13702" s="330" t="s">
        <v>28996</v>
      </c>
      <c r="E13702" s="330" t="s">
        <v>37248</v>
      </c>
      <c r="F13702" s="331">
        <v>0.21</v>
      </c>
      <c r="G13702" s="332">
        <v>11738</v>
      </c>
      <c r="H13702" s="333">
        <v>14203</v>
      </c>
    </row>
    <row r="13703" spans="1:8">
      <c r="A13703" s="317">
        <v>2610398578</v>
      </c>
      <c r="B13703" s="330" t="s">
        <v>58056</v>
      </c>
      <c r="C13703" s="330" t="s">
        <v>28997</v>
      </c>
      <c r="D13703" s="330" t="s">
        <v>28998</v>
      </c>
      <c r="E13703" s="330" t="s">
        <v>37248</v>
      </c>
      <c r="F13703" s="331">
        <v>0.21</v>
      </c>
      <c r="G13703" s="332">
        <v>5784</v>
      </c>
      <c r="H13703" s="333">
        <v>6999</v>
      </c>
    </row>
    <row r="13704" spans="1:8">
      <c r="A13704" s="317">
        <v>2610398579</v>
      </c>
      <c r="B13704" s="330" t="s">
        <v>58057</v>
      </c>
      <c r="C13704" s="330" t="s">
        <v>28999</v>
      </c>
      <c r="D13704" s="330" t="s">
        <v>29000</v>
      </c>
      <c r="E13704" s="330" t="s">
        <v>37248</v>
      </c>
      <c r="F13704" s="331">
        <v>0.21</v>
      </c>
      <c r="G13704" s="332">
        <v>1126</v>
      </c>
      <c r="H13704" s="333">
        <v>1363</v>
      </c>
    </row>
    <row r="13705" spans="1:8">
      <c r="A13705" s="317">
        <v>2610398580</v>
      </c>
      <c r="B13705" s="330" t="s">
        <v>58058</v>
      </c>
      <c r="C13705" s="330" t="s">
        <v>29001</v>
      </c>
      <c r="D13705" s="330" t="s">
        <v>29002</v>
      </c>
      <c r="E13705" s="330" t="s">
        <v>37248</v>
      </c>
      <c r="F13705" s="331">
        <v>0.21</v>
      </c>
      <c r="G13705" s="332">
        <v>19260</v>
      </c>
      <c r="H13705" s="333">
        <v>23305</v>
      </c>
    </row>
    <row r="13706" spans="1:8">
      <c r="A13706" s="317">
        <v>2610398581</v>
      </c>
      <c r="B13706" s="330" t="s">
        <v>58059</v>
      </c>
      <c r="C13706" s="330" t="s">
        <v>29003</v>
      </c>
      <c r="D13706" s="330" t="s">
        <v>29004</v>
      </c>
      <c r="E13706" s="330" t="s">
        <v>37248</v>
      </c>
      <c r="F13706" s="331">
        <v>0.21</v>
      </c>
      <c r="G13706" s="332">
        <v>27902</v>
      </c>
      <c r="H13706" s="333">
        <v>33762</v>
      </c>
    </row>
    <row r="13707" spans="1:8">
      <c r="A13707" s="317">
        <v>2610398583</v>
      </c>
      <c r="B13707" s="330" t="s">
        <v>58060</v>
      </c>
      <c r="C13707" s="330" t="s">
        <v>29005</v>
      </c>
      <c r="D13707" s="330" t="s">
        <v>29006</v>
      </c>
      <c r="E13707" s="330" t="s">
        <v>37248</v>
      </c>
      <c r="F13707" s="331">
        <v>0.21</v>
      </c>
      <c r="G13707" s="332">
        <v>2552</v>
      </c>
      <c r="H13707" s="333">
        <v>3088</v>
      </c>
    </row>
    <row r="13708" spans="1:8">
      <c r="A13708" s="317">
        <v>2610398585</v>
      </c>
      <c r="B13708" s="330" t="s">
        <v>58061</v>
      </c>
      <c r="C13708" s="330" t="s">
        <v>29007</v>
      </c>
      <c r="D13708" s="330" t="s">
        <v>29008</v>
      </c>
      <c r="E13708" s="330" t="s">
        <v>4634</v>
      </c>
      <c r="F13708" s="331">
        <v>0.21</v>
      </c>
      <c r="G13708" s="332">
        <v>194</v>
      </c>
      <c r="H13708" s="333">
        <v>235</v>
      </c>
    </row>
    <row r="13709" spans="1:8">
      <c r="A13709" s="317">
        <v>2610398586</v>
      </c>
      <c r="B13709" s="330" t="s">
        <v>58062</v>
      </c>
      <c r="C13709" s="330" t="s">
        <v>29009</v>
      </c>
      <c r="D13709" s="330" t="s">
        <v>29010</v>
      </c>
      <c r="E13709" s="330" t="s">
        <v>37248</v>
      </c>
      <c r="F13709" s="331">
        <v>0.21</v>
      </c>
      <c r="G13709" s="332">
        <v>11796</v>
      </c>
      <c r="H13709" s="333">
        <v>14274</v>
      </c>
    </row>
    <row r="13710" spans="1:8">
      <c r="A13710" s="317">
        <v>2610398587</v>
      </c>
      <c r="B13710" s="330" t="s">
        <v>58063</v>
      </c>
      <c r="C13710" s="330" t="s">
        <v>29011</v>
      </c>
      <c r="D13710" s="330" t="s">
        <v>29012</v>
      </c>
      <c r="E13710" s="330" t="s">
        <v>4634</v>
      </c>
      <c r="F13710" s="331">
        <v>0.21</v>
      </c>
      <c r="G13710" s="332">
        <v>214</v>
      </c>
      <c r="H13710" s="333">
        <v>259</v>
      </c>
    </row>
    <row r="13711" spans="1:8">
      <c r="A13711" s="317">
        <v>2610398589</v>
      </c>
      <c r="B13711" s="330" t="s">
        <v>58064</v>
      </c>
      <c r="C13711" s="330" t="s">
        <v>29013</v>
      </c>
      <c r="D13711" s="330" t="s">
        <v>29014</v>
      </c>
      <c r="E13711" s="330" t="s">
        <v>4634</v>
      </c>
      <c r="F13711" s="331">
        <v>0.21</v>
      </c>
      <c r="G13711" s="332">
        <v>7250</v>
      </c>
      <c r="H13711" s="333">
        <v>8773</v>
      </c>
    </row>
    <row r="13712" spans="1:8">
      <c r="A13712" s="317">
        <v>2610398590</v>
      </c>
      <c r="B13712" s="330" t="s">
        <v>58065</v>
      </c>
      <c r="C13712" s="330" t="s">
        <v>29015</v>
      </c>
      <c r="D13712" s="330" t="s">
        <v>29016</v>
      </c>
      <c r="E13712" s="330" t="s">
        <v>4634</v>
      </c>
      <c r="F13712" s="331">
        <v>0.21</v>
      </c>
      <c r="G13712" s="332">
        <v>21714</v>
      </c>
      <c r="H13712" s="333">
        <v>26274</v>
      </c>
    </row>
    <row r="13713" spans="1:8">
      <c r="A13713" s="317">
        <v>2610398591</v>
      </c>
      <c r="B13713" s="330" t="s">
        <v>58066</v>
      </c>
      <c r="C13713" s="330" t="s">
        <v>29017</v>
      </c>
      <c r="D13713" s="330" t="s">
        <v>29018</v>
      </c>
      <c r="E13713" s="330" t="s">
        <v>4634</v>
      </c>
      <c r="F13713" s="331">
        <v>0.21</v>
      </c>
      <c r="G13713" s="332">
        <v>3111</v>
      </c>
      <c r="H13713" s="333">
        <v>3765</v>
      </c>
    </row>
    <row r="13714" spans="1:8">
      <c r="A13714" s="317">
        <v>2610398735</v>
      </c>
      <c r="B13714" s="330" t="s">
        <v>58067</v>
      </c>
      <c r="C13714" s="330" t="s">
        <v>29019</v>
      </c>
      <c r="D13714" s="330" t="s">
        <v>29020</v>
      </c>
      <c r="E13714" s="330" t="s">
        <v>4634</v>
      </c>
      <c r="F13714" s="331">
        <v>0.21</v>
      </c>
      <c r="G13714" s="332">
        <v>14212</v>
      </c>
      <c r="H13714" s="333">
        <v>17197</v>
      </c>
    </row>
    <row r="13715" spans="1:8">
      <c r="A13715" s="317">
        <v>2610398736</v>
      </c>
      <c r="B13715" s="330" t="s">
        <v>58068</v>
      </c>
      <c r="C13715" s="330" t="s">
        <v>29021</v>
      </c>
      <c r="D13715" s="330" t="s">
        <v>29022</v>
      </c>
      <c r="E13715" s="330" t="s">
        <v>4634</v>
      </c>
      <c r="F13715" s="331">
        <v>0.21</v>
      </c>
      <c r="G13715" s="332">
        <v>18187</v>
      </c>
      <c r="H13715" s="333">
        <v>22007</v>
      </c>
    </row>
    <row r="13716" spans="1:8">
      <c r="A13716" s="317">
        <v>2610398737</v>
      </c>
      <c r="B13716" s="330" t="s">
        <v>58069</v>
      </c>
      <c r="C13716" s="330" t="s">
        <v>29023</v>
      </c>
      <c r="D13716" s="330" t="s">
        <v>29024</v>
      </c>
      <c r="E13716" s="330" t="s">
        <v>4634</v>
      </c>
      <c r="F13716" s="331">
        <v>0.21</v>
      </c>
      <c r="G13716" s="332">
        <v>4758</v>
      </c>
      <c r="H13716" s="333">
        <v>5758</v>
      </c>
    </row>
    <row r="13717" spans="1:8">
      <c r="A13717" s="317">
        <v>2610398739</v>
      </c>
      <c r="B13717" s="330" t="s">
        <v>58070</v>
      </c>
      <c r="C13717" s="330" t="s">
        <v>29025</v>
      </c>
      <c r="D13717" s="330" t="s">
        <v>29026</v>
      </c>
      <c r="E13717" s="330" t="s">
        <v>4634</v>
      </c>
      <c r="F13717" s="331">
        <v>0.21</v>
      </c>
      <c r="G13717" s="332">
        <v>506</v>
      </c>
      <c r="H13717" s="333">
        <v>613</v>
      </c>
    </row>
    <row r="13718" spans="1:8">
      <c r="A13718" s="317">
        <v>2610398743</v>
      </c>
      <c r="B13718" s="330" t="s">
        <v>58071</v>
      </c>
      <c r="C13718" s="330" t="s">
        <v>29027</v>
      </c>
      <c r="D13718" s="330" t="s">
        <v>29028</v>
      </c>
      <c r="E13718" s="330" t="s">
        <v>4634</v>
      </c>
      <c r="F13718" s="331">
        <v>0.21</v>
      </c>
      <c r="G13718" s="332">
        <v>14212</v>
      </c>
      <c r="H13718" s="333">
        <v>17197</v>
      </c>
    </row>
    <row r="13719" spans="1:8">
      <c r="A13719" s="317">
        <v>2610398744</v>
      </c>
      <c r="B13719" s="330" t="s">
        <v>58072</v>
      </c>
      <c r="C13719" s="330" t="s">
        <v>29029</v>
      </c>
      <c r="D13719" s="330" t="s">
        <v>29030</v>
      </c>
      <c r="E13719" s="330" t="s">
        <v>4634</v>
      </c>
      <c r="F13719" s="331">
        <v>0.21</v>
      </c>
      <c r="G13719" s="332">
        <v>1409</v>
      </c>
      <c r="H13719" s="333">
        <v>1705</v>
      </c>
    </row>
    <row r="13720" spans="1:8">
      <c r="A13720" s="317">
        <v>2610398745</v>
      </c>
      <c r="B13720" s="330" t="s">
        <v>58073</v>
      </c>
      <c r="C13720" s="330" t="s">
        <v>29031</v>
      </c>
      <c r="D13720" s="330" t="s">
        <v>29032</v>
      </c>
      <c r="E13720" s="330" t="s">
        <v>4634</v>
      </c>
      <c r="F13720" s="331">
        <v>0.21</v>
      </c>
      <c r="G13720" s="332">
        <v>372</v>
      </c>
      <c r="H13720" s="333">
        <v>451</v>
      </c>
    </row>
    <row r="13721" spans="1:8">
      <c r="A13721" s="317">
        <v>2610398746</v>
      </c>
      <c r="B13721" s="330" t="s">
        <v>58074</v>
      </c>
      <c r="C13721" s="330" t="s">
        <v>29033</v>
      </c>
      <c r="D13721" s="330" t="s">
        <v>29034</v>
      </c>
      <c r="E13721" s="330" t="s">
        <v>4634</v>
      </c>
      <c r="F13721" s="331">
        <v>0.21</v>
      </c>
      <c r="G13721" s="332">
        <v>372</v>
      </c>
      <c r="H13721" s="333">
        <v>451</v>
      </c>
    </row>
    <row r="13722" spans="1:8">
      <c r="A13722" s="317">
        <v>2610398860</v>
      </c>
      <c r="B13722" s="330" t="s">
        <v>58075</v>
      </c>
      <c r="C13722" s="330" t="s">
        <v>29035</v>
      </c>
      <c r="D13722" s="330" t="s">
        <v>29036</v>
      </c>
      <c r="E13722" s="330" t="s">
        <v>4634</v>
      </c>
      <c r="F13722" s="331">
        <v>0.21</v>
      </c>
      <c r="G13722" s="332">
        <v>584</v>
      </c>
      <c r="H13722" s="333">
        <v>707</v>
      </c>
    </row>
    <row r="13723" spans="1:8">
      <c r="A13723" s="317">
        <v>2610398861</v>
      </c>
      <c r="B13723" s="330" t="s">
        <v>58076</v>
      </c>
      <c r="C13723" s="330" t="s">
        <v>29037</v>
      </c>
      <c r="D13723" s="330" t="s">
        <v>29038</v>
      </c>
      <c r="E13723" s="330" t="s">
        <v>4634</v>
      </c>
      <c r="F13723" s="331">
        <v>0.21</v>
      </c>
      <c r="G13723" s="332">
        <v>53034</v>
      </c>
      <c r="H13723" s="333">
        <v>64172</v>
      </c>
    </row>
    <row r="13724" spans="1:8">
      <c r="A13724" s="317">
        <v>2610398862</v>
      </c>
      <c r="B13724" s="330" t="s">
        <v>58077</v>
      </c>
      <c r="C13724" s="330" t="s">
        <v>29039</v>
      </c>
      <c r="D13724" s="330" t="s">
        <v>29040</v>
      </c>
      <c r="E13724" s="330" t="s">
        <v>4634</v>
      </c>
      <c r="F13724" s="331">
        <v>0.21</v>
      </c>
      <c r="G13724" s="332">
        <v>72093</v>
      </c>
      <c r="H13724" s="333">
        <v>87233</v>
      </c>
    </row>
    <row r="13725" spans="1:8">
      <c r="A13725" s="317">
        <v>2610398863</v>
      </c>
      <c r="B13725" s="330" t="s">
        <v>58078</v>
      </c>
      <c r="C13725" s="330" t="s">
        <v>29041</v>
      </c>
      <c r="D13725" s="330" t="s">
        <v>29042</v>
      </c>
      <c r="E13725" s="330" t="s">
        <v>4634</v>
      </c>
      <c r="F13725" s="331">
        <v>0.21</v>
      </c>
      <c r="G13725" s="332">
        <v>70777</v>
      </c>
      <c r="H13725" s="333">
        <v>85641</v>
      </c>
    </row>
    <row r="13726" spans="1:8">
      <c r="A13726" s="317">
        <v>2610398864</v>
      </c>
      <c r="B13726" s="330" t="s">
        <v>58079</v>
      </c>
      <c r="C13726" s="330" t="s">
        <v>29043</v>
      </c>
      <c r="D13726" s="330" t="s">
        <v>29044</v>
      </c>
      <c r="E13726" s="330" t="s">
        <v>4634</v>
      </c>
      <c r="F13726" s="331">
        <v>0.21</v>
      </c>
      <c r="G13726" s="332">
        <v>58910</v>
      </c>
      <c r="H13726" s="333">
        <v>71282</v>
      </c>
    </row>
    <row r="13727" spans="1:8">
      <c r="A13727" s="317">
        <v>2610398865</v>
      </c>
      <c r="B13727" s="330" t="s">
        <v>58080</v>
      </c>
      <c r="C13727" s="330" t="s">
        <v>29045</v>
      </c>
      <c r="D13727" s="330" t="s">
        <v>29046</v>
      </c>
      <c r="E13727" s="330" t="s">
        <v>4634</v>
      </c>
      <c r="F13727" s="331">
        <v>0.21</v>
      </c>
      <c r="G13727" s="332">
        <v>613</v>
      </c>
      <c r="H13727" s="333">
        <v>742</v>
      </c>
    </row>
    <row r="13728" spans="1:8">
      <c r="A13728" s="317">
        <v>2610398866</v>
      </c>
      <c r="B13728" s="330" t="s">
        <v>58081</v>
      </c>
      <c r="C13728" s="330" t="s">
        <v>29047</v>
      </c>
      <c r="D13728" s="330" t="s">
        <v>29048</v>
      </c>
      <c r="E13728" s="330" t="s">
        <v>4623</v>
      </c>
      <c r="F13728" s="331">
        <v>0.21</v>
      </c>
      <c r="G13728" s="332">
        <v>3310</v>
      </c>
      <c r="H13728" s="333">
        <v>4006</v>
      </c>
    </row>
    <row r="13729" spans="1:8">
      <c r="A13729" s="317">
        <v>2610398867</v>
      </c>
      <c r="B13729" s="330" t="s">
        <v>58082</v>
      </c>
      <c r="C13729" s="330" t="s">
        <v>29049</v>
      </c>
      <c r="D13729" s="330" t="s">
        <v>29050</v>
      </c>
      <c r="E13729" s="330" t="s">
        <v>4634</v>
      </c>
      <c r="F13729" s="331">
        <v>0.21</v>
      </c>
      <c r="G13729" s="332">
        <v>5761</v>
      </c>
      <c r="H13729" s="333">
        <v>6971</v>
      </c>
    </row>
    <row r="13730" spans="1:8">
      <c r="A13730" s="317">
        <v>2610398868</v>
      </c>
      <c r="B13730" s="330" t="s">
        <v>58083</v>
      </c>
      <c r="C13730" s="330" t="s">
        <v>29051</v>
      </c>
      <c r="D13730" s="330" t="s">
        <v>29052</v>
      </c>
      <c r="E13730" s="330" t="s">
        <v>4634</v>
      </c>
      <c r="F13730" s="331">
        <v>0.21</v>
      </c>
      <c r="G13730" s="332">
        <v>9304</v>
      </c>
      <c r="H13730" s="333">
        <v>11258</v>
      </c>
    </row>
    <row r="13731" spans="1:8">
      <c r="A13731" s="317">
        <v>2610398869</v>
      </c>
      <c r="B13731" s="330" t="s">
        <v>58084</v>
      </c>
      <c r="C13731" s="330" t="s">
        <v>29053</v>
      </c>
      <c r="D13731" s="330" t="s">
        <v>29054</v>
      </c>
      <c r="E13731" s="330" t="s">
        <v>4634</v>
      </c>
      <c r="F13731" s="331">
        <v>0.21</v>
      </c>
      <c r="G13731" s="332">
        <v>1258</v>
      </c>
      <c r="H13731" s="333">
        <v>1523</v>
      </c>
    </row>
    <row r="13732" spans="1:8">
      <c r="A13732" s="317">
        <v>2610398870</v>
      </c>
      <c r="B13732" s="330" t="s">
        <v>58085</v>
      </c>
      <c r="C13732" s="330" t="s">
        <v>29055</v>
      </c>
      <c r="D13732" s="330" t="s">
        <v>29056</v>
      </c>
      <c r="E13732" s="330" t="s">
        <v>4634</v>
      </c>
      <c r="F13732" s="331">
        <v>0.21</v>
      </c>
      <c r="G13732" s="332">
        <v>823</v>
      </c>
      <c r="H13732" s="333">
        <v>996</v>
      </c>
    </row>
    <row r="13733" spans="1:8">
      <c r="A13733" s="317">
        <v>2610398871</v>
      </c>
      <c r="B13733" s="330" t="s">
        <v>58086</v>
      </c>
      <c r="C13733" s="330" t="s">
        <v>29057</v>
      </c>
      <c r="D13733" s="330" t="s">
        <v>29058</v>
      </c>
      <c r="E13733" s="330" t="s">
        <v>4634</v>
      </c>
      <c r="F13733" s="331">
        <v>0.21</v>
      </c>
      <c r="G13733" s="332">
        <v>7279</v>
      </c>
      <c r="H13733" s="333">
        <v>8808</v>
      </c>
    </row>
    <row r="13734" spans="1:8">
      <c r="A13734" s="317">
        <v>2610398872</v>
      </c>
      <c r="B13734" s="330" t="s">
        <v>58087</v>
      </c>
      <c r="C13734" s="330" t="s">
        <v>29059</v>
      </c>
      <c r="D13734" s="330" t="s">
        <v>29060</v>
      </c>
      <c r="E13734" s="330" t="s">
        <v>4634</v>
      </c>
      <c r="F13734" s="331">
        <v>0.21</v>
      </c>
      <c r="G13734" s="332">
        <v>372</v>
      </c>
      <c r="H13734" s="333">
        <v>451</v>
      </c>
    </row>
    <row r="13735" spans="1:8">
      <c r="A13735" s="317">
        <v>2610398873</v>
      </c>
      <c r="B13735" s="330" t="s">
        <v>58088</v>
      </c>
      <c r="C13735" s="330" t="s">
        <v>29061</v>
      </c>
      <c r="D13735" s="330" t="s">
        <v>29062</v>
      </c>
      <c r="E13735" s="330" t="s">
        <v>4634</v>
      </c>
      <c r="F13735" s="331">
        <v>0.21</v>
      </c>
      <c r="G13735" s="332">
        <v>4930</v>
      </c>
      <c r="H13735" s="333">
        <v>5966</v>
      </c>
    </row>
    <row r="13736" spans="1:8">
      <c r="A13736" s="317">
        <v>2610398874</v>
      </c>
      <c r="B13736" s="330" t="s">
        <v>58089</v>
      </c>
      <c r="C13736" s="330" t="s">
        <v>29063</v>
      </c>
      <c r="D13736" s="330" t="s">
        <v>29064</v>
      </c>
      <c r="E13736" s="330" t="s">
        <v>4634</v>
      </c>
      <c r="F13736" s="331">
        <v>0.21</v>
      </c>
      <c r="G13736" s="332">
        <v>506</v>
      </c>
      <c r="H13736" s="333">
        <v>613</v>
      </c>
    </row>
    <row r="13737" spans="1:8">
      <c r="A13737" s="317">
        <v>2610398875</v>
      </c>
      <c r="B13737" s="330" t="s">
        <v>58090</v>
      </c>
      <c r="C13737" s="330" t="s">
        <v>29065</v>
      </c>
      <c r="D13737" s="330" t="s">
        <v>29066</v>
      </c>
      <c r="E13737" s="330" t="s">
        <v>4634</v>
      </c>
      <c r="F13737" s="331">
        <v>0.21</v>
      </c>
      <c r="G13737" s="332">
        <v>3410</v>
      </c>
      <c r="H13737" s="333">
        <v>4127</v>
      </c>
    </row>
    <row r="13738" spans="1:8">
      <c r="A13738" s="317">
        <v>2610398876</v>
      </c>
      <c r="B13738" s="330" t="s">
        <v>58091</v>
      </c>
      <c r="C13738" s="330" t="s">
        <v>29067</v>
      </c>
      <c r="D13738" s="330" t="s">
        <v>29068</v>
      </c>
      <c r="E13738" s="330" t="s">
        <v>4634</v>
      </c>
      <c r="F13738" s="331">
        <v>0.21</v>
      </c>
      <c r="G13738" s="332">
        <v>7154</v>
      </c>
      <c r="H13738" s="333">
        <v>8657</v>
      </c>
    </row>
    <row r="13739" spans="1:8">
      <c r="A13739" s="317">
        <v>2610398877</v>
      </c>
      <c r="B13739" s="330" t="s">
        <v>58092</v>
      </c>
      <c r="C13739" s="330" t="s">
        <v>29069</v>
      </c>
      <c r="D13739" s="330" t="s">
        <v>29070</v>
      </c>
      <c r="E13739" s="330" t="s">
        <v>4634</v>
      </c>
      <c r="F13739" s="331">
        <v>0.21</v>
      </c>
      <c r="G13739" s="332">
        <v>2166</v>
      </c>
      <c r="H13739" s="333">
        <v>2621</v>
      </c>
    </row>
    <row r="13740" spans="1:8">
      <c r="A13740" s="317">
        <v>2610398878</v>
      </c>
      <c r="B13740" s="330" t="s">
        <v>58093</v>
      </c>
      <c r="C13740" s="330" t="s">
        <v>29071</v>
      </c>
      <c r="D13740" s="330" t="s">
        <v>29072</v>
      </c>
      <c r="E13740" s="330" t="s">
        <v>4634</v>
      </c>
      <c r="F13740" s="331">
        <v>0.21</v>
      </c>
      <c r="G13740" s="332">
        <v>2315</v>
      </c>
      <c r="H13740" s="333">
        <v>2802</v>
      </c>
    </row>
    <row r="13741" spans="1:8">
      <c r="A13741" s="317">
        <v>2610398879</v>
      </c>
      <c r="B13741" s="330" t="s">
        <v>58094</v>
      </c>
      <c r="C13741" s="330" t="s">
        <v>29073</v>
      </c>
      <c r="D13741" s="330" t="s">
        <v>29074</v>
      </c>
      <c r="E13741" s="330" t="s">
        <v>4634</v>
      </c>
      <c r="F13741" s="331">
        <v>0.21</v>
      </c>
      <c r="G13741" s="332">
        <v>4423</v>
      </c>
      <c r="H13741" s="333">
        <v>5352</v>
      </c>
    </row>
    <row r="13742" spans="1:8">
      <c r="A13742" s="317">
        <v>2610398880</v>
      </c>
      <c r="B13742" s="330" t="s">
        <v>58095</v>
      </c>
      <c r="C13742" s="330" t="s">
        <v>29075</v>
      </c>
      <c r="D13742" s="330" t="s">
        <v>29076</v>
      </c>
      <c r="E13742" s="330" t="s">
        <v>4819</v>
      </c>
      <c r="F13742" s="331">
        <v>0.21</v>
      </c>
      <c r="G13742" s="332">
        <v>20273</v>
      </c>
      <c r="H13742" s="333">
        <v>24531</v>
      </c>
    </row>
    <row r="13743" spans="1:8">
      <c r="A13743" s="317">
        <v>2610398881</v>
      </c>
      <c r="B13743" s="330" t="s">
        <v>58096</v>
      </c>
      <c r="C13743" s="330" t="s">
        <v>29077</v>
      </c>
      <c r="D13743" s="330" t="s">
        <v>29078</v>
      </c>
      <c r="E13743" s="330" t="s">
        <v>4634</v>
      </c>
      <c r="F13743" s="331">
        <v>0.21</v>
      </c>
      <c r="G13743" s="332">
        <v>8833</v>
      </c>
      <c r="H13743" s="333">
        <v>10688</v>
      </c>
    </row>
    <row r="13744" spans="1:8">
      <c r="A13744" s="317">
        <v>2610398914</v>
      </c>
      <c r="B13744" s="330" t="s">
        <v>58097</v>
      </c>
      <c r="C13744" s="330" t="s">
        <v>29079</v>
      </c>
      <c r="D13744" s="330" t="s">
        <v>7602</v>
      </c>
      <c r="E13744" s="330" t="s">
        <v>4819</v>
      </c>
      <c r="F13744" s="331">
        <v>0.21</v>
      </c>
      <c r="G13744" s="332">
        <v>21564</v>
      </c>
      <c r="H13744" s="333">
        <v>26093</v>
      </c>
    </row>
    <row r="13745" spans="1:8">
      <c r="A13745" s="317">
        <v>2610398915</v>
      </c>
      <c r="B13745" s="330" t="s">
        <v>58098</v>
      </c>
      <c r="C13745" s="330" t="s">
        <v>29080</v>
      </c>
      <c r="D13745" s="330" t="s">
        <v>29081</v>
      </c>
      <c r="E13745" s="330" t="s">
        <v>4819</v>
      </c>
      <c r="F13745" s="331">
        <v>0.21</v>
      </c>
      <c r="G13745" s="332">
        <v>5853</v>
      </c>
      <c r="H13745" s="333">
        <v>7083</v>
      </c>
    </row>
    <row r="13746" spans="1:8">
      <c r="A13746" s="317">
        <v>2610398972</v>
      </c>
      <c r="B13746" s="330" t="s">
        <v>58099</v>
      </c>
      <c r="C13746" s="330" t="s">
        <v>29082</v>
      </c>
      <c r="D13746" s="330" t="s">
        <v>29083</v>
      </c>
      <c r="E13746" s="330" t="s">
        <v>4634</v>
      </c>
      <c r="F13746" s="331">
        <v>0.21</v>
      </c>
      <c r="G13746" s="332">
        <v>6440</v>
      </c>
      <c r="H13746" s="333">
        <v>7793</v>
      </c>
    </row>
    <row r="13747" spans="1:8">
      <c r="A13747" s="317">
        <v>2610398973</v>
      </c>
      <c r="B13747" s="330" t="s">
        <v>58100</v>
      </c>
      <c r="C13747" s="330" t="s">
        <v>29084</v>
      </c>
      <c r="D13747" s="330" t="s">
        <v>29085</v>
      </c>
      <c r="E13747" s="330" t="s">
        <v>4634</v>
      </c>
      <c r="F13747" s="331">
        <v>0.21</v>
      </c>
      <c r="G13747" s="332">
        <v>194</v>
      </c>
      <c r="H13747" s="333">
        <v>235</v>
      </c>
    </row>
    <row r="13748" spans="1:8">
      <c r="A13748" s="317">
        <v>2610398974</v>
      </c>
      <c r="B13748" s="330" t="s">
        <v>58101</v>
      </c>
      <c r="C13748" s="330" t="s">
        <v>29086</v>
      </c>
      <c r="D13748" s="330" t="s">
        <v>29087</v>
      </c>
      <c r="E13748" s="330" t="s">
        <v>37248</v>
      </c>
      <c r="F13748" s="331">
        <v>0.21</v>
      </c>
      <c r="G13748" s="332">
        <v>5833</v>
      </c>
      <c r="H13748" s="333">
        <v>7058</v>
      </c>
    </row>
    <row r="13749" spans="1:8">
      <c r="A13749" s="317">
        <v>2610398975</v>
      </c>
      <c r="B13749" s="330" t="s">
        <v>58102</v>
      </c>
      <c r="C13749" s="330" t="s">
        <v>29088</v>
      </c>
      <c r="D13749" s="330" t="s">
        <v>29089</v>
      </c>
      <c r="E13749" s="330" t="s">
        <v>4634</v>
      </c>
      <c r="F13749" s="331">
        <v>0.21</v>
      </c>
      <c r="G13749" s="332">
        <v>673</v>
      </c>
      <c r="H13749" s="333">
        <v>815</v>
      </c>
    </row>
    <row r="13750" spans="1:8">
      <c r="A13750" s="317">
        <v>2610398976</v>
      </c>
      <c r="B13750" s="330" t="s">
        <v>58103</v>
      </c>
      <c r="C13750" s="330" t="s">
        <v>29090</v>
      </c>
      <c r="D13750" s="330" t="s">
        <v>29091</v>
      </c>
      <c r="E13750" s="330" t="s">
        <v>4634</v>
      </c>
      <c r="F13750" s="331">
        <v>0.21</v>
      </c>
      <c r="G13750" s="332">
        <v>8117</v>
      </c>
      <c r="H13750" s="333">
        <v>9822</v>
      </c>
    </row>
    <row r="13751" spans="1:8">
      <c r="A13751" s="317">
        <v>2610398978</v>
      </c>
      <c r="B13751" s="330" t="s">
        <v>58104</v>
      </c>
      <c r="C13751" s="330" t="s">
        <v>29092</v>
      </c>
      <c r="D13751" s="330" t="s">
        <v>29093</v>
      </c>
      <c r="E13751" s="330" t="s">
        <v>4819</v>
      </c>
      <c r="F13751" s="331">
        <v>0.21</v>
      </c>
      <c r="G13751" s="332">
        <v>811</v>
      </c>
      <c r="H13751" s="333">
        <v>982</v>
      </c>
    </row>
    <row r="13752" spans="1:8">
      <c r="A13752" s="317">
        <v>2610398980</v>
      </c>
      <c r="B13752" s="330" t="s">
        <v>58105</v>
      </c>
      <c r="C13752" s="330" t="s">
        <v>29094</v>
      </c>
      <c r="D13752" s="330" t="s">
        <v>28994</v>
      </c>
      <c r="E13752" s="330" t="s">
        <v>4819</v>
      </c>
      <c r="F13752" s="331">
        <v>0.21</v>
      </c>
      <c r="G13752" s="332">
        <v>4845</v>
      </c>
      <c r="H13752" s="333">
        <v>5863</v>
      </c>
    </row>
    <row r="13753" spans="1:8">
      <c r="A13753" s="317">
        <v>2610398981</v>
      </c>
      <c r="B13753" s="330" t="s">
        <v>58106</v>
      </c>
      <c r="C13753" s="330" t="s">
        <v>29095</v>
      </c>
      <c r="D13753" s="330" t="s">
        <v>29096</v>
      </c>
      <c r="E13753" s="330" t="s">
        <v>37248</v>
      </c>
      <c r="F13753" s="331">
        <v>0.21</v>
      </c>
      <c r="G13753" s="332">
        <v>4234</v>
      </c>
      <c r="H13753" s="333">
        <v>5124</v>
      </c>
    </row>
    <row r="13754" spans="1:8">
      <c r="A13754" s="317">
        <v>2610398982</v>
      </c>
      <c r="B13754" s="330" t="s">
        <v>58107</v>
      </c>
      <c r="C13754" s="330" t="s">
        <v>29097</v>
      </c>
      <c r="D13754" s="330" t="s">
        <v>29098</v>
      </c>
      <c r="E13754" s="330" t="s">
        <v>4634</v>
      </c>
      <c r="F13754" s="331">
        <v>0.21</v>
      </c>
      <c r="G13754" s="332">
        <v>42168</v>
      </c>
      <c r="H13754" s="333">
        <v>51024</v>
      </c>
    </row>
    <row r="13755" spans="1:8">
      <c r="A13755" s="317">
        <v>2610398983</v>
      </c>
      <c r="B13755" s="330" t="s">
        <v>58108</v>
      </c>
      <c r="C13755" s="330" t="s">
        <v>29099</v>
      </c>
      <c r="D13755" s="330" t="s">
        <v>29100</v>
      </c>
      <c r="E13755" s="330" t="s">
        <v>4634</v>
      </c>
      <c r="F13755" s="331">
        <v>0.21</v>
      </c>
      <c r="G13755" s="332">
        <v>3000</v>
      </c>
      <c r="H13755" s="333">
        <v>3630</v>
      </c>
    </row>
    <row r="13756" spans="1:8">
      <c r="A13756" s="317">
        <v>2610398984</v>
      </c>
      <c r="B13756" s="330" t="s">
        <v>58109</v>
      </c>
      <c r="C13756" s="330" t="s">
        <v>29101</v>
      </c>
      <c r="D13756" s="330" t="s">
        <v>29102</v>
      </c>
      <c r="E13756" s="330" t="s">
        <v>4634</v>
      </c>
      <c r="F13756" s="331">
        <v>0.21</v>
      </c>
      <c r="G13756" s="332">
        <v>36165</v>
      </c>
      <c r="H13756" s="333">
        <v>43760</v>
      </c>
    </row>
    <row r="13757" spans="1:8">
      <c r="A13757" s="317">
        <v>2610398985</v>
      </c>
      <c r="B13757" s="330" t="s">
        <v>58110</v>
      </c>
      <c r="C13757" s="330" t="s">
        <v>29103</v>
      </c>
      <c r="D13757" s="330" t="s">
        <v>29104</v>
      </c>
      <c r="E13757" s="330" t="s">
        <v>4634</v>
      </c>
      <c r="F13757" s="331">
        <v>0.21</v>
      </c>
      <c r="G13757" s="332">
        <v>16590</v>
      </c>
      <c r="H13757" s="333">
        <v>20074</v>
      </c>
    </row>
    <row r="13758" spans="1:8">
      <c r="A13758" s="317">
        <v>2610399649</v>
      </c>
      <c r="B13758" s="330" t="s">
        <v>58111</v>
      </c>
      <c r="C13758" s="330" t="s">
        <v>29105</v>
      </c>
      <c r="D13758" s="330" t="s">
        <v>29106</v>
      </c>
      <c r="E13758" s="330" t="s">
        <v>4634</v>
      </c>
      <c r="F13758" s="331">
        <v>0.21</v>
      </c>
      <c r="G13758" s="332">
        <v>17529</v>
      </c>
      <c r="H13758" s="333">
        <v>21211</v>
      </c>
    </row>
    <row r="13759" spans="1:8">
      <c r="A13759" s="317">
        <v>2610399695</v>
      </c>
      <c r="B13759" s="330" t="s">
        <v>58112</v>
      </c>
      <c r="C13759" s="330" t="s">
        <v>29107</v>
      </c>
      <c r="D13759" s="330" t="s">
        <v>29108</v>
      </c>
      <c r="E13759" s="330" t="s">
        <v>4634</v>
      </c>
      <c r="F13759" s="331">
        <v>0.21</v>
      </c>
      <c r="G13759" s="332">
        <v>4557</v>
      </c>
      <c r="H13759" s="333">
        <v>5514</v>
      </c>
    </row>
    <row r="13760" spans="1:8">
      <c r="A13760" s="317">
        <v>2610399698</v>
      </c>
      <c r="B13760" s="330" t="s">
        <v>58113</v>
      </c>
      <c r="C13760" s="330" t="s">
        <v>29109</v>
      </c>
      <c r="D13760" s="330" t="s">
        <v>29110</v>
      </c>
      <c r="E13760" s="330" t="s">
        <v>4634</v>
      </c>
      <c r="F13760" s="331">
        <v>0.21</v>
      </c>
      <c r="G13760" s="332">
        <v>84</v>
      </c>
      <c r="H13760" s="333">
        <v>102</v>
      </c>
    </row>
    <row r="13761" spans="1:8">
      <c r="A13761" s="317">
        <v>2610399700</v>
      </c>
      <c r="B13761" s="330" t="s">
        <v>58114</v>
      </c>
      <c r="C13761" s="330" t="s">
        <v>29111</v>
      </c>
      <c r="D13761" s="330" t="s">
        <v>29112</v>
      </c>
      <c r="E13761" s="330" t="s">
        <v>4634</v>
      </c>
      <c r="F13761" s="331">
        <v>0.21</v>
      </c>
      <c r="G13761" s="332">
        <v>823</v>
      </c>
      <c r="H13761" s="333">
        <v>996</v>
      </c>
    </row>
    <row r="13762" spans="1:8">
      <c r="A13762" s="317">
        <v>2610399704</v>
      </c>
      <c r="B13762" s="330" t="s">
        <v>58115</v>
      </c>
      <c r="C13762" s="330" t="s">
        <v>29113</v>
      </c>
      <c r="D13762" s="330" t="s">
        <v>29114</v>
      </c>
      <c r="E13762" s="330" t="s">
        <v>4634</v>
      </c>
      <c r="F13762" s="331">
        <v>0.21</v>
      </c>
      <c r="G13762" s="332">
        <v>19470</v>
      </c>
      <c r="H13762" s="333">
        <v>23559</v>
      </c>
    </row>
    <row r="13763" spans="1:8">
      <c r="A13763" s="317">
        <v>2610399708</v>
      </c>
      <c r="B13763" s="330" t="s">
        <v>58116</v>
      </c>
      <c r="C13763" s="330" t="s">
        <v>29115</v>
      </c>
      <c r="D13763" s="330" t="s">
        <v>29116</v>
      </c>
      <c r="E13763" s="330" t="s">
        <v>37248</v>
      </c>
      <c r="F13763" s="331">
        <v>0.21</v>
      </c>
      <c r="G13763" s="332">
        <v>2007</v>
      </c>
      <c r="H13763" s="333">
        <v>2429</v>
      </c>
    </row>
    <row r="13764" spans="1:8">
      <c r="A13764" s="317">
        <v>2610399709</v>
      </c>
      <c r="B13764" s="330" t="s">
        <v>58117</v>
      </c>
      <c r="C13764" s="330" t="s">
        <v>29117</v>
      </c>
      <c r="D13764" s="330" t="s">
        <v>29118</v>
      </c>
      <c r="E13764" s="330" t="s">
        <v>4634</v>
      </c>
      <c r="F13764" s="331">
        <v>0.21</v>
      </c>
      <c r="G13764" s="332">
        <v>16188</v>
      </c>
      <c r="H13764" s="333">
        <v>19588</v>
      </c>
    </row>
    <row r="13765" spans="1:8">
      <c r="A13765" s="317">
        <v>2610399710</v>
      </c>
      <c r="B13765" s="330" t="s">
        <v>58118</v>
      </c>
      <c r="C13765" s="330" t="s">
        <v>29119</v>
      </c>
      <c r="D13765" s="330" t="s">
        <v>29120</v>
      </c>
      <c r="E13765" s="330" t="s">
        <v>4634</v>
      </c>
      <c r="F13765" s="331">
        <v>0.21</v>
      </c>
      <c r="G13765" s="332">
        <v>5617</v>
      </c>
      <c r="H13765" s="333">
        <v>6797</v>
      </c>
    </row>
    <row r="13766" spans="1:8">
      <c r="A13766" s="317">
        <v>2610399713</v>
      </c>
      <c r="B13766" s="330" t="s">
        <v>58119</v>
      </c>
      <c r="C13766" s="330" t="s">
        <v>29121</v>
      </c>
      <c r="D13766" s="330" t="s">
        <v>29122</v>
      </c>
      <c r="E13766" s="330" t="s">
        <v>4634</v>
      </c>
      <c r="F13766" s="331">
        <v>0.21</v>
      </c>
      <c r="G13766" s="332">
        <v>3294</v>
      </c>
      <c r="H13766" s="333">
        <v>3986</v>
      </c>
    </row>
    <row r="13767" spans="1:8">
      <c r="A13767" s="317">
        <v>2610399714</v>
      </c>
      <c r="B13767" s="330" t="s">
        <v>58120</v>
      </c>
      <c r="C13767" s="330" t="s">
        <v>29123</v>
      </c>
      <c r="D13767" s="330" t="s">
        <v>29124</v>
      </c>
      <c r="E13767" s="330" t="s">
        <v>4634</v>
      </c>
      <c r="F13767" s="331">
        <v>0.21</v>
      </c>
      <c r="G13767" s="332">
        <v>1566</v>
      </c>
      <c r="H13767" s="333">
        <v>1895</v>
      </c>
    </row>
    <row r="13768" spans="1:8">
      <c r="A13768" s="317">
        <v>2610901970</v>
      </c>
      <c r="B13768" s="330" t="s">
        <v>58121</v>
      </c>
      <c r="C13768" s="330" t="s">
        <v>29125</v>
      </c>
      <c r="D13768" s="330" t="s">
        <v>29126</v>
      </c>
      <c r="E13768" s="330" t="s">
        <v>4634</v>
      </c>
      <c r="F13768" s="331">
        <v>0.21</v>
      </c>
      <c r="G13768" s="332">
        <v>377</v>
      </c>
      <c r="H13768" s="333">
        <v>457</v>
      </c>
    </row>
    <row r="13769" spans="1:8">
      <c r="A13769" s="317">
        <v>2610901987</v>
      </c>
      <c r="B13769" s="330" t="s">
        <v>58122</v>
      </c>
      <c r="C13769" s="330" t="s">
        <v>29127</v>
      </c>
      <c r="D13769" s="330" t="s">
        <v>27819</v>
      </c>
      <c r="E13769" s="330" t="s">
        <v>4634</v>
      </c>
      <c r="F13769" s="331">
        <v>0.21</v>
      </c>
      <c r="G13769" s="332">
        <v>613</v>
      </c>
      <c r="H13769" s="333">
        <v>742</v>
      </c>
    </row>
    <row r="13770" spans="1:8">
      <c r="A13770" s="317">
        <v>2610901988</v>
      </c>
      <c r="B13770" s="330" t="s">
        <v>58123</v>
      </c>
      <c r="C13770" s="330" t="s">
        <v>29128</v>
      </c>
      <c r="D13770" s="330" t="s">
        <v>28153</v>
      </c>
      <c r="E13770" s="330" t="s">
        <v>4634</v>
      </c>
      <c r="F13770" s="331">
        <v>0.21</v>
      </c>
      <c r="G13770" s="332">
        <v>372</v>
      </c>
      <c r="H13770" s="333">
        <v>451</v>
      </c>
    </row>
    <row r="13771" spans="1:8">
      <c r="A13771" s="317">
        <v>2610901989</v>
      </c>
      <c r="B13771" s="330" t="s">
        <v>58124</v>
      </c>
      <c r="C13771" s="330" t="s">
        <v>29129</v>
      </c>
      <c r="D13771" s="330" t="s">
        <v>29130</v>
      </c>
      <c r="E13771" s="330" t="s">
        <v>4634</v>
      </c>
      <c r="F13771" s="331">
        <v>0.21</v>
      </c>
      <c r="G13771" s="332">
        <v>570</v>
      </c>
      <c r="H13771" s="333">
        <v>690</v>
      </c>
    </row>
    <row r="13772" spans="1:8">
      <c r="A13772" s="317">
        <v>2610902373</v>
      </c>
      <c r="B13772" s="330" t="s">
        <v>58125</v>
      </c>
      <c r="C13772" s="330" t="s">
        <v>29131</v>
      </c>
      <c r="D13772" s="330" t="s">
        <v>29132</v>
      </c>
      <c r="E13772" s="330" t="s">
        <v>4634</v>
      </c>
      <c r="F13772" s="331">
        <v>0.21</v>
      </c>
      <c r="G13772" s="332">
        <v>27627</v>
      </c>
      <c r="H13772" s="333">
        <v>33429</v>
      </c>
    </row>
    <row r="13773" spans="1:8">
      <c r="A13773" s="317">
        <v>2610902374</v>
      </c>
      <c r="B13773" s="330" t="s">
        <v>58126</v>
      </c>
      <c r="C13773" s="330" t="s">
        <v>29133</v>
      </c>
      <c r="D13773" s="330" t="s">
        <v>29134</v>
      </c>
      <c r="E13773" s="330" t="s">
        <v>4634</v>
      </c>
      <c r="F13773" s="331">
        <v>0.21</v>
      </c>
      <c r="G13773" s="332">
        <v>13710</v>
      </c>
      <c r="H13773" s="333">
        <v>16590</v>
      </c>
    </row>
    <row r="13774" spans="1:8">
      <c r="A13774" s="317">
        <v>2610902875</v>
      </c>
      <c r="B13774" s="330" t="s">
        <v>58127</v>
      </c>
      <c r="C13774" s="330" t="s">
        <v>29135</v>
      </c>
      <c r="D13774" s="330" t="s">
        <v>29136</v>
      </c>
      <c r="E13774" s="330" t="s">
        <v>4634</v>
      </c>
      <c r="F13774" s="331">
        <v>0.21</v>
      </c>
      <c r="G13774" s="332">
        <v>114395</v>
      </c>
      <c r="H13774" s="333">
        <v>138418</v>
      </c>
    </row>
    <row r="13775" spans="1:8">
      <c r="A13775" s="317">
        <v>2610902880</v>
      </c>
      <c r="B13775" s="330" t="s">
        <v>58128</v>
      </c>
      <c r="C13775" s="330" t="s">
        <v>29137</v>
      </c>
      <c r="D13775" s="330" t="s">
        <v>29138</v>
      </c>
      <c r="E13775" s="330" t="s">
        <v>4634</v>
      </c>
      <c r="F13775" s="331">
        <v>0.21</v>
      </c>
      <c r="G13775" s="332">
        <v>3490</v>
      </c>
      <c r="H13775" s="333">
        <v>4223</v>
      </c>
    </row>
    <row r="13776" spans="1:8">
      <c r="A13776" s="317">
        <v>2610902896</v>
      </c>
      <c r="B13776" s="330" t="s">
        <v>58129</v>
      </c>
      <c r="C13776" s="330" t="s">
        <v>29139</v>
      </c>
      <c r="D13776" s="330" t="s">
        <v>29140</v>
      </c>
      <c r="E13776" s="330" t="s">
        <v>4819</v>
      </c>
      <c r="F13776" s="331">
        <v>0.21</v>
      </c>
      <c r="G13776" s="332">
        <v>31964</v>
      </c>
      <c r="H13776" s="333">
        <v>38677</v>
      </c>
    </row>
    <row r="13777" spans="1:8">
      <c r="A13777" s="317">
        <v>2610902931</v>
      </c>
      <c r="B13777" s="330" t="s">
        <v>58130</v>
      </c>
      <c r="C13777" s="330" t="s">
        <v>29141</v>
      </c>
      <c r="D13777" s="330" t="s">
        <v>29142</v>
      </c>
      <c r="E13777" s="330" t="s">
        <v>4634</v>
      </c>
      <c r="F13777" s="331">
        <v>0.21</v>
      </c>
      <c r="G13777" s="332">
        <v>1434</v>
      </c>
      <c r="H13777" s="333">
        <v>1736</v>
      </c>
    </row>
    <row r="13778" spans="1:8">
      <c r="A13778" s="317">
        <v>2610902932</v>
      </c>
      <c r="B13778" s="330" t="s">
        <v>58131</v>
      </c>
      <c r="C13778" s="330" t="s">
        <v>29143</v>
      </c>
      <c r="D13778" s="330" t="s">
        <v>29144</v>
      </c>
      <c r="E13778" s="330" t="s">
        <v>4634</v>
      </c>
      <c r="F13778" s="331">
        <v>0.21</v>
      </c>
      <c r="G13778" s="332">
        <v>823</v>
      </c>
      <c r="H13778" s="333">
        <v>996</v>
      </c>
    </row>
    <row r="13779" spans="1:8">
      <c r="A13779" s="317">
        <v>2610902933</v>
      </c>
      <c r="B13779" s="330" t="s">
        <v>58132</v>
      </c>
      <c r="C13779" s="330" t="s">
        <v>29145</v>
      </c>
      <c r="D13779" s="330" t="s">
        <v>29146</v>
      </c>
      <c r="E13779" s="330" t="s">
        <v>4634</v>
      </c>
      <c r="F13779" s="331">
        <v>0.21</v>
      </c>
      <c r="G13779" s="332">
        <v>928</v>
      </c>
      <c r="H13779" s="333">
        <v>1123</v>
      </c>
    </row>
    <row r="13780" spans="1:8">
      <c r="A13780" s="317">
        <v>2610903180</v>
      </c>
      <c r="B13780" s="330" t="s">
        <v>58133</v>
      </c>
      <c r="C13780" s="330" t="s">
        <v>29147</v>
      </c>
      <c r="D13780" s="330" t="s">
        <v>29148</v>
      </c>
      <c r="E13780" s="330" t="s">
        <v>4634</v>
      </c>
      <c r="F13780" s="331">
        <v>0.21</v>
      </c>
      <c r="G13780" s="332">
        <v>8220</v>
      </c>
      <c r="H13780" s="333">
        <v>9947</v>
      </c>
    </row>
    <row r="13781" spans="1:8">
      <c r="A13781" s="317">
        <v>2610903192</v>
      </c>
      <c r="B13781" s="330" t="s">
        <v>58134</v>
      </c>
      <c r="C13781" s="330" t="s">
        <v>29149</v>
      </c>
      <c r="D13781" s="330" t="s">
        <v>29150</v>
      </c>
      <c r="E13781" s="330" t="s">
        <v>4634</v>
      </c>
      <c r="F13781" s="331">
        <v>0.21</v>
      </c>
      <c r="G13781" s="332">
        <v>20056</v>
      </c>
      <c r="H13781" s="333">
        <v>24268</v>
      </c>
    </row>
    <row r="13782" spans="1:8">
      <c r="A13782" s="317">
        <v>2610903196</v>
      </c>
      <c r="B13782" s="330" t="s">
        <v>58135</v>
      </c>
      <c r="C13782" s="330" t="s">
        <v>29151</v>
      </c>
      <c r="D13782" s="330" t="s">
        <v>5822</v>
      </c>
      <c r="E13782" s="330" t="s">
        <v>4634</v>
      </c>
      <c r="F13782" s="331">
        <v>0.21</v>
      </c>
      <c r="G13782" s="332">
        <v>4294</v>
      </c>
      <c r="H13782" s="333">
        <v>5196</v>
      </c>
    </row>
    <row r="13783" spans="1:8">
      <c r="A13783" s="317">
        <v>2610903759</v>
      </c>
      <c r="B13783" s="330" t="s">
        <v>58136</v>
      </c>
      <c r="C13783" s="330" t="s">
        <v>29152</v>
      </c>
      <c r="D13783" s="330" t="s">
        <v>29153</v>
      </c>
      <c r="E13783" s="330" t="s">
        <v>4634</v>
      </c>
      <c r="F13783" s="331">
        <v>0.21</v>
      </c>
      <c r="G13783" s="332">
        <v>4294</v>
      </c>
      <c r="H13783" s="333">
        <v>5196</v>
      </c>
    </row>
    <row r="13784" spans="1:8">
      <c r="A13784" s="317">
        <v>2610903764</v>
      </c>
      <c r="B13784" s="330" t="s">
        <v>58137</v>
      </c>
      <c r="C13784" s="330" t="s">
        <v>29154</v>
      </c>
      <c r="D13784" s="330" t="s">
        <v>29155</v>
      </c>
      <c r="E13784" s="330" t="s">
        <v>4634</v>
      </c>
      <c r="F13784" s="331">
        <v>0.21</v>
      </c>
      <c r="G13784" s="332">
        <v>1179</v>
      </c>
      <c r="H13784" s="333">
        <v>1427</v>
      </c>
    </row>
    <row r="13785" spans="1:8">
      <c r="A13785" s="317">
        <v>2610903770</v>
      </c>
      <c r="B13785" s="330" t="s">
        <v>58138</v>
      </c>
      <c r="C13785" s="330" t="s">
        <v>29156</v>
      </c>
      <c r="D13785" s="330" t="s">
        <v>29157</v>
      </c>
      <c r="E13785" s="330" t="s">
        <v>4634</v>
      </c>
      <c r="F13785" s="331">
        <v>0.21</v>
      </c>
      <c r="G13785" s="332">
        <v>1070</v>
      </c>
      <c r="H13785" s="333">
        <v>1295</v>
      </c>
    </row>
    <row r="13786" spans="1:8">
      <c r="A13786" s="317">
        <v>2610903771</v>
      </c>
      <c r="B13786" s="330" t="s">
        <v>58139</v>
      </c>
      <c r="C13786" s="330" t="s">
        <v>29158</v>
      </c>
      <c r="D13786" s="330" t="s">
        <v>29159</v>
      </c>
      <c r="E13786" s="330" t="s">
        <v>4634</v>
      </c>
      <c r="F13786" s="331">
        <v>0.21</v>
      </c>
      <c r="G13786" s="332">
        <v>377</v>
      </c>
      <c r="H13786" s="333">
        <v>457</v>
      </c>
    </row>
    <row r="13787" spans="1:8">
      <c r="A13787" s="317">
        <v>2610903809</v>
      </c>
      <c r="B13787" s="330" t="s">
        <v>58140</v>
      </c>
      <c r="C13787" s="330" t="s">
        <v>29160</v>
      </c>
      <c r="D13787" s="330" t="s">
        <v>29161</v>
      </c>
      <c r="E13787" s="330" t="s">
        <v>4634</v>
      </c>
      <c r="F13787" s="331">
        <v>0.21</v>
      </c>
      <c r="G13787" s="332">
        <v>2899</v>
      </c>
      <c r="H13787" s="333">
        <v>3508</v>
      </c>
    </row>
    <row r="13788" spans="1:8">
      <c r="A13788" s="317">
        <v>2610903815</v>
      </c>
      <c r="B13788" s="330" t="s">
        <v>58141</v>
      </c>
      <c r="C13788" s="330" t="s">
        <v>29162</v>
      </c>
      <c r="D13788" s="330" t="s">
        <v>29163</v>
      </c>
      <c r="E13788" s="330" t="s">
        <v>4634</v>
      </c>
      <c r="F13788" s="331">
        <v>0.21</v>
      </c>
      <c r="G13788" s="332">
        <v>2398</v>
      </c>
      <c r="H13788" s="333">
        <v>2902</v>
      </c>
    </row>
    <row r="13789" spans="1:8">
      <c r="A13789" s="317">
        <v>2610903878</v>
      </c>
      <c r="B13789" s="330" t="s">
        <v>58142</v>
      </c>
      <c r="C13789" s="330" t="s">
        <v>29164</v>
      </c>
      <c r="D13789" s="330" t="s">
        <v>29165</v>
      </c>
      <c r="E13789" s="330" t="s">
        <v>4634</v>
      </c>
      <c r="F13789" s="331">
        <v>0.21</v>
      </c>
      <c r="G13789" s="332">
        <v>437</v>
      </c>
      <c r="H13789" s="333">
        <v>529</v>
      </c>
    </row>
    <row r="13790" spans="1:8">
      <c r="A13790" s="317">
        <v>2610904202</v>
      </c>
      <c r="B13790" s="330" t="s">
        <v>58143</v>
      </c>
      <c r="C13790" s="330" t="s">
        <v>29166</v>
      </c>
      <c r="D13790" s="330" t="s">
        <v>29167</v>
      </c>
      <c r="E13790" s="330" t="s">
        <v>4634</v>
      </c>
      <c r="F13790" s="331">
        <v>0.21</v>
      </c>
      <c r="G13790" s="332">
        <v>8220</v>
      </c>
      <c r="H13790" s="333">
        <v>9947</v>
      </c>
    </row>
    <row r="13791" spans="1:8">
      <c r="A13791" s="317">
        <v>2610904250</v>
      </c>
      <c r="B13791" s="330" t="s">
        <v>58144</v>
      </c>
      <c r="C13791" s="330" t="s">
        <v>29168</v>
      </c>
      <c r="D13791" s="330" t="s">
        <v>29169</v>
      </c>
      <c r="E13791" s="330" t="s">
        <v>37248</v>
      </c>
      <c r="F13791" s="331">
        <v>0.21</v>
      </c>
      <c r="G13791" s="332">
        <v>17663</v>
      </c>
      <c r="H13791" s="333">
        <v>21373</v>
      </c>
    </row>
    <row r="13792" spans="1:8">
      <c r="A13792" s="317">
        <v>2610904632</v>
      </c>
      <c r="B13792" s="330" t="s">
        <v>58145</v>
      </c>
      <c r="C13792" s="330" t="s">
        <v>29170</v>
      </c>
      <c r="D13792" s="330" t="s">
        <v>29171</v>
      </c>
      <c r="E13792" s="330" t="s">
        <v>4634</v>
      </c>
      <c r="F13792" s="331">
        <v>0.21</v>
      </c>
      <c r="G13792" s="332">
        <v>823</v>
      </c>
      <c r="H13792" s="333">
        <v>996</v>
      </c>
    </row>
    <row r="13793" spans="1:8">
      <c r="A13793" s="317">
        <v>2610904710</v>
      </c>
      <c r="B13793" s="330" t="s">
        <v>58146</v>
      </c>
      <c r="C13793" s="330" t="s">
        <v>29172</v>
      </c>
      <c r="D13793" s="330" t="s">
        <v>29173</v>
      </c>
      <c r="E13793" s="330" t="s">
        <v>4634</v>
      </c>
      <c r="F13793" s="331">
        <v>0.21</v>
      </c>
      <c r="G13793" s="332">
        <v>823</v>
      </c>
      <c r="H13793" s="333">
        <v>996</v>
      </c>
    </row>
    <row r="13794" spans="1:8">
      <c r="A13794" s="317">
        <v>2610904711</v>
      </c>
      <c r="B13794" s="330" t="s">
        <v>58147</v>
      </c>
      <c r="C13794" s="330" t="s">
        <v>29174</v>
      </c>
      <c r="D13794" s="330" t="s">
        <v>29175</v>
      </c>
      <c r="E13794" s="330" t="s">
        <v>4634</v>
      </c>
      <c r="F13794" s="331">
        <v>0.21</v>
      </c>
      <c r="G13794" s="332">
        <v>3294</v>
      </c>
      <c r="H13794" s="333">
        <v>3986</v>
      </c>
    </row>
    <row r="13795" spans="1:8">
      <c r="A13795" s="317">
        <v>2610904740</v>
      </c>
      <c r="B13795" s="330" t="s">
        <v>58148</v>
      </c>
      <c r="C13795" s="330" t="s">
        <v>29176</v>
      </c>
      <c r="D13795" s="330" t="s">
        <v>29177</v>
      </c>
      <c r="E13795" s="330" t="s">
        <v>4634</v>
      </c>
      <c r="F13795" s="331">
        <v>0.21</v>
      </c>
      <c r="G13795" s="332">
        <v>1258</v>
      </c>
      <c r="H13795" s="333">
        <v>1523</v>
      </c>
    </row>
    <row r="13796" spans="1:8">
      <c r="A13796" s="317">
        <v>2610904751</v>
      </c>
      <c r="B13796" s="330" t="s">
        <v>58149</v>
      </c>
      <c r="C13796" s="330" t="s">
        <v>29178</v>
      </c>
      <c r="D13796" s="330" t="s">
        <v>29179</v>
      </c>
      <c r="E13796" s="330" t="s">
        <v>4634</v>
      </c>
      <c r="F13796" s="331">
        <v>0.21</v>
      </c>
      <c r="G13796" s="332">
        <v>377</v>
      </c>
      <c r="H13796" s="333">
        <v>457</v>
      </c>
    </row>
    <row r="13797" spans="1:8">
      <c r="A13797" s="317">
        <v>2610904752</v>
      </c>
      <c r="B13797" s="330" t="s">
        <v>58150</v>
      </c>
      <c r="C13797" s="330" t="s">
        <v>29180</v>
      </c>
      <c r="D13797" s="330" t="s">
        <v>29181</v>
      </c>
      <c r="E13797" s="330" t="s">
        <v>4634</v>
      </c>
      <c r="F13797" s="331">
        <v>0.21</v>
      </c>
      <c r="G13797" s="332">
        <v>2161</v>
      </c>
      <c r="H13797" s="333">
        <v>2615</v>
      </c>
    </row>
    <row r="13798" spans="1:8">
      <c r="A13798" s="317">
        <v>2610904820</v>
      </c>
      <c r="B13798" s="330" t="s">
        <v>58151</v>
      </c>
      <c r="C13798" s="330" t="s">
        <v>29182</v>
      </c>
      <c r="D13798" s="330" t="s">
        <v>29183</v>
      </c>
      <c r="E13798" s="330" t="s">
        <v>4634</v>
      </c>
      <c r="F13798" s="331">
        <v>0.21</v>
      </c>
      <c r="G13798" s="332">
        <v>2146</v>
      </c>
      <c r="H13798" s="333">
        <v>2597</v>
      </c>
    </row>
    <row r="13799" spans="1:8">
      <c r="A13799" s="317">
        <v>2610904887</v>
      </c>
      <c r="B13799" s="330" t="s">
        <v>58152</v>
      </c>
      <c r="C13799" s="330" t="s">
        <v>29184</v>
      </c>
      <c r="D13799" s="330" t="s">
        <v>29185</v>
      </c>
      <c r="E13799" s="330" t="s">
        <v>4819</v>
      </c>
      <c r="F13799" s="331">
        <v>0.21</v>
      </c>
      <c r="G13799" s="332">
        <v>3468</v>
      </c>
      <c r="H13799" s="333">
        <v>4197</v>
      </c>
    </row>
    <row r="13800" spans="1:8">
      <c r="A13800" s="317">
        <v>2610905306</v>
      </c>
      <c r="B13800" s="330" t="s">
        <v>58153</v>
      </c>
      <c r="C13800" s="330" t="s">
        <v>29186</v>
      </c>
      <c r="D13800" s="330" t="s">
        <v>29187</v>
      </c>
      <c r="E13800" s="330" t="s">
        <v>4634</v>
      </c>
      <c r="F13800" s="331">
        <v>0.21</v>
      </c>
      <c r="G13800" s="332">
        <v>1474</v>
      </c>
      <c r="H13800" s="333">
        <v>1784</v>
      </c>
    </row>
    <row r="13801" spans="1:8">
      <c r="A13801" s="317">
        <v>2610905307</v>
      </c>
      <c r="B13801" s="330" t="s">
        <v>58154</v>
      </c>
      <c r="C13801" s="330" t="s">
        <v>29188</v>
      </c>
      <c r="D13801" s="330" t="s">
        <v>29189</v>
      </c>
      <c r="E13801" s="330" t="s">
        <v>4819</v>
      </c>
      <c r="F13801" s="331">
        <v>0.21</v>
      </c>
      <c r="G13801" s="332">
        <v>17656</v>
      </c>
      <c r="H13801" s="333">
        <v>21364</v>
      </c>
    </row>
    <row r="13802" spans="1:8">
      <c r="A13802" s="317">
        <v>2610905311</v>
      </c>
      <c r="B13802" s="330" t="s">
        <v>58155</v>
      </c>
      <c r="C13802" s="330" t="s">
        <v>29190</v>
      </c>
      <c r="D13802" s="330" t="s">
        <v>29191</v>
      </c>
      <c r="E13802" s="330" t="s">
        <v>4634</v>
      </c>
      <c r="F13802" s="331">
        <v>0.21</v>
      </c>
      <c r="G13802" s="332">
        <v>2817</v>
      </c>
      <c r="H13802" s="333">
        <v>3409</v>
      </c>
    </row>
    <row r="13803" spans="1:8">
      <c r="A13803" s="317">
        <v>2610905333</v>
      </c>
      <c r="B13803" s="330" t="s">
        <v>58156</v>
      </c>
      <c r="C13803" s="330" t="s">
        <v>29192</v>
      </c>
      <c r="D13803" s="330" t="s">
        <v>29193</v>
      </c>
      <c r="E13803" s="330" t="s">
        <v>4634</v>
      </c>
      <c r="F13803" s="331">
        <v>0.21</v>
      </c>
      <c r="G13803" s="332">
        <v>2899</v>
      </c>
      <c r="H13803" s="333">
        <v>3508</v>
      </c>
    </row>
    <row r="13804" spans="1:8">
      <c r="A13804" s="317">
        <v>2610905334</v>
      </c>
      <c r="B13804" s="330" t="s">
        <v>58157</v>
      </c>
      <c r="C13804" s="330" t="s">
        <v>29194</v>
      </c>
      <c r="D13804" s="330" t="s">
        <v>29195</v>
      </c>
      <c r="E13804" s="330" t="s">
        <v>4634</v>
      </c>
      <c r="F13804" s="331">
        <v>0.21</v>
      </c>
      <c r="G13804" s="332">
        <v>823</v>
      </c>
      <c r="H13804" s="333">
        <v>996</v>
      </c>
    </row>
    <row r="13805" spans="1:8">
      <c r="A13805" s="317">
        <v>2610905360</v>
      </c>
      <c r="B13805" s="330" t="s">
        <v>58158</v>
      </c>
      <c r="C13805" s="330" t="s">
        <v>29196</v>
      </c>
      <c r="D13805" s="330" t="s">
        <v>29197</v>
      </c>
      <c r="E13805" s="330" t="s">
        <v>4634</v>
      </c>
      <c r="F13805" s="331">
        <v>0.21</v>
      </c>
      <c r="G13805" s="332">
        <v>823</v>
      </c>
      <c r="H13805" s="333">
        <v>996</v>
      </c>
    </row>
    <row r="13806" spans="1:8">
      <c r="A13806" s="317">
        <v>2610905362</v>
      </c>
      <c r="B13806" s="330" t="s">
        <v>58159</v>
      </c>
      <c r="C13806" s="330" t="s">
        <v>29198</v>
      </c>
      <c r="D13806" s="330" t="s">
        <v>29199</v>
      </c>
      <c r="E13806" s="330" t="s">
        <v>4634</v>
      </c>
      <c r="F13806" s="331">
        <v>0.21</v>
      </c>
      <c r="G13806" s="332">
        <v>3294</v>
      </c>
      <c r="H13806" s="333">
        <v>3986</v>
      </c>
    </row>
    <row r="13807" spans="1:8">
      <c r="A13807" s="317">
        <v>2610905372</v>
      </c>
      <c r="B13807" s="330" t="s">
        <v>58160</v>
      </c>
      <c r="C13807" s="330" t="s">
        <v>29200</v>
      </c>
      <c r="D13807" s="330" t="s">
        <v>29201</v>
      </c>
      <c r="E13807" s="330" t="s">
        <v>4634</v>
      </c>
      <c r="F13807" s="331">
        <v>0.21</v>
      </c>
      <c r="G13807" s="332">
        <v>21566</v>
      </c>
      <c r="H13807" s="333">
        <v>26095</v>
      </c>
    </row>
    <row r="13808" spans="1:8">
      <c r="A13808" s="317">
        <v>2610905379</v>
      </c>
      <c r="B13808" s="330" t="s">
        <v>58161</v>
      </c>
      <c r="C13808" s="330" t="s">
        <v>29202</v>
      </c>
      <c r="D13808" s="330" t="s">
        <v>29203</v>
      </c>
      <c r="E13808" s="330" t="s">
        <v>4634</v>
      </c>
      <c r="F13808" s="331">
        <v>0.21</v>
      </c>
      <c r="G13808" s="332">
        <v>1434</v>
      </c>
      <c r="H13808" s="333">
        <v>1736</v>
      </c>
    </row>
    <row r="13809" spans="1:8">
      <c r="A13809" s="317">
        <v>2610906132</v>
      </c>
      <c r="B13809" s="330" t="s">
        <v>58162</v>
      </c>
      <c r="C13809" s="330" t="s">
        <v>29204</v>
      </c>
      <c r="D13809" s="330" t="s">
        <v>29205</v>
      </c>
      <c r="E13809" s="330" t="s">
        <v>4634</v>
      </c>
      <c r="F13809" s="331">
        <v>0.21</v>
      </c>
      <c r="G13809" s="332">
        <v>5712</v>
      </c>
      <c r="H13809" s="333">
        <v>6912</v>
      </c>
    </row>
    <row r="13810" spans="1:8">
      <c r="A13810" s="317">
        <v>2610906137</v>
      </c>
      <c r="B13810" s="330" t="s">
        <v>58163</v>
      </c>
      <c r="C13810" s="330" t="s">
        <v>29206</v>
      </c>
      <c r="D13810" s="330" t="s">
        <v>29207</v>
      </c>
      <c r="E13810" s="330" t="s">
        <v>4634</v>
      </c>
      <c r="F13810" s="331">
        <v>0.21</v>
      </c>
      <c r="G13810" s="332">
        <v>4936</v>
      </c>
      <c r="H13810" s="333">
        <v>5973</v>
      </c>
    </row>
    <row r="13811" spans="1:8">
      <c r="A13811" s="317">
        <v>2610906321</v>
      </c>
      <c r="B13811" s="330" t="s">
        <v>58164</v>
      </c>
      <c r="C13811" s="330" t="s">
        <v>29208</v>
      </c>
      <c r="D13811" s="330" t="s">
        <v>29209</v>
      </c>
      <c r="E13811" s="330" t="s">
        <v>4634</v>
      </c>
      <c r="F13811" s="331">
        <v>0.21</v>
      </c>
      <c r="G13811" s="332">
        <v>14205</v>
      </c>
      <c r="H13811" s="333">
        <v>17189</v>
      </c>
    </row>
    <row r="13812" spans="1:8">
      <c r="A13812" s="317">
        <v>2610907370</v>
      </c>
      <c r="B13812" s="330" t="s">
        <v>58165</v>
      </c>
      <c r="C13812" s="330" t="s">
        <v>29210</v>
      </c>
      <c r="D13812" s="330" t="s">
        <v>29211</v>
      </c>
      <c r="E13812" s="330" t="s">
        <v>4634</v>
      </c>
      <c r="F13812" s="331">
        <v>0.21</v>
      </c>
      <c r="G13812" s="332">
        <v>15583</v>
      </c>
      <c r="H13812" s="333">
        <v>18856</v>
      </c>
    </row>
    <row r="13813" spans="1:8">
      <c r="A13813" s="317">
        <v>2610907388</v>
      </c>
      <c r="B13813" s="330" t="s">
        <v>58166</v>
      </c>
      <c r="C13813" s="330" t="s">
        <v>29212</v>
      </c>
      <c r="D13813" s="330" t="s">
        <v>29213</v>
      </c>
      <c r="E13813" s="330" t="s">
        <v>4634</v>
      </c>
      <c r="F13813" s="331">
        <v>0.21</v>
      </c>
      <c r="G13813" s="332">
        <v>711</v>
      </c>
      <c r="H13813" s="333">
        <v>861</v>
      </c>
    </row>
    <row r="13814" spans="1:8">
      <c r="A13814" s="317">
        <v>2610907529</v>
      </c>
      <c r="B13814" s="330" t="s">
        <v>58167</v>
      </c>
      <c r="C13814" s="330" t="s">
        <v>29214</v>
      </c>
      <c r="D13814" s="330" t="s">
        <v>29215</v>
      </c>
      <c r="E13814" s="330" t="s">
        <v>4634</v>
      </c>
      <c r="F13814" s="331">
        <v>0.21</v>
      </c>
      <c r="G13814" s="332">
        <v>1070</v>
      </c>
      <c r="H13814" s="333">
        <v>1295</v>
      </c>
    </row>
    <row r="13815" spans="1:8">
      <c r="A13815" s="317">
        <v>2610907535</v>
      </c>
      <c r="B13815" s="330" t="s">
        <v>58168</v>
      </c>
      <c r="C13815" s="330" t="s">
        <v>29216</v>
      </c>
      <c r="D13815" s="330" t="s">
        <v>29217</v>
      </c>
      <c r="E13815" s="330" t="s">
        <v>4634</v>
      </c>
      <c r="F13815" s="331">
        <v>0.21</v>
      </c>
      <c r="G13815" s="332">
        <v>3553</v>
      </c>
      <c r="H13815" s="333">
        <v>4300</v>
      </c>
    </row>
    <row r="13816" spans="1:8">
      <c r="A13816" s="317">
        <v>2610907550</v>
      </c>
      <c r="B13816" s="330" t="s">
        <v>58169</v>
      </c>
      <c r="C13816" s="330" t="s">
        <v>29218</v>
      </c>
      <c r="D13816" s="330" t="s">
        <v>29219</v>
      </c>
      <c r="E13816" s="330" t="s">
        <v>4634</v>
      </c>
      <c r="F13816" s="331">
        <v>0.21</v>
      </c>
      <c r="G13816" s="332">
        <v>48414</v>
      </c>
      <c r="H13816" s="333">
        <v>58581</v>
      </c>
    </row>
    <row r="13817" spans="1:8">
      <c r="A13817" s="317">
        <v>2610907616</v>
      </c>
      <c r="B13817" s="330" t="s">
        <v>58170</v>
      </c>
      <c r="C13817" s="330" t="s">
        <v>29220</v>
      </c>
      <c r="D13817" s="330" t="s">
        <v>29221</v>
      </c>
      <c r="E13817" s="330" t="s">
        <v>4634</v>
      </c>
      <c r="F13817" s="331">
        <v>0.21</v>
      </c>
      <c r="G13817" s="332">
        <v>58657</v>
      </c>
      <c r="H13817" s="333">
        <v>70975</v>
      </c>
    </row>
    <row r="13818" spans="1:8">
      <c r="A13818" s="317">
        <v>2610907721</v>
      </c>
      <c r="B13818" s="330" t="s">
        <v>58171</v>
      </c>
      <c r="C13818" s="330" t="s">
        <v>29222</v>
      </c>
      <c r="D13818" s="330" t="s">
        <v>29223</v>
      </c>
      <c r="E13818" s="330" t="s">
        <v>4634</v>
      </c>
      <c r="F13818" s="331">
        <v>0.21</v>
      </c>
      <c r="G13818" s="332">
        <v>791</v>
      </c>
      <c r="H13818" s="333">
        <v>958</v>
      </c>
    </row>
    <row r="13819" spans="1:8">
      <c r="A13819" s="317">
        <v>2610907783</v>
      </c>
      <c r="B13819" s="330" t="s">
        <v>58172</v>
      </c>
      <c r="C13819" s="330" t="s">
        <v>29224</v>
      </c>
      <c r="D13819" s="330" t="s">
        <v>29225</v>
      </c>
      <c r="E13819" s="330" t="s">
        <v>4634</v>
      </c>
      <c r="F13819" s="331">
        <v>0.21</v>
      </c>
      <c r="G13819" s="332">
        <v>16946</v>
      </c>
      <c r="H13819" s="333">
        <v>20505</v>
      </c>
    </row>
    <row r="13820" spans="1:8">
      <c r="A13820" s="317">
        <v>2610907813</v>
      </c>
      <c r="B13820" s="330" t="s">
        <v>58173</v>
      </c>
      <c r="C13820" s="330" t="s">
        <v>29226</v>
      </c>
      <c r="D13820" s="330" t="s">
        <v>29227</v>
      </c>
      <c r="E13820" s="330" t="s">
        <v>4634</v>
      </c>
      <c r="F13820" s="331">
        <v>0.21</v>
      </c>
      <c r="G13820" s="332">
        <v>32611</v>
      </c>
      <c r="H13820" s="333">
        <v>39460</v>
      </c>
    </row>
    <row r="13821" spans="1:8">
      <c r="A13821" s="317">
        <v>2610907816</v>
      </c>
      <c r="B13821" s="330" t="s">
        <v>58174</v>
      </c>
      <c r="C13821" s="330" t="s">
        <v>29228</v>
      </c>
      <c r="D13821" s="330" t="s">
        <v>29229</v>
      </c>
      <c r="E13821" s="330" t="s">
        <v>4634</v>
      </c>
      <c r="F13821" s="331">
        <v>0.21</v>
      </c>
      <c r="G13821" s="332">
        <v>36879</v>
      </c>
      <c r="H13821" s="333">
        <v>44624</v>
      </c>
    </row>
    <row r="13822" spans="1:8">
      <c r="A13822" s="317">
        <v>2610907824</v>
      </c>
      <c r="B13822" s="330" t="s">
        <v>58175</v>
      </c>
      <c r="C13822" s="330" t="s">
        <v>29230</v>
      </c>
      <c r="D13822" s="330" t="s">
        <v>29231</v>
      </c>
      <c r="E13822" s="330" t="s">
        <v>4634</v>
      </c>
      <c r="F13822" s="331">
        <v>0.21</v>
      </c>
      <c r="G13822" s="332">
        <v>3395</v>
      </c>
      <c r="H13822" s="333">
        <v>4108</v>
      </c>
    </row>
    <row r="13823" spans="1:8">
      <c r="A13823" s="317">
        <v>2610907826</v>
      </c>
      <c r="B13823" s="330" t="s">
        <v>58176</v>
      </c>
      <c r="C13823" s="330" t="s">
        <v>29232</v>
      </c>
      <c r="D13823" s="330" t="s">
        <v>29233</v>
      </c>
      <c r="E13823" s="330" t="s">
        <v>4634</v>
      </c>
      <c r="F13823" s="331">
        <v>0.21</v>
      </c>
      <c r="G13823" s="332">
        <v>2775</v>
      </c>
      <c r="H13823" s="333">
        <v>3358</v>
      </c>
    </row>
    <row r="13824" spans="1:8">
      <c r="A13824" s="317">
        <v>2610907844</v>
      </c>
      <c r="B13824" s="330" t="s">
        <v>58177</v>
      </c>
      <c r="C13824" s="330" t="s">
        <v>29234</v>
      </c>
      <c r="D13824" s="330" t="s">
        <v>29235</v>
      </c>
      <c r="E13824" s="330" t="s">
        <v>4634</v>
      </c>
      <c r="F13824" s="331">
        <v>0.21</v>
      </c>
      <c r="G13824" s="332">
        <v>1170</v>
      </c>
      <c r="H13824" s="333">
        <v>1416</v>
      </c>
    </row>
    <row r="13825" spans="1:8">
      <c r="A13825" s="317">
        <v>2610907846</v>
      </c>
      <c r="B13825" s="330" t="s">
        <v>58178</v>
      </c>
      <c r="C13825" s="330" t="s">
        <v>29236</v>
      </c>
      <c r="D13825" s="330" t="s">
        <v>29237</v>
      </c>
      <c r="E13825" s="330" t="s">
        <v>4634</v>
      </c>
      <c r="F13825" s="331">
        <v>0.21</v>
      </c>
      <c r="G13825" s="332">
        <v>372</v>
      </c>
      <c r="H13825" s="333">
        <v>451</v>
      </c>
    </row>
    <row r="13826" spans="1:8">
      <c r="A13826" s="317">
        <v>2610907847</v>
      </c>
      <c r="B13826" s="330" t="s">
        <v>58179</v>
      </c>
      <c r="C13826" s="330" t="s">
        <v>29238</v>
      </c>
      <c r="D13826" s="330" t="s">
        <v>29239</v>
      </c>
      <c r="E13826" s="330" t="s">
        <v>4634</v>
      </c>
      <c r="F13826" s="331">
        <v>0.21</v>
      </c>
      <c r="G13826" s="332">
        <v>678</v>
      </c>
      <c r="H13826" s="333">
        <v>821</v>
      </c>
    </row>
    <row r="13827" spans="1:8">
      <c r="A13827" s="317">
        <v>2610907850</v>
      </c>
      <c r="B13827" s="330" t="s">
        <v>58180</v>
      </c>
      <c r="C13827" s="330" t="s">
        <v>29240</v>
      </c>
      <c r="D13827" s="330" t="s">
        <v>29241</v>
      </c>
      <c r="E13827" s="330" t="s">
        <v>4634</v>
      </c>
      <c r="F13827" s="331">
        <v>0.21</v>
      </c>
      <c r="G13827" s="332">
        <v>1217</v>
      </c>
      <c r="H13827" s="333">
        <v>1473</v>
      </c>
    </row>
    <row r="13828" spans="1:8">
      <c r="A13828" s="317">
        <v>2610907852</v>
      </c>
      <c r="B13828" s="330" t="s">
        <v>58181</v>
      </c>
      <c r="C13828" s="330" t="s">
        <v>29242</v>
      </c>
      <c r="D13828" s="330" t="s">
        <v>29243</v>
      </c>
      <c r="E13828" s="330" t="s">
        <v>4634</v>
      </c>
      <c r="F13828" s="331">
        <v>0.21</v>
      </c>
      <c r="G13828" s="332">
        <v>348</v>
      </c>
      <c r="H13828" s="333">
        <v>422</v>
      </c>
    </row>
    <row r="13829" spans="1:8">
      <c r="A13829" s="317">
        <v>2610907854</v>
      </c>
      <c r="B13829" s="330" t="s">
        <v>58182</v>
      </c>
      <c r="C13829" s="330" t="s">
        <v>29244</v>
      </c>
      <c r="D13829" s="330" t="s">
        <v>29245</v>
      </c>
      <c r="E13829" s="330" t="s">
        <v>4819</v>
      </c>
      <c r="F13829" s="331">
        <v>0.21</v>
      </c>
      <c r="G13829" s="332">
        <v>807</v>
      </c>
      <c r="H13829" s="333">
        <v>977</v>
      </c>
    </row>
    <row r="13830" spans="1:8">
      <c r="A13830" s="317">
        <v>2610907863</v>
      </c>
      <c r="B13830" s="330" t="s">
        <v>58183</v>
      </c>
      <c r="C13830" s="330" t="s">
        <v>29246</v>
      </c>
      <c r="D13830" s="330" t="s">
        <v>29247</v>
      </c>
      <c r="E13830" s="330" t="s">
        <v>4634</v>
      </c>
      <c r="F13830" s="331">
        <v>0.21</v>
      </c>
      <c r="G13830" s="332">
        <v>16924</v>
      </c>
      <c r="H13830" s="333">
        <v>20479</v>
      </c>
    </row>
    <row r="13831" spans="1:8">
      <c r="A13831" s="317">
        <v>2610907864</v>
      </c>
      <c r="B13831" s="330" t="s">
        <v>58184</v>
      </c>
      <c r="C13831" s="330" t="s">
        <v>29248</v>
      </c>
      <c r="D13831" s="330" t="s">
        <v>29249</v>
      </c>
      <c r="E13831" s="330" t="s">
        <v>4819</v>
      </c>
      <c r="F13831" s="331">
        <v>0.21</v>
      </c>
      <c r="G13831" s="332">
        <v>3654</v>
      </c>
      <c r="H13831" s="333">
        <v>4422</v>
      </c>
    </row>
    <row r="13832" spans="1:8">
      <c r="A13832" s="317">
        <v>2610907865</v>
      </c>
      <c r="B13832" s="330" t="s">
        <v>58185</v>
      </c>
      <c r="C13832" s="330" t="s">
        <v>29250</v>
      </c>
      <c r="D13832" s="330" t="s">
        <v>29251</v>
      </c>
      <c r="E13832" s="330" t="s">
        <v>4634</v>
      </c>
      <c r="F13832" s="331">
        <v>0.21</v>
      </c>
      <c r="G13832" s="332">
        <v>3031</v>
      </c>
      <c r="H13832" s="333">
        <v>3668</v>
      </c>
    </row>
    <row r="13833" spans="1:8">
      <c r="A13833" s="317">
        <v>2610907867</v>
      </c>
      <c r="B13833" s="330" t="s">
        <v>58186</v>
      </c>
      <c r="C13833" s="330" t="s">
        <v>29252</v>
      </c>
      <c r="D13833" s="330" t="s">
        <v>29253</v>
      </c>
      <c r="E13833" s="330" t="s">
        <v>4634</v>
      </c>
      <c r="F13833" s="331">
        <v>0.21</v>
      </c>
      <c r="G13833" s="332">
        <v>23025</v>
      </c>
      <c r="H13833" s="333">
        <v>27861</v>
      </c>
    </row>
    <row r="13834" spans="1:8">
      <c r="A13834" s="317">
        <v>2610907942</v>
      </c>
      <c r="B13834" s="330" t="s">
        <v>58187</v>
      </c>
      <c r="C13834" s="330" t="s">
        <v>29254</v>
      </c>
      <c r="D13834" s="330" t="s">
        <v>29255</v>
      </c>
      <c r="E13834" s="330" t="s">
        <v>37248</v>
      </c>
      <c r="F13834" s="331">
        <v>0.21</v>
      </c>
      <c r="G13834" s="332">
        <v>53177</v>
      </c>
      <c r="H13834" s="333">
        <v>64345</v>
      </c>
    </row>
    <row r="13835" spans="1:8">
      <c r="A13835" s="317">
        <v>2610907977</v>
      </c>
      <c r="B13835" s="330" t="s">
        <v>58188</v>
      </c>
      <c r="C13835" s="330" t="s">
        <v>29256</v>
      </c>
      <c r="D13835" s="330" t="s">
        <v>29257</v>
      </c>
      <c r="E13835" s="330" t="s">
        <v>4634</v>
      </c>
      <c r="F13835" s="331">
        <v>0.21</v>
      </c>
      <c r="G13835" s="332">
        <v>820</v>
      </c>
      <c r="H13835" s="333">
        <v>993</v>
      </c>
    </row>
    <row r="13836" spans="1:8">
      <c r="A13836" s="317">
        <v>2610908270</v>
      </c>
      <c r="B13836" s="330" t="s">
        <v>58189</v>
      </c>
      <c r="C13836" s="330" t="s">
        <v>29258</v>
      </c>
      <c r="D13836" s="330" t="s">
        <v>27584</v>
      </c>
      <c r="E13836" s="330" t="s">
        <v>4634</v>
      </c>
      <c r="F13836" s="331">
        <v>0.21</v>
      </c>
      <c r="G13836" s="332">
        <v>236</v>
      </c>
      <c r="H13836" s="333">
        <v>286</v>
      </c>
    </row>
    <row r="13837" spans="1:8">
      <c r="A13837" s="317">
        <v>2610908271</v>
      </c>
      <c r="B13837" s="330" t="s">
        <v>58190</v>
      </c>
      <c r="C13837" s="330" t="s">
        <v>29259</v>
      </c>
      <c r="D13837" s="330" t="s">
        <v>29260</v>
      </c>
      <c r="E13837" s="330" t="s">
        <v>4634</v>
      </c>
      <c r="F13837" s="331">
        <v>0.21</v>
      </c>
      <c r="G13837" s="332">
        <v>432</v>
      </c>
      <c r="H13837" s="333">
        <v>523</v>
      </c>
    </row>
    <row r="13838" spans="1:8">
      <c r="A13838" s="317">
        <v>2610908272</v>
      </c>
      <c r="B13838" s="330" t="s">
        <v>58191</v>
      </c>
      <c r="C13838" s="330" t="s">
        <v>29261</v>
      </c>
      <c r="D13838" s="330" t="s">
        <v>11710</v>
      </c>
      <c r="E13838" s="330" t="s">
        <v>4634</v>
      </c>
      <c r="F13838" s="331">
        <v>0.21</v>
      </c>
      <c r="G13838" s="332">
        <v>274</v>
      </c>
      <c r="H13838" s="333">
        <v>332</v>
      </c>
    </row>
    <row r="13839" spans="1:8">
      <c r="A13839" s="317">
        <v>2610908288</v>
      </c>
      <c r="B13839" s="330" t="s">
        <v>58192</v>
      </c>
      <c r="C13839" s="330" t="s">
        <v>29262</v>
      </c>
      <c r="D13839" s="330" t="s">
        <v>29263</v>
      </c>
      <c r="E13839" s="330" t="s">
        <v>4634</v>
      </c>
      <c r="F13839" s="331">
        <v>0.21</v>
      </c>
      <c r="G13839" s="332">
        <v>274</v>
      </c>
      <c r="H13839" s="333">
        <v>332</v>
      </c>
    </row>
    <row r="13840" spans="1:8">
      <c r="A13840" s="317">
        <v>2610908305</v>
      </c>
      <c r="B13840" s="330" t="s">
        <v>58193</v>
      </c>
      <c r="C13840" s="330" t="s">
        <v>29264</v>
      </c>
      <c r="D13840" s="330" t="s">
        <v>29265</v>
      </c>
      <c r="E13840" s="330" t="s">
        <v>4634</v>
      </c>
      <c r="F13840" s="331">
        <v>0.21</v>
      </c>
      <c r="G13840" s="332">
        <v>791</v>
      </c>
      <c r="H13840" s="333">
        <v>958</v>
      </c>
    </row>
    <row r="13841" spans="1:8">
      <c r="A13841" s="317">
        <v>2610908306</v>
      </c>
      <c r="B13841" s="330" t="s">
        <v>58194</v>
      </c>
      <c r="C13841" s="330" t="s">
        <v>29266</v>
      </c>
      <c r="D13841" s="330" t="s">
        <v>29265</v>
      </c>
      <c r="E13841" s="330" t="s">
        <v>4634</v>
      </c>
      <c r="F13841" s="331">
        <v>0.21</v>
      </c>
      <c r="G13841" s="332">
        <v>1030</v>
      </c>
      <c r="H13841" s="333">
        <v>1247</v>
      </c>
    </row>
    <row r="13842" spans="1:8">
      <c r="A13842" s="317">
        <v>2610908318</v>
      </c>
      <c r="B13842" s="330" t="s">
        <v>58195</v>
      </c>
      <c r="C13842" s="330" t="s">
        <v>29267</v>
      </c>
      <c r="D13842" s="330" t="s">
        <v>29268</v>
      </c>
      <c r="E13842" s="330" t="s">
        <v>4634</v>
      </c>
      <c r="F13842" s="331">
        <v>0.21</v>
      </c>
      <c r="G13842" s="332">
        <v>1371</v>
      </c>
      <c r="H13842" s="333">
        <v>1659</v>
      </c>
    </row>
    <row r="13843" spans="1:8">
      <c r="A13843" s="317">
        <v>2610908319</v>
      </c>
      <c r="B13843" s="330" t="s">
        <v>58196</v>
      </c>
      <c r="C13843" s="330" t="s">
        <v>29269</v>
      </c>
      <c r="D13843" s="330" t="s">
        <v>29270</v>
      </c>
      <c r="E13843" s="330" t="s">
        <v>4634</v>
      </c>
      <c r="F13843" s="331">
        <v>0.21</v>
      </c>
      <c r="G13843" s="332">
        <v>2059</v>
      </c>
      <c r="H13843" s="333">
        <v>2492</v>
      </c>
    </row>
    <row r="13844" spans="1:8">
      <c r="A13844" s="317">
        <v>2610908334</v>
      </c>
      <c r="B13844" s="330" t="s">
        <v>58197</v>
      </c>
      <c r="C13844" s="330" t="s">
        <v>29271</v>
      </c>
      <c r="D13844" s="330" t="s">
        <v>29272</v>
      </c>
      <c r="E13844" s="330" t="s">
        <v>4634</v>
      </c>
      <c r="F13844" s="331">
        <v>0.21</v>
      </c>
      <c r="G13844" s="332">
        <v>584</v>
      </c>
      <c r="H13844" s="333">
        <v>707</v>
      </c>
    </row>
    <row r="13845" spans="1:8">
      <c r="A13845" s="317">
        <v>2610908335</v>
      </c>
      <c r="B13845" s="330" t="s">
        <v>58198</v>
      </c>
      <c r="C13845" s="330" t="s">
        <v>29273</v>
      </c>
      <c r="D13845" s="330" t="s">
        <v>29274</v>
      </c>
      <c r="E13845" s="330" t="s">
        <v>4634</v>
      </c>
      <c r="F13845" s="331">
        <v>0.21</v>
      </c>
      <c r="G13845" s="332">
        <v>791</v>
      </c>
      <c r="H13845" s="333">
        <v>958</v>
      </c>
    </row>
    <row r="13846" spans="1:8">
      <c r="A13846" s="317">
        <v>2610908358</v>
      </c>
      <c r="B13846" s="330" t="s">
        <v>58199</v>
      </c>
      <c r="C13846" s="330" t="s">
        <v>29275</v>
      </c>
      <c r="D13846" s="330" t="s">
        <v>29276</v>
      </c>
      <c r="E13846" s="330" t="s">
        <v>4634</v>
      </c>
      <c r="F13846" s="331">
        <v>0.21</v>
      </c>
      <c r="G13846" s="332">
        <v>1030</v>
      </c>
      <c r="H13846" s="333">
        <v>1247</v>
      </c>
    </row>
    <row r="13847" spans="1:8">
      <c r="A13847" s="317">
        <v>2610908382</v>
      </c>
      <c r="B13847" s="330" t="s">
        <v>58200</v>
      </c>
      <c r="C13847" s="330" t="s">
        <v>29277</v>
      </c>
      <c r="D13847" s="330" t="s">
        <v>29278</v>
      </c>
      <c r="E13847" s="330" t="s">
        <v>4634</v>
      </c>
      <c r="F13847" s="331">
        <v>0.21</v>
      </c>
      <c r="G13847" s="332">
        <v>14256</v>
      </c>
      <c r="H13847" s="333">
        <v>17250</v>
      </c>
    </row>
    <row r="13848" spans="1:8">
      <c r="A13848" s="317">
        <v>2610908398</v>
      </c>
      <c r="B13848" s="330" t="s">
        <v>58201</v>
      </c>
      <c r="C13848" s="330" t="s">
        <v>29279</v>
      </c>
      <c r="D13848" s="330" t="s">
        <v>29280</v>
      </c>
      <c r="E13848" s="330" t="s">
        <v>4634</v>
      </c>
      <c r="F13848" s="331">
        <v>0.21</v>
      </c>
      <c r="G13848" s="332">
        <v>22564</v>
      </c>
      <c r="H13848" s="333">
        <v>27303</v>
      </c>
    </row>
    <row r="13849" spans="1:8">
      <c r="A13849" s="317">
        <v>2610908605</v>
      </c>
      <c r="B13849" s="330" t="s">
        <v>58202</v>
      </c>
      <c r="C13849" s="330" t="s">
        <v>29281</v>
      </c>
      <c r="D13849" s="330" t="s">
        <v>29282</v>
      </c>
      <c r="E13849" s="330" t="s">
        <v>4634</v>
      </c>
      <c r="F13849" s="331">
        <v>0.21</v>
      </c>
      <c r="G13849" s="332">
        <v>13431</v>
      </c>
      <c r="H13849" s="333">
        <v>16252</v>
      </c>
    </row>
    <row r="13850" spans="1:8">
      <c r="A13850" s="317">
        <v>2610908607</v>
      </c>
      <c r="B13850" s="330" t="s">
        <v>58203</v>
      </c>
      <c r="C13850" s="330" t="s">
        <v>29283</v>
      </c>
      <c r="D13850" s="330" t="s">
        <v>29284</v>
      </c>
      <c r="E13850" s="330" t="s">
        <v>4634</v>
      </c>
      <c r="F13850" s="331">
        <v>0.21</v>
      </c>
      <c r="G13850" s="332">
        <v>30374</v>
      </c>
      <c r="H13850" s="333">
        <v>36753</v>
      </c>
    </row>
    <row r="13851" spans="1:8">
      <c r="A13851" s="317">
        <v>2610908618</v>
      </c>
      <c r="B13851" s="330" t="s">
        <v>58204</v>
      </c>
      <c r="C13851" s="330" t="s">
        <v>29285</v>
      </c>
      <c r="D13851" s="330" t="s">
        <v>29286</v>
      </c>
      <c r="E13851" s="330" t="s">
        <v>4819</v>
      </c>
      <c r="F13851" s="331">
        <v>0.21</v>
      </c>
      <c r="G13851" s="332">
        <v>43771</v>
      </c>
      <c r="H13851" s="333">
        <v>52963</v>
      </c>
    </row>
    <row r="13852" spans="1:8">
      <c r="A13852" s="317">
        <v>2610908621</v>
      </c>
      <c r="B13852" s="330" t="s">
        <v>58205</v>
      </c>
      <c r="C13852" s="330" t="s">
        <v>29287</v>
      </c>
      <c r="D13852" s="330" t="s">
        <v>29288</v>
      </c>
      <c r="E13852" s="330" t="s">
        <v>4819</v>
      </c>
      <c r="F13852" s="331">
        <v>0.21</v>
      </c>
      <c r="G13852" s="332">
        <v>29107</v>
      </c>
      <c r="H13852" s="333">
        <v>35220</v>
      </c>
    </row>
    <row r="13853" spans="1:8">
      <c r="A13853" s="317">
        <v>2610908623</v>
      </c>
      <c r="B13853" s="330" t="s">
        <v>58206</v>
      </c>
      <c r="C13853" s="330" t="s">
        <v>29289</v>
      </c>
      <c r="D13853" s="330" t="s">
        <v>29290</v>
      </c>
      <c r="E13853" s="330" t="s">
        <v>4634</v>
      </c>
      <c r="F13853" s="331">
        <v>0.21</v>
      </c>
      <c r="G13853" s="332">
        <v>4135</v>
      </c>
      <c r="H13853" s="333">
        <v>5004</v>
      </c>
    </row>
    <row r="13854" spans="1:8">
      <c r="A13854" s="317">
        <v>2610908625</v>
      </c>
      <c r="B13854" s="330" t="s">
        <v>58207</v>
      </c>
      <c r="C13854" s="330" t="s">
        <v>29291</v>
      </c>
      <c r="D13854" s="330" t="s">
        <v>29292</v>
      </c>
      <c r="E13854" s="330" t="s">
        <v>37248</v>
      </c>
      <c r="F13854" s="331">
        <v>0.21</v>
      </c>
      <c r="G13854" s="332">
        <v>39386</v>
      </c>
      <c r="H13854" s="333">
        <v>47658</v>
      </c>
    </row>
    <row r="13855" spans="1:8">
      <c r="A13855" s="317">
        <v>2610908627</v>
      </c>
      <c r="B13855" s="330" t="s">
        <v>58208</v>
      </c>
      <c r="C13855" s="330" t="s">
        <v>29293</v>
      </c>
      <c r="D13855" s="330" t="s">
        <v>29294</v>
      </c>
      <c r="E13855" s="330" t="s">
        <v>4634</v>
      </c>
      <c r="F13855" s="331">
        <v>0.21</v>
      </c>
      <c r="G13855" s="332">
        <v>1891</v>
      </c>
      <c r="H13855" s="333">
        <v>2289</v>
      </c>
    </row>
    <row r="13856" spans="1:8">
      <c r="A13856" s="317">
        <v>2610908628</v>
      </c>
      <c r="B13856" s="330" t="s">
        <v>58209</v>
      </c>
      <c r="C13856" s="330" t="s">
        <v>29295</v>
      </c>
      <c r="D13856" s="330" t="s">
        <v>29296</v>
      </c>
      <c r="E13856" s="330" t="s">
        <v>4819</v>
      </c>
      <c r="F13856" s="331">
        <v>0.21</v>
      </c>
      <c r="G13856" s="332">
        <v>3607</v>
      </c>
      <c r="H13856" s="333">
        <v>4365</v>
      </c>
    </row>
    <row r="13857" spans="1:8">
      <c r="A13857" s="317">
        <v>2610908629</v>
      </c>
      <c r="B13857" s="330" t="s">
        <v>58210</v>
      </c>
      <c r="C13857" s="330" t="s">
        <v>29297</v>
      </c>
      <c r="D13857" s="330" t="s">
        <v>29298</v>
      </c>
      <c r="E13857" s="330" t="s">
        <v>4634</v>
      </c>
      <c r="F13857" s="331">
        <v>0.21</v>
      </c>
      <c r="G13857" s="332">
        <v>584</v>
      </c>
      <c r="H13857" s="333">
        <v>707</v>
      </c>
    </row>
    <row r="13858" spans="1:8">
      <c r="A13858" s="317">
        <v>2610908630</v>
      </c>
      <c r="B13858" s="330" t="s">
        <v>58211</v>
      </c>
      <c r="C13858" s="330" t="s">
        <v>29299</v>
      </c>
      <c r="D13858" s="330" t="s">
        <v>29300</v>
      </c>
      <c r="E13858" s="330" t="s">
        <v>4634</v>
      </c>
      <c r="F13858" s="331">
        <v>0.21</v>
      </c>
      <c r="G13858" s="332">
        <v>648</v>
      </c>
      <c r="H13858" s="333">
        <v>785</v>
      </c>
    </row>
    <row r="13859" spans="1:8">
      <c r="A13859" s="317">
        <v>2610908632</v>
      </c>
      <c r="B13859" s="330" t="s">
        <v>58212</v>
      </c>
      <c r="C13859" s="330" t="s">
        <v>29301</v>
      </c>
      <c r="D13859" s="330" t="s">
        <v>29302</v>
      </c>
      <c r="E13859" s="330" t="s">
        <v>4634</v>
      </c>
      <c r="F13859" s="331">
        <v>0.21</v>
      </c>
      <c r="G13859" s="332">
        <v>5123</v>
      </c>
      <c r="H13859" s="333">
        <v>6199</v>
      </c>
    </row>
    <row r="13860" spans="1:8">
      <c r="A13860" s="317">
        <v>2610908634</v>
      </c>
      <c r="B13860" s="330" t="s">
        <v>58213</v>
      </c>
      <c r="C13860" s="330" t="s">
        <v>29303</v>
      </c>
      <c r="D13860" s="330" t="s">
        <v>29304</v>
      </c>
      <c r="E13860" s="330" t="s">
        <v>4634</v>
      </c>
      <c r="F13860" s="331">
        <v>0.21</v>
      </c>
      <c r="G13860" s="332">
        <v>2299</v>
      </c>
      <c r="H13860" s="333">
        <v>2782</v>
      </c>
    </row>
    <row r="13861" spans="1:8">
      <c r="A13861" s="317">
        <v>2610908637</v>
      </c>
      <c r="B13861" s="330" t="s">
        <v>58214</v>
      </c>
      <c r="C13861" s="330" t="s">
        <v>29305</v>
      </c>
      <c r="D13861" s="330" t="s">
        <v>29306</v>
      </c>
      <c r="E13861" s="330" t="s">
        <v>4634</v>
      </c>
      <c r="F13861" s="331">
        <v>0.21</v>
      </c>
      <c r="G13861" s="332">
        <v>1170</v>
      </c>
      <c r="H13861" s="333">
        <v>1416</v>
      </c>
    </row>
    <row r="13862" spans="1:8">
      <c r="A13862" s="317">
        <v>2610908642</v>
      </c>
      <c r="B13862" s="330" t="s">
        <v>58215</v>
      </c>
      <c r="C13862" s="330" t="s">
        <v>29307</v>
      </c>
      <c r="D13862" s="330" t="s">
        <v>29308</v>
      </c>
      <c r="E13862" s="330" t="s">
        <v>4634</v>
      </c>
      <c r="F13862" s="331">
        <v>0.21</v>
      </c>
      <c r="G13862" s="332">
        <v>9000</v>
      </c>
      <c r="H13862" s="333">
        <v>10890</v>
      </c>
    </row>
    <row r="13863" spans="1:8">
      <c r="A13863" s="317">
        <v>2610908644</v>
      </c>
      <c r="B13863" s="330" t="s">
        <v>58216</v>
      </c>
      <c r="C13863" s="330" t="s">
        <v>29309</v>
      </c>
      <c r="D13863" s="330" t="s">
        <v>29308</v>
      </c>
      <c r="E13863" s="330" t="s">
        <v>4634</v>
      </c>
      <c r="F13863" s="331">
        <v>0.21</v>
      </c>
      <c r="G13863" s="332">
        <v>10808</v>
      </c>
      <c r="H13863" s="333">
        <v>13078</v>
      </c>
    </row>
    <row r="13864" spans="1:8">
      <c r="A13864" s="317">
        <v>2610908651</v>
      </c>
      <c r="B13864" s="330" t="s">
        <v>58217</v>
      </c>
      <c r="C13864" s="330" t="s">
        <v>29310</v>
      </c>
      <c r="D13864" s="330" t="s">
        <v>29311</v>
      </c>
      <c r="E13864" s="330" t="s">
        <v>4634</v>
      </c>
      <c r="F13864" s="331">
        <v>0.21</v>
      </c>
      <c r="G13864" s="332">
        <v>678</v>
      </c>
      <c r="H13864" s="333">
        <v>821</v>
      </c>
    </row>
    <row r="13865" spans="1:8">
      <c r="A13865" s="317">
        <v>2610908652</v>
      </c>
      <c r="B13865" s="330" t="s">
        <v>58218</v>
      </c>
      <c r="C13865" s="330" t="s">
        <v>29312</v>
      </c>
      <c r="D13865" s="330" t="s">
        <v>29313</v>
      </c>
      <c r="E13865" s="330" t="s">
        <v>4634</v>
      </c>
      <c r="F13865" s="331">
        <v>0.21</v>
      </c>
      <c r="G13865" s="332">
        <v>2775</v>
      </c>
      <c r="H13865" s="333">
        <v>3358</v>
      </c>
    </row>
    <row r="13866" spans="1:8">
      <c r="A13866" s="317">
        <v>2610908655</v>
      </c>
      <c r="B13866" s="330" t="s">
        <v>58219</v>
      </c>
      <c r="C13866" s="330" t="s">
        <v>29314</v>
      </c>
      <c r="D13866" s="330" t="s">
        <v>29315</v>
      </c>
      <c r="E13866" s="330" t="s">
        <v>4634</v>
      </c>
      <c r="F13866" s="331">
        <v>0.21</v>
      </c>
      <c r="G13866" s="332">
        <v>2299</v>
      </c>
      <c r="H13866" s="333">
        <v>2782</v>
      </c>
    </row>
    <row r="13867" spans="1:8">
      <c r="A13867" s="317">
        <v>2610908656</v>
      </c>
      <c r="B13867" s="330" t="s">
        <v>58220</v>
      </c>
      <c r="C13867" s="330" t="s">
        <v>29316</v>
      </c>
      <c r="D13867" s="330" t="s">
        <v>29317</v>
      </c>
      <c r="E13867" s="330" t="s">
        <v>4634</v>
      </c>
      <c r="F13867" s="331">
        <v>0.21</v>
      </c>
      <c r="G13867" s="332">
        <v>584</v>
      </c>
      <c r="H13867" s="333">
        <v>707</v>
      </c>
    </row>
    <row r="13868" spans="1:8">
      <c r="A13868" s="317">
        <v>2610908657</v>
      </c>
      <c r="B13868" s="330" t="s">
        <v>58221</v>
      </c>
      <c r="C13868" s="330" t="s">
        <v>29318</v>
      </c>
      <c r="D13868" s="330" t="s">
        <v>29319</v>
      </c>
      <c r="E13868" s="330" t="s">
        <v>4634</v>
      </c>
      <c r="F13868" s="331">
        <v>0.21</v>
      </c>
      <c r="G13868" s="332">
        <v>584</v>
      </c>
      <c r="H13868" s="333">
        <v>707</v>
      </c>
    </row>
    <row r="13869" spans="1:8">
      <c r="A13869" s="317">
        <v>2610908661</v>
      </c>
      <c r="B13869" s="330" t="s">
        <v>58222</v>
      </c>
      <c r="C13869" s="330" t="s">
        <v>29320</v>
      </c>
      <c r="D13869" s="330" t="s">
        <v>29321</v>
      </c>
      <c r="E13869" s="330" t="s">
        <v>4634</v>
      </c>
      <c r="F13869" s="331">
        <v>0.21</v>
      </c>
      <c r="G13869" s="332">
        <v>584</v>
      </c>
      <c r="H13869" s="333">
        <v>707</v>
      </c>
    </row>
    <row r="13870" spans="1:8">
      <c r="A13870" s="317">
        <v>2610908665</v>
      </c>
      <c r="B13870" s="330" t="s">
        <v>58223</v>
      </c>
      <c r="C13870" s="330" t="s">
        <v>29322</v>
      </c>
      <c r="D13870" s="330" t="s">
        <v>29323</v>
      </c>
      <c r="E13870" s="330" t="s">
        <v>4634</v>
      </c>
      <c r="F13870" s="331">
        <v>0.21</v>
      </c>
      <c r="G13870" s="332">
        <v>1371</v>
      </c>
      <c r="H13870" s="333">
        <v>1659</v>
      </c>
    </row>
    <row r="13871" spans="1:8">
      <c r="A13871" s="317">
        <v>2610908668</v>
      </c>
      <c r="B13871" s="330" t="s">
        <v>58224</v>
      </c>
      <c r="C13871" s="330" t="s">
        <v>29324</v>
      </c>
      <c r="D13871" s="330" t="s">
        <v>29325</v>
      </c>
      <c r="E13871" s="330" t="s">
        <v>4634</v>
      </c>
      <c r="F13871" s="331">
        <v>0.21</v>
      </c>
      <c r="G13871" s="332">
        <v>1170</v>
      </c>
      <c r="H13871" s="333">
        <v>1416</v>
      </c>
    </row>
    <row r="13872" spans="1:8">
      <c r="A13872" s="317">
        <v>2610908671</v>
      </c>
      <c r="B13872" s="330" t="s">
        <v>58225</v>
      </c>
      <c r="C13872" s="330" t="s">
        <v>29326</v>
      </c>
      <c r="D13872" s="330" t="s">
        <v>29327</v>
      </c>
      <c r="E13872" s="330" t="s">
        <v>4634</v>
      </c>
      <c r="F13872" s="331">
        <v>0.21</v>
      </c>
      <c r="G13872" s="332">
        <v>8135</v>
      </c>
      <c r="H13872" s="333">
        <v>9844</v>
      </c>
    </row>
    <row r="13873" spans="1:8">
      <c r="A13873" s="317">
        <v>2610908678</v>
      </c>
      <c r="B13873" s="330" t="s">
        <v>58226</v>
      </c>
      <c r="C13873" s="330" t="s">
        <v>29328</v>
      </c>
      <c r="D13873" s="330" t="s">
        <v>29329</v>
      </c>
      <c r="E13873" s="330" t="s">
        <v>37248</v>
      </c>
      <c r="F13873" s="331">
        <v>0.21</v>
      </c>
      <c r="G13873" s="332">
        <v>18541</v>
      </c>
      <c r="H13873" s="333">
        <v>22435</v>
      </c>
    </row>
    <row r="13874" spans="1:8">
      <c r="A13874" s="317">
        <v>2610908698</v>
      </c>
      <c r="B13874" s="330" t="s">
        <v>58227</v>
      </c>
      <c r="C13874" s="330" t="s">
        <v>29330</v>
      </c>
      <c r="D13874" s="330" t="s">
        <v>29331</v>
      </c>
      <c r="E13874" s="330" t="s">
        <v>37248</v>
      </c>
      <c r="F13874" s="331">
        <v>0.21</v>
      </c>
      <c r="G13874" s="332">
        <v>17424</v>
      </c>
      <c r="H13874" s="333">
        <v>21084</v>
      </c>
    </row>
    <row r="13875" spans="1:8">
      <c r="A13875" s="317">
        <v>2610908799</v>
      </c>
      <c r="B13875" s="330" t="s">
        <v>58228</v>
      </c>
      <c r="C13875" s="330" t="s">
        <v>29332</v>
      </c>
      <c r="D13875" s="330" t="s">
        <v>29333</v>
      </c>
      <c r="E13875" s="330" t="s">
        <v>4634</v>
      </c>
      <c r="F13875" s="331">
        <v>0.21</v>
      </c>
      <c r="G13875" s="332">
        <v>1664</v>
      </c>
      <c r="H13875" s="333">
        <v>2014</v>
      </c>
    </row>
    <row r="13876" spans="1:8">
      <c r="A13876" s="317">
        <v>2610908804</v>
      </c>
      <c r="B13876" s="330" t="s">
        <v>58229</v>
      </c>
      <c r="C13876" s="330" t="s">
        <v>29334</v>
      </c>
      <c r="D13876" s="330" t="s">
        <v>29335</v>
      </c>
      <c r="E13876" s="330" t="s">
        <v>37248</v>
      </c>
      <c r="F13876" s="331">
        <v>0.21</v>
      </c>
      <c r="G13876" s="332">
        <v>5663</v>
      </c>
      <c r="H13876" s="333">
        <v>6853</v>
      </c>
    </row>
    <row r="13877" spans="1:8">
      <c r="A13877" s="317">
        <v>2610908901</v>
      </c>
      <c r="B13877" s="330" t="s">
        <v>58230</v>
      </c>
      <c r="C13877" s="330" t="s">
        <v>29336</v>
      </c>
      <c r="D13877" s="330" t="s">
        <v>29337</v>
      </c>
      <c r="E13877" s="330" t="s">
        <v>4634</v>
      </c>
      <c r="F13877" s="331">
        <v>0.21</v>
      </c>
      <c r="G13877" s="332">
        <v>348</v>
      </c>
      <c r="H13877" s="333">
        <v>422</v>
      </c>
    </row>
    <row r="13878" spans="1:8">
      <c r="A13878" s="317">
        <v>2610908919</v>
      </c>
      <c r="B13878" s="330" t="s">
        <v>58231</v>
      </c>
      <c r="C13878" s="330" t="s">
        <v>29338</v>
      </c>
      <c r="D13878" s="330" t="s">
        <v>29337</v>
      </c>
      <c r="E13878" s="330" t="s">
        <v>4634</v>
      </c>
      <c r="F13878" s="331">
        <v>0.21</v>
      </c>
      <c r="G13878" s="332">
        <v>348</v>
      </c>
      <c r="H13878" s="333">
        <v>422</v>
      </c>
    </row>
    <row r="13879" spans="1:8">
      <c r="A13879" s="317">
        <v>2610909006</v>
      </c>
      <c r="B13879" s="330" t="s">
        <v>58232</v>
      </c>
      <c r="C13879" s="330" t="s">
        <v>29339</v>
      </c>
      <c r="D13879" s="330" t="s">
        <v>29340</v>
      </c>
      <c r="E13879" s="330" t="s">
        <v>4634</v>
      </c>
      <c r="F13879" s="331">
        <v>0.21</v>
      </c>
      <c r="G13879" s="332">
        <v>711</v>
      </c>
      <c r="H13879" s="333">
        <v>861</v>
      </c>
    </row>
    <row r="13880" spans="1:8">
      <c r="A13880" s="317">
        <v>2610909058</v>
      </c>
      <c r="B13880" s="330" t="s">
        <v>58233</v>
      </c>
      <c r="C13880" s="330" t="s">
        <v>29341</v>
      </c>
      <c r="D13880" s="330" t="s">
        <v>29342</v>
      </c>
      <c r="E13880" s="330" t="s">
        <v>4634</v>
      </c>
      <c r="F13880" s="331">
        <v>0.21</v>
      </c>
      <c r="G13880" s="332">
        <v>1664</v>
      </c>
      <c r="H13880" s="333">
        <v>2014</v>
      </c>
    </row>
    <row r="13881" spans="1:8">
      <c r="A13881" s="317">
        <v>2610909072</v>
      </c>
      <c r="B13881" s="330" t="s">
        <v>58234</v>
      </c>
      <c r="C13881" s="330" t="s">
        <v>29343</v>
      </c>
      <c r="D13881" s="330" t="s">
        <v>29344</v>
      </c>
      <c r="E13881" s="330" t="s">
        <v>4634</v>
      </c>
      <c r="F13881" s="331">
        <v>0.21</v>
      </c>
      <c r="G13881" s="332">
        <v>274</v>
      </c>
      <c r="H13881" s="333">
        <v>332</v>
      </c>
    </row>
    <row r="13882" spans="1:8">
      <c r="A13882" s="317">
        <v>2610909077</v>
      </c>
      <c r="B13882" s="330" t="s">
        <v>58235</v>
      </c>
      <c r="C13882" s="330" t="s">
        <v>29345</v>
      </c>
      <c r="D13882" s="330" t="s">
        <v>29346</v>
      </c>
      <c r="E13882" s="330" t="s">
        <v>37248</v>
      </c>
      <c r="F13882" s="331">
        <v>0.21</v>
      </c>
      <c r="G13882" s="332">
        <v>709</v>
      </c>
      <c r="H13882" s="333">
        <v>858</v>
      </c>
    </row>
    <row r="13883" spans="1:8">
      <c r="A13883" s="317">
        <v>2610909178</v>
      </c>
      <c r="B13883" s="330" t="s">
        <v>58236</v>
      </c>
      <c r="C13883" s="330" t="s">
        <v>29347</v>
      </c>
      <c r="D13883" s="330" t="s">
        <v>29348</v>
      </c>
      <c r="E13883" s="330" t="s">
        <v>4634</v>
      </c>
      <c r="F13883" s="331">
        <v>0.21</v>
      </c>
      <c r="G13883" s="332">
        <v>153</v>
      </c>
      <c r="H13883" s="333">
        <v>186</v>
      </c>
    </row>
    <row r="13884" spans="1:8">
      <c r="A13884" s="317">
        <v>2610909203</v>
      </c>
      <c r="B13884" s="330" t="s">
        <v>58237</v>
      </c>
      <c r="C13884" s="330" t="s">
        <v>29349</v>
      </c>
      <c r="D13884" s="330" t="s">
        <v>12426</v>
      </c>
      <c r="E13884" s="330" t="s">
        <v>37248</v>
      </c>
      <c r="F13884" s="331">
        <v>0.21</v>
      </c>
      <c r="G13884" s="332">
        <v>1431</v>
      </c>
      <c r="H13884" s="333">
        <v>1732</v>
      </c>
    </row>
    <row r="13885" spans="1:8">
      <c r="A13885" s="317">
        <v>2610909216</v>
      </c>
      <c r="B13885" s="330" t="s">
        <v>58238</v>
      </c>
      <c r="C13885" s="330" t="s">
        <v>29350</v>
      </c>
      <c r="D13885" s="330" t="s">
        <v>29351</v>
      </c>
      <c r="E13885" s="330" t="s">
        <v>4819</v>
      </c>
      <c r="F13885" s="331">
        <v>0.21</v>
      </c>
      <c r="G13885" s="332">
        <v>283</v>
      </c>
      <c r="H13885" s="333">
        <v>343</v>
      </c>
    </row>
    <row r="13886" spans="1:8">
      <c r="A13886" s="317">
        <v>2610909310</v>
      </c>
      <c r="B13886" s="330" t="s">
        <v>58239</v>
      </c>
      <c r="C13886" s="330" t="s">
        <v>29352</v>
      </c>
      <c r="D13886" s="330" t="s">
        <v>29353</v>
      </c>
      <c r="E13886" s="330" t="s">
        <v>37248</v>
      </c>
      <c r="F13886" s="331">
        <v>0.21</v>
      </c>
      <c r="G13886" s="332">
        <v>18419</v>
      </c>
      <c r="H13886" s="333">
        <v>22287</v>
      </c>
    </row>
    <row r="13887" spans="1:8">
      <c r="A13887" s="317">
        <v>2610909578</v>
      </c>
      <c r="B13887" s="330" t="s">
        <v>58240</v>
      </c>
      <c r="C13887" s="330" t="s">
        <v>29354</v>
      </c>
      <c r="D13887" s="330" t="s">
        <v>29355</v>
      </c>
      <c r="E13887" s="330" t="s">
        <v>4819</v>
      </c>
      <c r="F13887" s="331">
        <v>0.21</v>
      </c>
      <c r="G13887" s="332">
        <v>8860</v>
      </c>
      <c r="H13887" s="333">
        <v>10721</v>
      </c>
    </row>
    <row r="13888" spans="1:8">
      <c r="A13888" s="317">
        <v>2610909579</v>
      </c>
      <c r="B13888" s="330" t="s">
        <v>58241</v>
      </c>
      <c r="C13888" s="330" t="s">
        <v>29356</v>
      </c>
      <c r="D13888" s="330" t="s">
        <v>29357</v>
      </c>
      <c r="E13888" s="330" t="s">
        <v>4634</v>
      </c>
      <c r="F13888" s="331">
        <v>0.21</v>
      </c>
      <c r="G13888" s="332">
        <v>928</v>
      </c>
      <c r="H13888" s="333">
        <v>1123</v>
      </c>
    </row>
    <row r="13889" spans="1:8">
      <c r="A13889" s="317">
        <v>2610909580</v>
      </c>
      <c r="B13889" s="330" t="s">
        <v>58242</v>
      </c>
      <c r="C13889" s="330" t="s">
        <v>29358</v>
      </c>
      <c r="D13889" s="330" t="s">
        <v>29359</v>
      </c>
      <c r="E13889" s="330" t="s">
        <v>4634</v>
      </c>
      <c r="F13889" s="331">
        <v>0.21</v>
      </c>
      <c r="G13889" s="332">
        <v>2881</v>
      </c>
      <c r="H13889" s="333">
        <v>3487</v>
      </c>
    </row>
    <row r="13890" spans="1:8">
      <c r="A13890" s="317">
        <v>2610909581</v>
      </c>
      <c r="B13890" s="330" t="s">
        <v>58243</v>
      </c>
      <c r="C13890" s="330" t="s">
        <v>29360</v>
      </c>
      <c r="D13890" s="330" t="s">
        <v>29359</v>
      </c>
      <c r="E13890" s="330" t="s">
        <v>4634</v>
      </c>
      <c r="F13890" s="331">
        <v>0.21</v>
      </c>
      <c r="G13890" s="332">
        <v>2186</v>
      </c>
      <c r="H13890" s="333">
        <v>2646</v>
      </c>
    </row>
    <row r="13891" spans="1:8">
      <c r="A13891" s="317">
        <v>2610909582</v>
      </c>
      <c r="B13891" s="330" t="s">
        <v>58244</v>
      </c>
      <c r="C13891" s="330" t="s">
        <v>29361</v>
      </c>
      <c r="D13891" s="330" t="s">
        <v>29362</v>
      </c>
      <c r="E13891" s="330" t="s">
        <v>4634</v>
      </c>
      <c r="F13891" s="331">
        <v>0.21</v>
      </c>
      <c r="G13891" s="332">
        <v>274</v>
      </c>
      <c r="H13891" s="333">
        <v>332</v>
      </c>
    </row>
    <row r="13892" spans="1:8">
      <c r="A13892" s="317">
        <v>2610909583</v>
      </c>
      <c r="B13892" s="330" t="s">
        <v>58245</v>
      </c>
      <c r="C13892" s="330" t="s">
        <v>29363</v>
      </c>
      <c r="D13892" s="330" t="s">
        <v>29364</v>
      </c>
      <c r="E13892" s="330" t="s">
        <v>4634</v>
      </c>
      <c r="F13892" s="331">
        <v>0.21</v>
      </c>
      <c r="G13892" s="332">
        <v>437</v>
      </c>
      <c r="H13892" s="333">
        <v>529</v>
      </c>
    </row>
    <row r="13893" spans="1:8">
      <c r="A13893" s="317">
        <v>2610909603</v>
      </c>
      <c r="B13893" s="330" t="s">
        <v>58246</v>
      </c>
      <c r="C13893" s="330" t="s">
        <v>29365</v>
      </c>
      <c r="D13893" s="330" t="s">
        <v>29366</v>
      </c>
      <c r="E13893" s="330" t="s">
        <v>4634</v>
      </c>
      <c r="F13893" s="331">
        <v>0.21</v>
      </c>
      <c r="G13893" s="332">
        <v>372</v>
      </c>
      <c r="H13893" s="333">
        <v>451</v>
      </c>
    </row>
    <row r="13894" spans="1:8">
      <c r="A13894" s="317">
        <v>2610909704</v>
      </c>
      <c r="B13894" s="330" t="s">
        <v>58247</v>
      </c>
      <c r="C13894" s="330" t="s">
        <v>29367</v>
      </c>
      <c r="D13894" s="330" t="s">
        <v>29368</v>
      </c>
      <c r="E13894" s="330" t="s">
        <v>4634</v>
      </c>
      <c r="F13894" s="331">
        <v>0.21</v>
      </c>
      <c r="G13894" s="332">
        <v>5239</v>
      </c>
      <c r="H13894" s="333">
        <v>6340</v>
      </c>
    </row>
    <row r="13895" spans="1:8">
      <c r="A13895" s="317">
        <v>2610909726</v>
      </c>
      <c r="B13895" s="330" t="s">
        <v>58248</v>
      </c>
      <c r="C13895" s="330" t="s">
        <v>29369</v>
      </c>
      <c r="D13895" s="330" t="s">
        <v>29370</v>
      </c>
      <c r="E13895" s="330" t="s">
        <v>4634</v>
      </c>
      <c r="F13895" s="331">
        <v>0.21</v>
      </c>
      <c r="G13895" s="332">
        <v>5157</v>
      </c>
      <c r="H13895" s="333">
        <v>6240</v>
      </c>
    </row>
    <row r="13896" spans="1:8">
      <c r="A13896" s="317">
        <v>2610909730</v>
      </c>
      <c r="B13896" s="330" t="s">
        <v>58249</v>
      </c>
      <c r="C13896" s="330" t="s">
        <v>29371</v>
      </c>
      <c r="D13896" s="330" t="s">
        <v>29372</v>
      </c>
      <c r="E13896" s="330" t="s">
        <v>4634</v>
      </c>
      <c r="F13896" s="331">
        <v>0.21</v>
      </c>
      <c r="G13896" s="332">
        <v>455</v>
      </c>
      <c r="H13896" s="333">
        <v>551</v>
      </c>
    </row>
    <row r="13897" spans="1:8">
      <c r="A13897" s="317">
        <v>2610910009</v>
      </c>
      <c r="B13897" s="330" t="s">
        <v>58250</v>
      </c>
      <c r="C13897" s="330" t="s">
        <v>29373</v>
      </c>
      <c r="D13897" s="330" t="s">
        <v>29374</v>
      </c>
      <c r="E13897" s="330" t="s">
        <v>4634</v>
      </c>
      <c r="F13897" s="331">
        <v>0.21</v>
      </c>
      <c r="G13897" s="332">
        <v>432</v>
      </c>
      <c r="H13897" s="333">
        <v>523</v>
      </c>
    </row>
    <row r="13898" spans="1:8">
      <c r="A13898" s="317">
        <v>2610910013</v>
      </c>
      <c r="B13898" s="330" t="s">
        <v>58251</v>
      </c>
      <c r="C13898" s="330" t="s">
        <v>29375</v>
      </c>
      <c r="D13898" s="330" t="s">
        <v>27095</v>
      </c>
      <c r="E13898" s="330" t="s">
        <v>37248</v>
      </c>
      <c r="F13898" s="331">
        <v>0.21</v>
      </c>
      <c r="G13898" s="332">
        <v>348</v>
      </c>
      <c r="H13898" s="333">
        <v>422</v>
      </c>
    </row>
    <row r="13899" spans="1:8">
      <c r="A13899" s="317">
        <v>2610910015</v>
      </c>
      <c r="B13899" s="330" t="s">
        <v>58252</v>
      </c>
      <c r="C13899" s="330" t="s">
        <v>29376</v>
      </c>
      <c r="D13899" s="330" t="s">
        <v>29377</v>
      </c>
      <c r="E13899" s="330" t="s">
        <v>37248</v>
      </c>
      <c r="F13899" s="331">
        <v>0.21</v>
      </c>
      <c r="G13899" s="332">
        <v>213</v>
      </c>
      <c r="H13899" s="333">
        <v>258</v>
      </c>
    </row>
    <row r="13900" spans="1:8">
      <c r="A13900" s="317">
        <v>2610910046</v>
      </c>
      <c r="B13900" s="330" t="s">
        <v>58253</v>
      </c>
      <c r="C13900" s="330" t="s">
        <v>29378</v>
      </c>
      <c r="D13900" s="330" t="s">
        <v>29379</v>
      </c>
      <c r="E13900" s="330" t="s">
        <v>4634</v>
      </c>
      <c r="F13900" s="331">
        <v>0.21</v>
      </c>
      <c r="G13900" s="332">
        <v>274</v>
      </c>
      <c r="H13900" s="333">
        <v>332</v>
      </c>
    </row>
    <row r="13901" spans="1:8">
      <c r="A13901" s="317">
        <v>2610910047</v>
      </c>
      <c r="B13901" s="330" t="s">
        <v>58254</v>
      </c>
      <c r="C13901" s="330" t="s">
        <v>29380</v>
      </c>
      <c r="D13901" s="330" t="s">
        <v>11698</v>
      </c>
      <c r="E13901" s="330" t="s">
        <v>4634</v>
      </c>
      <c r="F13901" s="331">
        <v>0.21</v>
      </c>
      <c r="G13901" s="332">
        <v>153</v>
      </c>
      <c r="H13901" s="333">
        <v>186</v>
      </c>
    </row>
    <row r="13902" spans="1:8">
      <c r="A13902" s="317">
        <v>2610910108</v>
      </c>
      <c r="B13902" s="330" t="s">
        <v>58255</v>
      </c>
      <c r="C13902" s="330" t="s">
        <v>29381</v>
      </c>
      <c r="D13902" s="330" t="s">
        <v>29382</v>
      </c>
      <c r="E13902" s="330" t="s">
        <v>4634</v>
      </c>
      <c r="F13902" s="331">
        <v>0.21</v>
      </c>
      <c r="G13902" s="332">
        <v>4423</v>
      </c>
      <c r="H13902" s="333">
        <v>5352</v>
      </c>
    </row>
    <row r="13903" spans="1:8">
      <c r="A13903" s="317">
        <v>2610910115</v>
      </c>
      <c r="B13903" s="330" t="s">
        <v>58256</v>
      </c>
      <c r="C13903" s="330" t="s">
        <v>29383</v>
      </c>
      <c r="D13903" s="330" t="s">
        <v>8273</v>
      </c>
      <c r="E13903" s="330" t="s">
        <v>4634</v>
      </c>
      <c r="F13903" s="331">
        <v>0.21</v>
      </c>
      <c r="G13903" s="332">
        <v>3080</v>
      </c>
      <c r="H13903" s="333">
        <v>3727</v>
      </c>
    </row>
    <row r="13904" spans="1:8">
      <c r="A13904" s="317">
        <v>2610910119</v>
      </c>
      <c r="B13904" s="330" t="s">
        <v>58257</v>
      </c>
      <c r="C13904" s="330" t="s">
        <v>29384</v>
      </c>
      <c r="D13904" s="330" t="s">
        <v>29385</v>
      </c>
      <c r="E13904" s="330" t="s">
        <v>4634</v>
      </c>
      <c r="F13904" s="331">
        <v>0.21</v>
      </c>
      <c r="G13904" s="332">
        <v>894</v>
      </c>
      <c r="H13904" s="333">
        <v>1082</v>
      </c>
    </row>
    <row r="13905" spans="1:8">
      <c r="A13905" s="317">
        <v>2610910179</v>
      </c>
      <c r="B13905" s="330" t="s">
        <v>58258</v>
      </c>
      <c r="C13905" s="330" t="s">
        <v>29386</v>
      </c>
      <c r="D13905" s="330" t="s">
        <v>29387</v>
      </c>
      <c r="E13905" s="330" t="s">
        <v>4634</v>
      </c>
      <c r="F13905" s="331">
        <v>0.21</v>
      </c>
      <c r="G13905" s="332">
        <v>5592</v>
      </c>
      <c r="H13905" s="333">
        <v>6767</v>
      </c>
    </row>
    <row r="13906" spans="1:8">
      <c r="A13906" s="317">
        <v>2610910180</v>
      </c>
      <c r="B13906" s="330" t="s">
        <v>58259</v>
      </c>
      <c r="C13906" s="330" t="s">
        <v>29388</v>
      </c>
      <c r="D13906" s="330" t="s">
        <v>29389</v>
      </c>
      <c r="E13906" s="330" t="s">
        <v>4634</v>
      </c>
      <c r="F13906" s="331">
        <v>0.21</v>
      </c>
      <c r="G13906" s="332">
        <v>4115</v>
      </c>
      <c r="H13906" s="333">
        <v>4980</v>
      </c>
    </row>
    <row r="13907" spans="1:8">
      <c r="A13907" s="317">
        <v>2610910185</v>
      </c>
      <c r="B13907" s="330" t="s">
        <v>58260</v>
      </c>
      <c r="C13907" s="330" t="s">
        <v>29390</v>
      </c>
      <c r="D13907" s="330" t="s">
        <v>29391</v>
      </c>
      <c r="E13907" s="330" t="s">
        <v>4634</v>
      </c>
      <c r="F13907" s="331">
        <v>0.21</v>
      </c>
      <c r="G13907" s="332">
        <v>12585</v>
      </c>
      <c r="H13907" s="333">
        <v>15228</v>
      </c>
    </row>
    <row r="13908" spans="1:8">
      <c r="A13908" s="317">
        <v>2610910188</v>
      </c>
      <c r="B13908" s="330" t="s">
        <v>58261</v>
      </c>
      <c r="C13908" s="330" t="s">
        <v>29392</v>
      </c>
      <c r="D13908" s="330" t="s">
        <v>29393</v>
      </c>
      <c r="E13908" s="330" t="s">
        <v>4634</v>
      </c>
      <c r="F13908" s="331">
        <v>0.21</v>
      </c>
      <c r="G13908" s="332">
        <v>3490</v>
      </c>
      <c r="H13908" s="333">
        <v>4223</v>
      </c>
    </row>
    <row r="13909" spans="1:8">
      <c r="A13909" s="317">
        <v>2610910194</v>
      </c>
      <c r="B13909" s="330" t="s">
        <v>58262</v>
      </c>
      <c r="C13909" s="330" t="s">
        <v>29394</v>
      </c>
      <c r="D13909" s="330" t="s">
        <v>29395</v>
      </c>
      <c r="E13909" s="330" t="s">
        <v>4634</v>
      </c>
      <c r="F13909" s="331">
        <v>0.21</v>
      </c>
      <c r="G13909" s="332">
        <v>17932</v>
      </c>
      <c r="H13909" s="333">
        <v>21698</v>
      </c>
    </row>
    <row r="13910" spans="1:8">
      <c r="A13910" s="317">
        <v>2610910300</v>
      </c>
      <c r="B13910" s="330" t="s">
        <v>58263</v>
      </c>
      <c r="C13910" s="330" t="s">
        <v>29396</v>
      </c>
      <c r="D13910" s="330" t="s">
        <v>26130</v>
      </c>
      <c r="E13910" s="330" t="s">
        <v>37248</v>
      </c>
      <c r="F13910" s="331">
        <v>0.21</v>
      </c>
      <c r="G13910" s="332">
        <v>27998</v>
      </c>
      <c r="H13910" s="333">
        <v>33878</v>
      </c>
    </row>
    <row r="13911" spans="1:8">
      <c r="A13911" s="317">
        <v>2610910316</v>
      </c>
      <c r="B13911" s="330" t="s">
        <v>58264</v>
      </c>
      <c r="C13911" s="330" t="s">
        <v>29397</v>
      </c>
      <c r="D13911" s="330" t="s">
        <v>29398</v>
      </c>
      <c r="E13911" s="330" t="s">
        <v>4634</v>
      </c>
      <c r="F13911" s="331">
        <v>0.21</v>
      </c>
      <c r="G13911" s="332">
        <v>6185</v>
      </c>
      <c r="H13911" s="333">
        <v>7484</v>
      </c>
    </row>
    <row r="13912" spans="1:8">
      <c r="A13912" s="317">
        <v>2610910424</v>
      </c>
      <c r="B13912" s="330" t="s">
        <v>58265</v>
      </c>
      <c r="C13912" s="330" t="s">
        <v>29399</v>
      </c>
      <c r="D13912" s="330" t="s">
        <v>29400</v>
      </c>
      <c r="E13912" s="330" t="s">
        <v>4634</v>
      </c>
      <c r="F13912" s="331">
        <v>0.21</v>
      </c>
      <c r="G13912" s="332">
        <v>791</v>
      </c>
      <c r="H13912" s="333">
        <v>958</v>
      </c>
    </row>
    <row r="13913" spans="1:8">
      <c r="A13913" s="317">
        <v>2610910431</v>
      </c>
      <c r="B13913" s="330" t="s">
        <v>58266</v>
      </c>
      <c r="C13913" s="330" t="s">
        <v>29401</v>
      </c>
      <c r="D13913" s="330" t="s">
        <v>29402</v>
      </c>
      <c r="E13913" s="330" t="s">
        <v>4634</v>
      </c>
      <c r="F13913" s="331">
        <v>0.21</v>
      </c>
      <c r="G13913" s="332">
        <v>11439</v>
      </c>
      <c r="H13913" s="333">
        <v>13842</v>
      </c>
    </row>
    <row r="13914" spans="1:8">
      <c r="A13914" s="317">
        <v>2610910506</v>
      </c>
      <c r="B13914" s="330" t="s">
        <v>58267</v>
      </c>
      <c r="C13914" s="330" t="s">
        <v>29403</v>
      </c>
      <c r="D13914" s="330" t="s">
        <v>29404</v>
      </c>
      <c r="E13914" s="330" t="s">
        <v>4634</v>
      </c>
      <c r="F13914" s="331">
        <v>0.21</v>
      </c>
      <c r="G13914" s="332">
        <v>2079</v>
      </c>
      <c r="H13914" s="333">
        <v>2516</v>
      </c>
    </row>
    <row r="13915" spans="1:8">
      <c r="A13915" s="317">
        <v>2610910566</v>
      </c>
      <c r="B13915" s="330" t="s">
        <v>58268</v>
      </c>
      <c r="C13915" s="330" t="s">
        <v>29405</v>
      </c>
      <c r="D13915" s="330" t="s">
        <v>15512</v>
      </c>
      <c r="E13915" s="330" t="s">
        <v>4634</v>
      </c>
      <c r="F13915" s="331">
        <v>0.21</v>
      </c>
      <c r="G13915" s="332">
        <v>142</v>
      </c>
      <c r="H13915" s="333">
        <v>172</v>
      </c>
    </row>
    <row r="13916" spans="1:8">
      <c r="A13916" s="317">
        <v>2610910606</v>
      </c>
      <c r="B13916" s="330" t="s">
        <v>58269</v>
      </c>
      <c r="C13916" s="330" t="s">
        <v>29406</v>
      </c>
      <c r="D13916" s="330" t="s">
        <v>29407</v>
      </c>
      <c r="E13916" s="330" t="s">
        <v>4634</v>
      </c>
      <c r="F13916" s="331">
        <v>0.21</v>
      </c>
      <c r="G13916" s="332">
        <v>25687</v>
      </c>
      <c r="H13916" s="333">
        <v>31082</v>
      </c>
    </row>
    <row r="13917" spans="1:8">
      <c r="A13917" s="317">
        <v>2610910608</v>
      </c>
      <c r="B13917" s="330" t="s">
        <v>58270</v>
      </c>
      <c r="C13917" s="330" t="s">
        <v>29408</v>
      </c>
      <c r="D13917" s="330" t="s">
        <v>29409</v>
      </c>
      <c r="E13917" s="330" t="s">
        <v>4634</v>
      </c>
      <c r="F13917" s="331">
        <v>0.21</v>
      </c>
      <c r="G13917" s="332">
        <v>9222</v>
      </c>
      <c r="H13917" s="333">
        <v>11159</v>
      </c>
    </row>
    <row r="13918" spans="1:8">
      <c r="A13918" s="317">
        <v>2610910750</v>
      </c>
      <c r="B13918" s="330" t="s">
        <v>58271</v>
      </c>
      <c r="C13918" s="330" t="s">
        <v>29410</v>
      </c>
      <c r="D13918" s="330" t="s">
        <v>29411</v>
      </c>
      <c r="E13918" s="330" t="s">
        <v>4634</v>
      </c>
      <c r="F13918" s="331">
        <v>0.21</v>
      </c>
      <c r="G13918" s="332">
        <v>274</v>
      </c>
      <c r="H13918" s="333">
        <v>332</v>
      </c>
    </row>
    <row r="13919" spans="1:8">
      <c r="A13919" s="317">
        <v>2610910751</v>
      </c>
      <c r="B13919" s="330" t="s">
        <v>58272</v>
      </c>
      <c r="C13919" s="330" t="s">
        <v>29412</v>
      </c>
      <c r="D13919" s="330" t="s">
        <v>29413</v>
      </c>
      <c r="E13919" s="330" t="s">
        <v>4634</v>
      </c>
      <c r="F13919" s="331">
        <v>0.21</v>
      </c>
      <c r="G13919" s="332">
        <v>1565</v>
      </c>
      <c r="H13919" s="333">
        <v>1894</v>
      </c>
    </row>
    <row r="13920" spans="1:8">
      <c r="A13920" s="317">
        <v>2610910752</v>
      </c>
      <c r="B13920" s="330" t="s">
        <v>58273</v>
      </c>
      <c r="C13920" s="330" t="s">
        <v>29414</v>
      </c>
      <c r="D13920" s="330" t="s">
        <v>29415</v>
      </c>
      <c r="E13920" s="330" t="s">
        <v>4634</v>
      </c>
      <c r="F13920" s="331">
        <v>0.21</v>
      </c>
      <c r="G13920" s="332">
        <v>736</v>
      </c>
      <c r="H13920" s="333">
        <v>891</v>
      </c>
    </row>
    <row r="13921" spans="1:8">
      <c r="A13921" s="317">
        <v>2610910753</v>
      </c>
      <c r="B13921" s="330" t="s">
        <v>58274</v>
      </c>
      <c r="C13921" s="330" t="s">
        <v>29416</v>
      </c>
      <c r="D13921" s="330" t="s">
        <v>29417</v>
      </c>
      <c r="E13921" s="330" t="s">
        <v>4634</v>
      </c>
      <c r="F13921" s="331">
        <v>0.21</v>
      </c>
      <c r="G13921" s="332">
        <v>372</v>
      </c>
      <c r="H13921" s="333">
        <v>451</v>
      </c>
    </row>
    <row r="13922" spans="1:8">
      <c r="A13922" s="317">
        <v>2610910754</v>
      </c>
      <c r="B13922" s="330" t="s">
        <v>58275</v>
      </c>
      <c r="C13922" s="330" t="s">
        <v>29418</v>
      </c>
      <c r="D13922" s="330" t="s">
        <v>29419</v>
      </c>
      <c r="E13922" s="330" t="s">
        <v>4634</v>
      </c>
      <c r="F13922" s="331">
        <v>0.21</v>
      </c>
      <c r="G13922" s="332">
        <v>432</v>
      </c>
      <c r="H13922" s="333">
        <v>523</v>
      </c>
    </row>
    <row r="13923" spans="1:8">
      <c r="A13923" s="317">
        <v>2610910755</v>
      </c>
      <c r="B13923" s="330" t="s">
        <v>58276</v>
      </c>
      <c r="C13923" s="330" t="s">
        <v>29420</v>
      </c>
      <c r="D13923" s="330" t="s">
        <v>29421</v>
      </c>
      <c r="E13923" s="330" t="s">
        <v>4634</v>
      </c>
      <c r="F13923" s="331">
        <v>0.21</v>
      </c>
      <c r="G13923" s="332">
        <v>3297</v>
      </c>
      <c r="H13923" s="333">
        <v>3990</v>
      </c>
    </row>
    <row r="13924" spans="1:8">
      <c r="A13924" s="317">
        <v>2610910756</v>
      </c>
      <c r="B13924" s="330" t="s">
        <v>58277</v>
      </c>
      <c r="C13924" s="330" t="s">
        <v>29422</v>
      </c>
      <c r="D13924" s="330" t="s">
        <v>29423</v>
      </c>
      <c r="E13924" s="330" t="s">
        <v>4634</v>
      </c>
      <c r="F13924" s="331">
        <v>0.21</v>
      </c>
      <c r="G13924" s="332">
        <v>372</v>
      </c>
      <c r="H13924" s="333">
        <v>451</v>
      </c>
    </row>
    <row r="13925" spans="1:8">
      <c r="A13925" s="317">
        <v>2610910757</v>
      </c>
      <c r="B13925" s="330" t="s">
        <v>58278</v>
      </c>
      <c r="C13925" s="330" t="s">
        <v>29424</v>
      </c>
      <c r="D13925" s="330" t="s">
        <v>29425</v>
      </c>
      <c r="E13925" s="330" t="s">
        <v>4634</v>
      </c>
      <c r="F13925" s="331">
        <v>0.21</v>
      </c>
      <c r="G13925" s="332">
        <v>1055</v>
      </c>
      <c r="H13925" s="333">
        <v>1277</v>
      </c>
    </row>
    <row r="13926" spans="1:8">
      <c r="A13926" s="317">
        <v>2610910758</v>
      </c>
      <c r="B13926" s="330" t="s">
        <v>58279</v>
      </c>
      <c r="C13926" s="330" t="s">
        <v>29426</v>
      </c>
      <c r="D13926" s="330" t="s">
        <v>29427</v>
      </c>
      <c r="E13926" s="330" t="s">
        <v>4634</v>
      </c>
      <c r="F13926" s="331">
        <v>0.21</v>
      </c>
      <c r="G13926" s="332">
        <v>432</v>
      </c>
      <c r="H13926" s="333">
        <v>523</v>
      </c>
    </row>
    <row r="13927" spans="1:8">
      <c r="A13927" s="317">
        <v>2610910760</v>
      </c>
      <c r="B13927" s="330" t="s">
        <v>58280</v>
      </c>
      <c r="C13927" s="330" t="s">
        <v>29428</v>
      </c>
      <c r="D13927" s="330" t="s">
        <v>29429</v>
      </c>
      <c r="E13927" s="330" t="s">
        <v>4634</v>
      </c>
      <c r="F13927" s="331">
        <v>0.21</v>
      </c>
      <c r="G13927" s="332">
        <v>1474</v>
      </c>
      <c r="H13927" s="333">
        <v>1784</v>
      </c>
    </row>
    <row r="13928" spans="1:8">
      <c r="A13928" s="317">
        <v>2610910761</v>
      </c>
      <c r="B13928" s="330" t="s">
        <v>58281</v>
      </c>
      <c r="C13928" s="330" t="s">
        <v>29430</v>
      </c>
      <c r="D13928" s="330" t="s">
        <v>29431</v>
      </c>
      <c r="E13928" s="330" t="s">
        <v>4634</v>
      </c>
      <c r="F13928" s="331">
        <v>0.21</v>
      </c>
      <c r="G13928" s="332">
        <v>455</v>
      </c>
      <c r="H13928" s="333">
        <v>551</v>
      </c>
    </row>
    <row r="13929" spans="1:8">
      <c r="A13929" s="317">
        <v>2610910762</v>
      </c>
      <c r="B13929" s="330" t="s">
        <v>58282</v>
      </c>
      <c r="C13929" s="330" t="s">
        <v>29432</v>
      </c>
      <c r="D13929" s="330" t="s">
        <v>28102</v>
      </c>
      <c r="E13929" s="330" t="s">
        <v>4819</v>
      </c>
      <c r="F13929" s="331">
        <v>0.21</v>
      </c>
      <c r="G13929" s="332">
        <v>2295</v>
      </c>
      <c r="H13929" s="333">
        <v>2777</v>
      </c>
    </row>
    <row r="13930" spans="1:8">
      <c r="A13930" s="317">
        <v>2610910764</v>
      </c>
      <c r="B13930" s="330" t="s">
        <v>58283</v>
      </c>
      <c r="C13930" s="330" t="s">
        <v>29433</v>
      </c>
      <c r="D13930" s="330" t="s">
        <v>29434</v>
      </c>
      <c r="E13930" s="330" t="s">
        <v>4634</v>
      </c>
      <c r="F13930" s="331">
        <v>0.21</v>
      </c>
      <c r="G13930" s="332">
        <v>455</v>
      </c>
      <c r="H13930" s="333">
        <v>551</v>
      </c>
    </row>
    <row r="13931" spans="1:8">
      <c r="A13931" s="317">
        <v>2610910765</v>
      </c>
      <c r="B13931" s="330" t="s">
        <v>58284</v>
      </c>
      <c r="C13931" s="330" t="s">
        <v>29435</v>
      </c>
      <c r="D13931" s="330" t="s">
        <v>29436</v>
      </c>
      <c r="E13931" s="330" t="s">
        <v>4819</v>
      </c>
      <c r="F13931" s="331">
        <v>0.21</v>
      </c>
      <c r="G13931" s="332">
        <v>410</v>
      </c>
      <c r="H13931" s="333">
        <v>497</v>
      </c>
    </row>
    <row r="13932" spans="1:8">
      <c r="A13932" s="317">
        <v>2610910766</v>
      </c>
      <c r="B13932" s="330" t="s">
        <v>58285</v>
      </c>
      <c r="C13932" s="330" t="s">
        <v>29437</v>
      </c>
      <c r="D13932" s="330" t="s">
        <v>29413</v>
      </c>
      <c r="E13932" s="330" t="s">
        <v>4819</v>
      </c>
      <c r="F13932" s="331">
        <v>0.21</v>
      </c>
      <c r="G13932" s="332">
        <v>2581</v>
      </c>
      <c r="H13932" s="333">
        <v>3124</v>
      </c>
    </row>
    <row r="13933" spans="1:8">
      <c r="A13933" s="317">
        <v>2610910768</v>
      </c>
      <c r="B13933" s="330" t="s">
        <v>58286</v>
      </c>
      <c r="C13933" s="330" t="s">
        <v>29438</v>
      </c>
      <c r="D13933" s="330" t="s">
        <v>29439</v>
      </c>
      <c r="E13933" s="330" t="s">
        <v>4634</v>
      </c>
      <c r="F13933" s="331">
        <v>0.21</v>
      </c>
      <c r="G13933" s="332">
        <v>564</v>
      </c>
      <c r="H13933" s="333">
        <v>683</v>
      </c>
    </row>
    <row r="13934" spans="1:8">
      <c r="A13934" s="317">
        <v>2610910769</v>
      </c>
      <c r="B13934" s="330" t="s">
        <v>58287</v>
      </c>
      <c r="C13934" s="330" t="s">
        <v>29440</v>
      </c>
      <c r="D13934" s="330" t="s">
        <v>12302</v>
      </c>
      <c r="E13934" s="330" t="s">
        <v>4634</v>
      </c>
      <c r="F13934" s="331">
        <v>0.21</v>
      </c>
      <c r="G13934" s="332">
        <v>791</v>
      </c>
      <c r="H13934" s="333">
        <v>958</v>
      </c>
    </row>
    <row r="13935" spans="1:8">
      <c r="A13935" s="317">
        <v>2610910770</v>
      </c>
      <c r="B13935" s="330" t="s">
        <v>58288</v>
      </c>
      <c r="C13935" s="330" t="s">
        <v>29441</v>
      </c>
      <c r="D13935" s="330" t="s">
        <v>29442</v>
      </c>
      <c r="E13935" s="330" t="s">
        <v>4634</v>
      </c>
      <c r="F13935" s="331">
        <v>0.21</v>
      </c>
      <c r="G13935" s="332">
        <v>432</v>
      </c>
      <c r="H13935" s="333">
        <v>523</v>
      </c>
    </row>
    <row r="13936" spans="1:8">
      <c r="A13936" s="317">
        <v>2610910774</v>
      </c>
      <c r="B13936" s="330" t="s">
        <v>58289</v>
      </c>
      <c r="C13936" s="330" t="s">
        <v>29443</v>
      </c>
      <c r="D13936" s="330" t="s">
        <v>29444</v>
      </c>
      <c r="E13936" s="330" t="s">
        <v>4634</v>
      </c>
      <c r="F13936" s="331">
        <v>0.21</v>
      </c>
      <c r="G13936" s="332">
        <v>274</v>
      </c>
      <c r="H13936" s="333">
        <v>332</v>
      </c>
    </row>
    <row r="13937" spans="1:8">
      <c r="A13937" s="317">
        <v>2610910775</v>
      </c>
      <c r="B13937" s="330" t="s">
        <v>58290</v>
      </c>
      <c r="C13937" s="330" t="s">
        <v>29445</v>
      </c>
      <c r="D13937" s="330" t="s">
        <v>29446</v>
      </c>
      <c r="E13937" s="330" t="s">
        <v>4634</v>
      </c>
      <c r="F13937" s="331">
        <v>0.21</v>
      </c>
      <c r="G13937" s="332">
        <v>13690</v>
      </c>
      <c r="H13937" s="333">
        <v>16565</v>
      </c>
    </row>
    <row r="13938" spans="1:8">
      <c r="A13938" s="317">
        <v>2610910776</v>
      </c>
      <c r="B13938" s="330" t="s">
        <v>58291</v>
      </c>
      <c r="C13938" s="330" t="s">
        <v>29447</v>
      </c>
      <c r="D13938" s="330" t="s">
        <v>28102</v>
      </c>
      <c r="E13938" s="330" t="s">
        <v>4634</v>
      </c>
      <c r="F13938" s="331">
        <v>0.21</v>
      </c>
      <c r="G13938" s="332">
        <v>372</v>
      </c>
      <c r="H13938" s="333">
        <v>451</v>
      </c>
    </row>
    <row r="13939" spans="1:8">
      <c r="A13939" s="317">
        <v>2610910777</v>
      </c>
      <c r="B13939" s="330" t="s">
        <v>58292</v>
      </c>
      <c r="C13939" s="330" t="s">
        <v>29448</v>
      </c>
      <c r="D13939" s="330" t="s">
        <v>28102</v>
      </c>
      <c r="E13939" s="330" t="s">
        <v>4634</v>
      </c>
      <c r="F13939" s="331">
        <v>0.21</v>
      </c>
      <c r="G13939" s="332">
        <v>236</v>
      </c>
      <c r="H13939" s="333">
        <v>286</v>
      </c>
    </row>
    <row r="13940" spans="1:8">
      <c r="A13940" s="317">
        <v>2610910778</v>
      </c>
      <c r="B13940" s="330" t="s">
        <v>58293</v>
      </c>
      <c r="C13940" s="330" t="s">
        <v>29449</v>
      </c>
      <c r="D13940" s="330" t="s">
        <v>29450</v>
      </c>
      <c r="E13940" s="330" t="s">
        <v>4634</v>
      </c>
      <c r="F13940" s="331">
        <v>0.21</v>
      </c>
      <c r="G13940" s="332">
        <v>539</v>
      </c>
      <c r="H13940" s="333">
        <v>653</v>
      </c>
    </row>
    <row r="13941" spans="1:8">
      <c r="A13941" s="317">
        <v>2610910779</v>
      </c>
      <c r="B13941" s="330" t="s">
        <v>58294</v>
      </c>
      <c r="C13941" s="330" t="s">
        <v>29451</v>
      </c>
      <c r="D13941" s="330" t="s">
        <v>27584</v>
      </c>
      <c r="E13941" s="330" t="s">
        <v>4634</v>
      </c>
      <c r="F13941" s="331">
        <v>0.21</v>
      </c>
      <c r="G13941" s="332">
        <v>142</v>
      </c>
      <c r="H13941" s="333">
        <v>172</v>
      </c>
    </row>
    <row r="13942" spans="1:8">
      <c r="A13942" s="317">
        <v>2610910781</v>
      </c>
      <c r="B13942" s="330" t="s">
        <v>58295</v>
      </c>
      <c r="C13942" s="330" t="s">
        <v>29452</v>
      </c>
      <c r="D13942" s="330" t="s">
        <v>29453</v>
      </c>
      <c r="E13942" s="330" t="s">
        <v>4634</v>
      </c>
      <c r="F13942" s="331">
        <v>0.21</v>
      </c>
      <c r="G13942" s="332">
        <v>274</v>
      </c>
      <c r="H13942" s="333">
        <v>332</v>
      </c>
    </row>
    <row r="13943" spans="1:8">
      <c r="A13943" s="317">
        <v>2610910782</v>
      </c>
      <c r="B13943" s="330" t="s">
        <v>58296</v>
      </c>
      <c r="C13943" s="330" t="s">
        <v>29454</v>
      </c>
      <c r="D13943" s="330" t="s">
        <v>28102</v>
      </c>
      <c r="E13943" s="330" t="s">
        <v>4634</v>
      </c>
      <c r="F13943" s="331">
        <v>0.21</v>
      </c>
      <c r="G13943" s="332">
        <v>274</v>
      </c>
      <c r="H13943" s="333">
        <v>332</v>
      </c>
    </row>
    <row r="13944" spans="1:8">
      <c r="A13944" s="317">
        <v>2610910783</v>
      </c>
      <c r="B13944" s="330" t="s">
        <v>58297</v>
      </c>
      <c r="C13944" s="330" t="s">
        <v>29455</v>
      </c>
      <c r="D13944" s="330" t="s">
        <v>29456</v>
      </c>
      <c r="E13944" s="330" t="s">
        <v>4634</v>
      </c>
      <c r="F13944" s="331">
        <v>0.21</v>
      </c>
      <c r="G13944" s="332">
        <v>455</v>
      </c>
      <c r="H13944" s="333">
        <v>551</v>
      </c>
    </row>
    <row r="13945" spans="1:8">
      <c r="A13945" s="317">
        <v>2610910784</v>
      </c>
      <c r="B13945" s="330" t="s">
        <v>58298</v>
      </c>
      <c r="C13945" s="330" t="s">
        <v>29457</v>
      </c>
      <c r="D13945" s="330" t="s">
        <v>29458</v>
      </c>
      <c r="E13945" s="330" t="s">
        <v>4634</v>
      </c>
      <c r="F13945" s="331">
        <v>0.21</v>
      </c>
      <c r="G13945" s="332">
        <v>28</v>
      </c>
      <c r="H13945" s="333">
        <v>34</v>
      </c>
    </row>
    <row r="13946" spans="1:8">
      <c r="A13946" s="317">
        <v>2610910785</v>
      </c>
      <c r="B13946" s="330" t="s">
        <v>58299</v>
      </c>
      <c r="C13946" s="330" t="s">
        <v>29459</v>
      </c>
      <c r="D13946" s="330" t="s">
        <v>11528</v>
      </c>
      <c r="E13946" s="330" t="s">
        <v>4634</v>
      </c>
      <c r="F13946" s="331">
        <v>0.21</v>
      </c>
      <c r="G13946" s="332">
        <v>274</v>
      </c>
      <c r="H13946" s="333">
        <v>332</v>
      </c>
    </row>
    <row r="13947" spans="1:8">
      <c r="A13947" s="317">
        <v>2610910786</v>
      </c>
      <c r="B13947" s="330" t="s">
        <v>58300</v>
      </c>
      <c r="C13947" s="330" t="s">
        <v>29460</v>
      </c>
      <c r="D13947" s="330" t="s">
        <v>29461</v>
      </c>
      <c r="E13947" s="330" t="s">
        <v>4634</v>
      </c>
      <c r="F13947" s="331">
        <v>0.21</v>
      </c>
      <c r="G13947" s="332">
        <v>274</v>
      </c>
      <c r="H13947" s="333">
        <v>332</v>
      </c>
    </row>
    <row r="13948" spans="1:8">
      <c r="A13948" s="317">
        <v>2610910787</v>
      </c>
      <c r="B13948" s="330" t="s">
        <v>58301</v>
      </c>
      <c r="C13948" s="330" t="s">
        <v>29462</v>
      </c>
      <c r="D13948" s="330" t="s">
        <v>29463</v>
      </c>
      <c r="E13948" s="330" t="s">
        <v>4634</v>
      </c>
      <c r="F13948" s="331">
        <v>0.21</v>
      </c>
      <c r="G13948" s="332">
        <v>4073</v>
      </c>
      <c r="H13948" s="333">
        <v>4929</v>
      </c>
    </row>
    <row r="13949" spans="1:8">
      <c r="A13949" s="317">
        <v>2610910788</v>
      </c>
      <c r="B13949" s="330" t="s">
        <v>58302</v>
      </c>
      <c r="C13949" s="330" t="s">
        <v>29464</v>
      </c>
      <c r="D13949" s="330" t="s">
        <v>29465</v>
      </c>
      <c r="E13949" s="330" t="s">
        <v>4634</v>
      </c>
      <c r="F13949" s="331">
        <v>0.21</v>
      </c>
      <c r="G13949" s="332">
        <v>274</v>
      </c>
      <c r="H13949" s="333">
        <v>332</v>
      </c>
    </row>
    <row r="13950" spans="1:8">
      <c r="A13950" s="317">
        <v>2610910789</v>
      </c>
      <c r="B13950" s="330" t="s">
        <v>58303</v>
      </c>
      <c r="C13950" s="330" t="s">
        <v>29466</v>
      </c>
      <c r="D13950" s="330" t="s">
        <v>29463</v>
      </c>
      <c r="E13950" s="330" t="s">
        <v>4634</v>
      </c>
      <c r="F13950" s="331">
        <v>0.21</v>
      </c>
      <c r="G13950" s="332">
        <v>4737</v>
      </c>
      <c r="H13950" s="333">
        <v>5732</v>
      </c>
    </row>
    <row r="13951" spans="1:8">
      <c r="A13951" s="317">
        <v>2610910790</v>
      </c>
      <c r="B13951" s="330" t="s">
        <v>58304</v>
      </c>
      <c r="C13951" s="330" t="s">
        <v>29467</v>
      </c>
      <c r="D13951" s="330" t="s">
        <v>28102</v>
      </c>
      <c r="E13951" s="330" t="s">
        <v>4634</v>
      </c>
      <c r="F13951" s="331">
        <v>0.21</v>
      </c>
      <c r="G13951" s="332">
        <v>274</v>
      </c>
      <c r="H13951" s="333">
        <v>332</v>
      </c>
    </row>
    <row r="13952" spans="1:8">
      <c r="A13952" s="317">
        <v>2610910791</v>
      </c>
      <c r="B13952" s="330" t="s">
        <v>58305</v>
      </c>
      <c r="C13952" s="330" t="s">
        <v>29468</v>
      </c>
      <c r="D13952" s="330" t="s">
        <v>11530</v>
      </c>
      <c r="E13952" s="330" t="s">
        <v>4634</v>
      </c>
      <c r="F13952" s="331">
        <v>0.21</v>
      </c>
      <c r="G13952" s="332">
        <v>972</v>
      </c>
      <c r="H13952" s="333">
        <v>1177</v>
      </c>
    </row>
    <row r="13953" spans="1:8">
      <c r="A13953" s="317">
        <v>2610910792</v>
      </c>
      <c r="B13953" s="330" t="s">
        <v>58306</v>
      </c>
      <c r="C13953" s="330" t="s">
        <v>29469</v>
      </c>
      <c r="D13953" s="330" t="s">
        <v>29470</v>
      </c>
      <c r="E13953" s="330" t="s">
        <v>4634</v>
      </c>
      <c r="F13953" s="331">
        <v>0.21</v>
      </c>
      <c r="G13953" s="332">
        <v>274</v>
      </c>
      <c r="H13953" s="333">
        <v>332</v>
      </c>
    </row>
    <row r="13954" spans="1:8">
      <c r="A13954" s="317">
        <v>2610910793</v>
      </c>
      <c r="B13954" s="330" t="s">
        <v>58307</v>
      </c>
      <c r="C13954" s="330" t="s">
        <v>29471</v>
      </c>
      <c r="D13954" s="330" t="s">
        <v>11745</v>
      </c>
      <c r="E13954" s="330" t="s">
        <v>4634</v>
      </c>
      <c r="F13954" s="331">
        <v>0.21</v>
      </c>
      <c r="G13954" s="332">
        <v>791</v>
      </c>
      <c r="H13954" s="333">
        <v>958</v>
      </c>
    </row>
    <row r="13955" spans="1:8">
      <c r="A13955" s="317">
        <v>2610910794</v>
      </c>
      <c r="B13955" s="330" t="s">
        <v>58308</v>
      </c>
      <c r="C13955" s="330" t="s">
        <v>29472</v>
      </c>
      <c r="D13955" s="330" t="s">
        <v>12316</v>
      </c>
      <c r="E13955" s="330" t="s">
        <v>4634</v>
      </c>
      <c r="F13955" s="331">
        <v>0.21</v>
      </c>
      <c r="G13955" s="332">
        <v>274</v>
      </c>
      <c r="H13955" s="333">
        <v>332</v>
      </c>
    </row>
    <row r="13956" spans="1:8">
      <c r="A13956" s="317">
        <v>2610910796</v>
      </c>
      <c r="B13956" s="330" t="s">
        <v>58309</v>
      </c>
      <c r="C13956" s="330" t="s">
        <v>29473</v>
      </c>
      <c r="D13956" s="330" t="s">
        <v>29474</v>
      </c>
      <c r="E13956" s="330" t="s">
        <v>4819</v>
      </c>
      <c r="F13956" s="331">
        <v>0.21</v>
      </c>
      <c r="G13956" s="332">
        <v>1242</v>
      </c>
      <c r="H13956" s="333">
        <v>1503</v>
      </c>
    </row>
    <row r="13957" spans="1:8">
      <c r="A13957" s="317">
        <v>2610910797</v>
      </c>
      <c r="B13957" s="330" t="s">
        <v>58310</v>
      </c>
      <c r="C13957" s="330" t="s">
        <v>29475</v>
      </c>
      <c r="D13957" s="330" t="s">
        <v>28102</v>
      </c>
      <c r="E13957" s="330" t="s">
        <v>4819</v>
      </c>
      <c r="F13957" s="331">
        <v>0.21</v>
      </c>
      <c r="G13957" s="332">
        <v>1015</v>
      </c>
      <c r="H13957" s="333">
        <v>1229</v>
      </c>
    </row>
    <row r="13958" spans="1:8">
      <c r="A13958" s="317">
        <v>2610910799</v>
      </c>
      <c r="B13958" s="330" t="s">
        <v>58311</v>
      </c>
      <c r="C13958" s="330" t="s">
        <v>29476</v>
      </c>
      <c r="D13958" s="330" t="s">
        <v>28102</v>
      </c>
      <c r="E13958" s="330" t="s">
        <v>4819</v>
      </c>
      <c r="F13958" s="331">
        <v>0.21</v>
      </c>
      <c r="G13958" s="332">
        <v>863</v>
      </c>
      <c r="H13958" s="333">
        <v>1045</v>
      </c>
    </row>
    <row r="13959" spans="1:8">
      <c r="A13959" s="317">
        <v>2610910821</v>
      </c>
      <c r="B13959" s="330" t="s">
        <v>58312</v>
      </c>
      <c r="C13959" s="330" t="s">
        <v>29477</v>
      </c>
      <c r="D13959" s="330" t="s">
        <v>29478</v>
      </c>
      <c r="E13959" s="330" t="s">
        <v>4634</v>
      </c>
      <c r="F13959" s="331">
        <v>0.21</v>
      </c>
      <c r="G13959" s="332">
        <v>1871</v>
      </c>
      <c r="H13959" s="333">
        <v>2264</v>
      </c>
    </row>
    <row r="13960" spans="1:8">
      <c r="A13960" s="317">
        <v>2610910822</v>
      </c>
      <c r="B13960" s="330" t="s">
        <v>58313</v>
      </c>
      <c r="C13960" s="330" t="s">
        <v>29479</v>
      </c>
      <c r="D13960" s="330" t="s">
        <v>29480</v>
      </c>
      <c r="E13960" s="330" t="s">
        <v>4634</v>
      </c>
      <c r="F13960" s="331">
        <v>0.21</v>
      </c>
      <c r="G13960" s="332">
        <v>2881</v>
      </c>
      <c r="H13960" s="333">
        <v>3487</v>
      </c>
    </row>
    <row r="13961" spans="1:8">
      <c r="A13961" s="317">
        <v>2610910827</v>
      </c>
      <c r="B13961" s="330" t="s">
        <v>58314</v>
      </c>
      <c r="C13961" s="330" t="s">
        <v>29481</v>
      </c>
      <c r="D13961" s="330" t="s">
        <v>29482</v>
      </c>
      <c r="E13961" s="330" t="s">
        <v>4634</v>
      </c>
      <c r="F13961" s="331">
        <v>0.21</v>
      </c>
      <c r="G13961" s="332">
        <v>2299</v>
      </c>
      <c r="H13961" s="333">
        <v>2782</v>
      </c>
    </row>
    <row r="13962" spans="1:8">
      <c r="A13962" s="317">
        <v>2610910828</v>
      </c>
      <c r="B13962" s="330" t="s">
        <v>58315</v>
      </c>
      <c r="C13962" s="330" t="s">
        <v>29483</v>
      </c>
      <c r="D13962" s="330" t="s">
        <v>29484</v>
      </c>
      <c r="E13962" s="330" t="s">
        <v>4634</v>
      </c>
      <c r="F13962" s="331">
        <v>0.21</v>
      </c>
      <c r="G13962" s="332">
        <v>1115</v>
      </c>
      <c r="H13962" s="333">
        <v>1350</v>
      </c>
    </row>
    <row r="13963" spans="1:8">
      <c r="A13963" s="317">
        <v>2610910830</v>
      </c>
      <c r="B13963" s="330" t="s">
        <v>58316</v>
      </c>
      <c r="C13963" s="330" t="s">
        <v>29485</v>
      </c>
      <c r="D13963" s="330" t="s">
        <v>29486</v>
      </c>
      <c r="E13963" s="330" t="s">
        <v>4634</v>
      </c>
      <c r="F13963" s="331">
        <v>0.21</v>
      </c>
      <c r="G13963" s="332">
        <v>2299</v>
      </c>
      <c r="H13963" s="333">
        <v>2782</v>
      </c>
    </row>
    <row r="13964" spans="1:8">
      <c r="A13964" s="317">
        <v>2610910831</v>
      </c>
      <c r="B13964" s="330" t="s">
        <v>58317</v>
      </c>
      <c r="C13964" s="330" t="s">
        <v>29487</v>
      </c>
      <c r="D13964" s="330" t="s">
        <v>29488</v>
      </c>
      <c r="E13964" s="330" t="s">
        <v>4634</v>
      </c>
      <c r="F13964" s="331">
        <v>0.21</v>
      </c>
      <c r="G13964" s="332">
        <v>1547</v>
      </c>
      <c r="H13964" s="333">
        <v>1872</v>
      </c>
    </row>
    <row r="13965" spans="1:8">
      <c r="A13965" s="317">
        <v>2610910833</v>
      </c>
      <c r="B13965" s="330" t="s">
        <v>58318</v>
      </c>
      <c r="C13965" s="330" t="s">
        <v>29489</v>
      </c>
      <c r="D13965" s="330" t="s">
        <v>29490</v>
      </c>
      <c r="E13965" s="330" t="s">
        <v>4634</v>
      </c>
      <c r="F13965" s="331">
        <v>0.21</v>
      </c>
      <c r="G13965" s="332">
        <v>1641</v>
      </c>
      <c r="H13965" s="333">
        <v>1986</v>
      </c>
    </row>
    <row r="13966" spans="1:8">
      <c r="A13966" s="317">
        <v>2610910834</v>
      </c>
      <c r="B13966" s="330" t="s">
        <v>58319</v>
      </c>
      <c r="C13966" s="330" t="s">
        <v>29491</v>
      </c>
      <c r="D13966" s="330" t="s">
        <v>29492</v>
      </c>
      <c r="E13966" s="330" t="s">
        <v>4634</v>
      </c>
      <c r="F13966" s="331">
        <v>0.21</v>
      </c>
      <c r="G13966" s="332">
        <v>171</v>
      </c>
      <c r="H13966" s="333">
        <v>207</v>
      </c>
    </row>
    <row r="13967" spans="1:8">
      <c r="A13967" s="317">
        <v>2610910835</v>
      </c>
      <c r="B13967" s="330" t="s">
        <v>58320</v>
      </c>
      <c r="C13967" s="330" t="s">
        <v>29493</v>
      </c>
      <c r="D13967" s="330" t="s">
        <v>29494</v>
      </c>
      <c r="E13967" s="330" t="s">
        <v>4634</v>
      </c>
      <c r="F13967" s="331">
        <v>0.21</v>
      </c>
      <c r="G13967" s="332">
        <v>1581</v>
      </c>
      <c r="H13967" s="333">
        <v>1914</v>
      </c>
    </row>
    <row r="13968" spans="1:8">
      <c r="A13968" s="317">
        <v>2610910837</v>
      </c>
      <c r="B13968" s="330" t="s">
        <v>58321</v>
      </c>
      <c r="C13968" s="330" t="s">
        <v>29495</v>
      </c>
      <c r="D13968" s="330" t="s">
        <v>29496</v>
      </c>
      <c r="E13968" s="330" t="s">
        <v>4634</v>
      </c>
      <c r="F13968" s="331">
        <v>0.21</v>
      </c>
      <c r="G13968" s="332">
        <v>3283</v>
      </c>
      <c r="H13968" s="333">
        <v>3973</v>
      </c>
    </row>
    <row r="13969" spans="1:8">
      <c r="A13969" s="317">
        <v>2610910838</v>
      </c>
      <c r="B13969" s="330" t="s">
        <v>58322</v>
      </c>
      <c r="C13969" s="330" t="s">
        <v>29497</v>
      </c>
      <c r="D13969" s="330" t="s">
        <v>29498</v>
      </c>
      <c r="E13969" s="330" t="s">
        <v>4634</v>
      </c>
      <c r="F13969" s="331">
        <v>0.21</v>
      </c>
      <c r="G13969" s="332">
        <v>19753</v>
      </c>
      <c r="H13969" s="333">
        <v>23902</v>
      </c>
    </row>
    <row r="13970" spans="1:8">
      <c r="A13970" s="317">
        <v>2610910839</v>
      </c>
      <c r="B13970" s="330" t="s">
        <v>58323</v>
      </c>
      <c r="C13970" s="330" t="s">
        <v>29499</v>
      </c>
      <c r="D13970" s="330" t="s">
        <v>29500</v>
      </c>
      <c r="E13970" s="330" t="s">
        <v>4634</v>
      </c>
      <c r="F13970" s="331">
        <v>0.21</v>
      </c>
      <c r="G13970" s="332">
        <v>2330</v>
      </c>
      <c r="H13970" s="333">
        <v>2820</v>
      </c>
    </row>
    <row r="13971" spans="1:8">
      <c r="A13971" s="317">
        <v>2610910842</v>
      </c>
      <c r="B13971" s="330" t="s">
        <v>58324</v>
      </c>
      <c r="C13971" s="330" t="s">
        <v>29501</v>
      </c>
      <c r="D13971" s="330" t="s">
        <v>29502</v>
      </c>
      <c r="E13971" s="330" t="s">
        <v>4634</v>
      </c>
      <c r="F13971" s="331">
        <v>0.21</v>
      </c>
      <c r="G13971" s="332">
        <v>1798</v>
      </c>
      <c r="H13971" s="333">
        <v>2176</v>
      </c>
    </row>
    <row r="13972" spans="1:8">
      <c r="A13972" s="317">
        <v>2610910844</v>
      </c>
      <c r="B13972" s="330" t="s">
        <v>58325</v>
      </c>
      <c r="C13972" s="330" t="s">
        <v>29503</v>
      </c>
      <c r="D13972" s="330" t="s">
        <v>29504</v>
      </c>
      <c r="E13972" s="330" t="s">
        <v>4634</v>
      </c>
      <c r="F13972" s="331">
        <v>0.21</v>
      </c>
      <c r="G13972" s="332">
        <v>648</v>
      </c>
      <c r="H13972" s="333">
        <v>785</v>
      </c>
    </row>
    <row r="13973" spans="1:8">
      <c r="A13973" s="317">
        <v>2610910845</v>
      </c>
      <c r="B13973" s="330" t="s">
        <v>58326</v>
      </c>
      <c r="C13973" s="330" t="s">
        <v>29505</v>
      </c>
      <c r="D13973" s="330" t="s">
        <v>29506</v>
      </c>
      <c r="E13973" s="330" t="s">
        <v>4634</v>
      </c>
      <c r="F13973" s="331">
        <v>0.21</v>
      </c>
      <c r="G13973" s="332">
        <v>1547</v>
      </c>
      <c r="H13973" s="333">
        <v>1872</v>
      </c>
    </row>
    <row r="13974" spans="1:8">
      <c r="A13974" s="317">
        <v>2610910848</v>
      </c>
      <c r="B13974" s="330" t="s">
        <v>58327</v>
      </c>
      <c r="C13974" s="330" t="s">
        <v>29507</v>
      </c>
      <c r="D13974" s="330" t="s">
        <v>29502</v>
      </c>
      <c r="E13974" s="330" t="s">
        <v>4634</v>
      </c>
      <c r="F13974" s="331">
        <v>0.21</v>
      </c>
      <c r="G13974" s="332">
        <v>928</v>
      </c>
      <c r="H13974" s="333">
        <v>1123</v>
      </c>
    </row>
    <row r="13975" spans="1:8">
      <c r="A13975" s="317">
        <v>2610910849</v>
      </c>
      <c r="B13975" s="330" t="s">
        <v>58328</v>
      </c>
      <c r="C13975" s="330" t="s">
        <v>29508</v>
      </c>
      <c r="D13975" s="330" t="s">
        <v>29509</v>
      </c>
      <c r="E13975" s="330" t="s">
        <v>4634</v>
      </c>
      <c r="F13975" s="331">
        <v>0.21</v>
      </c>
      <c r="G13975" s="332">
        <v>622</v>
      </c>
      <c r="H13975" s="333">
        <v>753</v>
      </c>
    </row>
    <row r="13976" spans="1:8">
      <c r="A13976" s="317">
        <v>2610910938</v>
      </c>
      <c r="B13976" s="330" t="s">
        <v>58329</v>
      </c>
      <c r="C13976" s="330" t="s">
        <v>29510</v>
      </c>
      <c r="D13976" s="330" t="s">
        <v>29511</v>
      </c>
      <c r="E13976" s="330" t="s">
        <v>4634</v>
      </c>
      <c r="F13976" s="331">
        <v>0.21</v>
      </c>
      <c r="G13976" s="332">
        <v>27569</v>
      </c>
      <c r="H13976" s="333">
        <v>33359</v>
      </c>
    </row>
    <row r="13977" spans="1:8">
      <c r="A13977" s="317">
        <v>2610910947</v>
      </c>
      <c r="B13977" s="330" t="s">
        <v>58330</v>
      </c>
      <c r="C13977" s="330" t="s">
        <v>29512</v>
      </c>
      <c r="D13977" s="330" t="s">
        <v>29513</v>
      </c>
      <c r="E13977" s="330" t="s">
        <v>4634</v>
      </c>
      <c r="F13977" s="331">
        <v>0.21</v>
      </c>
      <c r="G13977" s="332">
        <v>11517</v>
      </c>
      <c r="H13977" s="333">
        <v>13936</v>
      </c>
    </row>
    <row r="13978" spans="1:8">
      <c r="A13978" s="317">
        <v>2610910965</v>
      </c>
      <c r="B13978" s="330" t="s">
        <v>58331</v>
      </c>
      <c r="C13978" s="330" t="s">
        <v>29514</v>
      </c>
      <c r="D13978" s="330" t="s">
        <v>29515</v>
      </c>
      <c r="E13978" s="330" t="s">
        <v>4634</v>
      </c>
      <c r="F13978" s="331">
        <v>0.21</v>
      </c>
      <c r="G13978" s="332">
        <v>2299</v>
      </c>
      <c r="H13978" s="333">
        <v>2782</v>
      </c>
    </row>
    <row r="13979" spans="1:8">
      <c r="A13979" s="317">
        <v>2610910968</v>
      </c>
      <c r="B13979" s="330" t="s">
        <v>58332</v>
      </c>
      <c r="C13979" s="330" t="s">
        <v>29516</v>
      </c>
      <c r="D13979" s="330" t="s">
        <v>29517</v>
      </c>
      <c r="E13979" s="330" t="s">
        <v>4634</v>
      </c>
      <c r="F13979" s="331">
        <v>0.21</v>
      </c>
      <c r="G13979" s="332">
        <v>2299</v>
      </c>
      <c r="H13979" s="333">
        <v>2782</v>
      </c>
    </row>
    <row r="13980" spans="1:8">
      <c r="A13980" s="317">
        <v>2610910986</v>
      </c>
      <c r="B13980" s="330" t="s">
        <v>58333</v>
      </c>
      <c r="C13980" s="330" t="s">
        <v>29518</v>
      </c>
      <c r="D13980" s="330" t="s">
        <v>29519</v>
      </c>
      <c r="E13980" s="330" t="s">
        <v>4634</v>
      </c>
      <c r="F13980" s="331">
        <v>0.21</v>
      </c>
      <c r="G13980" s="332">
        <v>678</v>
      </c>
      <c r="H13980" s="333">
        <v>821</v>
      </c>
    </row>
    <row r="13981" spans="1:8">
      <c r="A13981" s="317">
        <v>2610911048</v>
      </c>
      <c r="B13981" s="330" t="s">
        <v>58334</v>
      </c>
      <c r="C13981" s="330" t="s">
        <v>29520</v>
      </c>
      <c r="D13981" s="330" t="s">
        <v>29521</v>
      </c>
      <c r="E13981" s="330" t="s">
        <v>4634</v>
      </c>
      <c r="F13981" s="331">
        <v>0.21</v>
      </c>
      <c r="G13981" s="332">
        <v>584</v>
      </c>
      <c r="H13981" s="333">
        <v>707</v>
      </c>
    </row>
    <row r="13982" spans="1:8">
      <c r="A13982" s="317">
        <v>2610911450</v>
      </c>
      <c r="B13982" s="330" t="s">
        <v>58335</v>
      </c>
      <c r="C13982" s="330" t="s">
        <v>29522</v>
      </c>
      <c r="D13982" s="330" t="s">
        <v>27584</v>
      </c>
      <c r="E13982" s="330" t="s">
        <v>4819</v>
      </c>
      <c r="F13982" s="331">
        <v>0.21</v>
      </c>
      <c r="G13982" s="332">
        <v>410</v>
      </c>
      <c r="H13982" s="333">
        <v>497</v>
      </c>
    </row>
    <row r="13983" spans="1:8">
      <c r="A13983" s="317">
        <v>2610911451</v>
      </c>
      <c r="B13983" s="330" t="s">
        <v>58336</v>
      </c>
      <c r="C13983" s="330" t="s">
        <v>29523</v>
      </c>
      <c r="D13983" s="330" t="s">
        <v>28102</v>
      </c>
      <c r="E13983" s="330" t="s">
        <v>4819</v>
      </c>
      <c r="F13983" s="331">
        <v>0.21</v>
      </c>
      <c r="G13983" s="332">
        <v>410</v>
      </c>
      <c r="H13983" s="333">
        <v>497</v>
      </c>
    </row>
    <row r="13984" spans="1:8">
      <c r="A13984" s="317">
        <v>2610911452</v>
      </c>
      <c r="B13984" s="330" t="s">
        <v>58337</v>
      </c>
      <c r="C13984" s="330" t="s">
        <v>29524</v>
      </c>
      <c r="D13984" s="330" t="s">
        <v>11528</v>
      </c>
      <c r="E13984" s="330" t="s">
        <v>4634</v>
      </c>
      <c r="F13984" s="331">
        <v>0.21</v>
      </c>
      <c r="G13984" s="332">
        <v>678</v>
      </c>
      <c r="H13984" s="333">
        <v>821</v>
      </c>
    </row>
    <row r="13985" spans="1:8">
      <c r="A13985" s="317">
        <v>2610911455</v>
      </c>
      <c r="B13985" s="330" t="s">
        <v>58338</v>
      </c>
      <c r="C13985" s="330" t="s">
        <v>29525</v>
      </c>
      <c r="D13985" s="330" t="s">
        <v>29526</v>
      </c>
      <c r="E13985" s="330" t="s">
        <v>4634</v>
      </c>
      <c r="F13985" s="331">
        <v>0.21</v>
      </c>
      <c r="G13985" s="332">
        <v>274</v>
      </c>
      <c r="H13985" s="333">
        <v>332</v>
      </c>
    </row>
    <row r="13986" spans="1:8">
      <c r="A13986" s="317">
        <v>2610911456</v>
      </c>
      <c r="B13986" s="330" t="s">
        <v>58339</v>
      </c>
      <c r="C13986" s="330" t="s">
        <v>29527</v>
      </c>
      <c r="D13986" s="330" t="s">
        <v>29528</v>
      </c>
      <c r="E13986" s="330" t="s">
        <v>4634</v>
      </c>
      <c r="F13986" s="331">
        <v>0.21</v>
      </c>
      <c r="G13986" s="332">
        <v>678</v>
      </c>
      <c r="H13986" s="333">
        <v>821</v>
      </c>
    </row>
    <row r="13987" spans="1:8">
      <c r="A13987" s="317">
        <v>2610911458</v>
      </c>
      <c r="B13987" s="330" t="s">
        <v>58340</v>
      </c>
      <c r="C13987" s="330" t="s">
        <v>29529</v>
      </c>
      <c r="D13987" s="330" t="s">
        <v>29453</v>
      </c>
      <c r="E13987" s="330" t="s">
        <v>4634</v>
      </c>
      <c r="F13987" s="331">
        <v>0.21</v>
      </c>
      <c r="G13987" s="332">
        <v>274</v>
      </c>
      <c r="H13987" s="333">
        <v>332</v>
      </c>
    </row>
    <row r="13988" spans="1:8">
      <c r="A13988" s="317">
        <v>2610911459</v>
      </c>
      <c r="B13988" s="330" t="s">
        <v>58341</v>
      </c>
      <c r="C13988" s="330" t="s">
        <v>29530</v>
      </c>
      <c r="D13988" s="330" t="s">
        <v>11528</v>
      </c>
      <c r="E13988" s="330" t="s">
        <v>4634</v>
      </c>
      <c r="F13988" s="331">
        <v>0.21</v>
      </c>
      <c r="G13988" s="332">
        <v>274</v>
      </c>
      <c r="H13988" s="333">
        <v>332</v>
      </c>
    </row>
    <row r="13989" spans="1:8">
      <c r="A13989" s="317">
        <v>2610911460</v>
      </c>
      <c r="B13989" s="330" t="s">
        <v>58342</v>
      </c>
      <c r="C13989" s="330" t="s">
        <v>29531</v>
      </c>
      <c r="D13989" s="330" t="s">
        <v>28102</v>
      </c>
      <c r="E13989" s="330" t="s">
        <v>4634</v>
      </c>
      <c r="F13989" s="331">
        <v>0.21</v>
      </c>
      <c r="G13989" s="332">
        <v>455</v>
      </c>
      <c r="H13989" s="333">
        <v>551</v>
      </c>
    </row>
    <row r="13990" spans="1:8">
      <c r="A13990" s="317">
        <v>2610911461</v>
      </c>
      <c r="B13990" s="330" t="s">
        <v>58343</v>
      </c>
      <c r="C13990" s="330" t="s">
        <v>29532</v>
      </c>
      <c r="D13990" s="330" t="s">
        <v>29453</v>
      </c>
      <c r="E13990" s="330" t="s">
        <v>4634</v>
      </c>
      <c r="F13990" s="331">
        <v>0.21</v>
      </c>
      <c r="G13990" s="332">
        <v>648</v>
      </c>
      <c r="H13990" s="333">
        <v>785</v>
      </c>
    </row>
    <row r="13991" spans="1:8">
      <c r="A13991" s="317">
        <v>2610911464</v>
      </c>
      <c r="B13991" s="330" t="s">
        <v>58344</v>
      </c>
      <c r="C13991" s="330" t="s">
        <v>29533</v>
      </c>
      <c r="D13991" s="330" t="s">
        <v>29534</v>
      </c>
      <c r="E13991" s="330" t="s">
        <v>4634</v>
      </c>
      <c r="F13991" s="331">
        <v>0.21</v>
      </c>
      <c r="G13991" s="332">
        <v>702</v>
      </c>
      <c r="H13991" s="333">
        <v>850</v>
      </c>
    </row>
    <row r="13992" spans="1:8">
      <c r="A13992" s="317">
        <v>2610911465</v>
      </c>
      <c r="B13992" s="330" t="s">
        <v>58345</v>
      </c>
      <c r="C13992" s="330" t="s">
        <v>29535</v>
      </c>
      <c r="D13992" s="330" t="s">
        <v>29536</v>
      </c>
      <c r="E13992" s="330" t="s">
        <v>4634</v>
      </c>
      <c r="F13992" s="331">
        <v>0.21</v>
      </c>
      <c r="G13992" s="332">
        <v>584</v>
      </c>
      <c r="H13992" s="333">
        <v>707</v>
      </c>
    </row>
    <row r="13993" spans="1:8">
      <c r="A13993" s="317">
        <v>2610911466</v>
      </c>
      <c r="B13993" s="330" t="s">
        <v>58346</v>
      </c>
      <c r="C13993" s="330" t="s">
        <v>29537</v>
      </c>
      <c r="D13993" s="330" t="s">
        <v>29538</v>
      </c>
      <c r="E13993" s="330" t="s">
        <v>4634</v>
      </c>
      <c r="F13993" s="331">
        <v>0.21</v>
      </c>
      <c r="G13993" s="332">
        <v>274</v>
      </c>
      <c r="H13993" s="333">
        <v>332</v>
      </c>
    </row>
    <row r="13994" spans="1:8">
      <c r="A13994" s="317">
        <v>2610911467</v>
      </c>
      <c r="B13994" s="330" t="s">
        <v>58347</v>
      </c>
      <c r="C13994" s="330" t="s">
        <v>29539</v>
      </c>
      <c r="D13994" s="330" t="s">
        <v>29540</v>
      </c>
      <c r="E13994" s="330" t="s">
        <v>4634</v>
      </c>
      <c r="F13994" s="331">
        <v>0.21</v>
      </c>
      <c r="G13994" s="332">
        <v>1090</v>
      </c>
      <c r="H13994" s="333">
        <v>1319</v>
      </c>
    </row>
    <row r="13995" spans="1:8">
      <c r="A13995" s="317">
        <v>2610911469</v>
      </c>
      <c r="B13995" s="330" t="s">
        <v>58348</v>
      </c>
      <c r="C13995" s="330" t="s">
        <v>29541</v>
      </c>
      <c r="D13995" s="330" t="s">
        <v>11528</v>
      </c>
      <c r="E13995" s="330" t="s">
        <v>4634</v>
      </c>
      <c r="F13995" s="331">
        <v>0.21</v>
      </c>
      <c r="G13995" s="332">
        <v>274</v>
      </c>
      <c r="H13995" s="333">
        <v>332</v>
      </c>
    </row>
    <row r="13996" spans="1:8">
      <c r="A13996" s="317">
        <v>2610911470</v>
      </c>
      <c r="B13996" s="330" t="s">
        <v>58349</v>
      </c>
      <c r="C13996" s="330" t="s">
        <v>29542</v>
      </c>
      <c r="D13996" s="330" t="s">
        <v>29543</v>
      </c>
      <c r="E13996" s="330" t="s">
        <v>4634</v>
      </c>
      <c r="F13996" s="331">
        <v>0.21</v>
      </c>
      <c r="G13996" s="332">
        <v>1376</v>
      </c>
      <c r="H13996" s="333">
        <v>1665</v>
      </c>
    </row>
    <row r="13997" spans="1:8">
      <c r="A13997" s="317">
        <v>2610911474</v>
      </c>
      <c r="B13997" s="330" t="s">
        <v>58350</v>
      </c>
      <c r="C13997" s="330" t="s">
        <v>29544</v>
      </c>
      <c r="D13997" s="330" t="s">
        <v>29545</v>
      </c>
      <c r="E13997" s="330" t="s">
        <v>4819</v>
      </c>
      <c r="F13997" s="331">
        <v>0.21</v>
      </c>
      <c r="G13997" s="332">
        <v>19102</v>
      </c>
      <c r="H13997" s="333">
        <v>23114</v>
      </c>
    </row>
    <row r="13998" spans="1:8">
      <c r="A13998" s="317">
        <v>2610911477</v>
      </c>
      <c r="B13998" s="330" t="s">
        <v>58351</v>
      </c>
      <c r="C13998" s="330" t="s">
        <v>29546</v>
      </c>
      <c r="D13998" s="330" t="s">
        <v>29547</v>
      </c>
      <c r="E13998" s="330" t="s">
        <v>4634</v>
      </c>
      <c r="F13998" s="331">
        <v>0.21</v>
      </c>
      <c r="G13998" s="332">
        <v>1882</v>
      </c>
      <c r="H13998" s="333">
        <v>2278</v>
      </c>
    </row>
    <row r="13999" spans="1:8">
      <c r="A13999" s="317">
        <v>2610911479</v>
      </c>
      <c r="B13999" s="330" t="s">
        <v>58352</v>
      </c>
      <c r="C13999" s="330" t="s">
        <v>29548</v>
      </c>
      <c r="D13999" s="330" t="s">
        <v>29549</v>
      </c>
      <c r="E13999" s="330" t="s">
        <v>4634</v>
      </c>
      <c r="F13999" s="331">
        <v>0.21</v>
      </c>
      <c r="G13999" s="332">
        <v>3528</v>
      </c>
      <c r="H13999" s="333">
        <v>4269</v>
      </c>
    </row>
    <row r="14000" spans="1:8">
      <c r="A14000" s="317">
        <v>2610911484</v>
      </c>
      <c r="B14000" s="330" t="s">
        <v>58353</v>
      </c>
      <c r="C14000" s="330" t="s">
        <v>29550</v>
      </c>
      <c r="D14000" s="330" t="s">
        <v>29551</v>
      </c>
      <c r="E14000" s="330" t="s">
        <v>4634</v>
      </c>
      <c r="F14000" s="331">
        <v>0.21</v>
      </c>
      <c r="G14000" s="332">
        <v>2491</v>
      </c>
      <c r="H14000" s="333">
        <v>3015</v>
      </c>
    </row>
    <row r="14001" spans="1:8">
      <c r="A14001" s="317">
        <v>2610911485</v>
      </c>
      <c r="B14001" s="330" t="s">
        <v>58354</v>
      </c>
      <c r="C14001" s="330" t="s">
        <v>29552</v>
      </c>
      <c r="D14001" s="330" t="s">
        <v>29553</v>
      </c>
      <c r="E14001" s="330" t="s">
        <v>4634</v>
      </c>
      <c r="F14001" s="331">
        <v>0.21</v>
      </c>
      <c r="G14001" s="332">
        <v>3520</v>
      </c>
      <c r="H14001" s="333">
        <v>4260</v>
      </c>
    </row>
    <row r="14002" spans="1:8">
      <c r="A14002" s="317">
        <v>2610911486</v>
      </c>
      <c r="B14002" s="330" t="s">
        <v>58355</v>
      </c>
      <c r="C14002" s="330" t="s">
        <v>29554</v>
      </c>
      <c r="D14002" s="330" t="s">
        <v>29555</v>
      </c>
      <c r="E14002" s="330" t="s">
        <v>4634</v>
      </c>
      <c r="F14002" s="331">
        <v>0.21</v>
      </c>
      <c r="G14002" s="332">
        <v>791</v>
      </c>
      <c r="H14002" s="333">
        <v>958</v>
      </c>
    </row>
    <row r="14003" spans="1:8">
      <c r="A14003" s="317">
        <v>2610911487</v>
      </c>
      <c r="B14003" s="330" t="s">
        <v>58356</v>
      </c>
      <c r="C14003" s="330" t="s">
        <v>29556</v>
      </c>
      <c r="D14003" s="330" t="s">
        <v>11543</v>
      </c>
      <c r="E14003" s="330" t="s">
        <v>37248</v>
      </c>
      <c r="F14003" s="331">
        <v>0.21</v>
      </c>
      <c r="G14003" s="332">
        <v>7062</v>
      </c>
      <c r="H14003" s="333">
        <v>8546</v>
      </c>
    </row>
    <row r="14004" spans="1:8">
      <c r="A14004" s="317">
        <v>2610911488</v>
      </c>
      <c r="B14004" s="330" t="s">
        <v>58357</v>
      </c>
      <c r="C14004" s="330" t="s">
        <v>29557</v>
      </c>
      <c r="D14004" s="330" t="s">
        <v>29558</v>
      </c>
      <c r="E14004" s="330" t="s">
        <v>4819</v>
      </c>
      <c r="F14004" s="331">
        <v>0.21</v>
      </c>
      <c r="G14004" s="332">
        <v>6948</v>
      </c>
      <c r="H14004" s="333">
        <v>8408</v>
      </c>
    </row>
    <row r="14005" spans="1:8">
      <c r="A14005" s="317">
        <v>2610911551</v>
      </c>
      <c r="B14005" s="330" t="s">
        <v>58358</v>
      </c>
      <c r="C14005" s="330" t="s">
        <v>29559</v>
      </c>
      <c r="D14005" s="330" t="s">
        <v>29560</v>
      </c>
      <c r="E14005" s="330" t="s">
        <v>4634</v>
      </c>
      <c r="F14005" s="331">
        <v>0.21</v>
      </c>
      <c r="G14005" s="332">
        <v>85828</v>
      </c>
      <c r="H14005" s="333">
        <v>103852</v>
      </c>
    </row>
    <row r="14006" spans="1:8">
      <c r="A14006" s="317">
        <v>2610911552</v>
      </c>
      <c r="B14006" s="330" t="s">
        <v>58359</v>
      </c>
      <c r="C14006" s="330" t="s">
        <v>29561</v>
      </c>
      <c r="D14006" s="330" t="s">
        <v>29562</v>
      </c>
      <c r="E14006" s="330" t="s">
        <v>4634</v>
      </c>
      <c r="F14006" s="331">
        <v>0.21</v>
      </c>
      <c r="G14006" s="332">
        <v>56712</v>
      </c>
      <c r="H14006" s="333">
        <v>68622</v>
      </c>
    </row>
    <row r="14007" spans="1:8">
      <c r="A14007" s="317">
        <v>2610911554</v>
      </c>
      <c r="B14007" s="330" t="s">
        <v>58360</v>
      </c>
      <c r="C14007" s="330" t="s">
        <v>29563</v>
      </c>
      <c r="D14007" s="330" t="s">
        <v>29564</v>
      </c>
      <c r="E14007" s="330" t="s">
        <v>4634</v>
      </c>
      <c r="F14007" s="331">
        <v>0.21</v>
      </c>
      <c r="G14007" s="332">
        <v>17669</v>
      </c>
      <c r="H14007" s="333">
        <v>21380</v>
      </c>
    </row>
    <row r="14008" spans="1:8">
      <c r="A14008" s="317">
        <v>2610911556</v>
      </c>
      <c r="B14008" s="330" t="s">
        <v>58361</v>
      </c>
      <c r="C14008" s="330" t="s">
        <v>29565</v>
      </c>
      <c r="D14008" s="330" t="s">
        <v>29566</v>
      </c>
      <c r="E14008" s="330" t="s">
        <v>4634</v>
      </c>
      <c r="F14008" s="331">
        <v>0.21</v>
      </c>
      <c r="G14008" s="332">
        <v>16773</v>
      </c>
      <c r="H14008" s="333">
        <v>20296</v>
      </c>
    </row>
    <row r="14009" spans="1:8">
      <c r="A14009" s="317">
        <v>2610911559</v>
      </c>
      <c r="B14009" s="330" t="s">
        <v>58362</v>
      </c>
      <c r="C14009" s="330" t="s">
        <v>29567</v>
      </c>
      <c r="D14009" s="330" t="s">
        <v>29568</v>
      </c>
      <c r="E14009" s="330" t="s">
        <v>4634</v>
      </c>
      <c r="F14009" s="331">
        <v>0.21</v>
      </c>
      <c r="G14009" s="332">
        <v>1547</v>
      </c>
      <c r="H14009" s="333">
        <v>1872</v>
      </c>
    </row>
    <row r="14010" spans="1:8">
      <c r="A14010" s="317">
        <v>2610911560</v>
      </c>
      <c r="B14010" s="330" t="s">
        <v>58363</v>
      </c>
      <c r="C14010" s="330" t="s">
        <v>29569</v>
      </c>
      <c r="D14010" s="330" t="s">
        <v>12232</v>
      </c>
      <c r="E14010" s="330" t="s">
        <v>4634</v>
      </c>
      <c r="F14010" s="331">
        <v>0.21</v>
      </c>
      <c r="G14010" s="332">
        <v>2186</v>
      </c>
      <c r="H14010" s="333">
        <v>2646</v>
      </c>
    </row>
    <row r="14011" spans="1:8">
      <c r="A14011" s="317">
        <v>2610911561</v>
      </c>
      <c r="B14011" s="330" t="s">
        <v>58364</v>
      </c>
      <c r="C14011" s="330" t="s">
        <v>29570</v>
      </c>
      <c r="D14011" s="330" t="s">
        <v>29571</v>
      </c>
      <c r="E14011" s="330" t="s">
        <v>4634</v>
      </c>
      <c r="F14011" s="331">
        <v>0.21</v>
      </c>
      <c r="G14011" s="332">
        <v>1030</v>
      </c>
      <c r="H14011" s="333">
        <v>1247</v>
      </c>
    </row>
    <row r="14012" spans="1:8">
      <c r="A14012" s="317">
        <v>2610911562</v>
      </c>
      <c r="B14012" s="330" t="s">
        <v>58365</v>
      </c>
      <c r="C14012" s="330" t="s">
        <v>29572</v>
      </c>
      <c r="D14012" s="330" t="s">
        <v>29573</v>
      </c>
      <c r="E14012" s="330" t="s">
        <v>4634</v>
      </c>
      <c r="F14012" s="331">
        <v>0.21</v>
      </c>
      <c r="G14012" s="332">
        <v>678</v>
      </c>
      <c r="H14012" s="333">
        <v>821</v>
      </c>
    </row>
    <row r="14013" spans="1:8">
      <c r="A14013" s="317">
        <v>2610911563</v>
      </c>
      <c r="B14013" s="330" t="s">
        <v>58366</v>
      </c>
      <c r="C14013" s="330" t="s">
        <v>29574</v>
      </c>
      <c r="D14013" s="330" t="s">
        <v>29575</v>
      </c>
      <c r="E14013" s="330" t="s">
        <v>4634</v>
      </c>
      <c r="F14013" s="331">
        <v>0.21</v>
      </c>
      <c r="G14013" s="332">
        <v>372</v>
      </c>
      <c r="H14013" s="333">
        <v>451</v>
      </c>
    </row>
    <row r="14014" spans="1:8">
      <c r="A14014" s="317">
        <v>2610911564</v>
      </c>
      <c r="B14014" s="330" t="s">
        <v>58367</v>
      </c>
      <c r="C14014" s="330" t="s">
        <v>29576</v>
      </c>
      <c r="D14014" s="330" t="s">
        <v>29577</v>
      </c>
      <c r="E14014" s="330" t="s">
        <v>4634</v>
      </c>
      <c r="F14014" s="331">
        <v>0.21</v>
      </c>
      <c r="G14014" s="332">
        <v>274</v>
      </c>
      <c r="H14014" s="333">
        <v>332</v>
      </c>
    </row>
    <row r="14015" spans="1:8">
      <c r="A14015" s="317">
        <v>2610911566</v>
      </c>
      <c r="B14015" s="330" t="s">
        <v>58368</v>
      </c>
      <c r="C14015" s="330" t="s">
        <v>29578</v>
      </c>
      <c r="D14015" s="330" t="s">
        <v>29579</v>
      </c>
      <c r="E14015" s="330" t="s">
        <v>37248</v>
      </c>
      <c r="F14015" s="331">
        <v>0.21</v>
      </c>
      <c r="G14015" s="332">
        <v>872</v>
      </c>
      <c r="H14015" s="333">
        <v>1056</v>
      </c>
    </row>
    <row r="14016" spans="1:8">
      <c r="A14016" s="317">
        <v>2610911567</v>
      </c>
      <c r="B14016" s="330" t="s">
        <v>58369</v>
      </c>
      <c r="C14016" s="330" t="s">
        <v>29580</v>
      </c>
      <c r="D14016" s="330" t="s">
        <v>29581</v>
      </c>
      <c r="E14016" s="330" t="s">
        <v>4634</v>
      </c>
      <c r="F14016" s="331">
        <v>0.21</v>
      </c>
      <c r="G14016" s="332">
        <v>432</v>
      </c>
      <c r="H14016" s="333">
        <v>523</v>
      </c>
    </row>
    <row r="14017" spans="1:8">
      <c r="A14017" s="317">
        <v>2610911568</v>
      </c>
      <c r="B14017" s="330" t="s">
        <v>58370</v>
      </c>
      <c r="C14017" s="330" t="s">
        <v>29582</v>
      </c>
      <c r="D14017" s="330" t="s">
        <v>29583</v>
      </c>
      <c r="E14017" s="330" t="s">
        <v>4819</v>
      </c>
      <c r="F14017" s="331">
        <v>0.21</v>
      </c>
      <c r="G14017" s="332">
        <v>29613</v>
      </c>
      <c r="H14017" s="333">
        <v>35832</v>
      </c>
    </row>
    <row r="14018" spans="1:8">
      <c r="A14018" s="317">
        <v>2610911569</v>
      </c>
      <c r="B14018" s="330" t="s">
        <v>58371</v>
      </c>
      <c r="C14018" s="330" t="s">
        <v>29584</v>
      </c>
      <c r="D14018" s="330" t="s">
        <v>29585</v>
      </c>
      <c r="E14018" s="330" t="s">
        <v>37248</v>
      </c>
      <c r="F14018" s="331">
        <v>0.21</v>
      </c>
      <c r="G14018" s="332">
        <v>2823</v>
      </c>
      <c r="H14018" s="333">
        <v>3416</v>
      </c>
    </row>
    <row r="14019" spans="1:8">
      <c r="A14019" s="317">
        <v>2610911570</v>
      </c>
      <c r="B14019" s="330" t="s">
        <v>58372</v>
      </c>
      <c r="C14019" s="330" t="s">
        <v>29586</v>
      </c>
      <c r="D14019" s="330" t="s">
        <v>29587</v>
      </c>
      <c r="E14019" s="330" t="s">
        <v>4634</v>
      </c>
      <c r="F14019" s="331">
        <v>0.21</v>
      </c>
      <c r="G14019" s="332">
        <v>274</v>
      </c>
      <c r="H14019" s="333">
        <v>332</v>
      </c>
    </row>
    <row r="14020" spans="1:8">
      <c r="A14020" s="317">
        <v>2610911572</v>
      </c>
      <c r="B14020" s="330" t="s">
        <v>58373</v>
      </c>
      <c r="C14020" s="330" t="s">
        <v>29588</v>
      </c>
      <c r="D14020" s="330" t="s">
        <v>29589</v>
      </c>
      <c r="E14020" s="330" t="s">
        <v>4634</v>
      </c>
      <c r="F14020" s="331">
        <v>0.21</v>
      </c>
      <c r="G14020" s="332">
        <v>36879</v>
      </c>
      <c r="H14020" s="333">
        <v>44624</v>
      </c>
    </row>
    <row r="14021" spans="1:8">
      <c r="A14021" s="317">
        <v>2610911576</v>
      </c>
      <c r="B14021" s="330" t="s">
        <v>58374</v>
      </c>
      <c r="C14021" s="330" t="s">
        <v>29590</v>
      </c>
      <c r="D14021" s="330" t="s">
        <v>29591</v>
      </c>
      <c r="E14021" s="330" t="s">
        <v>4634</v>
      </c>
      <c r="F14021" s="331">
        <v>0.21</v>
      </c>
      <c r="G14021" s="332">
        <v>274</v>
      </c>
      <c r="H14021" s="333">
        <v>332</v>
      </c>
    </row>
    <row r="14022" spans="1:8">
      <c r="A14022" s="317">
        <v>2610911577</v>
      </c>
      <c r="B14022" s="330" t="s">
        <v>58375</v>
      </c>
      <c r="C14022" s="330" t="s">
        <v>29592</v>
      </c>
      <c r="D14022" s="330" t="s">
        <v>29593</v>
      </c>
      <c r="E14022" s="330" t="s">
        <v>4634</v>
      </c>
      <c r="F14022" s="331">
        <v>0.21</v>
      </c>
      <c r="G14022" s="332">
        <v>274</v>
      </c>
      <c r="H14022" s="333">
        <v>332</v>
      </c>
    </row>
    <row r="14023" spans="1:8">
      <c r="A14023" s="317">
        <v>2610911578</v>
      </c>
      <c r="B14023" s="330" t="s">
        <v>58376</v>
      </c>
      <c r="C14023" s="330" t="s">
        <v>29594</v>
      </c>
      <c r="D14023" s="330" t="s">
        <v>29595</v>
      </c>
      <c r="E14023" s="330" t="s">
        <v>4634</v>
      </c>
      <c r="F14023" s="331">
        <v>0.21</v>
      </c>
      <c r="G14023" s="332">
        <v>274</v>
      </c>
      <c r="H14023" s="333">
        <v>332</v>
      </c>
    </row>
    <row r="14024" spans="1:8">
      <c r="A14024" s="317">
        <v>2610911579</v>
      </c>
      <c r="B14024" s="330" t="s">
        <v>58377</v>
      </c>
      <c r="C14024" s="330" t="s">
        <v>29596</v>
      </c>
      <c r="D14024" s="330" t="s">
        <v>12242</v>
      </c>
      <c r="E14024" s="330" t="s">
        <v>4634</v>
      </c>
      <c r="F14024" s="331">
        <v>0.21</v>
      </c>
      <c r="G14024" s="332">
        <v>3874</v>
      </c>
      <c r="H14024" s="333">
        <v>4688</v>
      </c>
    </row>
    <row r="14025" spans="1:8">
      <c r="A14025" s="317">
        <v>2610911582</v>
      </c>
      <c r="B14025" s="330" t="s">
        <v>58378</v>
      </c>
      <c r="C14025" s="330" t="s">
        <v>29597</v>
      </c>
      <c r="D14025" s="330" t="s">
        <v>29598</v>
      </c>
      <c r="E14025" s="330" t="s">
        <v>4634</v>
      </c>
      <c r="F14025" s="331">
        <v>0.21</v>
      </c>
      <c r="G14025" s="332">
        <v>274</v>
      </c>
      <c r="H14025" s="333">
        <v>332</v>
      </c>
    </row>
    <row r="14026" spans="1:8">
      <c r="A14026" s="317">
        <v>2610911583</v>
      </c>
      <c r="B14026" s="330" t="s">
        <v>58379</v>
      </c>
      <c r="C14026" s="330" t="s">
        <v>29599</v>
      </c>
      <c r="D14026" s="330" t="s">
        <v>29595</v>
      </c>
      <c r="E14026" s="330" t="s">
        <v>4634</v>
      </c>
      <c r="F14026" s="331">
        <v>0.21</v>
      </c>
      <c r="G14026" s="332">
        <v>1798</v>
      </c>
      <c r="H14026" s="333">
        <v>2176</v>
      </c>
    </row>
    <row r="14027" spans="1:8">
      <c r="A14027" s="317">
        <v>2610911584</v>
      </c>
      <c r="B14027" s="330" t="s">
        <v>58380</v>
      </c>
      <c r="C14027" s="330" t="s">
        <v>29600</v>
      </c>
      <c r="D14027" s="330" t="s">
        <v>29601</v>
      </c>
      <c r="E14027" s="330" t="s">
        <v>4634</v>
      </c>
      <c r="F14027" s="331">
        <v>0.21</v>
      </c>
      <c r="G14027" s="332">
        <v>274</v>
      </c>
      <c r="H14027" s="333">
        <v>332</v>
      </c>
    </row>
    <row r="14028" spans="1:8">
      <c r="A14028" s="317">
        <v>2610911586</v>
      </c>
      <c r="B14028" s="330" t="s">
        <v>58381</v>
      </c>
      <c r="C14028" s="330" t="s">
        <v>29602</v>
      </c>
      <c r="D14028" s="330" t="s">
        <v>29603</v>
      </c>
      <c r="E14028" s="330" t="s">
        <v>4634</v>
      </c>
      <c r="F14028" s="331">
        <v>0.21</v>
      </c>
      <c r="G14028" s="332">
        <v>7684</v>
      </c>
      <c r="H14028" s="333">
        <v>9298</v>
      </c>
    </row>
    <row r="14029" spans="1:8">
      <c r="A14029" s="317">
        <v>2610911587</v>
      </c>
      <c r="B14029" s="330" t="s">
        <v>58382</v>
      </c>
      <c r="C14029" s="330" t="s">
        <v>29604</v>
      </c>
      <c r="D14029" s="330" t="s">
        <v>29605</v>
      </c>
      <c r="E14029" s="330" t="s">
        <v>4634</v>
      </c>
      <c r="F14029" s="331">
        <v>0.21</v>
      </c>
      <c r="G14029" s="332">
        <v>1547</v>
      </c>
      <c r="H14029" s="333">
        <v>1872</v>
      </c>
    </row>
    <row r="14030" spans="1:8">
      <c r="A14030" s="317">
        <v>2610911589</v>
      </c>
      <c r="B14030" s="330" t="s">
        <v>58383</v>
      </c>
      <c r="C14030" s="330" t="s">
        <v>29606</v>
      </c>
      <c r="D14030" s="330" t="s">
        <v>29607</v>
      </c>
      <c r="E14030" s="330" t="s">
        <v>4634</v>
      </c>
      <c r="F14030" s="331">
        <v>0.21</v>
      </c>
      <c r="G14030" s="332">
        <v>2059</v>
      </c>
      <c r="H14030" s="333">
        <v>2492</v>
      </c>
    </row>
    <row r="14031" spans="1:8">
      <c r="A14031" s="317">
        <v>2610911590</v>
      </c>
      <c r="B14031" s="330" t="s">
        <v>58384</v>
      </c>
      <c r="C14031" s="330" t="s">
        <v>29608</v>
      </c>
      <c r="D14031" s="330" t="s">
        <v>29609</v>
      </c>
      <c r="E14031" s="330" t="s">
        <v>4634</v>
      </c>
      <c r="F14031" s="331">
        <v>0.21</v>
      </c>
      <c r="G14031" s="332">
        <v>25343</v>
      </c>
      <c r="H14031" s="333">
        <v>30666</v>
      </c>
    </row>
    <row r="14032" spans="1:8">
      <c r="A14032" s="317">
        <v>2610911591</v>
      </c>
      <c r="B14032" s="330" t="s">
        <v>58385</v>
      </c>
      <c r="C14032" s="330" t="s">
        <v>29610</v>
      </c>
      <c r="D14032" s="330" t="s">
        <v>29609</v>
      </c>
      <c r="E14032" s="330" t="s">
        <v>4634</v>
      </c>
      <c r="F14032" s="331">
        <v>0.21</v>
      </c>
      <c r="G14032" s="332">
        <v>25343</v>
      </c>
      <c r="H14032" s="333">
        <v>30666</v>
      </c>
    </row>
    <row r="14033" spans="1:8">
      <c r="A14033" s="317">
        <v>2610911592</v>
      </c>
      <c r="B14033" s="330" t="s">
        <v>58386</v>
      </c>
      <c r="C14033" s="330" t="s">
        <v>29611</v>
      </c>
      <c r="D14033" s="330" t="s">
        <v>27444</v>
      </c>
      <c r="E14033" s="330" t="s">
        <v>4634</v>
      </c>
      <c r="F14033" s="331">
        <v>0.21</v>
      </c>
      <c r="G14033" s="332">
        <v>32611</v>
      </c>
      <c r="H14033" s="333">
        <v>39460</v>
      </c>
    </row>
    <row r="14034" spans="1:8">
      <c r="A14034" s="317">
        <v>2610911593</v>
      </c>
      <c r="B14034" s="330" t="s">
        <v>58387</v>
      </c>
      <c r="C14034" s="330" t="s">
        <v>29612</v>
      </c>
      <c r="D14034" s="330" t="s">
        <v>29613</v>
      </c>
      <c r="E14034" s="330" t="s">
        <v>4634</v>
      </c>
      <c r="F14034" s="331">
        <v>0.21</v>
      </c>
      <c r="G14034" s="332">
        <v>678</v>
      </c>
      <c r="H14034" s="333">
        <v>821</v>
      </c>
    </row>
    <row r="14035" spans="1:8">
      <c r="A14035" s="317">
        <v>2610911594</v>
      </c>
      <c r="B14035" s="330" t="s">
        <v>58388</v>
      </c>
      <c r="C14035" s="330" t="s">
        <v>29614</v>
      </c>
      <c r="D14035" s="330" t="s">
        <v>29615</v>
      </c>
      <c r="E14035" s="330" t="s">
        <v>4634</v>
      </c>
      <c r="F14035" s="331">
        <v>0.21</v>
      </c>
      <c r="G14035" s="332">
        <v>1882</v>
      </c>
      <c r="H14035" s="333">
        <v>2278</v>
      </c>
    </row>
    <row r="14036" spans="1:8">
      <c r="A14036" s="317">
        <v>2610911597</v>
      </c>
      <c r="B14036" s="330" t="s">
        <v>58389</v>
      </c>
      <c r="C14036" s="330" t="s">
        <v>29616</v>
      </c>
      <c r="D14036" s="330" t="s">
        <v>29617</v>
      </c>
      <c r="E14036" s="330" t="s">
        <v>4634</v>
      </c>
      <c r="F14036" s="331">
        <v>0.21</v>
      </c>
      <c r="G14036" s="332">
        <v>455</v>
      </c>
      <c r="H14036" s="333">
        <v>551</v>
      </c>
    </row>
    <row r="14037" spans="1:8">
      <c r="A14037" s="317">
        <v>2610911598</v>
      </c>
      <c r="B14037" s="330" t="s">
        <v>58390</v>
      </c>
      <c r="C14037" s="330" t="s">
        <v>29618</v>
      </c>
      <c r="D14037" s="330" t="s">
        <v>29619</v>
      </c>
      <c r="E14037" s="330" t="s">
        <v>4634</v>
      </c>
      <c r="F14037" s="331">
        <v>0.21</v>
      </c>
      <c r="G14037" s="332">
        <v>455</v>
      </c>
      <c r="H14037" s="333">
        <v>551</v>
      </c>
    </row>
    <row r="14038" spans="1:8">
      <c r="A14038" s="317">
        <v>2610911599</v>
      </c>
      <c r="B14038" s="330" t="s">
        <v>58391</v>
      </c>
      <c r="C14038" s="330" t="s">
        <v>29620</v>
      </c>
      <c r="D14038" s="330" t="s">
        <v>27460</v>
      </c>
      <c r="E14038" s="330" t="s">
        <v>4634</v>
      </c>
      <c r="F14038" s="331">
        <v>0.21</v>
      </c>
      <c r="G14038" s="332">
        <v>274</v>
      </c>
      <c r="H14038" s="333">
        <v>332</v>
      </c>
    </row>
    <row r="14039" spans="1:8">
      <c r="A14039" s="317">
        <v>2610911658</v>
      </c>
      <c r="B14039" s="330" t="s">
        <v>58392</v>
      </c>
      <c r="C14039" s="330" t="s">
        <v>29621</v>
      </c>
      <c r="D14039" s="330" t="s">
        <v>29622</v>
      </c>
      <c r="E14039" s="330" t="s">
        <v>4634</v>
      </c>
      <c r="F14039" s="331">
        <v>0.21</v>
      </c>
      <c r="G14039" s="332">
        <v>928</v>
      </c>
      <c r="H14039" s="333">
        <v>1123</v>
      </c>
    </row>
    <row r="14040" spans="1:8">
      <c r="A14040" s="317">
        <v>2610911666</v>
      </c>
      <c r="B14040" s="330" t="s">
        <v>58393</v>
      </c>
      <c r="C14040" s="330" t="s">
        <v>29623</v>
      </c>
      <c r="D14040" s="330" t="s">
        <v>29624</v>
      </c>
      <c r="E14040" s="330" t="s">
        <v>4634</v>
      </c>
      <c r="F14040" s="331">
        <v>0.21</v>
      </c>
      <c r="G14040" s="332">
        <v>711</v>
      </c>
      <c r="H14040" s="333">
        <v>861</v>
      </c>
    </row>
    <row r="14041" spans="1:8">
      <c r="A14041" s="317">
        <v>2610911667</v>
      </c>
      <c r="B14041" s="330" t="s">
        <v>58394</v>
      </c>
      <c r="C14041" s="330" t="s">
        <v>29625</v>
      </c>
      <c r="D14041" s="330" t="s">
        <v>29624</v>
      </c>
      <c r="E14041" s="330" t="s">
        <v>4634</v>
      </c>
      <c r="F14041" s="331">
        <v>0.21</v>
      </c>
      <c r="G14041" s="332">
        <v>711</v>
      </c>
      <c r="H14041" s="333">
        <v>861</v>
      </c>
    </row>
    <row r="14042" spans="1:8">
      <c r="A14042" s="317">
        <v>2610911668</v>
      </c>
      <c r="B14042" s="330" t="s">
        <v>58395</v>
      </c>
      <c r="C14042" s="330" t="s">
        <v>29626</v>
      </c>
      <c r="D14042" s="330" t="s">
        <v>29624</v>
      </c>
      <c r="E14042" s="330" t="s">
        <v>4634</v>
      </c>
      <c r="F14042" s="331">
        <v>0.21</v>
      </c>
      <c r="G14042" s="332">
        <v>928</v>
      </c>
      <c r="H14042" s="333">
        <v>1123</v>
      </c>
    </row>
    <row r="14043" spans="1:8">
      <c r="A14043" s="317">
        <v>2610911669</v>
      </c>
      <c r="B14043" s="330" t="s">
        <v>58396</v>
      </c>
      <c r="C14043" s="330" t="s">
        <v>29627</v>
      </c>
      <c r="D14043" s="330" t="s">
        <v>29624</v>
      </c>
      <c r="E14043" s="330" t="s">
        <v>4634</v>
      </c>
      <c r="F14043" s="331">
        <v>0.21</v>
      </c>
      <c r="G14043" s="332">
        <v>928</v>
      </c>
      <c r="H14043" s="333">
        <v>1123</v>
      </c>
    </row>
    <row r="14044" spans="1:8">
      <c r="A14044" s="317">
        <v>2610911671</v>
      </c>
      <c r="B14044" s="330" t="s">
        <v>58397</v>
      </c>
      <c r="C14044" s="330" t="s">
        <v>29628</v>
      </c>
      <c r="D14044" s="330" t="s">
        <v>29624</v>
      </c>
      <c r="E14044" s="330" t="s">
        <v>4634</v>
      </c>
      <c r="F14044" s="331">
        <v>0.21</v>
      </c>
      <c r="G14044" s="332">
        <v>711</v>
      </c>
      <c r="H14044" s="333">
        <v>861</v>
      </c>
    </row>
    <row r="14045" spans="1:8">
      <c r="A14045" s="317">
        <v>2610911693</v>
      </c>
      <c r="B14045" s="330" t="s">
        <v>58398</v>
      </c>
      <c r="C14045" s="330" t="s">
        <v>29629</v>
      </c>
      <c r="D14045" s="330" t="s">
        <v>29630</v>
      </c>
      <c r="E14045" s="330" t="s">
        <v>4634</v>
      </c>
      <c r="F14045" s="331">
        <v>0.21</v>
      </c>
      <c r="G14045" s="332">
        <v>18745</v>
      </c>
      <c r="H14045" s="333">
        <v>22682</v>
      </c>
    </row>
    <row r="14046" spans="1:8">
      <c r="A14046" s="317">
        <v>2610911695</v>
      </c>
      <c r="B14046" s="330" t="s">
        <v>58399</v>
      </c>
      <c r="C14046" s="330" t="s">
        <v>29631</v>
      </c>
      <c r="D14046" s="330" t="s">
        <v>29632</v>
      </c>
      <c r="E14046" s="330" t="s">
        <v>4634</v>
      </c>
      <c r="F14046" s="331">
        <v>0.21</v>
      </c>
      <c r="G14046" s="332">
        <v>61299</v>
      </c>
      <c r="H14046" s="333">
        <v>74172</v>
      </c>
    </row>
    <row r="14047" spans="1:8">
      <c r="A14047" s="317">
        <v>2610911850</v>
      </c>
      <c r="B14047" s="330" t="s">
        <v>58400</v>
      </c>
      <c r="C14047" s="330" t="s">
        <v>29633</v>
      </c>
      <c r="D14047" s="330" t="s">
        <v>29634</v>
      </c>
      <c r="E14047" s="330" t="s">
        <v>4634</v>
      </c>
      <c r="F14047" s="331">
        <v>0.21</v>
      </c>
      <c r="G14047" s="332">
        <v>274</v>
      </c>
      <c r="H14047" s="333">
        <v>332</v>
      </c>
    </row>
    <row r="14048" spans="1:8">
      <c r="A14048" s="317">
        <v>2610911852</v>
      </c>
      <c r="B14048" s="330" t="s">
        <v>58401</v>
      </c>
      <c r="C14048" s="330" t="s">
        <v>29635</v>
      </c>
      <c r="D14048" s="330" t="s">
        <v>29636</v>
      </c>
      <c r="E14048" s="330" t="s">
        <v>4634</v>
      </c>
      <c r="F14048" s="331">
        <v>0.21</v>
      </c>
      <c r="G14048" s="332">
        <v>1170</v>
      </c>
      <c r="H14048" s="333">
        <v>1416</v>
      </c>
    </row>
    <row r="14049" spans="1:8">
      <c r="A14049" s="317">
        <v>2610911853</v>
      </c>
      <c r="B14049" s="330" t="s">
        <v>58402</v>
      </c>
      <c r="C14049" s="330" t="s">
        <v>29637</v>
      </c>
      <c r="D14049" s="330" t="s">
        <v>12240</v>
      </c>
      <c r="E14049" s="330" t="s">
        <v>4634</v>
      </c>
      <c r="F14049" s="331">
        <v>0.21</v>
      </c>
      <c r="G14049" s="332">
        <v>1030</v>
      </c>
      <c r="H14049" s="333">
        <v>1247</v>
      </c>
    </row>
    <row r="14050" spans="1:8">
      <c r="A14050" s="317">
        <v>2610911858</v>
      </c>
      <c r="B14050" s="330" t="s">
        <v>58403</v>
      </c>
      <c r="C14050" s="330" t="s">
        <v>29638</v>
      </c>
      <c r="D14050" s="330" t="s">
        <v>29639</v>
      </c>
      <c r="E14050" s="330" t="s">
        <v>37248</v>
      </c>
      <c r="F14050" s="331">
        <v>0.21</v>
      </c>
      <c r="G14050" s="332">
        <v>18847</v>
      </c>
      <c r="H14050" s="333">
        <v>22805</v>
      </c>
    </row>
    <row r="14051" spans="1:8">
      <c r="A14051" s="317">
        <v>2610911859</v>
      </c>
      <c r="B14051" s="330" t="s">
        <v>58404</v>
      </c>
      <c r="C14051" s="330" t="s">
        <v>29640</v>
      </c>
      <c r="D14051" s="330" t="s">
        <v>29641</v>
      </c>
      <c r="E14051" s="330" t="s">
        <v>37248</v>
      </c>
      <c r="F14051" s="331">
        <v>0.21</v>
      </c>
      <c r="G14051" s="332">
        <v>2810</v>
      </c>
      <c r="H14051" s="333">
        <v>3401</v>
      </c>
    </row>
    <row r="14052" spans="1:8">
      <c r="A14052" s="317">
        <v>2610911860</v>
      </c>
      <c r="B14052" s="330" t="s">
        <v>58405</v>
      </c>
      <c r="C14052" s="330" t="s">
        <v>29642</v>
      </c>
      <c r="D14052" s="330" t="s">
        <v>29643</v>
      </c>
      <c r="E14052" s="330" t="s">
        <v>4819</v>
      </c>
      <c r="F14052" s="331">
        <v>0.21</v>
      </c>
      <c r="G14052" s="332">
        <v>22060</v>
      </c>
      <c r="H14052" s="333">
        <v>26693</v>
      </c>
    </row>
    <row r="14053" spans="1:8">
      <c r="A14053" s="317">
        <v>2610911861</v>
      </c>
      <c r="B14053" s="330" t="s">
        <v>58406</v>
      </c>
      <c r="C14053" s="330" t="s">
        <v>29644</v>
      </c>
      <c r="D14053" s="330" t="s">
        <v>29645</v>
      </c>
      <c r="E14053" s="330" t="s">
        <v>4634</v>
      </c>
      <c r="F14053" s="331">
        <v>0.21</v>
      </c>
      <c r="G14053" s="332">
        <v>972</v>
      </c>
      <c r="H14053" s="333">
        <v>1177</v>
      </c>
    </row>
    <row r="14054" spans="1:8">
      <c r="A14054" s="317">
        <v>2610911862</v>
      </c>
      <c r="B14054" s="330" t="s">
        <v>58407</v>
      </c>
      <c r="C14054" s="330" t="s">
        <v>29646</v>
      </c>
      <c r="D14054" s="330" t="s">
        <v>29647</v>
      </c>
      <c r="E14054" s="330" t="s">
        <v>4819</v>
      </c>
      <c r="F14054" s="331">
        <v>0.21</v>
      </c>
      <c r="G14054" s="332">
        <v>6448</v>
      </c>
      <c r="H14054" s="333">
        <v>7803</v>
      </c>
    </row>
    <row r="14055" spans="1:8">
      <c r="A14055" s="317">
        <v>2610911863</v>
      </c>
      <c r="B14055" s="330" t="s">
        <v>58408</v>
      </c>
      <c r="C14055" s="330" t="s">
        <v>29648</v>
      </c>
      <c r="D14055" s="330" t="s">
        <v>29649</v>
      </c>
      <c r="E14055" s="330" t="s">
        <v>4634</v>
      </c>
      <c r="F14055" s="331">
        <v>0.21</v>
      </c>
      <c r="G14055" s="332">
        <v>2059</v>
      </c>
      <c r="H14055" s="333">
        <v>2492</v>
      </c>
    </row>
    <row r="14056" spans="1:8">
      <c r="A14056" s="317">
        <v>2610911864</v>
      </c>
      <c r="B14056" s="330" t="s">
        <v>58409</v>
      </c>
      <c r="C14056" s="330" t="s">
        <v>29650</v>
      </c>
      <c r="D14056" s="330" t="s">
        <v>29617</v>
      </c>
      <c r="E14056" s="330" t="s">
        <v>4634</v>
      </c>
      <c r="F14056" s="331">
        <v>0.21</v>
      </c>
      <c r="G14056" s="332">
        <v>1199</v>
      </c>
      <c r="H14056" s="333">
        <v>1451</v>
      </c>
    </row>
    <row r="14057" spans="1:8">
      <c r="A14057" s="317">
        <v>2610911865</v>
      </c>
      <c r="B14057" s="330" t="s">
        <v>58410</v>
      </c>
      <c r="C14057" s="330" t="s">
        <v>29651</v>
      </c>
      <c r="D14057" s="330" t="s">
        <v>12232</v>
      </c>
      <c r="E14057" s="330" t="s">
        <v>4634</v>
      </c>
      <c r="F14057" s="331">
        <v>0.21</v>
      </c>
      <c r="G14057" s="332">
        <v>455</v>
      </c>
      <c r="H14057" s="333">
        <v>551</v>
      </c>
    </row>
    <row r="14058" spans="1:8">
      <c r="A14058" s="317">
        <v>2610911866</v>
      </c>
      <c r="B14058" s="330" t="s">
        <v>58411</v>
      </c>
      <c r="C14058" s="330" t="s">
        <v>29652</v>
      </c>
      <c r="D14058" s="330" t="s">
        <v>29653</v>
      </c>
      <c r="E14058" s="330" t="s">
        <v>4634</v>
      </c>
      <c r="F14058" s="331">
        <v>0.21</v>
      </c>
      <c r="G14058" s="332">
        <v>2881</v>
      </c>
      <c r="H14058" s="333">
        <v>3487</v>
      </c>
    </row>
    <row r="14059" spans="1:8">
      <c r="A14059" s="317">
        <v>2610911867</v>
      </c>
      <c r="B14059" s="330" t="s">
        <v>58412</v>
      </c>
      <c r="C14059" s="330" t="s">
        <v>29654</v>
      </c>
      <c r="D14059" s="330" t="s">
        <v>29655</v>
      </c>
      <c r="E14059" s="330" t="s">
        <v>4634</v>
      </c>
      <c r="F14059" s="331">
        <v>0.21</v>
      </c>
      <c r="G14059" s="332">
        <v>1664</v>
      </c>
      <c r="H14059" s="333">
        <v>2014</v>
      </c>
    </row>
    <row r="14060" spans="1:8">
      <c r="A14060" s="317">
        <v>2610911869</v>
      </c>
      <c r="B14060" s="330" t="s">
        <v>58413</v>
      </c>
      <c r="C14060" s="330" t="s">
        <v>29656</v>
      </c>
      <c r="D14060" s="330" t="s">
        <v>29657</v>
      </c>
      <c r="E14060" s="330" t="s">
        <v>4634</v>
      </c>
      <c r="F14060" s="331">
        <v>0.21</v>
      </c>
      <c r="G14060" s="332">
        <v>1030</v>
      </c>
      <c r="H14060" s="333">
        <v>1247</v>
      </c>
    </row>
    <row r="14061" spans="1:8">
      <c r="A14061" s="317">
        <v>2610911870</v>
      </c>
      <c r="B14061" s="330" t="s">
        <v>58414</v>
      </c>
      <c r="C14061" s="330" t="s">
        <v>29658</v>
      </c>
      <c r="D14061" s="330" t="s">
        <v>27460</v>
      </c>
      <c r="E14061" s="330" t="s">
        <v>4819</v>
      </c>
      <c r="F14061" s="331">
        <v>0.21</v>
      </c>
      <c r="G14061" s="332">
        <v>3607</v>
      </c>
      <c r="H14061" s="333">
        <v>4365</v>
      </c>
    </row>
    <row r="14062" spans="1:8">
      <c r="A14062" s="317">
        <v>2610911872</v>
      </c>
      <c r="B14062" s="330" t="s">
        <v>58415</v>
      </c>
      <c r="C14062" s="330" t="s">
        <v>29659</v>
      </c>
      <c r="D14062" s="330" t="s">
        <v>11649</v>
      </c>
      <c r="E14062" s="330" t="s">
        <v>4634</v>
      </c>
      <c r="F14062" s="331">
        <v>0.21</v>
      </c>
      <c r="G14062" s="332">
        <v>274</v>
      </c>
      <c r="H14062" s="333">
        <v>332</v>
      </c>
    </row>
    <row r="14063" spans="1:8">
      <c r="A14063" s="317">
        <v>2610911873</v>
      </c>
      <c r="B14063" s="330" t="s">
        <v>58416</v>
      </c>
      <c r="C14063" s="330" t="s">
        <v>29660</v>
      </c>
      <c r="D14063" s="330" t="s">
        <v>29661</v>
      </c>
      <c r="E14063" s="330" t="s">
        <v>4634</v>
      </c>
      <c r="F14063" s="331">
        <v>0.21</v>
      </c>
      <c r="G14063" s="332">
        <v>490</v>
      </c>
      <c r="H14063" s="333">
        <v>593</v>
      </c>
    </row>
    <row r="14064" spans="1:8">
      <c r="A14064" s="317">
        <v>2610911874</v>
      </c>
      <c r="B14064" s="330" t="s">
        <v>58417</v>
      </c>
      <c r="C14064" s="330" t="s">
        <v>29662</v>
      </c>
      <c r="D14064" s="330" t="s">
        <v>12248</v>
      </c>
      <c r="E14064" s="330" t="s">
        <v>4634</v>
      </c>
      <c r="F14064" s="331">
        <v>0.21</v>
      </c>
      <c r="G14064" s="332">
        <v>702</v>
      </c>
      <c r="H14064" s="333">
        <v>850</v>
      </c>
    </row>
    <row r="14065" spans="1:8">
      <c r="A14065" s="317">
        <v>2610911875</v>
      </c>
      <c r="B14065" s="330" t="s">
        <v>58418</v>
      </c>
      <c r="C14065" s="330" t="s">
        <v>29663</v>
      </c>
      <c r="D14065" s="330" t="s">
        <v>29664</v>
      </c>
      <c r="E14065" s="330" t="s">
        <v>4634</v>
      </c>
      <c r="F14065" s="331">
        <v>0.21</v>
      </c>
      <c r="G14065" s="332">
        <v>3673</v>
      </c>
      <c r="H14065" s="333">
        <v>4445</v>
      </c>
    </row>
    <row r="14066" spans="1:8">
      <c r="A14066" s="317">
        <v>2610911876</v>
      </c>
      <c r="B14066" s="330" t="s">
        <v>58419</v>
      </c>
      <c r="C14066" s="330" t="s">
        <v>29665</v>
      </c>
      <c r="D14066" s="330" t="s">
        <v>29666</v>
      </c>
      <c r="E14066" s="330" t="s">
        <v>4634</v>
      </c>
      <c r="F14066" s="331">
        <v>0.21</v>
      </c>
      <c r="G14066" s="332">
        <v>455</v>
      </c>
      <c r="H14066" s="333">
        <v>551</v>
      </c>
    </row>
    <row r="14067" spans="1:8">
      <c r="A14067" s="317">
        <v>2610911877</v>
      </c>
      <c r="B14067" s="330" t="s">
        <v>58420</v>
      </c>
      <c r="C14067" s="330" t="s">
        <v>29667</v>
      </c>
      <c r="D14067" s="330" t="s">
        <v>29666</v>
      </c>
      <c r="E14067" s="330" t="s">
        <v>4634</v>
      </c>
      <c r="F14067" s="331">
        <v>0.21</v>
      </c>
      <c r="G14067" s="332">
        <v>648</v>
      </c>
      <c r="H14067" s="333">
        <v>785</v>
      </c>
    </row>
    <row r="14068" spans="1:8">
      <c r="A14068" s="317">
        <v>2610911883</v>
      </c>
      <c r="B14068" s="330" t="s">
        <v>58421</v>
      </c>
      <c r="C14068" s="330" t="s">
        <v>29668</v>
      </c>
      <c r="D14068" s="330" t="s">
        <v>29669</v>
      </c>
      <c r="E14068" s="330" t="s">
        <v>4634</v>
      </c>
      <c r="F14068" s="331">
        <v>0.21</v>
      </c>
      <c r="G14068" s="332">
        <v>648</v>
      </c>
      <c r="H14068" s="333">
        <v>785</v>
      </c>
    </row>
    <row r="14069" spans="1:8">
      <c r="A14069" s="317">
        <v>2610911884</v>
      </c>
      <c r="B14069" s="330" t="s">
        <v>58422</v>
      </c>
      <c r="C14069" s="330" t="s">
        <v>29670</v>
      </c>
      <c r="D14069" s="330" t="s">
        <v>29671</v>
      </c>
      <c r="E14069" s="330" t="s">
        <v>4634</v>
      </c>
      <c r="F14069" s="331">
        <v>0.21</v>
      </c>
      <c r="G14069" s="332">
        <v>570</v>
      </c>
      <c r="H14069" s="333">
        <v>690</v>
      </c>
    </row>
    <row r="14070" spans="1:8">
      <c r="A14070" s="317">
        <v>2610911885</v>
      </c>
      <c r="B14070" s="330" t="s">
        <v>58423</v>
      </c>
      <c r="C14070" s="330" t="s">
        <v>29672</v>
      </c>
      <c r="D14070" s="330" t="s">
        <v>29619</v>
      </c>
      <c r="E14070" s="330" t="s">
        <v>4634</v>
      </c>
      <c r="F14070" s="331">
        <v>0.21</v>
      </c>
      <c r="G14070" s="332">
        <v>274</v>
      </c>
      <c r="H14070" s="333">
        <v>332</v>
      </c>
    </row>
    <row r="14071" spans="1:8">
      <c r="A14071" s="317">
        <v>2610911886</v>
      </c>
      <c r="B14071" s="330" t="s">
        <v>58424</v>
      </c>
      <c r="C14071" s="330" t="s">
        <v>29673</v>
      </c>
      <c r="D14071" s="330" t="s">
        <v>29674</v>
      </c>
      <c r="E14071" s="330" t="s">
        <v>4634</v>
      </c>
      <c r="F14071" s="331">
        <v>0.21</v>
      </c>
      <c r="G14071" s="332">
        <v>274</v>
      </c>
      <c r="H14071" s="333">
        <v>332</v>
      </c>
    </row>
    <row r="14072" spans="1:8">
      <c r="A14072" s="317">
        <v>2610911887</v>
      </c>
      <c r="B14072" s="330" t="s">
        <v>58425</v>
      </c>
      <c r="C14072" s="330" t="s">
        <v>29675</v>
      </c>
      <c r="D14072" s="330" t="s">
        <v>27901</v>
      </c>
      <c r="E14072" s="330" t="s">
        <v>4634</v>
      </c>
      <c r="F14072" s="331">
        <v>0.21</v>
      </c>
      <c r="G14072" s="332">
        <v>274</v>
      </c>
      <c r="H14072" s="333">
        <v>332</v>
      </c>
    </row>
    <row r="14073" spans="1:8">
      <c r="A14073" s="317">
        <v>2610911891</v>
      </c>
      <c r="B14073" s="330" t="s">
        <v>58426</v>
      </c>
      <c r="C14073" s="330" t="s">
        <v>29676</v>
      </c>
      <c r="D14073" s="330" t="s">
        <v>12348</v>
      </c>
      <c r="E14073" s="330" t="s">
        <v>4634</v>
      </c>
      <c r="F14073" s="331">
        <v>0.21</v>
      </c>
      <c r="G14073" s="332">
        <v>274</v>
      </c>
      <c r="H14073" s="333">
        <v>332</v>
      </c>
    </row>
    <row r="14074" spans="1:8">
      <c r="A14074" s="317">
        <v>2610911893</v>
      </c>
      <c r="B14074" s="330" t="s">
        <v>58427</v>
      </c>
      <c r="C14074" s="330" t="s">
        <v>29677</v>
      </c>
      <c r="D14074" s="330" t="s">
        <v>12232</v>
      </c>
      <c r="E14074" s="330" t="s">
        <v>4634</v>
      </c>
      <c r="F14074" s="331">
        <v>0.21</v>
      </c>
      <c r="G14074" s="332">
        <v>791</v>
      </c>
      <c r="H14074" s="333">
        <v>958</v>
      </c>
    </row>
    <row r="14075" spans="1:8">
      <c r="A14075" s="317">
        <v>2610911895</v>
      </c>
      <c r="B14075" s="330" t="s">
        <v>58428</v>
      </c>
      <c r="C14075" s="330" t="s">
        <v>29678</v>
      </c>
      <c r="D14075" s="330" t="s">
        <v>27460</v>
      </c>
      <c r="E14075" s="330" t="s">
        <v>4634</v>
      </c>
      <c r="F14075" s="331">
        <v>0.21</v>
      </c>
      <c r="G14075" s="332">
        <v>274</v>
      </c>
      <c r="H14075" s="333">
        <v>332</v>
      </c>
    </row>
    <row r="14076" spans="1:8">
      <c r="A14076" s="317">
        <v>2610911896</v>
      </c>
      <c r="B14076" s="330" t="s">
        <v>58429</v>
      </c>
      <c r="C14076" s="330" t="s">
        <v>29679</v>
      </c>
      <c r="D14076" s="330" t="s">
        <v>12179</v>
      </c>
      <c r="E14076" s="330" t="s">
        <v>4634</v>
      </c>
      <c r="F14076" s="331">
        <v>0.21</v>
      </c>
      <c r="G14076" s="332">
        <v>254</v>
      </c>
      <c r="H14076" s="333">
        <v>308</v>
      </c>
    </row>
    <row r="14077" spans="1:8">
      <c r="A14077" s="317">
        <v>2610911900</v>
      </c>
      <c r="B14077" s="330" t="s">
        <v>58430</v>
      </c>
      <c r="C14077" s="330" t="s">
        <v>29680</v>
      </c>
      <c r="D14077" s="330" t="s">
        <v>12232</v>
      </c>
      <c r="E14077" s="330" t="s">
        <v>4634</v>
      </c>
      <c r="F14077" s="331">
        <v>0.21</v>
      </c>
      <c r="G14077" s="332">
        <v>274</v>
      </c>
      <c r="H14077" s="333">
        <v>332</v>
      </c>
    </row>
    <row r="14078" spans="1:8">
      <c r="A14078" s="317">
        <v>2610911901</v>
      </c>
      <c r="B14078" s="330" t="s">
        <v>58431</v>
      </c>
      <c r="C14078" s="330" t="s">
        <v>29681</v>
      </c>
      <c r="D14078" s="330" t="s">
        <v>29682</v>
      </c>
      <c r="E14078" s="330" t="s">
        <v>37248</v>
      </c>
      <c r="F14078" s="331">
        <v>0.21</v>
      </c>
      <c r="G14078" s="332">
        <v>348</v>
      </c>
      <c r="H14078" s="333">
        <v>422</v>
      </c>
    </row>
    <row r="14079" spans="1:8">
      <c r="A14079" s="317">
        <v>2610911902</v>
      </c>
      <c r="B14079" s="330" t="s">
        <v>58432</v>
      </c>
      <c r="C14079" s="330" t="s">
        <v>29683</v>
      </c>
      <c r="D14079" s="330" t="s">
        <v>29684</v>
      </c>
      <c r="E14079" s="330" t="s">
        <v>4634</v>
      </c>
      <c r="F14079" s="331">
        <v>0.21</v>
      </c>
      <c r="G14079" s="332">
        <v>274</v>
      </c>
      <c r="H14079" s="333">
        <v>332</v>
      </c>
    </row>
    <row r="14080" spans="1:8">
      <c r="A14080" s="317">
        <v>2610911903</v>
      </c>
      <c r="B14080" s="330" t="s">
        <v>58433</v>
      </c>
      <c r="C14080" s="330" t="s">
        <v>29685</v>
      </c>
      <c r="D14080" s="330" t="s">
        <v>12232</v>
      </c>
      <c r="E14080" s="330" t="s">
        <v>4634</v>
      </c>
      <c r="F14080" s="331">
        <v>0.21</v>
      </c>
      <c r="G14080" s="332">
        <v>274</v>
      </c>
      <c r="H14080" s="333">
        <v>332</v>
      </c>
    </row>
    <row r="14081" spans="1:8">
      <c r="A14081" s="317">
        <v>2610911904</v>
      </c>
      <c r="B14081" s="330" t="s">
        <v>58434</v>
      </c>
      <c r="C14081" s="330" t="s">
        <v>29686</v>
      </c>
      <c r="D14081" s="330" t="s">
        <v>12232</v>
      </c>
      <c r="E14081" s="330" t="s">
        <v>4634</v>
      </c>
      <c r="F14081" s="331">
        <v>0.21</v>
      </c>
      <c r="G14081" s="332">
        <v>274</v>
      </c>
      <c r="H14081" s="333">
        <v>332</v>
      </c>
    </row>
    <row r="14082" spans="1:8">
      <c r="A14082" s="317">
        <v>2610911905</v>
      </c>
      <c r="B14082" s="330" t="s">
        <v>58435</v>
      </c>
      <c r="C14082" s="330" t="s">
        <v>29687</v>
      </c>
      <c r="D14082" s="330" t="s">
        <v>11657</v>
      </c>
      <c r="E14082" s="330" t="s">
        <v>4634</v>
      </c>
      <c r="F14082" s="331">
        <v>0.21</v>
      </c>
      <c r="G14082" s="332">
        <v>274</v>
      </c>
      <c r="H14082" s="333">
        <v>332</v>
      </c>
    </row>
    <row r="14083" spans="1:8">
      <c r="A14083" s="317">
        <v>2610911906</v>
      </c>
      <c r="B14083" s="330" t="s">
        <v>58436</v>
      </c>
      <c r="C14083" s="330" t="s">
        <v>29688</v>
      </c>
      <c r="D14083" s="330" t="s">
        <v>29634</v>
      </c>
      <c r="E14083" s="330" t="s">
        <v>4634</v>
      </c>
      <c r="F14083" s="331">
        <v>0.21</v>
      </c>
      <c r="G14083" s="332">
        <v>432</v>
      </c>
      <c r="H14083" s="333">
        <v>523</v>
      </c>
    </row>
    <row r="14084" spans="1:8">
      <c r="A14084" s="317">
        <v>2610911907</v>
      </c>
      <c r="B14084" s="330" t="s">
        <v>58437</v>
      </c>
      <c r="C14084" s="330" t="s">
        <v>29689</v>
      </c>
      <c r="D14084" s="330" t="s">
        <v>29690</v>
      </c>
      <c r="E14084" s="330" t="s">
        <v>4634</v>
      </c>
      <c r="F14084" s="331">
        <v>0.21</v>
      </c>
      <c r="G14084" s="332">
        <v>274</v>
      </c>
      <c r="H14084" s="333">
        <v>332</v>
      </c>
    </row>
    <row r="14085" spans="1:8">
      <c r="A14085" s="317">
        <v>2610911908</v>
      </c>
      <c r="B14085" s="330" t="s">
        <v>58438</v>
      </c>
      <c r="C14085" s="330" t="s">
        <v>29691</v>
      </c>
      <c r="D14085" s="330" t="s">
        <v>29692</v>
      </c>
      <c r="E14085" s="330" t="s">
        <v>4634</v>
      </c>
      <c r="F14085" s="331">
        <v>0.21</v>
      </c>
      <c r="G14085" s="332">
        <v>455</v>
      </c>
      <c r="H14085" s="333">
        <v>551</v>
      </c>
    </row>
    <row r="14086" spans="1:8">
      <c r="A14086" s="317">
        <v>2610911910</v>
      </c>
      <c r="B14086" s="330" t="s">
        <v>58439</v>
      </c>
      <c r="C14086" s="330" t="s">
        <v>29693</v>
      </c>
      <c r="D14086" s="330" t="s">
        <v>29694</v>
      </c>
      <c r="E14086" s="330" t="s">
        <v>4634</v>
      </c>
      <c r="F14086" s="331">
        <v>0.21</v>
      </c>
      <c r="G14086" s="332">
        <v>2063</v>
      </c>
      <c r="H14086" s="333">
        <v>2497</v>
      </c>
    </row>
    <row r="14087" spans="1:8">
      <c r="A14087" s="317">
        <v>2610911911</v>
      </c>
      <c r="B14087" s="330" t="s">
        <v>58440</v>
      </c>
      <c r="C14087" s="330" t="s">
        <v>29695</v>
      </c>
      <c r="D14087" s="330" t="s">
        <v>29573</v>
      </c>
      <c r="E14087" s="330" t="s">
        <v>4634</v>
      </c>
      <c r="F14087" s="331">
        <v>0.21</v>
      </c>
      <c r="G14087" s="332">
        <v>274</v>
      </c>
      <c r="H14087" s="333">
        <v>332</v>
      </c>
    </row>
    <row r="14088" spans="1:8">
      <c r="A14088" s="317">
        <v>2610911912</v>
      </c>
      <c r="B14088" s="330" t="s">
        <v>58441</v>
      </c>
      <c r="C14088" s="330" t="s">
        <v>29696</v>
      </c>
      <c r="D14088" s="330" t="s">
        <v>29603</v>
      </c>
      <c r="E14088" s="330" t="s">
        <v>4634</v>
      </c>
      <c r="F14088" s="331">
        <v>0.21</v>
      </c>
      <c r="G14088" s="332">
        <v>372</v>
      </c>
      <c r="H14088" s="333">
        <v>451</v>
      </c>
    </row>
    <row r="14089" spans="1:8">
      <c r="A14089" s="317">
        <v>2610911913</v>
      </c>
      <c r="B14089" s="330" t="s">
        <v>58442</v>
      </c>
      <c r="C14089" s="330" t="s">
        <v>29697</v>
      </c>
      <c r="D14089" s="330" t="s">
        <v>29698</v>
      </c>
      <c r="E14089" s="330" t="s">
        <v>4634</v>
      </c>
      <c r="F14089" s="331">
        <v>0.21</v>
      </c>
      <c r="G14089" s="332">
        <v>432</v>
      </c>
      <c r="H14089" s="333">
        <v>523</v>
      </c>
    </row>
    <row r="14090" spans="1:8">
      <c r="A14090" s="317">
        <v>2610911914</v>
      </c>
      <c r="B14090" s="330" t="s">
        <v>58443</v>
      </c>
      <c r="C14090" s="330" t="s">
        <v>29699</v>
      </c>
      <c r="D14090" s="330" t="s">
        <v>29692</v>
      </c>
      <c r="E14090" s="330" t="s">
        <v>4634</v>
      </c>
      <c r="F14090" s="331">
        <v>0.21</v>
      </c>
      <c r="G14090" s="332">
        <v>648</v>
      </c>
      <c r="H14090" s="333">
        <v>785</v>
      </c>
    </row>
    <row r="14091" spans="1:8">
      <c r="A14091" s="317">
        <v>2610911917</v>
      </c>
      <c r="B14091" s="330" t="s">
        <v>58444</v>
      </c>
      <c r="C14091" s="330" t="s">
        <v>29700</v>
      </c>
      <c r="D14091" s="330" t="s">
        <v>29591</v>
      </c>
      <c r="E14091" s="330" t="s">
        <v>4634</v>
      </c>
      <c r="F14091" s="331">
        <v>0.21</v>
      </c>
      <c r="G14091" s="332">
        <v>678</v>
      </c>
      <c r="H14091" s="333">
        <v>821</v>
      </c>
    </row>
    <row r="14092" spans="1:8">
      <c r="A14092" s="317">
        <v>2610911918</v>
      </c>
      <c r="B14092" s="330" t="s">
        <v>58445</v>
      </c>
      <c r="C14092" s="330" t="s">
        <v>29701</v>
      </c>
      <c r="D14092" s="330" t="s">
        <v>12232</v>
      </c>
      <c r="E14092" s="330" t="s">
        <v>4634</v>
      </c>
      <c r="F14092" s="331">
        <v>0.21</v>
      </c>
      <c r="G14092" s="332">
        <v>678</v>
      </c>
      <c r="H14092" s="333">
        <v>821</v>
      </c>
    </row>
    <row r="14093" spans="1:8">
      <c r="A14093" s="317">
        <v>2610911919</v>
      </c>
      <c r="B14093" s="330" t="s">
        <v>58446</v>
      </c>
      <c r="C14093" s="330" t="s">
        <v>29702</v>
      </c>
      <c r="D14093" s="330" t="s">
        <v>29703</v>
      </c>
      <c r="E14093" s="330" t="s">
        <v>4634</v>
      </c>
      <c r="F14093" s="331">
        <v>0.21</v>
      </c>
      <c r="G14093" s="332">
        <v>274</v>
      </c>
      <c r="H14093" s="333">
        <v>332</v>
      </c>
    </row>
    <row r="14094" spans="1:8">
      <c r="A14094" s="317">
        <v>2610911920</v>
      </c>
      <c r="B14094" s="330" t="s">
        <v>58447</v>
      </c>
      <c r="C14094" s="330" t="s">
        <v>29704</v>
      </c>
      <c r="D14094" s="330" t="s">
        <v>29705</v>
      </c>
      <c r="E14094" s="330" t="s">
        <v>37248</v>
      </c>
      <c r="F14094" s="331">
        <v>0.21</v>
      </c>
      <c r="G14094" s="332">
        <v>339</v>
      </c>
      <c r="H14094" s="333">
        <v>411</v>
      </c>
    </row>
    <row r="14095" spans="1:8">
      <c r="A14095" s="317">
        <v>2610911921</v>
      </c>
      <c r="B14095" s="330" t="s">
        <v>58448</v>
      </c>
      <c r="C14095" s="330" t="s">
        <v>29706</v>
      </c>
      <c r="D14095" s="330" t="s">
        <v>29707</v>
      </c>
      <c r="E14095" s="330" t="s">
        <v>4634</v>
      </c>
      <c r="F14095" s="331">
        <v>0.21</v>
      </c>
      <c r="G14095" s="332">
        <v>274</v>
      </c>
      <c r="H14095" s="333">
        <v>332</v>
      </c>
    </row>
    <row r="14096" spans="1:8">
      <c r="A14096" s="317">
        <v>2610911922</v>
      </c>
      <c r="B14096" s="330" t="s">
        <v>58449</v>
      </c>
      <c r="C14096" s="330" t="s">
        <v>29708</v>
      </c>
      <c r="D14096" s="330" t="s">
        <v>29709</v>
      </c>
      <c r="E14096" s="330" t="s">
        <v>4634</v>
      </c>
      <c r="F14096" s="331">
        <v>0.21</v>
      </c>
      <c r="G14096" s="332">
        <v>16694</v>
      </c>
      <c r="H14096" s="333">
        <v>20200</v>
      </c>
    </row>
    <row r="14097" spans="1:8">
      <c r="A14097" s="317">
        <v>2610911923</v>
      </c>
      <c r="B14097" s="330" t="s">
        <v>58450</v>
      </c>
      <c r="C14097" s="330" t="s">
        <v>29710</v>
      </c>
      <c r="D14097" s="330" t="s">
        <v>12232</v>
      </c>
      <c r="E14097" s="330" t="s">
        <v>4634</v>
      </c>
      <c r="F14097" s="331">
        <v>0.21</v>
      </c>
      <c r="G14097" s="332">
        <v>648</v>
      </c>
      <c r="H14097" s="333">
        <v>785</v>
      </c>
    </row>
    <row r="14098" spans="1:8">
      <c r="A14098" s="317">
        <v>2610911924</v>
      </c>
      <c r="B14098" s="330" t="s">
        <v>58451</v>
      </c>
      <c r="C14098" s="330" t="s">
        <v>29711</v>
      </c>
      <c r="D14098" s="330" t="s">
        <v>12348</v>
      </c>
      <c r="E14098" s="330" t="s">
        <v>4819</v>
      </c>
      <c r="F14098" s="331">
        <v>0.21</v>
      </c>
      <c r="G14098" s="332">
        <v>4932</v>
      </c>
      <c r="H14098" s="333">
        <v>5968</v>
      </c>
    </row>
    <row r="14099" spans="1:8">
      <c r="A14099" s="317">
        <v>2610911925</v>
      </c>
      <c r="B14099" s="330" t="s">
        <v>58452</v>
      </c>
      <c r="C14099" s="330" t="s">
        <v>29712</v>
      </c>
      <c r="D14099" s="330" t="s">
        <v>29713</v>
      </c>
      <c r="E14099" s="330" t="s">
        <v>4634</v>
      </c>
      <c r="F14099" s="331">
        <v>0.21</v>
      </c>
      <c r="G14099" s="332">
        <v>1577</v>
      </c>
      <c r="H14099" s="333">
        <v>1909</v>
      </c>
    </row>
    <row r="14100" spans="1:8">
      <c r="A14100" s="317">
        <v>2610911926</v>
      </c>
      <c r="B14100" s="330" t="s">
        <v>58453</v>
      </c>
      <c r="C14100" s="330" t="s">
        <v>29714</v>
      </c>
      <c r="D14100" s="330" t="s">
        <v>29715</v>
      </c>
      <c r="E14100" s="330" t="s">
        <v>4634</v>
      </c>
      <c r="F14100" s="331">
        <v>0.21</v>
      </c>
      <c r="G14100" s="332">
        <v>426</v>
      </c>
      <c r="H14100" s="333">
        <v>516</v>
      </c>
    </row>
    <row r="14101" spans="1:8">
      <c r="A14101" s="317">
        <v>2610911927</v>
      </c>
      <c r="B14101" s="330" t="s">
        <v>58454</v>
      </c>
      <c r="C14101" s="330" t="s">
        <v>29716</v>
      </c>
      <c r="D14101" s="330" t="s">
        <v>29717</v>
      </c>
      <c r="E14101" s="330" t="s">
        <v>37248</v>
      </c>
      <c r="F14101" s="331">
        <v>0.21</v>
      </c>
      <c r="G14101" s="332">
        <v>33766</v>
      </c>
      <c r="H14101" s="333">
        <v>40857</v>
      </c>
    </row>
    <row r="14102" spans="1:8">
      <c r="A14102" s="317">
        <v>2610911928</v>
      </c>
      <c r="B14102" s="330" t="s">
        <v>58455</v>
      </c>
      <c r="C14102" s="330" t="s">
        <v>29718</v>
      </c>
      <c r="D14102" s="330" t="s">
        <v>29719</v>
      </c>
      <c r="E14102" s="330" t="s">
        <v>4634</v>
      </c>
      <c r="F14102" s="331">
        <v>0.21</v>
      </c>
      <c r="G14102" s="332">
        <v>2707</v>
      </c>
      <c r="H14102" s="333">
        <v>3276</v>
      </c>
    </row>
    <row r="14103" spans="1:8">
      <c r="A14103" s="317">
        <v>2610911929</v>
      </c>
      <c r="B14103" s="330" t="s">
        <v>58456</v>
      </c>
      <c r="C14103" s="330" t="s">
        <v>29720</v>
      </c>
      <c r="D14103" s="330" t="s">
        <v>29721</v>
      </c>
      <c r="E14103" s="330" t="s">
        <v>37248</v>
      </c>
      <c r="F14103" s="331">
        <v>0.21</v>
      </c>
      <c r="G14103" s="332">
        <v>339</v>
      </c>
      <c r="H14103" s="333">
        <v>411</v>
      </c>
    </row>
    <row r="14104" spans="1:8">
      <c r="A14104" s="317">
        <v>2610911930</v>
      </c>
      <c r="B14104" s="330" t="s">
        <v>58457</v>
      </c>
      <c r="C14104" s="330" t="s">
        <v>29722</v>
      </c>
      <c r="D14104" s="330" t="s">
        <v>29723</v>
      </c>
      <c r="E14104" s="330" t="s">
        <v>4634</v>
      </c>
      <c r="F14104" s="331">
        <v>0.21</v>
      </c>
      <c r="G14104" s="332">
        <v>348</v>
      </c>
      <c r="H14104" s="333">
        <v>422</v>
      </c>
    </row>
    <row r="14105" spans="1:8">
      <c r="A14105" s="317">
        <v>2610911931</v>
      </c>
      <c r="B14105" s="330" t="s">
        <v>58458</v>
      </c>
      <c r="C14105" s="330" t="s">
        <v>29724</v>
      </c>
      <c r="D14105" s="330" t="s">
        <v>29725</v>
      </c>
      <c r="E14105" s="330" t="s">
        <v>4634</v>
      </c>
      <c r="F14105" s="331">
        <v>0.21</v>
      </c>
      <c r="G14105" s="332">
        <v>928</v>
      </c>
      <c r="H14105" s="333">
        <v>1123</v>
      </c>
    </row>
    <row r="14106" spans="1:8">
      <c r="A14106" s="317">
        <v>2610911932</v>
      </c>
      <c r="B14106" s="330" t="s">
        <v>58459</v>
      </c>
      <c r="C14106" s="330" t="s">
        <v>29726</v>
      </c>
      <c r="D14106" s="330" t="s">
        <v>29727</v>
      </c>
      <c r="E14106" s="330" t="s">
        <v>4634</v>
      </c>
      <c r="F14106" s="331">
        <v>0.21</v>
      </c>
      <c r="G14106" s="332">
        <v>791</v>
      </c>
      <c r="H14106" s="333">
        <v>958</v>
      </c>
    </row>
    <row r="14107" spans="1:8">
      <c r="A14107" s="317">
        <v>2610911933</v>
      </c>
      <c r="B14107" s="330" t="s">
        <v>58460</v>
      </c>
      <c r="C14107" s="330" t="s">
        <v>29728</v>
      </c>
      <c r="D14107" s="330" t="s">
        <v>29729</v>
      </c>
      <c r="E14107" s="330" t="s">
        <v>37248</v>
      </c>
      <c r="F14107" s="331">
        <v>0.21</v>
      </c>
      <c r="G14107" s="332">
        <v>339</v>
      </c>
      <c r="H14107" s="333">
        <v>411</v>
      </c>
    </row>
    <row r="14108" spans="1:8">
      <c r="A14108" s="317">
        <v>2610911934</v>
      </c>
      <c r="B14108" s="330" t="s">
        <v>58461</v>
      </c>
      <c r="C14108" s="330" t="s">
        <v>29730</v>
      </c>
      <c r="D14108" s="330" t="s">
        <v>29731</v>
      </c>
      <c r="E14108" s="330" t="s">
        <v>4634</v>
      </c>
      <c r="F14108" s="331">
        <v>0.21</v>
      </c>
      <c r="G14108" s="332">
        <v>5186</v>
      </c>
      <c r="H14108" s="333">
        <v>6276</v>
      </c>
    </row>
    <row r="14109" spans="1:8">
      <c r="A14109" s="317">
        <v>2610911937</v>
      </c>
      <c r="B14109" s="330" t="s">
        <v>58462</v>
      </c>
      <c r="C14109" s="330" t="s">
        <v>29732</v>
      </c>
      <c r="D14109" s="330" t="s">
        <v>29733</v>
      </c>
      <c r="E14109" s="330" t="s">
        <v>4634</v>
      </c>
      <c r="F14109" s="331">
        <v>0.21</v>
      </c>
      <c r="G14109" s="332">
        <v>928</v>
      </c>
      <c r="H14109" s="333">
        <v>1123</v>
      </c>
    </row>
    <row r="14110" spans="1:8">
      <c r="A14110" s="317">
        <v>2610911938</v>
      </c>
      <c r="B14110" s="330" t="s">
        <v>58463</v>
      </c>
      <c r="C14110" s="330" t="s">
        <v>29734</v>
      </c>
      <c r="D14110" s="330" t="s">
        <v>29735</v>
      </c>
      <c r="E14110" s="330" t="s">
        <v>4634</v>
      </c>
      <c r="F14110" s="331">
        <v>0.21</v>
      </c>
      <c r="G14110" s="332">
        <v>3673</v>
      </c>
      <c r="H14110" s="333">
        <v>4445</v>
      </c>
    </row>
    <row r="14111" spans="1:8">
      <c r="A14111" s="317">
        <v>2610911939</v>
      </c>
      <c r="B14111" s="330" t="s">
        <v>58464</v>
      </c>
      <c r="C14111" s="330" t="s">
        <v>29736</v>
      </c>
      <c r="D14111" s="330" t="s">
        <v>29737</v>
      </c>
      <c r="E14111" s="330" t="s">
        <v>4819</v>
      </c>
      <c r="F14111" s="331">
        <v>0.21</v>
      </c>
      <c r="G14111" s="332">
        <v>10243</v>
      </c>
      <c r="H14111" s="333">
        <v>12395</v>
      </c>
    </row>
    <row r="14112" spans="1:8">
      <c r="A14112" s="317">
        <v>2610911943</v>
      </c>
      <c r="B14112" s="330" t="s">
        <v>58465</v>
      </c>
      <c r="C14112" s="330" t="s">
        <v>29738</v>
      </c>
      <c r="D14112" s="330" t="s">
        <v>29739</v>
      </c>
      <c r="E14112" s="330" t="s">
        <v>37248</v>
      </c>
      <c r="F14112" s="331">
        <v>0.21</v>
      </c>
      <c r="G14112" s="332">
        <v>51296</v>
      </c>
      <c r="H14112" s="333">
        <v>62069</v>
      </c>
    </row>
    <row r="14113" spans="1:8">
      <c r="A14113" s="317">
        <v>2610911949</v>
      </c>
      <c r="B14113" s="330" t="s">
        <v>58466</v>
      </c>
      <c r="C14113" s="330" t="s">
        <v>29740</v>
      </c>
      <c r="D14113" s="330" t="s">
        <v>29741</v>
      </c>
      <c r="E14113" s="330" t="s">
        <v>4634</v>
      </c>
      <c r="F14113" s="331">
        <v>0.21</v>
      </c>
      <c r="G14113" s="332">
        <v>14687</v>
      </c>
      <c r="H14113" s="333">
        <v>17772</v>
      </c>
    </row>
    <row r="14114" spans="1:8">
      <c r="A14114" s="317">
        <v>2610912548</v>
      </c>
      <c r="B14114" s="330" t="s">
        <v>58467</v>
      </c>
      <c r="C14114" s="330" t="s">
        <v>29742</v>
      </c>
      <c r="D14114" s="330" t="s">
        <v>12172</v>
      </c>
      <c r="E14114" s="330" t="s">
        <v>4634</v>
      </c>
      <c r="F14114" s="331">
        <v>0.21</v>
      </c>
      <c r="G14114" s="332">
        <v>274</v>
      </c>
      <c r="H14114" s="333">
        <v>332</v>
      </c>
    </row>
    <row r="14115" spans="1:8">
      <c r="A14115" s="317">
        <v>2610912549</v>
      </c>
      <c r="B14115" s="330" t="s">
        <v>58468</v>
      </c>
      <c r="C14115" s="330" t="s">
        <v>29743</v>
      </c>
      <c r="D14115" s="330" t="s">
        <v>29744</v>
      </c>
      <c r="E14115" s="330" t="s">
        <v>4634</v>
      </c>
      <c r="F14115" s="331">
        <v>0.21</v>
      </c>
      <c r="G14115" s="332">
        <v>274</v>
      </c>
      <c r="H14115" s="333">
        <v>332</v>
      </c>
    </row>
    <row r="14116" spans="1:8">
      <c r="A14116" s="317">
        <v>2610912551</v>
      </c>
      <c r="B14116" s="330" t="s">
        <v>58469</v>
      </c>
      <c r="C14116" s="330" t="s">
        <v>29745</v>
      </c>
      <c r="D14116" s="330" t="s">
        <v>29746</v>
      </c>
      <c r="E14116" s="330" t="s">
        <v>4634</v>
      </c>
      <c r="F14116" s="331">
        <v>0.21</v>
      </c>
      <c r="G14116" s="332">
        <v>274</v>
      </c>
      <c r="H14116" s="333">
        <v>332</v>
      </c>
    </row>
    <row r="14117" spans="1:8">
      <c r="A14117" s="317">
        <v>2610912553</v>
      </c>
      <c r="B14117" s="330" t="s">
        <v>58470</v>
      </c>
      <c r="C14117" s="330" t="s">
        <v>29747</v>
      </c>
      <c r="D14117" s="330" t="s">
        <v>29748</v>
      </c>
      <c r="E14117" s="330" t="s">
        <v>4634</v>
      </c>
      <c r="F14117" s="331">
        <v>0.21</v>
      </c>
      <c r="G14117" s="332">
        <v>432</v>
      </c>
      <c r="H14117" s="333">
        <v>523</v>
      </c>
    </row>
    <row r="14118" spans="1:8">
      <c r="A14118" s="317">
        <v>2610912554</v>
      </c>
      <c r="B14118" s="330" t="s">
        <v>58471</v>
      </c>
      <c r="C14118" s="330" t="s">
        <v>29749</v>
      </c>
      <c r="D14118" s="330" t="s">
        <v>29750</v>
      </c>
      <c r="E14118" s="330" t="s">
        <v>4634</v>
      </c>
      <c r="F14118" s="331">
        <v>0.21</v>
      </c>
      <c r="G14118" s="332">
        <v>274</v>
      </c>
      <c r="H14118" s="333">
        <v>332</v>
      </c>
    </row>
    <row r="14119" spans="1:8">
      <c r="A14119" s="317">
        <v>2610912560</v>
      </c>
      <c r="B14119" s="330" t="s">
        <v>58472</v>
      </c>
      <c r="C14119" s="330" t="s">
        <v>29751</v>
      </c>
      <c r="D14119" s="330" t="s">
        <v>29752</v>
      </c>
      <c r="E14119" s="330" t="s">
        <v>4634</v>
      </c>
      <c r="F14119" s="331">
        <v>0.21</v>
      </c>
      <c r="G14119" s="332">
        <v>1474</v>
      </c>
      <c r="H14119" s="333">
        <v>1784</v>
      </c>
    </row>
    <row r="14120" spans="1:8">
      <c r="A14120" s="317">
        <v>2610912561</v>
      </c>
      <c r="B14120" s="330" t="s">
        <v>58473</v>
      </c>
      <c r="C14120" s="330" t="s">
        <v>29753</v>
      </c>
      <c r="D14120" s="330" t="s">
        <v>29754</v>
      </c>
      <c r="E14120" s="330" t="s">
        <v>4634</v>
      </c>
      <c r="F14120" s="331">
        <v>0.21</v>
      </c>
      <c r="G14120" s="332">
        <v>1547</v>
      </c>
      <c r="H14120" s="333">
        <v>1872</v>
      </c>
    </row>
    <row r="14121" spans="1:8">
      <c r="A14121" s="317">
        <v>2610912562</v>
      </c>
      <c r="B14121" s="330" t="s">
        <v>58474</v>
      </c>
      <c r="C14121" s="330" t="s">
        <v>29755</v>
      </c>
      <c r="D14121" s="330" t="s">
        <v>29756</v>
      </c>
      <c r="E14121" s="330" t="s">
        <v>4634</v>
      </c>
      <c r="F14121" s="331">
        <v>0.21</v>
      </c>
      <c r="G14121" s="332">
        <v>274</v>
      </c>
      <c r="H14121" s="333">
        <v>332</v>
      </c>
    </row>
    <row r="14122" spans="1:8">
      <c r="A14122" s="317">
        <v>2610912588</v>
      </c>
      <c r="B14122" s="330" t="s">
        <v>58475</v>
      </c>
      <c r="C14122" s="330" t="s">
        <v>29757</v>
      </c>
      <c r="D14122" s="330" t="s">
        <v>11708</v>
      </c>
      <c r="E14122" s="330" t="s">
        <v>4819</v>
      </c>
      <c r="F14122" s="331">
        <v>0.21</v>
      </c>
      <c r="G14122" s="332">
        <v>410</v>
      </c>
      <c r="H14122" s="333">
        <v>497</v>
      </c>
    </row>
    <row r="14123" spans="1:8">
      <c r="A14123" s="317">
        <v>2610912849</v>
      </c>
      <c r="B14123" s="330" t="s">
        <v>58476</v>
      </c>
      <c r="C14123" s="330" t="s">
        <v>29758</v>
      </c>
      <c r="D14123" s="330" t="s">
        <v>29759</v>
      </c>
      <c r="E14123" s="330" t="s">
        <v>4634</v>
      </c>
      <c r="F14123" s="331">
        <v>0.21</v>
      </c>
      <c r="G14123" s="332">
        <v>5619</v>
      </c>
      <c r="H14123" s="333">
        <v>6799</v>
      </c>
    </row>
    <row r="14124" spans="1:8">
      <c r="A14124" s="317">
        <v>2610913034</v>
      </c>
      <c r="B14124" s="330" t="s">
        <v>58477</v>
      </c>
      <c r="C14124" s="330" t="s">
        <v>29760</v>
      </c>
      <c r="D14124" s="330" t="s">
        <v>4710</v>
      </c>
      <c r="E14124" s="330" t="s">
        <v>4634</v>
      </c>
      <c r="F14124" s="331">
        <v>0.21</v>
      </c>
      <c r="G14124" s="332">
        <v>539</v>
      </c>
      <c r="H14124" s="333">
        <v>653</v>
      </c>
    </row>
    <row r="14125" spans="1:8">
      <c r="A14125" s="317">
        <v>2610913184</v>
      </c>
      <c r="B14125" s="330" t="s">
        <v>58478</v>
      </c>
      <c r="C14125" s="330" t="s">
        <v>29761</v>
      </c>
      <c r="D14125" s="330" t="s">
        <v>29762</v>
      </c>
      <c r="E14125" s="330" t="s">
        <v>4819</v>
      </c>
      <c r="F14125" s="331">
        <v>0.21</v>
      </c>
      <c r="G14125" s="332">
        <v>3607</v>
      </c>
      <c r="H14125" s="333">
        <v>4365</v>
      </c>
    </row>
    <row r="14126" spans="1:8">
      <c r="A14126" s="317">
        <v>2610913192</v>
      </c>
      <c r="B14126" s="330" t="s">
        <v>58479</v>
      </c>
      <c r="C14126" s="330" t="s">
        <v>29763</v>
      </c>
      <c r="D14126" s="330" t="s">
        <v>29764</v>
      </c>
      <c r="E14126" s="330" t="s">
        <v>4634</v>
      </c>
      <c r="F14126" s="331">
        <v>0.21</v>
      </c>
      <c r="G14126" s="332">
        <v>702</v>
      </c>
      <c r="H14126" s="333">
        <v>850</v>
      </c>
    </row>
    <row r="14127" spans="1:8">
      <c r="A14127" s="317">
        <v>2610913441</v>
      </c>
      <c r="B14127" s="330" t="s">
        <v>58480</v>
      </c>
      <c r="C14127" s="330" t="s">
        <v>29765</v>
      </c>
      <c r="D14127" s="330" t="s">
        <v>7653</v>
      </c>
      <c r="E14127" s="330" t="s">
        <v>4634</v>
      </c>
      <c r="F14127" s="331">
        <v>0.21</v>
      </c>
      <c r="G14127" s="332">
        <v>274</v>
      </c>
      <c r="H14127" s="333">
        <v>332</v>
      </c>
    </row>
    <row r="14128" spans="1:8">
      <c r="A14128" s="317">
        <v>2610913476</v>
      </c>
      <c r="B14128" s="330" t="s">
        <v>58481</v>
      </c>
      <c r="C14128" s="330" t="s">
        <v>29766</v>
      </c>
      <c r="D14128" s="330" t="s">
        <v>29767</v>
      </c>
      <c r="E14128" s="330" t="s">
        <v>4634</v>
      </c>
      <c r="F14128" s="331">
        <v>0.21</v>
      </c>
      <c r="G14128" s="332">
        <v>274</v>
      </c>
      <c r="H14128" s="333">
        <v>332</v>
      </c>
    </row>
    <row r="14129" spans="1:8">
      <c r="A14129" s="317">
        <v>2610913573</v>
      </c>
      <c r="B14129" s="330" t="s">
        <v>58482</v>
      </c>
      <c r="C14129" s="330" t="s">
        <v>29768</v>
      </c>
      <c r="D14129" s="330" t="s">
        <v>29769</v>
      </c>
      <c r="E14129" s="330" t="s">
        <v>4634</v>
      </c>
      <c r="F14129" s="331">
        <v>0.21</v>
      </c>
      <c r="G14129" s="332">
        <v>274</v>
      </c>
      <c r="H14129" s="333">
        <v>332</v>
      </c>
    </row>
    <row r="14130" spans="1:8">
      <c r="A14130" s="317">
        <v>2610913683</v>
      </c>
      <c r="B14130" s="330" t="s">
        <v>58483</v>
      </c>
      <c r="C14130" s="330" t="s">
        <v>29770</v>
      </c>
      <c r="D14130" s="330" t="s">
        <v>29771</v>
      </c>
      <c r="E14130" s="330" t="s">
        <v>4819</v>
      </c>
      <c r="F14130" s="331">
        <v>0.21</v>
      </c>
      <c r="G14130" s="332">
        <v>4829</v>
      </c>
      <c r="H14130" s="333">
        <v>5844</v>
      </c>
    </row>
    <row r="14131" spans="1:8">
      <c r="A14131" s="317">
        <v>2610913684</v>
      </c>
      <c r="B14131" s="330" t="s">
        <v>58484</v>
      </c>
      <c r="C14131" s="330" t="s">
        <v>29772</v>
      </c>
      <c r="D14131" s="330" t="s">
        <v>29773</v>
      </c>
      <c r="E14131" s="330" t="s">
        <v>4819</v>
      </c>
      <c r="F14131" s="331">
        <v>0.21</v>
      </c>
      <c r="G14131" s="332">
        <v>8385</v>
      </c>
      <c r="H14131" s="333">
        <v>10146</v>
      </c>
    </row>
    <row r="14132" spans="1:8">
      <c r="A14132" s="317">
        <v>2610913718</v>
      </c>
      <c r="B14132" s="330" t="s">
        <v>58485</v>
      </c>
      <c r="C14132" s="330" t="s">
        <v>29774</v>
      </c>
      <c r="D14132" s="330" t="s">
        <v>29775</v>
      </c>
      <c r="E14132" s="330" t="s">
        <v>4634</v>
      </c>
      <c r="F14132" s="331">
        <v>0.21</v>
      </c>
      <c r="G14132" s="332">
        <v>584</v>
      </c>
      <c r="H14132" s="333">
        <v>707</v>
      </c>
    </row>
    <row r="14133" spans="1:8">
      <c r="A14133" s="317">
        <v>2610913818</v>
      </c>
      <c r="B14133" s="330" t="s">
        <v>58486</v>
      </c>
      <c r="C14133" s="330" t="s">
        <v>29776</v>
      </c>
      <c r="D14133" s="330" t="s">
        <v>29777</v>
      </c>
      <c r="E14133" s="330" t="s">
        <v>4634</v>
      </c>
      <c r="F14133" s="331">
        <v>0.21</v>
      </c>
      <c r="G14133" s="332">
        <v>5893</v>
      </c>
      <c r="H14133" s="333">
        <v>7131</v>
      </c>
    </row>
    <row r="14134" spans="1:8">
      <c r="A14134" s="317">
        <v>2610913825</v>
      </c>
      <c r="B14134" s="330" t="s">
        <v>58487</v>
      </c>
      <c r="C14134" s="330" t="s">
        <v>29778</v>
      </c>
      <c r="D14134" s="330" t="s">
        <v>29779</v>
      </c>
      <c r="E14134" s="330" t="s">
        <v>4819</v>
      </c>
      <c r="F14134" s="331">
        <v>0.21</v>
      </c>
      <c r="G14134" s="332">
        <v>1936</v>
      </c>
      <c r="H14134" s="333">
        <v>2343</v>
      </c>
    </row>
    <row r="14135" spans="1:8">
      <c r="A14135" s="317">
        <v>2610913863</v>
      </c>
      <c r="B14135" s="330" t="s">
        <v>58488</v>
      </c>
      <c r="C14135" s="330" t="s">
        <v>29780</v>
      </c>
      <c r="D14135" s="330" t="s">
        <v>11813</v>
      </c>
      <c r="E14135" s="330" t="s">
        <v>4819</v>
      </c>
      <c r="F14135" s="331">
        <v>0.21</v>
      </c>
      <c r="G14135" s="332">
        <v>60772</v>
      </c>
      <c r="H14135" s="333">
        <v>73535</v>
      </c>
    </row>
    <row r="14136" spans="1:8">
      <c r="A14136" s="317">
        <v>2610914480</v>
      </c>
      <c r="B14136" s="330" t="s">
        <v>58489</v>
      </c>
      <c r="C14136" s="330" t="s">
        <v>29781</v>
      </c>
      <c r="D14136" s="330" t="s">
        <v>29782</v>
      </c>
      <c r="E14136" s="330" t="s">
        <v>4634</v>
      </c>
      <c r="F14136" s="331">
        <v>0.21</v>
      </c>
      <c r="G14136" s="332">
        <v>648</v>
      </c>
      <c r="H14136" s="333">
        <v>785</v>
      </c>
    </row>
    <row r="14137" spans="1:8">
      <c r="A14137" s="317">
        <v>2610914543</v>
      </c>
      <c r="B14137" s="330" t="s">
        <v>58490</v>
      </c>
      <c r="C14137" s="330" t="s">
        <v>29783</v>
      </c>
      <c r="D14137" s="330" t="s">
        <v>29784</v>
      </c>
      <c r="E14137" s="330" t="s">
        <v>37248</v>
      </c>
      <c r="F14137" s="331">
        <v>0.21</v>
      </c>
      <c r="G14137" s="332">
        <v>2534</v>
      </c>
      <c r="H14137" s="333">
        <v>3067</v>
      </c>
    </row>
    <row r="14138" spans="1:8">
      <c r="A14138" s="317">
        <v>2610915161</v>
      </c>
      <c r="B14138" s="330" t="s">
        <v>58491</v>
      </c>
      <c r="C14138" s="330" t="s">
        <v>29785</v>
      </c>
      <c r="D14138" s="330" t="s">
        <v>29786</v>
      </c>
      <c r="E14138" s="330" t="s">
        <v>4634</v>
      </c>
      <c r="F14138" s="331">
        <v>0.21</v>
      </c>
      <c r="G14138" s="332">
        <v>1434</v>
      </c>
      <c r="H14138" s="333">
        <v>1736</v>
      </c>
    </row>
    <row r="14139" spans="1:8">
      <c r="A14139" s="317">
        <v>2610915760</v>
      </c>
      <c r="B14139" s="330" t="s">
        <v>58492</v>
      </c>
      <c r="C14139" s="330" t="s">
        <v>29787</v>
      </c>
      <c r="D14139" s="330" t="s">
        <v>29788</v>
      </c>
      <c r="E14139" s="330" t="s">
        <v>4634</v>
      </c>
      <c r="F14139" s="331">
        <v>0.21</v>
      </c>
      <c r="G14139" s="332">
        <v>21758</v>
      </c>
      <c r="H14139" s="333">
        <v>26328</v>
      </c>
    </row>
    <row r="14140" spans="1:8">
      <c r="A14140" s="317">
        <v>2610916005</v>
      </c>
      <c r="B14140" s="330" t="s">
        <v>58493</v>
      </c>
      <c r="C14140" s="330" t="s">
        <v>29789</v>
      </c>
      <c r="D14140" s="330" t="s">
        <v>29790</v>
      </c>
      <c r="E14140" s="330" t="s">
        <v>4634</v>
      </c>
      <c r="F14140" s="331">
        <v>0.21</v>
      </c>
      <c r="G14140" s="332">
        <v>10712</v>
      </c>
      <c r="H14140" s="333">
        <v>12962</v>
      </c>
    </row>
    <row r="14141" spans="1:8">
      <c r="A14141" s="317">
        <v>2610916116</v>
      </c>
      <c r="B14141" s="330" t="s">
        <v>58494</v>
      </c>
      <c r="C14141" s="330" t="s">
        <v>29791</v>
      </c>
      <c r="D14141" s="330" t="s">
        <v>29792</v>
      </c>
      <c r="E14141" s="330" t="s">
        <v>37248</v>
      </c>
      <c r="F14141" s="331">
        <v>0.21</v>
      </c>
      <c r="G14141" s="332">
        <v>9810</v>
      </c>
      <c r="H14141" s="333">
        <v>11871</v>
      </c>
    </row>
    <row r="14142" spans="1:8">
      <c r="A14142" s="317">
        <v>2610916122</v>
      </c>
      <c r="B14142" s="330" t="s">
        <v>58495</v>
      </c>
      <c r="C14142" s="330" t="s">
        <v>29793</v>
      </c>
      <c r="D14142" s="330" t="s">
        <v>29794</v>
      </c>
      <c r="E14142" s="330" t="s">
        <v>4634</v>
      </c>
      <c r="F14142" s="331">
        <v>0.21</v>
      </c>
      <c r="G14142" s="332">
        <v>1581</v>
      </c>
      <c r="H14142" s="333">
        <v>1914</v>
      </c>
    </row>
    <row r="14143" spans="1:8">
      <c r="A14143" s="317">
        <v>2610916207</v>
      </c>
      <c r="B14143" s="330" t="s">
        <v>58496</v>
      </c>
      <c r="C14143" s="330" t="s">
        <v>29795</v>
      </c>
      <c r="D14143" s="330" t="s">
        <v>29796</v>
      </c>
      <c r="E14143" s="330" t="s">
        <v>4634</v>
      </c>
      <c r="F14143" s="331">
        <v>0.21</v>
      </c>
      <c r="G14143" s="332">
        <v>12182</v>
      </c>
      <c r="H14143" s="333">
        <v>14741</v>
      </c>
    </row>
    <row r="14144" spans="1:8">
      <c r="A14144" s="317">
        <v>2610916208</v>
      </c>
      <c r="B14144" s="330" t="s">
        <v>58497</v>
      </c>
      <c r="C14144" s="330" t="s">
        <v>29797</v>
      </c>
      <c r="D14144" s="330" t="s">
        <v>29798</v>
      </c>
      <c r="E14144" s="330" t="s">
        <v>37248</v>
      </c>
      <c r="F14144" s="331">
        <v>0.21</v>
      </c>
      <c r="G14144" s="332">
        <v>9179</v>
      </c>
      <c r="H14144" s="333">
        <v>11107</v>
      </c>
    </row>
    <row r="14145" spans="1:8">
      <c r="A14145" s="317">
        <v>2610916357</v>
      </c>
      <c r="B14145" s="330" t="s">
        <v>58498</v>
      </c>
      <c r="C14145" s="330" t="s">
        <v>29799</v>
      </c>
      <c r="D14145" s="330" t="s">
        <v>29800</v>
      </c>
      <c r="E14145" s="330" t="s">
        <v>4634</v>
      </c>
      <c r="F14145" s="331">
        <v>0.21</v>
      </c>
      <c r="G14145" s="332">
        <v>236</v>
      </c>
      <c r="H14145" s="333">
        <v>286</v>
      </c>
    </row>
    <row r="14146" spans="1:8">
      <c r="A14146" s="317">
        <v>2610916359</v>
      </c>
      <c r="B14146" s="330" t="s">
        <v>58499</v>
      </c>
      <c r="C14146" s="330" t="s">
        <v>29801</v>
      </c>
      <c r="D14146" s="330" t="s">
        <v>29802</v>
      </c>
      <c r="E14146" s="330" t="s">
        <v>4634</v>
      </c>
      <c r="F14146" s="331">
        <v>0.21</v>
      </c>
      <c r="G14146" s="332">
        <v>2427</v>
      </c>
      <c r="H14146" s="333">
        <v>2937</v>
      </c>
    </row>
    <row r="14147" spans="1:8">
      <c r="A14147" s="317">
        <v>2610916360</v>
      </c>
      <c r="B14147" s="330" t="s">
        <v>58500</v>
      </c>
      <c r="C14147" s="330" t="s">
        <v>29803</v>
      </c>
      <c r="D14147" s="330" t="s">
        <v>29804</v>
      </c>
      <c r="E14147" s="330" t="s">
        <v>4634</v>
      </c>
      <c r="F14147" s="331">
        <v>0.21</v>
      </c>
      <c r="G14147" s="332">
        <v>928</v>
      </c>
      <c r="H14147" s="333">
        <v>1123</v>
      </c>
    </row>
    <row r="14148" spans="1:8">
      <c r="A14148" s="317">
        <v>2610916645</v>
      </c>
      <c r="B14148" s="330" t="s">
        <v>58501</v>
      </c>
      <c r="C14148" s="330" t="s">
        <v>29805</v>
      </c>
      <c r="D14148" s="330" t="s">
        <v>29806</v>
      </c>
      <c r="E14148" s="330" t="s">
        <v>4634</v>
      </c>
      <c r="F14148" s="331">
        <v>0.21</v>
      </c>
      <c r="G14148" s="332">
        <v>678</v>
      </c>
      <c r="H14148" s="333">
        <v>821</v>
      </c>
    </row>
    <row r="14149" spans="1:8">
      <c r="A14149" s="317">
        <v>2610916802</v>
      </c>
      <c r="B14149" s="330" t="s">
        <v>58502</v>
      </c>
      <c r="C14149" s="330" t="s">
        <v>29807</v>
      </c>
      <c r="D14149" s="330" t="s">
        <v>12610</v>
      </c>
      <c r="E14149" s="330" t="s">
        <v>4634</v>
      </c>
      <c r="F14149" s="331">
        <v>0.21</v>
      </c>
      <c r="G14149" s="332">
        <v>475</v>
      </c>
      <c r="H14149" s="333">
        <v>575</v>
      </c>
    </row>
    <row r="14150" spans="1:8">
      <c r="A14150" s="317">
        <v>2610917048</v>
      </c>
      <c r="B14150" s="330" t="s">
        <v>58503</v>
      </c>
      <c r="C14150" s="330" t="s">
        <v>29808</v>
      </c>
      <c r="D14150" s="330" t="s">
        <v>17804</v>
      </c>
      <c r="E14150" s="330" t="s">
        <v>4634</v>
      </c>
      <c r="F14150" s="331">
        <v>0.21</v>
      </c>
      <c r="G14150" s="332">
        <v>236</v>
      </c>
      <c r="H14150" s="333">
        <v>286</v>
      </c>
    </row>
    <row r="14151" spans="1:8">
      <c r="A14151" s="317">
        <v>2610917052</v>
      </c>
      <c r="B14151" s="330" t="s">
        <v>58504</v>
      </c>
      <c r="C14151" s="330" t="s">
        <v>29809</v>
      </c>
      <c r="D14151" s="330" t="s">
        <v>29810</v>
      </c>
      <c r="E14151" s="330" t="s">
        <v>4634</v>
      </c>
      <c r="F14151" s="331">
        <v>0.21</v>
      </c>
      <c r="G14151" s="332">
        <v>791</v>
      </c>
      <c r="H14151" s="333">
        <v>958</v>
      </c>
    </row>
    <row r="14152" spans="1:8">
      <c r="A14152" s="317">
        <v>2610917191</v>
      </c>
      <c r="B14152" s="330" t="s">
        <v>58505</v>
      </c>
      <c r="C14152" s="330" t="s">
        <v>29811</v>
      </c>
      <c r="D14152" s="330" t="s">
        <v>29812</v>
      </c>
      <c r="E14152" s="330" t="s">
        <v>37248</v>
      </c>
      <c r="F14152" s="331">
        <v>0.21</v>
      </c>
      <c r="G14152" s="332">
        <v>2128</v>
      </c>
      <c r="H14152" s="333">
        <v>2575</v>
      </c>
    </row>
    <row r="14153" spans="1:8">
      <c r="A14153" s="317">
        <v>2610917210</v>
      </c>
      <c r="B14153" s="330" t="s">
        <v>58506</v>
      </c>
      <c r="C14153" s="330" t="s">
        <v>29813</v>
      </c>
      <c r="D14153" s="330" t="s">
        <v>7653</v>
      </c>
      <c r="E14153" s="330" t="s">
        <v>37248</v>
      </c>
      <c r="F14153" s="331">
        <v>0.21</v>
      </c>
      <c r="G14153" s="332">
        <v>174</v>
      </c>
      <c r="H14153" s="333">
        <v>211</v>
      </c>
    </row>
    <row r="14154" spans="1:8">
      <c r="A14154" s="317">
        <v>2610917263</v>
      </c>
      <c r="B14154" s="330" t="s">
        <v>58507</v>
      </c>
      <c r="C14154" s="330" t="s">
        <v>29814</v>
      </c>
      <c r="D14154" s="330" t="s">
        <v>29815</v>
      </c>
      <c r="E14154" s="330" t="s">
        <v>4634</v>
      </c>
      <c r="F14154" s="331">
        <v>0.21</v>
      </c>
      <c r="G14154" s="332">
        <v>280</v>
      </c>
      <c r="H14154" s="333">
        <v>339</v>
      </c>
    </row>
    <row r="14155" spans="1:8">
      <c r="A14155" s="317">
        <v>2610917489</v>
      </c>
      <c r="B14155" s="330" t="s">
        <v>58508</v>
      </c>
      <c r="C14155" s="330" t="s">
        <v>29816</v>
      </c>
      <c r="D14155" s="330" t="s">
        <v>29817</v>
      </c>
      <c r="E14155" s="330" t="s">
        <v>4819</v>
      </c>
      <c r="F14155" s="331">
        <v>0.21</v>
      </c>
      <c r="G14155" s="332">
        <v>8284</v>
      </c>
      <c r="H14155" s="333">
        <v>10024</v>
      </c>
    </row>
    <row r="14156" spans="1:8">
      <c r="A14156" s="317">
        <v>2610918051</v>
      </c>
      <c r="B14156" s="330" t="s">
        <v>58509</v>
      </c>
      <c r="C14156" s="330" t="s">
        <v>29818</v>
      </c>
      <c r="D14156" s="330" t="s">
        <v>29819</v>
      </c>
      <c r="E14156" s="330" t="s">
        <v>37248</v>
      </c>
      <c r="F14156" s="331">
        <v>0.21</v>
      </c>
      <c r="G14156" s="332">
        <v>3865</v>
      </c>
      <c r="H14156" s="333">
        <v>4677</v>
      </c>
    </row>
    <row r="14157" spans="1:8">
      <c r="A14157" s="317">
        <v>2610918116</v>
      </c>
      <c r="B14157" s="330" t="s">
        <v>58510</v>
      </c>
      <c r="C14157" s="330" t="s">
        <v>29820</v>
      </c>
      <c r="D14157" s="330" t="s">
        <v>29821</v>
      </c>
      <c r="E14157" s="330" t="s">
        <v>4819</v>
      </c>
      <c r="F14157" s="331">
        <v>0.21</v>
      </c>
      <c r="G14157" s="332">
        <v>5597</v>
      </c>
      <c r="H14157" s="333">
        <v>6773</v>
      </c>
    </row>
    <row r="14158" spans="1:8">
      <c r="A14158" s="317">
        <v>2610918145</v>
      </c>
      <c r="B14158" s="330" t="s">
        <v>58511</v>
      </c>
      <c r="C14158" s="330" t="s">
        <v>29822</v>
      </c>
      <c r="D14158" s="330" t="s">
        <v>29823</v>
      </c>
      <c r="E14158" s="330" t="s">
        <v>4634</v>
      </c>
      <c r="F14158" s="331">
        <v>0.21</v>
      </c>
      <c r="G14158" s="332">
        <v>1247</v>
      </c>
      <c r="H14158" s="333">
        <v>1509</v>
      </c>
    </row>
    <row r="14159" spans="1:8">
      <c r="A14159" s="317">
        <v>2610918148</v>
      </c>
      <c r="B14159" s="330" t="s">
        <v>58512</v>
      </c>
      <c r="C14159" s="330" t="s">
        <v>29824</v>
      </c>
      <c r="D14159" s="330" t="s">
        <v>29825</v>
      </c>
      <c r="E14159" s="330" t="s">
        <v>37248</v>
      </c>
      <c r="F14159" s="331">
        <v>0.21</v>
      </c>
      <c r="G14159" s="332">
        <v>579</v>
      </c>
      <c r="H14159" s="333">
        <v>701</v>
      </c>
    </row>
    <row r="14160" spans="1:8">
      <c r="A14160" s="317">
        <v>2610918150</v>
      </c>
      <c r="B14160" s="330" t="s">
        <v>58513</v>
      </c>
      <c r="C14160" s="330" t="s">
        <v>29826</v>
      </c>
      <c r="D14160" s="330" t="s">
        <v>29827</v>
      </c>
      <c r="E14160" s="330" t="s">
        <v>4634</v>
      </c>
      <c r="F14160" s="331">
        <v>0.21</v>
      </c>
      <c r="G14160" s="332">
        <v>387</v>
      </c>
      <c r="H14160" s="333">
        <v>469</v>
      </c>
    </row>
    <row r="14161" spans="1:8">
      <c r="A14161" s="317">
        <v>2610918151</v>
      </c>
      <c r="B14161" s="330" t="s">
        <v>58514</v>
      </c>
      <c r="C14161" s="330" t="s">
        <v>29828</v>
      </c>
      <c r="D14161" s="330" t="s">
        <v>29829</v>
      </c>
      <c r="E14161" s="330" t="s">
        <v>4634</v>
      </c>
      <c r="F14161" s="331">
        <v>0.21</v>
      </c>
      <c r="G14161" s="332">
        <v>236</v>
      </c>
      <c r="H14161" s="333">
        <v>286</v>
      </c>
    </row>
    <row r="14162" spans="1:8">
      <c r="A14162" s="317">
        <v>2610918985</v>
      </c>
      <c r="B14162" s="330" t="s">
        <v>58515</v>
      </c>
      <c r="C14162" s="330" t="s">
        <v>29830</v>
      </c>
      <c r="D14162" s="330" t="s">
        <v>29831</v>
      </c>
      <c r="E14162" s="330" t="s">
        <v>4634</v>
      </c>
      <c r="F14162" s="331">
        <v>0.21</v>
      </c>
      <c r="G14162" s="332">
        <v>236</v>
      </c>
      <c r="H14162" s="333">
        <v>286</v>
      </c>
    </row>
    <row r="14163" spans="1:8">
      <c r="A14163" s="317">
        <v>2610919073</v>
      </c>
      <c r="B14163" s="330" t="s">
        <v>58516</v>
      </c>
      <c r="C14163" s="330" t="s">
        <v>29832</v>
      </c>
      <c r="D14163" s="330" t="s">
        <v>29833</v>
      </c>
      <c r="E14163" s="330" t="s">
        <v>4634</v>
      </c>
      <c r="F14163" s="331">
        <v>0.21</v>
      </c>
      <c r="G14163" s="332">
        <v>2054</v>
      </c>
      <c r="H14163" s="333">
        <v>2486</v>
      </c>
    </row>
    <row r="14164" spans="1:8">
      <c r="A14164" s="317">
        <v>2610919255</v>
      </c>
      <c r="B14164" s="330" t="s">
        <v>58517</v>
      </c>
      <c r="C14164" s="330" t="s">
        <v>29834</v>
      </c>
      <c r="D14164" s="330" t="s">
        <v>29835</v>
      </c>
      <c r="E14164" s="330" t="s">
        <v>4634</v>
      </c>
      <c r="F14164" s="331">
        <v>0.21</v>
      </c>
      <c r="G14164" s="332">
        <v>1150</v>
      </c>
      <c r="H14164" s="333">
        <v>1392</v>
      </c>
    </row>
    <row r="14165" spans="1:8">
      <c r="A14165" s="317">
        <v>2610919256</v>
      </c>
      <c r="B14165" s="330" t="s">
        <v>58518</v>
      </c>
      <c r="C14165" s="330" t="s">
        <v>29836</v>
      </c>
      <c r="D14165" s="330" t="s">
        <v>29837</v>
      </c>
      <c r="E14165" s="330" t="s">
        <v>4634</v>
      </c>
      <c r="F14165" s="331">
        <v>0.21</v>
      </c>
      <c r="G14165" s="332">
        <v>4004</v>
      </c>
      <c r="H14165" s="333">
        <v>4845</v>
      </c>
    </row>
    <row r="14166" spans="1:8">
      <c r="A14166" s="317">
        <v>2610919281</v>
      </c>
      <c r="B14166" s="330" t="s">
        <v>58519</v>
      </c>
      <c r="C14166" s="330" t="s">
        <v>29838</v>
      </c>
      <c r="D14166" s="330" t="s">
        <v>6205</v>
      </c>
      <c r="E14166" s="330" t="s">
        <v>37248</v>
      </c>
      <c r="F14166" s="331">
        <v>0.21</v>
      </c>
      <c r="G14166" s="332">
        <v>3943</v>
      </c>
      <c r="H14166" s="333">
        <v>4772</v>
      </c>
    </row>
    <row r="14167" spans="1:8">
      <c r="A14167" s="317">
        <v>2610919327</v>
      </c>
      <c r="B14167" s="330" t="s">
        <v>58520</v>
      </c>
      <c r="C14167" s="330" t="s">
        <v>29839</v>
      </c>
      <c r="D14167" s="330" t="s">
        <v>29840</v>
      </c>
      <c r="E14167" s="330" t="s">
        <v>4634</v>
      </c>
      <c r="F14167" s="331">
        <v>0.21</v>
      </c>
      <c r="G14167" s="332">
        <v>236</v>
      </c>
      <c r="H14167" s="333">
        <v>286</v>
      </c>
    </row>
    <row r="14168" spans="1:8">
      <c r="A14168" s="317">
        <v>2610919467</v>
      </c>
      <c r="B14168" s="330" t="s">
        <v>58521</v>
      </c>
      <c r="C14168" s="330" t="s">
        <v>29841</v>
      </c>
      <c r="D14168" s="330" t="s">
        <v>29842</v>
      </c>
      <c r="E14168" s="330" t="s">
        <v>4634</v>
      </c>
      <c r="F14168" s="331">
        <v>0.21</v>
      </c>
      <c r="G14168" s="332">
        <v>236</v>
      </c>
      <c r="H14168" s="333">
        <v>286</v>
      </c>
    </row>
    <row r="14169" spans="1:8">
      <c r="A14169" s="317">
        <v>2610919663</v>
      </c>
      <c r="B14169" s="330" t="s">
        <v>58522</v>
      </c>
      <c r="C14169" s="330" t="s">
        <v>29843</v>
      </c>
      <c r="D14169" s="330" t="s">
        <v>29844</v>
      </c>
      <c r="E14169" s="330" t="s">
        <v>4819</v>
      </c>
      <c r="F14169" s="331">
        <v>0.21</v>
      </c>
      <c r="G14169" s="332">
        <v>910</v>
      </c>
      <c r="H14169" s="333">
        <v>1102</v>
      </c>
    </row>
    <row r="14170" spans="1:8">
      <c r="A14170" s="317">
        <v>2610919739</v>
      </c>
      <c r="B14170" s="330" t="s">
        <v>58523</v>
      </c>
      <c r="C14170" s="330" t="s">
        <v>29845</v>
      </c>
      <c r="D14170" s="330" t="s">
        <v>29846</v>
      </c>
      <c r="E14170" s="330" t="s">
        <v>4634</v>
      </c>
      <c r="F14170" s="331">
        <v>0.21</v>
      </c>
      <c r="G14170" s="332">
        <v>3004</v>
      </c>
      <c r="H14170" s="333">
        <v>3635</v>
      </c>
    </row>
    <row r="14171" spans="1:8">
      <c r="A14171" s="317">
        <v>2610919742</v>
      </c>
      <c r="B14171" s="330" t="s">
        <v>58524</v>
      </c>
      <c r="C14171" s="330" t="s">
        <v>29847</v>
      </c>
      <c r="D14171" s="330" t="s">
        <v>29848</v>
      </c>
      <c r="E14171" s="330" t="s">
        <v>4634</v>
      </c>
      <c r="F14171" s="331">
        <v>0.21</v>
      </c>
      <c r="G14171" s="332">
        <v>39745</v>
      </c>
      <c r="H14171" s="333">
        <v>48092</v>
      </c>
    </row>
    <row r="14172" spans="1:8">
      <c r="A14172" s="317">
        <v>2610919750</v>
      </c>
      <c r="B14172" s="330" t="s">
        <v>58525</v>
      </c>
      <c r="C14172" s="330" t="s">
        <v>29849</v>
      </c>
      <c r="D14172" s="330" t="s">
        <v>29850</v>
      </c>
      <c r="E14172" s="330" t="s">
        <v>4819</v>
      </c>
      <c r="F14172" s="331">
        <v>0.21</v>
      </c>
      <c r="G14172" s="332">
        <v>22398</v>
      </c>
      <c r="H14172" s="333">
        <v>27102</v>
      </c>
    </row>
    <row r="14173" spans="1:8">
      <c r="A14173" s="317">
        <v>2610919753</v>
      </c>
      <c r="B14173" s="330" t="s">
        <v>58526</v>
      </c>
      <c r="C14173" s="330" t="s">
        <v>29851</v>
      </c>
      <c r="D14173" s="330" t="s">
        <v>16208</v>
      </c>
      <c r="E14173" s="330" t="s">
        <v>4819</v>
      </c>
      <c r="F14173" s="331">
        <v>0.21</v>
      </c>
      <c r="G14173" s="332">
        <v>1880</v>
      </c>
      <c r="H14173" s="333">
        <v>2275</v>
      </c>
    </row>
    <row r="14174" spans="1:8">
      <c r="A14174" s="317">
        <v>2610919754</v>
      </c>
      <c r="B14174" s="330" t="s">
        <v>58527</v>
      </c>
      <c r="C14174" s="330" t="s">
        <v>29852</v>
      </c>
      <c r="D14174" s="330" t="s">
        <v>29853</v>
      </c>
      <c r="E14174" s="330" t="s">
        <v>4819</v>
      </c>
      <c r="F14174" s="331">
        <v>0.21</v>
      </c>
      <c r="G14174" s="332">
        <v>2823</v>
      </c>
      <c r="H14174" s="333">
        <v>3416</v>
      </c>
    </row>
    <row r="14175" spans="1:8">
      <c r="A14175" s="317">
        <v>2610919868</v>
      </c>
      <c r="B14175" s="330" t="s">
        <v>58528</v>
      </c>
      <c r="C14175" s="330" t="s">
        <v>29854</v>
      </c>
      <c r="D14175" s="330" t="s">
        <v>29855</v>
      </c>
      <c r="E14175" s="330" t="s">
        <v>4819</v>
      </c>
      <c r="F14175" s="331">
        <v>0.21</v>
      </c>
      <c r="G14175" s="332">
        <v>1744</v>
      </c>
      <c r="H14175" s="333">
        <v>2111</v>
      </c>
    </row>
    <row r="14176" spans="1:8">
      <c r="A14176" s="317">
        <v>2610920614</v>
      </c>
      <c r="B14176" s="330" t="s">
        <v>58529</v>
      </c>
      <c r="C14176" s="330" t="s">
        <v>29856</v>
      </c>
      <c r="D14176" s="330" t="s">
        <v>29857</v>
      </c>
      <c r="E14176" s="330" t="s">
        <v>4634</v>
      </c>
      <c r="F14176" s="331">
        <v>0.21</v>
      </c>
      <c r="G14176" s="332">
        <v>8331</v>
      </c>
      <c r="H14176" s="333">
        <v>10081</v>
      </c>
    </row>
    <row r="14177" spans="1:8">
      <c r="A14177" s="317">
        <v>2610920617</v>
      </c>
      <c r="B14177" s="330" t="s">
        <v>58530</v>
      </c>
      <c r="C14177" s="330" t="s">
        <v>29858</v>
      </c>
      <c r="D14177" s="330" t="s">
        <v>29859</v>
      </c>
      <c r="E14177" s="330" t="s">
        <v>4634</v>
      </c>
      <c r="F14177" s="331">
        <v>0.21</v>
      </c>
      <c r="G14177" s="332">
        <v>455</v>
      </c>
      <c r="H14177" s="333">
        <v>551</v>
      </c>
    </row>
    <row r="14178" spans="1:8">
      <c r="A14178" s="317">
        <v>2610920618</v>
      </c>
      <c r="B14178" s="330" t="s">
        <v>58531</v>
      </c>
      <c r="C14178" s="330" t="s">
        <v>29860</v>
      </c>
      <c r="D14178" s="330" t="s">
        <v>29861</v>
      </c>
      <c r="E14178" s="330" t="s">
        <v>4819</v>
      </c>
      <c r="F14178" s="331">
        <v>0.21</v>
      </c>
      <c r="G14178" s="332">
        <v>10143</v>
      </c>
      <c r="H14178" s="333">
        <v>12274</v>
      </c>
    </row>
    <row r="14179" spans="1:8">
      <c r="A14179" s="317">
        <v>2610920619</v>
      </c>
      <c r="B14179" s="330" t="s">
        <v>58532</v>
      </c>
      <c r="C14179" s="330" t="s">
        <v>29862</v>
      </c>
      <c r="D14179" s="330" t="s">
        <v>29859</v>
      </c>
      <c r="E14179" s="330" t="s">
        <v>4634</v>
      </c>
      <c r="F14179" s="331">
        <v>0.21</v>
      </c>
      <c r="G14179" s="332">
        <v>678</v>
      </c>
      <c r="H14179" s="333">
        <v>821</v>
      </c>
    </row>
    <row r="14180" spans="1:8">
      <c r="A14180" s="317">
        <v>2610920620</v>
      </c>
      <c r="B14180" s="330" t="s">
        <v>58533</v>
      </c>
      <c r="C14180" s="330" t="s">
        <v>29863</v>
      </c>
      <c r="D14180" s="330" t="s">
        <v>29864</v>
      </c>
      <c r="E14180" s="330" t="s">
        <v>4819</v>
      </c>
      <c r="F14180" s="331">
        <v>0.21</v>
      </c>
      <c r="G14180" s="332">
        <v>1835</v>
      </c>
      <c r="H14180" s="333">
        <v>2221</v>
      </c>
    </row>
    <row r="14181" spans="1:8">
      <c r="A14181" s="317">
        <v>2610920623</v>
      </c>
      <c r="B14181" s="330" t="s">
        <v>58534</v>
      </c>
      <c r="C14181" s="330" t="s">
        <v>29865</v>
      </c>
      <c r="D14181" s="330" t="s">
        <v>26329</v>
      </c>
      <c r="E14181" s="330" t="s">
        <v>4634</v>
      </c>
      <c r="F14181" s="331">
        <v>0.21</v>
      </c>
      <c r="G14181" s="332">
        <v>274</v>
      </c>
      <c r="H14181" s="333">
        <v>332</v>
      </c>
    </row>
    <row r="14182" spans="1:8">
      <c r="A14182" s="317">
        <v>2610920631</v>
      </c>
      <c r="B14182" s="330" t="s">
        <v>58535</v>
      </c>
      <c r="C14182" s="330" t="s">
        <v>29866</v>
      </c>
      <c r="D14182" s="330" t="s">
        <v>29867</v>
      </c>
      <c r="E14182" s="330" t="s">
        <v>37248</v>
      </c>
      <c r="F14182" s="331">
        <v>0.21</v>
      </c>
      <c r="G14182" s="332">
        <v>16947</v>
      </c>
      <c r="H14182" s="333">
        <v>20506</v>
      </c>
    </row>
    <row r="14183" spans="1:8">
      <c r="A14183" s="317">
        <v>2610920634</v>
      </c>
      <c r="B14183" s="330" t="s">
        <v>58536</v>
      </c>
      <c r="C14183" s="330" t="s">
        <v>29868</v>
      </c>
      <c r="D14183" s="330" t="s">
        <v>29869</v>
      </c>
      <c r="E14183" s="330" t="s">
        <v>4819</v>
      </c>
      <c r="F14183" s="331">
        <v>0.21</v>
      </c>
      <c r="G14183" s="332">
        <v>5362</v>
      </c>
      <c r="H14183" s="333">
        <v>6489</v>
      </c>
    </row>
    <row r="14184" spans="1:8">
      <c r="A14184" s="317">
        <v>2610920635</v>
      </c>
      <c r="B14184" s="330" t="s">
        <v>58537</v>
      </c>
      <c r="C14184" s="330" t="s">
        <v>29870</v>
      </c>
      <c r="D14184" s="330" t="s">
        <v>29871</v>
      </c>
      <c r="E14184" s="330" t="s">
        <v>4634</v>
      </c>
      <c r="F14184" s="331">
        <v>0.21</v>
      </c>
      <c r="G14184" s="332">
        <v>432</v>
      </c>
      <c r="H14184" s="333">
        <v>523</v>
      </c>
    </row>
    <row r="14185" spans="1:8">
      <c r="A14185" s="317">
        <v>2610920644</v>
      </c>
      <c r="B14185" s="330" t="s">
        <v>58538</v>
      </c>
      <c r="C14185" s="330" t="s">
        <v>29872</v>
      </c>
      <c r="D14185" s="330" t="s">
        <v>29873</v>
      </c>
      <c r="E14185" s="330" t="s">
        <v>4634</v>
      </c>
      <c r="F14185" s="331">
        <v>0.21</v>
      </c>
      <c r="G14185" s="332">
        <v>1431</v>
      </c>
      <c r="H14185" s="333">
        <v>1732</v>
      </c>
    </row>
    <row r="14186" spans="1:8">
      <c r="A14186" s="317">
        <v>2610920650</v>
      </c>
      <c r="B14186" s="330" t="s">
        <v>58539</v>
      </c>
      <c r="C14186" s="330" t="s">
        <v>29874</v>
      </c>
      <c r="D14186" s="330" t="s">
        <v>29875</v>
      </c>
      <c r="E14186" s="330" t="s">
        <v>37248</v>
      </c>
      <c r="F14186" s="331">
        <v>0.21</v>
      </c>
      <c r="G14186" s="332">
        <v>4472</v>
      </c>
      <c r="H14186" s="333">
        <v>5412</v>
      </c>
    </row>
    <row r="14187" spans="1:8">
      <c r="A14187" s="317">
        <v>2610920651</v>
      </c>
      <c r="B14187" s="330" t="s">
        <v>58540</v>
      </c>
      <c r="C14187" s="330" t="s">
        <v>29876</v>
      </c>
      <c r="D14187" s="330" t="s">
        <v>29877</v>
      </c>
      <c r="E14187" s="330" t="s">
        <v>4634</v>
      </c>
      <c r="F14187" s="331">
        <v>0.21</v>
      </c>
      <c r="G14187" s="332">
        <v>938</v>
      </c>
      <c r="H14187" s="333">
        <v>1135</v>
      </c>
    </row>
    <row r="14188" spans="1:8">
      <c r="A14188" s="317">
        <v>2610920652</v>
      </c>
      <c r="B14188" s="330" t="s">
        <v>58541</v>
      </c>
      <c r="C14188" s="330" t="s">
        <v>29878</v>
      </c>
      <c r="D14188" s="330" t="s">
        <v>29879</v>
      </c>
      <c r="E14188" s="330" t="s">
        <v>4819</v>
      </c>
      <c r="F14188" s="331">
        <v>0.21</v>
      </c>
      <c r="G14188" s="332">
        <v>1530</v>
      </c>
      <c r="H14188" s="333">
        <v>1852</v>
      </c>
    </row>
    <row r="14189" spans="1:8">
      <c r="A14189" s="317">
        <v>2610920684</v>
      </c>
      <c r="B14189" s="330" t="s">
        <v>58542</v>
      </c>
      <c r="C14189" s="330" t="s">
        <v>29880</v>
      </c>
      <c r="D14189" s="330" t="s">
        <v>29881</v>
      </c>
      <c r="E14189" s="330" t="s">
        <v>37248</v>
      </c>
      <c r="F14189" s="331">
        <v>0.21</v>
      </c>
      <c r="G14189" s="332">
        <v>91216</v>
      </c>
      <c r="H14189" s="333">
        <v>110372</v>
      </c>
    </row>
    <row r="14190" spans="1:8">
      <c r="A14190" s="317">
        <v>2610920772</v>
      </c>
      <c r="B14190" s="330" t="s">
        <v>58543</v>
      </c>
      <c r="C14190" s="330" t="s">
        <v>29882</v>
      </c>
      <c r="D14190" s="330" t="s">
        <v>29883</v>
      </c>
      <c r="E14190" s="330" t="s">
        <v>4634</v>
      </c>
      <c r="F14190" s="331">
        <v>0.21</v>
      </c>
      <c r="G14190" s="332">
        <v>2496</v>
      </c>
      <c r="H14190" s="333">
        <v>3021</v>
      </c>
    </row>
    <row r="14191" spans="1:8">
      <c r="A14191" s="317">
        <v>2610920799</v>
      </c>
      <c r="B14191" s="330" t="s">
        <v>58544</v>
      </c>
      <c r="C14191" s="330" t="s">
        <v>29884</v>
      </c>
      <c r="D14191" s="330" t="s">
        <v>29885</v>
      </c>
      <c r="E14191" s="330" t="s">
        <v>4819</v>
      </c>
      <c r="F14191" s="331">
        <v>0.21</v>
      </c>
      <c r="G14191" s="332">
        <v>1329</v>
      </c>
      <c r="H14191" s="333">
        <v>1609</v>
      </c>
    </row>
    <row r="14192" spans="1:8">
      <c r="A14192" s="317">
        <v>2610921108</v>
      </c>
      <c r="B14192" s="330" t="s">
        <v>58545</v>
      </c>
      <c r="C14192" s="330" t="s">
        <v>29886</v>
      </c>
      <c r="D14192" s="330" t="s">
        <v>29887</v>
      </c>
      <c r="E14192" s="330" t="s">
        <v>4623</v>
      </c>
      <c r="F14192" s="331">
        <v>0.21</v>
      </c>
      <c r="G14192" s="332">
        <v>6683</v>
      </c>
      <c r="H14192" s="333">
        <v>8087</v>
      </c>
    </row>
    <row r="14193" spans="1:8">
      <c r="A14193" s="317">
        <v>2610921110</v>
      </c>
      <c r="B14193" s="330" t="s">
        <v>58546</v>
      </c>
      <c r="C14193" s="330" t="s">
        <v>29888</v>
      </c>
      <c r="D14193" s="330" t="s">
        <v>29889</v>
      </c>
      <c r="E14193" s="330" t="s">
        <v>4634</v>
      </c>
      <c r="F14193" s="331">
        <v>0.21</v>
      </c>
      <c r="G14193" s="332">
        <v>1641</v>
      </c>
      <c r="H14193" s="333">
        <v>1986</v>
      </c>
    </row>
    <row r="14194" spans="1:8">
      <c r="A14194" s="317">
        <v>2610921111</v>
      </c>
      <c r="B14194" s="330" t="s">
        <v>58547</v>
      </c>
      <c r="C14194" s="330" t="s">
        <v>29890</v>
      </c>
      <c r="D14194" s="330" t="s">
        <v>29891</v>
      </c>
      <c r="E14194" s="330" t="s">
        <v>4634</v>
      </c>
      <c r="F14194" s="331">
        <v>0.21</v>
      </c>
      <c r="G14194" s="332">
        <v>702</v>
      </c>
      <c r="H14194" s="333">
        <v>850</v>
      </c>
    </row>
    <row r="14195" spans="1:8">
      <c r="A14195" s="317">
        <v>2610921112</v>
      </c>
      <c r="B14195" s="330" t="s">
        <v>58548</v>
      </c>
      <c r="C14195" s="330" t="s">
        <v>29892</v>
      </c>
      <c r="D14195" s="330" t="s">
        <v>29893</v>
      </c>
      <c r="E14195" s="330" t="s">
        <v>4634</v>
      </c>
      <c r="F14195" s="331">
        <v>0.21</v>
      </c>
      <c r="G14195" s="332">
        <v>236</v>
      </c>
      <c r="H14195" s="333">
        <v>286</v>
      </c>
    </row>
    <row r="14196" spans="1:8">
      <c r="A14196" s="317">
        <v>2610921113</v>
      </c>
      <c r="B14196" s="330" t="s">
        <v>58549</v>
      </c>
      <c r="C14196" s="330" t="s">
        <v>29894</v>
      </c>
      <c r="D14196" s="330" t="s">
        <v>29895</v>
      </c>
      <c r="E14196" s="330" t="s">
        <v>4634</v>
      </c>
      <c r="F14196" s="331">
        <v>0.21</v>
      </c>
      <c r="G14196" s="332">
        <v>2063</v>
      </c>
      <c r="H14196" s="333">
        <v>2497</v>
      </c>
    </row>
    <row r="14197" spans="1:8">
      <c r="A14197" s="317">
        <v>2610921115</v>
      </c>
      <c r="B14197" s="330" t="s">
        <v>58550</v>
      </c>
      <c r="C14197" s="330" t="s">
        <v>29896</v>
      </c>
      <c r="D14197" s="330" t="s">
        <v>29897</v>
      </c>
      <c r="E14197" s="330" t="s">
        <v>4634</v>
      </c>
      <c r="F14197" s="331">
        <v>0.21</v>
      </c>
      <c r="G14197" s="332">
        <v>280</v>
      </c>
      <c r="H14197" s="333">
        <v>339</v>
      </c>
    </row>
    <row r="14198" spans="1:8">
      <c r="A14198" s="317">
        <v>2610921116</v>
      </c>
      <c r="B14198" s="330" t="s">
        <v>58551</v>
      </c>
      <c r="C14198" s="330" t="s">
        <v>29898</v>
      </c>
      <c r="D14198" s="330" t="s">
        <v>29899</v>
      </c>
      <c r="E14198" s="330" t="s">
        <v>4634</v>
      </c>
      <c r="F14198" s="331">
        <v>0.21</v>
      </c>
      <c r="G14198" s="332">
        <v>1119</v>
      </c>
      <c r="H14198" s="333">
        <v>1354</v>
      </c>
    </row>
    <row r="14199" spans="1:8">
      <c r="A14199" s="317">
        <v>2610921117</v>
      </c>
      <c r="B14199" s="330" t="s">
        <v>58552</v>
      </c>
      <c r="C14199" s="330" t="s">
        <v>29900</v>
      </c>
      <c r="D14199" s="330" t="s">
        <v>29901</v>
      </c>
      <c r="E14199" s="330" t="s">
        <v>4623</v>
      </c>
      <c r="F14199" s="331">
        <v>0.21</v>
      </c>
      <c r="G14199" s="332">
        <v>1521</v>
      </c>
      <c r="H14199" s="333">
        <v>1841</v>
      </c>
    </row>
    <row r="14200" spans="1:8">
      <c r="A14200" s="317">
        <v>2610921118</v>
      </c>
      <c r="B14200" s="330" t="s">
        <v>58553</v>
      </c>
      <c r="C14200" s="330" t="s">
        <v>29902</v>
      </c>
      <c r="D14200" s="330" t="s">
        <v>29903</v>
      </c>
      <c r="E14200" s="330" t="s">
        <v>4634</v>
      </c>
      <c r="F14200" s="331">
        <v>0.21</v>
      </c>
      <c r="G14200" s="332">
        <v>387</v>
      </c>
      <c r="H14200" s="333">
        <v>469</v>
      </c>
    </row>
    <row r="14201" spans="1:8">
      <c r="A14201" s="317">
        <v>2610921119</v>
      </c>
      <c r="B14201" s="330" t="s">
        <v>58554</v>
      </c>
      <c r="C14201" s="330" t="s">
        <v>29904</v>
      </c>
      <c r="D14201" s="330" t="s">
        <v>29905</v>
      </c>
      <c r="E14201" s="330" t="s">
        <v>4634</v>
      </c>
      <c r="F14201" s="331">
        <v>0.21</v>
      </c>
      <c r="G14201" s="332">
        <v>455</v>
      </c>
      <c r="H14201" s="333">
        <v>551</v>
      </c>
    </row>
    <row r="14202" spans="1:8">
      <c r="A14202" s="317">
        <v>2610921120</v>
      </c>
      <c r="B14202" s="330" t="s">
        <v>58555</v>
      </c>
      <c r="C14202" s="330" t="s">
        <v>29906</v>
      </c>
      <c r="D14202" s="330" t="s">
        <v>29907</v>
      </c>
      <c r="E14202" s="330" t="s">
        <v>4634</v>
      </c>
      <c r="F14202" s="331">
        <v>0.21</v>
      </c>
      <c r="G14202" s="332">
        <v>48</v>
      </c>
      <c r="H14202" s="333">
        <v>59</v>
      </c>
    </row>
    <row r="14203" spans="1:8">
      <c r="A14203" s="317">
        <v>2610921121</v>
      </c>
      <c r="B14203" s="330" t="s">
        <v>58556</v>
      </c>
      <c r="C14203" s="330" t="s">
        <v>29908</v>
      </c>
      <c r="D14203" s="330" t="s">
        <v>29909</v>
      </c>
      <c r="E14203" s="330" t="s">
        <v>4623</v>
      </c>
      <c r="F14203" s="331">
        <v>0.21</v>
      </c>
      <c r="G14203" s="332">
        <v>1623</v>
      </c>
      <c r="H14203" s="333">
        <v>1964</v>
      </c>
    </row>
    <row r="14204" spans="1:8">
      <c r="A14204" s="317">
        <v>2610921122</v>
      </c>
      <c r="B14204" s="330" t="s">
        <v>58557</v>
      </c>
      <c r="C14204" s="330" t="s">
        <v>29910</v>
      </c>
      <c r="D14204" s="330" t="s">
        <v>29911</v>
      </c>
      <c r="E14204" s="330" t="s">
        <v>37248</v>
      </c>
      <c r="F14204" s="331">
        <v>0.21</v>
      </c>
      <c r="G14204" s="332">
        <v>5784</v>
      </c>
      <c r="H14204" s="333">
        <v>6999</v>
      </c>
    </row>
    <row r="14205" spans="1:8">
      <c r="A14205" s="317">
        <v>2610921124</v>
      </c>
      <c r="B14205" s="330" t="s">
        <v>58558</v>
      </c>
      <c r="C14205" s="330" t="s">
        <v>29912</v>
      </c>
      <c r="D14205" s="330" t="s">
        <v>29913</v>
      </c>
      <c r="E14205" s="330" t="s">
        <v>4634</v>
      </c>
      <c r="F14205" s="331">
        <v>0.21</v>
      </c>
      <c r="G14205" s="332">
        <v>12175</v>
      </c>
      <c r="H14205" s="333">
        <v>14732</v>
      </c>
    </row>
    <row r="14206" spans="1:8">
      <c r="A14206" s="317">
        <v>2610921125</v>
      </c>
      <c r="B14206" s="330" t="s">
        <v>58559</v>
      </c>
      <c r="C14206" s="330" t="s">
        <v>29914</v>
      </c>
      <c r="D14206" s="330" t="s">
        <v>29915</v>
      </c>
      <c r="E14206" s="330" t="s">
        <v>4634</v>
      </c>
      <c r="F14206" s="331">
        <v>0.21</v>
      </c>
      <c r="G14206" s="332">
        <v>15003</v>
      </c>
      <c r="H14206" s="333">
        <v>18154</v>
      </c>
    </row>
    <row r="14207" spans="1:8">
      <c r="A14207" s="317">
        <v>2610921127</v>
      </c>
      <c r="B14207" s="330" t="s">
        <v>58560</v>
      </c>
      <c r="C14207" s="330" t="s">
        <v>29916</v>
      </c>
      <c r="D14207" s="330" t="s">
        <v>29917</v>
      </c>
      <c r="E14207" s="330" t="s">
        <v>4634</v>
      </c>
      <c r="F14207" s="331">
        <v>0.21</v>
      </c>
      <c r="G14207" s="332">
        <v>274</v>
      </c>
      <c r="H14207" s="333">
        <v>332</v>
      </c>
    </row>
    <row r="14208" spans="1:8">
      <c r="A14208" s="317">
        <v>2610921128</v>
      </c>
      <c r="B14208" s="330" t="s">
        <v>58561</v>
      </c>
      <c r="C14208" s="330" t="s">
        <v>29918</v>
      </c>
      <c r="D14208" s="330" t="s">
        <v>29919</v>
      </c>
      <c r="E14208" s="330" t="s">
        <v>4634</v>
      </c>
      <c r="F14208" s="331">
        <v>0.21</v>
      </c>
      <c r="G14208" s="332">
        <v>372</v>
      </c>
      <c r="H14208" s="333">
        <v>451</v>
      </c>
    </row>
    <row r="14209" spans="1:8">
      <c r="A14209" s="317">
        <v>2610921130</v>
      </c>
      <c r="B14209" s="330" t="s">
        <v>58562</v>
      </c>
      <c r="C14209" s="330" t="s">
        <v>29920</v>
      </c>
      <c r="D14209" s="330" t="s">
        <v>29921</v>
      </c>
      <c r="E14209" s="330" t="s">
        <v>4634</v>
      </c>
      <c r="F14209" s="331">
        <v>0.21</v>
      </c>
      <c r="G14209" s="332">
        <v>455</v>
      </c>
      <c r="H14209" s="333">
        <v>551</v>
      </c>
    </row>
    <row r="14210" spans="1:8">
      <c r="A14210" s="317">
        <v>2610921131</v>
      </c>
      <c r="B14210" s="330" t="s">
        <v>58563</v>
      </c>
      <c r="C14210" s="330" t="s">
        <v>29922</v>
      </c>
      <c r="D14210" s="330" t="s">
        <v>29923</v>
      </c>
      <c r="E14210" s="330" t="s">
        <v>4634</v>
      </c>
      <c r="F14210" s="331">
        <v>0.21</v>
      </c>
      <c r="G14210" s="332">
        <v>673</v>
      </c>
      <c r="H14210" s="333">
        <v>815</v>
      </c>
    </row>
    <row r="14211" spans="1:8">
      <c r="A14211" s="317">
        <v>2610921132</v>
      </c>
      <c r="B14211" s="330" t="s">
        <v>58564</v>
      </c>
      <c r="C14211" s="330" t="s">
        <v>29924</v>
      </c>
      <c r="D14211" s="330" t="s">
        <v>29925</v>
      </c>
      <c r="E14211" s="330" t="s">
        <v>37248</v>
      </c>
      <c r="F14211" s="331">
        <v>0.21</v>
      </c>
      <c r="G14211" s="332">
        <v>6674</v>
      </c>
      <c r="H14211" s="333">
        <v>8076</v>
      </c>
    </row>
    <row r="14212" spans="1:8">
      <c r="A14212" s="317">
        <v>2610921133</v>
      </c>
      <c r="B14212" s="330" t="s">
        <v>58565</v>
      </c>
      <c r="C14212" s="330" t="s">
        <v>29926</v>
      </c>
      <c r="D14212" s="330" t="s">
        <v>29927</v>
      </c>
      <c r="E14212" s="330" t="s">
        <v>4634</v>
      </c>
      <c r="F14212" s="331">
        <v>0.21</v>
      </c>
      <c r="G14212" s="332">
        <v>36276</v>
      </c>
      <c r="H14212" s="333">
        <v>43894</v>
      </c>
    </row>
    <row r="14213" spans="1:8">
      <c r="A14213" s="317">
        <v>2610921144</v>
      </c>
      <c r="B14213" s="330" t="s">
        <v>58566</v>
      </c>
      <c r="C14213" s="330" t="s">
        <v>29928</v>
      </c>
      <c r="D14213" s="330" t="s">
        <v>29929</v>
      </c>
      <c r="E14213" s="330" t="s">
        <v>4634</v>
      </c>
      <c r="F14213" s="331">
        <v>0.21</v>
      </c>
      <c r="G14213" s="332">
        <v>274</v>
      </c>
      <c r="H14213" s="333">
        <v>332</v>
      </c>
    </row>
    <row r="14214" spans="1:8">
      <c r="A14214" s="317">
        <v>2610921176</v>
      </c>
      <c r="B14214" s="330" t="s">
        <v>58567</v>
      </c>
      <c r="C14214" s="330" t="s">
        <v>29930</v>
      </c>
      <c r="D14214" s="330" t="s">
        <v>5133</v>
      </c>
      <c r="E14214" s="330" t="s">
        <v>37248</v>
      </c>
      <c r="F14214" s="331">
        <v>0.21</v>
      </c>
      <c r="G14214" s="332">
        <v>8811</v>
      </c>
      <c r="H14214" s="333">
        <v>10662</v>
      </c>
    </row>
    <row r="14215" spans="1:8">
      <c r="A14215" s="317">
        <v>2610921530</v>
      </c>
      <c r="B14215" s="330" t="s">
        <v>58568</v>
      </c>
      <c r="C14215" s="330" t="s">
        <v>29931</v>
      </c>
      <c r="D14215" s="330" t="s">
        <v>29932</v>
      </c>
      <c r="E14215" s="330" t="s">
        <v>4634</v>
      </c>
      <c r="F14215" s="331">
        <v>0.21</v>
      </c>
      <c r="G14215" s="332">
        <v>236</v>
      </c>
      <c r="H14215" s="333">
        <v>286</v>
      </c>
    </row>
    <row r="14216" spans="1:8">
      <c r="A14216" s="317">
        <v>2610921905</v>
      </c>
      <c r="B14216" s="330" t="s">
        <v>58569</v>
      </c>
      <c r="C14216" s="330" t="s">
        <v>29933</v>
      </c>
      <c r="D14216" s="330" t="s">
        <v>29934</v>
      </c>
      <c r="E14216" s="330" t="s">
        <v>4819</v>
      </c>
      <c r="F14216" s="331">
        <v>0.21</v>
      </c>
      <c r="G14216" s="332">
        <v>47430</v>
      </c>
      <c r="H14216" s="333">
        <v>57391</v>
      </c>
    </row>
    <row r="14217" spans="1:8">
      <c r="A14217" s="317">
        <v>2610922568</v>
      </c>
      <c r="B14217" s="330" t="s">
        <v>58570</v>
      </c>
      <c r="C14217" s="330" t="s">
        <v>29935</v>
      </c>
      <c r="D14217" s="330" t="s">
        <v>29936</v>
      </c>
      <c r="E14217" s="330" t="s">
        <v>4634</v>
      </c>
      <c r="F14217" s="331">
        <v>0.21</v>
      </c>
      <c r="G14217" s="332">
        <v>2748</v>
      </c>
      <c r="H14217" s="333">
        <v>3326</v>
      </c>
    </row>
    <row r="14218" spans="1:8">
      <c r="A14218" s="317">
        <v>2610922569</v>
      </c>
      <c r="B14218" s="330" t="s">
        <v>58571</v>
      </c>
      <c r="C14218" s="330" t="s">
        <v>29937</v>
      </c>
      <c r="D14218" s="330" t="s">
        <v>29938</v>
      </c>
      <c r="E14218" s="330" t="s">
        <v>4634</v>
      </c>
      <c r="F14218" s="331">
        <v>0.21</v>
      </c>
      <c r="G14218" s="332">
        <v>7250</v>
      </c>
      <c r="H14218" s="333">
        <v>8773</v>
      </c>
    </row>
    <row r="14219" spans="1:8">
      <c r="A14219" s="317">
        <v>2610922570</v>
      </c>
      <c r="B14219" s="330" t="s">
        <v>58572</v>
      </c>
      <c r="C14219" s="330" t="s">
        <v>29939</v>
      </c>
      <c r="D14219" s="330" t="s">
        <v>29940</v>
      </c>
      <c r="E14219" s="330" t="s">
        <v>4634</v>
      </c>
      <c r="F14219" s="331">
        <v>0.21</v>
      </c>
      <c r="G14219" s="332">
        <v>1547</v>
      </c>
      <c r="H14219" s="333">
        <v>1872</v>
      </c>
    </row>
    <row r="14220" spans="1:8">
      <c r="A14220" s="317">
        <v>2610922572</v>
      </c>
      <c r="B14220" s="330" t="s">
        <v>58573</v>
      </c>
      <c r="C14220" s="330" t="s">
        <v>29941</v>
      </c>
      <c r="D14220" s="330" t="s">
        <v>29942</v>
      </c>
      <c r="E14220" s="330" t="s">
        <v>4634</v>
      </c>
      <c r="F14220" s="331">
        <v>0.21</v>
      </c>
      <c r="G14220" s="332">
        <v>1199</v>
      </c>
      <c r="H14220" s="333">
        <v>1451</v>
      </c>
    </row>
    <row r="14221" spans="1:8">
      <c r="A14221" s="317">
        <v>2610923193</v>
      </c>
      <c r="B14221" s="330" t="s">
        <v>58574</v>
      </c>
      <c r="C14221" s="330" t="s">
        <v>29943</v>
      </c>
      <c r="D14221" s="330" t="s">
        <v>29944</v>
      </c>
      <c r="E14221" s="330" t="s">
        <v>37248</v>
      </c>
      <c r="F14221" s="331">
        <v>0.21</v>
      </c>
      <c r="G14221" s="332">
        <v>7173</v>
      </c>
      <c r="H14221" s="333">
        <v>8680</v>
      </c>
    </row>
    <row r="14222" spans="1:8">
      <c r="A14222" s="317">
        <v>2610923224</v>
      </c>
      <c r="B14222" s="330" t="s">
        <v>58575</v>
      </c>
      <c r="C14222" s="330" t="s">
        <v>29945</v>
      </c>
      <c r="D14222" s="330" t="s">
        <v>29946</v>
      </c>
      <c r="E14222" s="330" t="s">
        <v>4634</v>
      </c>
      <c r="F14222" s="331">
        <v>0.21</v>
      </c>
      <c r="G14222" s="332">
        <v>274</v>
      </c>
      <c r="H14222" s="333">
        <v>332</v>
      </c>
    </row>
    <row r="14223" spans="1:8">
      <c r="A14223" s="317">
        <v>2610923615</v>
      </c>
      <c r="B14223" s="330" t="s">
        <v>58576</v>
      </c>
      <c r="C14223" s="330" t="s">
        <v>29947</v>
      </c>
      <c r="D14223" s="330" t="s">
        <v>29948</v>
      </c>
      <c r="E14223" s="330" t="s">
        <v>4634</v>
      </c>
      <c r="F14223" s="331">
        <v>0.21</v>
      </c>
      <c r="G14223" s="332">
        <v>5956</v>
      </c>
      <c r="H14223" s="333">
        <v>7207</v>
      </c>
    </row>
    <row r="14224" spans="1:8">
      <c r="A14224" s="317">
        <v>2610923830</v>
      </c>
      <c r="B14224" s="330" t="s">
        <v>58577</v>
      </c>
      <c r="C14224" s="330" t="s">
        <v>29949</v>
      </c>
      <c r="D14224" s="330" t="s">
        <v>27241</v>
      </c>
      <c r="E14224" s="330" t="s">
        <v>37248</v>
      </c>
      <c r="F14224" s="331">
        <v>0.21</v>
      </c>
      <c r="G14224" s="332">
        <v>194</v>
      </c>
      <c r="H14224" s="333">
        <v>235</v>
      </c>
    </row>
    <row r="14225" spans="1:8">
      <c r="A14225" s="317">
        <v>2610923941</v>
      </c>
      <c r="B14225" s="330" t="s">
        <v>58578</v>
      </c>
      <c r="C14225" s="330" t="s">
        <v>29950</v>
      </c>
      <c r="D14225" s="330" t="s">
        <v>29951</v>
      </c>
      <c r="E14225" s="330" t="s">
        <v>4634</v>
      </c>
      <c r="F14225" s="331">
        <v>0.21</v>
      </c>
      <c r="G14225" s="332">
        <v>1258</v>
      </c>
      <c r="H14225" s="333">
        <v>1523</v>
      </c>
    </row>
    <row r="14226" spans="1:8">
      <c r="A14226" s="317">
        <v>2610923942</v>
      </c>
      <c r="B14226" s="330" t="s">
        <v>58579</v>
      </c>
      <c r="C14226" s="330" t="s">
        <v>29952</v>
      </c>
      <c r="D14226" s="330" t="s">
        <v>9496</v>
      </c>
      <c r="E14226" s="330" t="s">
        <v>4634</v>
      </c>
      <c r="F14226" s="331">
        <v>0.21</v>
      </c>
      <c r="G14226" s="332">
        <v>1170</v>
      </c>
      <c r="H14226" s="333">
        <v>1416</v>
      </c>
    </row>
    <row r="14227" spans="1:8">
      <c r="A14227" s="317">
        <v>2610924143</v>
      </c>
      <c r="B14227" s="330" t="s">
        <v>58580</v>
      </c>
      <c r="C14227" s="330" t="s">
        <v>29953</v>
      </c>
      <c r="D14227" s="330" t="s">
        <v>29954</v>
      </c>
      <c r="E14227" s="330" t="s">
        <v>4634</v>
      </c>
      <c r="F14227" s="331">
        <v>0.21</v>
      </c>
      <c r="G14227" s="332">
        <v>820</v>
      </c>
      <c r="H14227" s="333">
        <v>993</v>
      </c>
    </row>
    <row r="14228" spans="1:8">
      <c r="A14228" s="317">
        <v>2610924368</v>
      </c>
      <c r="B14228" s="330" t="s">
        <v>58581</v>
      </c>
      <c r="C14228" s="330" t="s">
        <v>29955</v>
      </c>
      <c r="D14228" s="330" t="s">
        <v>7884</v>
      </c>
      <c r="E14228" s="330" t="s">
        <v>37248</v>
      </c>
      <c r="F14228" s="331">
        <v>0.21</v>
      </c>
      <c r="G14228" s="332">
        <v>2823</v>
      </c>
      <c r="H14228" s="333">
        <v>3416</v>
      </c>
    </row>
    <row r="14229" spans="1:8">
      <c r="A14229" s="317">
        <v>2610924448</v>
      </c>
      <c r="B14229" s="330" t="s">
        <v>58582</v>
      </c>
      <c r="C14229" s="330" t="s">
        <v>29956</v>
      </c>
      <c r="D14229" s="330" t="s">
        <v>29957</v>
      </c>
      <c r="E14229" s="330" t="s">
        <v>4634</v>
      </c>
      <c r="F14229" s="331">
        <v>0.21</v>
      </c>
      <c r="G14229" s="332">
        <v>820</v>
      </c>
      <c r="H14229" s="333">
        <v>993</v>
      </c>
    </row>
    <row r="14230" spans="1:8">
      <c r="A14230" s="317">
        <v>2610924635</v>
      </c>
      <c r="B14230" s="330" t="s">
        <v>58583</v>
      </c>
      <c r="C14230" s="330" t="s">
        <v>29958</v>
      </c>
      <c r="D14230" s="330" t="s">
        <v>29959</v>
      </c>
      <c r="E14230" s="330" t="s">
        <v>4634</v>
      </c>
      <c r="F14230" s="331">
        <v>0.21</v>
      </c>
      <c r="G14230" s="332">
        <v>274</v>
      </c>
      <c r="H14230" s="333">
        <v>332</v>
      </c>
    </row>
    <row r="14231" spans="1:8">
      <c r="A14231" s="317">
        <v>2610924636</v>
      </c>
      <c r="B14231" s="330" t="s">
        <v>58584</v>
      </c>
      <c r="C14231" s="330" t="s">
        <v>29960</v>
      </c>
      <c r="D14231" s="330" t="s">
        <v>29961</v>
      </c>
      <c r="E14231" s="330" t="s">
        <v>4634</v>
      </c>
      <c r="F14231" s="331">
        <v>0.21</v>
      </c>
      <c r="G14231" s="332">
        <v>490</v>
      </c>
      <c r="H14231" s="333">
        <v>593</v>
      </c>
    </row>
    <row r="14232" spans="1:8">
      <c r="A14232" s="317">
        <v>2610924684</v>
      </c>
      <c r="B14232" s="330" t="s">
        <v>58585</v>
      </c>
      <c r="C14232" s="330" t="s">
        <v>29962</v>
      </c>
      <c r="D14232" s="330" t="s">
        <v>29963</v>
      </c>
      <c r="E14232" s="330" t="s">
        <v>4634</v>
      </c>
      <c r="F14232" s="331">
        <v>0.21</v>
      </c>
      <c r="G14232" s="332">
        <v>236</v>
      </c>
      <c r="H14232" s="333">
        <v>286</v>
      </c>
    </row>
    <row r="14233" spans="1:8">
      <c r="A14233" s="317">
        <v>2610924685</v>
      </c>
      <c r="B14233" s="330" t="s">
        <v>58586</v>
      </c>
      <c r="C14233" s="330" t="s">
        <v>29964</v>
      </c>
      <c r="D14233" s="330" t="s">
        <v>29965</v>
      </c>
      <c r="E14233" s="330" t="s">
        <v>4634</v>
      </c>
      <c r="F14233" s="331">
        <v>0.21</v>
      </c>
      <c r="G14233" s="332">
        <v>274</v>
      </c>
      <c r="H14233" s="333">
        <v>332</v>
      </c>
    </row>
    <row r="14234" spans="1:8">
      <c r="A14234" s="317">
        <v>2610924687</v>
      </c>
      <c r="B14234" s="330" t="s">
        <v>58587</v>
      </c>
      <c r="C14234" s="330" t="s">
        <v>29966</v>
      </c>
      <c r="D14234" s="330" t="s">
        <v>29967</v>
      </c>
      <c r="E14234" s="330" t="s">
        <v>4634</v>
      </c>
      <c r="F14234" s="331">
        <v>0.21</v>
      </c>
      <c r="G14234" s="332">
        <v>153</v>
      </c>
      <c r="H14234" s="333">
        <v>186</v>
      </c>
    </row>
    <row r="14235" spans="1:8">
      <c r="A14235" s="317">
        <v>2610924961</v>
      </c>
      <c r="B14235" s="330" t="s">
        <v>58588</v>
      </c>
      <c r="C14235" s="330" t="s">
        <v>29968</v>
      </c>
      <c r="D14235" s="330" t="s">
        <v>27167</v>
      </c>
      <c r="E14235" s="330" t="s">
        <v>37248</v>
      </c>
      <c r="F14235" s="331">
        <v>0.21</v>
      </c>
      <c r="G14235" s="332">
        <v>216</v>
      </c>
      <c r="H14235" s="333">
        <v>262</v>
      </c>
    </row>
    <row r="14236" spans="1:8">
      <c r="A14236" s="317">
        <v>2610925187</v>
      </c>
      <c r="B14236" s="330" t="s">
        <v>58589</v>
      </c>
      <c r="C14236" s="330" t="s">
        <v>29969</v>
      </c>
      <c r="D14236" s="330" t="s">
        <v>27167</v>
      </c>
      <c r="E14236" s="330" t="s">
        <v>37248</v>
      </c>
      <c r="F14236" s="331">
        <v>0.21</v>
      </c>
      <c r="G14236" s="332">
        <v>107</v>
      </c>
      <c r="H14236" s="333">
        <v>130</v>
      </c>
    </row>
    <row r="14237" spans="1:8">
      <c r="A14237" s="317">
        <v>2610925244</v>
      </c>
      <c r="B14237" s="330" t="s">
        <v>58590</v>
      </c>
      <c r="C14237" s="330" t="s">
        <v>29970</v>
      </c>
      <c r="D14237" s="330" t="s">
        <v>29971</v>
      </c>
      <c r="E14237" s="330" t="s">
        <v>4634</v>
      </c>
      <c r="F14237" s="331">
        <v>0.21</v>
      </c>
      <c r="G14237" s="332">
        <v>711</v>
      </c>
      <c r="H14237" s="333">
        <v>861</v>
      </c>
    </row>
    <row r="14238" spans="1:8">
      <c r="A14238" s="317">
        <v>2610925247</v>
      </c>
      <c r="B14238" s="330" t="s">
        <v>58591</v>
      </c>
      <c r="C14238" s="330" t="s">
        <v>29972</v>
      </c>
      <c r="D14238" s="330" t="s">
        <v>29973</v>
      </c>
      <c r="E14238" s="330" t="s">
        <v>4819</v>
      </c>
      <c r="F14238" s="331">
        <v>0.21</v>
      </c>
      <c r="G14238" s="332">
        <v>3259</v>
      </c>
      <c r="H14238" s="333">
        <v>3944</v>
      </c>
    </row>
    <row r="14239" spans="1:8">
      <c r="A14239" s="317">
        <v>2610925248</v>
      </c>
      <c r="B14239" s="330" t="s">
        <v>58592</v>
      </c>
      <c r="C14239" s="330" t="s">
        <v>29974</v>
      </c>
      <c r="D14239" s="330" t="s">
        <v>29975</v>
      </c>
      <c r="E14239" s="330" t="s">
        <v>37248</v>
      </c>
      <c r="F14239" s="331">
        <v>0.21</v>
      </c>
      <c r="G14239" s="332">
        <v>4900</v>
      </c>
      <c r="H14239" s="333">
        <v>5929</v>
      </c>
    </row>
    <row r="14240" spans="1:8">
      <c r="A14240" s="317">
        <v>2610925373</v>
      </c>
      <c r="B14240" s="330" t="s">
        <v>58593</v>
      </c>
      <c r="C14240" s="330" t="s">
        <v>29976</v>
      </c>
      <c r="D14240" s="330" t="s">
        <v>29977</v>
      </c>
      <c r="E14240" s="330" t="s">
        <v>4819</v>
      </c>
      <c r="F14240" s="331">
        <v>0.21</v>
      </c>
      <c r="G14240" s="332">
        <v>37644</v>
      </c>
      <c r="H14240" s="333">
        <v>45550</v>
      </c>
    </row>
    <row r="14241" spans="1:8">
      <c r="A14241" s="317">
        <v>2610925374</v>
      </c>
      <c r="B14241" s="330" t="s">
        <v>58594</v>
      </c>
      <c r="C14241" s="330" t="s">
        <v>29978</v>
      </c>
      <c r="D14241" s="330" t="s">
        <v>29979</v>
      </c>
      <c r="E14241" s="330" t="s">
        <v>4819</v>
      </c>
      <c r="F14241" s="331">
        <v>0.21</v>
      </c>
      <c r="G14241" s="332">
        <v>66316</v>
      </c>
      <c r="H14241" s="333">
        <v>80243</v>
      </c>
    </row>
    <row r="14242" spans="1:8">
      <c r="A14242" s="317">
        <v>2610925421</v>
      </c>
      <c r="B14242" s="330" t="s">
        <v>58595</v>
      </c>
      <c r="C14242" s="330" t="s">
        <v>29980</v>
      </c>
      <c r="D14242" s="330" t="s">
        <v>29981</v>
      </c>
      <c r="E14242" s="330" t="s">
        <v>37248</v>
      </c>
      <c r="F14242" s="331">
        <v>0.21</v>
      </c>
      <c r="G14242" s="332">
        <v>9418</v>
      </c>
      <c r="H14242" s="333">
        <v>11396</v>
      </c>
    </row>
    <row r="14243" spans="1:8">
      <c r="A14243" s="317">
        <v>2610925438</v>
      </c>
      <c r="B14243" s="330" t="s">
        <v>58596</v>
      </c>
      <c r="C14243" s="330" t="s">
        <v>29982</v>
      </c>
      <c r="D14243" s="330" t="s">
        <v>27095</v>
      </c>
      <c r="E14243" s="330" t="s">
        <v>37248</v>
      </c>
      <c r="F14243" s="331">
        <v>0.21</v>
      </c>
      <c r="G14243" s="332">
        <v>174</v>
      </c>
      <c r="H14243" s="333">
        <v>211</v>
      </c>
    </row>
    <row r="14244" spans="1:8">
      <c r="A14244" s="317">
        <v>2610925591</v>
      </c>
      <c r="B14244" s="330" t="s">
        <v>58597</v>
      </c>
      <c r="C14244" s="330" t="s">
        <v>29983</v>
      </c>
      <c r="D14244" s="330" t="s">
        <v>29984</v>
      </c>
      <c r="E14244" s="330" t="s">
        <v>37248</v>
      </c>
      <c r="F14244" s="331">
        <v>0.21</v>
      </c>
      <c r="G14244" s="332">
        <v>3785</v>
      </c>
      <c r="H14244" s="333">
        <v>4580</v>
      </c>
    </row>
    <row r="14245" spans="1:8">
      <c r="A14245" s="317">
        <v>2610925714</v>
      </c>
      <c r="B14245" s="330" t="s">
        <v>58598</v>
      </c>
      <c r="C14245" s="330" t="s">
        <v>29985</v>
      </c>
      <c r="D14245" s="330" t="s">
        <v>29986</v>
      </c>
      <c r="E14245" s="330" t="s">
        <v>4634</v>
      </c>
      <c r="F14245" s="331">
        <v>0.21</v>
      </c>
      <c r="G14245" s="332">
        <v>4963</v>
      </c>
      <c r="H14245" s="333">
        <v>6006</v>
      </c>
    </row>
    <row r="14246" spans="1:8">
      <c r="A14246" s="317">
        <v>2610925721</v>
      </c>
      <c r="B14246" s="330" t="s">
        <v>58599</v>
      </c>
      <c r="C14246" s="330" t="s">
        <v>29987</v>
      </c>
      <c r="D14246" s="330" t="s">
        <v>29988</v>
      </c>
      <c r="E14246" s="330" t="s">
        <v>37248</v>
      </c>
      <c r="F14246" s="331">
        <v>0.21</v>
      </c>
      <c r="G14246" s="332">
        <v>4205</v>
      </c>
      <c r="H14246" s="333">
        <v>5089</v>
      </c>
    </row>
    <row r="14247" spans="1:8">
      <c r="A14247" s="317">
        <v>2610925864</v>
      </c>
      <c r="B14247" s="330" t="s">
        <v>58600</v>
      </c>
      <c r="C14247" s="330" t="s">
        <v>29989</v>
      </c>
      <c r="D14247" s="330" t="s">
        <v>18289</v>
      </c>
      <c r="E14247" s="330" t="s">
        <v>4634</v>
      </c>
      <c r="F14247" s="331">
        <v>0.21</v>
      </c>
      <c r="G14247" s="332">
        <v>153</v>
      </c>
      <c r="H14247" s="333">
        <v>186</v>
      </c>
    </row>
    <row r="14248" spans="1:8">
      <c r="A14248" s="317">
        <v>2610925983</v>
      </c>
      <c r="B14248" s="330" t="s">
        <v>58601</v>
      </c>
      <c r="C14248" s="330" t="s">
        <v>29990</v>
      </c>
      <c r="D14248" s="330" t="s">
        <v>29991</v>
      </c>
      <c r="E14248" s="330" t="s">
        <v>37248</v>
      </c>
      <c r="F14248" s="331">
        <v>0.21</v>
      </c>
      <c r="G14248" s="332">
        <v>15963</v>
      </c>
      <c r="H14248" s="333">
        <v>19316</v>
      </c>
    </row>
    <row r="14249" spans="1:8">
      <c r="A14249" s="317">
        <v>2610927767</v>
      </c>
      <c r="B14249" s="330" t="s">
        <v>58602</v>
      </c>
      <c r="C14249" s="330" t="s">
        <v>29992</v>
      </c>
      <c r="D14249" s="330" t="s">
        <v>29993</v>
      </c>
      <c r="E14249" s="330" t="s">
        <v>4819</v>
      </c>
      <c r="F14249" s="331">
        <v>0.21</v>
      </c>
      <c r="G14249" s="332">
        <v>68725</v>
      </c>
      <c r="H14249" s="333">
        <v>83158</v>
      </c>
    </row>
    <row r="14250" spans="1:8">
      <c r="A14250" s="317">
        <v>2610927769</v>
      </c>
      <c r="B14250" s="330" t="s">
        <v>58603</v>
      </c>
      <c r="C14250" s="330" t="s">
        <v>29994</v>
      </c>
      <c r="D14250" s="330" t="s">
        <v>29995</v>
      </c>
      <c r="E14250" s="330" t="s">
        <v>4634</v>
      </c>
      <c r="F14250" s="331">
        <v>0.21</v>
      </c>
      <c r="G14250" s="332">
        <v>210441</v>
      </c>
      <c r="H14250" s="333">
        <v>254634</v>
      </c>
    </row>
    <row r="14251" spans="1:8">
      <c r="A14251" s="317">
        <v>2610928647</v>
      </c>
      <c r="B14251" s="330" t="s">
        <v>58604</v>
      </c>
      <c r="C14251" s="330" t="s">
        <v>29996</v>
      </c>
      <c r="D14251" s="330" t="s">
        <v>29997</v>
      </c>
      <c r="E14251" s="330" t="s">
        <v>4634</v>
      </c>
      <c r="F14251" s="331">
        <v>0.21</v>
      </c>
      <c r="G14251" s="332">
        <v>3056</v>
      </c>
      <c r="H14251" s="333">
        <v>3698</v>
      </c>
    </row>
    <row r="14252" spans="1:8">
      <c r="A14252" s="317">
        <v>2610928648</v>
      </c>
      <c r="B14252" s="330" t="s">
        <v>58605</v>
      </c>
      <c r="C14252" s="330" t="s">
        <v>29998</v>
      </c>
      <c r="D14252" s="330" t="s">
        <v>29999</v>
      </c>
      <c r="E14252" s="330" t="s">
        <v>4634</v>
      </c>
      <c r="F14252" s="331">
        <v>0.21</v>
      </c>
      <c r="G14252" s="332">
        <v>48476</v>
      </c>
      <c r="H14252" s="333">
        <v>58656</v>
      </c>
    </row>
    <row r="14253" spans="1:8">
      <c r="A14253" s="317">
        <v>2610928650</v>
      </c>
      <c r="B14253" s="330" t="s">
        <v>58606</v>
      </c>
      <c r="C14253" s="330" t="s">
        <v>30000</v>
      </c>
      <c r="D14253" s="330" t="s">
        <v>30001</v>
      </c>
      <c r="E14253" s="330" t="s">
        <v>37248</v>
      </c>
      <c r="F14253" s="331">
        <v>0.21</v>
      </c>
      <c r="G14253" s="332">
        <v>6640</v>
      </c>
      <c r="H14253" s="333">
        <v>8035</v>
      </c>
    </row>
    <row r="14254" spans="1:8">
      <c r="A14254" s="317">
        <v>2610929391</v>
      </c>
      <c r="B14254" s="330" t="s">
        <v>58607</v>
      </c>
      <c r="C14254" s="330" t="s">
        <v>30002</v>
      </c>
      <c r="D14254" s="330" t="s">
        <v>30003</v>
      </c>
      <c r="E14254" s="330" t="s">
        <v>4634</v>
      </c>
      <c r="F14254" s="331">
        <v>0.21</v>
      </c>
      <c r="G14254" s="332">
        <v>711</v>
      </c>
      <c r="H14254" s="333">
        <v>861</v>
      </c>
    </row>
    <row r="14255" spans="1:8">
      <c r="A14255" s="317">
        <v>2610930051</v>
      </c>
      <c r="B14255" s="330" t="s">
        <v>58608</v>
      </c>
      <c r="C14255" s="330" t="s">
        <v>30004</v>
      </c>
      <c r="D14255" s="330" t="s">
        <v>30005</v>
      </c>
      <c r="E14255" s="330" t="s">
        <v>4634</v>
      </c>
      <c r="F14255" s="331">
        <v>0.21</v>
      </c>
      <c r="G14255" s="332">
        <v>6946</v>
      </c>
      <c r="H14255" s="333">
        <v>8405</v>
      </c>
    </row>
    <row r="14256" spans="1:8">
      <c r="A14256" s="317">
        <v>2610930054</v>
      </c>
      <c r="B14256" s="330" t="s">
        <v>58609</v>
      </c>
      <c r="C14256" s="330" t="s">
        <v>30006</v>
      </c>
      <c r="D14256" s="330" t="s">
        <v>30007</v>
      </c>
      <c r="E14256" s="330" t="s">
        <v>4634</v>
      </c>
      <c r="F14256" s="331">
        <v>0.21</v>
      </c>
      <c r="G14256" s="332">
        <v>62321</v>
      </c>
      <c r="H14256" s="333">
        <v>75409</v>
      </c>
    </row>
    <row r="14257" spans="1:8">
      <c r="A14257" s="317">
        <v>2610930057</v>
      </c>
      <c r="B14257" s="330" t="s">
        <v>58610</v>
      </c>
      <c r="C14257" s="330" t="s">
        <v>30008</v>
      </c>
      <c r="D14257" s="330" t="s">
        <v>30009</v>
      </c>
      <c r="E14257" s="330" t="s">
        <v>4634</v>
      </c>
      <c r="F14257" s="331">
        <v>0.21</v>
      </c>
      <c r="G14257" s="332">
        <v>37338</v>
      </c>
      <c r="H14257" s="333">
        <v>45179</v>
      </c>
    </row>
    <row r="14258" spans="1:8">
      <c r="A14258" s="317">
        <v>2610930066</v>
      </c>
      <c r="B14258" s="330" t="s">
        <v>58611</v>
      </c>
      <c r="C14258" s="330" t="s">
        <v>30010</v>
      </c>
      <c r="D14258" s="330" t="s">
        <v>30011</v>
      </c>
      <c r="E14258" s="330" t="s">
        <v>4634</v>
      </c>
      <c r="F14258" s="331">
        <v>0.21</v>
      </c>
      <c r="G14258" s="332">
        <v>1126</v>
      </c>
      <c r="H14258" s="333">
        <v>1363</v>
      </c>
    </row>
    <row r="14259" spans="1:8">
      <c r="A14259" s="317">
        <v>2610930070</v>
      </c>
      <c r="B14259" s="330" t="s">
        <v>58612</v>
      </c>
      <c r="C14259" s="330" t="s">
        <v>30012</v>
      </c>
      <c r="D14259" s="330" t="s">
        <v>30013</v>
      </c>
      <c r="E14259" s="330" t="s">
        <v>4634</v>
      </c>
      <c r="F14259" s="331">
        <v>0.21</v>
      </c>
      <c r="G14259" s="332">
        <v>3189</v>
      </c>
      <c r="H14259" s="333">
        <v>3859</v>
      </c>
    </row>
    <row r="14260" spans="1:8">
      <c r="A14260" s="317">
        <v>2610930071</v>
      </c>
      <c r="B14260" s="330" t="s">
        <v>58613</v>
      </c>
      <c r="C14260" s="330" t="s">
        <v>30014</v>
      </c>
      <c r="D14260" s="330" t="s">
        <v>30015</v>
      </c>
      <c r="E14260" s="330" t="s">
        <v>4634</v>
      </c>
      <c r="F14260" s="331">
        <v>0.21</v>
      </c>
      <c r="G14260" s="332">
        <v>584</v>
      </c>
      <c r="H14260" s="333">
        <v>707</v>
      </c>
    </row>
    <row r="14261" spans="1:8">
      <c r="A14261" s="317">
        <v>2610930072</v>
      </c>
      <c r="B14261" s="330" t="s">
        <v>58614</v>
      </c>
      <c r="C14261" s="330" t="s">
        <v>30016</v>
      </c>
      <c r="D14261" s="330" t="s">
        <v>30017</v>
      </c>
      <c r="E14261" s="330" t="s">
        <v>4634</v>
      </c>
      <c r="F14261" s="331">
        <v>0.21</v>
      </c>
      <c r="G14261" s="332">
        <v>13846</v>
      </c>
      <c r="H14261" s="333">
        <v>16754</v>
      </c>
    </row>
    <row r="14262" spans="1:8">
      <c r="A14262" s="317">
        <v>2610930365</v>
      </c>
      <c r="B14262" s="330" t="s">
        <v>58615</v>
      </c>
      <c r="C14262" s="330" t="s">
        <v>30018</v>
      </c>
      <c r="D14262" s="330" t="s">
        <v>30019</v>
      </c>
      <c r="E14262" s="330" t="s">
        <v>4634</v>
      </c>
      <c r="F14262" s="331">
        <v>0.21</v>
      </c>
      <c r="G14262" s="332">
        <v>820</v>
      </c>
      <c r="H14262" s="333">
        <v>993</v>
      </c>
    </row>
    <row r="14263" spans="1:8">
      <c r="A14263" s="317">
        <v>2610930648</v>
      </c>
      <c r="B14263" s="330" t="s">
        <v>58616</v>
      </c>
      <c r="C14263" s="330" t="s">
        <v>30020</v>
      </c>
      <c r="D14263" s="330" t="s">
        <v>9487</v>
      </c>
      <c r="E14263" s="330" t="s">
        <v>4819</v>
      </c>
      <c r="F14263" s="331">
        <v>0.21</v>
      </c>
      <c r="G14263" s="332">
        <v>21725</v>
      </c>
      <c r="H14263" s="333">
        <v>26288</v>
      </c>
    </row>
    <row r="14264" spans="1:8">
      <c r="A14264" s="317">
        <v>2610930652</v>
      </c>
      <c r="B14264" s="330" t="s">
        <v>58617</v>
      </c>
      <c r="C14264" s="330" t="s">
        <v>30021</v>
      </c>
      <c r="D14264" s="330" t="s">
        <v>7725</v>
      </c>
      <c r="E14264" s="330" t="s">
        <v>4819</v>
      </c>
      <c r="F14264" s="331">
        <v>0.21</v>
      </c>
      <c r="G14264" s="332">
        <v>19601</v>
      </c>
      <c r="H14264" s="333">
        <v>23718</v>
      </c>
    </row>
    <row r="14265" spans="1:8">
      <c r="A14265" s="317">
        <v>2610930692</v>
      </c>
      <c r="B14265" s="330" t="s">
        <v>58618</v>
      </c>
      <c r="C14265" s="330" t="s">
        <v>30022</v>
      </c>
      <c r="D14265" s="330" t="s">
        <v>20338</v>
      </c>
      <c r="E14265" s="330" t="s">
        <v>37248</v>
      </c>
      <c r="F14265" s="331">
        <v>0.21</v>
      </c>
      <c r="G14265" s="332">
        <v>798</v>
      </c>
      <c r="H14265" s="333">
        <v>966</v>
      </c>
    </row>
    <row r="14266" spans="1:8">
      <c r="A14266" s="317">
        <v>2610931544</v>
      </c>
      <c r="B14266" s="330" t="s">
        <v>58619</v>
      </c>
      <c r="C14266" s="330" t="s">
        <v>30023</v>
      </c>
      <c r="D14266" s="330" t="s">
        <v>30024</v>
      </c>
      <c r="E14266" s="330" t="s">
        <v>37248</v>
      </c>
      <c r="F14266" s="331">
        <v>0.21</v>
      </c>
      <c r="G14266" s="332">
        <v>240</v>
      </c>
      <c r="H14266" s="333">
        <v>291</v>
      </c>
    </row>
    <row r="14267" spans="1:8">
      <c r="A14267" s="317">
        <v>2610931997</v>
      </c>
      <c r="B14267" s="330" t="s">
        <v>58620</v>
      </c>
      <c r="C14267" s="330" t="s">
        <v>30025</v>
      </c>
      <c r="D14267" s="330" t="s">
        <v>7235</v>
      </c>
      <c r="E14267" s="330" t="s">
        <v>4634</v>
      </c>
      <c r="F14267" s="331">
        <v>0.21</v>
      </c>
      <c r="G14267" s="332">
        <v>490</v>
      </c>
      <c r="H14267" s="333">
        <v>593</v>
      </c>
    </row>
    <row r="14268" spans="1:8">
      <c r="A14268" s="317">
        <v>2610933516</v>
      </c>
      <c r="B14268" s="330" t="s">
        <v>58621</v>
      </c>
      <c r="C14268" s="330" t="s">
        <v>30026</v>
      </c>
      <c r="D14268" s="330" t="s">
        <v>6840</v>
      </c>
      <c r="E14268" s="330" t="s">
        <v>37248</v>
      </c>
      <c r="F14268" s="331">
        <v>0.21</v>
      </c>
      <c r="G14268" s="332">
        <v>1155</v>
      </c>
      <c r="H14268" s="333">
        <v>1398</v>
      </c>
    </row>
    <row r="14269" spans="1:8">
      <c r="A14269" s="317">
        <v>2610933937</v>
      </c>
      <c r="B14269" s="330" t="s">
        <v>58622</v>
      </c>
      <c r="C14269" s="330" t="s">
        <v>30027</v>
      </c>
      <c r="D14269" s="330" t="s">
        <v>30028</v>
      </c>
      <c r="E14269" s="330" t="s">
        <v>4634</v>
      </c>
      <c r="F14269" s="331">
        <v>0.21</v>
      </c>
      <c r="G14269" s="332">
        <v>34614</v>
      </c>
      <c r="H14269" s="333">
        <v>41883</v>
      </c>
    </row>
    <row r="14270" spans="1:8">
      <c r="A14270" s="317">
        <v>2610933955</v>
      </c>
      <c r="B14270" s="330" t="s">
        <v>58623</v>
      </c>
      <c r="C14270" s="330" t="s">
        <v>30029</v>
      </c>
      <c r="D14270" s="330" t="s">
        <v>30030</v>
      </c>
      <c r="E14270" s="330" t="s">
        <v>4634</v>
      </c>
      <c r="F14270" s="331">
        <v>0.21</v>
      </c>
      <c r="G14270" s="332">
        <v>2491</v>
      </c>
      <c r="H14270" s="333">
        <v>3015</v>
      </c>
    </row>
    <row r="14271" spans="1:8">
      <c r="A14271" s="317">
        <v>2610933956</v>
      </c>
      <c r="B14271" s="330" t="s">
        <v>58624</v>
      </c>
      <c r="C14271" s="330" t="s">
        <v>30031</v>
      </c>
      <c r="D14271" s="330" t="s">
        <v>30032</v>
      </c>
      <c r="E14271" s="330" t="s">
        <v>4819</v>
      </c>
      <c r="F14271" s="331">
        <v>0.21</v>
      </c>
      <c r="G14271" s="332">
        <v>23641</v>
      </c>
      <c r="H14271" s="333">
        <v>28606</v>
      </c>
    </row>
    <row r="14272" spans="1:8">
      <c r="A14272" s="317">
        <v>2610934305</v>
      </c>
      <c r="B14272" s="330" t="s">
        <v>58625</v>
      </c>
      <c r="C14272" s="330" t="s">
        <v>30033</v>
      </c>
      <c r="D14272" s="330" t="s">
        <v>30034</v>
      </c>
      <c r="E14272" s="330" t="s">
        <v>4819</v>
      </c>
      <c r="F14272" s="331">
        <v>0.21</v>
      </c>
      <c r="G14272" s="332">
        <v>15077</v>
      </c>
      <c r="H14272" s="333">
        <v>18244</v>
      </c>
    </row>
    <row r="14273" spans="1:8">
      <c r="A14273" s="317">
        <v>2610934311</v>
      </c>
      <c r="B14273" s="330" t="s">
        <v>58626</v>
      </c>
      <c r="C14273" s="330" t="s">
        <v>30035</v>
      </c>
      <c r="D14273" s="330" t="s">
        <v>29936</v>
      </c>
      <c r="E14273" s="330" t="s">
        <v>4634</v>
      </c>
      <c r="F14273" s="331">
        <v>0.21</v>
      </c>
      <c r="G14273" s="332">
        <v>820</v>
      </c>
      <c r="H14273" s="333">
        <v>993</v>
      </c>
    </row>
    <row r="14274" spans="1:8">
      <c r="A14274" s="317">
        <v>2610934688</v>
      </c>
      <c r="B14274" s="330" t="s">
        <v>58627</v>
      </c>
      <c r="C14274" s="330" t="s">
        <v>30036</v>
      </c>
      <c r="D14274" s="330" t="s">
        <v>12242</v>
      </c>
      <c r="E14274" s="330" t="s">
        <v>4634</v>
      </c>
      <c r="F14274" s="331">
        <v>0.21</v>
      </c>
      <c r="G14274" s="332">
        <v>455</v>
      </c>
      <c r="H14274" s="333">
        <v>551</v>
      </c>
    </row>
    <row r="14275" spans="1:8">
      <c r="A14275" s="317">
        <v>2610934990</v>
      </c>
      <c r="B14275" s="330" t="s">
        <v>58628</v>
      </c>
      <c r="C14275" s="330" t="s">
        <v>30037</v>
      </c>
      <c r="D14275" s="330" t="s">
        <v>30038</v>
      </c>
      <c r="E14275" s="330" t="s">
        <v>4819</v>
      </c>
      <c r="F14275" s="331">
        <v>0.21</v>
      </c>
      <c r="G14275" s="332">
        <v>2478</v>
      </c>
      <c r="H14275" s="333">
        <v>2999</v>
      </c>
    </row>
    <row r="14276" spans="1:8">
      <c r="A14276" s="317">
        <v>2610934995</v>
      </c>
      <c r="B14276" s="330" t="s">
        <v>58629</v>
      </c>
      <c r="C14276" s="330" t="s">
        <v>30039</v>
      </c>
      <c r="D14276" s="330" t="s">
        <v>30040</v>
      </c>
      <c r="E14276" s="330" t="s">
        <v>37248</v>
      </c>
      <c r="F14276" s="331">
        <v>0.21</v>
      </c>
      <c r="G14276" s="332">
        <v>7856</v>
      </c>
      <c r="H14276" s="333">
        <v>9506</v>
      </c>
    </row>
    <row r="14277" spans="1:8">
      <c r="A14277" s="317">
        <v>2610934999</v>
      </c>
      <c r="B14277" s="330" t="s">
        <v>58630</v>
      </c>
      <c r="C14277" s="330" t="s">
        <v>30041</v>
      </c>
      <c r="D14277" s="330" t="s">
        <v>30042</v>
      </c>
      <c r="E14277" s="330" t="s">
        <v>4819</v>
      </c>
      <c r="F14277" s="331">
        <v>0.21</v>
      </c>
      <c r="G14277" s="332">
        <v>11011</v>
      </c>
      <c r="H14277" s="333">
        <v>13324</v>
      </c>
    </row>
    <row r="14278" spans="1:8">
      <c r="A14278" s="317">
        <v>2610935004</v>
      </c>
      <c r="B14278" s="330" t="s">
        <v>58631</v>
      </c>
      <c r="C14278" s="330" t="s">
        <v>30043</v>
      </c>
      <c r="D14278" s="330" t="s">
        <v>30044</v>
      </c>
      <c r="E14278" s="330" t="s">
        <v>37248</v>
      </c>
      <c r="F14278" s="331">
        <v>0.21</v>
      </c>
      <c r="G14278" s="332">
        <v>5663</v>
      </c>
      <c r="H14278" s="333">
        <v>6853</v>
      </c>
    </row>
    <row r="14279" spans="1:8">
      <c r="A14279" s="317">
        <v>2610935005</v>
      </c>
      <c r="B14279" s="330" t="s">
        <v>58632</v>
      </c>
      <c r="C14279" s="330" t="s">
        <v>30045</v>
      </c>
      <c r="D14279" s="330" t="s">
        <v>30046</v>
      </c>
      <c r="E14279" s="330" t="s">
        <v>37248</v>
      </c>
      <c r="F14279" s="331">
        <v>0.21</v>
      </c>
      <c r="G14279" s="332">
        <v>19858</v>
      </c>
      <c r="H14279" s="333">
        <v>24029</v>
      </c>
    </row>
    <row r="14280" spans="1:8">
      <c r="A14280" s="317">
        <v>2610935008</v>
      </c>
      <c r="B14280" s="330" t="s">
        <v>58633</v>
      </c>
      <c r="C14280" s="330" t="s">
        <v>30047</v>
      </c>
      <c r="D14280" s="330" t="s">
        <v>30048</v>
      </c>
      <c r="E14280" s="330" t="s">
        <v>37248</v>
      </c>
      <c r="F14280" s="331">
        <v>0.21</v>
      </c>
      <c r="G14280" s="332">
        <v>97558</v>
      </c>
      <c r="H14280" s="333">
        <v>118046</v>
      </c>
    </row>
    <row r="14281" spans="1:8">
      <c r="A14281" s="317">
        <v>2610935010</v>
      </c>
      <c r="B14281" s="330" t="s">
        <v>58634</v>
      </c>
      <c r="C14281" s="330" t="s">
        <v>30049</v>
      </c>
      <c r="D14281" s="330" t="s">
        <v>30050</v>
      </c>
      <c r="E14281" s="330" t="s">
        <v>37248</v>
      </c>
      <c r="F14281" s="331">
        <v>0.21</v>
      </c>
      <c r="G14281" s="332">
        <v>4737</v>
      </c>
      <c r="H14281" s="333">
        <v>5732</v>
      </c>
    </row>
    <row r="14282" spans="1:8">
      <c r="A14282" s="317">
        <v>2610935014</v>
      </c>
      <c r="B14282" s="330" t="s">
        <v>58635</v>
      </c>
      <c r="C14282" s="330" t="s">
        <v>30051</v>
      </c>
      <c r="D14282" s="330" t="s">
        <v>30052</v>
      </c>
      <c r="E14282" s="330" t="s">
        <v>37248</v>
      </c>
      <c r="F14282" s="331">
        <v>0.21</v>
      </c>
      <c r="G14282" s="332">
        <v>14946</v>
      </c>
      <c r="H14282" s="333">
        <v>18085</v>
      </c>
    </row>
    <row r="14283" spans="1:8">
      <c r="A14283" s="317">
        <v>2610935103</v>
      </c>
      <c r="B14283" s="330" t="s">
        <v>58636</v>
      </c>
      <c r="C14283" s="330" t="s">
        <v>30053</v>
      </c>
      <c r="D14283" s="330" t="s">
        <v>30054</v>
      </c>
      <c r="E14283" s="330" t="s">
        <v>37248</v>
      </c>
      <c r="F14283" s="331">
        <v>0.21</v>
      </c>
      <c r="G14283" s="332">
        <v>61374</v>
      </c>
      <c r="H14283" s="333">
        <v>74263</v>
      </c>
    </row>
    <row r="14284" spans="1:8">
      <c r="A14284" s="317">
        <v>2610935154</v>
      </c>
      <c r="B14284" s="330" t="s">
        <v>58637</v>
      </c>
      <c r="C14284" s="330" t="s">
        <v>30055</v>
      </c>
      <c r="D14284" s="330" t="s">
        <v>30015</v>
      </c>
      <c r="E14284" s="330" t="s">
        <v>4634</v>
      </c>
      <c r="F14284" s="331">
        <v>0.21</v>
      </c>
      <c r="G14284" s="332">
        <v>584</v>
      </c>
      <c r="H14284" s="333">
        <v>707</v>
      </c>
    </row>
    <row r="14285" spans="1:8">
      <c r="A14285" s="317">
        <v>2610935245</v>
      </c>
      <c r="B14285" s="330" t="s">
        <v>58638</v>
      </c>
      <c r="C14285" s="330" t="s">
        <v>30056</v>
      </c>
      <c r="D14285" s="330" t="s">
        <v>30057</v>
      </c>
      <c r="E14285" s="330" t="s">
        <v>4819</v>
      </c>
      <c r="F14285" s="331">
        <v>0.21</v>
      </c>
      <c r="G14285" s="332">
        <v>910</v>
      </c>
      <c r="H14285" s="333">
        <v>1102</v>
      </c>
    </row>
    <row r="14286" spans="1:8">
      <c r="A14286" s="317">
        <v>2610935246</v>
      </c>
      <c r="B14286" s="330" t="s">
        <v>58639</v>
      </c>
      <c r="C14286" s="330" t="s">
        <v>30058</v>
      </c>
      <c r="D14286" s="330" t="s">
        <v>8077</v>
      </c>
      <c r="E14286" s="330" t="s">
        <v>4819</v>
      </c>
      <c r="F14286" s="331">
        <v>0.21</v>
      </c>
      <c r="G14286" s="332">
        <v>2478</v>
      </c>
      <c r="H14286" s="333">
        <v>2999</v>
      </c>
    </row>
    <row r="14287" spans="1:8">
      <c r="A14287" s="317">
        <v>2610935247</v>
      </c>
      <c r="B14287" s="330" t="s">
        <v>58640</v>
      </c>
      <c r="C14287" s="330" t="s">
        <v>30059</v>
      </c>
      <c r="D14287" s="330" t="s">
        <v>30060</v>
      </c>
      <c r="E14287" s="330" t="s">
        <v>4819</v>
      </c>
      <c r="F14287" s="331">
        <v>0.21</v>
      </c>
      <c r="G14287" s="332">
        <v>1530</v>
      </c>
      <c r="H14287" s="333">
        <v>1852</v>
      </c>
    </row>
    <row r="14288" spans="1:8">
      <c r="A14288" s="317">
        <v>2610935249</v>
      </c>
      <c r="B14288" s="330" t="s">
        <v>58641</v>
      </c>
      <c r="C14288" s="330" t="s">
        <v>30061</v>
      </c>
      <c r="D14288" s="330" t="s">
        <v>27484</v>
      </c>
      <c r="E14288" s="330" t="s">
        <v>4819</v>
      </c>
      <c r="F14288" s="331">
        <v>0.21</v>
      </c>
      <c r="G14288" s="332">
        <v>1505</v>
      </c>
      <c r="H14288" s="333">
        <v>1822</v>
      </c>
    </row>
    <row r="14289" spans="1:8">
      <c r="A14289" s="317">
        <v>2610935251</v>
      </c>
      <c r="B14289" s="330" t="s">
        <v>58642</v>
      </c>
      <c r="C14289" s="330" t="s">
        <v>30062</v>
      </c>
      <c r="D14289" s="330" t="s">
        <v>7818</v>
      </c>
      <c r="E14289" s="330" t="s">
        <v>4634</v>
      </c>
      <c r="F14289" s="331">
        <v>0.21</v>
      </c>
      <c r="G14289" s="332">
        <v>309</v>
      </c>
      <c r="H14289" s="333">
        <v>374</v>
      </c>
    </row>
    <row r="14290" spans="1:8">
      <c r="A14290" s="317">
        <v>2610935431</v>
      </c>
      <c r="B14290" s="330" t="s">
        <v>58643</v>
      </c>
      <c r="C14290" s="330" t="s">
        <v>30063</v>
      </c>
      <c r="D14290" s="330" t="s">
        <v>30064</v>
      </c>
      <c r="E14290" s="330" t="s">
        <v>37248</v>
      </c>
      <c r="F14290" s="331">
        <v>0.21</v>
      </c>
      <c r="G14290" s="332">
        <v>4737</v>
      </c>
      <c r="H14290" s="333">
        <v>5732</v>
      </c>
    </row>
    <row r="14291" spans="1:8">
      <c r="A14291" s="317">
        <v>2610936575</v>
      </c>
      <c r="B14291" s="330" t="s">
        <v>58644</v>
      </c>
      <c r="C14291" s="330" t="s">
        <v>30065</v>
      </c>
      <c r="D14291" s="330" t="s">
        <v>8083</v>
      </c>
      <c r="E14291" s="330" t="s">
        <v>4819</v>
      </c>
      <c r="F14291" s="331">
        <v>0.21</v>
      </c>
      <c r="G14291" s="332">
        <v>1505</v>
      </c>
      <c r="H14291" s="333">
        <v>1822</v>
      </c>
    </row>
    <row r="14292" spans="1:8">
      <c r="A14292" s="317">
        <v>2610936576</v>
      </c>
      <c r="B14292" s="330" t="s">
        <v>58645</v>
      </c>
      <c r="C14292" s="330" t="s">
        <v>30066</v>
      </c>
      <c r="D14292" s="330" t="s">
        <v>7818</v>
      </c>
      <c r="E14292" s="330" t="s">
        <v>4634</v>
      </c>
      <c r="F14292" s="331">
        <v>0.21</v>
      </c>
      <c r="G14292" s="332">
        <v>153</v>
      </c>
      <c r="H14292" s="333">
        <v>186</v>
      </c>
    </row>
    <row r="14293" spans="1:8">
      <c r="A14293" s="317">
        <v>2610937289</v>
      </c>
      <c r="B14293" s="330" t="s">
        <v>58646</v>
      </c>
      <c r="C14293" s="330" t="s">
        <v>30067</v>
      </c>
      <c r="D14293" s="330" t="s">
        <v>30068</v>
      </c>
      <c r="E14293" s="330" t="s">
        <v>4634</v>
      </c>
      <c r="F14293" s="331">
        <v>0.21</v>
      </c>
      <c r="G14293" s="332">
        <v>2881</v>
      </c>
      <c r="H14293" s="333">
        <v>3487</v>
      </c>
    </row>
    <row r="14294" spans="1:8">
      <c r="A14294" s="317">
        <v>2610937290</v>
      </c>
      <c r="B14294" s="330" t="s">
        <v>58647</v>
      </c>
      <c r="C14294" s="330" t="s">
        <v>30069</v>
      </c>
      <c r="D14294" s="330" t="s">
        <v>30070</v>
      </c>
      <c r="E14294" s="330" t="s">
        <v>4634</v>
      </c>
      <c r="F14294" s="331">
        <v>0.21</v>
      </c>
      <c r="G14294" s="332">
        <v>3297</v>
      </c>
      <c r="H14294" s="333">
        <v>3990</v>
      </c>
    </row>
    <row r="14295" spans="1:8">
      <c r="A14295" s="317">
        <v>2610937291</v>
      </c>
      <c r="B14295" s="330" t="s">
        <v>58648</v>
      </c>
      <c r="C14295" s="330" t="s">
        <v>30071</v>
      </c>
      <c r="D14295" s="330" t="s">
        <v>30072</v>
      </c>
      <c r="E14295" s="330" t="s">
        <v>4634</v>
      </c>
      <c r="F14295" s="331">
        <v>0.21</v>
      </c>
      <c r="G14295" s="332">
        <v>702</v>
      </c>
      <c r="H14295" s="333">
        <v>850</v>
      </c>
    </row>
    <row r="14296" spans="1:8">
      <c r="A14296" s="317">
        <v>2610937292</v>
      </c>
      <c r="B14296" s="330" t="s">
        <v>58649</v>
      </c>
      <c r="C14296" s="330" t="s">
        <v>30073</v>
      </c>
      <c r="D14296" s="330" t="s">
        <v>30074</v>
      </c>
      <c r="E14296" s="330" t="s">
        <v>4634</v>
      </c>
      <c r="F14296" s="331">
        <v>0.21</v>
      </c>
      <c r="G14296" s="332">
        <v>432</v>
      </c>
      <c r="H14296" s="333">
        <v>523</v>
      </c>
    </row>
    <row r="14297" spans="1:8">
      <c r="A14297" s="317">
        <v>2610937293</v>
      </c>
      <c r="B14297" s="330" t="s">
        <v>58650</v>
      </c>
      <c r="C14297" s="330" t="s">
        <v>30075</v>
      </c>
      <c r="D14297" s="330" t="s">
        <v>30076</v>
      </c>
      <c r="E14297" s="330" t="s">
        <v>37248</v>
      </c>
      <c r="F14297" s="331">
        <v>0.21</v>
      </c>
      <c r="G14297" s="332">
        <v>296</v>
      </c>
      <c r="H14297" s="333">
        <v>359</v>
      </c>
    </row>
    <row r="14298" spans="1:8">
      <c r="A14298" s="317">
        <v>2610937294</v>
      </c>
      <c r="B14298" s="330" t="s">
        <v>58651</v>
      </c>
      <c r="C14298" s="330" t="s">
        <v>30077</v>
      </c>
      <c r="D14298" s="330" t="s">
        <v>30078</v>
      </c>
      <c r="E14298" s="330" t="s">
        <v>4634</v>
      </c>
      <c r="F14298" s="331">
        <v>0.21</v>
      </c>
      <c r="G14298" s="332">
        <v>2232</v>
      </c>
      <c r="H14298" s="333">
        <v>2701</v>
      </c>
    </row>
    <row r="14299" spans="1:8">
      <c r="A14299" s="317">
        <v>2610937396</v>
      </c>
      <c r="B14299" s="330" t="s">
        <v>58652</v>
      </c>
      <c r="C14299" s="330" t="s">
        <v>30079</v>
      </c>
      <c r="D14299" s="330" t="s">
        <v>30080</v>
      </c>
      <c r="E14299" s="330" t="s">
        <v>4634</v>
      </c>
      <c r="F14299" s="331">
        <v>0.21</v>
      </c>
      <c r="G14299" s="332">
        <v>17497</v>
      </c>
      <c r="H14299" s="333">
        <v>21172</v>
      </c>
    </row>
    <row r="14300" spans="1:8">
      <c r="A14300" s="317">
        <v>2610937399</v>
      </c>
      <c r="B14300" s="330" t="s">
        <v>58653</v>
      </c>
      <c r="C14300" s="330" t="s">
        <v>30081</v>
      </c>
      <c r="D14300" s="330" t="s">
        <v>30082</v>
      </c>
      <c r="E14300" s="330" t="s">
        <v>4634</v>
      </c>
      <c r="F14300" s="331">
        <v>0.21</v>
      </c>
      <c r="G14300" s="332">
        <v>584</v>
      </c>
      <c r="H14300" s="333">
        <v>707</v>
      </c>
    </row>
    <row r="14301" spans="1:8">
      <c r="A14301" s="317">
        <v>2610937437</v>
      </c>
      <c r="B14301" s="330" t="s">
        <v>58654</v>
      </c>
      <c r="C14301" s="330" t="s">
        <v>30083</v>
      </c>
      <c r="D14301" s="330" t="s">
        <v>30084</v>
      </c>
      <c r="E14301" s="330" t="s">
        <v>4819</v>
      </c>
      <c r="F14301" s="331">
        <v>0.21</v>
      </c>
      <c r="G14301" s="332">
        <v>3865</v>
      </c>
      <c r="H14301" s="333">
        <v>4677</v>
      </c>
    </row>
    <row r="14302" spans="1:8">
      <c r="A14302" s="317">
        <v>2610937452</v>
      </c>
      <c r="B14302" s="330" t="s">
        <v>58655</v>
      </c>
      <c r="C14302" s="330" t="s">
        <v>30085</v>
      </c>
      <c r="D14302" s="330" t="s">
        <v>6914</v>
      </c>
      <c r="E14302" s="330" t="s">
        <v>4819</v>
      </c>
      <c r="F14302" s="331">
        <v>0.21</v>
      </c>
      <c r="G14302" s="332">
        <v>910</v>
      </c>
      <c r="H14302" s="333">
        <v>1102</v>
      </c>
    </row>
    <row r="14303" spans="1:8">
      <c r="A14303" s="317">
        <v>2610937464</v>
      </c>
      <c r="B14303" s="330" t="s">
        <v>58656</v>
      </c>
      <c r="C14303" s="330" t="s">
        <v>30086</v>
      </c>
      <c r="D14303" s="330" t="s">
        <v>30087</v>
      </c>
      <c r="E14303" s="330" t="s">
        <v>4819</v>
      </c>
      <c r="F14303" s="331">
        <v>0.21</v>
      </c>
      <c r="G14303" s="332">
        <v>1505</v>
      </c>
      <c r="H14303" s="333">
        <v>1822</v>
      </c>
    </row>
    <row r="14304" spans="1:8">
      <c r="A14304" s="317">
        <v>2610937508</v>
      </c>
      <c r="B14304" s="330" t="s">
        <v>58657</v>
      </c>
      <c r="C14304" s="330" t="s">
        <v>30088</v>
      </c>
      <c r="D14304" s="330" t="s">
        <v>30089</v>
      </c>
      <c r="E14304" s="330" t="s">
        <v>4819</v>
      </c>
      <c r="F14304" s="331">
        <v>0.21</v>
      </c>
      <c r="G14304" s="332">
        <v>910</v>
      </c>
      <c r="H14304" s="333">
        <v>1102</v>
      </c>
    </row>
    <row r="14305" spans="1:8">
      <c r="A14305" s="317">
        <v>2610938737</v>
      </c>
      <c r="B14305" s="330" t="s">
        <v>58658</v>
      </c>
      <c r="C14305" s="330" t="s">
        <v>30090</v>
      </c>
      <c r="D14305" s="330" t="s">
        <v>30091</v>
      </c>
      <c r="E14305" s="330" t="s">
        <v>4634</v>
      </c>
      <c r="F14305" s="331">
        <v>0.21</v>
      </c>
      <c r="G14305" s="332">
        <v>11874</v>
      </c>
      <c r="H14305" s="333">
        <v>14368</v>
      </c>
    </row>
    <row r="14306" spans="1:8">
      <c r="A14306" s="317">
        <v>2610938887</v>
      </c>
      <c r="B14306" s="330" t="s">
        <v>58659</v>
      </c>
      <c r="C14306" s="330" t="s">
        <v>30092</v>
      </c>
      <c r="D14306" s="330" t="s">
        <v>30093</v>
      </c>
      <c r="E14306" s="330" t="s">
        <v>37248</v>
      </c>
      <c r="F14306" s="331">
        <v>0.21</v>
      </c>
      <c r="G14306" s="332">
        <v>179612</v>
      </c>
      <c r="H14306" s="333">
        <v>217331</v>
      </c>
    </row>
    <row r="14307" spans="1:8">
      <c r="A14307" s="317">
        <v>2610941202</v>
      </c>
      <c r="B14307" s="330" t="s">
        <v>58660</v>
      </c>
      <c r="C14307" s="330" t="s">
        <v>30094</v>
      </c>
      <c r="D14307" s="330" t="s">
        <v>30095</v>
      </c>
      <c r="E14307" s="330" t="s">
        <v>4634</v>
      </c>
      <c r="F14307" s="331">
        <v>0.21</v>
      </c>
      <c r="G14307" s="332">
        <v>61258</v>
      </c>
      <c r="H14307" s="333">
        <v>74123</v>
      </c>
    </row>
    <row r="14308" spans="1:8">
      <c r="A14308" s="317">
        <v>2610942109</v>
      </c>
      <c r="B14308" s="330" t="s">
        <v>58661</v>
      </c>
      <c r="C14308" s="330" t="s">
        <v>30096</v>
      </c>
      <c r="D14308" s="330" t="s">
        <v>8006</v>
      </c>
      <c r="E14308" s="330" t="s">
        <v>4819</v>
      </c>
      <c r="F14308" s="331">
        <v>0.21</v>
      </c>
      <c r="G14308" s="332">
        <v>49569</v>
      </c>
      <c r="H14308" s="333">
        <v>59979</v>
      </c>
    </row>
    <row r="14309" spans="1:8">
      <c r="A14309" s="317">
        <v>2610942118</v>
      </c>
      <c r="B14309" s="330" t="s">
        <v>58662</v>
      </c>
      <c r="C14309" s="330" t="s">
        <v>30097</v>
      </c>
      <c r="D14309" s="330" t="s">
        <v>30098</v>
      </c>
      <c r="E14309" s="330" t="s">
        <v>37248</v>
      </c>
      <c r="F14309" s="331">
        <v>0.21</v>
      </c>
      <c r="G14309" s="332">
        <v>55097</v>
      </c>
      <c r="H14309" s="333">
        <v>66668</v>
      </c>
    </row>
    <row r="14310" spans="1:8">
      <c r="A14310" s="317">
        <v>2610942930</v>
      </c>
      <c r="B14310" s="330" t="s">
        <v>58663</v>
      </c>
      <c r="C14310" s="330" t="s">
        <v>30099</v>
      </c>
      <c r="D14310" s="330" t="s">
        <v>30100</v>
      </c>
      <c r="E14310" s="330" t="s">
        <v>4819</v>
      </c>
      <c r="F14310" s="331">
        <v>0.21</v>
      </c>
      <c r="G14310" s="332">
        <v>2041</v>
      </c>
      <c r="H14310" s="333">
        <v>2470</v>
      </c>
    </row>
    <row r="14311" spans="1:8">
      <c r="A14311" s="317">
        <v>2610942931</v>
      </c>
      <c r="B14311" s="330" t="s">
        <v>58664</v>
      </c>
      <c r="C14311" s="330" t="s">
        <v>30101</v>
      </c>
      <c r="D14311" s="330" t="s">
        <v>30102</v>
      </c>
      <c r="E14311" s="330" t="s">
        <v>4819</v>
      </c>
      <c r="F14311" s="331">
        <v>0.21</v>
      </c>
      <c r="G14311" s="332">
        <v>1880</v>
      </c>
      <c r="H14311" s="333">
        <v>2275</v>
      </c>
    </row>
    <row r="14312" spans="1:8">
      <c r="A14312" s="317">
        <v>2610943033</v>
      </c>
      <c r="B14312" s="330" t="s">
        <v>58665</v>
      </c>
      <c r="C14312" s="330" t="s">
        <v>30103</v>
      </c>
      <c r="D14312" s="330" t="s">
        <v>30104</v>
      </c>
      <c r="E14312" s="330" t="s">
        <v>37248</v>
      </c>
      <c r="F14312" s="331">
        <v>0.21</v>
      </c>
      <c r="G14312" s="332">
        <v>4287</v>
      </c>
      <c r="H14312" s="333">
        <v>5188</v>
      </c>
    </row>
    <row r="14313" spans="1:8">
      <c r="A14313" s="317">
        <v>2610943105</v>
      </c>
      <c r="B14313" s="330" t="s">
        <v>58666</v>
      </c>
      <c r="C14313" s="330" t="s">
        <v>30105</v>
      </c>
      <c r="D14313" s="330" t="s">
        <v>29719</v>
      </c>
      <c r="E14313" s="330" t="s">
        <v>4634</v>
      </c>
      <c r="F14313" s="331">
        <v>0.21</v>
      </c>
      <c r="G14313" s="332">
        <v>10776</v>
      </c>
      <c r="H14313" s="333">
        <v>13039</v>
      </c>
    </row>
    <row r="14314" spans="1:8">
      <c r="A14314" s="317">
        <v>2610943623</v>
      </c>
      <c r="B14314" s="330" t="s">
        <v>58667</v>
      </c>
      <c r="C14314" s="330" t="s">
        <v>30106</v>
      </c>
      <c r="D14314" s="330" t="s">
        <v>30107</v>
      </c>
      <c r="E14314" s="330" t="s">
        <v>4819</v>
      </c>
      <c r="F14314" s="331">
        <v>0.21</v>
      </c>
      <c r="G14314" s="332">
        <v>11437</v>
      </c>
      <c r="H14314" s="333">
        <v>13839</v>
      </c>
    </row>
    <row r="14315" spans="1:8">
      <c r="A14315" s="317">
        <v>2610943873</v>
      </c>
      <c r="B14315" s="330" t="s">
        <v>58668</v>
      </c>
      <c r="C14315" s="330" t="s">
        <v>30108</v>
      </c>
      <c r="D14315" s="330" t="s">
        <v>7653</v>
      </c>
      <c r="E14315" s="330" t="s">
        <v>37248</v>
      </c>
      <c r="F14315" s="331">
        <v>0.21</v>
      </c>
      <c r="G14315" s="332">
        <v>240</v>
      </c>
      <c r="H14315" s="333">
        <v>291</v>
      </c>
    </row>
    <row r="14316" spans="1:8">
      <c r="A14316" s="317">
        <v>2610943874</v>
      </c>
      <c r="B14316" s="330" t="s">
        <v>58669</v>
      </c>
      <c r="C14316" s="330" t="s">
        <v>30109</v>
      </c>
      <c r="D14316" s="330" t="s">
        <v>5392</v>
      </c>
      <c r="E14316" s="330" t="s">
        <v>37248</v>
      </c>
      <c r="F14316" s="331">
        <v>0.21</v>
      </c>
      <c r="G14316" s="332">
        <v>5768</v>
      </c>
      <c r="H14316" s="333">
        <v>6980</v>
      </c>
    </row>
    <row r="14317" spans="1:8">
      <c r="A14317" s="317">
        <v>2610943875</v>
      </c>
      <c r="B14317" s="330" t="s">
        <v>58670</v>
      </c>
      <c r="C14317" s="330" t="s">
        <v>30110</v>
      </c>
      <c r="D14317" s="330" t="s">
        <v>7967</v>
      </c>
      <c r="E14317" s="330" t="s">
        <v>4634</v>
      </c>
      <c r="F14317" s="331">
        <v>0.21</v>
      </c>
      <c r="G14317" s="332">
        <v>51981</v>
      </c>
      <c r="H14317" s="333">
        <v>62898</v>
      </c>
    </row>
    <row r="14318" spans="1:8">
      <c r="A14318" s="317">
        <v>2610943877</v>
      </c>
      <c r="B14318" s="330" t="s">
        <v>58671</v>
      </c>
      <c r="C14318" s="330" t="s">
        <v>30111</v>
      </c>
      <c r="D14318" s="330" t="s">
        <v>30112</v>
      </c>
      <c r="E14318" s="330" t="s">
        <v>37248</v>
      </c>
      <c r="F14318" s="331">
        <v>0.21</v>
      </c>
      <c r="G14318" s="332">
        <v>1588</v>
      </c>
      <c r="H14318" s="333">
        <v>1922</v>
      </c>
    </row>
    <row r="14319" spans="1:8">
      <c r="A14319" s="317">
        <v>2610943878</v>
      </c>
      <c r="B14319" s="330" t="s">
        <v>58672</v>
      </c>
      <c r="C14319" s="330" t="s">
        <v>30113</v>
      </c>
      <c r="D14319" s="330" t="s">
        <v>30114</v>
      </c>
      <c r="E14319" s="330" t="s">
        <v>37248</v>
      </c>
      <c r="F14319" s="331">
        <v>0.21</v>
      </c>
      <c r="G14319" s="332">
        <v>2692</v>
      </c>
      <c r="H14319" s="333">
        <v>3258</v>
      </c>
    </row>
    <row r="14320" spans="1:8">
      <c r="A14320" s="317">
        <v>2610943879</v>
      </c>
      <c r="B14320" s="330" t="s">
        <v>58673</v>
      </c>
      <c r="C14320" s="330" t="s">
        <v>30115</v>
      </c>
      <c r="D14320" s="330" t="s">
        <v>30112</v>
      </c>
      <c r="E14320" s="330" t="s">
        <v>37248</v>
      </c>
      <c r="F14320" s="331">
        <v>0.21</v>
      </c>
      <c r="G14320" s="332">
        <v>2395</v>
      </c>
      <c r="H14320" s="333">
        <v>2898</v>
      </c>
    </row>
    <row r="14321" spans="1:8">
      <c r="A14321" s="317">
        <v>2610943880</v>
      </c>
      <c r="B14321" s="330" t="s">
        <v>58674</v>
      </c>
      <c r="C14321" s="330" t="s">
        <v>30116</v>
      </c>
      <c r="D14321" s="330" t="s">
        <v>8260</v>
      </c>
      <c r="E14321" s="330" t="s">
        <v>37248</v>
      </c>
      <c r="F14321" s="331">
        <v>0.21</v>
      </c>
      <c r="G14321" s="332">
        <v>7830</v>
      </c>
      <c r="H14321" s="333">
        <v>9475</v>
      </c>
    </row>
    <row r="14322" spans="1:8">
      <c r="A14322" s="317">
        <v>2610943881</v>
      </c>
      <c r="B14322" s="330" t="s">
        <v>58675</v>
      </c>
      <c r="C14322" s="330" t="s">
        <v>30117</v>
      </c>
      <c r="D14322" s="330" t="s">
        <v>30118</v>
      </c>
      <c r="E14322" s="330" t="s">
        <v>37248</v>
      </c>
      <c r="F14322" s="331">
        <v>0.21</v>
      </c>
      <c r="G14322" s="332">
        <v>1052</v>
      </c>
      <c r="H14322" s="333">
        <v>1273</v>
      </c>
    </row>
    <row r="14323" spans="1:8">
      <c r="A14323" s="317">
        <v>2610943883</v>
      </c>
      <c r="B14323" s="330" t="s">
        <v>58676</v>
      </c>
      <c r="C14323" s="330" t="s">
        <v>30119</v>
      </c>
      <c r="D14323" s="330" t="s">
        <v>17238</v>
      </c>
      <c r="E14323" s="330" t="s">
        <v>4634</v>
      </c>
      <c r="F14323" s="331">
        <v>0.21</v>
      </c>
      <c r="G14323" s="332">
        <v>32370</v>
      </c>
      <c r="H14323" s="333">
        <v>39168</v>
      </c>
    </row>
    <row r="14324" spans="1:8">
      <c r="A14324" s="317">
        <v>2610943884</v>
      </c>
      <c r="B14324" s="330" t="s">
        <v>58677</v>
      </c>
      <c r="C14324" s="330" t="s">
        <v>30120</v>
      </c>
      <c r="D14324" s="330" t="s">
        <v>30112</v>
      </c>
      <c r="E14324" s="330" t="s">
        <v>37248</v>
      </c>
      <c r="F14324" s="331">
        <v>0.21</v>
      </c>
      <c r="G14324" s="332">
        <v>1835</v>
      </c>
      <c r="H14324" s="333">
        <v>2221</v>
      </c>
    </row>
    <row r="14325" spans="1:8">
      <c r="A14325" s="317">
        <v>2610943885</v>
      </c>
      <c r="B14325" s="330" t="s">
        <v>58678</v>
      </c>
      <c r="C14325" s="330" t="s">
        <v>30121</v>
      </c>
      <c r="D14325" s="330" t="s">
        <v>30114</v>
      </c>
      <c r="E14325" s="330" t="s">
        <v>37248</v>
      </c>
      <c r="F14325" s="331">
        <v>0.21</v>
      </c>
      <c r="G14325" s="332">
        <v>2128</v>
      </c>
      <c r="H14325" s="333">
        <v>2575</v>
      </c>
    </row>
    <row r="14326" spans="1:8">
      <c r="A14326" s="317">
        <v>2610943886</v>
      </c>
      <c r="B14326" s="330" t="s">
        <v>58679</v>
      </c>
      <c r="C14326" s="330" t="s">
        <v>30122</v>
      </c>
      <c r="D14326" s="330" t="s">
        <v>26052</v>
      </c>
      <c r="E14326" s="330" t="s">
        <v>37248</v>
      </c>
      <c r="F14326" s="331">
        <v>0.21</v>
      </c>
      <c r="G14326" s="332">
        <v>3682</v>
      </c>
      <c r="H14326" s="333">
        <v>4456</v>
      </c>
    </row>
    <row r="14327" spans="1:8">
      <c r="A14327" s="317">
        <v>2610943887</v>
      </c>
      <c r="B14327" s="330" t="s">
        <v>58680</v>
      </c>
      <c r="C14327" s="330" t="s">
        <v>30123</v>
      </c>
      <c r="D14327" s="330" t="s">
        <v>21593</v>
      </c>
      <c r="E14327" s="330" t="s">
        <v>37248</v>
      </c>
      <c r="F14327" s="331">
        <v>0.21</v>
      </c>
      <c r="G14327" s="332">
        <v>579</v>
      </c>
      <c r="H14327" s="333">
        <v>701</v>
      </c>
    </row>
    <row r="14328" spans="1:8">
      <c r="A14328" s="317">
        <v>2610943888</v>
      </c>
      <c r="B14328" s="330" t="s">
        <v>58681</v>
      </c>
      <c r="C14328" s="330" t="s">
        <v>30124</v>
      </c>
      <c r="D14328" s="330" t="s">
        <v>30125</v>
      </c>
      <c r="E14328" s="330" t="s">
        <v>37248</v>
      </c>
      <c r="F14328" s="331">
        <v>0.21</v>
      </c>
      <c r="G14328" s="332">
        <v>49224</v>
      </c>
      <c r="H14328" s="333">
        <v>59562</v>
      </c>
    </row>
    <row r="14329" spans="1:8">
      <c r="A14329" s="317">
        <v>2610943890</v>
      </c>
      <c r="B14329" s="330" t="s">
        <v>58682</v>
      </c>
      <c r="C14329" s="330" t="s">
        <v>30126</v>
      </c>
      <c r="D14329" s="330" t="s">
        <v>13798</v>
      </c>
      <c r="E14329" s="330" t="s">
        <v>37248</v>
      </c>
      <c r="F14329" s="331">
        <v>0.21</v>
      </c>
      <c r="G14329" s="332">
        <v>764</v>
      </c>
      <c r="H14329" s="333">
        <v>925</v>
      </c>
    </row>
    <row r="14330" spans="1:8">
      <c r="A14330" s="317">
        <v>2610943891</v>
      </c>
      <c r="B14330" s="330" t="s">
        <v>58683</v>
      </c>
      <c r="C14330" s="330" t="s">
        <v>30127</v>
      </c>
      <c r="D14330" s="330" t="s">
        <v>21045</v>
      </c>
      <c r="E14330" s="330" t="s">
        <v>37248</v>
      </c>
      <c r="F14330" s="331">
        <v>0.21</v>
      </c>
      <c r="G14330" s="332">
        <v>2928</v>
      </c>
      <c r="H14330" s="333">
        <v>3543</v>
      </c>
    </row>
    <row r="14331" spans="1:8">
      <c r="A14331" s="317">
        <v>2610943892</v>
      </c>
      <c r="B14331" s="330" t="s">
        <v>58684</v>
      </c>
      <c r="C14331" s="330" t="s">
        <v>30128</v>
      </c>
      <c r="D14331" s="330" t="s">
        <v>30129</v>
      </c>
      <c r="E14331" s="330" t="s">
        <v>37248</v>
      </c>
      <c r="F14331" s="331">
        <v>0.21</v>
      </c>
      <c r="G14331" s="332">
        <v>4606</v>
      </c>
      <c r="H14331" s="333">
        <v>5574</v>
      </c>
    </row>
    <row r="14332" spans="1:8">
      <c r="A14332" s="317">
        <v>2610943893</v>
      </c>
      <c r="B14332" s="330" t="s">
        <v>58685</v>
      </c>
      <c r="C14332" s="330" t="s">
        <v>30130</v>
      </c>
      <c r="D14332" s="330" t="s">
        <v>8101</v>
      </c>
      <c r="E14332" s="330" t="s">
        <v>37248</v>
      </c>
      <c r="F14332" s="331">
        <v>0.21</v>
      </c>
      <c r="G14332" s="332">
        <v>1164</v>
      </c>
      <c r="H14332" s="333">
        <v>1409</v>
      </c>
    </row>
    <row r="14333" spans="1:8">
      <c r="A14333" s="317">
        <v>2610943895</v>
      </c>
      <c r="B14333" s="330" t="s">
        <v>58686</v>
      </c>
      <c r="C14333" s="330" t="s">
        <v>30131</v>
      </c>
      <c r="D14333" s="330" t="s">
        <v>30132</v>
      </c>
      <c r="E14333" s="330" t="s">
        <v>37248</v>
      </c>
      <c r="F14333" s="331">
        <v>0.21</v>
      </c>
      <c r="G14333" s="332">
        <v>1588</v>
      </c>
      <c r="H14333" s="333">
        <v>1922</v>
      </c>
    </row>
    <row r="14334" spans="1:8">
      <c r="A14334" s="317">
        <v>2610943896</v>
      </c>
      <c r="B14334" s="330" t="s">
        <v>58687</v>
      </c>
      <c r="C14334" s="330" t="s">
        <v>30133</v>
      </c>
      <c r="D14334" s="330" t="s">
        <v>30132</v>
      </c>
      <c r="E14334" s="330" t="s">
        <v>37248</v>
      </c>
      <c r="F14334" s="331">
        <v>0.21</v>
      </c>
      <c r="G14334" s="332">
        <v>1403</v>
      </c>
      <c r="H14334" s="333">
        <v>1698</v>
      </c>
    </row>
    <row r="14335" spans="1:8">
      <c r="A14335" s="317">
        <v>2610944356</v>
      </c>
      <c r="B14335" s="330" t="s">
        <v>58688</v>
      </c>
      <c r="C14335" s="330" t="s">
        <v>30134</v>
      </c>
      <c r="D14335" s="330" t="s">
        <v>30135</v>
      </c>
      <c r="E14335" s="330" t="s">
        <v>4634</v>
      </c>
      <c r="F14335" s="331">
        <v>0.21</v>
      </c>
      <c r="G14335" s="332">
        <v>62108</v>
      </c>
      <c r="H14335" s="333">
        <v>75151</v>
      </c>
    </row>
    <row r="14336" spans="1:8">
      <c r="A14336" s="317">
        <v>2610944393</v>
      </c>
      <c r="B14336" s="330" t="s">
        <v>58689</v>
      </c>
      <c r="C14336" s="330" t="s">
        <v>30136</v>
      </c>
      <c r="D14336" s="330" t="s">
        <v>30137</v>
      </c>
      <c r="E14336" s="330" t="s">
        <v>37248</v>
      </c>
      <c r="F14336" s="331">
        <v>0.21</v>
      </c>
      <c r="G14336" s="332">
        <v>104172</v>
      </c>
      <c r="H14336" s="333">
        <v>126049</v>
      </c>
    </row>
    <row r="14337" spans="1:8">
      <c r="A14337" s="317">
        <v>2610945335</v>
      </c>
      <c r="B14337" s="330" t="s">
        <v>58690</v>
      </c>
      <c r="C14337" s="330" t="s">
        <v>30138</v>
      </c>
      <c r="D14337" s="330" t="s">
        <v>30139</v>
      </c>
      <c r="E14337" s="330" t="s">
        <v>37248</v>
      </c>
      <c r="F14337" s="331">
        <v>0.21</v>
      </c>
      <c r="G14337" s="332">
        <v>97558</v>
      </c>
      <c r="H14337" s="333">
        <v>118046</v>
      </c>
    </row>
    <row r="14338" spans="1:8">
      <c r="A14338" s="317">
        <v>2610945804</v>
      </c>
      <c r="B14338" s="330" t="s">
        <v>58691</v>
      </c>
      <c r="C14338" s="330" t="s">
        <v>30140</v>
      </c>
      <c r="D14338" s="330" t="s">
        <v>12706</v>
      </c>
      <c r="E14338" s="330" t="s">
        <v>4819</v>
      </c>
      <c r="F14338" s="331">
        <v>0.21</v>
      </c>
      <c r="G14338" s="332">
        <v>910</v>
      </c>
      <c r="H14338" s="333">
        <v>1102</v>
      </c>
    </row>
    <row r="14339" spans="1:8">
      <c r="A14339" s="317">
        <v>2610946075</v>
      </c>
      <c r="B14339" s="330" t="s">
        <v>58692</v>
      </c>
      <c r="C14339" s="330" t="s">
        <v>30141</v>
      </c>
      <c r="D14339" s="330" t="s">
        <v>30142</v>
      </c>
      <c r="E14339" s="330" t="s">
        <v>4634</v>
      </c>
      <c r="F14339" s="331">
        <v>0.21</v>
      </c>
      <c r="G14339" s="332">
        <v>6674</v>
      </c>
      <c r="H14339" s="333">
        <v>8076</v>
      </c>
    </row>
    <row r="14340" spans="1:8">
      <c r="A14340" s="317">
        <v>2610947075</v>
      </c>
      <c r="B14340" s="330" t="s">
        <v>58693</v>
      </c>
      <c r="C14340" s="330" t="s">
        <v>30143</v>
      </c>
      <c r="D14340" s="330" t="s">
        <v>7474</v>
      </c>
      <c r="E14340" s="330" t="s">
        <v>4819</v>
      </c>
      <c r="F14340" s="331">
        <v>0.21</v>
      </c>
      <c r="G14340" s="332">
        <v>2237</v>
      </c>
      <c r="H14340" s="333">
        <v>2707</v>
      </c>
    </row>
    <row r="14341" spans="1:8">
      <c r="A14341" s="317">
        <v>2610947537</v>
      </c>
      <c r="B14341" s="330" t="s">
        <v>58694</v>
      </c>
      <c r="C14341" s="330" t="s">
        <v>30144</v>
      </c>
      <c r="D14341" s="330" t="s">
        <v>30145</v>
      </c>
      <c r="E14341" s="330" t="s">
        <v>37248</v>
      </c>
      <c r="F14341" s="331">
        <v>0.21</v>
      </c>
      <c r="G14341" s="332">
        <v>318</v>
      </c>
      <c r="H14341" s="333">
        <v>385</v>
      </c>
    </row>
    <row r="14342" spans="1:8">
      <c r="A14342" s="317">
        <v>2610947588</v>
      </c>
      <c r="B14342" s="330" t="s">
        <v>58695</v>
      </c>
      <c r="C14342" s="330" t="s">
        <v>30146</v>
      </c>
      <c r="D14342" s="330" t="s">
        <v>30147</v>
      </c>
      <c r="E14342" s="330" t="s">
        <v>4634</v>
      </c>
      <c r="F14342" s="331">
        <v>0.21</v>
      </c>
      <c r="G14342" s="332">
        <v>8371</v>
      </c>
      <c r="H14342" s="333">
        <v>10129</v>
      </c>
    </row>
    <row r="14343" spans="1:8">
      <c r="A14343" s="317">
        <v>2610950042</v>
      </c>
      <c r="B14343" s="330" t="s">
        <v>58696</v>
      </c>
      <c r="C14343" s="330" t="s">
        <v>30148</v>
      </c>
      <c r="D14343" s="330" t="s">
        <v>27098</v>
      </c>
      <c r="E14343" s="330" t="s">
        <v>37248</v>
      </c>
      <c r="F14343" s="331">
        <v>0.21</v>
      </c>
      <c r="G14343" s="332">
        <v>194</v>
      </c>
      <c r="H14343" s="333">
        <v>235</v>
      </c>
    </row>
    <row r="14344" spans="1:8">
      <c r="A14344" s="317">
        <v>2610950044</v>
      </c>
      <c r="B14344" s="330" t="s">
        <v>58697</v>
      </c>
      <c r="C14344" s="330" t="s">
        <v>30149</v>
      </c>
      <c r="D14344" s="330" t="s">
        <v>26993</v>
      </c>
      <c r="E14344" s="330" t="s">
        <v>37248</v>
      </c>
      <c r="F14344" s="331">
        <v>0.21</v>
      </c>
      <c r="G14344" s="332">
        <v>1052</v>
      </c>
      <c r="H14344" s="333">
        <v>1273</v>
      </c>
    </row>
    <row r="14345" spans="1:8">
      <c r="A14345" s="317">
        <v>2610950046</v>
      </c>
      <c r="B14345" s="330" t="s">
        <v>58698</v>
      </c>
      <c r="C14345" s="330" t="s">
        <v>30150</v>
      </c>
      <c r="D14345" s="330" t="s">
        <v>27095</v>
      </c>
      <c r="E14345" s="330" t="s">
        <v>37248</v>
      </c>
      <c r="F14345" s="331">
        <v>0.21</v>
      </c>
      <c r="G14345" s="332">
        <v>8004</v>
      </c>
      <c r="H14345" s="333">
        <v>9685</v>
      </c>
    </row>
    <row r="14346" spans="1:8">
      <c r="A14346" s="317">
        <v>2610950049</v>
      </c>
      <c r="B14346" s="330" t="s">
        <v>58699</v>
      </c>
      <c r="C14346" s="330" t="s">
        <v>30151</v>
      </c>
      <c r="D14346" s="330" t="s">
        <v>26993</v>
      </c>
      <c r="E14346" s="330" t="s">
        <v>37248</v>
      </c>
      <c r="F14346" s="331">
        <v>0.21</v>
      </c>
      <c r="G14346" s="332">
        <v>174</v>
      </c>
      <c r="H14346" s="333">
        <v>211</v>
      </c>
    </row>
    <row r="14347" spans="1:8">
      <c r="A14347" s="317">
        <v>2610950055</v>
      </c>
      <c r="B14347" s="330" t="s">
        <v>58700</v>
      </c>
      <c r="C14347" s="330" t="s">
        <v>30152</v>
      </c>
      <c r="D14347" s="330" t="s">
        <v>26993</v>
      </c>
      <c r="E14347" s="330" t="s">
        <v>37248</v>
      </c>
      <c r="F14347" s="331">
        <v>0.21</v>
      </c>
      <c r="G14347" s="332">
        <v>240</v>
      </c>
      <c r="H14347" s="333">
        <v>291</v>
      </c>
    </row>
    <row r="14348" spans="1:8">
      <c r="A14348" s="317">
        <v>2610950059</v>
      </c>
      <c r="B14348" s="330" t="s">
        <v>58701</v>
      </c>
      <c r="C14348" s="330" t="s">
        <v>30153</v>
      </c>
      <c r="D14348" s="330" t="s">
        <v>27169</v>
      </c>
      <c r="E14348" s="330" t="s">
        <v>37248</v>
      </c>
      <c r="F14348" s="331">
        <v>0.21</v>
      </c>
      <c r="G14348" s="332">
        <v>194</v>
      </c>
      <c r="H14348" s="333">
        <v>235</v>
      </c>
    </row>
    <row r="14349" spans="1:8">
      <c r="A14349" s="317">
        <v>2610950060</v>
      </c>
      <c r="B14349" s="330" t="s">
        <v>58702</v>
      </c>
      <c r="C14349" s="330" t="s">
        <v>30154</v>
      </c>
      <c r="D14349" s="330" t="s">
        <v>26993</v>
      </c>
      <c r="E14349" s="330" t="s">
        <v>37248</v>
      </c>
      <c r="F14349" s="331">
        <v>0.21</v>
      </c>
      <c r="G14349" s="332">
        <v>479</v>
      </c>
      <c r="H14349" s="333">
        <v>580</v>
      </c>
    </row>
    <row r="14350" spans="1:8">
      <c r="A14350" s="317">
        <v>2610950069</v>
      </c>
      <c r="B14350" s="330" t="s">
        <v>58703</v>
      </c>
      <c r="C14350" s="330" t="s">
        <v>30155</v>
      </c>
      <c r="D14350" s="330" t="s">
        <v>26993</v>
      </c>
      <c r="E14350" s="330" t="s">
        <v>37248</v>
      </c>
      <c r="F14350" s="331">
        <v>0.21</v>
      </c>
      <c r="G14350" s="332">
        <v>216</v>
      </c>
      <c r="H14350" s="333">
        <v>262</v>
      </c>
    </row>
    <row r="14351" spans="1:8">
      <c r="A14351" s="317">
        <v>2610950070</v>
      </c>
      <c r="B14351" s="330" t="s">
        <v>58704</v>
      </c>
      <c r="C14351" s="330" t="s">
        <v>30156</v>
      </c>
      <c r="D14351" s="330" t="s">
        <v>27209</v>
      </c>
      <c r="E14351" s="330" t="s">
        <v>37248</v>
      </c>
      <c r="F14351" s="331">
        <v>0.21</v>
      </c>
      <c r="G14351" s="332">
        <v>194</v>
      </c>
      <c r="H14351" s="333">
        <v>235</v>
      </c>
    </row>
    <row r="14352" spans="1:8">
      <c r="A14352" s="317">
        <v>2610950071</v>
      </c>
      <c r="B14352" s="330" t="s">
        <v>58705</v>
      </c>
      <c r="C14352" s="330" t="s">
        <v>30157</v>
      </c>
      <c r="D14352" s="330" t="s">
        <v>26993</v>
      </c>
      <c r="E14352" s="330" t="s">
        <v>37248</v>
      </c>
      <c r="F14352" s="331">
        <v>0.21</v>
      </c>
      <c r="G14352" s="332">
        <v>174</v>
      </c>
      <c r="H14352" s="333">
        <v>211</v>
      </c>
    </row>
    <row r="14353" spans="1:8">
      <c r="A14353" s="317">
        <v>2610950075</v>
      </c>
      <c r="B14353" s="330" t="s">
        <v>58706</v>
      </c>
      <c r="C14353" s="330" t="s">
        <v>30158</v>
      </c>
      <c r="D14353" s="330" t="s">
        <v>30159</v>
      </c>
      <c r="E14353" s="330" t="s">
        <v>4634</v>
      </c>
      <c r="F14353" s="331">
        <v>0.21</v>
      </c>
      <c r="G14353" s="332">
        <v>972</v>
      </c>
      <c r="H14353" s="333">
        <v>1177</v>
      </c>
    </row>
    <row r="14354" spans="1:8">
      <c r="A14354" s="317">
        <v>2610950077</v>
      </c>
      <c r="B14354" s="330" t="s">
        <v>58707</v>
      </c>
      <c r="C14354" s="330" t="s">
        <v>30160</v>
      </c>
      <c r="D14354" s="330" t="s">
        <v>26993</v>
      </c>
      <c r="E14354" s="330" t="s">
        <v>37248</v>
      </c>
      <c r="F14354" s="331">
        <v>0.21</v>
      </c>
      <c r="G14354" s="332">
        <v>107</v>
      </c>
      <c r="H14354" s="333">
        <v>130</v>
      </c>
    </row>
    <row r="14355" spans="1:8">
      <c r="A14355" s="317">
        <v>2610950108</v>
      </c>
      <c r="B14355" s="330" t="s">
        <v>58708</v>
      </c>
      <c r="C14355" s="330" t="s">
        <v>30161</v>
      </c>
      <c r="D14355" s="330" t="s">
        <v>26993</v>
      </c>
      <c r="E14355" s="330" t="s">
        <v>37248</v>
      </c>
      <c r="F14355" s="331">
        <v>0.21</v>
      </c>
      <c r="G14355" s="332">
        <v>64</v>
      </c>
      <c r="H14355" s="333">
        <v>78</v>
      </c>
    </row>
    <row r="14356" spans="1:8">
      <c r="A14356" s="317">
        <v>2610950109</v>
      </c>
      <c r="B14356" s="330" t="s">
        <v>58709</v>
      </c>
      <c r="C14356" s="330" t="s">
        <v>30162</v>
      </c>
      <c r="D14356" s="330" t="s">
        <v>27095</v>
      </c>
      <c r="E14356" s="330" t="s">
        <v>37248</v>
      </c>
      <c r="F14356" s="331">
        <v>0.21</v>
      </c>
      <c r="G14356" s="332">
        <v>174</v>
      </c>
      <c r="H14356" s="333">
        <v>211</v>
      </c>
    </row>
    <row r="14357" spans="1:8">
      <c r="A14357" s="317">
        <v>2610950117</v>
      </c>
      <c r="B14357" s="330" t="s">
        <v>58710</v>
      </c>
      <c r="C14357" s="330" t="s">
        <v>30163</v>
      </c>
      <c r="D14357" s="330" t="s">
        <v>26993</v>
      </c>
      <c r="E14357" s="330" t="s">
        <v>37248</v>
      </c>
      <c r="F14357" s="331">
        <v>0.21</v>
      </c>
      <c r="G14357" s="332">
        <v>165</v>
      </c>
      <c r="H14357" s="333">
        <v>200</v>
      </c>
    </row>
    <row r="14358" spans="1:8">
      <c r="A14358" s="317">
        <v>2610950120</v>
      </c>
      <c r="B14358" s="330" t="s">
        <v>58711</v>
      </c>
      <c r="C14358" s="330" t="s">
        <v>30164</v>
      </c>
      <c r="D14358" s="330" t="s">
        <v>30165</v>
      </c>
      <c r="E14358" s="330" t="s">
        <v>4634</v>
      </c>
      <c r="F14358" s="331">
        <v>0.21</v>
      </c>
      <c r="G14358" s="332">
        <v>153</v>
      </c>
      <c r="H14358" s="333">
        <v>186</v>
      </c>
    </row>
    <row r="14359" spans="1:8">
      <c r="A14359" s="317">
        <v>2610950126</v>
      </c>
      <c r="B14359" s="330" t="s">
        <v>58712</v>
      </c>
      <c r="C14359" s="330" t="s">
        <v>30166</v>
      </c>
      <c r="D14359" s="330" t="s">
        <v>30167</v>
      </c>
      <c r="E14359" s="330" t="s">
        <v>37248</v>
      </c>
      <c r="F14359" s="331">
        <v>0.21</v>
      </c>
      <c r="G14359" s="332">
        <v>1427</v>
      </c>
      <c r="H14359" s="333">
        <v>1727</v>
      </c>
    </row>
    <row r="14360" spans="1:8">
      <c r="A14360" s="317">
        <v>2610950132</v>
      </c>
      <c r="B14360" s="330" t="s">
        <v>58713</v>
      </c>
      <c r="C14360" s="330" t="s">
        <v>30168</v>
      </c>
      <c r="D14360" s="330" t="s">
        <v>26993</v>
      </c>
      <c r="E14360" s="330" t="s">
        <v>37248</v>
      </c>
      <c r="F14360" s="331">
        <v>0.21</v>
      </c>
      <c r="G14360" s="332">
        <v>174</v>
      </c>
      <c r="H14360" s="333">
        <v>211</v>
      </c>
    </row>
    <row r="14361" spans="1:8">
      <c r="A14361" s="317">
        <v>2610950134</v>
      </c>
      <c r="B14361" s="330" t="s">
        <v>58714</v>
      </c>
      <c r="C14361" s="330" t="s">
        <v>30169</v>
      </c>
      <c r="D14361" s="330" t="s">
        <v>27183</v>
      </c>
      <c r="E14361" s="330" t="s">
        <v>37248</v>
      </c>
      <c r="F14361" s="331">
        <v>0.21</v>
      </c>
      <c r="G14361" s="332">
        <v>165</v>
      </c>
      <c r="H14361" s="333">
        <v>200</v>
      </c>
    </row>
    <row r="14362" spans="1:8">
      <c r="A14362" s="317">
        <v>2610950135</v>
      </c>
      <c r="B14362" s="330" t="s">
        <v>58715</v>
      </c>
      <c r="C14362" s="330" t="s">
        <v>30170</v>
      </c>
      <c r="D14362" s="330" t="s">
        <v>27095</v>
      </c>
      <c r="E14362" s="330" t="s">
        <v>37248</v>
      </c>
      <c r="F14362" s="331">
        <v>0.21</v>
      </c>
      <c r="G14362" s="332">
        <v>107</v>
      </c>
      <c r="H14362" s="333">
        <v>130</v>
      </c>
    </row>
    <row r="14363" spans="1:8">
      <c r="A14363" s="317">
        <v>2610950336</v>
      </c>
      <c r="B14363" s="330" t="s">
        <v>58716</v>
      </c>
      <c r="C14363" s="330" t="s">
        <v>30171</v>
      </c>
      <c r="D14363" s="330" t="s">
        <v>30172</v>
      </c>
      <c r="E14363" s="330" t="s">
        <v>37248</v>
      </c>
      <c r="F14363" s="331">
        <v>0.21</v>
      </c>
      <c r="G14363" s="332">
        <v>17585</v>
      </c>
      <c r="H14363" s="333">
        <v>21278</v>
      </c>
    </row>
    <row r="14364" spans="1:8">
      <c r="A14364" s="317">
        <v>2610950389</v>
      </c>
      <c r="B14364" s="330" t="s">
        <v>58717</v>
      </c>
      <c r="C14364" s="330" t="s">
        <v>30173</v>
      </c>
      <c r="D14364" s="330" t="s">
        <v>27095</v>
      </c>
      <c r="E14364" s="330" t="s">
        <v>37248</v>
      </c>
      <c r="F14364" s="331">
        <v>0.21</v>
      </c>
      <c r="G14364" s="332">
        <v>174</v>
      </c>
      <c r="H14364" s="333">
        <v>211</v>
      </c>
    </row>
    <row r="14365" spans="1:8">
      <c r="A14365" s="317">
        <v>2610950427</v>
      </c>
      <c r="B14365" s="330" t="s">
        <v>58718</v>
      </c>
      <c r="C14365" s="330" t="s">
        <v>30174</v>
      </c>
      <c r="D14365" s="330" t="s">
        <v>12216</v>
      </c>
      <c r="E14365" s="330" t="s">
        <v>37248</v>
      </c>
      <c r="F14365" s="331">
        <v>0.21</v>
      </c>
      <c r="G14365" s="332">
        <v>194</v>
      </c>
      <c r="H14365" s="333">
        <v>235</v>
      </c>
    </row>
    <row r="14366" spans="1:8">
      <c r="A14366" s="317">
        <v>2610950439</v>
      </c>
      <c r="B14366" s="330" t="s">
        <v>58719</v>
      </c>
      <c r="C14366" s="330" t="s">
        <v>30175</v>
      </c>
      <c r="D14366" s="330" t="s">
        <v>26993</v>
      </c>
      <c r="E14366" s="330" t="s">
        <v>37248</v>
      </c>
      <c r="F14366" s="331">
        <v>0.21</v>
      </c>
      <c r="G14366" s="332">
        <v>361</v>
      </c>
      <c r="H14366" s="333">
        <v>437</v>
      </c>
    </row>
    <row r="14367" spans="1:8">
      <c r="A14367" s="317">
        <v>2610951118</v>
      </c>
      <c r="B14367" s="330" t="s">
        <v>58720</v>
      </c>
      <c r="C14367" s="330" t="s">
        <v>30176</v>
      </c>
      <c r="D14367" s="330" t="s">
        <v>12172</v>
      </c>
      <c r="E14367" s="330" t="s">
        <v>4634</v>
      </c>
      <c r="F14367" s="331">
        <v>0.21</v>
      </c>
      <c r="G14367" s="332">
        <v>432</v>
      </c>
      <c r="H14367" s="333">
        <v>523</v>
      </c>
    </row>
    <row r="14368" spans="1:8">
      <c r="A14368" s="317">
        <v>2610951945</v>
      </c>
      <c r="B14368" s="330" t="s">
        <v>58721</v>
      </c>
      <c r="C14368" s="330" t="s">
        <v>30177</v>
      </c>
      <c r="D14368" s="330" t="s">
        <v>26993</v>
      </c>
      <c r="E14368" s="330" t="s">
        <v>37248</v>
      </c>
      <c r="F14368" s="331">
        <v>0.21</v>
      </c>
      <c r="G14368" s="332">
        <v>216</v>
      </c>
      <c r="H14368" s="333">
        <v>262</v>
      </c>
    </row>
    <row r="14369" spans="1:8">
      <c r="A14369" s="317">
        <v>2610953099</v>
      </c>
      <c r="B14369" s="330" t="s">
        <v>58722</v>
      </c>
      <c r="C14369" s="330" t="s">
        <v>30178</v>
      </c>
      <c r="D14369" s="330" t="s">
        <v>13598</v>
      </c>
      <c r="E14369" s="330" t="s">
        <v>4819</v>
      </c>
      <c r="F14369" s="331">
        <v>0.21</v>
      </c>
      <c r="G14369" s="332">
        <v>2478</v>
      </c>
      <c r="H14369" s="333">
        <v>2999</v>
      </c>
    </row>
    <row r="14370" spans="1:8">
      <c r="A14370" s="317">
        <v>2610955158</v>
      </c>
      <c r="B14370" s="330" t="s">
        <v>58723</v>
      </c>
      <c r="C14370" s="330" t="s">
        <v>30179</v>
      </c>
      <c r="D14370" s="330" t="s">
        <v>26788</v>
      </c>
      <c r="E14370" s="330" t="s">
        <v>4634</v>
      </c>
      <c r="F14370" s="331">
        <v>0.21</v>
      </c>
      <c r="G14370" s="332">
        <v>2757</v>
      </c>
      <c r="H14370" s="333">
        <v>3336</v>
      </c>
    </row>
    <row r="14371" spans="1:8">
      <c r="A14371" s="317">
        <v>2610955160</v>
      </c>
      <c r="B14371" s="330" t="s">
        <v>58724</v>
      </c>
      <c r="C14371" s="330" t="s">
        <v>30180</v>
      </c>
      <c r="D14371" s="330" t="s">
        <v>9598</v>
      </c>
      <c r="E14371" s="330" t="s">
        <v>4634</v>
      </c>
      <c r="F14371" s="331">
        <v>0.21</v>
      </c>
      <c r="G14371" s="332">
        <v>5019</v>
      </c>
      <c r="H14371" s="333">
        <v>6073</v>
      </c>
    </row>
    <row r="14372" spans="1:8">
      <c r="A14372" s="317">
        <v>2610955162</v>
      </c>
      <c r="B14372" s="330" t="s">
        <v>58725</v>
      </c>
      <c r="C14372" s="330" t="s">
        <v>30181</v>
      </c>
      <c r="D14372" s="330" t="s">
        <v>30182</v>
      </c>
      <c r="E14372" s="330" t="s">
        <v>4819</v>
      </c>
      <c r="F14372" s="331">
        <v>0.21</v>
      </c>
      <c r="G14372" s="332">
        <v>4361</v>
      </c>
      <c r="H14372" s="333">
        <v>5277</v>
      </c>
    </row>
    <row r="14373" spans="1:8">
      <c r="A14373" s="317">
        <v>2610955166</v>
      </c>
      <c r="B14373" s="330" t="s">
        <v>58726</v>
      </c>
      <c r="C14373" s="330" t="s">
        <v>30183</v>
      </c>
      <c r="D14373" s="330" t="s">
        <v>21157</v>
      </c>
      <c r="E14373" s="330" t="s">
        <v>4819</v>
      </c>
      <c r="F14373" s="331">
        <v>0.21</v>
      </c>
      <c r="G14373" s="332">
        <v>4932</v>
      </c>
      <c r="H14373" s="333">
        <v>5968</v>
      </c>
    </row>
    <row r="14374" spans="1:8">
      <c r="A14374" s="317">
        <v>2610955167</v>
      </c>
      <c r="B14374" s="330" t="s">
        <v>58727</v>
      </c>
      <c r="C14374" s="330" t="s">
        <v>30184</v>
      </c>
      <c r="D14374" s="330" t="s">
        <v>30185</v>
      </c>
      <c r="E14374" s="330" t="s">
        <v>4819</v>
      </c>
      <c r="F14374" s="331">
        <v>0.21</v>
      </c>
      <c r="G14374" s="332">
        <v>1505</v>
      </c>
      <c r="H14374" s="333">
        <v>1822</v>
      </c>
    </row>
    <row r="14375" spans="1:8">
      <c r="A14375" s="317">
        <v>2610955195</v>
      </c>
      <c r="B14375" s="330" t="s">
        <v>58728</v>
      </c>
      <c r="C14375" s="330" t="s">
        <v>30186</v>
      </c>
      <c r="D14375" s="330" t="s">
        <v>27036</v>
      </c>
      <c r="E14375" s="330" t="s">
        <v>4623</v>
      </c>
      <c r="F14375" s="331">
        <v>0.21</v>
      </c>
      <c r="G14375" s="332">
        <v>6221</v>
      </c>
      <c r="H14375" s="333">
        <v>7528</v>
      </c>
    </row>
    <row r="14376" spans="1:8">
      <c r="A14376" s="317">
        <v>2610956311</v>
      </c>
      <c r="B14376" s="330" t="s">
        <v>58729</v>
      </c>
      <c r="C14376" s="330" t="s">
        <v>30187</v>
      </c>
      <c r="D14376" s="330" t="s">
        <v>30188</v>
      </c>
      <c r="E14376" s="330" t="s">
        <v>4634</v>
      </c>
      <c r="F14376" s="331">
        <v>0.21</v>
      </c>
      <c r="G14376" s="332">
        <v>3446</v>
      </c>
      <c r="H14376" s="333">
        <v>4170</v>
      </c>
    </row>
    <row r="14377" spans="1:8">
      <c r="A14377" s="317">
        <v>2610956312</v>
      </c>
      <c r="B14377" s="330" t="s">
        <v>58730</v>
      </c>
      <c r="C14377" s="330" t="s">
        <v>30189</v>
      </c>
      <c r="D14377" s="330" t="s">
        <v>30188</v>
      </c>
      <c r="E14377" s="330" t="s">
        <v>4634</v>
      </c>
      <c r="F14377" s="331">
        <v>0.21</v>
      </c>
      <c r="G14377" s="332">
        <v>4552</v>
      </c>
      <c r="H14377" s="333">
        <v>5508</v>
      </c>
    </row>
    <row r="14378" spans="1:8">
      <c r="A14378" s="317">
        <v>2610956413</v>
      </c>
      <c r="B14378" s="330" t="s">
        <v>58731</v>
      </c>
      <c r="C14378" s="330" t="s">
        <v>30190</v>
      </c>
      <c r="D14378" s="330" t="s">
        <v>8117</v>
      </c>
      <c r="E14378" s="330" t="s">
        <v>37248</v>
      </c>
      <c r="F14378" s="331">
        <v>0.21</v>
      </c>
      <c r="G14378" s="332">
        <v>807</v>
      </c>
      <c r="H14378" s="333">
        <v>977</v>
      </c>
    </row>
    <row r="14379" spans="1:8">
      <c r="A14379" s="317">
        <v>2610956414</v>
      </c>
      <c r="B14379" s="330" t="s">
        <v>58732</v>
      </c>
      <c r="C14379" s="330" t="s">
        <v>30191</v>
      </c>
      <c r="D14379" s="330" t="s">
        <v>8149</v>
      </c>
      <c r="E14379" s="330" t="s">
        <v>37248</v>
      </c>
      <c r="F14379" s="331">
        <v>0.21</v>
      </c>
      <c r="G14379" s="332">
        <v>243</v>
      </c>
      <c r="H14379" s="333">
        <v>295</v>
      </c>
    </row>
    <row r="14380" spans="1:8">
      <c r="A14380" s="317">
        <v>2610956415</v>
      </c>
      <c r="B14380" s="330" t="s">
        <v>58733</v>
      </c>
      <c r="C14380" s="330" t="s">
        <v>30192</v>
      </c>
      <c r="D14380" s="330" t="s">
        <v>30193</v>
      </c>
      <c r="E14380" s="330" t="s">
        <v>37248</v>
      </c>
      <c r="F14380" s="331">
        <v>0.21</v>
      </c>
      <c r="G14380" s="332">
        <v>243</v>
      </c>
      <c r="H14380" s="333">
        <v>295</v>
      </c>
    </row>
    <row r="14381" spans="1:8">
      <c r="A14381" s="317">
        <v>2610956416</v>
      </c>
      <c r="B14381" s="330" t="s">
        <v>58734</v>
      </c>
      <c r="C14381" s="330" t="s">
        <v>30194</v>
      </c>
      <c r="D14381" s="330" t="s">
        <v>8184</v>
      </c>
      <c r="E14381" s="330" t="s">
        <v>4623</v>
      </c>
      <c r="F14381" s="331">
        <v>0.21</v>
      </c>
      <c r="G14381" s="332">
        <v>1043</v>
      </c>
      <c r="H14381" s="333">
        <v>1263</v>
      </c>
    </row>
    <row r="14382" spans="1:8">
      <c r="A14382" s="317">
        <v>2610956663</v>
      </c>
      <c r="B14382" s="330" t="s">
        <v>58735</v>
      </c>
      <c r="C14382" s="330" t="s">
        <v>30195</v>
      </c>
      <c r="D14382" s="330" t="s">
        <v>30196</v>
      </c>
      <c r="E14382" s="330" t="s">
        <v>37248</v>
      </c>
      <c r="F14382" s="331">
        <v>0.21</v>
      </c>
      <c r="G14382" s="332">
        <v>45172</v>
      </c>
      <c r="H14382" s="333">
        <v>54659</v>
      </c>
    </row>
    <row r="14383" spans="1:8">
      <c r="A14383" s="317">
        <v>2610956664</v>
      </c>
      <c r="B14383" s="330" t="s">
        <v>58736</v>
      </c>
      <c r="C14383" s="330" t="s">
        <v>30197</v>
      </c>
      <c r="D14383" s="330" t="s">
        <v>30198</v>
      </c>
      <c r="E14383" s="330" t="s">
        <v>37248</v>
      </c>
      <c r="F14383" s="331">
        <v>0.21</v>
      </c>
      <c r="G14383" s="332">
        <v>3865</v>
      </c>
      <c r="H14383" s="333">
        <v>4677</v>
      </c>
    </row>
    <row r="14384" spans="1:8">
      <c r="A14384" s="317">
        <v>2610956683</v>
      </c>
      <c r="B14384" s="330" t="s">
        <v>58737</v>
      </c>
      <c r="C14384" s="330" t="s">
        <v>30199</v>
      </c>
      <c r="D14384" s="330" t="s">
        <v>30200</v>
      </c>
      <c r="E14384" s="330" t="s">
        <v>37248</v>
      </c>
      <c r="F14384" s="331">
        <v>0.21</v>
      </c>
      <c r="G14384" s="332">
        <v>2398</v>
      </c>
      <c r="H14384" s="333">
        <v>2902</v>
      </c>
    </row>
    <row r="14385" spans="1:8">
      <c r="A14385" s="317">
        <v>2610956864</v>
      </c>
      <c r="B14385" s="330" t="s">
        <v>58738</v>
      </c>
      <c r="C14385" s="330" t="s">
        <v>30201</v>
      </c>
      <c r="D14385" s="330" t="s">
        <v>18172</v>
      </c>
      <c r="E14385" s="330" t="s">
        <v>4634</v>
      </c>
      <c r="F14385" s="331">
        <v>0.21</v>
      </c>
      <c r="G14385" s="332">
        <v>412</v>
      </c>
      <c r="H14385" s="333">
        <v>499</v>
      </c>
    </row>
    <row r="14386" spans="1:8">
      <c r="A14386" s="317">
        <v>2610956865</v>
      </c>
      <c r="B14386" s="330" t="s">
        <v>58739</v>
      </c>
      <c r="C14386" s="330" t="s">
        <v>30202</v>
      </c>
      <c r="D14386" s="330" t="s">
        <v>18172</v>
      </c>
      <c r="E14386" s="330" t="s">
        <v>4634</v>
      </c>
      <c r="F14386" s="331">
        <v>0.21</v>
      </c>
      <c r="G14386" s="332">
        <v>412</v>
      </c>
      <c r="H14386" s="333">
        <v>499</v>
      </c>
    </row>
    <row r="14387" spans="1:8">
      <c r="A14387" s="317">
        <v>2610956866</v>
      </c>
      <c r="B14387" s="330" t="s">
        <v>58740</v>
      </c>
      <c r="C14387" s="330" t="s">
        <v>30203</v>
      </c>
      <c r="D14387" s="330" t="s">
        <v>30204</v>
      </c>
      <c r="E14387" s="330" t="s">
        <v>4819</v>
      </c>
      <c r="F14387" s="331">
        <v>0.21</v>
      </c>
      <c r="G14387" s="332">
        <v>2647</v>
      </c>
      <c r="H14387" s="333">
        <v>3203</v>
      </c>
    </row>
    <row r="14388" spans="1:8">
      <c r="A14388" s="317">
        <v>2610956867</v>
      </c>
      <c r="B14388" s="330" t="s">
        <v>58741</v>
      </c>
      <c r="C14388" s="330" t="s">
        <v>30205</v>
      </c>
      <c r="D14388" s="330" t="s">
        <v>18172</v>
      </c>
      <c r="E14388" s="330" t="s">
        <v>4634</v>
      </c>
      <c r="F14388" s="331">
        <v>0.21</v>
      </c>
      <c r="G14388" s="332">
        <v>180</v>
      </c>
      <c r="H14388" s="333">
        <v>218</v>
      </c>
    </row>
    <row r="14389" spans="1:8">
      <c r="A14389" s="317">
        <v>2610956868</v>
      </c>
      <c r="B14389" s="330" t="s">
        <v>58742</v>
      </c>
      <c r="C14389" s="330" t="s">
        <v>30206</v>
      </c>
      <c r="D14389" s="330" t="s">
        <v>30207</v>
      </c>
      <c r="E14389" s="330" t="s">
        <v>37248</v>
      </c>
      <c r="F14389" s="331">
        <v>0.21</v>
      </c>
      <c r="G14389" s="332">
        <v>410</v>
      </c>
      <c r="H14389" s="333">
        <v>497</v>
      </c>
    </row>
    <row r="14390" spans="1:8">
      <c r="A14390" s="317">
        <v>2610956869</v>
      </c>
      <c r="B14390" s="330" t="s">
        <v>58743</v>
      </c>
      <c r="C14390" s="330" t="s">
        <v>30208</v>
      </c>
      <c r="D14390" s="330" t="s">
        <v>30209</v>
      </c>
      <c r="E14390" s="330" t="s">
        <v>4634</v>
      </c>
      <c r="F14390" s="331">
        <v>0.21</v>
      </c>
      <c r="G14390" s="332">
        <v>180</v>
      </c>
      <c r="H14390" s="333">
        <v>218</v>
      </c>
    </row>
    <row r="14391" spans="1:8">
      <c r="A14391" s="317">
        <v>2610956870</v>
      </c>
      <c r="B14391" s="330" t="s">
        <v>58744</v>
      </c>
      <c r="C14391" s="330" t="s">
        <v>30210</v>
      </c>
      <c r="D14391" s="330" t="s">
        <v>30211</v>
      </c>
      <c r="E14391" s="330" t="s">
        <v>4634</v>
      </c>
      <c r="F14391" s="331">
        <v>0.21</v>
      </c>
      <c r="G14391" s="332">
        <v>490</v>
      </c>
      <c r="H14391" s="333">
        <v>593</v>
      </c>
    </row>
    <row r="14392" spans="1:8">
      <c r="A14392" s="317">
        <v>2610956874</v>
      </c>
      <c r="B14392" s="330" t="s">
        <v>58745</v>
      </c>
      <c r="C14392" s="330" t="s">
        <v>30212</v>
      </c>
      <c r="D14392" s="330" t="s">
        <v>30213</v>
      </c>
      <c r="E14392" s="330" t="s">
        <v>4819</v>
      </c>
      <c r="F14392" s="331">
        <v>0.21</v>
      </c>
      <c r="G14392" s="332">
        <v>2823</v>
      </c>
      <c r="H14392" s="333">
        <v>3416</v>
      </c>
    </row>
    <row r="14393" spans="1:8">
      <c r="A14393" s="317">
        <v>2610956877</v>
      </c>
      <c r="B14393" s="330" t="s">
        <v>58746</v>
      </c>
      <c r="C14393" s="330" t="s">
        <v>30214</v>
      </c>
      <c r="D14393" s="330" t="s">
        <v>30215</v>
      </c>
      <c r="E14393" s="330" t="s">
        <v>4819</v>
      </c>
      <c r="F14393" s="331">
        <v>0.21</v>
      </c>
      <c r="G14393" s="332">
        <v>23877</v>
      </c>
      <c r="H14393" s="333">
        <v>28892</v>
      </c>
    </row>
    <row r="14394" spans="1:8">
      <c r="A14394" s="317">
        <v>2610956878</v>
      </c>
      <c r="B14394" s="330" t="s">
        <v>58747</v>
      </c>
      <c r="C14394" s="330" t="s">
        <v>30216</v>
      </c>
      <c r="D14394" s="330" t="s">
        <v>30217</v>
      </c>
      <c r="E14394" s="330" t="s">
        <v>4634</v>
      </c>
      <c r="F14394" s="331">
        <v>0.21</v>
      </c>
      <c r="G14394" s="332">
        <v>280</v>
      </c>
      <c r="H14394" s="333">
        <v>339</v>
      </c>
    </row>
    <row r="14395" spans="1:8">
      <c r="A14395" s="317">
        <v>2610956880</v>
      </c>
      <c r="B14395" s="330" t="s">
        <v>58748</v>
      </c>
      <c r="C14395" s="330" t="s">
        <v>30218</v>
      </c>
      <c r="D14395" s="330" t="s">
        <v>30219</v>
      </c>
      <c r="E14395" s="330" t="s">
        <v>4819</v>
      </c>
      <c r="F14395" s="331">
        <v>0.21</v>
      </c>
      <c r="G14395" s="332">
        <v>1753</v>
      </c>
      <c r="H14395" s="333">
        <v>2122</v>
      </c>
    </row>
    <row r="14396" spans="1:8">
      <c r="A14396" s="317">
        <v>2610956881</v>
      </c>
      <c r="B14396" s="330" t="s">
        <v>58749</v>
      </c>
      <c r="C14396" s="330" t="s">
        <v>30220</v>
      </c>
      <c r="D14396" s="330" t="s">
        <v>30221</v>
      </c>
      <c r="E14396" s="330" t="s">
        <v>4819</v>
      </c>
      <c r="F14396" s="331">
        <v>0.21</v>
      </c>
      <c r="G14396" s="332">
        <v>470</v>
      </c>
      <c r="H14396" s="333">
        <v>569</v>
      </c>
    </row>
    <row r="14397" spans="1:8">
      <c r="A14397" s="317">
        <v>2610956882</v>
      </c>
      <c r="B14397" s="330" t="s">
        <v>58750</v>
      </c>
      <c r="C14397" s="330" t="s">
        <v>30222</v>
      </c>
      <c r="D14397" s="330" t="s">
        <v>30223</v>
      </c>
      <c r="E14397" s="330" t="s">
        <v>4634</v>
      </c>
      <c r="F14397" s="331">
        <v>0.21</v>
      </c>
      <c r="G14397" s="332">
        <v>1170</v>
      </c>
      <c r="H14397" s="333">
        <v>1416</v>
      </c>
    </row>
    <row r="14398" spans="1:8">
      <c r="A14398" s="317">
        <v>2610956884</v>
      </c>
      <c r="B14398" s="330" t="s">
        <v>58751</v>
      </c>
      <c r="C14398" s="330" t="s">
        <v>30224</v>
      </c>
      <c r="D14398" s="330" t="s">
        <v>30225</v>
      </c>
      <c r="E14398" s="330" t="s">
        <v>4634</v>
      </c>
      <c r="F14398" s="331">
        <v>0.21</v>
      </c>
      <c r="G14398" s="332">
        <v>236</v>
      </c>
      <c r="H14398" s="333">
        <v>286</v>
      </c>
    </row>
    <row r="14399" spans="1:8">
      <c r="A14399" s="317">
        <v>2610956885</v>
      </c>
      <c r="B14399" s="330" t="s">
        <v>58752</v>
      </c>
      <c r="C14399" s="330" t="s">
        <v>30226</v>
      </c>
      <c r="D14399" s="330" t="s">
        <v>30227</v>
      </c>
      <c r="E14399" s="330" t="s">
        <v>4819</v>
      </c>
      <c r="F14399" s="331">
        <v>0.21</v>
      </c>
      <c r="G14399" s="332">
        <v>671</v>
      </c>
      <c r="H14399" s="333">
        <v>812</v>
      </c>
    </row>
    <row r="14400" spans="1:8">
      <c r="A14400" s="317">
        <v>2610956886</v>
      </c>
      <c r="B14400" s="330" t="s">
        <v>58753</v>
      </c>
      <c r="C14400" s="330" t="s">
        <v>30228</v>
      </c>
      <c r="D14400" s="330" t="s">
        <v>30229</v>
      </c>
      <c r="E14400" s="330" t="s">
        <v>4819</v>
      </c>
      <c r="F14400" s="331">
        <v>0.21</v>
      </c>
      <c r="G14400" s="332">
        <v>1744</v>
      </c>
      <c r="H14400" s="333">
        <v>2111</v>
      </c>
    </row>
    <row r="14401" spans="1:8">
      <c r="A14401" s="317">
        <v>2610956887</v>
      </c>
      <c r="B14401" s="330" t="s">
        <v>58754</v>
      </c>
      <c r="C14401" s="330" t="s">
        <v>30230</v>
      </c>
      <c r="D14401" s="330" t="s">
        <v>5938</v>
      </c>
      <c r="E14401" s="330" t="s">
        <v>4634</v>
      </c>
      <c r="F14401" s="331">
        <v>0.21</v>
      </c>
      <c r="G14401" s="332">
        <v>1150</v>
      </c>
      <c r="H14401" s="333">
        <v>1392</v>
      </c>
    </row>
    <row r="14402" spans="1:8">
      <c r="A14402" s="317">
        <v>2610956888</v>
      </c>
      <c r="B14402" s="330" t="s">
        <v>58755</v>
      </c>
      <c r="C14402" s="330" t="s">
        <v>30231</v>
      </c>
      <c r="D14402" s="330" t="s">
        <v>30232</v>
      </c>
      <c r="E14402" s="330" t="s">
        <v>4819</v>
      </c>
      <c r="F14402" s="331">
        <v>0.21</v>
      </c>
      <c r="G14402" s="332">
        <v>1601</v>
      </c>
      <c r="H14402" s="333">
        <v>1938</v>
      </c>
    </row>
    <row r="14403" spans="1:8">
      <c r="A14403" s="317">
        <v>2610956889</v>
      </c>
      <c r="B14403" s="330" t="s">
        <v>58756</v>
      </c>
      <c r="C14403" s="330" t="s">
        <v>30233</v>
      </c>
      <c r="D14403" s="330" t="s">
        <v>30223</v>
      </c>
      <c r="E14403" s="330" t="s">
        <v>4819</v>
      </c>
      <c r="F14403" s="331">
        <v>0.21</v>
      </c>
      <c r="G14403" s="332">
        <v>8287</v>
      </c>
      <c r="H14403" s="333">
        <v>10028</v>
      </c>
    </row>
    <row r="14404" spans="1:8">
      <c r="A14404" s="317">
        <v>2610956890</v>
      </c>
      <c r="B14404" s="330" t="s">
        <v>58757</v>
      </c>
      <c r="C14404" s="330" t="s">
        <v>30234</v>
      </c>
      <c r="D14404" s="330" t="s">
        <v>30235</v>
      </c>
      <c r="E14404" s="330" t="s">
        <v>37248</v>
      </c>
      <c r="F14404" s="331">
        <v>0.21</v>
      </c>
      <c r="G14404" s="332">
        <v>36006</v>
      </c>
      <c r="H14404" s="333">
        <v>43568</v>
      </c>
    </row>
    <row r="14405" spans="1:8">
      <c r="A14405" s="317">
        <v>2610956893</v>
      </c>
      <c r="B14405" s="330" t="s">
        <v>58758</v>
      </c>
      <c r="C14405" s="330" t="s">
        <v>30236</v>
      </c>
      <c r="D14405" s="330" t="s">
        <v>30223</v>
      </c>
      <c r="E14405" s="330" t="s">
        <v>4819</v>
      </c>
      <c r="F14405" s="331">
        <v>0.21</v>
      </c>
      <c r="G14405" s="332">
        <v>3468</v>
      </c>
      <c r="H14405" s="333">
        <v>4197</v>
      </c>
    </row>
    <row r="14406" spans="1:8">
      <c r="A14406" s="317">
        <v>2610956894</v>
      </c>
      <c r="B14406" s="330" t="s">
        <v>58759</v>
      </c>
      <c r="C14406" s="330" t="s">
        <v>30237</v>
      </c>
      <c r="D14406" s="330" t="s">
        <v>18172</v>
      </c>
      <c r="E14406" s="330" t="s">
        <v>4819</v>
      </c>
      <c r="F14406" s="331">
        <v>0.21</v>
      </c>
      <c r="G14406" s="332">
        <v>470</v>
      </c>
      <c r="H14406" s="333">
        <v>569</v>
      </c>
    </row>
    <row r="14407" spans="1:8">
      <c r="A14407" s="317">
        <v>2610956897</v>
      </c>
      <c r="B14407" s="330" t="s">
        <v>58760</v>
      </c>
      <c r="C14407" s="330" t="s">
        <v>30238</v>
      </c>
      <c r="D14407" s="330" t="s">
        <v>30239</v>
      </c>
      <c r="E14407" s="330" t="s">
        <v>37248</v>
      </c>
      <c r="F14407" s="331">
        <v>0.21</v>
      </c>
      <c r="G14407" s="332">
        <v>12425</v>
      </c>
      <c r="H14407" s="333">
        <v>15035</v>
      </c>
    </row>
    <row r="14408" spans="1:8">
      <c r="A14408" s="317">
        <v>2610956898</v>
      </c>
      <c r="B14408" s="330" t="s">
        <v>58761</v>
      </c>
      <c r="C14408" s="330" t="s">
        <v>30240</v>
      </c>
      <c r="D14408" s="330" t="s">
        <v>30241</v>
      </c>
      <c r="E14408" s="330" t="s">
        <v>37248</v>
      </c>
      <c r="F14408" s="331">
        <v>0.21</v>
      </c>
      <c r="G14408" s="332">
        <v>13741</v>
      </c>
      <c r="H14408" s="333">
        <v>16627</v>
      </c>
    </row>
    <row r="14409" spans="1:8">
      <c r="A14409" s="317">
        <v>2610956899</v>
      </c>
      <c r="B14409" s="330" t="s">
        <v>58762</v>
      </c>
      <c r="C14409" s="330" t="s">
        <v>30242</v>
      </c>
      <c r="D14409" s="330" t="s">
        <v>30243</v>
      </c>
      <c r="E14409" s="330" t="s">
        <v>4819</v>
      </c>
      <c r="F14409" s="331">
        <v>0.21</v>
      </c>
      <c r="G14409" s="332">
        <v>671</v>
      </c>
      <c r="H14409" s="333">
        <v>812</v>
      </c>
    </row>
    <row r="14410" spans="1:8">
      <c r="A14410" s="317">
        <v>2610956900</v>
      </c>
      <c r="B14410" s="330" t="s">
        <v>58763</v>
      </c>
      <c r="C14410" s="330" t="s">
        <v>30244</v>
      </c>
      <c r="D14410" s="330" t="s">
        <v>30232</v>
      </c>
      <c r="E14410" s="330" t="s">
        <v>37248</v>
      </c>
      <c r="F14410" s="331">
        <v>0.21</v>
      </c>
      <c r="G14410" s="332">
        <v>2647</v>
      </c>
      <c r="H14410" s="333">
        <v>3203</v>
      </c>
    </row>
    <row r="14411" spans="1:8">
      <c r="A14411" s="317">
        <v>2610956902</v>
      </c>
      <c r="B14411" s="330" t="s">
        <v>58764</v>
      </c>
      <c r="C14411" s="330" t="s">
        <v>30245</v>
      </c>
      <c r="D14411" s="330" t="s">
        <v>18172</v>
      </c>
      <c r="E14411" s="330" t="s">
        <v>4634</v>
      </c>
      <c r="F14411" s="331">
        <v>0.21</v>
      </c>
      <c r="G14411" s="332">
        <v>180</v>
      </c>
      <c r="H14411" s="333">
        <v>218</v>
      </c>
    </row>
    <row r="14412" spans="1:8">
      <c r="A14412" s="317">
        <v>2610956906</v>
      </c>
      <c r="B14412" s="330" t="s">
        <v>58765</v>
      </c>
      <c r="C14412" s="330" t="s">
        <v>30246</v>
      </c>
      <c r="D14412" s="330" t="s">
        <v>30247</v>
      </c>
      <c r="E14412" s="330" t="s">
        <v>37248</v>
      </c>
      <c r="F14412" s="331">
        <v>0.21</v>
      </c>
      <c r="G14412" s="332">
        <v>22671</v>
      </c>
      <c r="H14412" s="333">
        <v>27432</v>
      </c>
    </row>
    <row r="14413" spans="1:8">
      <c r="A14413" s="317">
        <v>2610956907</v>
      </c>
      <c r="B14413" s="330" t="s">
        <v>58766</v>
      </c>
      <c r="C14413" s="330" t="s">
        <v>30248</v>
      </c>
      <c r="D14413" s="330" t="s">
        <v>30249</v>
      </c>
      <c r="E14413" s="330" t="s">
        <v>4819</v>
      </c>
      <c r="F14413" s="331">
        <v>0.21</v>
      </c>
      <c r="G14413" s="332">
        <v>13685</v>
      </c>
      <c r="H14413" s="333">
        <v>16559</v>
      </c>
    </row>
    <row r="14414" spans="1:8">
      <c r="A14414" s="317">
        <v>2610956909</v>
      </c>
      <c r="B14414" s="330" t="s">
        <v>58767</v>
      </c>
      <c r="C14414" s="330" t="s">
        <v>30250</v>
      </c>
      <c r="D14414" s="330" t="s">
        <v>30251</v>
      </c>
      <c r="E14414" s="330" t="s">
        <v>4634</v>
      </c>
      <c r="F14414" s="331">
        <v>0.21</v>
      </c>
      <c r="G14414" s="332">
        <v>7075</v>
      </c>
      <c r="H14414" s="333">
        <v>8561</v>
      </c>
    </row>
    <row r="14415" spans="1:8">
      <c r="A14415" s="317">
        <v>2610956916</v>
      </c>
      <c r="B14415" s="330" t="s">
        <v>58768</v>
      </c>
      <c r="C14415" s="330" t="s">
        <v>30252</v>
      </c>
      <c r="D14415" s="330" t="s">
        <v>18183</v>
      </c>
      <c r="E14415" s="330" t="s">
        <v>37248</v>
      </c>
      <c r="F14415" s="331">
        <v>0.21</v>
      </c>
      <c r="G14415" s="332">
        <v>6342</v>
      </c>
      <c r="H14415" s="333">
        <v>7674</v>
      </c>
    </row>
    <row r="14416" spans="1:8">
      <c r="A14416" s="317">
        <v>2610956919</v>
      </c>
      <c r="B14416" s="330" t="s">
        <v>58769</v>
      </c>
      <c r="C14416" s="330" t="s">
        <v>30253</v>
      </c>
      <c r="D14416" s="330" t="s">
        <v>30254</v>
      </c>
      <c r="E14416" s="330" t="s">
        <v>4819</v>
      </c>
      <c r="F14416" s="331">
        <v>0.21</v>
      </c>
      <c r="G14416" s="332">
        <v>37514</v>
      </c>
      <c r="H14416" s="333">
        <v>45392</v>
      </c>
    </row>
    <row r="14417" spans="1:8">
      <c r="A14417" s="317">
        <v>2610956920</v>
      </c>
      <c r="B14417" s="330" t="s">
        <v>58770</v>
      </c>
      <c r="C14417" s="330" t="s">
        <v>30255</v>
      </c>
      <c r="D14417" s="330" t="s">
        <v>30256</v>
      </c>
      <c r="E14417" s="330" t="s">
        <v>37248</v>
      </c>
      <c r="F14417" s="331">
        <v>0.21</v>
      </c>
      <c r="G14417" s="332">
        <v>61975</v>
      </c>
      <c r="H14417" s="333">
        <v>74990</v>
      </c>
    </row>
    <row r="14418" spans="1:8">
      <c r="A14418" s="317">
        <v>2610957458</v>
      </c>
      <c r="B14418" s="330" t="s">
        <v>58771</v>
      </c>
      <c r="C14418" s="330" t="s">
        <v>30257</v>
      </c>
      <c r="D14418" s="330" t="s">
        <v>30258</v>
      </c>
      <c r="E14418" s="330" t="s">
        <v>4634</v>
      </c>
      <c r="F14418" s="331">
        <v>0.21</v>
      </c>
      <c r="G14418" s="332">
        <v>35855</v>
      </c>
      <c r="H14418" s="333">
        <v>43385</v>
      </c>
    </row>
    <row r="14419" spans="1:8">
      <c r="A14419" s="317">
        <v>2610957469</v>
      </c>
      <c r="B14419" s="330" t="s">
        <v>58772</v>
      </c>
      <c r="C14419" s="330" t="s">
        <v>30259</v>
      </c>
      <c r="D14419" s="330" t="s">
        <v>30260</v>
      </c>
      <c r="E14419" s="330" t="s">
        <v>4819</v>
      </c>
      <c r="F14419" s="331">
        <v>0.21</v>
      </c>
      <c r="G14419" s="332">
        <v>910</v>
      </c>
      <c r="H14419" s="333">
        <v>1102</v>
      </c>
    </row>
    <row r="14420" spans="1:8">
      <c r="A14420" s="317">
        <v>2610957736</v>
      </c>
      <c r="B14420" s="330" t="s">
        <v>58773</v>
      </c>
      <c r="C14420" s="330" t="s">
        <v>30261</v>
      </c>
      <c r="D14420" s="330" t="s">
        <v>9732</v>
      </c>
      <c r="E14420" s="330" t="s">
        <v>37248</v>
      </c>
      <c r="F14420" s="331">
        <v>0.21</v>
      </c>
      <c r="G14420" s="332">
        <v>916</v>
      </c>
      <c r="H14420" s="333">
        <v>1109</v>
      </c>
    </row>
    <row r="14421" spans="1:8">
      <c r="A14421" s="317">
        <v>2610957738</v>
      </c>
      <c r="B14421" s="330" t="s">
        <v>58774</v>
      </c>
      <c r="C14421" s="330" t="s">
        <v>30262</v>
      </c>
      <c r="D14421" s="330" t="s">
        <v>27157</v>
      </c>
      <c r="E14421" s="330" t="s">
        <v>37248</v>
      </c>
      <c r="F14421" s="331">
        <v>0.21</v>
      </c>
      <c r="G14421" s="332">
        <v>1363</v>
      </c>
      <c r="H14421" s="333">
        <v>1650</v>
      </c>
    </row>
    <row r="14422" spans="1:8">
      <c r="A14422" s="317">
        <v>2610957739</v>
      </c>
      <c r="B14422" s="330" t="s">
        <v>58775</v>
      </c>
      <c r="C14422" s="330" t="s">
        <v>30263</v>
      </c>
      <c r="D14422" s="330" t="s">
        <v>30264</v>
      </c>
      <c r="E14422" s="330" t="s">
        <v>37248</v>
      </c>
      <c r="F14422" s="331">
        <v>0.21</v>
      </c>
      <c r="G14422" s="332">
        <v>5597</v>
      </c>
      <c r="H14422" s="333">
        <v>6773</v>
      </c>
    </row>
    <row r="14423" spans="1:8">
      <c r="A14423" s="317">
        <v>2610957778</v>
      </c>
      <c r="B14423" s="330" t="s">
        <v>58776</v>
      </c>
      <c r="C14423" s="330" t="s">
        <v>30265</v>
      </c>
      <c r="D14423" s="330" t="s">
        <v>30266</v>
      </c>
      <c r="E14423" s="330" t="s">
        <v>37248</v>
      </c>
      <c r="F14423" s="331">
        <v>0.21</v>
      </c>
      <c r="G14423" s="332">
        <v>8554</v>
      </c>
      <c r="H14423" s="333">
        <v>10351</v>
      </c>
    </row>
    <row r="14424" spans="1:8">
      <c r="A14424" s="317">
        <v>2610957779</v>
      </c>
      <c r="B14424" s="330" t="s">
        <v>58777</v>
      </c>
      <c r="C14424" s="330" t="s">
        <v>30267</v>
      </c>
      <c r="D14424" s="330" t="s">
        <v>7369</v>
      </c>
      <c r="E14424" s="330" t="s">
        <v>4819</v>
      </c>
      <c r="F14424" s="331">
        <v>0.21</v>
      </c>
      <c r="G14424" s="332">
        <v>19648</v>
      </c>
      <c r="H14424" s="333">
        <v>23775</v>
      </c>
    </row>
    <row r="14425" spans="1:8">
      <c r="A14425" s="317">
        <v>2610957808</v>
      </c>
      <c r="B14425" s="330" t="s">
        <v>58778</v>
      </c>
      <c r="C14425" s="330" t="s">
        <v>30268</v>
      </c>
      <c r="D14425" s="330" t="s">
        <v>30269</v>
      </c>
      <c r="E14425" s="330" t="s">
        <v>37248</v>
      </c>
      <c r="F14425" s="331">
        <v>0.21</v>
      </c>
      <c r="G14425" s="332">
        <v>108662</v>
      </c>
      <c r="H14425" s="333">
        <v>131482</v>
      </c>
    </row>
    <row r="14426" spans="1:8">
      <c r="A14426" s="317">
        <v>2610957811</v>
      </c>
      <c r="B14426" s="330" t="s">
        <v>58779</v>
      </c>
      <c r="C14426" s="330" t="s">
        <v>30270</v>
      </c>
      <c r="D14426" s="330" t="s">
        <v>26774</v>
      </c>
      <c r="E14426" s="330" t="s">
        <v>4634</v>
      </c>
      <c r="F14426" s="331">
        <v>0.21</v>
      </c>
      <c r="G14426" s="332">
        <v>1514</v>
      </c>
      <c r="H14426" s="333">
        <v>1832</v>
      </c>
    </row>
    <row r="14427" spans="1:8">
      <c r="A14427" s="317">
        <v>2610957812</v>
      </c>
      <c r="B14427" s="330" t="s">
        <v>58780</v>
      </c>
      <c r="C14427" s="330" t="s">
        <v>30271</v>
      </c>
      <c r="D14427" s="330" t="s">
        <v>26774</v>
      </c>
      <c r="E14427" s="330" t="s">
        <v>4634</v>
      </c>
      <c r="F14427" s="331">
        <v>0.21</v>
      </c>
      <c r="G14427" s="332">
        <v>1298</v>
      </c>
      <c r="H14427" s="333">
        <v>1571</v>
      </c>
    </row>
    <row r="14428" spans="1:8">
      <c r="A14428" s="317">
        <v>2610957840</v>
      </c>
      <c r="B14428" s="330" t="s">
        <v>58781</v>
      </c>
      <c r="C14428" s="330" t="s">
        <v>30272</v>
      </c>
      <c r="D14428" s="330" t="s">
        <v>7590</v>
      </c>
      <c r="E14428" s="330" t="s">
        <v>4634</v>
      </c>
      <c r="F14428" s="331">
        <v>0.21</v>
      </c>
      <c r="G14428" s="332">
        <v>455</v>
      </c>
      <c r="H14428" s="333">
        <v>551</v>
      </c>
    </row>
    <row r="14429" spans="1:8">
      <c r="A14429" s="317">
        <v>2610957841</v>
      </c>
      <c r="B14429" s="330" t="s">
        <v>58782</v>
      </c>
      <c r="C14429" s="330" t="s">
        <v>30273</v>
      </c>
      <c r="D14429" s="330" t="s">
        <v>7320</v>
      </c>
      <c r="E14429" s="330" t="s">
        <v>4634</v>
      </c>
      <c r="F14429" s="331">
        <v>0.21</v>
      </c>
      <c r="G14429" s="332">
        <v>791</v>
      </c>
      <c r="H14429" s="333">
        <v>958</v>
      </c>
    </row>
    <row r="14430" spans="1:8">
      <c r="A14430" s="317">
        <v>2610957842</v>
      </c>
      <c r="B14430" s="330" t="s">
        <v>58783</v>
      </c>
      <c r="C14430" s="330" t="s">
        <v>30274</v>
      </c>
      <c r="D14430" s="330" t="s">
        <v>30275</v>
      </c>
      <c r="E14430" s="330" t="s">
        <v>4634</v>
      </c>
      <c r="F14430" s="331">
        <v>0.21</v>
      </c>
      <c r="G14430" s="332">
        <v>348</v>
      </c>
      <c r="H14430" s="333">
        <v>422</v>
      </c>
    </row>
    <row r="14431" spans="1:8">
      <c r="A14431" s="317">
        <v>2610957843</v>
      </c>
      <c r="B14431" s="330" t="s">
        <v>58784</v>
      </c>
      <c r="C14431" s="330" t="s">
        <v>30276</v>
      </c>
      <c r="D14431" s="330" t="s">
        <v>30277</v>
      </c>
      <c r="E14431" s="330" t="s">
        <v>4623</v>
      </c>
      <c r="F14431" s="331">
        <v>0.21</v>
      </c>
      <c r="G14431" s="332">
        <v>1679</v>
      </c>
      <c r="H14431" s="333">
        <v>2032</v>
      </c>
    </row>
    <row r="14432" spans="1:8">
      <c r="A14432" s="317">
        <v>2610957844</v>
      </c>
      <c r="B14432" s="330" t="s">
        <v>58785</v>
      </c>
      <c r="C14432" s="330" t="s">
        <v>30278</v>
      </c>
      <c r="D14432" s="330" t="s">
        <v>30279</v>
      </c>
      <c r="E14432" s="330" t="s">
        <v>37248</v>
      </c>
      <c r="F14432" s="331">
        <v>0.21</v>
      </c>
      <c r="G14432" s="332">
        <v>435</v>
      </c>
      <c r="H14432" s="333">
        <v>527</v>
      </c>
    </row>
    <row r="14433" spans="1:8">
      <c r="A14433" s="317">
        <v>2610957845</v>
      </c>
      <c r="B14433" s="330" t="s">
        <v>58786</v>
      </c>
      <c r="C14433" s="330" t="s">
        <v>30280</v>
      </c>
      <c r="D14433" s="330" t="s">
        <v>30281</v>
      </c>
      <c r="E14433" s="330" t="s">
        <v>4634</v>
      </c>
      <c r="F14433" s="331">
        <v>0.21</v>
      </c>
      <c r="G14433" s="332">
        <v>1547</v>
      </c>
      <c r="H14433" s="333">
        <v>1872</v>
      </c>
    </row>
    <row r="14434" spans="1:8">
      <c r="A14434" s="317">
        <v>2610957846</v>
      </c>
      <c r="B14434" s="330" t="s">
        <v>58787</v>
      </c>
      <c r="C14434" s="330" t="s">
        <v>30282</v>
      </c>
      <c r="D14434" s="330" t="s">
        <v>30283</v>
      </c>
      <c r="E14434" s="330" t="s">
        <v>4623</v>
      </c>
      <c r="F14434" s="331">
        <v>0.21</v>
      </c>
      <c r="G14434" s="332">
        <v>13043</v>
      </c>
      <c r="H14434" s="333">
        <v>15783</v>
      </c>
    </row>
    <row r="14435" spans="1:8">
      <c r="A14435" s="317">
        <v>2610957974</v>
      </c>
      <c r="B14435" s="330" t="s">
        <v>58788</v>
      </c>
      <c r="C14435" s="330" t="s">
        <v>30284</v>
      </c>
      <c r="D14435" s="330" t="s">
        <v>30285</v>
      </c>
      <c r="E14435" s="330" t="s">
        <v>4819</v>
      </c>
      <c r="F14435" s="331">
        <v>0.21</v>
      </c>
      <c r="G14435" s="332">
        <v>25298</v>
      </c>
      <c r="H14435" s="333">
        <v>30611</v>
      </c>
    </row>
    <row r="14436" spans="1:8">
      <c r="A14436" s="317">
        <v>2610957994</v>
      </c>
      <c r="B14436" s="330" t="s">
        <v>58789</v>
      </c>
      <c r="C14436" s="330" t="s">
        <v>30286</v>
      </c>
      <c r="D14436" s="330" t="s">
        <v>7626</v>
      </c>
      <c r="E14436" s="330" t="s">
        <v>4819</v>
      </c>
      <c r="F14436" s="331">
        <v>0.21</v>
      </c>
      <c r="G14436" s="332">
        <v>35272</v>
      </c>
      <c r="H14436" s="333">
        <v>42680</v>
      </c>
    </row>
    <row r="14437" spans="1:8">
      <c r="A14437" s="317">
        <v>2610958768</v>
      </c>
      <c r="B14437" s="330" t="s">
        <v>58790</v>
      </c>
      <c r="C14437" s="330" t="s">
        <v>30287</v>
      </c>
      <c r="D14437" s="330" t="s">
        <v>30288</v>
      </c>
      <c r="E14437" s="330" t="s">
        <v>4634</v>
      </c>
      <c r="F14437" s="331">
        <v>0.21</v>
      </c>
      <c r="G14437" s="332">
        <v>948</v>
      </c>
      <c r="H14437" s="333">
        <v>1148</v>
      </c>
    </row>
    <row r="14438" spans="1:8">
      <c r="A14438" s="317">
        <v>2610958769</v>
      </c>
      <c r="B14438" s="330" t="s">
        <v>58791</v>
      </c>
      <c r="C14438" s="330" t="s">
        <v>30289</v>
      </c>
      <c r="D14438" s="330" t="s">
        <v>30290</v>
      </c>
      <c r="E14438" s="330" t="s">
        <v>4634</v>
      </c>
      <c r="F14438" s="331">
        <v>0.21</v>
      </c>
      <c r="G14438" s="332">
        <v>1547</v>
      </c>
      <c r="H14438" s="333">
        <v>1872</v>
      </c>
    </row>
    <row r="14439" spans="1:8">
      <c r="A14439" s="317">
        <v>2610958771</v>
      </c>
      <c r="B14439" s="330" t="s">
        <v>58792</v>
      </c>
      <c r="C14439" s="330" t="s">
        <v>30291</v>
      </c>
      <c r="D14439" s="330" t="s">
        <v>30292</v>
      </c>
      <c r="E14439" s="330" t="s">
        <v>4634</v>
      </c>
      <c r="F14439" s="331">
        <v>0.21</v>
      </c>
      <c r="G14439" s="332">
        <v>898</v>
      </c>
      <c r="H14439" s="333">
        <v>1087</v>
      </c>
    </row>
    <row r="14440" spans="1:8">
      <c r="A14440" s="317">
        <v>2610958776</v>
      </c>
      <c r="B14440" s="330" t="s">
        <v>58793</v>
      </c>
      <c r="C14440" s="330" t="s">
        <v>30293</v>
      </c>
      <c r="D14440" s="330" t="s">
        <v>30294</v>
      </c>
      <c r="E14440" s="330" t="s">
        <v>4634</v>
      </c>
      <c r="F14440" s="331">
        <v>0.21</v>
      </c>
      <c r="G14440" s="332">
        <v>4541</v>
      </c>
      <c r="H14440" s="333">
        <v>5495</v>
      </c>
    </row>
    <row r="14441" spans="1:8">
      <c r="A14441" s="317">
        <v>2610958778</v>
      </c>
      <c r="B14441" s="330" t="s">
        <v>58794</v>
      </c>
      <c r="C14441" s="330" t="s">
        <v>30295</v>
      </c>
      <c r="D14441" s="330" t="s">
        <v>30296</v>
      </c>
      <c r="E14441" s="330" t="s">
        <v>4634</v>
      </c>
      <c r="F14441" s="331">
        <v>0.21</v>
      </c>
      <c r="G14441" s="332">
        <v>928</v>
      </c>
      <c r="H14441" s="333">
        <v>1123</v>
      </c>
    </row>
    <row r="14442" spans="1:8">
      <c r="A14442" s="317">
        <v>2610958780</v>
      </c>
      <c r="B14442" s="330" t="s">
        <v>58795</v>
      </c>
      <c r="C14442" s="330" t="s">
        <v>30297</v>
      </c>
      <c r="D14442" s="330" t="s">
        <v>30298</v>
      </c>
      <c r="E14442" s="330" t="s">
        <v>4634</v>
      </c>
      <c r="F14442" s="331">
        <v>0.21</v>
      </c>
      <c r="G14442" s="332">
        <v>928</v>
      </c>
      <c r="H14442" s="333">
        <v>1123</v>
      </c>
    </row>
    <row r="14443" spans="1:8">
      <c r="A14443" s="317">
        <v>2610958781</v>
      </c>
      <c r="B14443" s="330" t="s">
        <v>58796</v>
      </c>
      <c r="C14443" s="330" t="s">
        <v>30299</v>
      </c>
      <c r="D14443" s="330" t="s">
        <v>30300</v>
      </c>
      <c r="E14443" s="330" t="s">
        <v>4634</v>
      </c>
      <c r="F14443" s="331">
        <v>0.21</v>
      </c>
      <c r="G14443" s="332">
        <v>948</v>
      </c>
      <c r="H14443" s="333">
        <v>1148</v>
      </c>
    </row>
    <row r="14444" spans="1:8">
      <c r="A14444" s="317">
        <v>2610958782</v>
      </c>
      <c r="B14444" s="330" t="s">
        <v>58797</v>
      </c>
      <c r="C14444" s="330" t="s">
        <v>30301</v>
      </c>
      <c r="D14444" s="330" t="s">
        <v>30302</v>
      </c>
      <c r="E14444" s="330" t="s">
        <v>4634</v>
      </c>
      <c r="F14444" s="331">
        <v>0.21</v>
      </c>
      <c r="G14444" s="332">
        <v>5362</v>
      </c>
      <c r="H14444" s="333">
        <v>6489</v>
      </c>
    </row>
    <row r="14445" spans="1:8">
      <c r="A14445" s="317">
        <v>2610958784</v>
      </c>
      <c r="B14445" s="330" t="s">
        <v>58798</v>
      </c>
      <c r="C14445" s="330" t="s">
        <v>30303</v>
      </c>
      <c r="D14445" s="330" t="s">
        <v>30298</v>
      </c>
      <c r="E14445" s="330" t="s">
        <v>4634</v>
      </c>
      <c r="F14445" s="331">
        <v>0.21</v>
      </c>
      <c r="G14445" s="332">
        <v>948</v>
      </c>
      <c r="H14445" s="333">
        <v>1148</v>
      </c>
    </row>
    <row r="14446" spans="1:8">
      <c r="A14446" s="317">
        <v>2610958785</v>
      </c>
      <c r="B14446" s="330" t="s">
        <v>58799</v>
      </c>
      <c r="C14446" s="330" t="s">
        <v>30304</v>
      </c>
      <c r="D14446" s="330" t="s">
        <v>30305</v>
      </c>
      <c r="E14446" s="330" t="s">
        <v>4634</v>
      </c>
      <c r="F14446" s="331">
        <v>0.21</v>
      </c>
      <c r="G14446" s="332">
        <v>928</v>
      </c>
      <c r="H14446" s="333">
        <v>1123</v>
      </c>
    </row>
    <row r="14447" spans="1:8">
      <c r="A14447" s="317">
        <v>2610958788</v>
      </c>
      <c r="B14447" s="330" t="s">
        <v>58800</v>
      </c>
      <c r="C14447" s="330" t="s">
        <v>30306</v>
      </c>
      <c r="D14447" s="330" t="s">
        <v>30307</v>
      </c>
      <c r="E14447" s="330" t="s">
        <v>4634</v>
      </c>
      <c r="F14447" s="331">
        <v>0.21</v>
      </c>
      <c r="G14447" s="332">
        <v>928</v>
      </c>
      <c r="H14447" s="333">
        <v>1123</v>
      </c>
    </row>
    <row r="14448" spans="1:8">
      <c r="A14448" s="317">
        <v>2610958790</v>
      </c>
      <c r="B14448" s="330" t="s">
        <v>58801</v>
      </c>
      <c r="C14448" s="330" t="s">
        <v>30308</v>
      </c>
      <c r="D14448" s="330" t="s">
        <v>30309</v>
      </c>
      <c r="E14448" s="330" t="s">
        <v>4634</v>
      </c>
      <c r="F14448" s="331">
        <v>0.21</v>
      </c>
      <c r="G14448" s="332">
        <v>1639</v>
      </c>
      <c r="H14448" s="333">
        <v>1984</v>
      </c>
    </row>
    <row r="14449" spans="1:8">
      <c r="A14449" s="317">
        <v>2610958791</v>
      </c>
      <c r="B14449" s="330" t="s">
        <v>58802</v>
      </c>
      <c r="C14449" s="330" t="s">
        <v>30310</v>
      </c>
      <c r="D14449" s="330" t="s">
        <v>30311</v>
      </c>
      <c r="E14449" s="330" t="s">
        <v>4634</v>
      </c>
      <c r="F14449" s="331">
        <v>0.21</v>
      </c>
      <c r="G14449" s="332">
        <v>3105</v>
      </c>
      <c r="H14449" s="333">
        <v>3758</v>
      </c>
    </row>
    <row r="14450" spans="1:8">
      <c r="A14450" s="317">
        <v>2610958793</v>
      </c>
      <c r="B14450" s="330" t="s">
        <v>58803</v>
      </c>
      <c r="C14450" s="330" t="s">
        <v>30312</v>
      </c>
      <c r="D14450" s="330" t="s">
        <v>30313</v>
      </c>
      <c r="E14450" s="330" t="s">
        <v>4634</v>
      </c>
      <c r="F14450" s="331">
        <v>0.21</v>
      </c>
      <c r="G14450" s="332">
        <v>948</v>
      </c>
      <c r="H14450" s="333">
        <v>1148</v>
      </c>
    </row>
    <row r="14451" spans="1:8">
      <c r="A14451" s="317">
        <v>2610958794</v>
      </c>
      <c r="B14451" s="330" t="s">
        <v>58804</v>
      </c>
      <c r="C14451" s="330" t="s">
        <v>30314</v>
      </c>
      <c r="D14451" s="330" t="s">
        <v>30315</v>
      </c>
      <c r="E14451" s="330" t="s">
        <v>4634</v>
      </c>
      <c r="F14451" s="331">
        <v>0.21</v>
      </c>
      <c r="G14451" s="332">
        <v>928</v>
      </c>
      <c r="H14451" s="333">
        <v>1123</v>
      </c>
    </row>
    <row r="14452" spans="1:8">
      <c r="A14452" s="317">
        <v>2610958795</v>
      </c>
      <c r="B14452" s="330" t="s">
        <v>58805</v>
      </c>
      <c r="C14452" s="330" t="s">
        <v>30316</v>
      </c>
      <c r="D14452" s="330" t="s">
        <v>30317</v>
      </c>
      <c r="E14452" s="330" t="s">
        <v>4634</v>
      </c>
      <c r="F14452" s="331">
        <v>0.21</v>
      </c>
      <c r="G14452" s="332">
        <v>948</v>
      </c>
      <c r="H14452" s="333">
        <v>1148</v>
      </c>
    </row>
    <row r="14453" spans="1:8">
      <c r="A14453" s="317">
        <v>2610958796</v>
      </c>
      <c r="B14453" s="330" t="s">
        <v>58806</v>
      </c>
      <c r="C14453" s="330" t="s">
        <v>30318</v>
      </c>
      <c r="D14453" s="330" t="s">
        <v>30319</v>
      </c>
      <c r="E14453" s="330" t="s">
        <v>4634</v>
      </c>
      <c r="F14453" s="331">
        <v>0.21</v>
      </c>
      <c r="G14453" s="332">
        <v>3558</v>
      </c>
      <c r="H14453" s="333">
        <v>4306</v>
      </c>
    </row>
    <row r="14454" spans="1:8">
      <c r="A14454" s="317">
        <v>2610958797</v>
      </c>
      <c r="B14454" s="330" t="s">
        <v>58807</v>
      </c>
      <c r="C14454" s="330" t="s">
        <v>30320</v>
      </c>
      <c r="D14454" s="330" t="s">
        <v>30321</v>
      </c>
      <c r="E14454" s="330" t="s">
        <v>4634</v>
      </c>
      <c r="F14454" s="331">
        <v>0.21</v>
      </c>
      <c r="G14454" s="332">
        <v>3774</v>
      </c>
      <c r="H14454" s="333">
        <v>4567</v>
      </c>
    </row>
    <row r="14455" spans="1:8">
      <c r="A14455" s="317">
        <v>2610958798</v>
      </c>
      <c r="B14455" s="330" t="s">
        <v>58808</v>
      </c>
      <c r="C14455" s="330" t="s">
        <v>30322</v>
      </c>
      <c r="D14455" s="330" t="s">
        <v>30323</v>
      </c>
      <c r="E14455" s="330" t="s">
        <v>4819</v>
      </c>
      <c r="F14455" s="331">
        <v>0.21</v>
      </c>
      <c r="G14455" s="332">
        <v>15573</v>
      </c>
      <c r="H14455" s="333">
        <v>18844</v>
      </c>
    </row>
    <row r="14456" spans="1:8">
      <c r="A14456" s="317">
        <v>2610958799</v>
      </c>
      <c r="B14456" s="330" t="s">
        <v>58809</v>
      </c>
      <c r="C14456" s="330" t="s">
        <v>30324</v>
      </c>
      <c r="D14456" s="330" t="s">
        <v>30325</v>
      </c>
      <c r="E14456" s="330" t="s">
        <v>4634</v>
      </c>
      <c r="F14456" s="331">
        <v>0.21</v>
      </c>
      <c r="G14456" s="332">
        <v>1322</v>
      </c>
      <c r="H14456" s="333">
        <v>1600</v>
      </c>
    </row>
    <row r="14457" spans="1:8">
      <c r="A14457" s="317">
        <v>2610958800</v>
      </c>
      <c r="B14457" s="330" t="s">
        <v>58810</v>
      </c>
      <c r="C14457" s="330" t="s">
        <v>30326</v>
      </c>
      <c r="D14457" s="330" t="s">
        <v>30327</v>
      </c>
      <c r="E14457" s="330" t="s">
        <v>4634</v>
      </c>
      <c r="F14457" s="331">
        <v>0.21</v>
      </c>
      <c r="G14457" s="332">
        <v>948</v>
      </c>
      <c r="H14457" s="333">
        <v>1148</v>
      </c>
    </row>
    <row r="14458" spans="1:8">
      <c r="A14458" s="317">
        <v>2610958802</v>
      </c>
      <c r="B14458" s="330" t="s">
        <v>58811</v>
      </c>
      <c r="C14458" s="330" t="s">
        <v>30328</v>
      </c>
      <c r="D14458" s="330" t="s">
        <v>30329</v>
      </c>
      <c r="E14458" s="330" t="s">
        <v>4634</v>
      </c>
      <c r="F14458" s="331">
        <v>0.21</v>
      </c>
      <c r="G14458" s="332">
        <v>928</v>
      </c>
      <c r="H14458" s="333">
        <v>1123</v>
      </c>
    </row>
    <row r="14459" spans="1:8">
      <c r="A14459" s="317">
        <v>2610958803</v>
      </c>
      <c r="B14459" s="330" t="s">
        <v>58812</v>
      </c>
      <c r="C14459" s="330" t="s">
        <v>30330</v>
      </c>
      <c r="D14459" s="330" t="s">
        <v>30331</v>
      </c>
      <c r="E14459" s="330" t="s">
        <v>4634</v>
      </c>
      <c r="F14459" s="331">
        <v>0.21</v>
      </c>
      <c r="G14459" s="332">
        <v>928</v>
      </c>
      <c r="H14459" s="333">
        <v>1123</v>
      </c>
    </row>
    <row r="14460" spans="1:8">
      <c r="A14460" s="317">
        <v>2610958805</v>
      </c>
      <c r="B14460" s="330" t="s">
        <v>58813</v>
      </c>
      <c r="C14460" s="330" t="s">
        <v>30332</v>
      </c>
      <c r="D14460" s="330" t="s">
        <v>30333</v>
      </c>
      <c r="E14460" s="330" t="s">
        <v>4634</v>
      </c>
      <c r="F14460" s="331">
        <v>0.21</v>
      </c>
      <c r="G14460" s="332">
        <v>1547</v>
      </c>
      <c r="H14460" s="333">
        <v>1872</v>
      </c>
    </row>
    <row r="14461" spans="1:8">
      <c r="A14461" s="317">
        <v>2610958806</v>
      </c>
      <c r="B14461" s="330" t="s">
        <v>58814</v>
      </c>
      <c r="C14461" s="330" t="s">
        <v>30334</v>
      </c>
      <c r="D14461" s="330" t="s">
        <v>30335</v>
      </c>
      <c r="E14461" s="330" t="s">
        <v>4634</v>
      </c>
      <c r="F14461" s="331">
        <v>0.21</v>
      </c>
      <c r="G14461" s="332">
        <v>948</v>
      </c>
      <c r="H14461" s="333">
        <v>1148</v>
      </c>
    </row>
    <row r="14462" spans="1:8">
      <c r="A14462" s="317">
        <v>2610958809</v>
      </c>
      <c r="B14462" s="330" t="s">
        <v>58815</v>
      </c>
      <c r="C14462" s="330" t="s">
        <v>30336</v>
      </c>
      <c r="D14462" s="330" t="s">
        <v>30325</v>
      </c>
      <c r="E14462" s="330" t="s">
        <v>4634</v>
      </c>
      <c r="F14462" s="331">
        <v>0.21</v>
      </c>
      <c r="G14462" s="332">
        <v>992</v>
      </c>
      <c r="H14462" s="333">
        <v>1201</v>
      </c>
    </row>
    <row r="14463" spans="1:8">
      <c r="A14463" s="317">
        <v>2610958810</v>
      </c>
      <c r="B14463" s="330" t="s">
        <v>58816</v>
      </c>
      <c r="C14463" s="330" t="s">
        <v>30337</v>
      </c>
      <c r="D14463" s="330" t="s">
        <v>30338</v>
      </c>
      <c r="E14463" s="330" t="s">
        <v>4819</v>
      </c>
      <c r="F14463" s="331">
        <v>0.21</v>
      </c>
      <c r="G14463" s="332">
        <v>6237</v>
      </c>
      <c r="H14463" s="333">
        <v>7547</v>
      </c>
    </row>
    <row r="14464" spans="1:8">
      <c r="A14464" s="317">
        <v>2610958811</v>
      </c>
      <c r="B14464" s="330" t="s">
        <v>58817</v>
      </c>
      <c r="C14464" s="330" t="s">
        <v>30339</v>
      </c>
      <c r="D14464" s="330" t="s">
        <v>30340</v>
      </c>
      <c r="E14464" s="330" t="s">
        <v>4634</v>
      </c>
      <c r="F14464" s="331">
        <v>0.21</v>
      </c>
      <c r="G14464" s="332">
        <v>928</v>
      </c>
      <c r="H14464" s="333">
        <v>1123</v>
      </c>
    </row>
    <row r="14465" spans="1:8">
      <c r="A14465" s="317">
        <v>2610958812</v>
      </c>
      <c r="B14465" s="330" t="s">
        <v>58818</v>
      </c>
      <c r="C14465" s="330" t="s">
        <v>30341</v>
      </c>
      <c r="D14465" s="330" t="s">
        <v>30342</v>
      </c>
      <c r="E14465" s="330" t="s">
        <v>4634</v>
      </c>
      <c r="F14465" s="331">
        <v>0.21</v>
      </c>
      <c r="G14465" s="332">
        <v>1431</v>
      </c>
      <c r="H14465" s="333">
        <v>1732</v>
      </c>
    </row>
    <row r="14466" spans="1:8">
      <c r="A14466" s="317">
        <v>2610958813</v>
      </c>
      <c r="B14466" s="330" t="s">
        <v>58819</v>
      </c>
      <c r="C14466" s="330" t="s">
        <v>30343</v>
      </c>
      <c r="D14466" s="330" t="s">
        <v>30344</v>
      </c>
      <c r="E14466" s="330" t="s">
        <v>4634</v>
      </c>
      <c r="F14466" s="331">
        <v>0.21</v>
      </c>
      <c r="G14466" s="332">
        <v>1782</v>
      </c>
      <c r="H14466" s="333">
        <v>2157</v>
      </c>
    </row>
    <row r="14467" spans="1:8">
      <c r="A14467" s="317">
        <v>2610958814</v>
      </c>
      <c r="B14467" s="330" t="s">
        <v>58820</v>
      </c>
      <c r="C14467" s="330" t="s">
        <v>30345</v>
      </c>
      <c r="D14467" s="330" t="s">
        <v>30346</v>
      </c>
      <c r="E14467" s="330" t="s">
        <v>4634</v>
      </c>
      <c r="F14467" s="331">
        <v>0.21</v>
      </c>
      <c r="G14467" s="332">
        <v>948</v>
      </c>
      <c r="H14467" s="333">
        <v>1148</v>
      </c>
    </row>
    <row r="14468" spans="1:8">
      <c r="A14468" s="317">
        <v>2610958815</v>
      </c>
      <c r="B14468" s="330" t="s">
        <v>58821</v>
      </c>
      <c r="C14468" s="330" t="s">
        <v>30347</v>
      </c>
      <c r="D14468" s="330" t="s">
        <v>30342</v>
      </c>
      <c r="E14468" s="330" t="s">
        <v>4634</v>
      </c>
      <c r="F14468" s="331">
        <v>0.21</v>
      </c>
      <c r="G14468" s="332">
        <v>928</v>
      </c>
      <c r="H14468" s="333">
        <v>1123</v>
      </c>
    </row>
    <row r="14469" spans="1:8">
      <c r="A14469" s="317">
        <v>2610958816</v>
      </c>
      <c r="B14469" s="330" t="s">
        <v>58822</v>
      </c>
      <c r="C14469" s="330" t="s">
        <v>30348</v>
      </c>
      <c r="D14469" s="330" t="s">
        <v>30329</v>
      </c>
      <c r="E14469" s="330" t="s">
        <v>4634</v>
      </c>
      <c r="F14469" s="331">
        <v>0.21</v>
      </c>
      <c r="G14469" s="332">
        <v>928</v>
      </c>
      <c r="H14469" s="333">
        <v>1123</v>
      </c>
    </row>
    <row r="14470" spans="1:8">
      <c r="A14470" s="317">
        <v>2610958817</v>
      </c>
      <c r="B14470" s="330" t="s">
        <v>58823</v>
      </c>
      <c r="C14470" s="330" t="s">
        <v>30349</v>
      </c>
      <c r="D14470" s="330" t="s">
        <v>30350</v>
      </c>
      <c r="E14470" s="330" t="s">
        <v>4634</v>
      </c>
      <c r="F14470" s="331">
        <v>0.21</v>
      </c>
      <c r="G14470" s="332">
        <v>14218</v>
      </c>
      <c r="H14470" s="333">
        <v>17204</v>
      </c>
    </row>
    <row r="14471" spans="1:8">
      <c r="A14471" s="317">
        <v>2610958818</v>
      </c>
      <c r="B14471" s="330" t="s">
        <v>58824</v>
      </c>
      <c r="C14471" s="330" t="s">
        <v>30351</v>
      </c>
      <c r="D14471" s="330" t="s">
        <v>30352</v>
      </c>
      <c r="E14471" s="330" t="s">
        <v>4634</v>
      </c>
      <c r="F14471" s="331">
        <v>0.21</v>
      </c>
      <c r="G14471" s="332">
        <v>948</v>
      </c>
      <c r="H14471" s="333">
        <v>1148</v>
      </c>
    </row>
    <row r="14472" spans="1:8">
      <c r="A14472" s="317">
        <v>2610958819</v>
      </c>
      <c r="B14472" s="330" t="s">
        <v>58825</v>
      </c>
      <c r="C14472" s="330" t="s">
        <v>30353</v>
      </c>
      <c r="D14472" s="330" t="s">
        <v>30354</v>
      </c>
      <c r="E14472" s="330" t="s">
        <v>4634</v>
      </c>
      <c r="F14472" s="331">
        <v>0.21</v>
      </c>
      <c r="G14472" s="332">
        <v>4470</v>
      </c>
      <c r="H14472" s="333">
        <v>5409</v>
      </c>
    </row>
    <row r="14473" spans="1:8">
      <c r="A14473" s="317">
        <v>2610958824</v>
      </c>
      <c r="B14473" s="330" t="s">
        <v>58826</v>
      </c>
      <c r="C14473" s="330" t="s">
        <v>30355</v>
      </c>
      <c r="D14473" s="330" t="s">
        <v>30356</v>
      </c>
      <c r="E14473" s="330" t="s">
        <v>4634</v>
      </c>
      <c r="F14473" s="331">
        <v>0.21</v>
      </c>
      <c r="G14473" s="332">
        <v>928</v>
      </c>
      <c r="H14473" s="333">
        <v>1123</v>
      </c>
    </row>
    <row r="14474" spans="1:8">
      <c r="A14474" s="317">
        <v>2610958825</v>
      </c>
      <c r="B14474" s="330" t="s">
        <v>58827</v>
      </c>
      <c r="C14474" s="330" t="s">
        <v>30357</v>
      </c>
      <c r="D14474" s="330" t="s">
        <v>30358</v>
      </c>
      <c r="E14474" s="330" t="s">
        <v>4634</v>
      </c>
      <c r="F14474" s="331">
        <v>0.21</v>
      </c>
      <c r="G14474" s="332">
        <v>4041</v>
      </c>
      <c r="H14474" s="333">
        <v>4890</v>
      </c>
    </row>
    <row r="14475" spans="1:8">
      <c r="A14475" s="317">
        <v>2610958826</v>
      </c>
      <c r="B14475" s="330" t="s">
        <v>58828</v>
      </c>
      <c r="C14475" s="330" t="s">
        <v>30359</v>
      </c>
      <c r="D14475" s="330" t="s">
        <v>30360</v>
      </c>
      <c r="E14475" s="330" t="s">
        <v>4634</v>
      </c>
      <c r="F14475" s="331">
        <v>0.21</v>
      </c>
      <c r="G14475" s="332">
        <v>10714</v>
      </c>
      <c r="H14475" s="333">
        <v>12964</v>
      </c>
    </row>
    <row r="14476" spans="1:8">
      <c r="A14476" s="317">
        <v>2610958827</v>
      </c>
      <c r="B14476" s="330" t="s">
        <v>58829</v>
      </c>
      <c r="C14476" s="330" t="s">
        <v>30361</v>
      </c>
      <c r="D14476" s="330" t="s">
        <v>30362</v>
      </c>
      <c r="E14476" s="330" t="s">
        <v>4634</v>
      </c>
      <c r="F14476" s="331">
        <v>0.21</v>
      </c>
      <c r="G14476" s="332">
        <v>4615</v>
      </c>
      <c r="H14476" s="333">
        <v>5585</v>
      </c>
    </row>
    <row r="14477" spans="1:8">
      <c r="A14477" s="317">
        <v>2610958828</v>
      </c>
      <c r="B14477" s="330" t="s">
        <v>58830</v>
      </c>
      <c r="C14477" s="330" t="s">
        <v>30363</v>
      </c>
      <c r="D14477" s="330" t="s">
        <v>30364</v>
      </c>
      <c r="E14477" s="330" t="s">
        <v>4634</v>
      </c>
      <c r="F14477" s="331">
        <v>0.21</v>
      </c>
      <c r="G14477" s="332">
        <v>416</v>
      </c>
      <c r="H14477" s="333">
        <v>504</v>
      </c>
    </row>
    <row r="14478" spans="1:8">
      <c r="A14478" s="317">
        <v>2610958829</v>
      </c>
      <c r="B14478" s="330" t="s">
        <v>58831</v>
      </c>
      <c r="C14478" s="330" t="s">
        <v>30365</v>
      </c>
      <c r="D14478" s="330" t="s">
        <v>30366</v>
      </c>
      <c r="E14478" s="330" t="s">
        <v>4634</v>
      </c>
      <c r="F14478" s="331">
        <v>0.21</v>
      </c>
      <c r="G14478" s="332">
        <v>18269</v>
      </c>
      <c r="H14478" s="333">
        <v>22106</v>
      </c>
    </row>
    <row r="14479" spans="1:8">
      <c r="A14479" s="317">
        <v>2610958830</v>
      </c>
      <c r="B14479" s="330" t="s">
        <v>58832</v>
      </c>
      <c r="C14479" s="330" t="s">
        <v>30367</v>
      </c>
      <c r="D14479" s="330" t="s">
        <v>30368</v>
      </c>
      <c r="E14479" s="330" t="s">
        <v>4634</v>
      </c>
      <c r="F14479" s="331">
        <v>0.21</v>
      </c>
      <c r="G14479" s="332">
        <v>1258</v>
      </c>
      <c r="H14479" s="333">
        <v>1523</v>
      </c>
    </row>
    <row r="14480" spans="1:8">
      <c r="A14480" s="317">
        <v>2610958831</v>
      </c>
      <c r="B14480" s="330" t="s">
        <v>58833</v>
      </c>
      <c r="C14480" s="330" t="s">
        <v>30369</v>
      </c>
      <c r="D14480" s="330" t="s">
        <v>30370</v>
      </c>
      <c r="E14480" s="330" t="s">
        <v>4634</v>
      </c>
      <c r="F14480" s="331">
        <v>0.21</v>
      </c>
      <c r="G14480" s="332">
        <v>928</v>
      </c>
      <c r="H14480" s="333">
        <v>1123</v>
      </c>
    </row>
    <row r="14481" spans="1:8">
      <c r="A14481" s="317">
        <v>2610958832</v>
      </c>
      <c r="B14481" s="330" t="s">
        <v>58834</v>
      </c>
      <c r="C14481" s="330" t="s">
        <v>30371</v>
      </c>
      <c r="D14481" s="330" t="s">
        <v>30372</v>
      </c>
      <c r="E14481" s="330" t="s">
        <v>4634</v>
      </c>
      <c r="F14481" s="331">
        <v>0.21</v>
      </c>
      <c r="G14481" s="332">
        <v>4316</v>
      </c>
      <c r="H14481" s="333">
        <v>5223</v>
      </c>
    </row>
    <row r="14482" spans="1:8">
      <c r="A14482" s="317">
        <v>2610958833</v>
      </c>
      <c r="B14482" s="330" t="s">
        <v>58835</v>
      </c>
      <c r="C14482" s="330" t="s">
        <v>30373</v>
      </c>
      <c r="D14482" s="330" t="s">
        <v>30374</v>
      </c>
      <c r="E14482" s="330" t="s">
        <v>4634</v>
      </c>
      <c r="F14482" s="331">
        <v>0.21</v>
      </c>
      <c r="G14482" s="332">
        <v>2513</v>
      </c>
      <c r="H14482" s="333">
        <v>3041</v>
      </c>
    </row>
    <row r="14483" spans="1:8">
      <c r="A14483" s="317">
        <v>2610958834</v>
      </c>
      <c r="B14483" s="330" t="s">
        <v>58836</v>
      </c>
      <c r="C14483" s="330" t="s">
        <v>30375</v>
      </c>
      <c r="D14483" s="330" t="s">
        <v>30376</v>
      </c>
      <c r="E14483" s="330" t="s">
        <v>4634</v>
      </c>
      <c r="F14483" s="331">
        <v>0.21</v>
      </c>
      <c r="G14483" s="332">
        <v>972</v>
      </c>
      <c r="H14483" s="333">
        <v>1177</v>
      </c>
    </row>
    <row r="14484" spans="1:8">
      <c r="A14484" s="317">
        <v>2610958836</v>
      </c>
      <c r="B14484" s="330" t="s">
        <v>58837</v>
      </c>
      <c r="C14484" s="330" t="s">
        <v>30377</v>
      </c>
      <c r="D14484" s="330" t="s">
        <v>30378</v>
      </c>
      <c r="E14484" s="330" t="s">
        <v>4634</v>
      </c>
      <c r="F14484" s="331">
        <v>0.21</v>
      </c>
      <c r="G14484" s="332">
        <v>928</v>
      </c>
      <c r="H14484" s="333">
        <v>1123</v>
      </c>
    </row>
    <row r="14485" spans="1:8">
      <c r="A14485" s="317">
        <v>2610958837</v>
      </c>
      <c r="B14485" s="330" t="s">
        <v>58838</v>
      </c>
      <c r="C14485" s="330" t="s">
        <v>30379</v>
      </c>
      <c r="D14485" s="330" t="s">
        <v>30380</v>
      </c>
      <c r="E14485" s="330" t="s">
        <v>4634</v>
      </c>
      <c r="F14485" s="331">
        <v>0.21</v>
      </c>
      <c r="G14485" s="332">
        <v>4615</v>
      </c>
      <c r="H14485" s="333">
        <v>5585</v>
      </c>
    </row>
    <row r="14486" spans="1:8">
      <c r="A14486" s="317">
        <v>2610958973</v>
      </c>
      <c r="B14486" s="330" t="s">
        <v>58839</v>
      </c>
      <c r="C14486" s="330" t="s">
        <v>30381</v>
      </c>
      <c r="D14486" s="330" t="s">
        <v>30382</v>
      </c>
      <c r="E14486" s="330" t="s">
        <v>4634</v>
      </c>
      <c r="F14486" s="331">
        <v>0.21</v>
      </c>
      <c r="G14486" s="332">
        <v>972</v>
      </c>
      <c r="H14486" s="333">
        <v>1177</v>
      </c>
    </row>
    <row r="14487" spans="1:8">
      <c r="A14487" s="317">
        <v>2610958975</v>
      </c>
      <c r="B14487" s="330" t="s">
        <v>58840</v>
      </c>
      <c r="C14487" s="330" t="s">
        <v>30383</v>
      </c>
      <c r="D14487" s="330" t="s">
        <v>30384</v>
      </c>
      <c r="E14487" s="330" t="s">
        <v>4634</v>
      </c>
      <c r="F14487" s="331">
        <v>0.21</v>
      </c>
      <c r="G14487" s="332">
        <v>972</v>
      </c>
      <c r="H14487" s="333">
        <v>1177</v>
      </c>
    </row>
    <row r="14488" spans="1:8">
      <c r="A14488" s="317">
        <v>2610958977</v>
      </c>
      <c r="B14488" s="330" t="s">
        <v>58841</v>
      </c>
      <c r="C14488" s="330" t="s">
        <v>30385</v>
      </c>
      <c r="D14488" s="330" t="s">
        <v>30386</v>
      </c>
      <c r="E14488" s="330" t="s">
        <v>4634</v>
      </c>
      <c r="F14488" s="331">
        <v>0.21</v>
      </c>
      <c r="G14488" s="332">
        <v>972</v>
      </c>
      <c r="H14488" s="333">
        <v>1177</v>
      </c>
    </row>
    <row r="14489" spans="1:8">
      <c r="A14489" s="317">
        <v>2610958979</v>
      </c>
      <c r="B14489" s="330" t="s">
        <v>58842</v>
      </c>
      <c r="C14489" s="330" t="s">
        <v>30387</v>
      </c>
      <c r="D14489" s="330" t="s">
        <v>30388</v>
      </c>
      <c r="E14489" s="330" t="s">
        <v>4634</v>
      </c>
      <c r="F14489" s="331">
        <v>0.21</v>
      </c>
      <c r="G14489" s="332">
        <v>1030</v>
      </c>
      <c r="H14489" s="333">
        <v>1247</v>
      </c>
    </row>
    <row r="14490" spans="1:8">
      <c r="A14490" s="317">
        <v>2610958980</v>
      </c>
      <c r="B14490" s="330" t="s">
        <v>58843</v>
      </c>
      <c r="C14490" s="330" t="s">
        <v>30389</v>
      </c>
      <c r="D14490" s="330" t="s">
        <v>30388</v>
      </c>
      <c r="E14490" s="330" t="s">
        <v>4634</v>
      </c>
      <c r="F14490" s="331">
        <v>0.21</v>
      </c>
      <c r="G14490" s="332">
        <v>1170</v>
      </c>
      <c r="H14490" s="333">
        <v>1416</v>
      </c>
    </row>
    <row r="14491" spans="1:8">
      <c r="A14491" s="317">
        <v>2610959234</v>
      </c>
      <c r="B14491" s="330" t="s">
        <v>58844</v>
      </c>
      <c r="C14491" s="330" t="s">
        <v>30390</v>
      </c>
      <c r="D14491" s="330" t="s">
        <v>30391</v>
      </c>
      <c r="E14491" s="330" t="s">
        <v>37248</v>
      </c>
      <c r="F14491" s="331">
        <v>0.21</v>
      </c>
      <c r="G14491" s="332">
        <v>811</v>
      </c>
      <c r="H14491" s="333">
        <v>982</v>
      </c>
    </row>
    <row r="14492" spans="1:8">
      <c r="A14492" s="317">
        <v>2610959338</v>
      </c>
      <c r="B14492" s="330" t="s">
        <v>58845</v>
      </c>
      <c r="C14492" s="330" t="s">
        <v>30392</v>
      </c>
      <c r="D14492" s="330" t="s">
        <v>30393</v>
      </c>
      <c r="E14492" s="330" t="s">
        <v>4634</v>
      </c>
      <c r="F14492" s="331">
        <v>0.21</v>
      </c>
      <c r="G14492" s="332">
        <v>972</v>
      </c>
      <c r="H14492" s="333">
        <v>1177</v>
      </c>
    </row>
    <row r="14493" spans="1:8">
      <c r="A14493" s="317">
        <v>2610959343</v>
      </c>
      <c r="B14493" s="330" t="s">
        <v>58846</v>
      </c>
      <c r="C14493" s="330" t="s">
        <v>30394</v>
      </c>
      <c r="D14493" s="330" t="s">
        <v>30395</v>
      </c>
      <c r="E14493" s="330" t="s">
        <v>4634</v>
      </c>
      <c r="F14493" s="331">
        <v>0.21</v>
      </c>
      <c r="G14493" s="332">
        <v>5677</v>
      </c>
      <c r="H14493" s="333">
        <v>6870</v>
      </c>
    </row>
    <row r="14494" spans="1:8">
      <c r="A14494" s="317">
        <v>2610959344</v>
      </c>
      <c r="B14494" s="330" t="s">
        <v>58847</v>
      </c>
      <c r="C14494" s="330" t="s">
        <v>30396</v>
      </c>
      <c r="D14494" s="330" t="s">
        <v>30397</v>
      </c>
      <c r="E14494" s="330" t="s">
        <v>4634</v>
      </c>
      <c r="F14494" s="331">
        <v>0.21</v>
      </c>
      <c r="G14494" s="332">
        <v>972</v>
      </c>
      <c r="H14494" s="333">
        <v>1177</v>
      </c>
    </row>
    <row r="14495" spans="1:8">
      <c r="A14495" s="317">
        <v>2610959345</v>
      </c>
      <c r="B14495" s="330" t="s">
        <v>58848</v>
      </c>
      <c r="C14495" s="330" t="s">
        <v>30398</v>
      </c>
      <c r="D14495" s="330" t="s">
        <v>30388</v>
      </c>
      <c r="E14495" s="330" t="s">
        <v>4634</v>
      </c>
      <c r="F14495" s="331">
        <v>0.21</v>
      </c>
      <c r="G14495" s="332">
        <v>1030</v>
      </c>
      <c r="H14495" s="333">
        <v>1247</v>
      </c>
    </row>
    <row r="14496" spans="1:8">
      <c r="A14496" s="317">
        <v>2610959346</v>
      </c>
      <c r="B14496" s="330" t="s">
        <v>58849</v>
      </c>
      <c r="C14496" s="330" t="s">
        <v>30399</v>
      </c>
      <c r="D14496" s="330" t="s">
        <v>30388</v>
      </c>
      <c r="E14496" s="330" t="s">
        <v>4634</v>
      </c>
      <c r="F14496" s="331">
        <v>0.21</v>
      </c>
      <c r="G14496" s="332">
        <v>972</v>
      </c>
      <c r="H14496" s="333">
        <v>1177</v>
      </c>
    </row>
    <row r="14497" spans="1:8">
      <c r="A14497" s="317">
        <v>2610959347</v>
      </c>
      <c r="B14497" s="330" t="s">
        <v>58850</v>
      </c>
      <c r="C14497" s="330" t="s">
        <v>30400</v>
      </c>
      <c r="D14497" s="330" t="s">
        <v>30401</v>
      </c>
      <c r="E14497" s="330" t="s">
        <v>4623</v>
      </c>
      <c r="F14497" s="331">
        <v>0.21</v>
      </c>
      <c r="G14497" s="332">
        <v>1837</v>
      </c>
      <c r="H14497" s="333">
        <v>2223</v>
      </c>
    </row>
    <row r="14498" spans="1:8">
      <c r="A14498" s="317">
        <v>2610959348</v>
      </c>
      <c r="B14498" s="330" t="s">
        <v>58851</v>
      </c>
      <c r="C14498" s="330" t="s">
        <v>30402</v>
      </c>
      <c r="D14498" s="330" t="s">
        <v>30403</v>
      </c>
      <c r="E14498" s="330" t="s">
        <v>4634</v>
      </c>
      <c r="F14498" s="331">
        <v>0.21</v>
      </c>
      <c r="G14498" s="332">
        <v>972</v>
      </c>
      <c r="H14498" s="333">
        <v>1177</v>
      </c>
    </row>
    <row r="14499" spans="1:8">
      <c r="A14499" s="317">
        <v>2610959349</v>
      </c>
      <c r="B14499" s="330" t="s">
        <v>58852</v>
      </c>
      <c r="C14499" s="330" t="s">
        <v>30404</v>
      </c>
      <c r="D14499" s="330" t="s">
        <v>30405</v>
      </c>
      <c r="E14499" s="330" t="s">
        <v>4634</v>
      </c>
      <c r="F14499" s="331">
        <v>0.21</v>
      </c>
      <c r="G14499" s="332">
        <v>1735</v>
      </c>
      <c r="H14499" s="333">
        <v>2100</v>
      </c>
    </row>
    <row r="14500" spans="1:8">
      <c r="A14500" s="317">
        <v>2610959350</v>
      </c>
      <c r="B14500" s="330" t="s">
        <v>58853</v>
      </c>
      <c r="C14500" s="330" t="s">
        <v>30406</v>
      </c>
      <c r="D14500" s="330" t="s">
        <v>30407</v>
      </c>
      <c r="E14500" s="330" t="s">
        <v>4634</v>
      </c>
      <c r="F14500" s="331">
        <v>0.21</v>
      </c>
      <c r="G14500" s="332">
        <v>1450</v>
      </c>
      <c r="H14500" s="333">
        <v>1755</v>
      </c>
    </row>
    <row r="14501" spans="1:8">
      <c r="A14501" s="317">
        <v>2610959351</v>
      </c>
      <c r="B14501" s="330" t="s">
        <v>58854</v>
      </c>
      <c r="C14501" s="330" t="s">
        <v>30408</v>
      </c>
      <c r="D14501" s="330" t="s">
        <v>30409</v>
      </c>
      <c r="E14501" s="330" t="s">
        <v>4634</v>
      </c>
      <c r="F14501" s="331">
        <v>0.21</v>
      </c>
      <c r="G14501" s="332">
        <v>1735</v>
      </c>
      <c r="H14501" s="333">
        <v>2100</v>
      </c>
    </row>
    <row r="14502" spans="1:8">
      <c r="A14502" s="317">
        <v>2610959352</v>
      </c>
      <c r="B14502" s="330" t="s">
        <v>58855</v>
      </c>
      <c r="C14502" s="330" t="s">
        <v>30410</v>
      </c>
      <c r="D14502" s="330" t="s">
        <v>30411</v>
      </c>
      <c r="E14502" s="330" t="s">
        <v>4634</v>
      </c>
      <c r="F14502" s="331">
        <v>0.21</v>
      </c>
      <c r="G14502" s="332">
        <v>5028</v>
      </c>
      <c r="H14502" s="333">
        <v>6084</v>
      </c>
    </row>
    <row r="14503" spans="1:8">
      <c r="A14503" s="317">
        <v>2610959353</v>
      </c>
      <c r="B14503" s="330" t="s">
        <v>58856</v>
      </c>
      <c r="C14503" s="330" t="s">
        <v>30412</v>
      </c>
      <c r="D14503" s="330" t="s">
        <v>30413</v>
      </c>
      <c r="E14503" s="330" t="s">
        <v>4634</v>
      </c>
      <c r="F14503" s="331">
        <v>0.21</v>
      </c>
      <c r="G14503" s="332">
        <v>972</v>
      </c>
      <c r="H14503" s="333">
        <v>1177</v>
      </c>
    </row>
    <row r="14504" spans="1:8">
      <c r="A14504" s="317">
        <v>2610959390</v>
      </c>
      <c r="B14504" s="330" t="s">
        <v>58857</v>
      </c>
      <c r="C14504" s="330" t="s">
        <v>30414</v>
      </c>
      <c r="D14504" s="330" t="s">
        <v>30415</v>
      </c>
      <c r="E14504" s="330" t="s">
        <v>37248</v>
      </c>
      <c r="F14504" s="331">
        <v>0.21</v>
      </c>
      <c r="G14504" s="332">
        <v>283</v>
      </c>
      <c r="H14504" s="333">
        <v>343</v>
      </c>
    </row>
    <row r="14505" spans="1:8">
      <c r="A14505" s="317">
        <v>2610959394</v>
      </c>
      <c r="B14505" s="330" t="s">
        <v>58858</v>
      </c>
      <c r="C14505" s="330" t="s">
        <v>30416</v>
      </c>
      <c r="D14505" s="330" t="s">
        <v>30417</v>
      </c>
      <c r="E14505" s="330" t="s">
        <v>37248</v>
      </c>
      <c r="F14505" s="331">
        <v>0.21</v>
      </c>
      <c r="G14505" s="332">
        <v>1195</v>
      </c>
      <c r="H14505" s="333">
        <v>1446</v>
      </c>
    </row>
    <row r="14506" spans="1:8">
      <c r="A14506" s="317">
        <v>2610959405</v>
      </c>
      <c r="B14506" s="330" t="s">
        <v>58859</v>
      </c>
      <c r="C14506" s="330" t="s">
        <v>30418</v>
      </c>
      <c r="D14506" s="330" t="s">
        <v>30419</v>
      </c>
      <c r="E14506" s="330" t="s">
        <v>4634</v>
      </c>
      <c r="F14506" s="331">
        <v>0.21</v>
      </c>
      <c r="G14506" s="332">
        <v>9237</v>
      </c>
      <c r="H14506" s="333">
        <v>11177</v>
      </c>
    </row>
    <row r="14507" spans="1:8">
      <c r="A14507" s="317">
        <v>2610959406</v>
      </c>
      <c r="B14507" s="330" t="s">
        <v>58860</v>
      </c>
      <c r="C14507" s="330" t="s">
        <v>30420</v>
      </c>
      <c r="D14507" s="330" t="s">
        <v>30407</v>
      </c>
      <c r="E14507" s="330" t="s">
        <v>4634</v>
      </c>
      <c r="F14507" s="331">
        <v>0.21</v>
      </c>
      <c r="G14507" s="332">
        <v>2074</v>
      </c>
      <c r="H14507" s="333">
        <v>2510</v>
      </c>
    </row>
    <row r="14508" spans="1:8">
      <c r="A14508" s="317">
        <v>2610959407</v>
      </c>
      <c r="B14508" s="330" t="s">
        <v>58861</v>
      </c>
      <c r="C14508" s="330" t="s">
        <v>30421</v>
      </c>
      <c r="D14508" s="330" t="s">
        <v>30422</v>
      </c>
      <c r="E14508" s="330" t="s">
        <v>4634</v>
      </c>
      <c r="F14508" s="331">
        <v>0.21</v>
      </c>
      <c r="G14508" s="332">
        <v>948</v>
      </c>
      <c r="H14508" s="333">
        <v>1148</v>
      </c>
    </row>
    <row r="14509" spans="1:8">
      <c r="A14509" s="317">
        <v>2610959533</v>
      </c>
      <c r="B14509" s="330" t="s">
        <v>58862</v>
      </c>
      <c r="C14509" s="330" t="s">
        <v>30423</v>
      </c>
      <c r="D14509" s="330" t="s">
        <v>13412</v>
      </c>
      <c r="E14509" s="330" t="s">
        <v>4819</v>
      </c>
      <c r="F14509" s="331">
        <v>0.21</v>
      </c>
      <c r="G14509" s="332">
        <v>5117</v>
      </c>
      <c r="H14509" s="333">
        <v>6192</v>
      </c>
    </row>
    <row r="14510" spans="1:8">
      <c r="A14510" s="317">
        <v>2610967116</v>
      </c>
      <c r="B14510" s="330" t="s">
        <v>58863</v>
      </c>
      <c r="C14510" s="330" t="s">
        <v>30424</v>
      </c>
      <c r="D14510" s="330" t="s">
        <v>30425</v>
      </c>
      <c r="E14510" s="330" t="s">
        <v>4634</v>
      </c>
      <c r="F14510" s="331">
        <v>0.21</v>
      </c>
      <c r="G14510" s="332">
        <v>791</v>
      </c>
      <c r="H14510" s="333">
        <v>958</v>
      </c>
    </row>
    <row r="14511" spans="1:8">
      <c r="A14511" s="317">
        <v>2610967121</v>
      </c>
      <c r="B14511" s="330" t="s">
        <v>58864</v>
      </c>
      <c r="C14511" s="330" t="s">
        <v>30426</v>
      </c>
      <c r="D14511" s="330" t="s">
        <v>30427</v>
      </c>
      <c r="E14511" s="330" t="s">
        <v>4634</v>
      </c>
      <c r="F14511" s="331">
        <v>0.21</v>
      </c>
      <c r="G14511" s="332">
        <v>1547</v>
      </c>
      <c r="H14511" s="333">
        <v>1872</v>
      </c>
    </row>
    <row r="14512" spans="1:8">
      <c r="A14512" s="317">
        <v>2610967132</v>
      </c>
      <c r="B14512" s="330" t="s">
        <v>58865</v>
      </c>
      <c r="C14512" s="330" t="s">
        <v>30428</v>
      </c>
      <c r="D14512" s="330" t="s">
        <v>30429</v>
      </c>
      <c r="E14512" s="330" t="s">
        <v>4634</v>
      </c>
      <c r="F14512" s="331">
        <v>0.21</v>
      </c>
      <c r="G14512" s="332">
        <v>3660</v>
      </c>
      <c r="H14512" s="333">
        <v>4429</v>
      </c>
    </row>
    <row r="14513" spans="1:8">
      <c r="A14513" s="317">
        <v>2610967133</v>
      </c>
      <c r="B14513" s="330" t="s">
        <v>58866</v>
      </c>
      <c r="C14513" s="330" t="s">
        <v>30430</v>
      </c>
      <c r="D14513" s="330" t="s">
        <v>30431</v>
      </c>
      <c r="E14513" s="330" t="s">
        <v>4634</v>
      </c>
      <c r="F14513" s="331">
        <v>0.21</v>
      </c>
      <c r="G14513" s="332">
        <v>348</v>
      </c>
      <c r="H14513" s="333">
        <v>422</v>
      </c>
    </row>
    <row r="14514" spans="1:8">
      <c r="A14514" s="317">
        <v>2610967134</v>
      </c>
      <c r="B14514" s="330" t="s">
        <v>58867</v>
      </c>
      <c r="C14514" s="330" t="s">
        <v>30432</v>
      </c>
      <c r="D14514" s="330" t="s">
        <v>30433</v>
      </c>
      <c r="E14514" s="330" t="s">
        <v>4634</v>
      </c>
      <c r="F14514" s="331">
        <v>0.21</v>
      </c>
      <c r="G14514" s="332">
        <v>584</v>
      </c>
      <c r="H14514" s="333">
        <v>707</v>
      </c>
    </row>
    <row r="14515" spans="1:8">
      <c r="A14515" s="317">
        <v>2610967138</v>
      </c>
      <c r="B14515" s="330" t="s">
        <v>58868</v>
      </c>
      <c r="C14515" s="330" t="s">
        <v>30434</v>
      </c>
      <c r="D14515" s="330" t="s">
        <v>30435</v>
      </c>
      <c r="E14515" s="330" t="s">
        <v>4634</v>
      </c>
      <c r="F14515" s="331">
        <v>0.21</v>
      </c>
      <c r="G14515" s="332">
        <v>30492</v>
      </c>
      <c r="H14515" s="333">
        <v>36896</v>
      </c>
    </row>
    <row r="14516" spans="1:8">
      <c r="A14516" s="317">
        <v>2610967144</v>
      </c>
      <c r="B14516" s="330" t="s">
        <v>58869</v>
      </c>
      <c r="C14516" s="330" t="s">
        <v>30436</v>
      </c>
      <c r="D14516" s="330" t="s">
        <v>30437</v>
      </c>
      <c r="E14516" s="330" t="s">
        <v>4634</v>
      </c>
      <c r="F14516" s="331">
        <v>0.21</v>
      </c>
      <c r="G14516" s="332">
        <v>13487</v>
      </c>
      <c r="H14516" s="333">
        <v>16320</v>
      </c>
    </row>
    <row r="14517" spans="1:8">
      <c r="A14517" s="317">
        <v>2610967152</v>
      </c>
      <c r="B14517" s="330" t="s">
        <v>58870</v>
      </c>
      <c r="C14517" s="330" t="s">
        <v>30438</v>
      </c>
      <c r="D14517" s="330" t="s">
        <v>30439</v>
      </c>
      <c r="E14517" s="330" t="s">
        <v>4634</v>
      </c>
      <c r="F14517" s="331">
        <v>0.21</v>
      </c>
      <c r="G14517" s="332">
        <v>274</v>
      </c>
      <c r="H14517" s="333">
        <v>332</v>
      </c>
    </row>
    <row r="14518" spans="1:8">
      <c r="A14518" s="317">
        <v>2610967197</v>
      </c>
      <c r="B14518" s="330" t="s">
        <v>58871</v>
      </c>
      <c r="C14518" s="330" t="s">
        <v>30440</v>
      </c>
      <c r="D14518" s="330" t="s">
        <v>30441</v>
      </c>
      <c r="E14518" s="330" t="s">
        <v>4819</v>
      </c>
      <c r="F14518" s="331">
        <v>0.21</v>
      </c>
      <c r="G14518" s="332">
        <v>11416</v>
      </c>
      <c r="H14518" s="333">
        <v>13814</v>
      </c>
    </row>
    <row r="14519" spans="1:8">
      <c r="A14519" s="317">
        <v>2610967204</v>
      </c>
      <c r="B14519" s="330" t="s">
        <v>58872</v>
      </c>
      <c r="C14519" s="330" t="s">
        <v>30442</v>
      </c>
      <c r="D14519" s="330" t="s">
        <v>30443</v>
      </c>
      <c r="E14519" s="330" t="s">
        <v>4634</v>
      </c>
      <c r="F14519" s="331">
        <v>0.21</v>
      </c>
      <c r="G14519" s="332">
        <v>348</v>
      </c>
      <c r="H14519" s="333">
        <v>422</v>
      </c>
    </row>
    <row r="14520" spans="1:8">
      <c r="A14520" s="317">
        <v>2610967422</v>
      </c>
      <c r="B14520" s="330" t="s">
        <v>58873</v>
      </c>
      <c r="C14520" s="330" t="s">
        <v>30444</v>
      </c>
      <c r="D14520" s="330" t="s">
        <v>11698</v>
      </c>
      <c r="E14520" s="330" t="s">
        <v>4634</v>
      </c>
      <c r="F14520" s="331">
        <v>0.21</v>
      </c>
      <c r="G14520" s="332">
        <v>280</v>
      </c>
      <c r="H14520" s="333">
        <v>339</v>
      </c>
    </row>
    <row r="14521" spans="1:8">
      <c r="A14521" s="317">
        <v>2610967432</v>
      </c>
      <c r="B14521" s="330" t="s">
        <v>58874</v>
      </c>
      <c r="C14521" s="330" t="s">
        <v>30445</v>
      </c>
      <c r="D14521" s="330" t="s">
        <v>30446</v>
      </c>
      <c r="E14521" s="330" t="s">
        <v>4634</v>
      </c>
      <c r="F14521" s="331">
        <v>0.21</v>
      </c>
      <c r="G14521" s="332">
        <v>1474</v>
      </c>
      <c r="H14521" s="333">
        <v>1784</v>
      </c>
    </row>
    <row r="14522" spans="1:8">
      <c r="A14522" s="317">
        <v>2610967433</v>
      </c>
      <c r="B14522" s="330" t="s">
        <v>58875</v>
      </c>
      <c r="C14522" s="330" t="s">
        <v>30447</v>
      </c>
      <c r="D14522" s="330" t="s">
        <v>30448</v>
      </c>
      <c r="E14522" s="330" t="s">
        <v>4634</v>
      </c>
      <c r="F14522" s="331">
        <v>0.21</v>
      </c>
      <c r="G14522" s="332">
        <v>972</v>
      </c>
      <c r="H14522" s="333">
        <v>1177</v>
      </c>
    </row>
    <row r="14523" spans="1:8">
      <c r="A14523" s="317">
        <v>2610967437</v>
      </c>
      <c r="B14523" s="330" t="s">
        <v>58876</v>
      </c>
      <c r="C14523" s="330" t="s">
        <v>30449</v>
      </c>
      <c r="D14523" s="330" t="s">
        <v>30450</v>
      </c>
      <c r="E14523" s="330" t="s">
        <v>4634</v>
      </c>
      <c r="F14523" s="331">
        <v>0.21</v>
      </c>
      <c r="G14523" s="332">
        <v>1126</v>
      </c>
      <c r="H14523" s="333">
        <v>1363</v>
      </c>
    </row>
    <row r="14524" spans="1:8">
      <c r="A14524" s="317">
        <v>2610967438</v>
      </c>
      <c r="B14524" s="330" t="s">
        <v>58877</v>
      </c>
      <c r="C14524" s="330" t="s">
        <v>30451</v>
      </c>
      <c r="D14524" s="330" t="s">
        <v>30452</v>
      </c>
      <c r="E14524" s="330" t="s">
        <v>4634</v>
      </c>
      <c r="F14524" s="331">
        <v>0.21</v>
      </c>
      <c r="G14524" s="332">
        <v>274</v>
      </c>
      <c r="H14524" s="333">
        <v>332</v>
      </c>
    </row>
    <row r="14525" spans="1:8">
      <c r="A14525" s="317">
        <v>2610967439</v>
      </c>
      <c r="B14525" s="330" t="s">
        <v>58878</v>
      </c>
      <c r="C14525" s="330" t="s">
        <v>30453</v>
      </c>
      <c r="D14525" s="330" t="s">
        <v>29429</v>
      </c>
      <c r="E14525" s="330" t="s">
        <v>4634</v>
      </c>
      <c r="F14525" s="331">
        <v>0.21</v>
      </c>
      <c r="G14525" s="332">
        <v>432</v>
      </c>
      <c r="H14525" s="333">
        <v>523</v>
      </c>
    </row>
    <row r="14526" spans="1:8">
      <c r="A14526" s="317">
        <v>2610967440</v>
      </c>
      <c r="B14526" s="330" t="s">
        <v>58879</v>
      </c>
      <c r="C14526" s="330" t="s">
        <v>30454</v>
      </c>
      <c r="D14526" s="330" t="s">
        <v>30455</v>
      </c>
      <c r="E14526" s="330" t="s">
        <v>4819</v>
      </c>
      <c r="F14526" s="331">
        <v>0.21</v>
      </c>
      <c r="G14526" s="332">
        <v>10326</v>
      </c>
      <c r="H14526" s="333">
        <v>12495</v>
      </c>
    </row>
    <row r="14527" spans="1:8">
      <c r="A14527" s="317">
        <v>2610967445</v>
      </c>
      <c r="B14527" s="330" t="s">
        <v>58880</v>
      </c>
      <c r="C14527" s="330" t="s">
        <v>30456</v>
      </c>
      <c r="D14527" s="330" t="s">
        <v>11536</v>
      </c>
      <c r="E14527" s="330" t="s">
        <v>4634</v>
      </c>
      <c r="F14527" s="331">
        <v>0.21</v>
      </c>
      <c r="G14527" s="332">
        <v>3660</v>
      </c>
      <c r="H14527" s="333">
        <v>4429</v>
      </c>
    </row>
    <row r="14528" spans="1:8">
      <c r="A14528" s="317">
        <v>2610967449</v>
      </c>
      <c r="B14528" s="330" t="s">
        <v>58881</v>
      </c>
      <c r="C14528" s="330" t="s">
        <v>30457</v>
      </c>
      <c r="D14528" s="330" t="s">
        <v>30458</v>
      </c>
      <c r="E14528" s="330" t="s">
        <v>4634</v>
      </c>
      <c r="F14528" s="331">
        <v>0.21</v>
      </c>
      <c r="G14528" s="332">
        <v>50879</v>
      </c>
      <c r="H14528" s="333">
        <v>61564</v>
      </c>
    </row>
    <row r="14529" spans="1:8">
      <c r="A14529" s="317">
        <v>2610967609</v>
      </c>
      <c r="B14529" s="330" t="s">
        <v>58882</v>
      </c>
      <c r="C14529" s="330" t="s">
        <v>30459</v>
      </c>
      <c r="D14529" s="330" t="s">
        <v>30460</v>
      </c>
      <c r="E14529" s="330" t="s">
        <v>4634</v>
      </c>
      <c r="F14529" s="331">
        <v>0.21</v>
      </c>
      <c r="G14529" s="332">
        <v>9505</v>
      </c>
      <c r="H14529" s="333">
        <v>11502</v>
      </c>
    </row>
    <row r="14530" spans="1:8">
      <c r="A14530" s="317">
        <v>2610967610</v>
      </c>
      <c r="B14530" s="330" t="s">
        <v>58883</v>
      </c>
      <c r="C14530" s="330" t="s">
        <v>30461</v>
      </c>
      <c r="D14530" s="330" t="s">
        <v>30462</v>
      </c>
      <c r="E14530" s="330" t="s">
        <v>4634</v>
      </c>
      <c r="F14530" s="331">
        <v>0.21</v>
      </c>
      <c r="G14530" s="332">
        <v>9505</v>
      </c>
      <c r="H14530" s="333">
        <v>11502</v>
      </c>
    </row>
    <row r="14531" spans="1:8">
      <c r="A14531" s="317">
        <v>2610967626</v>
      </c>
      <c r="B14531" s="330" t="s">
        <v>58884</v>
      </c>
      <c r="C14531" s="330" t="s">
        <v>30463</v>
      </c>
      <c r="D14531" s="330" t="s">
        <v>30464</v>
      </c>
      <c r="E14531" s="330" t="s">
        <v>4634</v>
      </c>
      <c r="F14531" s="331">
        <v>0.21</v>
      </c>
      <c r="G14531" s="332">
        <v>11439</v>
      </c>
      <c r="H14531" s="333">
        <v>13842</v>
      </c>
    </row>
    <row r="14532" spans="1:8">
      <c r="A14532" s="317">
        <v>2610967639</v>
      </c>
      <c r="B14532" s="330" t="s">
        <v>58885</v>
      </c>
      <c r="C14532" s="330" t="s">
        <v>30465</v>
      </c>
      <c r="D14532" s="330" t="s">
        <v>30466</v>
      </c>
      <c r="E14532" s="330" t="s">
        <v>4634</v>
      </c>
      <c r="F14532" s="331">
        <v>0.21</v>
      </c>
      <c r="G14532" s="332">
        <v>584</v>
      </c>
      <c r="H14532" s="333">
        <v>707</v>
      </c>
    </row>
    <row r="14533" spans="1:8">
      <c r="A14533" s="317">
        <v>2610967692</v>
      </c>
      <c r="B14533" s="330" t="s">
        <v>58886</v>
      </c>
      <c r="C14533" s="330" t="s">
        <v>30467</v>
      </c>
      <c r="D14533" s="330" t="s">
        <v>30468</v>
      </c>
      <c r="E14533" s="330" t="s">
        <v>4634</v>
      </c>
      <c r="F14533" s="331">
        <v>0.21</v>
      </c>
      <c r="G14533" s="332">
        <v>584</v>
      </c>
      <c r="H14533" s="333">
        <v>707</v>
      </c>
    </row>
    <row r="14534" spans="1:8">
      <c r="A14534" s="317">
        <v>2610967693</v>
      </c>
      <c r="B14534" s="330" t="s">
        <v>58887</v>
      </c>
      <c r="C14534" s="330" t="s">
        <v>30469</v>
      </c>
      <c r="D14534" s="330" t="s">
        <v>30470</v>
      </c>
      <c r="E14534" s="330" t="s">
        <v>4634</v>
      </c>
      <c r="F14534" s="331">
        <v>0.21</v>
      </c>
      <c r="G14534" s="332">
        <v>455</v>
      </c>
      <c r="H14534" s="333">
        <v>551</v>
      </c>
    </row>
    <row r="14535" spans="1:8">
      <c r="A14535" s="317">
        <v>2610968308</v>
      </c>
      <c r="B14535" s="330" t="s">
        <v>58888</v>
      </c>
      <c r="C14535" s="330" t="s">
        <v>30471</v>
      </c>
      <c r="D14535" s="330" t="s">
        <v>5822</v>
      </c>
      <c r="E14535" s="330" t="s">
        <v>4634</v>
      </c>
      <c r="F14535" s="331">
        <v>0.21</v>
      </c>
      <c r="G14535" s="332">
        <v>2059</v>
      </c>
      <c r="H14535" s="333">
        <v>2492</v>
      </c>
    </row>
    <row r="14536" spans="1:8">
      <c r="A14536" s="317">
        <v>2610968473</v>
      </c>
      <c r="B14536" s="330" t="s">
        <v>58889</v>
      </c>
      <c r="C14536" s="330" t="s">
        <v>30472</v>
      </c>
      <c r="D14536" s="330" t="s">
        <v>30473</v>
      </c>
      <c r="E14536" s="330" t="s">
        <v>4634</v>
      </c>
      <c r="F14536" s="331">
        <v>0.21</v>
      </c>
      <c r="G14536" s="332">
        <v>372</v>
      </c>
      <c r="H14536" s="333">
        <v>451</v>
      </c>
    </row>
    <row r="14537" spans="1:8">
      <c r="A14537" s="317">
        <v>2610968650</v>
      </c>
      <c r="B14537" s="330" t="s">
        <v>58890</v>
      </c>
      <c r="C14537" s="330" t="s">
        <v>30474</v>
      </c>
      <c r="D14537" s="330" t="s">
        <v>30475</v>
      </c>
      <c r="E14537" s="330" t="s">
        <v>4634</v>
      </c>
      <c r="F14537" s="331">
        <v>0.21</v>
      </c>
      <c r="G14537" s="332">
        <v>2186</v>
      </c>
      <c r="H14537" s="333">
        <v>2646</v>
      </c>
    </row>
    <row r="14538" spans="1:8">
      <c r="A14538" s="317">
        <v>2610968724</v>
      </c>
      <c r="B14538" s="330" t="s">
        <v>58891</v>
      </c>
      <c r="C14538" s="330" t="s">
        <v>30476</v>
      </c>
      <c r="D14538" s="330" t="s">
        <v>30477</v>
      </c>
      <c r="E14538" s="330" t="s">
        <v>4634</v>
      </c>
      <c r="F14538" s="331">
        <v>0.21</v>
      </c>
      <c r="G14538" s="332">
        <v>820</v>
      </c>
      <c r="H14538" s="333">
        <v>993</v>
      </c>
    </row>
    <row r="14539" spans="1:8">
      <c r="A14539" s="317">
        <v>2610968739</v>
      </c>
      <c r="B14539" s="330" t="s">
        <v>58892</v>
      </c>
      <c r="C14539" s="330" t="s">
        <v>30478</v>
      </c>
      <c r="D14539" s="330" t="s">
        <v>30479</v>
      </c>
      <c r="E14539" s="330" t="s">
        <v>4634</v>
      </c>
      <c r="F14539" s="331">
        <v>0.21</v>
      </c>
      <c r="G14539" s="332">
        <v>1798</v>
      </c>
      <c r="H14539" s="333">
        <v>2176</v>
      </c>
    </row>
    <row r="14540" spans="1:8">
      <c r="A14540" s="317">
        <v>2610968740</v>
      </c>
      <c r="B14540" s="330" t="s">
        <v>58893</v>
      </c>
      <c r="C14540" s="330" t="s">
        <v>30480</v>
      </c>
      <c r="D14540" s="330" t="s">
        <v>30481</v>
      </c>
      <c r="E14540" s="330" t="s">
        <v>4634</v>
      </c>
      <c r="F14540" s="331">
        <v>0.21</v>
      </c>
      <c r="G14540" s="332">
        <v>2232</v>
      </c>
      <c r="H14540" s="333">
        <v>2701</v>
      </c>
    </row>
    <row r="14541" spans="1:8">
      <c r="A14541" s="317">
        <v>2610990025</v>
      </c>
      <c r="B14541" s="330" t="s">
        <v>58894</v>
      </c>
      <c r="C14541" s="330" t="s">
        <v>30482</v>
      </c>
      <c r="D14541" s="330" t="s">
        <v>30483</v>
      </c>
      <c r="E14541" s="330" t="s">
        <v>4634</v>
      </c>
      <c r="F14541" s="331">
        <v>0.21</v>
      </c>
      <c r="G14541" s="332">
        <v>2186</v>
      </c>
      <c r="H14541" s="333">
        <v>2646</v>
      </c>
    </row>
    <row r="14542" spans="1:8">
      <c r="A14542" s="317">
        <v>2610990029</v>
      </c>
      <c r="B14542" s="330" t="s">
        <v>58895</v>
      </c>
      <c r="C14542" s="330" t="s">
        <v>30484</v>
      </c>
      <c r="D14542" s="330" t="s">
        <v>30485</v>
      </c>
      <c r="E14542" s="330" t="s">
        <v>4634</v>
      </c>
      <c r="F14542" s="331">
        <v>0.21</v>
      </c>
      <c r="G14542" s="332">
        <v>678</v>
      </c>
      <c r="H14542" s="333">
        <v>821</v>
      </c>
    </row>
    <row r="14543" spans="1:8">
      <c r="A14543" s="317">
        <v>2610990039</v>
      </c>
      <c r="B14543" s="330" t="s">
        <v>58896</v>
      </c>
      <c r="C14543" s="330" t="s">
        <v>30486</v>
      </c>
      <c r="D14543" s="330" t="s">
        <v>30487</v>
      </c>
      <c r="E14543" s="330" t="s">
        <v>4634</v>
      </c>
      <c r="F14543" s="331">
        <v>0.21</v>
      </c>
      <c r="G14543" s="332">
        <v>1126</v>
      </c>
      <c r="H14543" s="333">
        <v>1363</v>
      </c>
    </row>
    <row r="14544" spans="1:8">
      <c r="A14544" s="317">
        <v>2610990040</v>
      </c>
      <c r="B14544" s="330" t="s">
        <v>58897</v>
      </c>
      <c r="C14544" s="330" t="s">
        <v>30488</v>
      </c>
      <c r="D14544" s="330" t="s">
        <v>30489</v>
      </c>
      <c r="E14544" s="330" t="s">
        <v>4634</v>
      </c>
      <c r="F14544" s="331">
        <v>0.21</v>
      </c>
      <c r="G14544" s="332">
        <v>648</v>
      </c>
      <c r="H14544" s="333">
        <v>785</v>
      </c>
    </row>
    <row r="14545" spans="1:8">
      <c r="A14545" s="317">
        <v>2610990160</v>
      </c>
      <c r="B14545" s="330" t="s">
        <v>58898</v>
      </c>
      <c r="C14545" s="330" t="s">
        <v>30490</v>
      </c>
      <c r="D14545" s="330" t="s">
        <v>30491</v>
      </c>
      <c r="E14545" s="330" t="s">
        <v>4634</v>
      </c>
      <c r="F14545" s="331">
        <v>0.21</v>
      </c>
      <c r="G14545" s="332">
        <v>2491</v>
      </c>
      <c r="H14545" s="333">
        <v>3015</v>
      </c>
    </row>
    <row r="14546" spans="1:8">
      <c r="A14546" s="317">
        <v>2610990171</v>
      </c>
      <c r="B14546" s="330" t="s">
        <v>58899</v>
      </c>
      <c r="C14546" s="330" t="s">
        <v>30492</v>
      </c>
      <c r="D14546" s="330" t="s">
        <v>5822</v>
      </c>
      <c r="E14546" s="330" t="s">
        <v>4634</v>
      </c>
      <c r="F14546" s="331">
        <v>0.21</v>
      </c>
      <c r="G14546" s="332">
        <v>2491</v>
      </c>
      <c r="H14546" s="333">
        <v>3015</v>
      </c>
    </row>
    <row r="14547" spans="1:8">
      <c r="A14547" s="317">
        <v>2610990176</v>
      </c>
      <c r="B14547" s="330" t="s">
        <v>58900</v>
      </c>
      <c r="C14547" s="330" t="s">
        <v>30493</v>
      </c>
      <c r="D14547" s="330" t="s">
        <v>30494</v>
      </c>
      <c r="E14547" s="330" t="s">
        <v>4634</v>
      </c>
      <c r="F14547" s="331">
        <v>0.21</v>
      </c>
      <c r="G14547" s="332">
        <v>60431</v>
      </c>
      <c r="H14547" s="333">
        <v>73122</v>
      </c>
    </row>
    <row r="14548" spans="1:8">
      <c r="A14548" s="317">
        <v>2610990186</v>
      </c>
      <c r="B14548" s="330" t="s">
        <v>58901</v>
      </c>
      <c r="C14548" s="330" t="s">
        <v>30495</v>
      </c>
      <c r="D14548" s="330" t="s">
        <v>30496</v>
      </c>
      <c r="E14548" s="330" t="s">
        <v>4634</v>
      </c>
      <c r="F14548" s="331">
        <v>0.21</v>
      </c>
      <c r="G14548" s="332">
        <v>5123</v>
      </c>
      <c r="H14548" s="333">
        <v>6199</v>
      </c>
    </row>
    <row r="14549" spans="1:8">
      <c r="A14549" s="317">
        <v>2610990503</v>
      </c>
      <c r="B14549" s="330" t="s">
        <v>58902</v>
      </c>
      <c r="C14549" s="330" t="s">
        <v>30497</v>
      </c>
      <c r="D14549" s="330" t="s">
        <v>30498</v>
      </c>
      <c r="E14549" s="330" t="s">
        <v>4634</v>
      </c>
      <c r="F14549" s="331">
        <v>0.21</v>
      </c>
      <c r="G14549" s="332">
        <v>274</v>
      </c>
      <c r="H14549" s="333">
        <v>332</v>
      </c>
    </row>
    <row r="14550" spans="1:8">
      <c r="A14550" s="317">
        <v>2610990504</v>
      </c>
      <c r="B14550" s="330" t="s">
        <v>58903</v>
      </c>
      <c r="C14550" s="330" t="s">
        <v>30499</v>
      </c>
      <c r="D14550" s="330" t="s">
        <v>30500</v>
      </c>
      <c r="E14550" s="330" t="s">
        <v>4634</v>
      </c>
      <c r="F14550" s="331">
        <v>0.21</v>
      </c>
      <c r="G14550" s="332">
        <v>274</v>
      </c>
      <c r="H14550" s="333">
        <v>332</v>
      </c>
    </row>
    <row r="14551" spans="1:8">
      <c r="A14551" s="317">
        <v>2610990518</v>
      </c>
      <c r="B14551" s="330" t="s">
        <v>58904</v>
      </c>
      <c r="C14551" s="330" t="s">
        <v>30501</v>
      </c>
      <c r="D14551" s="330" t="s">
        <v>30502</v>
      </c>
      <c r="E14551" s="330" t="s">
        <v>4819</v>
      </c>
      <c r="F14551" s="331">
        <v>0.21</v>
      </c>
      <c r="G14551" s="332">
        <v>1835</v>
      </c>
      <c r="H14551" s="333">
        <v>2221</v>
      </c>
    </row>
    <row r="14552" spans="1:8">
      <c r="A14552" s="317">
        <v>2610990521</v>
      </c>
      <c r="B14552" s="330" t="s">
        <v>58905</v>
      </c>
      <c r="C14552" s="330" t="s">
        <v>30503</v>
      </c>
      <c r="D14552" s="330" t="s">
        <v>30452</v>
      </c>
      <c r="E14552" s="330" t="s">
        <v>4819</v>
      </c>
      <c r="F14552" s="331">
        <v>0.21</v>
      </c>
      <c r="G14552" s="332">
        <v>1530</v>
      </c>
      <c r="H14552" s="333">
        <v>1852</v>
      </c>
    </row>
    <row r="14553" spans="1:8">
      <c r="A14553" s="317">
        <v>2610990522</v>
      </c>
      <c r="B14553" s="330" t="s">
        <v>58906</v>
      </c>
      <c r="C14553" s="330" t="s">
        <v>30504</v>
      </c>
      <c r="D14553" s="330" t="s">
        <v>30505</v>
      </c>
      <c r="E14553" s="330" t="s">
        <v>4819</v>
      </c>
      <c r="F14553" s="331">
        <v>0.21</v>
      </c>
      <c r="G14553" s="332">
        <v>1998</v>
      </c>
      <c r="H14553" s="333">
        <v>2418</v>
      </c>
    </row>
    <row r="14554" spans="1:8">
      <c r="A14554" s="317">
        <v>2610990525</v>
      </c>
      <c r="B14554" s="330" t="s">
        <v>58907</v>
      </c>
      <c r="C14554" s="330" t="s">
        <v>30506</v>
      </c>
      <c r="D14554" s="330" t="s">
        <v>30507</v>
      </c>
      <c r="E14554" s="330" t="s">
        <v>4819</v>
      </c>
      <c r="F14554" s="331">
        <v>0.21</v>
      </c>
      <c r="G14554" s="332">
        <v>17567</v>
      </c>
      <c r="H14554" s="333">
        <v>21257</v>
      </c>
    </row>
    <row r="14555" spans="1:8">
      <c r="A14555" s="317">
        <v>2610990806</v>
      </c>
      <c r="B14555" s="330" t="s">
        <v>58908</v>
      </c>
      <c r="C14555" s="330" t="s">
        <v>30508</v>
      </c>
      <c r="D14555" s="330" t="s">
        <v>30509</v>
      </c>
      <c r="E14555" s="330" t="s">
        <v>4819</v>
      </c>
      <c r="F14555" s="331">
        <v>0.21</v>
      </c>
      <c r="G14555" s="332">
        <v>985</v>
      </c>
      <c r="H14555" s="333">
        <v>1192</v>
      </c>
    </row>
    <row r="14556" spans="1:8">
      <c r="A14556" s="317">
        <v>2610990845</v>
      </c>
      <c r="B14556" s="330" t="s">
        <v>58909</v>
      </c>
      <c r="C14556" s="330" t="s">
        <v>30510</v>
      </c>
      <c r="D14556" s="330" t="s">
        <v>30511</v>
      </c>
      <c r="E14556" s="330" t="s">
        <v>4634</v>
      </c>
      <c r="F14556" s="331">
        <v>0.21</v>
      </c>
      <c r="G14556" s="332">
        <v>372</v>
      </c>
      <c r="H14556" s="333">
        <v>451</v>
      </c>
    </row>
    <row r="14557" spans="1:8">
      <c r="A14557" s="317">
        <v>2610991218</v>
      </c>
      <c r="B14557" s="330" t="s">
        <v>58910</v>
      </c>
      <c r="C14557" s="330" t="s">
        <v>30512</v>
      </c>
      <c r="D14557" s="330" t="s">
        <v>30513</v>
      </c>
      <c r="E14557" s="330" t="s">
        <v>4634</v>
      </c>
      <c r="F14557" s="331">
        <v>0.21</v>
      </c>
      <c r="G14557" s="332">
        <v>274</v>
      </c>
      <c r="H14557" s="333">
        <v>332</v>
      </c>
    </row>
    <row r="14558" spans="1:8">
      <c r="A14558" s="317">
        <v>2610991256</v>
      </c>
      <c r="B14558" s="330" t="s">
        <v>58911</v>
      </c>
      <c r="C14558" s="330" t="s">
        <v>30514</v>
      </c>
      <c r="D14558" s="330" t="s">
        <v>30515</v>
      </c>
      <c r="E14558" s="330" t="s">
        <v>4634</v>
      </c>
      <c r="F14558" s="331">
        <v>0.21</v>
      </c>
      <c r="G14558" s="332">
        <v>1586</v>
      </c>
      <c r="H14558" s="333">
        <v>1920</v>
      </c>
    </row>
    <row r="14559" spans="1:8">
      <c r="A14559" s="317">
        <v>2610991280</v>
      </c>
      <c r="B14559" s="330" t="s">
        <v>58912</v>
      </c>
      <c r="C14559" s="330" t="s">
        <v>30516</v>
      </c>
      <c r="D14559" s="330" t="s">
        <v>30517</v>
      </c>
      <c r="E14559" s="330" t="s">
        <v>4634</v>
      </c>
      <c r="F14559" s="331">
        <v>0.21</v>
      </c>
      <c r="G14559" s="332">
        <v>372</v>
      </c>
      <c r="H14559" s="333">
        <v>451</v>
      </c>
    </row>
    <row r="14560" spans="1:8">
      <c r="A14560" s="317">
        <v>2610991306</v>
      </c>
      <c r="B14560" s="330" t="s">
        <v>58913</v>
      </c>
      <c r="C14560" s="330" t="s">
        <v>30518</v>
      </c>
      <c r="D14560" s="330" t="s">
        <v>15512</v>
      </c>
      <c r="E14560" s="330" t="s">
        <v>4634</v>
      </c>
      <c r="F14560" s="331">
        <v>0.21</v>
      </c>
      <c r="G14560" s="332">
        <v>455</v>
      </c>
      <c r="H14560" s="333">
        <v>551</v>
      </c>
    </row>
    <row r="14561" spans="1:8">
      <c r="A14561" s="317">
        <v>2610991329</v>
      </c>
      <c r="B14561" s="330" t="s">
        <v>58914</v>
      </c>
      <c r="C14561" s="330" t="s">
        <v>30519</v>
      </c>
      <c r="D14561" s="330" t="s">
        <v>30520</v>
      </c>
      <c r="E14561" s="330" t="s">
        <v>4634</v>
      </c>
      <c r="F14561" s="331">
        <v>0.21</v>
      </c>
      <c r="G14561" s="332">
        <v>19188</v>
      </c>
      <c r="H14561" s="333">
        <v>23218</v>
      </c>
    </row>
    <row r="14562" spans="1:8">
      <c r="A14562" s="317">
        <v>2610991370</v>
      </c>
      <c r="B14562" s="330" t="s">
        <v>58915</v>
      </c>
      <c r="C14562" s="330" t="s">
        <v>30521</v>
      </c>
      <c r="D14562" s="330" t="s">
        <v>30522</v>
      </c>
      <c r="E14562" s="330" t="s">
        <v>4819</v>
      </c>
      <c r="F14562" s="331">
        <v>0.21</v>
      </c>
      <c r="G14562" s="332">
        <v>15436</v>
      </c>
      <c r="H14562" s="333">
        <v>18678</v>
      </c>
    </row>
    <row r="14563" spans="1:8">
      <c r="A14563" s="317">
        <v>2610991372</v>
      </c>
      <c r="B14563" s="330" t="s">
        <v>58916</v>
      </c>
      <c r="C14563" s="330" t="s">
        <v>30523</v>
      </c>
      <c r="D14563" s="330" t="s">
        <v>9732</v>
      </c>
      <c r="E14563" s="330" t="s">
        <v>37248</v>
      </c>
      <c r="F14563" s="331">
        <v>0.21</v>
      </c>
      <c r="G14563" s="332">
        <v>165</v>
      </c>
      <c r="H14563" s="333">
        <v>200</v>
      </c>
    </row>
    <row r="14564" spans="1:8">
      <c r="A14564" s="317">
        <v>2610991375</v>
      </c>
      <c r="B14564" s="330" t="s">
        <v>58917</v>
      </c>
      <c r="C14564" s="330" t="s">
        <v>30524</v>
      </c>
      <c r="D14564" s="330" t="s">
        <v>30525</v>
      </c>
      <c r="E14564" s="330" t="s">
        <v>4623</v>
      </c>
      <c r="F14564" s="331">
        <v>0.21</v>
      </c>
      <c r="G14564" s="332">
        <v>6116</v>
      </c>
      <c r="H14564" s="333">
        <v>7401</v>
      </c>
    </row>
    <row r="14565" spans="1:8">
      <c r="A14565" s="317">
        <v>2610991395</v>
      </c>
      <c r="B14565" s="330" t="s">
        <v>58918</v>
      </c>
      <c r="C14565" s="330" t="s">
        <v>30526</v>
      </c>
      <c r="D14565" s="330" t="s">
        <v>30527</v>
      </c>
      <c r="E14565" s="330" t="s">
        <v>37248</v>
      </c>
      <c r="F14565" s="331">
        <v>0.21</v>
      </c>
      <c r="G14565" s="332">
        <v>410</v>
      </c>
      <c r="H14565" s="333">
        <v>497</v>
      </c>
    </row>
    <row r="14566" spans="1:8">
      <c r="A14566" s="317">
        <v>2610991398</v>
      </c>
      <c r="B14566" s="330" t="s">
        <v>58919</v>
      </c>
      <c r="C14566" s="330" t="s">
        <v>30528</v>
      </c>
      <c r="D14566" s="330" t="s">
        <v>30529</v>
      </c>
      <c r="E14566" s="330" t="s">
        <v>4634</v>
      </c>
      <c r="F14566" s="331">
        <v>0.21</v>
      </c>
      <c r="G14566" s="332">
        <v>135655</v>
      </c>
      <c r="H14566" s="333">
        <v>164143</v>
      </c>
    </row>
    <row r="14567" spans="1:8">
      <c r="A14567" s="317">
        <v>2610991892</v>
      </c>
      <c r="B14567" s="330" t="s">
        <v>58920</v>
      </c>
      <c r="C14567" s="330" t="s">
        <v>30530</v>
      </c>
      <c r="D14567" s="330" t="s">
        <v>30531</v>
      </c>
      <c r="E14567" s="330" t="s">
        <v>4634</v>
      </c>
      <c r="F14567" s="331">
        <v>0.21</v>
      </c>
      <c r="G14567" s="332">
        <v>11644</v>
      </c>
      <c r="H14567" s="333">
        <v>14090</v>
      </c>
    </row>
    <row r="14568" spans="1:8">
      <c r="A14568" s="317">
        <v>2610992229</v>
      </c>
      <c r="B14568" s="330" t="s">
        <v>58921</v>
      </c>
      <c r="C14568" s="330" t="s">
        <v>30532</v>
      </c>
      <c r="D14568" s="330" t="s">
        <v>30533</v>
      </c>
      <c r="E14568" s="330" t="s">
        <v>4634</v>
      </c>
      <c r="F14568" s="331">
        <v>0.21</v>
      </c>
      <c r="G14568" s="332">
        <v>3966</v>
      </c>
      <c r="H14568" s="333">
        <v>4799</v>
      </c>
    </row>
    <row r="14569" spans="1:8">
      <c r="A14569" s="317">
        <v>2610992314</v>
      </c>
      <c r="B14569" s="330" t="s">
        <v>58922</v>
      </c>
      <c r="C14569" s="330" t="s">
        <v>30534</v>
      </c>
      <c r="D14569" s="330" t="s">
        <v>30535</v>
      </c>
      <c r="E14569" s="330" t="s">
        <v>4634</v>
      </c>
      <c r="F14569" s="331">
        <v>0.21</v>
      </c>
      <c r="G14569" s="332">
        <v>3528</v>
      </c>
      <c r="H14569" s="333">
        <v>4269</v>
      </c>
    </row>
    <row r="14570" spans="1:8">
      <c r="A14570" s="317">
        <v>2610992363</v>
      </c>
      <c r="B14570" s="330" t="s">
        <v>58923</v>
      </c>
      <c r="C14570" s="330" t="s">
        <v>30536</v>
      </c>
      <c r="D14570" s="330" t="s">
        <v>30537</v>
      </c>
      <c r="E14570" s="330" t="s">
        <v>4819</v>
      </c>
      <c r="F14570" s="331">
        <v>0.21</v>
      </c>
      <c r="G14570" s="332">
        <v>131090</v>
      </c>
      <c r="H14570" s="333">
        <v>158619</v>
      </c>
    </row>
    <row r="14571" spans="1:8">
      <c r="A14571" s="317">
        <v>2610992366</v>
      </c>
      <c r="B14571" s="330" t="s">
        <v>58924</v>
      </c>
      <c r="C14571" s="330" t="s">
        <v>30538</v>
      </c>
      <c r="D14571" s="330" t="s">
        <v>30539</v>
      </c>
      <c r="E14571" s="330" t="s">
        <v>4634</v>
      </c>
      <c r="F14571" s="331">
        <v>0.21</v>
      </c>
      <c r="G14571" s="332">
        <v>274</v>
      </c>
      <c r="H14571" s="333">
        <v>332</v>
      </c>
    </row>
    <row r="14572" spans="1:8">
      <c r="A14572" s="317">
        <v>2610992372</v>
      </c>
      <c r="B14572" s="330" t="s">
        <v>58925</v>
      </c>
      <c r="C14572" s="330" t="s">
        <v>30540</v>
      </c>
      <c r="D14572" s="330" t="s">
        <v>30541</v>
      </c>
      <c r="E14572" s="330" t="s">
        <v>4634</v>
      </c>
      <c r="F14572" s="331">
        <v>0.21</v>
      </c>
      <c r="G14572" s="332">
        <v>432</v>
      </c>
      <c r="H14572" s="333">
        <v>523</v>
      </c>
    </row>
    <row r="14573" spans="1:8">
      <c r="A14573" s="317">
        <v>2610992377</v>
      </c>
      <c r="B14573" s="330" t="s">
        <v>58926</v>
      </c>
      <c r="C14573" s="330" t="s">
        <v>30542</v>
      </c>
      <c r="D14573" s="330" t="s">
        <v>30543</v>
      </c>
      <c r="E14573" s="330" t="s">
        <v>4634</v>
      </c>
      <c r="F14573" s="331">
        <v>0.21</v>
      </c>
      <c r="G14573" s="332">
        <v>274</v>
      </c>
      <c r="H14573" s="333">
        <v>332</v>
      </c>
    </row>
    <row r="14574" spans="1:8">
      <c r="A14574" s="317">
        <v>2610992380</v>
      </c>
      <c r="B14574" s="330" t="s">
        <v>58927</v>
      </c>
      <c r="C14574" s="330" t="s">
        <v>30544</v>
      </c>
      <c r="D14574" s="330" t="s">
        <v>30545</v>
      </c>
      <c r="E14574" s="330" t="s">
        <v>4634</v>
      </c>
      <c r="F14574" s="331">
        <v>0.21</v>
      </c>
      <c r="G14574" s="332">
        <v>274</v>
      </c>
      <c r="H14574" s="333">
        <v>332</v>
      </c>
    </row>
    <row r="14575" spans="1:8">
      <c r="A14575" s="317">
        <v>2610992408</v>
      </c>
      <c r="B14575" s="330" t="s">
        <v>58928</v>
      </c>
      <c r="C14575" s="330" t="s">
        <v>30546</v>
      </c>
      <c r="D14575" s="330" t="s">
        <v>30547</v>
      </c>
      <c r="E14575" s="330" t="s">
        <v>4634</v>
      </c>
      <c r="F14575" s="331">
        <v>0.21</v>
      </c>
      <c r="G14575" s="332">
        <v>3297</v>
      </c>
      <c r="H14575" s="333">
        <v>3990</v>
      </c>
    </row>
    <row r="14576" spans="1:8">
      <c r="A14576" s="317">
        <v>2610992417</v>
      </c>
      <c r="B14576" s="330" t="s">
        <v>58929</v>
      </c>
      <c r="C14576" s="330" t="s">
        <v>30548</v>
      </c>
      <c r="D14576" s="330" t="s">
        <v>30549</v>
      </c>
      <c r="E14576" s="330" t="s">
        <v>4634</v>
      </c>
      <c r="F14576" s="331">
        <v>0.21</v>
      </c>
      <c r="G14576" s="332">
        <v>3421</v>
      </c>
      <c r="H14576" s="333">
        <v>4140</v>
      </c>
    </row>
    <row r="14577" spans="1:8">
      <c r="A14577" s="317">
        <v>2610992427</v>
      </c>
      <c r="B14577" s="330" t="s">
        <v>58930</v>
      </c>
      <c r="C14577" s="330" t="s">
        <v>30550</v>
      </c>
      <c r="D14577" s="330" t="s">
        <v>30551</v>
      </c>
      <c r="E14577" s="330" t="s">
        <v>4634</v>
      </c>
      <c r="F14577" s="331">
        <v>0.21</v>
      </c>
      <c r="G14577" s="332">
        <v>1356</v>
      </c>
      <c r="H14577" s="333">
        <v>1641</v>
      </c>
    </row>
    <row r="14578" spans="1:8">
      <c r="A14578" s="317">
        <v>2610992580</v>
      </c>
      <c r="B14578" s="330" t="s">
        <v>58931</v>
      </c>
      <c r="C14578" s="330" t="s">
        <v>30552</v>
      </c>
      <c r="D14578" s="330" t="s">
        <v>30553</v>
      </c>
      <c r="E14578" s="330" t="s">
        <v>4634</v>
      </c>
      <c r="F14578" s="331">
        <v>0.21</v>
      </c>
      <c r="G14578" s="332">
        <v>2712</v>
      </c>
      <c r="H14578" s="333">
        <v>3282</v>
      </c>
    </row>
    <row r="14579" spans="1:8">
      <c r="A14579" s="317">
        <v>2610992974</v>
      </c>
      <c r="B14579" s="330" t="s">
        <v>58932</v>
      </c>
      <c r="C14579" s="330" t="s">
        <v>30554</v>
      </c>
      <c r="D14579" s="330" t="s">
        <v>30555</v>
      </c>
      <c r="E14579" s="330" t="s">
        <v>4634</v>
      </c>
      <c r="F14579" s="331">
        <v>0.21</v>
      </c>
      <c r="G14579" s="332">
        <v>4432</v>
      </c>
      <c r="H14579" s="333">
        <v>5363</v>
      </c>
    </row>
    <row r="14580" spans="1:8">
      <c r="A14580" s="317">
        <v>2610993102</v>
      </c>
      <c r="B14580" s="330" t="s">
        <v>58933</v>
      </c>
      <c r="C14580" s="330" t="s">
        <v>30556</v>
      </c>
      <c r="D14580" s="330" t="s">
        <v>30557</v>
      </c>
      <c r="E14580" s="330" t="s">
        <v>37248</v>
      </c>
      <c r="F14580" s="331">
        <v>0.21</v>
      </c>
      <c r="G14580" s="332">
        <v>3471</v>
      </c>
      <c r="H14580" s="333">
        <v>4200</v>
      </c>
    </row>
    <row r="14581" spans="1:8">
      <c r="A14581" s="317">
        <v>2610993104</v>
      </c>
      <c r="B14581" s="330" t="s">
        <v>58934</v>
      </c>
      <c r="C14581" s="330" t="s">
        <v>30558</v>
      </c>
      <c r="D14581" s="330" t="s">
        <v>12232</v>
      </c>
      <c r="E14581" s="330" t="s">
        <v>4634</v>
      </c>
      <c r="F14581" s="331">
        <v>0.21</v>
      </c>
      <c r="G14581" s="332">
        <v>455</v>
      </c>
      <c r="H14581" s="333">
        <v>551</v>
      </c>
    </row>
    <row r="14582" spans="1:8">
      <c r="A14582" s="317">
        <v>2610993106</v>
      </c>
      <c r="B14582" s="330" t="s">
        <v>58935</v>
      </c>
      <c r="C14582" s="330" t="s">
        <v>30559</v>
      </c>
      <c r="D14582" s="330" t="s">
        <v>30560</v>
      </c>
      <c r="E14582" s="330" t="s">
        <v>4634</v>
      </c>
      <c r="F14582" s="331">
        <v>0.21</v>
      </c>
      <c r="G14582" s="332">
        <v>2330</v>
      </c>
      <c r="H14582" s="333">
        <v>2820</v>
      </c>
    </row>
    <row r="14583" spans="1:8">
      <c r="A14583" s="317">
        <v>2610993107</v>
      </c>
      <c r="B14583" s="330" t="s">
        <v>58936</v>
      </c>
      <c r="C14583" s="330" t="s">
        <v>30561</v>
      </c>
      <c r="D14583" s="330" t="s">
        <v>30562</v>
      </c>
      <c r="E14583" s="330" t="s">
        <v>4634</v>
      </c>
      <c r="F14583" s="331">
        <v>0.21</v>
      </c>
      <c r="G14583" s="332">
        <v>1798</v>
      </c>
      <c r="H14583" s="333">
        <v>2176</v>
      </c>
    </row>
    <row r="14584" spans="1:8">
      <c r="A14584" s="317">
        <v>2610993108</v>
      </c>
      <c r="B14584" s="330" t="s">
        <v>58937</v>
      </c>
      <c r="C14584" s="330" t="s">
        <v>30563</v>
      </c>
      <c r="D14584" s="330" t="s">
        <v>30564</v>
      </c>
      <c r="E14584" s="330" t="s">
        <v>4634</v>
      </c>
      <c r="F14584" s="331">
        <v>0.21</v>
      </c>
      <c r="G14584" s="332">
        <v>274</v>
      </c>
      <c r="H14584" s="333">
        <v>332</v>
      </c>
    </row>
    <row r="14585" spans="1:8">
      <c r="A14585" s="317">
        <v>2610993109</v>
      </c>
      <c r="B14585" s="330" t="s">
        <v>58938</v>
      </c>
      <c r="C14585" s="330" t="s">
        <v>30565</v>
      </c>
      <c r="D14585" s="330" t="s">
        <v>12232</v>
      </c>
      <c r="E14585" s="330" t="s">
        <v>4634</v>
      </c>
      <c r="F14585" s="331">
        <v>0.21</v>
      </c>
      <c r="G14585" s="332">
        <v>274</v>
      </c>
      <c r="H14585" s="333">
        <v>332</v>
      </c>
    </row>
    <row r="14586" spans="1:8">
      <c r="A14586" s="317">
        <v>2610993191</v>
      </c>
      <c r="B14586" s="330" t="s">
        <v>58939</v>
      </c>
      <c r="C14586" s="330" t="s">
        <v>30566</v>
      </c>
      <c r="D14586" s="330" t="s">
        <v>30567</v>
      </c>
      <c r="E14586" s="330" t="s">
        <v>4634</v>
      </c>
      <c r="F14586" s="331">
        <v>0.21</v>
      </c>
      <c r="G14586" s="332">
        <v>274</v>
      </c>
      <c r="H14586" s="333">
        <v>332</v>
      </c>
    </row>
    <row r="14587" spans="1:8">
      <c r="A14587" s="317">
        <v>2610993221</v>
      </c>
      <c r="B14587" s="330" t="s">
        <v>58940</v>
      </c>
      <c r="C14587" s="330" t="s">
        <v>30568</v>
      </c>
      <c r="D14587" s="330" t="s">
        <v>27901</v>
      </c>
      <c r="E14587" s="330" t="s">
        <v>4634</v>
      </c>
      <c r="F14587" s="331">
        <v>0.21</v>
      </c>
      <c r="G14587" s="332">
        <v>274</v>
      </c>
      <c r="H14587" s="333">
        <v>332</v>
      </c>
    </row>
    <row r="14588" spans="1:8">
      <c r="A14588" s="317">
        <v>2610993238</v>
      </c>
      <c r="B14588" s="330" t="s">
        <v>58941</v>
      </c>
      <c r="C14588" s="330" t="s">
        <v>30569</v>
      </c>
      <c r="D14588" s="330" t="s">
        <v>30570</v>
      </c>
      <c r="E14588" s="330" t="s">
        <v>4634</v>
      </c>
      <c r="F14588" s="331">
        <v>0.21</v>
      </c>
      <c r="G14588" s="332">
        <v>1170</v>
      </c>
      <c r="H14588" s="333">
        <v>1416</v>
      </c>
    </row>
    <row r="14589" spans="1:8">
      <c r="A14589" s="317">
        <v>2610993249</v>
      </c>
      <c r="B14589" s="330" t="s">
        <v>58942</v>
      </c>
      <c r="C14589" s="330" t="s">
        <v>30571</v>
      </c>
      <c r="D14589" s="330" t="s">
        <v>30572</v>
      </c>
      <c r="E14589" s="330" t="s">
        <v>4634</v>
      </c>
      <c r="F14589" s="331">
        <v>0.21</v>
      </c>
      <c r="G14589" s="332">
        <v>4135</v>
      </c>
      <c r="H14589" s="333">
        <v>5004</v>
      </c>
    </row>
    <row r="14590" spans="1:8">
      <c r="A14590" s="317">
        <v>2610993502</v>
      </c>
      <c r="B14590" s="330" t="s">
        <v>58943</v>
      </c>
      <c r="C14590" s="330" t="s">
        <v>30573</v>
      </c>
      <c r="D14590" s="330" t="s">
        <v>30574</v>
      </c>
      <c r="E14590" s="330" t="s">
        <v>4634</v>
      </c>
      <c r="F14590" s="331">
        <v>0.21</v>
      </c>
      <c r="G14590" s="332">
        <v>1798</v>
      </c>
      <c r="H14590" s="333">
        <v>2176</v>
      </c>
    </row>
    <row r="14591" spans="1:8">
      <c r="A14591" s="317">
        <v>2610993520</v>
      </c>
      <c r="B14591" s="330" t="s">
        <v>58944</v>
      </c>
      <c r="C14591" s="330" t="s">
        <v>30575</v>
      </c>
      <c r="D14591" s="330" t="s">
        <v>30576</v>
      </c>
      <c r="E14591" s="330" t="s">
        <v>4634</v>
      </c>
      <c r="F14591" s="331">
        <v>0.21</v>
      </c>
      <c r="G14591" s="332">
        <v>3774</v>
      </c>
      <c r="H14591" s="333">
        <v>4567</v>
      </c>
    </row>
    <row r="14592" spans="1:8">
      <c r="A14592" s="317">
        <v>2610993526</v>
      </c>
      <c r="B14592" s="330" t="s">
        <v>58945</v>
      </c>
      <c r="C14592" s="330" t="s">
        <v>30577</v>
      </c>
      <c r="D14592" s="330" t="s">
        <v>30576</v>
      </c>
      <c r="E14592" s="330" t="s">
        <v>4634</v>
      </c>
      <c r="F14592" s="331">
        <v>0.21</v>
      </c>
      <c r="G14592" s="332">
        <v>3774</v>
      </c>
      <c r="H14592" s="333">
        <v>4567</v>
      </c>
    </row>
    <row r="14593" spans="1:8">
      <c r="A14593" s="317">
        <v>2610993575</v>
      </c>
      <c r="B14593" s="330" t="s">
        <v>58946</v>
      </c>
      <c r="C14593" s="330" t="s">
        <v>30578</v>
      </c>
      <c r="D14593" s="330" t="s">
        <v>30579</v>
      </c>
      <c r="E14593" s="330" t="s">
        <v>4634</v>
      </c>
      <c r="F14593" s="331">
        <v>0.21</v>
      </c>
      <c r="G14593" s="332">
        <v>4004</v>
      </c>
      <c r="H14593" s="333">
        <v>4845</v>
      </c>
    </row>
    <row r="14594" spans="1:8">
      <c r="A14594" s="317">
        <v>2610994016</v>
      </c>
      <c r="B14594" s="330" t="s">
        <v>58947</v>
      </c>
      <c r="C14594" s="330" t="s">
        <v>30580</v>
      </c>
      <c r="D14594" s="330" t="s">
        <v>30581</v>
      </c>
      <c r="E14594" s="330" t="s">
        <v>4819</v>
      </c>
      <c r="F14594" s="331">
        <v>0.21</v>
      </c>
      <c r="G14594" s="332">
        <v>11053</v>
      </c>
      <c r="H14594" s="333">
        <v>13375</v>
      </c>
    </row>
    <row r="14595" spans="1:8">
      <c r="A14595" s="317">
        <v>2610994411</v>
      </c>
      <c r="B14595" s="330" t="s">
        <v>58948</v>
      </c>
      <c r="C14595" s="330" t="s">
        <v>30582</v>
      </c>
      <c r="D14595" s="330" t="s">
        <v>30583</v>
      </c>
      <c r="E14595" s="330" t="s">
        <v>4634</v>
      </c>
      <c r="F14595" s="331">
        <v>0.21</v>
      </c>
      <c r="G14595" s="332">
        <v>584</v>
      </c>
      <c r="H14595" s="333">
        <v>707</v>
      </c>
    </row>
    <row r="14596" spans="1:8">
      <c r="A14596" s="317">
        <v>2610994437</v>
      </c>
      <c r="B14596" s="330" t="s">
        <v>58949</v>
      </c>
      <c r="C14596" s="330" t="s">
        <v>30584</v>
      </c>
      <c r="D14596" s="330" t="s">
        <v>30585</v>
      </c>
      <c r="E14596" s="330" t="s">
        <v>4634</v>
      </c>
      <c r="F14596" s="331">
        <v>0.21</v>
      </c>
      <c r="G14596" s="332">
        <v>678</v>
      </c>
      <c r="H14596" s="333">
        <v>821</v>
      </c>
    </row>
    <row r="14597" spans="1:8">
      <c r="A14597" s="317">
        <v>2610994443</v>
      </c>
      <c r="B14597" s="330" t="s">
        <v>58950</v>
      </c>
      <c r="C14597" s="330" t="s">
        <v>30586</v>
      </c>
      <c r="D14597" s="330" t="s">
        <v>30587</v>
      </c>
      <c r="E14597" s="330" t="s">
        <v>4634</v>
      </c>
      <c r="F14597" s="331">
        <v>0.21</v>
      </c>
      <c r="G14597" s="332">
        <v>13616</v>
      </c>
      <c r="H14597" s="333">
        <v>16476</v>
      </c>
    </row>
    <row r="14598" spans="1:8">
      <c r="A14598" s="317">
        <v>2610995815</v>
      </c>
      <c r="B14598" s="330" t="s">
        <v>58951</v>
      </c>
      <c r="C14598" s="330" t="s">
        <v>30588</v>
      </c>
      <c r="D14598" s="330" t="s">
        <v>30589</v>
      </c>
      <c r="E14598" s="330" t="s">
        <v>4819</v>
      </c>
      <c r="F14598" s="331">
        <v>0.21</v>
      </c>
      <c r="G14598" s="332">
        <v>22885</v>
      </c>
      <c r="H14598" s="333">
        <v>27691</v>
      </c>
    </row>
    <row r="14599" spans="1:8">
      <c r="A14599" s="317">
        <v>2610995857</v>
      </c>
      <c r="B14599" s="330" t="s">
        <v>58952</v>
      </c>
      <c r="C14599" s="330" t="s">
        <v>30590</v>
      </c>
      <c r="D14599" s="330" t="s">
        <v>30591</v>
      </c>
      <c r="E14599" s="330" t="s">
        <v>4634</v>
      </c>
      <c r="F14599" s="331">
        <v>0.21</v>
      </c>
      <c r="G14599" s="332">
        <v>10825</v>
      </c>
      <c r="H14599" s="333">
        <v>13099</v>
      </c>
    </row>
    <row r="14600" spans="1:8">
      <c r="A14600" s="317">
        <v>2610996054</v>
      </c>
      <c r="B14600" s="330" t="s">
        <v>58953</v>
      </c>
      <c r="C14600" s="330" t="s">
        <v>30592</v>
      </c>
      <c r="D14600" s="330" t="s">
        <v>6914</v>
      </c>
      <c r="E14600" s="330" t="s">
        <v>37248</v>
      </c>
      <c r="F14600" s="331">
        <v>0.21</v>
      </c>
      <c r="G14600" s="332">
        <v>205</v>
      </c>
      <c r="H14600" s="333">
        <v>249</v>
      </c>
    </row>
    <row r="14601" spans="1:8">
      <c r="A14601" s="317">
        <v>2610996079</v>
      </c>
      <c r="B14601" s="330" t="s">
        <v>58954</v>
      </c>
      <c r="C14601" s="330" t="s">
        <v>30593</v>
      </c>
      <c r="D14601" s="330" t="s">
        <v>30594</v>
      </c>
      <c r="E14601" s="330" t="s">
        <v>4634</v>
      </c>
      <c r="F14601" s="331">
        <v>0.21</v>
      </c>
      <c r="G14601" s="332">
        <v>39131</v>
      </c>
      <c r="H14601" s="333">
        <v>47349</v>
      </c>
    </row>
    <row r="14602" spans="1:8">
      <c r="A14602" s="317">
        <v>2610996083</v>
      </c>
      <c r="B14602" s="330" t="s">
        <v>58955</v>
      </c>
      <c r="C14602" s="330" t="s">
        <v>30595</v>
      </c>
      <c r="D14602" s="330" t="s">
        <v>30596</v>
      </c>
      <c r="E14602" s="330" t="s">
        <v>4634</v>
      </c>
      <c r="F14602" s="331">
        <v>0.21</v>
      </c>
      <c r="G14602" s="332">
        <v>3283</v>
      </c>
      <c r="H14602" s="333">
        <v>3973</v>
      </c>
    </row>
    <row r="14603" spans="1:8">
      <c r="A14603" s="317">
        <v>2610996101</v>
      </c>
      <c r="B14603" s="330" t="s">
        <v>58956</v>
      </c>
      <c r="C14603" s="330" t="s">
        <v>30597</v>
      </c>
      <c r="D14603" s="330" t="s">
        <v>30598</v>
      </c>
      <c r="E14603" s="330" t="s">
        <v>4634</v>
      </c>
      <c r="F14603" s="331">
        <v>0.21</v>
      </c>
      <c r="G14603" s="332">
        <v>490</v>
      </c>
      <c r="H14603" s="333">
        <v>593</v>
      </c>
    </row>
    <row r="14604" spans="1:8">
      <c r="A14604" s="317">
        <v>2610996102</v>
      </c>
      <c r="B14604" s="330" t="s">
        <v>58957</v>
      </c>
      <c r="C14604" s="330" t="s">
        <v>30599</v>
      </c>
      <c r="D14604" s="330" t="s">
        <v>30600</v>
      </c>
      <c r="E14604" s="330" t="s">
        <v>4634</v>
      </c>
      <c r="F14604" s="331">
        <v>0.21</v>
      </c>
      <c r="G14604" s="332">
        <v>1030</v>
      </c>
      <c r="H14604" s="333">
        <v>1247</v>
      </c>
    </row>
    <row r="14605" spans="1:8">
      <c r="A14605" s="317">
        <v>2610996106</v>
      </c>
      <c r="B14605" s="330" t="s">
        <v>58958</v>
      </c>
      <c r="C14605" s="330" t="s">
        <v>30601</v>
      </c>
      <c r="D14605" s="330" t="s">
        <v>30602</v>
      </c>
      <c r="E14605" s="330" t="s">
        <v>4634</v>
      </c>
      <c r="F14605" s="331">
        <v>0.21</v>
      </c>
      <c r="G14605" s="332">
        <v>3966</v>
      </c>
      <c r="H14605" s="333">
        <v>4799</v>
      </c>
    </row>
    <row r="14606" spans="1:8">
      <c r="A14606" s="317">
        <v>2610996107</v>
      </c>
      <c r="B14606" s="330" t="s">
        <v>58959</v>
      </c>
      <c r="C14606" s="330" t="s">
        <v>30603</v>
      </c>
      <c r="D14606" s="330" t="s">
        <v>30604</v>
      </c>
      <c r="E14606" s="330" t="s">
        <v>4634</v>
      </c>
      <c r="F14606" s="331">
        <v>0.21</v>
      </c>
      <c r="G14606" s="332">
        <v>3966</v>
      </c>
      <c r="H14606" s="333">
        <v>4799</v>
      </c>
    </row>
    <row r="14607" spans="1:8">
      <c r="A14607" s="317">
        <v>2610996111</v>
      </c>
      <c r="B14607" s="330" t="s">
        <v>58960</v>
      </c>
      <c r="C14607" s="330" t="s">
        <v>30605</v>
      </c>
      <c r="D14607" s="330" t="s">
        <v>30606</v>
      </c>
      <c r="E14607" s="330" t="s">
        <v>4634</v>
      </c>
      <c r="F14607" s="331">
        <v>0.21</v>
      </c>
      <c r="G14607" s="332">
        <v>4497</v>
      </c>
      <c r="H14607" s="333">
        <v>5442</v>
      </c>
    </row>
    <row r="14608" spans="1:8">
      <c r="A14608" s="317">
        <v>2610996118</v>
      </c>
      <c r="B14608" s="330" t="s">
        <v>58961</v>
      </c>
      <c r="C14608" s="330" t="s">
        <v>30607</v>
      </c>
      <c r="D14608" s="330" t="s">
        <v>30608</v>
      </c>
      <c r="E14608" s="330" t="s">
        <v>4634</v>
      </c>
      <c r="F14608" s="331">
        <v>0.21</v>
      </c>
      <c r="G14608" s="332">
        <v>1798</v>
      </c>
      <c r="H14608" s="333">
        <v>2176</v>
      </c>
    </row>
    <row r="14609" spans="1:8">
      <c r="A14609" s="317">
        <v>2610996119</v>
      </c>
      <c r="B14609" s="330" t="s">
        <v>58962</v>
      </c>
      <c r="C14609" s="330" t="s">
        <v>30609</v>
      </c>
      <c r="D14609" s="330" t="s">
        <v>30610</v>
      </c>
      <c r="E14609" s="330" t="s">
        <v>4634</v>
      </c>
      <c r="F14609" s="331">
        <v>0.21</v>
      </c>
      <c r="G14609" s="332">
        <v>1030</v>
      </c>
      <c r="H14609" s="333">
        <v>1247</v>
      </c>
    </row>
    <row r="14610" spans="1:8">
      <c r="A14610" s="317">
        <v>2610996120</v>
      </c>
      <c r="B14610" s="330" t="s">
        <v>58963</v>
      </c>
      <c r="C14610" s="330" t="s">
        <v>30611</v>
      </c>
      <c r="D14610" s="330" t="s">
        <v>30612</v>
      </c>
      <c r="E14610" s="330" t="s">
        <v>4634</v>
      </c>
      <c r="F14610" s="331">
        <v>0.21</v>
      </c>
      <c r="G14610" s="332">
        <v>678</v>
      </c>
      <c r="H14610" s="333">
        <v>821</v>
      </c>
    </row>
    <row r="14611" spans="1:8">
      <c r="A14611" s="317">
        <v>2610996125</v>
      </c>
      <c r="B14611" s="330" t="s">
        <v>58964</v>
      </c>
      <c r="C14611" s="330" t="s">
        <v>30613</v>
      </c>
      <c r="D14611" s="330" t="s">
        <v>30614</v>
      </c>
      <c r="E14611" s="330" t="s">
        <v>4819</v>
      </c>
      <c r="F14611" s="331">
        <v>0.21</v>
      </c>
      <c r="G14611" s="332">
        <v>10683</v>
      </c>
      <c r="H14611" s="333">
        <v>12927</v>
      </c>
    </row>
    <row r="14612" spans="1:8">
      <c r="A14612" s="317">
        <v>2610996128</v>
      </c>
      <c r="B14612" s="330" t="s">
        <v>58965</v>
      </c>
      <c r="C14612" s="330" t="s">
        <v>30615</v>
      </c>
      <c r="D14612" s="330" t="s">
        <v>30616</v>
      </c>
      <c r="E14612" s="330" t="s">
        <v>4819</v>
      </c>
      <c r="F14612" s="331">
        <v>0.21</v>
      </c>
      <c r="G14612" s="332">
        <v>3595</v>
      </c>
      <c r="H14612" s="333">
        <v>4350</v>
      </c>
    </row>
    <row r="14613" spans="1:8">
      <c r="A14613" s="317">
        <v>2610996135</v>
      </c>
      <c r="B14613" s="330" t="s">
        <v>58966</v>
      </c>
      <c r="C14613" s="330" t="s">
        <v>30617</v>
      </c>
      <c r="D14613" s="330" t="s">
        <v>30618</v>
      </c>
      <c r="E14613" s="330" t="s">
        <v>4819</v>
      </c>
      <c r="F14613" s="331">
        <v>0.21</v>
      </c>
      <c r="G14613" s="332">
        <v>2380</v>
      </c>
      <c r="H14613" s="333">
        <v>2880</v>
      </c>
    </row>
    <row r="14614" spans="1:8">
      <c r="A14614" s="317">
        <v>2610996137</v>
      </c>
      <c r="B14614" s="330" t="s">
        <v>58967</v>
      </c>
      <c r="C14614" s="330" t="s">
        <v>30619</v>
      </c>
      <c r="D14614" s="330" t="s">
        <v>30620</v>
      </c>
      <c r="E14614" s="330" t="s">
        <v>4634</v>
      </c>
      <c r="F14614" s="331">
        <v>0.21</v>
      </c>
      <c r="G14614" s="332">
        <v>791</v>
      </c>
      <c r="H14614" s="333">
        <v>958</v>
      </c>
    </row>
    <row r="14615" spans="1:8">
      <c r="A14615" s="317">
        <v>2610996138</v>
      </c>
      <c r="B14615" s="330" t="s">
        <v>58968</v>
      </c>
      <c r="C14615" s="330" t="s">
        <v>30621</v>
      </c>
      <c r="D14615" s="330" t="s">
        <v>30622</v>
      </c>
      <c r="E14615" s="330" t="s">
        <v>4634</v>
      </c>
      <c r="F14615" s="331">
        <v>0.21</v>
      </c>
      <c r="G14615" s="332">
        <v>432</v>
      </c>
      <c r="H14615" s="333">
        <v>523</v>
      </c>
    </row>
    <row r="14616" spans="1:8">
      <c r="A14616" s="317">
        <v>2610996139</v>
      </c>
      <c r="B14616" s="330" t="s">
        <v>58969</v>
      </c>
      <c r="C14616" s="330" t="s">
        <v>30623</v>
      </c>
      <c r="D14616" s="330" t="s">
        <v>30624</v>
      </c>
      <c r="E14616" s="330" t="s">
        <v>4634</v>
      </c>
      <c r="F14616" s="331">
        <v>0.21</v>
      </c>
      <c r="G14616" s="332">
        <v>678</v>
      </c>
      <c r="H14616" s="333">
        <v>821</v>
      </c>
    </row>
    <row r="14617" spans="1:8">
      <c r="A14617" s="317">
        <v>2610996142</v>
      </c>
      <c r="B14617" s="330" t="s">
        <v>58970</v>
      </c>
      <c r="C14617" s="330" t="s">
        <v>30625</v>
      </c>
      <c r="D14617" s="330" t="s">
        <v>30626</v>
      </c>
      <c r="E14617" s="330" t="s">
        <v>4634</v>
      </c>
      <c r="F14617" s="331">
        <v>0.21</v>
      </c>
      <c r="G14617" s="332">
        <v>274</v>
      </c>
      <c r="H14617" s="333">
        <v>332</v>
      </c>
    </row>
    <row r="14618" spans="1:8">
      <c r="A14618" s="317">
        <v>2610996143</v>
      </c>
      <c r="B14618" s="330" t="s">
        <v>58971</v>
      </c>
      <c r="C14618" s="330" t="s">
        <v>30627</v>
      </c>
      <c r="D14618" s="330" t="s">
        <v>7653</v>
      </c>
      <c r="E14618" s="330" t="s">
        <v>4634</v>
      </c>
      <c r="F14618" s="331">
        <v>0.21</v>
      </c>
      <c r="G14618" s="332">
        <v>432</v>
      </c>
      <c r="H14618" s="333">
        <v>523</v>
      </c>
    </row>
    <row r="14619" spans="1:8">
      <c r="A14619" s="317">
        <v>2610996147</v>
      </c>
      <c r="B14619" s="330" t="s">
        <v>58972</v>
      </c>
      <c r="C14619" s="330" t="s">
        <v>30628</v>
      </c>
      <c r="D14619" s="330" t="s">
        <v>27434</v>
      </c>
      <c r="E14619" s="330" t="s">
        <v>4634</v>
      </c>
      <c r="F14619" s="331">
        <v>0.21</v>
      </c>
      <c r="G14619" s="332">
        <v>28111</v>
      </c>
      <c r="H14619" s="333">
        <v>34015</v>
      </c>
    </row>
    <row r="14620" spans="1:8">
      <c r="A14620" s="317">
        <v>2610996148</v>
      </c>
      <c r="B14620" s="330" t="s">
        <v>58973</v>
      </c>
      <c r="C14620" s="330" t="s">
        <v>30629</v>
      </c>
      <c r="D14620" s="330" t="s">
        <v>30630</v>
      </c>
      <c r="E14620" s="330" t="s">
        <v>4634</v>
      </c>
      <c r="F14620" s="331">
        <v>0.21</v>
      </c>
      <c r="G14620" s="332">
        <v>18379</v>
      </c>
      <c r="H14620" s="333">
        <v>22239</v>
      </c>
    </row>
    <row r="14621" spans="1:8">
      <c r="A14621" s="317">
        <v>2610996149</v>
      </c>
      <c r="B14621" s="330" t="s">
        <v>58974</v>
      </c>
      <c r="C14621" s="330" t="s">
        <v>30631</v>
      </c>
      <c r="D14621" s="330" t="s">
        <v>30632</v>
      </c>
      <c r="E14621" s="330" t="s">
        <v>4634</v>
      </c>
      <c r="F14621" s="331">
        <v>0.21</v>
      </c>
      <c r="G14621" s="332">
        <v>5157</v>
      </c>
      <c r="H14621" s="333">
        <v>6240</v>
      </c>
    </row>
    <row r="14622" spans="1:8">
      <c r="A14622" s="317">
        <v>2610996247</v>
      </c>
      <c r="B14622" s="330" t="s">
        <v>58975</v>
      </c>
      <c r="C14622" s="330" t="s">
        <v>30633</v>
      </c>
      <c r="D14622" s="330" t="s">
        <v>30634</v>
      </c>
      <c r="E14622" s="330" t="s">
        <v>4634</v>
      </c>
      <c r="F14622" s="331">
        <v>0.21</v>
      </c>
      <c r="G14622" s="332">
        <v>17821</v>
      </c>
      <c r="H14622" s="333">
        <v>21564</v>
      </c>
    </row>
    <row r="14623" spans="1:8">
      <c r="A14623" s="317">
        <v>2610996647</v>
      </c>
      <c r="B14623" s="330" t="s">
        <v>58976</v>
      </c>
      <c r="C14623" s="330" t="s">
        <v>30635</v>
      </c>
      <c r="D14623" s="330" t="s">
        <v>30636</v>
      </c>
      <c r="E14623" s="330" t="s">
        <v>4634</v>
      </c>
      <c r="F14623" s="331">
        <v>0.21</v>
      </c>
      <c r="G14623" s="332">
        <v>2270</v>
      </c>
      <c r="H14623" s="333">
        <v>2747</v>
      </c>
    </row>
    <row r="14624" spans="1:8">
      <c r="A14624" s="317">
        <v>2610996689</v>
      </c>
      <c r="B14624" s="330" t="s">
        <v>58977</v>
      </c>
      <c r="C14624" s="330" t="s">
        <v>30637</v>
      </c>
      <c r="D14624" s="330" t="s">
        <v>30638</v>
      </c>
      <c r="E14624" s="330" t="s">
        <v>4634</v>
      </c>
      <c r="F14624" s="331">
        <v>0.21</v>
      </c>
      <c r="G14624" s="332">
        <v>403</v>
      </c>
      <c r="H14624" s="333">
        <v>488</v>
      </c>
    </row>
    <row r="14625" spans="1:8">
      <c r="A14625" s="317">
        <v>2610996853</v>
      </c>
      <c r="B14625" s="330" t="s">
        <v>58978</v>
      </c>
      <c r="C14625" s="330" t="s">
        <v>30639</v>
      </c>
      <c r="D14625" s="330" t="s">
        <v>11702</v>
      </c>
      <c r="E14625" s="330" t="s">
        <v>4634</v>
      </c>
      <c r="F14625" s="331">
        <v>0.21</v>
      </c>
      <c r="G14625" s="332">
        <v>14934</v>
      </c>
      <c r="H14625" s="333">
        <v>18071</v>
      </c>
    </row>
    <row r="14626" spans="1:8">
      <c r="A14626" s="317">
        <v>2610996854</v>
      </c>
      <c r="B14626" s="330" t="s">
        <v>58979</v>
      </c>
      <c r="C14626" s="330" t="s">
        <v>30640</v>
      </c>
      <c r="D14626" s="330" t="s">
        <v>11702</v>
      </c>
      <c r="E14626" s="330" t="s">
        <v>4634</v>
      </c>
      <c r="F14626" s="331">
        <v>0.21</v>
      </c>
      <c r="G14626" s="332">
        <v>13431</v>
      </c>
      <c r="H14626" s="333">
        <v>16252</v>
      </c>
    </row>
    <row r="14627" spans="1:8">
      <c r="A14627" s="317">
        <v>2610996855</v>
      </c>
      <c r="B14627" s="330" t="s">
        <v>58980</v>
      </c>
      <c r="C14627" s="330" t="s">
        <v>30641</v>
      </c>
      <c r="D14627" s="330" t="s">
        <v>30642</v>
      </c>
      <c r="E14627" s="330" t="s">
        <v>4634</v>
      </c>
      <c r="F14627" s="331">
        <v>0.21</v>
      </c>
      <c r="G14627" s="332">
        <v>1664</v>
      </c>
      <c r="H14627" s="333">
        <v>2014</v>
      </c>
    </row>
    <row r="14628" spans="1:8">
      <c r="A14628" s="317">
        <v>2610996856</v>
      </c>
      <c r="B14628" s="330" t="s">
        <v>58981</v>
      </c>
      <c r="C14628" s="330" t="s">
        <v>30643</v>
      </c>
      <c r="D14628" s="330" t="s">
        <v>30642</v>
      </c>
      <c r="E14628" s="330" t="s">
        <v>4634</v>
      </c>
      <c r="F14628" s="331">
        <v>0.21</v>
      </c>
      <c r="G14628" s="332">
        <v>1150</v>
      </c>
      <c r="H14628" s="333">
        <v>1392</v>
      </c>
    </row>
    <row r="14629" spans="1:8">
      <c r="A14629" s="317">
        <v>2610996861</v>
      </c>
      <c r="B14629" s="330" t="s">
        <v>58982</v>
      </c>
      <c r="C14629" s="330" t="s">
        <v>30644</v>
      </c>
      <c r="D14629" s="330" t="s">
        <v>30645</v>
      </c>
      <c r="E14629" s="330" t="s">
        <v>4634</v>
      </c>
      <c r="F14629" s="331">
        <v>0.21</v>
      </c>
      <c r="G14629" s="332">
        <v>43807</v>
      </c>
      <c r="H14629" s="333">
        <v>53007</v>
      </c>
    </row>
    <row r="14630" spans="1:8">
      <c r="A14630" s="317">
        <v>2610996862</v>
      </c>
      <c r="B14630" s="330" t="s">
        <v>58983</v>
      </c>
      <c r="C14630" s="330" t="s">
        <v>30646</v>
      </c>
      <c r="D14630" s="330" t="s">
        <v>30647</v>
      </c>
      <c r="E14630" s="330" t="s">
        <v>4634</v>
      </c>
      <c r="F14630" s="331">
        <v>0.21</v>
      </c>
      <c r="G14630" s="332">
        <v>1641</v>
      </c>
      <c r="H14630" s="333">
        <v>1986</v>
      </c>
    </row>
    <row r="14631" spans="1:8">
      <c r="A14631" s="317">
        <v>2610996863</v>
      </c>
      <c r="B14631" s="330" t="s">
        <v>58984</v>
      </c>
      <c r="C14631" s="330" t="s">
        <v>30648</v>
      </c>
      <c r="D14631" s="330" t="s">
        <v>30649</v>
      </c>
      <c r="E14631" s="330" t="s">
        <v>4634</v>
      </c>
      <c r="F14631" s="331">
        <v>0.21</v>
      </c>
      <c r="G14631" s="332">
        <v>19574</v>
      </c>
      <c r="H14631" s="333">
        <v>23685</v>
      </c>
    </row>
    <row r="14632" spans="1:8">
      <c r="A14632" s="317">
        <v>2610996864</v>
      </c>
      <c r="B14632" s="330" t="s">
        <v>58985</v>
      </c>
      <c r="C14632" s="330" t="s">
        <v>30650</v>
      </c>
      <c r="D14632" s="330" t="s">
        <v>30651</v>
      </c>
      <c r="E14632" s="330" t="s">
        <v>37248</v>
      </c>
      <c r="F14632" s="331">
        <v>0.21</v>
      </c>
      <c r="G14632" s="332">
        <v>63690</v>
      </c>
      <c r="H14632" s="333">
        <v>77065</v>
      </c>
    </row>
    <row r="14633" spans="1:8">
      <c r="A14633" s="317">
        <v>2610996865</v>
      </c>
      <c r="B14633" s="330" t="s">
        <v>58986</v>
      </c>
      <c r="C14633" s="330" t="s">
        <v>30652</v>
      </c>
      <c r="D14633" s="330" t="s">
        <v>30653</v>
      </c>
      <c r="E14633" s="330" t="s">
        <v>4819</v>
      </c>
      <c r="F14633" s="331">
        <v>0.21</v>
      </c>
      <c r="G14633" s="332">
        <v>6154</v>
      </c>
      <c r="H14633" s="333">
        <v>7447</v>
      </c>
    </row>
    <row r="14634" spans="1:8">
      <c r="A14634" s="317">
        <v>2610996869</v>
      </c>
      <c r="B14634" s="330" t="s">
        <v>58987</v>
      </c>
      <c r="C14634" s="330" t="s">
        <v>30654</v>
      </c>
      <c r="D14634" s="330" t="s">
        <v>30655</v>
      </c>
      <c r="E14634" s="330" t="s">
        <v>4819</v>
      </c>
      <c r="F14634" s="331">
        <v>0.21</v>
      </c>
      <c r="G14634" s="332">
        <v>32118</v>
      </c>
      <c r="H14634" s="333">
        <v>38863</v>
      </c>
    </row>
    <row r="14635" spans="1:8">
      <c r="A14635" s="317">
        <v>2610996871</v>
      </c>
      <c r="B14635" s="330" t="s">
        <v>58988</v>
      </c>
      <c r="C14635" s="330" t="s">
        <v>30656</v>
      </c>
      <c r="D14635" s="330" t="s">
        <v>30657</v>
      </c>
      <c r="E14635" s="330" t="s">
        <v>4634</v>
      </c>
      <c r="F14635" s="331">
        <v>0.21</v>
      </c>
      <c r="G14635" s="332">
        <v>13331</v>
      </c>
      <c r="H14635" s="333">
        <v>16131</v>
      </c>
    </row>
    <row r="14636" spans="1:8">
      <c r="A14636" s="317">
        <v>2610996874</v>
      </c>
      <c r="B14636" s="330" t="s">
        <v>58989</v>
      </c>
      <c r="C14636" s="330" t="s">
        <v>30658</v>
      </c>
      <c r="D14636" s="330" t="s">
        <v>30659</v>
      </c>
      <c r="E14636" s="330" t="s">
        <v>37248</v>
      </c>
      <c r="F14636" s="331">
        <v>0.21</v>
      </c>
      <c r="G14636" s="332">
        <v>15073</v>
      </c>
      <c r="H14636" s="333">
        <v>18239</v>
      </c>
    </row>
    <row r="14637" spans="1:8">
      <c r="A14637" s="317">
        <v>2610996875</v>
      </c>
      <c r="B14637" s="330" t="s">
        <v>58990</v>
      </c>
      <c r="C14637" s="330" t="s">
        <v>30660</v>
      </c>
      <c r="D14637" s="330" t="s">
        <v>30661</v>
      </c>
      <c r="E14637" s="330" t="s">
        <v>37248</v>
      </c>
      <c r="F14637" s="331">
        <v>0.21</v>
      </c>
      <c r="G14637" s="332">
        <v>2435</v>
      </c>
      <c r="H14637" s="333">
        <v>2947</v>
      </c>
    </row>
    <row r="14638" spans="1:8">
      <c r="A14638" s="317">
        <v>2610996876</v>
      </c>
      <c r="B14638" s="330" t="s">
        <v>58991</v>
      </c>
      <c r="C14638" s="330" t="s">
        <v>30662</v>
      </c>
      <c r="D14638" s="330" t="s">
        <v>30663</v>
      </c>
      <c r="E14638" s="330" t="s">
        <v>37248</v>
      </c>
      <c r="F14638" s="331">
        <v>0.21</v>
      </c>
      <c r="G14638" s="332">
        <v>2982</v>
      </c>
      <c r="H14638" s="333">
        <v>3609</v>
      </c>
    </row>
    <row r="14639" spans="1:8">
      <c r="A14639" s="317">
        <v>2610996877</v>
      </c>
      <c r="B14639" s="330" t="s">
        <v>58992</v>
      </c>
      <c r="C14639" s="330" t="s">
        <v>30664</v>
      </c>
      <c r="D14639" s="330" t="s">
        <v>30665</v>
      </c>
      <c r="E14639" s="330" t="s">
        <v>4634</v>
      </c>
      <c r="F14639" s="331">
        <v>0.21</v>
      </c>
      <c r="G14639" s="332">
        <v>5157</v>
      </c>
      <c r="H14639" s="333">
        <v>6240</v>
      </c>
    </row>
    <row r="14640" spans="1:8">
      <c r="A14640" s="317">
        <v>2610996878</v>
      </c>
      <c r="B14640" s="330" t="s">
        <v>58993</v>
      </c>
      <c r="C14640" s="330" t="s">
        <v>30666</v>
      </c>
      <c r="D14640" s="330" t="s">
        <v>12204</v>
      </c>
      <c r="E14640" s="330" t="s">
        <v>4634</v>
      </c>
      <c r="F14640" s="331">
        <v>0.21</v>
      </c>
      <c r="G14640" s="332">
        <v>1371</v>
      </c>
      <c r="H14640" s="333">
        <v>1659</v>
      </c>
    </row>
    <row r="14641" spans="1:8">
      <c r="A14641" s="317">
        <v>2610996879</v>
      </c>
      <c r="B14641" s="330" t="s">
        <v>58994</v>
      </c>
      <c r="C14641" s="330" t="s">
        <v>30667</v>
      </c>
      <c r="D14641" s="330" t="s">
        <v>11700</v>
      </c>
      <c r="E14641" s="330" t="s">
        <v>4634</v>
      </c>
      <c r="F14641" s="331">
        <v>0.21</v>
      </c>
      <c r="G14641" s="332">
        <v>678</v>
      </c>
      <c r="H14641" s="333">
        <v>821</v>
      </c>
    </row>
    <row r="14642" spans="1:8">
      <c r="A14642" s="317">
        <v>2610996880</v>
      </c>
      <c r="B14642" s="330" t="s">
        <v>58995</v>
      </c>
      <c r="C14642" s="330" t="s">
        <v>30668</v>
      </c>
      <c r="D14642" s="330" t="s">
        <v>30669</v>
      </c>
      <c r="E14642" s="330" t="s">
        <v>4634</v>
      </c>
      <c r="F14642" s="331">
        <v>0.21</v>
      </c>
      <c r="G14642" s="332">
        <v>1008</v>
      </c>
      <c r="H14642" s="333">
        <v>1220</v>
      </c>
    </row>
    <row r="14643" spans="1:8">
      <c r="A14643" s="317">
        <v>2610996884</v>
      </c>
      <c r="B14643" s="330" t="s">
        <v>58996</v>
      </c>
      <c r="C14643" s="330" t="s">
        <v>30670</v>
      </c>
      <c r="D14643" s="330" t="s">
        <v>11724</v>
      </c>
      <c r="E14643" s="330" t="s">
        <v>4634</v>
      </c>
      <c r="F14643" s="331">
        <v>0.21</v>
      </c>
      <c r="G14643" s="332">
        <v>5371</v>
      </c>
      <c r="H14643" s="333">
        <v>6499</v>
      </c>
    </row>
    <row r="14644" spans="1:8">
      <c r="A14644" s="317">
        <v>2610996885</v>
      </c>
      <c r="B14644" s="330" t="s">
        <v>58997</v>
      </c>
      <c r="C14644" s="330" t="s">
        <v>30671</v>
      </c>
      <c r="D14644" s="330" t="s">
        <v>30672</v>
      </c>
      <c r="E14644" s="330" t="s">
        <v>4634</v>
      </c>
      <c r="F14644" s="331">
        <v>0.21</v>
      </c>
      <c r="G14644" s="332">
        <v>1170</v>
      </c>
      <c r="H14644" s="333">
        <v>1416</v>
      </c>
    </row>
    <row r="14645" spans="1:8">
      <c r="A14645" s="317">
        <v>2610996886</v>
      </c>
      <c r="B14645" s="330" t="s">
        <v>58998</v>
      </c>
      <c r="C14645" s="330" t="s">
        <v>30673</v>
      </c>
      <c r="D14645" s="330" t="s">
        <v>30674</v>
      </c>
      <c r="E14645" s="330" t="s">
        <v>4634</v>
      </c>
      <c r="F14645" s="331">
        <v>0.21</v>
      </c>
      <c r="G14645" s="332">
        <v>455</v>
      </c>
      <c r="H14645" s="333">
        <v>551</v>
      </c>
    </row>
    <row r="14646" spans="1:8">
      <c r="A14646" s="317">
        <v>2610996888</v>
      </c>
      <c r="B14646" s="330" t="s">
        <v>58999</v>
      </c>
      <c r="C14646" s="330" t="s">
        <v>30675</v>
      </c>
      <c r="D14646" s="330" t="s">
        <v>30676</v>
      </c>
      <c r="E14646" s="330" t="s">
        <v>4634</v>
      </c>
      <c r="F14646" s="331">
        <v>0.21</v>
      </c>
      <c r="G14646" s="332">
        <v>455</v>
      </c>
      <c r="H14646" s="333">
        <v>551</v>
      </c>
    </row>
    <row r="14647" spans="1:8">
      <c r="A14647" s="317">
        <v>2610996891</v>
      </c>
      <c r="B14647" s="330" t="s">
        <v>59000</v>
      </c>
      <c r="C14647" s="330" t="s">
        <v>30677</v>
      </c>
      <c r="D14647" s="330" t="s">
        <v>30678</v>
      </c>
      <c r="E14647" s="330" t="s">
        <v>4634</v>
      </c>
      <c r="F14647" s="331">
        <v>0.21</v>
      </c>
      <c r="G14647" s="332">
        <v>1641</v>
      </c>
      <c r="H14647" s="333">
        <v>1986</v>
      </c>
    </row>
    <row r="14648" spans="1:8">
      <c r="A14648" s="317">
        <v>2610996894</v>
      </c>
      <c r="B14648" s="330" t="s">
        <v>59001</v>
      </c>
      <c r="C14648" s="330" t="s">
        <v>30679</v>
      </c>
      <c r="D14648" s="330" t="s">
        <v>30680</v>
      </c>
      <c r="E14648" s="330" t="s">
        <v>4634</v>
      </c>
      <c r="F14648" s="331">
        <v>0.21</v>
      </c>
      <c r="G14648" s="332">
        <v>1474</v>
      </c>
      <c r="H14648" s="333">
        <v>1784</v>
      </c>
    </row>
    <row r="14649" spans="1:8">
      <c r="A14649" s="317">
        <v>2610996895</v>
      </c>
      <c r="B14649" s="330" t="s">
        <v>59002</v>
      </c>
      <c r="C14649" s="330" t="s">
        <v>30681</v>
      </c>
      <c r="D14649" s="330" t="s">
        <v>30682</v>
      </c>
      <c r="E14649" s="330" t="s">
        <v>4634</v>
      </c>
      <c r="F14649" s="331">
        <v>0.21</v>
      </c>
      <c r="G14649" s="332">
        <v>2330</v>
      </c>
      <c r="H14649" s="333">
        <v>2820</v>
      </c>
    </row>
    <row r="14650" spans="1:8">
      <c r="A14650" s="317">
        <v>2610996896</v>
      </c>
      <c r="B14650" s="330" t="s">
        <v>59003</v>
      </c>
      <c r="C14650" s="330" t="s">
        <v>30683</v>
      </c>
      <c r="D14650" s="330" t="s">
        <v>30684</v>
      </c>
      <c r="E14650" s="330" t="s">
        <v>4819</v>
      </c>
      <c r="F14650" s="331">
        <v>0.21</v>
      </c>
      <c r="G14650" s="332">
        <v>7548</v>
      </c>
      <c r="H14650" s="333">
        <v>9134</v>
      </c>
    </row>
    <row r="14651" spans="1:8">
      <c r="A14651" s="317">
        <v>2610996897</v>
      </c>
      <c r="B14651" s="330" t="s">
        <v>59004</v>
      </c>
      <c r="C14651" s="330" t="s">
        <v>30685</v>
      </c>
      <c r="D14651" s="330" t="s">
        <v>30686</v>
      </c>
      <c r="E14651" s="330" t="s">
        <v>4634</v>
      </c>
      <c r="F14651" s="331">
        <v>0.21</v>
      </c>
      <c r="G14651" s="332">
        <v>2748</v>
      </c>
      <c r="H14651" s="333">
        <v>3326</v>
      </c>
    </row>
    <row r="14652" spans="1:8">
      <c r="A14652" s="317">
        <v>2610996898</v>
      </c>
      <c r="B14652" s="330" t="s">
        <v>59005</v>
      </c>
      <c r="C14652" s="330" t="s">
        <v>30687</v>
      </c>
      <c r="D14652" s="330" t="s">
        <v>30688</v>
      </c>
      <c r="E14652" s="330" t="s">
        <v>4634</v>
      </c>
      <c r="F14652" s="331">
        <v>0.21</v>
      </c>
      <c r="G14652" s="332">
        <v>5344</v>
      </c>
      <c r="H14652" s="333">
        <v>6467</v>
      </c>
    </row>
    <row r="14653" spans="1:8">
      <c r="A14653" s="317">
        <v>2610996911</v>
      </c>
      <c r="B14653" s="330" t="s">
        <v>59006</v>
      </c>
      <c r="C14653" s="330" t="s">
        <v>30689</v>
      </c>
      <c r="D14653" s="330" t="s">
        <v>30690</v>
      </c>
      <c r="E14653" s="330" t="s">
        <v>4634</v>
      </c>
      <c r="F14653" s="331">
        <v>0.21</v>
      </c>
      <c r="G14653" s="332">
        <v>673</v>
      </c>
      <c r="H14653" s="333">
        <v>815</v>
      </c>
    </row>
    <row r="14654" spans="1:8">
      <c r="A14654" s="317">
        <v>2610996912</v>
      </c>
      <c r="B14654" s="330" t="s">
        <v>59007</v>
      </c>
      <c r="C14654" s="330" t="s">
        <v>30691</v>
      </c>
      <c r="D14654" s="330" t="s">
        <v>30692</v>
      </c>
      <c r="E14654" s="330" t="s">
        <v>37248</v>
      </c>
      <c r="F14654" s="331">
        <v>0.21</v>
      </c>
      <c r="G14654" s="332">
        <v>1704</v>
      </c>
      <c r="H14654" s="333">
        <v>2062</v>
      </c>
    </row>
    <row r="14655" spans="1:8">
      <c r="A14655" s="317">
        <v>2610996913</v>
      </c>
      <c r="B14655" s="330" t="s">
        <v>59008</v>
      </c>
      <c r="C14655" s="330" t="s">
        <v>30693</v>
      </c>
      <c r="D14655" s="330" t="s">
        <v>30694</v>
      </c>
      <c r="E14655" s="330" t="s">
        <v>4634</v>
      </c>
      <c r="F14655" s="331">
        <v>0.21</v>
      </c>
      <c r="G14655" s="332">
        <v>1030</v>
      </c>
      <c r="H14655" s="333">
        <v>1247</v>
      </c>
    </row>
    <row r="14656" spans="1:8">
      <c r="A14656" s="317">
        <v>2610996915</v>
      </c>
      <c r="B14656" s="330" t="s">
        <v>59009</v>
      </c>
      <c r="C14656" s="330" t="s">
        <v>30695</v>
      </c>
      <c r="D14656" s="330" t="s">
        <v>30696</v>
      </c>
      <c r="E14656" s="330" t="s">
        <v>4634</v>
      </c>
      <c r="F14656" s="331">
        <v>0.21</v>
      </c>
      <c r="G14656" s="332">
        <v>2491</v>
      </c>
      <c r="H14656" s="333">
        <v>3015</v>
      </c>
    </row>
    <row r="14657" spans="1:8">
      <c r="A14657" s="317">
        <v>2610996917</v>
      </c>
      <c r="B14657" s="330" t="s">
        <v>59010</v>
      </c>
      <c r="C14657" s="330" t="s">
        <v>30697</v>
      </c>
      <c r="D14657" s="330" t="s">
        <v>30698</v>
      </c>
      <c r="E14657" s="330" t="s">
        <v>4634</v>
      </c>
      <c r="F14657" s="331">
        <v>0.21</v>
      </c>
      <c r="G14657" s="332">
        <v>372</v>
      </c>
      <c r="H14657" s="333">
        <v>451</v>
      </c>
    </row>
    <row r="14658" spans="1:8">
      <c r="A14658" s="317">
        <v>2610996918</v>
      </c>
      <c r="B14658" s="330" t="s">
        <v>59011</v>
      </c>
      <c r="C14658" s="330" t="s">
        <v>30699</v>
      </c>
      <c r="D14658" s="330" t="s">
        <v>12350</v>
      </c>
      <c r="E14658" s="330" t="s">
        <v>4634</v>
      </c>
      <c r="F14658" s="331">
        <v>0.21</v>
      </c>
      <c r="G14658" s="332">
        <v>584</v>
      </c>
      <c r="H14658" s="333">
        <v>707</v>
      </c>
    </row>
    <row r="14659" spans="1:8">
      <c r="A14659" s="317">
        <v>2610996920</v>
      </c>
      <c r="B14659" s="330" t="s">
        <v>59012</v>
      </c>
      <c r="C14659" s="330" t="s">
        <v>30700</v>
      </c>
      <c r="D14659" s="330" t="s">
        <v>30701</v>
      </c>
      <c r="E14659" s="330" t="s">
        <v>37248</v>
      </c>
      <c r="F14659" s="331">
        <v>0.21</v>
      </c>
      <c r="G14659" s="332">
        <v>1753</v>
      </c>
      <c r="H14659" s="333">
        <v>2122</v>
      </c>
    </row>
    <row r="14660" spans="1:8">
      <c r="A14660" s="317">
        <v>2610996921</v>
      </c>
      <c r="B14660" s="330" t="s">
        <v>59013</v>
      </c>
      <c r="C14660" s="330" t="s">
        <v>30702</v>
      </c>
      <c r="D14660" s="330" t="s">
        <v>30703</v>
      </c>
      <c r="E14660" s="330" t="s">
        <v>4634</v>
      </c>
      <c r="F14660" s="331">
        <v>0.21</v>
      </c>
      <c r="G14660" s="332">
        <v>372</v>
      </c>
      <c r="H14660" s="333">
        <v>451</v>
      </c>
    </row>
    <row r="14661" spans="1:8">
      <c r="A14661" s="317">
        <v>2610996922</v>
      </c>
      <c r="B14661" s="330" t="s">
        <v>59014</v>
      </c>
      <c r="C14661" s="330" t="s">
        <v>30704</v>
      </c>
      <c r="D14661" s="330" t="s">
        <v>30705</v>
      </c>
      <c r="E14661" s="330" t="s">
        <v>4634</v>
      </c>
      <c r="F14661" s="331">
        <v>0.21</v>
      </c>
      <c r="G14661" s="332">
        <v>432</v>
      </c>
      <c r="H14661" s="333">
        <v>523</v>
      </c>
    </row>
    <row r="14662" spans="1:8">
      <c r="A14662" s="317">
        <v>2610996923</v>
      </c>
      <c r="B14662" s="330" t="s">
        <v>59015</v>
      </c>
      <c r="C14662" s="330" t="s">
        <v>30706</v>
      </c>
      <c r="D14662" s="330" t="s">
        <v>30653</v>
      </c>
      <c r="E14662" s="330" t="s">
        <v>4634</v>
      </c>
      <c r="F14662" s="331">
        <v>0.21</v>
      </c>
      <c r="G14662" s="332">
        <v>274</v>
      </c>
      <c r="H14662" s="333">
        <v>332</v>
      </c>
    </row>
    <row r="14663" spans="1:8">
      <c r="A14663" s="317">
        <v>2610996925</v>
      </c>
      <c r="B14663" s="330" t="s">
        <v>59016</v>
      </c>
      <c r="C14663" s="330" t="s">
        <v>30707</v>
      </c>
      <c r="D14663" s="330" t="s">
        <v>30708</v>
      </c>
      <c r="E14663" s="330" t="s">
        <v>4634</v>
      </c>
      <c r="F14663" s="331">
        <v>0.21</v>
      </c>
      <c r="G14663" s="332">
        <v>678</v>
      </c>
      <c r="H14663" s="333">
        <v>821</v>
      </c>
    </row>
    <row r="14664" spans="1:8">
      <c r="A14664" s="317">
        <v>2610996926</v>
      </c>
      <c r="B14664" s="330" t="s">
        <v>59017</v>
      </c>
      <c r="C14664" s="330" t="s">
        <v>30709</v>
      </c>
      <c r="D14664" s="330" t="s">
        <v>11694</v>
      </c>
      <c r="E14664" s="330" t="s">
        <v>4634</v>
      </c>
      <c r="F14664" s="331">
        <v>0.21</v>
      </c>
      <c r="G14664" s="332">
        <v>432</v>
      </c>
      <c r="H14664" s="333">
        <v>523</v>
      </c>
    </row>
    <row r="14665" spans="1:8">
      <c r="A14665" s="317">
        <v>2610996927</v>
      </c>
      <c r="B14665" s="330" t="s">
        <v>59018</v>
      </c>
      <c r="C14665" s="330" t="s">
        <v>30710</v>
      </c>
      <c r="D14665" s="330" t="s">
        <v>30711</v>
      </c>
      <c r="E14665" s="330" t="s">
        <v>4634</v>
      </c>
      <c r="F14665" s="331">
        <v>0.21</v>
      </c>
      <c r="G14665" s="332">
        <v>455</v>
      </c>
      <c r="H14665" s="333">
        <v>551</v>
      </c>
    </row>
    <row r="14666" spans="1:8">
      <c r="A14666" s="317">
        <v>2610996928</v>
      </c>
      <c r="B14666" s="330" t="s">
        <v>59019</v>
      </c>
      <c r="C14666" s="330" t="s">
        <v>30712</v>
      </c>
      <c r="D14666" s="330" t="s">
        <v>30713</v>
      </c>
      <c r="E14666" s="330" t="s">
        <v>4634</v>
      </c>
      <c r="F14666" s="331">
        <v>0.21</v>
      </c>
      <c r="G14666" s="332">
        <v>584</v>
      </c>
      <c r="H14666" s="333">
        <v>707</v>
      </c>
    </row>
    <row r="14667" spans="1:8">
      <c r="A14667" s="317">
        <v>2610996929</v>
      </c>
      <c r="B14667" s="330" t="s">
        <v>59020</v>
      </c>
      <c r="C14667" s="330" t="s">
        <v>30714</v>
      </c>
      <c r="D14667" s="330" t="s">
        <v>11694</v>
      </c>
      <c r="E14667" s="330" t="s">
        <v>4634</v>
      </c>
      <c r="F14667" s="331">
        <v>0.21</v>
      </c>
      <c r="G14667" s="332">
        <v>372</v>
      </c>
      <c r="H14667" s="333">
        <v>451</v>
      </c>
    </row>
    <row r="14668" spans="1:8">
      <c r="A14668" s="317">
        <v>2610996930</v>
      </c>
      <c r="B14668" s="330" t="s">
        <v>59021</v>
      </c>
      <c r="C14668" s="330" t="s">
        <v>30715</v>
      </c>
      <c r="D14668" s="330" t="s">
        <v>30716</v>
      </c>
      <c r="E14668" s="330" t="s">
        <v>4634</v>
      </c>
      <c r="F14668" s="331">
        <v>0.21</v>
      </c>
      <c r="G14668" s="332">
        <v>678</v>
      </c>
      <c r="H14668" s="333">
        <v>821</v>
      </c>
    </row>
    <row r="14669" spans="1:8">
      <c r="A14669" s="317">
        <v>2610996931</v>
      </c>
      <c r="B14669" s="330" t="s">
        <v>59022</v>
      </c>
      <c r="C14669" s="330" t="s">
        <v>30717</v>
      </c>
      <c r="D14669" s="330" t="s">
        <v>30716</v>
      </c>
      <c r="E14669" s="330" t="s">
        <v>4634</v>
      </c>
      <c r="F14669" s="331">
        <v>0.21</v>
      </c>
      <c r="G14669" s="332">
        <v>584</v>
      </c>
      <c r="H14669" s="333">
        <v>707</v>
      </c>
    </row>
    <row r="14670" spans="1:8">
      <c r="A14670" s="317">
        <v>2610996932</v>
      </c>
      <c r="B14670" s="330" t="s">
        <v>59023</v>
      </c>
      <c r="C14670" s="330" t="s">
        <v>30718</v>
      </c>
      <c r="D14670" s="330" t="s">
        <v>30719</v>
      </c>
      <c r="E14670" s="330" t="s">
        <v>37248</v>
      </c>
      <c r="F14670" s="331">
        <v>0.21</v>
      </c>
      <c r="G14670" s="332">
        <v>3607</v>
      </c>
      <c r="H14670" s="333">
        <v>4365</v>
      </c>
    </row>
    <row r="14671" spans="1:8">
      <c r="A14671" s="317">
        <v>2610996933</v>
      </c>
      <c r="B14671" s="330" t="s">
        <v>59024</v>
      </c>
      <c r="C14671" s="330" t="s">
        <v>30720</v>
      </c>
      <c r="D14671" s="330" t="s">
        <v>30721</v>
      </c>
      <c r="E14671" s="330" t="s">
        <v>4634</v>
      </c>
      <c r="F14671" s="331">
        <v>0.21</v>
      </c>
      <c r="G14671" s="332">
        <v>3673</v>
      </c>
      <c r="H14671" s="333">
        <v>4445</v>
      </c>
    </row>
    <row r="14672" spans="1:8">
      <c r="A14672" s="317">
        <v>2610996938</v>
      </c>
      <c r="B14672" s="330" t="s">
        <v>59025</v>
      </c>
      <c r="C14672" s="330" t="s">
        <v>30722</v>
      </c>
      <c r="D14672" s="330" t="s">
        <v>30723</v>
      </c>
      <c r="E14672" s="330" t="s">
        <v>4634</v>
      </c>
      <c r="F14672" s="331">
        <v>0.21</v>
      </c>
      <c r="G14672" s="332">
        <v>2059</v>
      </c>
      <c r="H14672" s="333">
        <v>2492</v>
      </c>
    </row>
    <row r="14673" spans="1:8">
      <c r="A14673" s="317">
        <v>2610996941</v>
      </c>
      <c r="B14673" s="330" t="s">
        <v>59026</v>
      </c>
      <c r="C14673" s="330" t="s">
        <v>30724</v>
      </c>
      <c r="D14673" s="330" t="s">
        <v>30711</v>
      </c>
      <c r="E14673" s="330" t="s">
        <v>4634</v>
      </c>
      <c r="F14673" s="331">
        <v>0.21</v>
      </c>
      <c r="G14673" s="332">
        <v>673</v>
      </c>
      <c r="H14673" s="333">
        <v>815</v>
      </c>
    </row>
    <row r="14674" spans="1:8">
      <c r="A14674" s="317">
        <v>2610996949</v>
      </c>
      <c r="B14674" s="330" t="s">
        <v>59027</v>
      </c>
      <c r="C14674" s="330" t="s">
        <v>30725</v>
      </c>
      <c r="D14674" s="330" t="s">
        <v>26827</v>
      </c>
      <c r="E14674" s="330" t="s">
        <v>37248</v>
      </c>
      <c r="F14674" s="331">
        <v>0.21</v>
      </c>
      <c r="G14674" s="332">
        <v>4566</v>
      </c>
      <c r="H14674" s="333">
        <v>5525</v>
      </c>
    </row>
    <row r="14675" spans="1:8">
      <c r="A14675" s="317">
        <v>2610997003</v>
      </c>
      <c r="B14675" s="330" t="s">
        <v>59028</v>
      </c>
      <c r="C14675" s="330" t="s">
        <v>30726</v>
      </c>
      <c r="D14675" s="330" t="s">
        <v>30727</v>
      </c>
      <c r="E14675" s="330" t="s">
        <v>4634</v>
      </c>
      <c r="F14675" s="331">
        <v>0.21</v>
      </c>
      <c r="G14675" s="332">
        <v>928</v>
      </c>
      <c r="H14675" s="333">
        <v>1123</v>
      </c>
    </row>
    <row r="14676" spans="1:8">
      <c r="A14676" s="317">
        <v>2610997006</v>
      </c>
      <c r="B14676" s="330" t="s">
        <v>59029</v>
      </c>
      <c r="C14676" s="330" t="s">
        <v>30728</v>
      </c>
      <c r="D14676" s="330" t="s">
        <v>29993</v>
      </c>
      <c r="E14676" s="330" t="s">
        <v>4634</v>
      </c>
      <c r="F14676" s="331">
        <v>0.21</v>
      </c>
      <c r="G14676" s="332">
        <v>21031</v>
      </c>
      <c r="H14676" s="333">
        <v>25448</v>
      </c>
    </row>
    <row r="14677" spans="1:8">
      <c r="A14677" s="317">
        <v>2610997007</v>
      </c>
      <c r="B14677" s="330" t="s">
        <v>59030</v>
      </c>
      <c r="C14677" s="330" t="s">
        <v>30729</v>
      </c>
      <c r="D14677" s="330" t="s">
        <v>30730</v>
      </c>
      <c r="E14677" s="330" t="s">
        <v>4634</v>
      </c>
      <c r="F14677" s="331">
        <v>0.21</v>
      </c>
      <c r="G14677" s="332">
        <v>37070</v>
      </c>
      <c r="H14677" s="333">
        <v>44855</v>
      </c>
    </row>
    <row r="14678" spans="1:8">
      <c r="A14678" s="317">
        <v>2610997008</v>
      </c>
      <c r="B14678" s="330" t="s">
        <v>59031</v>
      </c>
      <c r="C14678" s="330" t="s">
        <v>30731</v>
      </c>
      <c r="D14678" s="330" t="s">
        <v>29767</v>
      </c>
      <c r="E14678" s="330" t="s">
        <v>4634</v>
      </c>
      <c r="F14678" s="331">
        <v>0.21</v>
      </c>
      <c r="G14678" s="332">
        <v>432</v>
      </c>
      <c r="H14678" s="333">
        <v>523</v>
      </c>
    </row>
    <row r="14679" spans="1:8">
      <c r="A14679" s="317">
        <v>2610997009</v>
      </c>
      <c r="B14679" s="330" t="s">
        <v>59032</v>
      </c>
      <c r="C14679" s="330" t="s">
        <v>30732</v>
      </c>
      <c r="D14679" s="330" t="s">
        <v>30733</v>
      </c>
      <c r="E14679" s="330" t="s">
        <v>4634</v>
      </c>
      <c r="F14679" s="331">
        <v>0.21</v>
      </c>
      <c r="G14679" s="332">
        <v>5652</v>
      </c>
      <c r="H14679" s="333">
        <v>6839</v>
      </c>
    </row>
    <row r="14680" spans="1:8">
      <c r="A14680" s="317">
        <v>2610997010</v>
      </c>
      <c r="B14680" s="330" t="s">
        <v>59033</v>
      </c>
      <c r="C14680" s="330" t="s">
        <v>30734</v>
      </c>
      <c r="D14680" s="330" t="s">
        <v>29342</v>
      </c>
      <c r="E14680" s="330" t="s">
        <v>4634</v>
      </c>
      <c r="F14680" s="331">
        <v>0.21</v>
      </c>
      <c r="G14680" s="332">
        <v>1976</v>
      </c>
      <c r="H14680" s="333">
        <v>2391</v>
      </c>
    </row>
    <row r="14681" spans="1:8">
      <c r="A14681" s="317">
        <v>2610997012</v>
      </c>
      <c r="B14681" s="330" t="s">
        <v>59034</v>
      </c>
      <c r="C14681" s="330" t="s">
        <v>30735</v>
      </c>
      <c r="D14681" s="330" t="s">
        <v>30736</v>
      </c>
      <c r="E14681" s="330" t="s">
        <v>37248</v>
      </c>
      <c r="F14681" s="331">
        <v>0.21</v>
      </c>
      <c r="G14681" s="332">
        <v>5418</v>
      </c>
      <c r="H14681" s="333">
        <v>6556</v>
      </c>
    </row>
    <row r="14682" spans="1:8">
      <c r="A14682" s="317">
        <v>2610997030</v>
      </c>
      <c r="B14682" s="330" t="s">
        <v>59035</v>
      </c>
      <c r="C14682" s="330" t="s">
        <v>30737</v>
      </c>
      <c r="D14682" s="330" t="s">
        <v>30738</v>
      </c>
      <c r="E14682" s="330" t="s">
        <v>4634</v>
      </c>
      <c r="F14682" s="331">
        <v>0.21</v>
      </c>
      <c r="G14682" s="332">
        <v>432</v>
      </c>
      <c r="H14682" s="333">
        <v>523</v>
      </c>
    </row>
    <row r="14683" spans="1:8">
      <c r="A14683" s="317">
        <v>2610997031</v>
      </c>
      <c r="B14683" s="330" t="s">
        <v>59036</v>
      </c>
      <c r="C14683" s="330" t="s">
        <v>30739</v>
      </c>
      <c r="D14683" s="330" t="s">
        <v>30598</v>
      </c>
      <c r="E14683" s="330" t="s">
        <v>4634</v>
      </c>
      <c r="F14683" s="331">
        <v>0.21</v>
      </c>
      <c r="G14683" s="332">
        <v>1956</v>
      </c>
      <c r="H14683" s="333">
        <v>2367</v>
      </c>
    </row>
    <row r="14684" spans="1:8">
      <c r="A14684" s="317">
        <v>2610997139</v>
      </c>
      <c r="B14684" s="330" t="s">
        <v>59037</v>
      </c>
      <c r="C14684" s="330" t="s">
        <v>30740</v>
      </c>
      <c r="D14684" s="330" t="s">
        <v>29344</v>
      </c>
      <c r="E14684" s="330" t="s">
        <v>4634</v>
      </c>
      <c r="F14684" s="331">
        <v>0.21</v>
      </c>
      <c r="G14684" s="332">
        <v>2837</v>
      </c>
      <c r="H14684" s="333">
        <v>3433</v>
      </c>
    </row>
    <row r="14685" spans="1:8">
      <c r="A14685" s="317">
        <v>2610997148</v>
      </c>
      <c r="B14685" s="330" t="s">
        <v>59038</v>
      </c>
      <c r="C14685" s="330" t="s">
        <v>30741</v>
      </c>
      <c r="D14685" s="330" t="s">
        <v>30618</v>
      </c>
      <c r="E14685" s="330" t="s">
        <v>4634</v>
      </c>
      <c r="F14685" s="331">
        <v>0.21</v>
      </c>
      <c r="G14685" s="332">
        <v>5157</v>
      </c>
      <c r="H14685" s="333">
        <v>6240</v>
      </c>
    </row>
    <row r="14686" spans="1:8">
      <c r="A14686" s="317">
        <v>2610997152</v>
      </c>
      <c r="B14686" s="330" t="s">
        <v>59039</v>
      </c>
      <c r="C14686" s="330" t="s">
        <v>30742</v>
      </c>
      <c r="D14686" s="330" t="s">
        <v>30743</v>
      </c>
      <c r="E14686" s="330" t="s">
        <v>4819</v>
      </c>
      <c r="F14686" s="331">
        <v>0.21</v>
      </c>
      <c r="G14686" s="332">
        <v>22349</v>
      </c>
      <c r="H14686" s="333">
        <v>27043</v>
      </c>
    </row>
    <row r="14687" spans="1:8">
      <c r="A14687" s="317">
        <v>2610997157</v>
      </c>
      <c r="B14687" s="330" t="s">
        <v>59040</v>
      </c>
      <c r="C14687" s="330" t="s">
        <v>30744</v>
      </c>
      <c r="D14687" s="330" t="s">
        <v>30745</v>
      </c>
      <c r="E14687" s="330" t="s">
        <v>4819</v>
      </c>
      <c r="F14687" s="331">
        <v>0.21</v>
      </c>
      <c r="G14687" s="332">
        <v>45848</v>
      </c>
      <c r="H14687" s="333">
        <v>55477</v>
      </c>
    </row>
    <row r="14688" spans="1:8">
      <c r="A14688" s="317">
        <v>2610997184</v>
      </c>
      <c r="B14688" s="330" t="s">
        <v>59041</v>
      </c>
      <c r="C14688" s="330" t="s">
        <v>30746</v>
      </c>
      <c r="D14688" s="330" t="s">
        <v>30747</v>
      </c>
      <c r="E14688" s="330" t="s">
        <v>4634</v>
      </c>
      <c r="F14688" s="331">
        <v>0.21</v>
      </c>
      <c r="G14688" s="332">
        <v>2059</v>
      </c>
      <c r="H14688" s="333">
        <v>2492</v>
      </c>
    </row>
    <row r="14689" spans="1:8">
      <c r="A14689" s="317">
        <v>2610997208</v>
      </c>
      <c r="B14689" s="330" t="s">
        <v>59042</v>
      </c>
      <c r="C14689" s="330" t="s">
        <v>30748</v>
      </c>
      <c r="D14689" s="330" t="s">
        <v>30749</v>
      </c>
      <c r="E14689" s="330" t="s">
        <v>37248</v>
      </c>
      <c r="F14689" s="331">
        <v>0.21</v>
      </c>
      <c r="G14689" s="332">
        <v>47805</v>
      </c>
      <c r="H14689" s="333">
        <v>57845</v>
      </c>
    </row>
    <row r="14690" spans="1:8">
      <c r="A14690" s="317">
        <v>2610997210</v>
      </c>
      <c r="B14690" s="330" t="s">
        <v>59043</v>
      </c>
      <c r="C14690" s="330" t="s">
        <v>30750</v>
      </c>
      <c r="D14690" s="330" t="s">
        <v>26827</v>
      </c>
      <c r="E14690" s="330" t="s">
        <v>37248</v>
      </c>
      <c r="F14690" s="331">
        <v>0.21</v>
      </c>
      <c r="G14690" s="332">
        <v>3943</v>
      </c>
      <c r="H14690" s="333">
        <v>4772</v>
      </c>
    </row>
    <row r="14691" spans="1:8">
      <c r="A14691" s="317">
        <v>2610997211</v>
      </c>
      <c r="B14691" s="330" t="s">
        <v>59044</v>
      </c>
      <c r="C14691" s="330" t="s">
        <v>30751</v>
      </c>
      <c r="D14691" s="330" t="s">
        <v>30752</v>
      </c>
      <c r="E14691" s="330" t="s">
        <v>37248</v>
      </c>
      <c r="F14691" s="331">
        <v>0.21</v>
      </c>
      <c r="G14691" s="332">
        <v>40909</v>
      </c>
      <c r="H14691" s="333">
        <v>49500</v>
      </c>
    </row>
    <row r="14692" spans="1:8">
      <c r="A14692" s="317">
        <v>2610997212</v>
      </c>
      <c r="B14692" s="330" t="s">
        <v>59045</v>
      </c>
      <c r="C14692" s="330" t="s">
        <v>30753</v>
      </c>
      <c r="D14692" s="330" t="s">
        <v>30754</v>
      </c>
      <c r="E14692" s="330" t="s">
        <v>4634</v>
      </c>
      <c r="F14692" s="331">
        <v>0.21</v>
      </c>
      <c r="G14692" s="332">
        <v>702</v>
      </c>
      <c r="H14692" s="333">
        <v>850</v>
      </c>
    </row>
    <row r="14693" spans="1:8">
      <c r="A14693" s="317">
        <v>2610997213</v>
      </c>
      <c r="B14693" s="330" t="s">
        <v>59046</v>
      </c>
      <c r="C14693" s="330" t="s">
        <v>30755</v>
      </c>
      <c r="D14693" s="330" t="s">
        <v>30756</v>
      </c>
      <c r="E14693" s="330" t="s">
        <v>4634</v>
      </c>
      <c r="F14693" s="331">
        <v>0.21</v>
      </c>
      <c r="G14693" s="332">
        <v>702</v>
      </c>
      <c r="H14693" s="333">
        <v>850</v>
      </c>
    </row>
    <row r="14694" spans="1:8">
      <c r="A14694" s="317">
        <v>2610997214</v>
      </c>
      <c r="B14694" s="330" t="s">
        <v>59047</v>
      </c>
      <c r="C14694" s="330" t="s">
        <v>30757</v>
      </c>
      <c r="D14694" s="330" t="s">
        <v>30711</v>
      </c>
      <c r="E14694" s="330" t="s">
        <v>4634</v>
      </c>
      <c r="F14694" s="331">
        <v>0.21</v>
      </c>
      <c r="G14694" s="332">
        <v>584</v>
      </c>
      <c r="H14694" s="333">
        <v>707</v>
      </c>
    </row>
    <row r="14695" spans="1:8">
      <c r="A14695" s="317">
        <v>2610997215</v>
      </c>
      <c r="B14695" s="330" t="s">
        <v>59048</v>
      </c>
      <c r="C14695" s="330" t="s">
        <v>30758</v>
      </c>
      <c r="D14695" s="330" t="s">
        <v>11694</v>
      </c>
      <c r="E14695" s="330" t="s">
        <v>4634</v>
      </c>
      <c r="F14695" s="331">
        <v>0.21</v>
      </c>
      <c r="G14695" s="332">
        <v>432</v>
      </c>
      <c r="H14695" s="333">
        <v>523</v>
      </c>
    </row>
    <row r="14696" spans="1:8">
      <c r="A14696" s="317">
        <v>2610997216</v>
      </c>
      <c r="B14696" s="330" t="s">
        <v>59049</v>
      </c>
      <c r="C14696" s="330" t="s">
        <v>30759</v>
      </c>
      <c r="D14696" s="330" t="s">
        <v>30653</v>
      </c>
      <c r="E14696" s="330" t="s">
        <v>4634</v>
      </c>
      <c r="F14696" s="331">
        <v>0.21</v>
      </c>
      <c r="G14696" s="332">
        <v>274</v>
      </c>
      <c r="H14696" s="333">
        <v>332</v>
      </c>
    </row>
    <row r="14697" spans="1:8">
      <c r="A14697" s="317">
        <v>2610997217</v>
      </c>
      <c r="B14697" s="330" t="s">
        <v>59050</v>
      </c>
      <c r="C14697" s="330" t="s">
        <v>30760</v>
      </c>
      <c r="D14697" s="330" t="s">
        <v>11694</v>
      </c>
      <c r="E14697" s="330" t="s">
        <v>4634</v>
      </c>
      <c r="F14697" s="331">
        <v>0.21</v>
      </c>
      <c r="G14697" s="332">
        <v>564</v>
      </c>
      <c r="H14697" s="333">
        <v>683</v>
      </c>
    </row>
    <row r="14698" spans="1:8">
      <c r="A14698" s="317">
        <v>2610997218</v>
      </c>
      <c r="B14698" s="330" t="s">
        <v>59051</v>
      </c>
      <c r="C14698" s="330" t="s">
        <v>30761</v>
      </c>
      <c r="D14698" s="330" t="s">
        <v>30653</v>
      </c>
      <c r="E14698" s="330" t="s">
        <v>4634</v>
      </c>
      <c r="F14698" s="331">
        <v>0.21</v>
      </c>
      <c r="G14698" s="332">
        <v>274</v>
      </c>
      <c r="H14698" s="333">
        <v>332</v>
      </c>
    </row>
    <row r="14699" spans="1:8">
      <c r="A14699" s="317">
        <v>2610997221</v>
      </c>
      <c r="B14699" s="330" t="s">
        <v>59052</v>
      </c>
      <c r="C14699" s="330" t="s">
        <v>30762</v>
      </c>
      <c r="D14699" s="330" t="s">
        <v>30723</v>
      </c>
      <c r="E14699" s="330" t="s">
        <v>4634</v>
      </c>
      <c r="F14699" s="331">
        <v>0.21</v>
      </c>
      <c r="G14699" s="332">
        <v>4945</v>
      </c>
      <c r="H14699" s="333">
        <v>5984</v>
      </c>
    </row>
    <row r="14700" spans="1:8">
      <c r="A14700" s="317">
        <v>2610997222</v>
      </c>
      <c r="B14700" s="330" t="s">
        <v>59053</v>
      </c>
      <c r="C14700" s="330" t="s">
        <v>30763</v>
      </c>
      <c r="D14700" s="330" t="s">
        <v>30723</v>
      </c>
      <c r="E14700" s="330" t="s">
        <v>4634</v>
      </c>
      <c r="F14700" s="331">
        <v>0.21</v>
      </c>
      <c r="G14700" s="332">
        <v>432</v>
      </c>
      <c r="H14700" s="333">
        <v>523</v>
      </c>
    </row>
    <row r="14701" spans="1:8">
      <c r="A14701" s="317">
        <v>2610997240</v>
      </c>
      <c r="B14701" s="330" t="s">
        <v>59054</v>
      </c>
      <c r="C14701" s="330" t="s">
        <v>30764</v>
      </c>
      <c r="D14701" s="330" t="s">
        <v>30696</v>
      </c>
      <c r="E14701" s="330" t="s">
        <v>4634</v>
      </c>
      <c r="F14701" s="331">
        <v>0.21</v>
      </c>
      <c r="G14701" s="332">
        <v>584</v>
      </c>
      <c r="H14701" s="333">
        <v>707</v>
      </c>
    </row>
    <row r="14702" spans="1:8">
      <c r="A14702" s="317">
        <v>2610997244</v>
      </c>
      <c r="B14702" s="330" t="s">
        <v>59055</v>
      </c>
      <c r="C14702" s="330" t="s">
        <v>30765</v>
      </c>
      <c r="D14702" s="330" t="s">
        <v>30653</v>
      </c>
      <c r="E14702" s="330" t="s">
        <v>4634</v>
      </c>
      <c r="F14702" s="331">
        <v>0.21</v>
      </c>
      <c r="G14702" s="332">
        <v>274</v>
      </c>
      <c r="H14702" s="333">
        <v>332</v>
      </c>
    </row>
    <row r="14703" spans="1:8">
      <c r="A14703" s="317">
        <v>2610997245</v>
      </c>
      <c r="B14703" s="330" t="s">
        <v>59056</v>
      </c>
      <c r="C14703" s="330" t="s">
        <v>30766</v>
      </c>
      <c r="D14703" s="330" t="s">
        <v>30767</v>
      </c>
      <c r="E14703" s="330" t="s">
        <v>4634</v>
      </c>
      <c r="F14703" s="331">
        <v>0.21</v>
      </c>
      <c r="G14703" s="332">
        <v>702</v>
      </c>
      <c r="H14703" s="333">
        <v>850</v>
      </c>
    </row>
    <row r="14704" spans="1:8">
      <c r="A14704" s="317">
        <v>2610997246</v>
      </c>
      <c r="B14704" s="330" t="s">
        <v>59057</v>
      </c>
      <c r="C14704" s="330" t="s">
        <v>30768</v>
      </c>
      <c r="D14704" s="330" t="s">
        <v>11710</v>
      </c>
      <c r="E14704" s="330" t="s">
        <v>4634</v>
      </c>
      <c r="F14704" s="331">
        <v>0.21</v>
      </c>
      <c r="G14704" s="332">
        <v>455</v>
      </c>
      <c r="H14704" s="333">
        <v>551</v>
      </c>
    </row>
    <row r="14705" spans="1:8">
      <c r="A14705" s="317">
        <v>2610997270</v>
      </c>
      <c r="B14705" s="330" t="s">
        <v>59058</v>
      </c>
      <c r="C14705" s="330" t="s">
        <v>30769</v>
      </c>
      <c r="D14705" s="330" t="s">
        <v>30770</v>
      </c>
      <c r="E14705" s="330" t="s">
        <v>4634</v>
      </c>
      <c r="F14705" s="331">
        <v>0.21</v>
      </c>
      <c r="G14705" s="332">
        <v>648</v>
      </c>
      <c r="H14705" s="333">
        <v>785</v>
      </c>
    </row>
    <row r="14706" spans="1:8">
      <c r="A14706" s="317">
        <v>2610997271</v>
      </c>
      <c r="B14706" s="330" t="s">
        <v>59059</v>
      </c>
      <c r="C14706" s="330" t="s">
        <v>30771</v>
      </c>
      <c r="D14706" s="330" t="s">
        <v>30676</v>
      </c>
      <c r="E14706" s="330" t="s">
        <v>4634</v>
      </c>
      <c r="F14706" s="331">
        <v>0.21</v>
      </c>
      <c r="G14706" s="332">
        <v>432</v>
      </c>
      <c r="H14706" s="333">
        <v>523</v>
      </c>
    </row>
    <row r="14707" spans="1:8">
      <c r="A14707" s="317">
        <v>2610997273</v>
      </c>
      <c r="B14707" s="330" t="s">
        <v>59060</v>
      </c>
      <c r="C14707" s="330" t="s">
        <v>30772</v>
      </c>
      <c r="D14707" s="330" t="s">
        <v>11698</v>
      </c>
      <c r="E14707" s="330" t="s">
        <v>4634</v>
      </c>
      <c r="F14707" s="331">
        <v>0.21</v>
      </c>
      <c r="G14707" s="332">
        <v>455</v>
      </c>
      <c r="H14707" s="333">
        <v>551</v>
      </c>
    </row>
    <row r="14708" spans="1:8">
      <c r="A14708" s="317">
        <v>2610997274</v>
      </c>
      <c r="B14708" s="330" t="s">
        <v>59061</v>
      </c>
      <c r="C14708" s="330" t="s">
        <v>30773</v>
      </c>
      <c r="D14708" s="330" t="s">
        <v>30694</v>
      </c>
      <c r="E14708" s="330" t="s">
        <v>4634</v>
      </c>
      <c r="F14708" s="331">
        <v>0.21</v>
      </c>
      <c r="G14708" s="332">
        <v>274</v>
      </c>
      <c r="H14708" s="333">
        <v>332</v>
      </c>
    </row>
    <row r="14709" spans="1:8">
      <c r="A14709" s="317">
        <v>2610997275</v>
      </c>
      <c r="B14709" s="330" t="s">
        <v>59062</v>
      </c>
      <c r="C14709" s="330" t="s">
        <v>30774</v>
      </c>
      <c r="D14709" s="330" t="s">
        <v>30694</v>
      </c>
      <c r="E14709" s="330" t="s">
        <v>4634</v>
      </c>
      <c r="F14709" s="331">
        <v>0.21</v>
      </c>
      <c r="G14709" s="332">
        <v>274</v>
      </c>
      <c r="H14709" s="333">
        <v>332</v>
      </c>
    </row>
    <row r="14710" spans="1:8">
      <c r="A14710" s="317">
        <v>2610997276</v>
      </c>
      <c r="B14710" s="330" t="s">
        <v>59063</v>
      </c>
      <c r="C14710" s="330" t="s">
        <v>30775</v>
      </c>
      <c r="D14710" s="330" t="s">
        <v>30545</v>
      </c>
      <c r="E14710" s="330" t="s">
        <v>4634</v>
      </c>
      <c r="F14710" s="331">
        <v>0.21</v>
      </c>
      <c r="G14710" s="332">
        <v>274</v>
      </c>
      <c r="H14710" s="333">
        <v>332</v>
      </c>
    </row>
    <row r="14711" spans="1:8">
      <c r="A14711" s="317">
        <v>2610997277</v>
      </c>
      <c r="B14711" s="330" t="s">
        <v>59064</v>
      </c>
      <c r="C14711" s="330" t="s">
        <v>30776</v>
      </c>
      <c r="D14711" s="330" t="s">
        <v>30545</v>
      </c>
      <c r="E14711" s="330" t="s">
        <v>4634</v>
      </c>
      <c r="F14711" s="331">
        <v>0.21</v>
      </c>
      <c r="G14711" s="332">
        <v>142</v>
      </c>
      <c r="H14711" s="333">
        <v>172</v>
      </c>
    </row>
    <row r="14712" spans="1:8">
      <c r="A14712" s="317">
        <v>2610997281</v>
      </c>
      <c r="B14712" s="330" t="s">
        <v>59065</v>
      </c>
      <c r="C14712" s="330" t="s">
        <v>30777</v>
      </c>
      <c r="D14712" s="330" t="s">
        <v>27174</v>
      </c>
      <c r="E14712" s="330" t="s">
        <v>37248</v>
      </c>
      <c r="F14712" s="331">
        <v>0.21</v>
      </c>
      <c r="G14712" s="332">
        <v>410</v>
      </c>
      <c r="H14712" s="333">
        <v>497</v>
      </c>
    </row>
    <row r="14713" spans="1:8">
      <c r="A14713" s="317">
        <v>2610997282</v>
      </c>
      <c r="B14713" s="330" t="s">
        <v>59066</v>
      </c>
      <c r="C14713" s="330" t="s">
        <v>30778</v>
      </c>
      <c r="D14713" s="330" t="s">
        <v>27174</v>
      </c>
      <c r="E14713" s="330" t="s">
        <v>37248</v>
      </c>
      <c r="F14713" s="331">
        <v>0.21</v>
      </c>
      <c r="G14713" s="332">
        <v>339</v>
      </c>
      <c r="H14713" s="333">
        <v>411</v>
      </c>
    </row>
    <row r="14714" spans="1:8">
      <c r="A14714" s="317">
        <v>2610997283</v>
      </c>
      <c r="B14714" s="330" t="s">
        <v>59067</v>
      </c>
      <c r="C14714" s="330" t="s">
        <v>30779</v>
      </c>
      <c r="D14714" s="330" t="s">
        <v>30780</v>
      </c>
      <c r="E14714" s="330" t="s">
        <v>4634</v>
      </c>
      <c r="F14714" s="331">
        <v>0.21</v>
      </c>
      <c r="G14714" s="332">
        <v>274</v>
      </c>
      <c r="H14714" s="333">
        <v>332</v>
      </c>
    </row>
    <row r="14715" spans="1:8">
      <c r="A14715" s="317">
        <v>2610997286</v>
      </c>
      <c r="B14715" s="330" t="s">
        <v>59068</v>
      </c>
      <c r="C14715" s="330" t="s">
        <v>30781</v>
      </c>
      <c r="D14715" s="330" t="s">
        <v>11698</v>
      </c>
      <c r="E14715" s="330" t="s">
        <v>4634</v>
      </c>
      <c r="F14715" s="331">
        <v>0.21</v>
      </c>
      <c r="G14715" s="332">
        <v>274</v>
      </c>
      <c r="H14715" s="333">
        <v>332</v>
      </c>
    </row>
    <row r="14716" spans="1:8">
      <c r="A14716" s="317">
        <v>2610997291</v>
      </c>
      <c r="B14716" s="330" t="s">
        <v>59069</v>
      </c>
      <c r="C14716" s="330" t="s">
        <v>30782</v>
      </c>
      <c r="D14716" s="330" t="s">
        <v>30783</v>
      </c>
      <c r="E14716" s="330" t="s">
        <v>4634</v>
      </c>
      <c r="F14716" s="331">
        <v>0.21</v>
      </c>
      <c r="G14716" s="332">
        <v>584</v>
      </c>
      <c r="H14716" s="333">
        <v>707</v>
      </c>
    </row>
    <row r="14717" spans="1:8">
      <c r="A14717" s="317">
        <v>2610997292</v>
      </c>
      <c r="B14717" s="330" t="s">
        <v>59070</v>
      </c>
      <c r="C14717" s="330" t="s">
        <v>30784</v>
      </c>
      <c r="D14717" s="330" t="s">
        <v>30783</v>
      </c>
      <c r="E14717" s="330" t="s">
        <v>4634</v>
      </c>
      <c r="F14717" s="331">
        <v>0.21</v>
      </c>
      <c r="G14717" s="332">
        <v>455</v>
      </c>
      <c r="H14717" s="333">
        <v>551</v>
      </c>
    </row>
    <row r="14718" spans="1:8">
      <c r="A14718" s="317">
        <v>2610997293</v>
      </c>
      <c r="B14718" s="330" t="s">
        <v>59071</v>
      </c>
      <c r="C14718" s="330" t="s">
        <v>30785</v>
      </c>
      <c r="D14718" s="330" t="s">
        <v>11698</v>
      </c>
      <c r="E14718" s="330" t="s">
        <v>4634</v>
      </c>
      <c r="F14718" s="331">
        <v>0.21</v>
      </c>
      <c r="G14718" s="332">
        <v>280</v>
      </c>
      <c r="H14718" s="333">
        <v>339</v>
      </c>
    </row>
    <row r="14719" spans="1:8">
      <c r="A14719" s="317">
        <v>2610997294</v>
      </c>
      <c r="B14719" s="330" t="s">
        <v>59072</v>
      </c>
      <c r="C14719" s="330" t="s">
        <v>30786</v>
      </c>
      <c r="D14719" s="330" t="s">
        <v>11698</v>
      </c>
      <c r="E14719" s="330" t="s">
        <v>4634</v>
      </c>
      <c r="F14719" s="331">
        <v>0.21</v>
      </c>
      <c r="G14719" s="332">
        <v>274</v>
      </c>
      <c r="H14719" s="333">
        <v>332</v>
      </c>
    </row>
    <row r="14720" spans="1:8">
      <c r="A14720" s="317">
        <v>2610997296</v>
      </c>
      <c r="B14720" s="330" t="s">
        <v>59073</v>
      </c>
      <c r="C14720" s="330" t="s">
        <v>30787</v>
      </c>
      <c r="D14720" s="330" t="s">
        <v>12194</v>
      </c>
      <c r="E14720" s="330" t="s">
        <v>4634</v>
      </c>
      <c r="F14720" s="331">
        <v>0.21</v>
      </c>
      <c r="G14720" s="332">
        <v>274</v>
      </c>
      <c r="H14720" s="333">
        <v>332</v>
      </c>
    </row>
    <row r="14721" spans="1:8">
      <c r="A14721" s="317">
        <v>2610997297</v>
      </c>
      <c r="B14721" s="330" t="s">
        <v>59074</v>
      </c>
      <c r="C14721" s="330" t="s">
        <v>30788</v>
      </c>
      <c r="D14721" s="330" t="s">
        <v>11698</v>
      </c>
      <c r="E14721" s="330" t="s">
        <v>4634</v>
      </c>
      <c r="F14721" s="331">
        <v>0.21</v>
      </c>
      <c r="G14721" s="332">
        <v>274</v>
      </c>
      <c r="H14721" s="333">
        <v>332</v>
      </c>
    </row>
    <row r="14722" spans="1:8">
      <c r="A14722" s="317">
        <v>2610997298</v>
      </c>
      <c r="B14722" s="330" t="s">
        <v>59075</v>
      </c>
      <c r="C14722" s="330" t="s">
        <v>30789</v>
      </c>
      <c r="D14722" s="330" t="s">
        <v>11710</v>
      </c>
      <c r="E14722" s="330" t="s">
        <v>4634</v>
      </c>
      <c r="F14722" s="331">
        <v>0.21</v>
      </c>
      <c r="G14722" s="332">
        <v>1199</v>
      </c>
      <c r="H14722" s="333">
        <v>1451</v>
      </c>
    </row>
    <row r="14723" spans="1:8">
      <c r="A14723" s="317">
        <v>2610997299</v>
      </c>
      <c r="B14723" s="330" t="s">
        <v>59076</v>
      </c>
      <c r="C14723" s="330" t="s">
        <v>30790</v>
      </c>
      <c r="D14723" s="330" t="s">
        <v>11708</v>
      </c>
      <c r="E14723" s="330" t="s">
        <v>4634</v>
      </c>
      <c r="F14723" s="331">
        <v>0.21</v>
      </c>
      <c r="G14723" s="332">
        <v>432</v>
      </c>
      <c r="H14723" s="333">
        <v>523</v>
      </c>
    </row>
    <row r="14724" spans="1:8">
      <c r="A14724" s="317">
        <v>2610997509</v>
      </c>
      <c r="B14724" s="330" t="s">
        <v>59077</v>
      </c>
      <c r="C14724" s="330" t="s">
        <v>30791</v>
      </c>
      <c r="D14724" s="330" t="s">
        <v>30792</v>
      </c>
      <c r="E14724" s="330" t="s">
        <v>4819</v>
      </c>
      <c r="F14724" s="331">
        <v>0.21</v>
      </c>
      <c r="G14724" s="332">
        <v>8684</v>
      </c>
      <c r="H14724" s="333">
        <v>10508</v>
      </c>
    </row>
    <row r="14725" spans="1:8">
      <c r="A14725" s="317">
        <v>2610997756</v>
      </c>
      <c r="B14725" s="330" t="s">
        <v>59078</v>
      </c>
      <c r="C14725" s="330" t="s">
        <v>30793</v>
      </c>
      <c r="D14725" s="330" t="s">
        <v>30794</v>
      </c>
      <c r="E14725" s="330" t="s">
        <v>4634</v>
      </c>
      <c r="F14725" s="331">
        <v>0.21</v>
      </c>
      <c r="G14725" s="332">
        <v>3056</v>
      </c>
      <c r="H14725" s="333">
        <v>3698</v>
      </c>
    </row>
    <row r="14726" spans="1:8">
      <c r="A14726" s="317">
        <v>2610997807</v>
      </c>
      <c r="B14726" s="330" t="s">
        <v>59079</v>
      </c>
      <c r="C14726" s="330" t="s">
        <v>30795</v>
      </c>
      <c r="D14726" s="330" t="s">
        <v>11692</v>
      </c>
      <c r="E14726" s="330" t="s">
        <v>4634</v>
      </c>
      <c r="F14726" s="331">
        <v>0.21</v>
      </c>
      <c r="G14726" s="332">
        <v>412</v>
      </c>
      <c r="H14726" s="333">
        <v>499</v>
      </c>
    </row>
    <row r="14727" spans="1:8">
      <c r="A14727" s="317">
        <v>2610998102</v>
      </c>
      <c r="B14727" s="330" t="s">
        <v>59080</v>
      </c>
      <c r="C14727" s="330" t="s">
        <v>30796</v>
      </c>
      <c r="D14727" s="330" t="s">
        <v>30797</v>
      </c>
      <c r="E14727" s="330" t="s">
        <v>4634</v>
      </c>
      <c r="F14727" s="331">
        <v>0.21</v>
      </c>
      <c r="G14727" s="332">
        <v>2712</v>
      </c>
      <c r="H14727" s="333">
        <v>3282</v>
      </c>
    </row>
    <row r="14728" spans="1:8">
      <c r="A14728" s="317">
        <v>2610998113</v>
      </c>
      <c r="B14728" s="330" t="s">
        <v>59081</v>
      </c>
      <c r="C14728" s="330" t="s">
        <v>30798</v>
      </c>
      <c r="D14728" s="330" t="s">
        <v>30799</v>
      </c>
      <c r="E14728" s="330" t="s">
        <v>4634</v>
      </c>
      <c r="F14728" s="331">
        <v>0.21</v>
      </c>
      <c r="G14728" s="332">
        <v>564</v>
      </c>
      <c r="H14728" s="333">
        <v>683</v>
      </c>
    </row>
    <row r="14729" spans="1:8">
      <c r="A14729" s="317">
        <v>2610998114</v>
      </c>
      <c r="B14729" s="330" t="s">
        <v>59082</v>
      </c>
      <c r="C14729" s="330" t="s">
        <v>30800</v>
      </c>
      <c r="D14729" s="330" t="s">
        <v>30801</v>
      </c>
      <c r="E14729" s="330" t="s">
        <v>4634</v>
      </c>
      <c r="F14729" s="331">
        <v>0.21</v>
      </c>
      <c r="G14729" s="332">
        <v>678</v>
      </c>
      <c r="H14729" s="333">
        <v>821</v>
      </c>
    </row>
    <row r="14730" spans="1:8">
      <c r="A14730" s="317">
        <v>2610998115</v>
      </c>
      <c r="B14730" s="330" t="s">
        <v>59083</v>
      </c>
      <c r="C14730" s="330" t="s">
        <v>30802</v>
      </c>
      <c r="D14730" s="330" t="s">
        <v>30803</v>
      </c>
      <c r="E14730" s="330" t="s">
        <v>4634</v>
      </c>
      <c r="F14730" s="331">
        <v>0.21</v>
      </c>
      <c r="G14730" s="332">
        <v>372</v>
      </c>
      <c r="H14730" s="333">
        <v>451</v>
      </c>
    </row>
    <row r="14731" spans="1:8">
      <c r="A14731" s="317">
        <v>2610998116</v>
      </c>
      <c r="B14731" s="330" t="s">
        <v>59084</v>
      </c>
      <c r="C14731" s="330" t="s">
        <v>30804</v>
      </c>
      <c r="D14731" s="330" t="s">
        <v>30805</v>
      </c>
      <c r="E14731" s="330" t="s">
        <v>4634</v>
      </c>
      <c r="F14731" s="331">
        <v>0.21</v>
      </c>
      <c r="G14731" s="332">
        <v>274</v>
      </c>
      <c r="H14731" s="333">
        <v>332</v>
      </c>
    </row>
    <row r="14732" spans="1:8">
      <c r="A14732" s="317">
        <v>2610998117</v>
      </c>
      <c r="B14732" s="330" t="s">
        <v>59085</v>
      </c>
      <c r="C14732" s="330" t="s">
        <v>30806</v>
      </c>
      <c r="D14732" s="330" t="s">
        <v>30807</v>
      </c>
      <c r="E14732" s="330" t="s">
        <v>4634</v>
      </c>
      <c r="F14732" s="331">
        <v>0.21</v>
      </c>
      <c r="G14732" s="332">
        <v>274</v>
      </c>
      <c r="H14732" s="333">
        <v>332</v>
      </c>
    </row>
    <row r="14733" spans="1:8">
      <c r="A14733" s="317">
        <v>2610998128</v>
      </c>
      <c r="B14733" s="330" t="s">
        <v>59086</v>
      </c>
      <c r="C14733" s="330" t="s">
        <v>30808</v>
      </c>
      <c r="D14733" s="330" t="s">
        <v>30809</v>
      </c>
      <c r="E14733" s="330" t="s">
        <v>4634</v>
      </c>
      <c r="F14733" s="331">
        <v>0.21</v>
      </c>
      <c r="G14733" s="332">
        <v>432</v>
      </c>
      <c r="H14733" s="333">
        <v>523</v>
      </c>
    </row>
    <row r="14734" spans="1:8">
      <c r="A14734" s="317">
        <v>2610998132</v>
      </c>
      <c r="B14734" s="330" t="s">
        <v>59087</v>
      </c>
      <c r="C14734" s="330" t="s">
        <v>30810</v>
      </c>
      <c r="D14734" s="330" t="s">
        <v>30811</v>
      </c>
      <c r="E14734" s="330" t="s">
        <v>4634</v>
      </c>
      <c r="F14734" s="331">
        <v>0.21</v>
      </c>
      <c r="G14734" s="332">
        <v>584</v>
      </c>
      <c r="H14734" s="333">
        <v>707</v>
      </c>
    </row>
    <row r="14735" spans="1:8">
      <c r="A14735" s="317">
        <v>2610998149</v>
      </c>
      <c r="B14735" s="330" t="s">
        <v>59088</v>
      </c>
      <c r="C14735" s="330" t="s">
        <v>30812</v>
      </c>
      <c r="D14735" s="330" t="s">
        <v>30813</v>
      </c>
      <c r="E14735" s="330" t="s">
        <v>4634</v>
      </c>
      <c r="F14735" s="331">
        <v>0.21</v>
      </c>
      <c r="G14735" s="332">
        <v>6799</v>
      </c>
      <c r="H14735" s="333">
        <v>8227</v>
      </c>
    </row>
    <row r="14736" spans="1:8">
      <c r="A14736" s="317">
        <v>2610998150</v>
      </c>
      <c r="B14736" s="330" t="s">
        <v>59089</v>
      </c>
      <c r="C14736" s="330" t="s">
        <v>30814</v>
      </c>
      <c r="D14736" s="330" t="s">
        <v>30813</v>
      </c>
      <c r="E14736" s="330" t="s">
        <v>4634</v>
      </c>
      <c r="F14736" s="331">
        <v>0.21</v>
      </c>
      <c r="G14736" s="332">
        <v>10941</v>
      </c>
      <c r="H14736" s="333">
        <v>13239</v>
      </c>
    </row>
    <row r="14737" spans="1:8">
      <c r="A14737" s="317">
        <v>2610998153</v>
      </c>
      <c r="B14737" s="330" t="s">
        <v>59090</v>
      </c>
      <c r="C14737" s="330" t="s">
        <v>30815</v>
      </c>
      <c r="D14737" s="330" t="s">
        <v>30816</v>
      </c>
      <c r="E14737" s="330" t="s">
        <v>4634</v>
      </c>
      <c r="F14737" s="331">
        <v>0.21</v>
      </c>
      <c r="G14737" s="332">
        <v>5157</v>
      </c>
      <c r="H14737" s="333">
        <v>6240</v>
      </c>
    </row>
    <row r="14738" spans="1:8">
      <c r="A14738" s="317">
        <v>2610998550</v>
      </c>
      <c r="B14738" s="330" t="s">
        <v>59091</v>
      </c>
      <c r="C14738" s="330" t="s">
        <v>30817</v>
      </c>
      <c r="D14738" s="330" t="s">
        <v>11708</v>
      </c>
      <c r="E14738" s="330" t="s">
        <v>4634</v>
      </c>
      <c r="F14738" s="331">
        <v>0.21</v>
      </c>
      <c r="G14738" s="332">
        <v>432</v>
      </c>
      <c r="H14738" s="333">
        <v>523</v>
      </c>
    </row>
    <row r="14739" spans="1:8">
      <c r="A14739" s="317">
        <v>2610998558</v>
      </c>
      <c r="B14739" s="330" t="s">
        <v>59092</v>
      </c>
      <c r="C14739" s="330" t="s">
        <v>30818</v>
      </c>
      <c r="D14739" s="330" t="s">
        <v>30819</v>
      </c>
      <c r="E14739" s="330" t="s">
        <v>4634</v>
      </c>
      <c r="F14739" s="331">
        <v>0.21</v>
      </c>
      <c r="G14739" s="332">
        <v>3395</v>
      </c>
      <c r="H14739" s="333">
        <v>4108</v>
      </c>
    </row>
    <row r="14740" spans="1:8">
      <c r="A14740" s="317">
        <v>2610998567</v>
      </c>
      <c r="B14740" s="330" t="s">
        <v>59093</v>
      </c>
      <c r="C14740" s="330" t="s">
        <v>30820</v>
      </c>
      <c r="D14740" s="330" t="s">
        <v>30821</v>
      </c>
      <c r="E14740" s="330" t="s">
        <v>4634</v>
      </c>
      <c r="F14740" s="331">
        <v>0.21</v>
      </c>
      <c r="G14740" s="332">
        <v>153</v>
      </c>
      <c r="H14740" s="333">
        <v>186</v>
      </c>
    </row>
    <row r="14741" spans="1:8">
      <c r="A14741" s="317">
        <v>2610998570</v>
      </c>
      <c r="B14741" s="330" t="s">
        <v>59094</v>
      </c>
      <c r="C14741" s="330" t="s">
        <v>30822</v>
      </c>
      <c r="D14741" s="330" t="s">
        <v>30823</v>
      </c>
      <c r="E14741" s="330" t="s">
        <v>4634</v>
      </c>
      <c r="F14741" s="331">
        <v>0.21</v>
      </c>
      <c r="G14741" s="332">
        <v>928</v>
      </c>
      <c r="H14741" s="333">
        <v>1123</v>
      </c>
    </row>
    <row r="14742" spans="1:8">
      <c r="A14742" s="317">
        <v>2610998571</v>
      </c>
      <c r="B14742" s="330" t="s">
        <v>59095</v>
      </c>
      <c r="C14742" s="330" t="s">
        <v>30824</v>
      </c>
      <c r="D14742" s="330" t="s">
        <v>30825</v>
      </c>
      <c r="E14742" s="330" t="s">
        <v>4634</v>
      </c>
      <c r="F14742" s="331">
        <v>0.21</v>
      </c>
      <c r="G14742" s="332">
        <v>274</v>
      </c>
      <c r="H14742" s="333">
        <v>332</v>
      </c>
    </row>
    <row r="14743" spans="1:8">
      <c r="A14743" s="317">
        <v>2610998572</v>
      </c>
      <c r="B14743" s="330" t="s">
        <v>59096</v>
      </c>
      <c r="C14743" s="330" t="s">
        <v>30826</v>
      </c>
      <c r="D14743" s="330" t="s">
        <v>26993</v>
      </c>
      <c r="E14743" s="330" t="s">
        <v>37248</v>
      </c>
      <c r="F14743" s="331">
        <v>0.21</v>
      </c>
      <c r="G14743" s="332">
        <v>296</v>
      </c>
      <c r="H14743" s="333">
        <v>359</v>
      </c>
    </row>
    <row r="14744" spans="1:8">
      <c r="A14744" s="317">
        <v>2610998573</v>
      </c>
      <c r="B14744" s="330" t="s">
        <v>59097</v>
      </c>
      <c r="C14744" s="330" t="s">
        <v>30827</v>
      </c>
      <c r="D14744" s="330" t="s">
        <v>27174</v>
      </c>
      <c r="E14744" s="330" t="s">
        <v>37248</v>
      </c>
      <c r="F14744" s="331">
        <v>0.21</v>
      </c>
      <c r="G14744" s="332">
        <v>339</v>
      </c>
      <c r="H14744" s="333">
        <v>411</v>
      </c>
    </row>
    <row r="14745" spans="1:8">
      <c r="A14745" s="317">
        <v>2610998574</v>
      </c>
      <c r="B14745" s="330" t="s">
        <v>59098</v>
      </c>
      <c r="C14745" s="330" t="s">
        <v>30828</v>
      </c>
      <c r="D14745" s="330" t="s">
        <v>11698</v>
      </c>
      <c r="E14745" s="330" t="s">
        <v>4634</v>
      </c>
      <c r="F14745" s="331">
        <v>0.21</v>
      </c>
      <c r="G14745" s="332">
        <v>274</v>
      </c>
      <c r="H14745" s="333">
        <v>332</v>
      </c>
    </row>
    <row r="14746" spans="1:8">
      <c r="A14746" s="317">
        <v>2610998575</v>
      </c>
      <c r="B14746" s="330" t="s">
        <v>59099</v>
      </c>
      <c r="C14746" s="330" t="s">
        <v>30829</v>
      </c>
      <c r="D14746" s="330" t="s">
        <v>11698</v>
      </c>
      <c r="E14746" s="330" t="s">
        <v>4634</v>
      </c>
      <c r="F14746" s="331">
        <v>0.21</v>
      </c>
      <c r="G14746" s="332">
        <v>274</v>
      </c>
      <c r="H14746" s="333">
        <v>332</v>
      </c>
    </row>
    <row r="14747" spans="1:8">
      <c r="A14747" s="317">
        <v>2610998577</v>
      </c>
      <c r="B14747" s="330" t="s">
        <v>59100</v>
      </c>
      <c r="C14747" s="330" t="s">
        <v>30830</v>
      </c>
      <c r="D14747" s="330" t="s">
        <v>12188</v>
      </c>
      <c r="E14747" s="330" t="s">
        <v>4634</v>
      </c>
      <c r="F14747" s="331">
        <v>0.21</v>
      </c>
      <c r="G14747" s="332">
        <v>2748</v>
      </c>
      <c r="H14747" s="333">
        <v>3326</v>
      </c>
    </row>
    <row r="14748" spans="1:8">
      <c r="A14748" s="317">
        <v>2610998579</v>
      </c>
      <c r="B14748" s="330" t="s">
        <v>59101</v>
      </c>
      <c r="C14748" s="330" t="s">
        <v>30831</v>
      </c>
      <c r="D14748" s="330" t="s">
        <v>30832</v>
      </c>
      <c r="E14748" s="330" t="s">
        <v>4634</v>
      </c>
      <c r="F14748" s="331">
        <v>0.21</v>
      </c>
      <c r="G14748" s="332">
        <v>1547</v>
      </c>
      <c r="H14748" s="333">
        <v>1872</v>
      </c>
    </row>
    <row r="14749" spans="1:8">
      <c r="A14749" s="317">
        <v>2610998580</v>
      </c>
      <c r="B14749" s="330" t="s">
        <v>59102</v>
      </c>
      <c r="C14749" s="330" t="s">
        <v>30833</v>
      </c>
      <c r="D14749" s="330" t="s">
        <v>26993</v>
      </c>
      <c r="E14749" s="330" t="s">
        <v>37248</v>
      </c>
      <c r="F14749" s="331">
        <v>0.21</v>
      </c>
      <c r="G14749" s="332">
        <v>348</v>
      </c>
      <c r="H14749" s="333">
        <v>422</v>
      </c>
    </row>
    <row r="14750" spans="1:8">
      <c r="A14750" s="317">
        <v>2610998587</v>
      </c>
      <c r="B14750" s="330" t="s">
        <v>59103</v>
      </c>
      <c r="C14750" s="330" t="s">
        <v>30834</v>
      </c>
      <c r="D14750" s="330" t="s">
        <v>26993</v>
      </c>
      <c r="E14750" s="330" t="s">
        <v>37248</v>
      </c>
      <c r="F14750" s="331">
        <v>0.21</v>
      </c>
      <c r="G14750" s="332">
        <v>339</v>
      </c>
      <c r="H14750" s="333">
        <v>411</v>
      </c>
    </row>
    <row r="14751" spans="1:8">
      <c r="A14751" s="317">
        <v>2610998588</v>
      </c>
      <c r="B14751" s="330" t="s">
        <v>59104</v>
      </c>
      <c r="C14751" s="330" t="s">
        <v>30835</v>
      </c>
      <c r="D14751" s="330" t="s">
        <v>26993</v>
      </c>
      <c r="E14751" s="330" t="s">
        <v>37248</v>
      </c>
      <c r="F14751" s="331">
        <v>0.21</v>
      </c>
      <c r="G14751" s="332">
        <v>2982</v>
      </c>
      <c r="H14751" s="333">
        <v>3609</v>
      </c>
    </row>
    <row r="14752" spans="1:8">
      <c r="A14752" s="317">
        <v>2610998593</v>
      </c>
      <c r="B14752" s="330" t="s">
        <v>59105</v>
      </c>
      <c r="C14752" s="330" t="s">
        <v>30836</v>
      </c>
      <c r="D14752" s="330" t="s">
        <v>30676</v>
      </c>
      <c r="E14752" s="330" t="s">
        <v>4634</v>
      </c>
      <c r="F14752" s="331">
        <v>0.21</v>
      </c>
      <c r="G14752" s="332">
        <v>280</v>
      </c>
      <c r="H14752" s="333">
        <v>339</v>
      </c>
    </row>
    <row r="14753" spans="1:8">
      <c r="A14753" s="317">
        <v>2610998878</v>
      </c>
      <c r="B14753" s="330" t="s">
        <v>59106</v>
      </c>
      <c r="C14753" s="330" t="s">
        <v>30837</v>
      </c>
      <c r="D14753" s="330" t="s">
        <v>30838</v>
      </c>
      <c r="E14753" s="330" t="s">
        <v>4634</v>
      </c>
      <c r="F14753" s="331">
        <v>0.21</v>
      </c>
      <c r="G14753" s="332">
        <v>820</v>
      </c>
      <c r="H14753" s="333">
        <v>993</v>
      </c>
    </row>
    <row r="14754" spans="1:8">
      <c r="A14754" s="317">
        <v>2610998879</v>
      </c>
      <c r="B14754" s="330" t="s">
        <v>59107</v>
      </c>
      <c r="C14754" s="330" t="s">
        <v>30839</v>
      </c>
      <c r="D14754" s="330" t="s">
        <v>30840</v>
      </c>
      <c r="E14754" s="330" t="s">
        <v>4634</v>
      </c>
      <c r="F14754" s="331">
        <v>0.21</v>
      </c>
      <c r="G14754" s="332">
        <v>791</v>
      </c>
      <c r="H14754" s="333">
        <v>958</v>
      </c>
    </row>
    <row r="14755" spans="1:8">
      <c r="A14755" s="317">
        <v>2610999105</v>
      </c>
      <c r="B14755" s="330" t="s">
        <v>59108</v>
      </c>
      <c r="C14755" s="330" t="s">
        <v>30841</v>
      </c>
      <c r="D14755" s="330" t="s">
        <v>30842</v>
      </c>
      <c r="E14755" s="330" t="s">
        <v>4634</v>
      </c>
      <c r="F14755" s="331">
        <v>0.21</v>
      </c>
      <c r="G14755" s="332">
        <v>4336</v>
      </c>
      <c r="H14755" s="333">
        <v>5247</v>
      </c>
    </row>
    <row r="14756" spans="1:8">
      <c r="A14756" s="317">
        <v>2610999112</v>
      </c>
      <c r="B14756" s="330" t="s">
        <v>59109</v>
      </c>
      <c r="C14756" s="330" t="s">
        <v>30843</v>
      </c>
      <c r="D14756" s="330" t="s">
        <v>30844</v>
      </c>
      <c r="E14756" s="330" t="s">
        <v>4634</v>
      </c>
      <c r="F14756" s="331">
        <v>0.21</v>
      </c>
      <c r="G14756" s="332">
        <v>963</v>
      </c>
      <c r="H14756" s="333">
        <v>1166</v>
      </c>
    </row>
    <row r="14757" spans="1:8">
      <c r="A14757" s="317" t="s">
        <v>42764</v>
      </c>
      <c r="B14757" s="330" t="s">
        <v>59110</v>
      </c>
      <c r="C14757" s="330" t="s">
        <v>30845</v>
      </c>
      <c r="D14757" s="330" t="s">
        <v>17604</v>
      </c>
      <c r="E14757" s="330" t="s">
        <v>4819</v>
      </c>
      <c r="F14757" s="331">
        <v>0.21</v>
      </c>
      <c r="G14757" s="332">
        <v>0</v>
      </c>
      <c r="H14757" s="333">
        <v>0</v>
      </c>
    </row>
    <row r="14758" spans="1:8">
      <c r="A14758" s="317" t="s">
        <v>42765</v>
      </c>
      <c r="B14758" s="330" t="s">
        <v>59111</v>
      </c>
      <c r="C14758" s="330" t="s">
        <v>30846</v>
      </c>
      <c r="D14758" s="330" t="s">
        <v>30847</v>
      </c>
      <c r="E14758" s="330" t="s">
        <v>37248</v>
      </c>
      <c r="F14758" s="331">
        <v>0.21</v>
      </c>
      <c r="G14758" s="332">
        <v>240</v>
      </c>
      <c r="H14758" s="333">
        <v>291</v>
      </c>
    </row>
    <row r="14759" spans="1:8">
      <c r="A14759" s="317" t="s">
        <v>42766</v>
      </c>
      <c r="B14759" s="330" t="s">
        <v>59112</v>
      </c>
      <c r="C14759" s="330" t="s">
        <v>30848</v>
      </c>
      <c r="D14759" s="330" t="s">
        <v>30847</v>
      </c>
      <c r="E14759" s="330" t="s">
        <v>37248</v>
      </c>
      <c r="F14759" s="331">
        <v>0.21</v>
      </c>
      <c r="G14759" s="332">
        <v>174</v>
      </c>
      <c r="H14759" s="333">
        <v>211</v>
      </c>
    </row>
    <row r="14760" spans="1:8">
      <c r="A14760" s="317" t="s">
        <v>42767</v>
      </c>
      <c r="B14760" s="330" t="s">
        <v>59113</v>
      </c>
      <c r="C14760" s="330" t="s">
        <v>30849</v>
      </c>
      <c r="D14760" s="330" t="s">
        <v>30847</v>
      </c>
      <c r="E14760" s="330" t="s">
        <v>37248</v>
      </c>
      <c r="F14760" s="331">
        <v>0.21</v>
      </c>
      <c r="G14760" s="332">
        <v>174</v>
      </c>
      <c r="H14760" s="333">
        <v>211</v>
      </c>
    </row>
    <row r="14761" spans="1:8">
      <c r="A14761" s="317" t="s">
        <v>42768</v>
      </c>
      <c r="B14761" s="330" t="s">
        <v>59114</v>
      </c>
      <c r="C14761" s="330" t="s">
        <v>30850</v>
      </c>
      <c r="D14761" s="330" t="s">
        <v>30851</v>
      </c>
      <c r="E14761" s="330" t="s">
        <v>37248</v>
      </c>
      <c r="F14761" s="331">
        <v>0.21</v>
      </c>
      <c r="G14761" s="332">
        <v>240</v>
      </c>
      <c r="H14761" s="333">
        <v>291</v>
      </c>
    </row>
    <row r="14762" spans="1:8">
      <c r="A14762" s="317" t="s">
        <v>42769</v>
      </c>
      <c r="B14762" s="330" t="s">
        <v>59115</v>
      </c>
      <c r="C14762" s="330" t="s">
        <v>30852</v>
      </c>
      <c r="D14762" s="330" t="s">
        <v>30851</v>
      </c>
      <c r="E14762" s="330" t="s">
        <v>37248</v>
      </c>
      <c r="F14762" s="331">
        <v>0.21</v>
      </c>
      <c r="G14762" s="332">
        <v>240</v>
      </c>
      <c r="H14762" s="333">
        <v>291</v>
      </c>
    </row>
    <row r="14763" spans="1:8">
      <c r="A14763" s="317" t="s">
        <v>42770</v>
      </c>
      <c r="B14763" s="330" t="s">
        <v>59116</v>
      </c>
      <c r="C14763" s="330" t="s">
        <v>30853</v>
      </c>
      <c r="D14763" s="330" t="s">
        <v>30854</v>
      </c>
      <c r="E14763" s="330" t="s">
        <v>37248</v>
      </c>
      <c r="F14763" s="331">
        <v>0.21</v>
      </c>
      <c r="G14763" s="332">
        <v>863</v>
      </c>
      <c r="H14763" s="333">
        <v>1045</v>
      </c>
    </row>
    <row r="14764" spans="1:8">
      <c r="A14764" s="317" t="s">
        <v>42771</v>
      </c>
      <c r="B14764" s="330" t="s">
        <v>59117</v>
      </c>
      <c r="C14764" s="330" t="s">
        <v>30855</v>
      </c>
      <c r="D14764" s="330" t="s">
        <v>30856</v>
      </c>
      <c r="E14764" s="330" t="s">
        <v>37248</v>
      </c>
      <c r="F14764" s="331">
        <v>0.21</v>
      </c>
      <c r="G14764" s="332">
        <v>174</v>
      </c>
      <c r="H14764" s="333">
        <v>211</v>
      </c>
    </row>
    <row r="14765" spans="1:8">
      <c r="A14765" s="317" t="s">
        <v>42772</v>
      </c>
      <c r="B14765" s="330" t="s">
        <v>59118</v>
      </c>
      <c r="C14765" s="330" t="s">
        <v>30857</v>
      </c>
      <c r="D14765" s="330" t="s">
        <v>8184</v>
      </c>
      <c r="E14765" s="330" t="s">
        <v>37248</v>
      </c>
      <c r="F14765" s="331">
        <v>0.21</v>
      </c>
      <c r="G14765" s="332">
        <v>296</v>
      </c>
      <c r="H14765" s="333">
        <v>359</v>
      </c>
    </row>
    <row r="14766" spans="1:8">
      <c r="A14766" s="317" t="s">
        <v>42773</v>
      </c>
      <c r="B14766" s="330" t="s">
        <v>59119</v>
      </c>
      <c r="C14766" s="330" t="s">
        <v>30858</v>
      </c>
      <c r="D14766" s="330" t="s">
        <v>30859</v>
      </c>
      <c r="E14766" s="330" t="s">
        <v>37248</v>
      </c>
      <c r="F14766" s="331">
        <v>0.21</v>
      </c>
      <c r="G14766" s="332">
        <v>92802</v>
      </c>
      <c r="H14766" s="333">
        <v>112291</v>
      </c>
    </row>
    <row r="14767" spans="1:8">
      <c r="A14767" s="317" t="s">
        <v>42774</v>
      </c>
      <c r="B14767" s="330" t="s">
        <v>59120</v>
      </c>
      <c r="C14767" s="330" t="s">
        <v>30860</v>
      </c>
      <c r="D14767" s="330" t="s">
        <v>30861</v>
      </c>
      <c r="E14767" s="330" t="s">
        <v>37248</v>
      </c>
      <c r="F14767" s="331">
        <v>0.21</v>
      </c>
      <c r="G14767" s="332">
        <v>56007</v>
      </c>
      <c r="H14767" s="333">
        <v>67769</v>
      </c>
    </row>
    <row r="14768" spans="1:8">
      <c r="A14768" s="317" t="s">
        <v>42775</v>
      </c>
      <c r="B14768" s="330" t="s">
        <v>59121</v>
      </c>
      <c r="C14768" s="330" t="s">
        <v>30862</v>
      </c>
      <c r="D14768" s="330" t="s">
        <v>4814</v>
      </c>
      <c r="E14768" s="330" t="s">
        <v>37248</v>
      </c>
      <c r="F14768" s="331">
        <v>0.21</v>
      </c>
      <c r="G14768" s="332">
        <v>1626</v>
      </c>
      <c r="H14768" s="333">
        <v>1968</v>
      </c>
    </row>
    <row r="14769" spans="1:8">
      <c r="A14769" s="317" t="s">
        <v>42776</v>
      </c>
      <c r="B14769" s="330" t="s">
        <v>59122</v>
      </c>
      <c r="C14769" s="330" t="s">
        <v>30863</v>
      </c>
      <c r="D14769" s="330" t="s">
        <v>7653</v>
      </c>
      <c r="E14769" s="330" t="s">
        <v>37248</v>
      </c>
      <c r="F14769" s="331">
        <v>0.21</v>
      </c>
      <c r="G14769" s="332">
        <v>174</v>
      </c>
      <c r="H14769" s="333">
        <v>211</v>
      </c>
    </row>
    <row r="14770" spans="1:8">
      <c r="A14770" s="317" t="s">
        <v>42777</v>
      </c>
      <c r="B14770" s="330" t="s">
        <v>59123</v>
      </c>
      <c r="C14770" s="330" t="s">
        <v>30864</v>
      </c>
      <c r="D14770" s="330" t="s">
        <v>30847</v>
      </c>
      <c r="E14770" s="330" t="s">
        <v>37248</v>
      </c>
      <c r="F14770" s="331">
        <v>0.21</v>
      </c>
      <c r="G14770" s="332">
        <v>174</v>
      </c>
      <c r="H14770" s="333">
        <v>211</v>
      </c>
    </row>
    <row r="14771" spans="1:8">
      <c r="A14771" s="317" t="s">
        <v>42778</v>
      </c>
      <c r="B14771" s="330" t="s">
        <v>59124</v>
      </c>
      <c r="C14771" s="330" t="s">
        <v>30865</v>
      </c>
      <c r="D14771" s="330" t="s">
        <v>13533</v>
      </c>
      <c r="E14771" s="330" t="s">
        <v>37248</v>
      </c>
      <c r="F14771" s="331">
        <v>0.21</v>
      </c>
      <c r="G14771" s="332">
        <v>452</v>
      </c>
      <c r="H14771" s="333">
        <v>547</v>
      </c>
    </row>
    <row r="14772" spans="1:8">
      <c r="A14772" s="317" t="s">
        <v>42779</v>
      </c>
      <c r="B14772" s="330" t="s">
        <v>59125</v>
      </c>
      <c r="C14772" s="330" t="s">
        <v>30866</v>
      </c>
      <c r="D14772" s="330" t="s">
        <v>30867</v>
      </c>
      <c r="E14772" s="330" t="s">
        <v>37248</v>
      </c>
      <c r="F14772" s="331">
        <v>0.21</v>
      </c>
      <c r="G14772" s="332">
        <v>16027</v>
      </c>
      <c r="H14772" s="333">
        <v>19393</v>
      </c>
    </row>
    <row r="14773" spans="1:8">
      <c r="A14773" s="317" t="s">
        <v>42780</v>
      </c>
      <c r="B14773" s="330" t="s">
        <v>59126</v>
      </c>
      <c r="C14773" s="330" t="s">
        <v>30868</v>
      </c>
      <c r="D14773" s="330" t="s">
        <v>30869</v>
      </c>
      <c r="E14773" s="330" t="s">
        <v>37248</v>
      </c>
      <c r="F14773" s="331">
        <v>0.21</v>
      </c>
      <c r="G14773" s="332">
        <v>361</v>
      </c>
      <c r="H14773" s="333">
        <v>437</v>
      </c>
    </row>
    <row r="14774" spans="1:8">
      <c r="A14774" s="317" t="s">
        <v>42781</v>
      </c>
      <c r="B14774" s="330" t="s">
        <v>59127</v>
      </c>
      <c r="C14774" s="330" t="s">
        <v>30870</v>
      </c>
      <c r="D14774" s="330" t="s">
        <v>7653</v>
      </c>
      <c r="E14774" s="330" t="s">
        <v>37248</v>
      </c>
      <c r="F14774" s="331">
        <v>0.21</v>
      </c>
      <c r="G14774" s="332">
        <v>240</v>
      </c>
      <c r="H14774" s="333">
        <v>291</v>
      </c>
    </row>
    <row r="14775" spans="1:8">
      <c r="A14775" s="317" t="s">
        <v>42782</v>
      </c>
      <c r="B14775" s="330" t="s">
        <v>59128</v>
      </c>
      <c r="C14775" s="330" t="s">
        <v>30871</v>
      </c>
      <c r="D14775" s="330" t="s">
        <v>30847</v>
      </c>
      <c r="E14775" s="330" t="s">
        <v>37248</v>
      </c>
      <c r="F14775" s="331">
        <v>0.21</v>
      </c>
      <c r="G14775" s="332">
        <v>863</v>
      </c>
      <c r="H14775" s="333">
        <v>1045</v>
      </c>
    </row>
    <row r="14776" spans="1:8">
      <c r="A14776" s="317" t="s">
        <v>42783</v>
      </c>
      <c r="B14776" s="330" t="s">
        <v>59129</v>
      </c>
      <c r="C14776" s="330" t="s">
        <v>30872</v>
      </c>
      <c r="D14776" s="330" t="s">
        <v>7653</v>
      </c>
      <c r="E14776" s="330" t="s">
        <v>37248</v>
      </c>
      <c r="F14776" s="331">
        <v>0.21</v>
      </c>
      <c r="G14776" s="332">
        <v>863</v>
      </c>
      <c r="H14776" s="333">
        <v>1045</v>
      </c>
    </row>
    <row r="14777" spans="1:8">
      <c r="A14777" s="317" t="s">
        <v>42784</v>
      </c>
      <c r="B14777" s="330" t="s">
        <v>59130</v>
      </c>
      <c r="C14777" s="330" t="s">
        <v>30873</v>
      </c>
      <c r="D14777" s="330" t="s">
        <v>30874</v>
      </c>
      <c r="E14777" s="330" t="s">
        <v>37248</v>
      </c>
      <c r="F14777" s="331">
        <v>0.21</v>
      </c>
      <c r="G14777" s="332">
        <v>2442</v>
      </c>
      <c r="H14777" s="333">
        <v>2955</v>
      </c>
    </row>
    <row r="14778" spans="1:8">
      <c r="A14778" s="317" t="s">
        <v>42785</v>
      </c>
      <c r="B14778" s="330" t="s">
        <v>59131</v>
      </c>
      <c r="C14778" s="330" t="s">
        <v>30875</v>
      </c>
      <c r="D14778" s="330" t="s">
        <v>30847</v>
      </c>
      <c r="E14778" s="330" t="s">
        <v>37248</v>
      </c>
      <c r="F14778" s="331">
        <v>0.21</v>
      </c>
      <c r="G14778" s="332">
        <v>863</v>
      </c>
      <c r="H14778" s="333">
        <v>1045</v>
      </c>
    </row>
    <row r="14779" spans="1:8">
      <c r="A14779" s="317" t="s">
        <v>42786</v>
      </c>
      <c r="B14779" s="330" t="s">
        <v>59132</v>
      </c>
      <c r="C14779" s="330" t="s">
        <v>30876</v>
      </c>
      <c r="D14779" s="330" t="s">
        <v>30877</v>
      </c>
      <c r="E14779" s="330" t="s">
        <v>37248</v>
      </c>
      <c r="F14779" s="331">
        <v>0.21</v>
      </c>
      <c r="G14779" s="332">
        <v>12507</v>
      </c>
      <c r="H14779" s="333">
        <v>15134</v>
      </c>
    </row>
    <row r="14780" spans="1:8">
      <c r="A14780" s="317" t="s">
        <v>42787</v>
      </c>
      <c r="B14780" s="330" t="s">
        <v>59133</v>
      </c>
      <c r="C14780" s="330" t="s">
        <v>30878</v>
      </c>
      <c r="D14780" s="330" t="s">
        <v>30856</v>
      </c>
      <c r="E14780" s="330" t="s">
        <v>37248</v>
      </c>
      <c r="F14780" s="331">
        <v>0.21</v>
      </c>
      <c r="G14780" s="332">
        <v>863</v>
      </c>
      <c r="H14780" s="333">
        <v>1045</v>
      </c>
    </row>
    <row r="14781" spans="1:8">
      <c r="A14781" s="317" t="s">
        <v>42788</v>
      </c>
      <c r="B14781" s="330" t="s">
        <v>59134</v>
      </c>
      <c r="C14781" s="330" t="s">
        <v>30879</v>
      </c>
      <c r="D14781" s="330" t="s">
        <v>30880</v>
      </c>
      <c r="E14781" s="330" t="s">
        <v>37248</v>
      </c>
      <c r="F14781" s="331">
        <v>0.21</v>
      </c>
      <c r="G14781" s="332">
        <v>4044</v>
      </c>
      <c r="H14781" s="333">
        <v>4894</v>
      </c>
    </row>
    <row r="14782" spans="1:8">
      <c r="A14782" s="317" t="s">
        <v>42789</v>
      </c>
      <c r="B14782" s="330" t="s">
        <v>59135</v>
      </c>
      <c r="C14782" s="330" t="s">
        <v>30881</v>
      </c>
      <c r="D14782" s="330" t="s">
        <v>30882</v>
      </c>
      <c r="E14782" s="330" t="s">
        <v>37248</v>
      </c>
      <c r="F14782" s="331">
        <v>0.21</v>
      </c>
      <c r="G14782" s="332">
        <v>1726</v>
      </c>
      <c r="H14782" s="333">
        <v>2089</v>
      </c>
    </row>
    <row r="14783" spans="1:8">
      <c r="A14783" s="317" t="s">
        <v>42790</v>
      </c>
      <c r="B14783" s="330" t="s">
        <v>59136</v>
      </c>
      <c r="C14783" s="330" t="s">
        <v>30883</v>
      </c>
      <c r="D14783" s="330" t="s">
        <v>30884</v>
      </c>
      <c r="E14783" s="330" t="s">
        <v>37248</v>
      </c>
      <c r="F14783" s="331">
        <v>0.21</v>
      </c>
      <c r="G14783" s="332">
        <v>4044</v>
      </c>
      <c r="H14783" s="333">
        <v>4894</v>
      </c>
    </row>
    <row r="14784" spans="1:8">
      <c r="A14784" s="317" t="s">
        <v>42791</v>
      </c>
      <c r="B14784" s="330" t="s">
        <v>59137</v>
      </c>
      <c r="C14784" s="330" t="s">
        <v>30885</v>
      </c>
      <c r="D14784" s="330" t="s">
        <v>30886</v>
      </c>
      <c r="E14784" s="330" t="s">
        <v>37248</v>
      </c>
      <c r="F14784" s="331">
        <v>0.21</v>
      </c>
      <c r="G14784" s="332">
        <v>14435</v>
      </c>
      <c r="H14784" s="333">
        <v>17467</v>
      </c>
    </row>
    <row r="14785" spans="1:8">
      <c r="A14785" s="317" t="s">
        <v>42792</v>
      </c>
      <c r="B14785" s="330" t="s">
        <v>59138</v>
      </c>
      <c r="C14785" s="330" t="s">
        <v>30887</v>
      </c>
      <c r="D14785" s="330" t="s">
        <v>30888</v>
      </c>
      <c r="E14785" s="330" t="s">
        <v>37248</v>
      </c>
      <c r="F14785" s="331">
        <v>0.21</v>
      </c>
      <c r="G14785" s="332">
        <v>863</v>
      </c>
      <c r="H14785" s="333">
        <v>1045</v>
      </c>
    </row>
    <row r="14786" spans="1:8">
      <c r="A14786" s="317" t="s">
        <v>42793</v>
      </c>
      <c r="B14786" s="330" t="s">
        <v>59139</v>
      </c>
      <c r="C14786" s="330" t="s">
        <v>30889</v>
      </c>
      <c r="D14786" s="330" t="s">
        <v>30890</v>
      </c>
      <c r="E14786" s="330" t="s">
        <v>37248</v>
      </c>
      <c r="F14786" s="331">
        <v>0.21</v>
      </c>
      <c r="G14786" s="332">
        <v>863</v>
      </c>
      <c r="H14786" s="333">
        <v>1045</v>
      </c>
    </row>
    <row r="14787" spans="1:8">
      <c r="A14787" s="317" t="s">
        <v>42794</v>
      </c>
      <c r="B14787" s="330" t="s">
        <v>59140</v>
      </c>
      <c r="C14787" s="330" t="s">
        <v>30891</v>
      </c>
      <c r="D14787" s="330" t="s">
        <v>30892</v>
      </c>
      <c r="E14787" s="330" t="s">
        <v>37248</v>
      </c>
      <c r="F14787" s="331">
        <v>0.21</v>
      </c>
      <c r="G14787" s="332">
        <v>696</v>
      </c>
      <c r="H14787" s="333">
        <v>843</v>
      </c>
    </row>
    <row r="14788" spans="1:8">
      <c r="A14788" s="317" t="s">
        <v>42795</v>
      </c>
      <c r="B14788" s="330" t="s">
        <v>59141</v>
      </c>
      <c r="C14788" s="330" t="s">
        <v>30893</v>
      </c>
      <c r="D14788" s="330" t="s">
        <v>30894</v>
      </c>
      <c r="E14788" s="330" t="s">
        <v>37248</v>
      </c>
      <c r="F14788" s="331">
        <v>0.21</v>
      </c>
      <c r="G14788" s="332">
        <v>863</v>
      </c>
      <c r="H14788" s="333">
        <v>1045</v>
      </c>
    </row>
    <row r="14789" spans="1:8">
      <c r="A14789" s="317" t="s">
        <v>42796</v>
      </c>
      <c r="B14789" s="330" t="s">
        <v>59142</v>
      </c>
      <c r="C14789" s="330" t="s">
        <v>30895</v>
      </c>
      <c r="D14789" s="330" t="s">
        <v>30896</v>
      </c>
      <c r="E14789" s="330" t="s">
        <v>37248</v>
      </c>
      <c r="F14789" s="331">
        <v>0.21</v>
      </c>
      <c r="G14789" s="332">
        <v>863</v>
      </c>
      <c r="H14789" s="333">
        <v>1045</v>
      </c>
    </row>
    <row r="14790" spans="1:8">
      <c r="A14790" s="317" t="s">
        <v>42797</v>
      </c>
      <c r="B14790" s="330" t="s">
        <v>59143</v>
      </c>
      <c r="C14790" s="330" t="s">
        <v>30897</v>
      </c>
      <c r="D14790" s="330" t="s">
        <v>30882</v>
      </c>
      <c r="E14790" s="330" t="s">
        <v>37248</v>
      </c>
      <c r="F14790" s="331">
        <v>0.21</v>
      </c>
      <c r="G14790" s="332">
        <v>4842</v>
      </c>
      <c r="H14790" s="333">
        <v>5859</v>
      </c>
    </row>
    <row r="14791" spans="1:8">
      <c r="A14791" s="317" t="s">
        <v>42798</v>
      </c>
      <c r="B14791" s="330" t="s">
        <v>59144</v>
      </c>
      <c r="C14791" s="330" t="s">
        <v>30898</v>
      </c>
      <c r="D14791" s="330" t="s">
        <v>30847</v>
      </c>
      <c r="E14791" s="330" t="s">
        <v>37248</v>
      </c>
      <c r="F14791" s="331">
        <v>0.21</v>
      </c>
      <c r="G14791" s="332">
        <v>1726</v>
      </c>
      <c r="H14791" s="333">
        <v>2089</v>
      </c>
    </row>
    <row r="14792" spans="1:8">
      <c r="A14792" s="317" t="s">
        <v>42799</v>
      </c>
      <c r="B14792" s="330" t="s">
        <v>59145</v>
      </c>
      <c r="C14792" s="330" t="s">
        <v>30899</v>
      </c>
      <c r="D14792" s="330" t="s">
        <v>30847</v>
      </c>
      <c r="E14792" s="330" t="s">
        <v>37248</v>
      </c>
      <c r="F14792" s="331">
        <v>0.21</v>
      </c>
      <c r="G14792" s="332">
        <v>863</v>
      </c>
      <c r="H14792" s="333">
        <v>1045</v>
      </c>
    </row>
    <row r="14793" spans="1:8">
      <c r="A14793" s="317" t="s">
        <v>42800</v>
      </c>
      <c r="B14793" s="330" t="s">
        <v>59146</v>
      </c>
      <c r="C14793" s="330" t="s">
        <v>30900</v>
      </c>
      <c r="D14793" s="330" t="s">
        <v>30901</v>
      </c>
      <c r="E14793" s="330" t="s">
        <v>37248</v>
      </c>
      <c r="F14793" s="331">
        <v>0.21</v>
      </c>
      <c r="G14793" s="332">
        <v>863</v>
      </c>
      <c r="H14793" s="333">
        <v>1045</v>
      </c>
    </row>
    <row r="14794" spans="1:8">
      <c r="A14794" s="317" t="s">
        <v>42801</v>
      </c>
      <c r="B14794" s="330" t="s">
        <v>59147</v>
      </c>
      <c r="C14794" s="330" t="s">
        <v>30902</v>
      </c>
      <c r="D14794" s="330" t="s">
        <v>30896</v>
      </c>
      <c r="E14794" s="330" t="s">
        <v>37248</v>
      </c>
      <c r="F14794" s="331">
        <v>0.21</v>
      </c>
      <c r="G14794" s="332">
        <v>2054</v>
      </c>
      <c r="H14794" s="333">
        <v>2486</v>
      </c>
    </row>
    <row r="14795" spans="1:8">
      <c r="A14795" s="317" t="s">
        <v>42802</v>
      </c>
      <c r="B14795" s="330" t="s">
        <v>59148</v>
      </c>
      <c r="C14795" s="330" t="s">
        <v>30903</v>
      </c>
      <c r="D14795" s="330" t="s">
        <v>30904</v>
      </c>
      <c r="E14795" s="330" t="s">
        <v>37248</v>
      </c>
      <c r="F14795" s="331">
        <v>0.21</v>
      </c>
      <c r="G14795" s="332">
        <v>994</v>
      </c>
      <c r="H14795" s="333">
        <v>1203</v>
      </c>
    </row>
    <row r="14796" spans="1:8">
      <c r="A14796" s="317" t="s">
        <v>42803</v>
      </c>
      <c r="B14796" s="330" t="s">
        <v>59149</v>
      </c>
      <c r="C14796" s="330" t="s">
        <v>30905</v>
      </c>
      <c r="D14796" s="330" t="s">
        <v>12706</v>
      </c>
      <c r="E14796" s="330" t="s">
        <v>37248</v>
      </c>
      <c r="F14796" s="331">
        <v>0.21</v>
      </c>
      <c r="G14796" s="332">
        <v>696</v>
      </c>
      <c r="H14796" s="333">
        <v>843</v>
      </c>
    </row>
    <row r="14797" spans="1:8">
      <c r="A14797" s="317" t="s">
        <v>42804</v>
      </c>
      <c r="B14797" s="330" t="s">
        <v>59150</v>
      </c>
      <c r="C14797" s="330" t="s">
        <v>30906</v>
      </c>
      <c r="D14797" s="330" t="s">
        <v>8094</v>
      </c>
      <c r="E14797" s="330" t="s">
        <v>37248</v>
      </c>
      <c r="F14797" s="331">
        <v>0.21</v>
      </c>
      <c r="G14797" s="332">
        <v>919</v>
      </c>
      <c r="H14797" s="333">
        <v>1112</v>
      </c>
    </row>
    <row r="14798" spans="1:8">
      <c r="A14798" s="317" t="s">
        <v>42805</v>
      </c>
      <c r="B14798" s="330" t="s">
        <v>59151</v>
      </c>
      <c r="C14798" s="330" t="s">
        <v>30907</v>
      </c>
      <c r="D14798" s="330" t="s">
        <v>30908</v>
      </c>
      <c r="E14798" s="330" t="s">
        <v>37248</v>
      </c>
      <c r="F14798" s="331">
        <v>0.21</v>
      </c>
      <c r="G14798" s="332">
        <v>919</v>
      </c>
      <c r="H14798" s="333">
        <v>1112</v>
      </c>
    </row>
    <row r="14799" spans="1:8">
      <c r="A14799" s="317" t="s">
        <v>42806</v>
      </c>
      <c r="B14799" s="330" t="s">
        <v>59152</v>
      </c>
      <c r="C14799" s="330" t="s">
        <v>30909</v>
      </c>
      <c r="D14799" s="330" t="s">
        <v>8255</v>
      </c>
      <c r="E14799" s="330" t="s">
        <v>37248</v>
      </c>
      <c r="F14799" s="331">
        <v>0.21</v>
      </c>
      <c r="G14799" s="332">
        <v>4454</v>
      </c>
      <c r="H14799" s="333">
        <v>5390</v>
      </c>
    </row>
    <row r="14800" spans="1:8">
      <c r="A14800" s="317" t="s">
        <v>42807</v>
      </c>
      <c r="B14800" s="330" t="s">
        <v>59153</v>
      </c>
      <c r="C14800" s="330" t="s">
        <v>30910</v>
      </c>
      <c r="D14800" s="330" t="s">
        <v>30861</v>
      </c>
      <c r="E14800" s="330" t="s">
        <v>37248</v>
      </c>
      <c r="F14800" s="331">
        <v>0.21</v>
      </c>
      <c r="G14800" s="332">
        <v>21225</v>
      </c>
      <c r="H14800" s="333">
        <v>25683</v>
      </c>
    </row>
    <row r="14801" spans="1:8">
      <c r="A14801" s="317" t="s">
        <v>42808</v>
      </c>
      <c r="B14801" s="330" t="s">
        <v>59154</v>
      </c>
      <c r="C14801" s="330" t="s">
        <v>30911</v>
      </c>
      <c r="D14801" s="330" t="s">
        <v>30888</v>
      </c>
      <c r="E14801" s="330" t="s">
        <v>37248</v>
      </c>
      <c r="F14801" s="331">
        <v>0.21</v>
      </c>
      <c r="G14801" s="332">
        <v>296</v>
      </c>
      <c r="H14801" s="333">
        <v>359</v>
      </c>
    </row>
    <row r="14802" spans="1:8">
      <c r="A14802" s="317" t="s">
        <v>42809</v>
      </c>
      <c r="B14802" s="330" t="s">
        <v>59155</v>
      </c>
      <c r="C14802" s="330" t="s">
        <v>30912</v>
      </c>
      <c r="D14802" s="330" t="s">
        <v>30908</v>
      </c>
      <c r="E14802" s="330" t="s">
        <v>37248</v>
      </c>
      <c r="F14802" s="331">
        <v>0.21</v>
      </c>
      <c r="G14802" s="332">
        <v>994</v>
      </c>
      <c r="H14802" s="333">
        <v>1203</v>
      </c>
    </row>
    <row r="14803" spans="1:8">
      <c r="A14803" s="317" t="s">
        <v>42810</v>
      </c>
      <c r="B14803" s="330" t="s">
        <v>59156</v>
      </c>
      <c r="C14803" s="330" t="s">
        <v>30913</v>
      </c>
      <c r="D14803" s="330" t="s">
        <v>30914</v>
      </c>
      <c r="E14803" s="330" t="s">
        <v>37248</v>
      </c>
      <c r="F14803" s="331">
        <v>0.21</v>
      </c>
      <c r="G14803" s="332">
        <v>44816</v>
      </c>
      <c r="H14803" s="333">
        <v>54228</v>
      </c>
    </row>
    <row r="14804" spans="1:8">
      <c r="A14804" s="317" t="s">
        <v>42811</v>
      </c>
      <c r="B14804" s="330" t="s">
        <v>59157</v>
      </c>
      <c r="C14804" s="330" t="s">
        <v>30915</v>
      </c>
      <c r="D14804" s="330" t="s">
        <v>12706</v>
      </c>
      <c r="E14804" s="330" t="s">
        <v>37248</v>
      </c>
      <c r="F14804" s="331">
        <v>0.21</v>
      </c>
      <c r="G14804" s="332">
        <v>240</v>
      </c>
      <c r="H14804" s="333">
        <v>291</v>
      </c>
    </row>
    <row r="14805" spans="1:8">
      <c r="A14805" s="317" t="s">
        <v>42812</v>
      </c>
      <c r="B14805" s="330" t="s">
        <v>59158</v>
      </c>
      <c r="C14805" s="330" t="s">
        <v>30916</v>
      </c>
      <c r="D14805" s="330" t="s">
        <v>6408</v>
      </c>
      <c r="E14805" s="330" t="s">
        <v>37248</v>
      </c>
      <c r="F14805" s="331">
        <v>0.21</v>
      </c>
      <c r="G14805" s="332">
        <v>240</v>
      </c>
      <c r="H14805" s="333">
        <v>291</v>
      </c>
    </row>
    <row r="14806" spans="1:8">
      <c r="A14806" s="317" t="s">
        <v>42813</v>
      </c>
      <c r="B14806" s="330" t="s">
        <v>59159</v>
      </c>
      <c r="C14806" s="330" t="s">
        <v>30917</v>
      </c>
      <c r="D14806" s="330" t="s">
        <v>30918</v>
      </c>
      <c r="E14806" s="330" t="s">
        <v>37248</v>
      </c>
      <c r="F14806" s="331">
        <v>0.21</v>
      </c>
      <c r="G14806" s="332">
        <v>2529</v>
      </c>
      <c r="H14806" s="333">
        <v>3061</v>
      </c>
    </row>
    <row r="14807" spans="1:8">
      <c r="A14807" s="317" t="s">
        <v>42814</v>
      </c>
      <c r="B14807" s="330" t="s">
        <v>59160</v>
      </c>
      <c r="C14807" s="330" t="s">
        <v>30919</v>
      </c>
      <c r="D14807" s="330" t="s">
        <v>30908</v>
      </c>
      <c r="E14807" s="330" t="s">
        <v>37248</v>
      </c>
      <c r="F14807" s="331">
        <v>0.21</v>
      </c>
      <c r="G14807" s="332">
        <v>1626</v>
      </c>
      <c r="H14807" s="333">
        <v>1968</v>
      </c>
    </row>
    <row r="14808" spans="1:8">
      <c r="A14808" s="317" t="s">
        <v>42815</v>
      </c>
      <c r="B14808" s="330" t="s">
        <v>59161</v>
      </c>
      <c r="C14808" s="330" t="s">
        <v>30920</v>
      </c>
      <c r="D14808" s="330" t="s">
        <v>6305</v>
      </c>
      <c r="E14808" s="330" t="s">
        <v>37248</v>
      </c>
      <c r="F14808" s="331">
        <v>0.21</v>
      </c>
      <c r="G14808" s="332">
        <v>174</v>
      </c>
      <c r="H14808" s="333">
        <v>211</v>
      </c>
    </row>
    <row r="14809" spans="1:8">
      <c r="A14809" s="317" t="s">
        <v>42816</v>
      </c>
      <c r="B14809" s="330" t="s">
        <v>59162</v>
      </c>
      <c r="C14809" s="330" t="s">
        <v>30921</v>
      </c>
      <c r="D14809" s="330" t="s">
        <v>30922</v>
      </c>
      <c r="E14809" s="330" t="s">
        <v>37248</v>
      </c>
      <c r="F14809" s="331">
        <v>0.21</v>
      </c>
      <c r="G14809" s="332">
        <v>6448</v>
      </c>
      <c r="H14809" s="333">
        <v>7803</v>
      </c>
    </row>
    <row r="14810" spans="1:8">
      <c r="A14810" s="317" t="s">
        <v>42817</v>
      </c>
      <c r="B14810" s="330" t="s">
        <v>59163</v>
      </c>
      <c r="C14810" s="330" t="s">
        <v>30923</v>
      </c>
      <c r="D14810" s="330" t="s">
        <v>12706</v>
      </c>
      <c r="E14810" s="330" t="s">
        <v>37248</v>
      </c>
      <c r="F14810" s="331">
        <v>0.21</v>
      </c>
      <c r="G14810" s="332">
        <v>3625</v>
      </c>
      <c r="H14810" s="333">
        <v>4387</v>
      </c>
    </row>
    <row r="14811" spans="1:8">
      <c r="A14811" s="317" t="s">
        <v>42818</v>
      </c>
      <c r="B14811" s="330" t="s">
        <v>59164</v>
      </c>
      <c r="C14811" s="330" t="s">
        <v>30924</v>
      </c>
      <c r="D14811" s="330" t="s">
        <v>30882</v>
      </c>
      <c r="E14811" s="330" t="s">
        <v>37248</v>
      </c>
      <c r="F14811" s="331">
        <v>0.21</v>
      </c>
      <c r="G14811" s="332">
        <v>3084</v>
      </c>
      <c r="H14811" s="333">
        <v>3732</v>
      </c>
    </row>
    <row r="14812" spans="1:8">
      <c r="A14812" s="317" t="s">
        <v>42819</v>
      </c>
      <c r="B14812" s="330" t="s">
        <v>59165</v>
      </c>
      <c r="C14812" s="330" t="s">
        <v>30925</v>
      </c>
      <c r="D14812" s="330" t="s">
        <v>30896</v>
      </c>
      <c r="E14812" s="330" t="s">
        <v>37248</v>
      </c>
      <c r="F14812" s="331">
        <v>0.21</v>
      </c>
      <c r="G14812" s="332">
        <v>1626</v>
      </c>
      <c r="H14812" s="333">
        <v>1968</v>
      </c>
    </row>
    <row r="14813" spans="1:8">
      <c r="A14813" s="317" t="s">
        <v>42820</v>
      </c>
      <c r="B14813" s="330" t="s">
        <v>59166</v>
      </c>
      <c r="C14813" s="330" t="s">
        <v>30926</v>
      </c>
      <c r="D14813" s="330" t="s">
        <v>30856</v>
      </c>
      <c r="E14813" s="330" t="s">
        <v>37248</v>
      </c>
      <c r="F14813" s="331">
        <v>0.21</v>
      </c>
      <c r="G14813" s="332">
        <v>863</v>
      </c>
      <c r="H14813" s="333">
        <v>1045</v>
      </c>
    </row>
    <row r="14814" spans="1:8">
      <c r="A14814" s="317" t="s">
        <v>42821</v>
      </c>
      <c r="B14814" s="330" t="s">
        <v>59167</v>
      </c>
      <c r="C14814" s="330" t="s">
        <v>30927</v>
      </c>
      <c r="D14814" s="330" t="s">
        <v>30928</v>
      </c>
      <c r="E14814" s="330" t="s">
        <v>37248</v>
      </c>
      <c r="F14814" s="331">
        <v>0.21</v>
      </c>
      <c r="G14814" s="332">
        <v>696</v>
      </c>
      <c r="H14814" s="333">
        <v>843</v>
      </c>
    </row>
    <row r="14815" spans="1:8">
      <c r="A14815" s="317" t="s">
        <v>42822</v>
      </c>
      <c r="B14815" s="330" t="s">
        <v>59168</v>
      </c>
      <c r="C14815" s="330" t="s">
        <v>30929</v>
      </c>
      <c r="D14815" s="330" t="s">
        <v>30851</v>
      </c>
      <c r="E14815" s="330" t="s">
        <v>37248</v>
      </c>
      <c r="F14815" s="331">
        <v>0.21</v>
      </c>
      <c r="G14815" s="332">
        <v>696</v>
      </c>
      <c r="H14815" s="333">
        <v>843</v>
      </c>
    </row>
    <row r="14816" spans="1:8">
      <c r="A14816" s="317" t="s">
        <v>42823</v>
      </c>
      <c r="B14816" s="330" t="s">
        <v>59169</v>
      </c>
      <c r="C14816" s="330" t="s">
        <v>30930</v>
      </c>
      <c r="D14816" s="330" t="s">
        <v>30931</v>
      </c>
      <c r="E14816" s="330" t="s">
        <v>37248</v>
      </c>
      <c r="F14816" s="331">
        <v>0.21</v>
      </c>
      <c r="G14816" s="332">
        <v>6448</v>
      </c>
      <c r="H14816" s="333">
        <v>7803</v>
      </c>
    </row>
    <row r="14817" spans="1:8">
      <c r="A14817" s="317" t="s">
        <v>42824</v>
      </c>
      <c r="B14817" s="330" t="s">
        <v>59170</v>
      </c>
      <c r="C14817" s="330" t="s">
        <v>30932</v>
      </c>
      <c r="D14817" s="330" t="s">
        <v>30928</v>
      </c>
      <c r="E14817" s="330" t="s">
        <v>4634</v>
      </c>
      <c r="F14817" s="331">
        <v>0.21</v>
      </c>
      <c r="G14817" s="332">
        <v>5217</v>
      </c>
      <c r="H14817" s="333">
        <v>6313</v>
      </c>
    </row>
    <row r="14818" spans="1:8">
      <c r="A14818" s="317" t="s">
        <v>42825</v>
      </c>
      <c r="B14818" s="330" t="s">
        <v>59171</v>
      </c>
      <c r="C14818" s="330" t="s">
        <v>30933</v>
      </c>
      <c r="D14818" s="330" t="s">
        <v>30934</v>
      </c>
      <c r="E14818" s="330" t="s">
        <v>37248</v>
      </c>
      <c r="F14818" s="331">
        <v>0.21</v>
      </c>
      <c r="G14818" s="332">
        <v>5663</v>
      </c>
      <c r="H14818" s="333">
        <v>6853</v>
      </c>
    </row>
    <row r="14819" spans="1:8">
      <c r="A14819" s="317" t="s">
        <v>42826</v>
      </c>
      <c r="B14819" s="330" t="s">
        <v>59172</v>
      </c>
      <c r="C14819" s="330" t="s">
        <v>30935</v>
      </c>
      <c r="D14819" s="330" t="s">
        <v>30847</v>
      </c>
      <c r="E14819" s="330" t="s">
        <v>37248</v>
      </c>
      <c r="F14819" s="331">
        <v>0.21</v>
      </c>
      <c r="G14819" s="332">
        <v>2690</v>
      </c>
      <c r="H14819" s="333">
        <v>3255</v>
      </c>
    </row>
    <row r="14820" spans="1:8">
      <c r="A14820" s="317" t="s">
        <v>42827</v>
      </c>
      <c r="B14820" s="330" t="s">
        <v>59173</v>
      </c>
      <c r="C14820" s="330" t="s">
        <v>30936</v>
      </c>
      <c r="D14820" s="330" t="s">
        <v>30896</v>
      </c>
      <c r="E14820" s="330" t="s">
        <v>37248</v>
      </c>
      <c r="F14820" s="331">
        <v>0.21</v>
      </c>
      <c r="G14820" s="332">
        <v>1835</v>
      </c>
      <c r="H14820" s="333">
        <v>2221</v>
      </c>
    </row>
    <row r="14821" spans="1:8">
      <c r="A14821" s="317" t="s">
        <v>42828</v>
      </c>
      <c r="B14821" s="330" t="s">
        <v>59174</v>
      </c>
      <c r="C14821" s="330" t="s">
        <v>30937</v>
      </c>
      <c r="D14821" s="330" t="s">
        <v>7626</v>
      </c>
      <c r="E14821" s="330" t="s">
        <v>37248</v>
      </c>
      <c r="F14821" s="331">
        <v>0.21</v>
      </c>
      <c r="G14821" s="332">
        <v>8996</v>
      </c>
      <c r="H14821" s="333">
        <v>10886</v>
      </c>
    </row>
    <row r="14822" spans="1:8">
      <c r="A14822" s="317" t="s">
        <v>42829</v>
      </c>
      <c r="B14822" s="330" t="s">
        <v>59175</v>
      </c>
      <c r="C14822" s="330" t="s">
        <v>30938</v>
      </c>
      <c r="D14822" s="330" t="s">
        <v>30939</v>
      </c>
      <c r="E14822" s="330" t="s">
        <v>37248</v>
      </c>
      <c r="F14822" s="331">
        <v>0.21</v>
      </c>
      <c r="G14822" s="332">
        <v>240</v>
      </c>
      <c r="H14822" s="333">
        <v>291</v>
      </c>
    </row>
    <row r="14823" spans="1:8">
      <c r="A14823" s="317" t="s">
        <v>42830</v>
      </c>
      <c r="B14823" s="330" t="s">
        <v>59176</v>
      </c>
      <c r="C14823" s="330" t="s">
        <v>30940</v>
      </c>
      <c r="D14823" s="330" t="s">
        <v>30941</v>
      </c>
      <c r="E14823" s="330" t="s">
        <v>37248</v>
      </c>
      <c r="F14823" s="331">
        <v>0.21</v>
      </c>
      <c r="G14823" s="332">
        <v>600</v>
      </c>
      <c r="H14823" s="333">
        <v>726</v>
      </c>
    </row>
    <row r="14824" spans="1:8">
      <c r="A14824" s="317" t="s">
        <v>42831</v>
      </c>
      <c r="B14824" s="330" t="s">
        <v>59177</v>
      </c>
      <c r="C14824" s="330" t="s">
        <v>30942</v>
      </c>
      <c r="D14824" s="330" t="s">
        <v>7653</v>
      </c>
      <c r="E14824" s="330" t="s">
        <v>37248</v>
      </c>
      <c r="F14824" s="331">
        <v>0.21</v>
      </c>
      <c r="G14824" s="332">
        <v>6448</v>
      </c>
      <c r="H14824" s="333">
        <v>7803</v>
      </c>
    </row>
    <row r="14825" spans="1:8">
      <c r="A14825" s="317" t="s">
        <v>42832</v>
      </c>
      <c r="B14825" s="330" t="s">
        <v>59178</v>
      </c>
      <c r="C14825" s="330" t="s">
        <v>30943</v>
      </c>
      <c r="D14825" s="330" t="s">
        <v>30908</v>
      </c>
      <c r="E14825" s="330" t="s">
        <v>37248</v>
      </c>
      <c r="F14825" s="331">
        <v>0.21</v>
      </c>
      <c r="G14825" s="332">
        <v>1266</v>
      </c>
      <c r="H14825" s="333">
        <v>1532</v>
      </c>
    </row>
    <row r="14826" spans="1:8">
      <c r="A14826" s="317" t="s">
        <v>42833</v>
      </c>
      <c r="B14826" s="330" t="s">
        <v>59179</v>
      </c>
      <c r="C14826" s="330" t="s">
        <v>30944</v>
      </c>
      <c r="D14826" s="330" t="s">
        <v>30945</v>
      </c>
      <c r="E14826" s="330" t="s">
        <v>37248</v>
      </c>
      <c r="F14826" s="331">
        <v>0.21</v>
      </c>
      <c r="G14826" s="332">
        <v>16347</v>
      </c>
      <c r="H14826" s="333">
        <v>19780</v>
      </c>
    </row>
    <row r="14827" spans="1:8">
      <c r="A14827" s="317" t="s">
        <v>42834</v>
      </c>
      <c r="B14827" s="330" t="s">
        <v>59180</v>
      </c>
      <c r="C14827" s="330" t="s">
        <v>30946</v>
      </c>
      <c r="D14827" s="330" t="s">
        <v>30847</v>
      </c>
      <c r="E14827" s="330" t="s">
        <v>37248</v>
      </c>
      <c r="F14827" s="331">
        <v>0.21</v>
      </c>
      <c r="G14827" s="332">
        <v>174</v>
      </c>
      <c r="H14827" s="333">
        <v>211</v>
      </c>
    </row>
    <row r="14828" spans="1:8">
      <c r="A14828" s="317" t="s">
        <v>42835</v>
      </c>
      <c r="B14828" s="330" t="s">
        <v>59181</v>
      </c>
      <c r="C14828" s="330" t="s">
        <v>30947</v>
      </c>
      <c r="D14828" s="330" t="s">
        <v>30948</v>
      </c>
      <c r="E14828" s="330" t="s">
        <v>37248</v>
      </c>
      <c r="F14828" s="331">
        <v>0.21</v>
      </c>
      <c r="G14828" s="332">
        <v>15225</v>
      </c>
      <c r="H14828" s="333">
        <v>18423</v>
      </c>
    </row>
    <row r="14829" spans="1:8">
      <c r="A14829" s="317" t="s">
        <v>42836</v>
      </c>
      <c r="B14829" s="330" t="s">
        <v>59182</v>
      </c>
      <c r="C14829" s="330" t="s">
        <v>30949</v>
      </c>
      <c r="D14829" s="330" t="s">
        <v>30950</v>
      </c>
      <c r="E14829" s="330" t="s">
        <v>37248</v>
      </c>
      <c r="F14829" s="331">
        <v>0.21</v>
      </c>
      <c r="G14829" s="332">
        <v>6058</v>
      </c>
      <c r="H14829" s="333">
        <v>7331</v>
      </c>
    </row>
    <row r="14830" spans="1:8">
      <c r="A14830" s="317" t="s">
        <v>42837</v>
      </c>
      <c r="B14830" s="330" t="s">
        <v>59183</v>
      </c>
      <c r="C14830" s="330" t="s">
        <v>30951</v>
      </c>
      <c r="D14830" s="330" t="s">
        <v>30952</v>
      </c>
      <c r="E14830" s="330" t="s">
        <v>37248</v>
      </c>
      <c r="F14830" s="331">
        <v>0.21</v>
      </c>
      <c r="G14830" s="332">
        <v>240</v>
      </c>
      <c r="H14830" s="333">
        <v>291</v>
      </c>
    </row>
    <row r="14831" spans="1:8">
      <c r="A14831" s="317" t="s">
        <v>42838</v>
      </c>
      <c r="B14831" s="330" t="s">
        <v>59184</v>
      </c>
      <c r="C14831" s="330" t="s">
        <v>30953</v>
      </c>
      <c r="D14831" s="330" t="s">
        <v>7653</v>
      </c>
      <c r="E14831" s="330" t="s">
        <v>37248</v>
      </c>
      <c r="F14831" s="331">
        <v>0.21</v>
      </c>
      <c r="G14831" s="332">
        <v>174</v>
      </c>
      <c r="H14831" s="333">
        <v>211</v>
      </c>
    </row>
    <row r="14832" spans="1:8">
      <c r="A14832" s="317" t="s">
        <v>42839</v>
      </c>
      <c r="B14832" s="330" t="s">
        <v>59185</v>
      </c>
      <c r="C14832" s="330" t="s">
        <v>30954</v>
      </c>
      <c r="D14832" s="330" t="s">
        <v>30955</v>
      </c>
      <c r="E14832" s="330" t="s">
        <v>37248</v>
      </c>
      <c r="F14832" s="331">
        <v>0.21</v>
      </c>
      <c r="G14832" s="332">
        <v>863</v>
      </c>
      <c r="H14832" s="333">
        <v>1045</v>
      </c>
    </row>
    <row r="14833" spans="1:8">
      <c r="A14833" s="317" t="s">
        <v>42840</v>
      </c>
      <c r="B14833" s="330" t="s">
        <v>59186</v>
      </c>
      <c r="C14833" s="330" t="s">
        <v>30956</v>
      </c>
      <c r="D14833" s="330" t="s">
        <v>7653</v>
      </c>
      <c r="E14833" s="330" t="s">
        <v>37248</v>
      </c>
      <c r="F14833" s="331">
        <v>0.21</v>
      </c>
      <c r="G14833" s="332">
        <v>919</v>
      </c>
      <c r="H14833" s="333">
        <v>1112</v>
      </c>
    </row>
    <row r="14834" spans="1:8">
      <c r="A14834" s="317" t="s">
        <v>42841</v>
      </c>
      <c r="B14834" s="330" t="s">
        <v>59187</v>
      </c>
      <c r="C14834" s="330" t="s">
        <v>30957</v>
      </c>
      <c r="D14834" s="330" t="s">
        <v>6408</v>
      </c>
      <c r="E14834" s="330" t="s">
        <v>37248</v>
      </c>
      <c r="F14834" s="331">
        <v>0.21</v>
      </c>
      <c r="G14834" s="332">
        <v>863</v>
      </c>
      <c r="H14834" s="333">
        <v>1045</v>
      </c>
    </row>
    <row r="14835" spans="1:8">
      <c r="A14835" s="317" t="s">
        <v>42842</v>
      </c>
      <c r="B14835" s="330" t="s">
        <v>59188</v>
      </c>
      <c r="C14835" s="330" t="s">
        <v>30958</v>
      </c>
      <c r="D14835" s="330" t="s">
        <v>30959</v>
      </c>
      <c r="E14835" s="330" t="s">
        <v>37248</v>
      </c>
      <c r="F14835" s="331">
        <v>0.21</v>
      </c>
      <c r="G14835" s="332">
        <v>240</v>
      </c>
      <c r="H14835" s="333">
        <v>291</v>
      </c>
    </row>
    <row r="14836" spans="1:8">
      <c r="A14836" s="317" t="s">
        <v>42843</v>
      </c>
      <c r="B14836" s="330" t="s">
        <v>59189</v>
      </c>
      <c r="C14836" s="330" t="s">
        <v>30960</v>
      </c>
      <c r="D14836" s="330" t="s">
        <v>30961</v>
      </c>
      <c r="E14836" s="330" t="s">
        <v>37248</v>
      </c>
      <c r="F14836" s="331">
        <v>0.21</v>
      </c>
      <c r="G14836" s="332">
        <v>1579</v>
      </c>
      <c r="H14836" s="333">
        <v>1911</v>
      </c>
    </row>
    <row r="14837" spans="1:8">
      <c r="A14837" s="317" t="s">
        <v>42844</v>
      </c>
      <c r="B14837" s="330" t="s">
        <v>59190</v>
      </c>
      <c r="C14837" s="330" t="s">
        <v>30962</v>
      </c>
      <c r="D14837" s="330" t="s">
        <v>7653</v>
      </c>
      <c r="E14837" s="330" t="s">
        <v>37248</v>
      </c>
      <c r="F14837" s="331">
        <v>0.21</v>
      </c>
      <c r="G14837" s="332">
        <v>452</v>
      </c>
      <c r="H14837" s="333">
        <v>547</v>
      </c>
    </row>
    <row r="14838" spans="1:8">
      <c r="A14838" s="317" t="s">
        <v>42845</v>
      </c>
      <c r="B14838" s="330" t="s">
        <v>59191</v>
      </c>
      <c r="C14838" s="330" t="s">
        <v>30963</v>
      </c>
      <c r="D14838" s="330" t="s">
        <v>30964</v>
      </c>
      <c r="E14838" s="330" t="s">
        <v>37248</v>
      </c>
      <c r="F14838" s="331">
        <v>0.21</v>
      </c>
      <c r="G14838" s="332">
        <v>36348</v>
      </c>
      <c r="H14838" s="333">
        <v>43982</v>
      </c>
    </row>
    <row r="14839" spans="1:8">
      <c r="A14839" s="317" t="s">
        <v>42846</v>
      </c>
      <c r="B14839" s="330" t="s">
        <v>59192</v>
      </c>
      <c r="C14839" s="330" t="s">
        <v>30965</v>
      </c>
      <c r="D14839" s="330" t="s">
        <v>30966</v>
      </c>
      <c r="E14839" s="330" t="s">
        <v>37248</v>
      </c>
      <c r="F14839" s="331">
        <v>0.21</v>
      </c>
      <c r="G14839" s="332">
        <v>10602</v>
      </c>
      <c r="H14839" s="333">
        <v>12829</v>
      </c>
    </row>
    <row r="14840" spans="1:8">
      <c r="A14840" s="317" t="s">
        <v>42847</v>
      </c>
      <c r="B14840" s="330" t="s">
        <v>59193</v>
      </c>
      <c r="C14840" s="330" t="s">
        <v>30967</v>
      </c>
      <c r="D14840" s="330" t="s">
        <v>6458</v>
      </c>
      <c r="E14840" s="330" t="s">
        <v>37248</v>
      </c>
      <c r="F14840" s="331">
        <v>0.21</v>
      </c>
      <c r="G14840" s="332">
        <v>689</v>
      </c>
      <c r="H14840" s="333">
        <v>834</v>
      </c>
    </row>
    <row r="14841" spans="1:8">
      <c r="A14841" s="317" t="s">
        <v>42848</v>
      </c>
      <c r="B14841" s="330" t="s">
        <v>59194</v>
      </c>
      <c r="C14841" s="330" t="s">
        <v>30968</v>
      </c>
      <c r="D14841" s="330" t="s">
        <v>6458</v>
      </c>
      <c r="E14841" s="330" t="s">
        <v>37248</v>
      </c>
      <c r="F14841" s="331">
        <v>0.21</v>
      </c>
      <c r="G14841" s="332">
        <v>919</v>
      </c>
      <c r="H14841" s="333">
        <v>1112</v>
      </c>
    </row>
    <row r="14842" spans="1:8">
      <c r="A14842" s="317" t="s">
        <v>42849</v>
      </c>
      <c r="B14842" s="330" t="s">
        <v>59195</v>
      </c>
      <c r="C14842" s="330" t="s">
        <v>30969</v>
      </c>
      <c r="D14842" s="330" t="s">
        <v>30970</v>
      </c>
      <c r="E14842" s="330" t="s">
        <v>37248</v>
      </c>
      <c r="F14842" s="331">
        <v>0.21</v>
      </c>
      <c r="G14842" s="332">
        <v>4795</v>
      </c>
      <c r="H14842" s="333">
        <v>5802</v>
      </c>
    </row>
    <row r="14843" spans="1:8">
      <c r="A14843" s="317" t="s">
        <v>42850</v>
      </c>
      <c r="B14843" s="330" t="s">
        <v>59196</v>
      </c>
      <c r="C14843" s="330" t="s">
        <v>30971</v>
      </c>
      <c r="D14843" s="330" t="s">
        <v>30966</v>
      </c>
      <c r="E14843" s="330" t="s">
        <v>37248</v>
      </c>
      <c r="F14843" s="331">
        <v>0.21</v>
      </c>
      <c r="G14843" s="332">
        <v>5146</v>
      </c>
      <c r="H14843" s="333">
        <v>6227</v>
      </c>
    </row>
    <row r="14844" spans="1:8">
      <c r="A14844" s="317" t="s">
        <v>42851</v>
      </c>
      <c r="B14844" s="330" t="s">
        <v>59197</v>
      </c>
      <c r="C14844" s="330" t="s">
        <v>30972</v>
      </c>
      <c r="D14844" s="330" t="s">
        <v>7235</v>
      </c>
      <c r="E14844" s="330" t="s">
        <v>37248</v>
      </c>
      <c r="F14844" s="331">
        <v>0.21</v>
      </c>
      <c r="G14844" s="332">
        <v>919</v>
      </c>
      <c r="H14844" s="333">
        <v>1112</v>
      </c>
    </row>
    <row r="14845" spans="1:8">
      <c r="A14845" s="317" t="s">
        <v>42852</v>
      </c>
      <c r="B14845" s="330" t="s">
        <v>59198</v>
      </c>
      <c r="C14845" s="330" t="s">
        <v>30973</v>
      </c>
      <c r="D14845" s="330" t="s">
        <v>21174</v>
      </c>
      <c r="E14845" s="330" t="s">
        <v>37248</v>
      </c>
      <c r="F14845" s="331">
        <v>0.21</v>
      </c>
      <c r="G14845" s="332">
        <v>25491</v>
      </c>
      <c r="H14845" s="333">
        <v>30845</v>
      </c>
    </row>
    <row r="14846" spans="1:8">
      <c r="A14846" s="317" t="s">
        <v>42853</v>
      </c>
      <c r="B14846" s="330" t="s">
        <v>59199</v>
      </c>
      <c r="C14846" s="330" t="s">
        <v>30974</v>
      </c>
      <c r="D14846" s="330" t="s">
        <v>30975</v>
      </c>
      <c r="E14846" s="330" t="s">
        <v>37248</v>
      </c>
      <c r="F14846" s="331">
        <v>0.21</v>
      </c>
      <c r="G14846" s="332">
        <v>7917</v>
      </c>
      <c r="H14846" s="333">
        <v>9580</v>
      </c>
    </row>
    <row r="14847" spans="1:8">
      <c r="A14847" s="317" t="s">
        <v>42854</v>
      </c>
      <c r="B14847" s="330" t="s">
        <v>59200</v>
      </c>
      <c r="C14847" s="330" t="s">
        <v>30976</v>
      </c>
      <c r="D14847" s="330" t="s">
        <v>21174</v>
      </c>
      <c r="E14847" s="330" t="s">
        <v>37248</v>
      </c>
      <c r="F14847" s="331">
        <v>0.21</v>
      </c>
      <c r="G14847" s="332">
        <v>25452</v>
      </c>
      <c r="H14847" s="333">
        <v>30797</v>
      </c>
    </row>
    <row r="14848" spans="1:8">
      <c r="A14848" s="317" t="s">
        <v>42855</v>
      </c>
      <c r="B14848" s="330" t="s">
        <v>59201</v>
      </c>
      <c r="C14848" s="330" t="s">
        <v>30977</v>
      </c>
      <c r="D14848" s="330" t="s">
        <v>30978</v>
      </c>
      <c r="E14848" s="330" t="s">
        <v>37248</v>
      </c>
      <c r="F14848" s="331">
        <v>0.21</v>
      </c>
      <c r="G14848" s="332">
        <v>1684</v>
      </c>
      <c r="H14848" s="333">
        <v>2038</v>
      </c>
    </row>
    <row r="14849" spans="1:8">
      <c r="A14849" s="317" t="s">
        <v>42856</v>
      </c>
      <c r="B14849" s="330" t="s">
        <v>59202</v>
      </c>
      <c r="C14849" s="330" t="s">
        <v>30979</v>
      </c>
      <c r="D14849" s="330" t="s">
        <v>30980</v>
      </c>
      <c r="E14849" s="330" t="s">
        <v>37248</v>
      </c>
      <c r="F14849" s="331">
        <v>0.21</v>
      </c>
      <c r="G14849" s="332">
        <v>1329</v>
      </c>
      <c r="H14849" s="333">
        <v>1609</v>
      </c>
    </row>
    <row r="14850" spans="1:8">
      <c r="A14850" s="317" t="s">
        <v>42857</v>
      </c>
      <c r="B14850" s="330" t="s">
        <v>59203</v>
      </c>
      <c r="C14850" s="330" t="s">
        <v>30981</v>
      </c>
      <c r="D14850" s="330" t="s">
        <v>30982</v>
      </c>
      <c r="E14850" s="330" t="s">
        <v>37248</v>
      </c>
      <c r="F14850" s="331">
        <v>0.21</v>
      </c>
      <c r="G14850" s="332">
        <v>519</v>
      </c>
      <c r="H14850" s="333">
        <v>628</v>
      </c>
    </row>
    <row r="14851" spans="1:8">
      <c r="A14851" s="317" t="s">
        <v>42858</v>
      </c>
      <c r="B14851" s="330" t="s">
        <v>59204</v>
      </c>
      <c r="C14851" s="330" t="s">
        <v>30983</v>
      </c>
      <c r="D14851" s="330" t="s">
        <v>30984</v>
      </c>
      <c r="E14851" s="330" t="s">
        <v>37248</v>
      </c>
      <c r="F14851" s="331">
        <v>0.21</v>
      </c>
      <c r="G14851" s="332">
        <v>10029</v>
      </c>
      <c r="H14851" s="333">
        <v>12136</v>
      </c>
    </row>
    <row r="14852" spans="1:8">
      <c r="A14852" s="317" t="s">
        <v>42859</v>
      </c>
      <c r="B14852" s="330" t="s">
        <v>59205</v>
      </c>
      <c r="C14852" s="330" t="s">
        <v>30985</v>
      </c>
      <c r="D14852" s="330" t="s">
        <v>30986</v>
      </c>
      <c r="E14852" s="330" t="s">
        <v>37248</v>
      </c>
      <c r="F14852" s="331">
        <v>0.21</v>
      </c>
      <c r="G14852" s="332">
        <v>12041</v>
      </c>
      <c r="H14852" s="333">
        <v>14570</v>
      </c>
    </row>
    <row r="14853" spans="1:8">
      <c r="A14853" s="317" t="s">
        <v>42860</v>
      </c>
      <c r="B14853" s="330" t="s">
        <v>59206</v>
      </c>
      <c r="C14853" s="330" t="s">
        <v>30987</v>
      </c>
      <c r="D14853" s="330" t="s">
        <v>30955</v>
      </c>
      <c r="E14853" s="330" t="s">
        <v>37248</v>
      </c>
      <c r="F14853" s="331">
        <v>0.21</v>
      </c>
      <c r="G14853" s="332">
        <v>863</v>
      </c>
      <c r="H14853" s="333">
        <v>1045</v>
      </c>
    </row>
    <row r="14854" spans="1:8">
      <c r="A14854" s="317" t="s">
        <v>42861</v>
      </c>
      <c r="B14854" s="330" t="s">
        <v>59207</v>
      </c>
      <c r="C14854" s="330" t="s">
        <v>30988</v>
      </c>
      <c r="D14854" s="330" t="s">
        <v>30966</v>
      </c>
      <c r="E14854" s="330" t="s">
        <v>37248</v>
      </c>
      <c r="F14854" s="331">
        <v>0.21</v>
      </c>
      <c r="G14854" s="332">
        <v>24652</v>
      </c>
      <c r="H14854" s="333">
        <v>29829</v>
      </c>
    </row>
    <row r="14855" spans="1:8">
      <c r="A14855" s="317" t="s">
        <v>42862</v>
      </c>
      <c r="B14855" s="330" t="s">
        <v>59208</v>
      </c>
      <c r="C14855" s="330" t="s">
        <v>30989</v>
      </c>
      <c r="D14855" s="330" t="s">
        <v>30990</v>
      </c>
      <c r="E14855" s="330" t="s">
        <v>4634</v>
      </c>
      <c r="F14855" s="331">
        <v>0.21</v>
      </c>
      <c r="G14855" s="332">
        <v>948</v>
      </c>
      <c r="H14855" s="333">
        <v>1148</v>
      </c>
    </row>
    <row r="14856" spans="1:8">
      <c r="A14856" s="317" t="s">
        <v>42863</v>
      </c>
      <c r="B14856" s="330" t="s">
        <v>59209</v>
      </c>
      <c r="C14856" s="330" t="s">
        <v>30991</v>
      </c>
      <c r="D14856" s="330" t="s">
        <v>30992</v>
      </c>
      <c r="E14856" s="330" t="s">
        <v>4819</v>
      </c>
      <c r="F14856" s="331">
        <v>0.21</v>
      </c>
      <c r="G14856" s="332">
        <v>203943</v>
      </c>
      <c r="H14856" s="333">
        <v>246772</v>
      </c>
    </row>
    <row r="14857" spans="1:8">
      <c r="A14857" s="317" t="s">
        <v>42864</v>
      </c>
      <c r="B14857" s="330" t="s">
        <v>59210</v>
      </c>
      <c r="C14857" s="330" t="s">
        <v>30993</v>
      </c>
      <c r="D14857" s="330" t="s">
        <v>30994</v>
      </c>
      <c r="E14857" s="330" t="s">
        <v>4819</v>
      </c>
      <c r="F14857" s="331">
        <v>0.21</v>
      </c>
      <c r="G14857" s="332">
        <v>1837</v>
      </c>
      <c r="H14857" s="333">
        <v>2223</v>
      </c>
    </row>
    <row r="14858" spans="1:8">
      <c r="A14858" s="317" t="s">
        <v>42865</v>
      </c>
      <c r="B14858" s="330" t="s">
        <v>59211</v>
      </c>
      <c r="C14858" s="330" t="s">
        <v>30995</v>
      </c>
      <c r="D14858" s="330" t="s">
        <v>30996</v>
      </c>
      <c r="E14858" s="330" t="s">
        <v>4819</v>
      </c>
      <c r="F14858" s="331">
        <v>0.21</v>
      </c>
      <c r="G14858" s="332">
        <v>758</v>
      </c>
      <c r="H14858" s="333">
        <v>918</v>
      </c>
    </row>
    <row r="14859" spans="1:8">
      <c r="A14859" s="317" t="s">
        <v>42866</v>
      </c>
      <c r="B14859" s="330" t="s">
        <v>59212</v>
      </c>
      <c r="C14859" s="330" t="s">
        <v>30997</v>
      </c>
      <c r="D14859" s="330" t="s">
        <v>30996</v>
      </c>
      <c r="E14859" s="330" t="s">
        <v>4819</v>
      </c>
      <c r="F14859" s="331">
        <v>0.21</v>
      </c>
      <c r="G14859" s="332">
        <v>758</v>
      </c>
      <c r="H14859" s="333">
        <v>918</v>
      </c>
    </row>
    <row r="14860" spans="1:8">
      <c r="A14860" s="317" t="s">
        <v>42867</v>
      </c>
      <c r="B14860" s="330" t="s">
        <v>59213</v>
      </c>
      <c r="C14860" s="330" t="s">
        <v>30998</v>
      </c>
      <c r="D14860" s="330" t="s">
        <v>30999</v>
      </c>
      <c r="E14860" s="330" t="s">
        <v>4819</v>
      </c>
      <c r="F14860" s="331">
        <v>0.21</v>
      </c>
      <c r="G14860" s="332">
        <v>709</v>
      </c>
      <c r="H14860" s="333">
        <v>858</v>
      </c>
    </row>
    <row r="14861" spans="1:8">
      <c r="A14861" s="317" t="s">
        <v>42868</v>
      </c>
      <c r="B14861" s="330" t="s">
        <v>59214</v>
      </c>
      <c r="C14861" s="330" t="s">
        <v>31000</v>
      </c>
      <c r="D14861" s="330" t="s">
        <v>30996</v>
      </c>
      <c r="E14861" s="330" t="s">
        <v>4819</v>
      </c>
      <c r="F14861" s="331">
        <v>0.21</v>
      </c>
      <c r="G14861" s="332">
        <v>758</v>
      </c>
      <c r="H14861" s="333">
        <v>918</v>
      </c>
    </row>
    <row r="14862" spans="1:8">
      <c r="A14862" s="317" t="s">
        <v>42869</v>
      </c>
      <c r="B14862" s="330" t="s">
        <v>59215</v>
      </c>
      <c r="C14862" s="330" t="s">
        <v>31001</v>
      </c>
      <c r="D14862" s="330" t="s">
        <v>31002</v>
      </c>
      <c r="E14862" s="330" t="s">
        <v>4819</v>
      </c>
      <c r="F14862" s="331">
        <v>0.21</v>
      </c>
      <c r="G14862" s="332">
        <v>53888</v>
      </c>
      <c r="H14862" s="333">
        <v>65205</v>
      </c>
    </row>
    <row r="14863" spans="1:8">
      <c r="A14863" s="317" t="s">
        <v>42870</v>
      </c>
      <c r="B14863" s="330" t="s">
        <v>59216</v>
      </c>
      <c r="C14863" s="330" t="s">
        <v>31003</v>
      </c>
      <c r="D14863" s="330" t="s">
        <v>31004</v>
      </c>
      <c r="E14863" s="330" t="s">
        <v>4819</v>
      </c>
      <c r="F14863" s="331">
        <v>0.21</v>
      </c>
      <c r="G14863" s="332">
        <v>758</v>
      </c>
      <c r="H14863" s="333">
        <v>918</v>
      </c>
    </row>
    <row r="14864" spans="1:8">
      <c r="A14864" s="317" t="s">
        <v>42871</v>
      </c>
      <c r="B14864" s="330" t="s">
        <v>59217</v>
      </c>
      <c r="C14864" s="330" t="s">
        <v>31005</v>
      </c>
      <c r="D14864" s="330" t="s">
        <v>31006</v>
      </c>
      <c r="E14864" s="330" t="s">
        <v>4819</v>
      </c>
      <c r="F14864" s="331">
        <v>0.21</v>
      </c>
      <c r="G14864" s="332">
        <v>16242</v>
      </c>
      <c r="H14864" s="333">
        <v>19653</v>
      </c>
    </row>
    <row r="14865" spans="1:8">
      <c r="A14865" s="317" t="s">
        <v>42872</v>
      </c>
      <c r="B14865" s="330" t="s">
        <v>59218</v>
      </c>
      <c r="C14865" s="330" t="s">
        <v>31007</v>
      </c>
      <c r="D14865" s="330" t="s">
        <v>31008</v>
      </c>
      <c r="E14865" s="330" t="s">
        <v>4819</v>
      </c>
      <c r="F14865" s="331">
        <v>0.21</v>
      </c>
      <c r="G14865" s="332">
        <v>2311</v>
      </c>
      <c r="H14865" s="333">
        <v>2797</v>
      </c>
    </row>
    <row r="14866" spans="1:8">
      <c r="A14866" s="317" t="s">
        <v>42873</v>
      </c>
      <c r="B14866" s="330" t="s">
        <v>59219</v>
      </c>
      <c r="C14866" s="330" t="s">
        <v>31009</v>
      </c>
      <c r="D14866" s="330" t="s">
        <v>31010</v>
      </c>
      <c r="E14866" s="330" t="s">
        <v>4819</v>
      </c>
      <c r="F14866" s="331">
        <v>0.21</v>
      </c>
      <c r="G14866" s="332">
        <v>20900</v>
      </c>
      <c r="H14866" s="333">
        <v>25289</v>
      </c>
    </row>
    <row r="14867" spans="1:8">
      <c r="A14867" s="317" t="s">
        <v>42874</v>
      </c>
      <c r="B14867" s="330" t="s">
        <v>59220</v>
      </c>
      <c r="C14867" s="330" t="s">
        <v>31011</v>
      </c>
      <c r="D14867" s="330" t="s">
        <v>31012</v>
      </c>
      <c r="E14867" s="330" t="s">
        <v>4819</v>
      </c>
      <c r="F14867" s="331">
        <v>0.21</v>
      </c>
      <c r="G14867" s="332">
        <v>11053</v>
      </c>
      <c r="H14867" s="333">
        <v>13375</v>
      </c>
    </row>
    <row r="14868" spans="1:8">
      <c r="A14868" s="317" t="s">
        <v>42875</v>
      </c>
      <c r="B14868" s="330" t="s">
        <v>59221</v>
      </c>
      <c r="C14868" s="330" t="s">
        <v>31013</v>
      </c>
      <c r="D14868" s="330" t="s">
        <v>31014</v>
      </c>
      <c r="E14868" s="330" t="s">
        <v>4819</v>
      </c>
      <c r="F14868" s="331">
        <v>0.21</v>
      </c>
      <c r="G14868" s="332">
        <v>61466</v>
      </c>
      <c r="H14868" s="333">
        <v>74374</v>
      </c>
    </row>
    <row r="14869" spans="1:8">
      <c r="A14869" s="317" t="s">
        <v>42876</v>
      </c>
      <c r="B14869" s="330" t="s">
        <v>59222</v>
      </c>
      <c r="C14869" s="330" t="s">
        <v>31015</v>
      </c>
      <c r="D14869" s="330" t="s">
        <v>30996</v>
      </c>
      <c r="E14869" s="330" t="s">
        <v>4819</v>
      </c>
      <c r="F14869" s="331">
        <v>0.21</v>
      </c>
      <c r="G14869" s="332">
        <v>1648</v>
      </c>
      <c r="H14869" s="333">
        <v>1995</v>
      </c>
    </row>
    <row r="14870" spans="1:8">
      <c r="A14870" s="317" t="s">
        <v>42877</v>
      </c>
      <c r="B14870" s="330" t="s">
        <v>59223</v>
      </c>
      <c r="C14870" s="330" t="s">
        <v>31016</v>
      </c>
      <c r="D14870" s="330" t="s">
        <v>31017</v>
      </c>
      <c r="E14870" s="330" t="s">
        <v>4819</v>
      </c>
      <c r="F14870" s="331">
        <v>0.21</v>
      </c>
      <c r="G14870" s="332">
        <v>2311</v>
      </c>
      <c r="H14870" s="333">
        <v>2797</v>
      </c>
    </row>
    <row r="14871" spans="1:8">
      <c r="A14871" s="317" t="s">
        <v>42878</v>
      </c>
      <c r="B14871" s="330" t="s">
        <v>59224</v>
      </c>
      <c r="C14871" s="330" t="s">
        <v>31018</v>
      </c>
      <c r="D14871" s="330" t="s">
        <v>13566</v>
      </c>
      <c r="E14871" s="330" t="s">
        <v>4819</v>
      </c>
      <c r="F14871" s="331">
        <v>0.21</v>
      </c>
      <c r="G14871" s="332">
        <v>758</v>
      </c>
      <c r="H14871" s="333">
        <v>918</v>
      </c>
    </row>
    <row r="14872" spans="1:8">
      <c r="A14872" s="317" t="s">
        <v>42879</v>
      </c>
      <c r="B14872" s="330" t="s">
        <v>59225</v>
      </c>
      <c r="C14872" s="330" t="s">
        <v>31019</v>
      </c>
      <c r="D14872" s="330" t="s">
        <v>13566</v>
      </c>
      <c r="E14872" s="330" t="s">
        <v>4819</v>
      </c>
      <c r="F14872" s="331">
        <v>0.21</v>
      </c>
      <c r="G14872" s="332">
        <v>758</v>
      </c>
      <c r="H14872" s="333">
        <v>918</v>
      </c>
    </row>
    <row r="14873" spans="1:8">
      <c r="A14873" s="317" t="s">
        <v>42880</v>
      </c>
      <c r="B14873" s="330" t="s">
        <v>59226</v>
      </c>
      <c r="C14873" s="330" t="s">
        <v>31020</v>
      </c>
      <c r="D14873" s="330" t="s">
        <v>13566</v>
      </c>
      <c r="E14873" s="330" t="s">
        <v>4819</v>
      </c>
      <c r="F14873" s="331">
        <v>0.21</v>
      </c>
      <c r="G14873" s="332">
        <v>758</v>
      </c>
      <c r="H14873" s="333">
        <v>918</v>
      </c>
    </row>
    <row r="14874" spans="1:8">
      <c r="A14874" s="317" t="s">
        <v>42881</v>
      </c>
      <c r="B14874" s="330" t="s">
        <v>59227</v>
      </c>
      <c r="C14874" s="330" t="s">
        <v>31021</v>
      </c>
      <c r="D14874" s="330" t="s">
        <v>30996</v>
      </c>
      <c r="E14874" s="330" t="s">
        <v>4819</v>
      </c>
      <c r="F14874" s="331">
        <v>0.21</v>
      </c>
      <c r="G14874" s="332">
        <v>758</v>
      </c>
      <c r="H14874" s="333">
        <v>918</v>
      </c>
    </row>
    <row r="14875" spans="1:8">
      <c r="A14875" s="317" t="s">
        <v>42882</v>
      </c>
      <c r="B14875" s="330" t="s">
        <v>59228</v>
      </c>
      <c r="C14875" s="330" t="s">
        <v>31022</v>
      </c>
      <c r="D14875" s="330" t="s">
        <v>31006</v>
      </c>
      <c r="E14875" s="330" t="s">
        <v>4819</v>
      </c>
      <c r="F14875" s="331">
        <v>0.21</v>
      </c>
      <c r="G14875" s="332">
        <v>16242</v>
      </c>
      <c r="H14875" s="333">
        <v>19653</v>
      </c>
    </row>
    <row r="14876" spans="1:8">
      <c r="A14876" s="317" t="s">
        <v>42883</v>
      </c>
      <c r="B14876" s="330" t="s">
        <v>59229</v>
      </c>
      <c r="C14876" s="330" t="s">
        <v>31023</v>
      </c>
      <c r="D14876" s="330" t="s">
        <v>31024</v>
      </c>
      <c r="E14876" s="330" t="s">
        <v>4819</v>
      </c>
      <c r="F14876" s="331">
        <v>0.21</v>
      </c>
      <c r="G14876" s="332">
        <v>23911</v>
      </c>
      <c r="H14876" s="333">
        <v>28933</v>
      </c>
    </row>
    <row r="14877" spans="1:8">
      <c r="A14877" s="317" t="s">
        <v>42884</v>
      </c>
      <c r="B14877" s="330" t="s">
        <v>59230</v>
      </c>
      <c r="C14877" s="330" t="s">
        <v>31025</v>
      </c>
      <c r="D14877" s="330" t="s">
        <v>31026</v>
      </c>
      <c r="E14877" s="330" t="s">
        <v>37248</v>
      </c>
      <c r="F14877" s="331">
        <v>0.21</v>
      </c>
      <c r="G14877" s="332">
        <v>91999</v>
      </c>
      <c r="H14877" s="333">
        <v>111319</v>
      </c>
    </row>
    <row r="14878" spans="1:8">
      <c r="A14878" s="317" t="s">
        <v>42885</v>
      </c>
      <c r="B14878" s="330" t="s">
        <v>59231</v>
      </c>
      <c r="C14878" s="330" t="s">
        <v>31027</v>
      </c>
      <c r="D14878" s="330" t="s">
        <v>30999</v>
      </c>
      <c r="E14878" s="330" t="s">
        <v>4819</v>
      </c>
      <c r="F14878" s="331">
        <v>0.21</v>
      </c>
      <c r="G14878" s="332">
        <v>709</v>
      </c>
      <c r="H14878" s="333">
        <v>858</v>
      </c>
    </row>
    <row r="14879" spans="1:8">
      <c r="A14879" s="317" t="s">
        <v>42886</v>
      </c>
      <c r="B14879" s="330" t="s">
        <v>59232</v>
      </c>
      <c r="C14879" s="330" t="s">
        <v>31028</v>
      </c>
      <c r="D14879" s="330" t="s">
        <v>31029</v>
      </c>
      <c r="E14879" s="330" t="s">
        <v>4634</v>
      </c>
      <c r="F14879" s="331">
        <v>0.21</v>
      </c>
      <c r="G14879" s="332">
        <v>28435</v>
      </c>
      <c r="H14879" s="333">
        <v>34407</v>
      </c>
    </row>
    <row r="14880" spans="1:8">
      <c r="A14880" s="317" t="s">
        <v>42887</v>
      </c>
      <c r="B14880" s="330" t="s">
        <v>59233</v>
      </c>
      <c r="C14880" s="330" t="s">
        <v>31030</v>
      </c>
      <c r="D14880" s="330" t="s">
        <v>31031</v>
      </c>
      <c r="E14880" s="330" t="s">
        <v>4819</v>
      </c>
      <c r="F14880" s="331">
        <v>0.21</v>
      </c>
      <c r="G14880" s="332">
        <v>1182</v>
      </c>
      <c r="H14880" s="333">
        <v>1431</v>
      </c>
    </row>
    <row r="14881" spans="1:8">
      <c r="A14881" s="317" t="s">
        <v>42888</v>
      </c>
      <c r="B14881" s="330" t="s">
        <v>59234</v>
      </c>
      <c r="C14881" s="330" t="s">
        <v>31032</v>
      </c>
      <c r="D14881" s="330" t="s">
        <v>31031</v>
      </c>
      <c r="E14881" s="330" t="s">
        <v>4819</v>
      </c>
      <c r="F14881" s="331">
        <v>0.21</v>
      </c>
      <c r="G14881" s="332">
        <v>709</v>
      </c>
      <c r="H14881" s="333">
        <v>858</v>
      </c>
    </row>
    <row r="14882" spans="1:8">
      <c r="A14882" s="317" t="s">
        <v>42889</v>
      </c>
      <c r="B14882" s="330" t="s">
        <v>59235</v>
      </c>
      <c r="C14882" s="330" t="s">
        <v>31033</v>
      </c>
      <c r="D14882" s="330" t="s">
        <v>31034</v>
      </c>
      <c r="E14882" s="330" t="s">
        <v>4819</v>
      </c>
      <c r="F14882" s="331">
        <v>0.21</v>
      </c>
      <c r="G14882" s="332">
        <v>21319</v>
      </c>
      <c r="H14882" s="333">
        <v>25796</v>
      </c>
    </row>
    <row r="14883" spans="1:8">
      <c r="A14883" s="317" t="s">
        <v>42890</v>
      </c>
      <c r="B14883" s="330" t="s">
        <v>59236</v>
      </c>
      <c r="C14883" s="330" t="s">
        <v>31035</v>
      </c>
      <c r="D14883" s="330" t="s">
        <v>31034</v>
      </c>
      <c r="E14883" s="330" t="s">
        <v>4819</v>
      </c>
      <c r="F14883" s="331">
        <v>0.21</v>
      </c>
      <c r="G14883" s="332">
        <v>21319</v>
      </c>
      <c r="H14883" s="333">
        <v>25796</v>
      </c>
    </row>
    <row r="14884" spans="1:8">
      <c r="A14884" s="317" t="s">
        <v>42891</v>
      </c>
      <c r="B14884" s="330" t="s">
        <v>59237</v>
      </c>
      <c r="C14884" s="330" t="s">
        <v>31036</v>
      </c>
      <c r="D14884" s="330" t="s">
        <v>31037</v>
      </c>
      <c r="E14884" s="330" t="s">
        <v>4819</v>
      </c>
      <c r="F14884" s="331">
        <v>0.21</v>
      </c>
      <c r="G14884" s="332">
        <v>1182</v>
      </c>
      <c r="H14884" s="333">
        <v>1431</v>
      </c>
    </row>
    <row r="14885" spans="1:8">
      <c r="A14885" s="317" t="s">
        <v>42892</v>
      </c>
      <c r="B14885" s="330" t="s">
        <v>59238</v>
      </c>
      <c r="C14885" s="330" t="s">
        <v>31038</v>
      </c>
      <c r="D14885" s="330" t="s">
        <v>31039</v>
      </c>
      <c r="E14885" s="330" t="s">
        <v>37248</v>
      </c>
      <c r="F14885" s="331">
        <v>0.21</v>
      </c>
      <c r="G14885" s="332">
        <v>39464</v>
      </c>
      <c r="H14885" s="333">
        <v>47752</v>
      </c>
    </row>
    <row r="14886" spans="1:8">
      <c r="A14886" s="317" t="s">
        <v>42893</v>
      </c>
      <c r="B14886" s="330" t="s">
        <v>59239</v>
      </c>
      <c r="C14886" s="330" t="s">
        <v>31040</v>
      </c>
      <c r="D14886" s="330" t="s">
        <v>31041</v>
      </c>
      <c r="E14886" s="330" t="s">
        <v>37248</v>
      </c>
      <c r="F14886" s="331">
        <v>0.21</v>
      </c>
      <c r="G14886" s="332">
        <v>25452</v>
      </c>
      <c r="H14886" s="333">
        <v>30797</v>
      </c>
    </row>
    <row r="14887" spans="1:8">
      <c r="A14887" s="317" t="s">
        <v>42894</v>
      </c>
      <c r="B14887" s="330" t="s">
        <v>59240</v>
      </c>
      <c r="C14887" s="330" t="s">
        <v>31042</v>
      </c>
      <c r="D14887" s="330" t="s">
        <v>25506</v>
      </c>
      <c r="E14887" s="330" t="s">
        <v>37248</v>
      </c>
      <c r="F14887" s="331">
        <v>0.21</v>
      </c>
      <c r="G14887" s="332">
        <v>4503</v>
      </c>
      <c r="H14887" s="333">
        <v>5449</v>
      </c>
    </row>
    <row r="14888" spans="1:8">
      <c r="A14888" s="317" t="s">
        <v>42895</v>
      </c>
      <c r="B14888" s="330" t="s">
        <v>59241</v>
      </c>
      <c r="C14888" s="330" t="s">
        <v>31043</v>
      </c>
      <c r="D14888" s="330" t="s">
        <v>19516</v>
      </c>
      <c r="E14888" s="330" t="s">
        <v>37248</v>
      </c>
      <c r="F14888" s="331">
        <v>0.21</v>
      </c>
      <c r="G14888" s="332">
        <v>4503</v>
      </c>
      <c r="H14888" s="333">
        <v>5449</v>
      </c>
    </row>
    <row r="14889" spans="1:8">
      <c r="A14889" s="317" t="s">
        <v>42896</v>
      </c>
      <c r="B14889" s="330" t="s">
        <v>59242</v>
      </c>
      <c r="C14889" s="330" t="s">
        <v>31044</v>
      </c>
      <c r="D14889" s="330" t="s">
        <v>19899</v>
      </c>
      <c r="E14889" s="330" t="s">
        <v>37248</v>
      </c>
      <c r="F14889" s="331">
        <v>0.21</v>
      </c>
      <c r="G14889" s="332">
        <v>3084</v>
      </c>
      <c r="H14889" s="333">
        <v>3732</v>
      </c>
    </row>
    <row r="14890" spans="1:8">
      <c r="A14890" s="317" t="s">
        <v>42897</v>
      </c>
      <c r="B14890" s="330" t="s">
        <v>59243</v>
      </c>
      <c r="C14890" s="330" t="s">
        <v>31045</v>
      </c>
      <c r="D14890" s="330" t="s">
        <v>31046</v>
      </c>
      <c r="E14890" s="330" t="s">
        <v>37248</v>
      </c>
      <c r="F14890" s="331">
        <v>0.21</v>
      </c>
      <c r="G14890" s="332">
        <v>3084</v>
      </c>
      <c r="H14890" s="333">
        <v>3732</v>
      </c>
    </row>
    <row r="14891" spans="1:8">
      <c r="A14891" s="317" t="s">
        <v>42898</v>
      </c>
      <c r="B14891" s="330" t="s">
        <v>59244</v>
      </c>
      <c r="C14891" s="330" t="s">
        <v>31047</v>
      </c>
      <c r="D14891" s="330" t="s">
        <v>31048</v>
      </c>
      <c r="E14891" s="330" t="s">
        <v>37248</v>
      </c>
      <c r="F14891" s="331">
        <v>0.21</v>
      </c>
      <c r="G14891" s="332">
        <v>890</v>
      </c>
      <c r="H14891" s="333">
        <v>1077</v>
      </c>
    </row>
    <row r="14892" spans="1:8">
      <c r="A14892" s="317" t="s">
        <v>42899</v>
      </c>
      <c r="B14892" s="330" t="s">
        <v>59245</v>
      </c>
      <c r="C14892" s="330" t="s">
        <v>31049</v>
      </c>
      <c r="D14892" s="330" t="s">
        <v>31050</v>
      </c>
      <c r="E14892" s="330" t="s">
        <v>4819</v>
      </c>
      <c r="F14892" s="331">
        <v>0.21</v>
      </c>
      <c r="G14892" s="332">
        <v>26590</v>
      </c>
      <c r="H14892" s="333">
        <v>32174</v>
      </c>
    </row>
    <row r="14893" spans="1:8">
      <c r="A14893" s="317" t="s">
        <v>42900</v>
      </c>
      <c r="B14893" s="330" t="s">
        <v>59246</v>
      </c>
      <c r="C14893" s="330" t="s">
        <v>31051</v>
      </c>
      <c r="D14893" s="330" t="s">
        <v>31052</v>
      </c>
      <c r="E14893" s="330" t="s">
        <v>4634</v>
      </c>
      <c r="F14893" s="331">
        <v>0.21</v>
      </c>
      <c r="G14893" s="332">
        <v>266364</v>
      </c>
      <c r="H14893" s="333">
        <v>322301</v>
      </c>
    </row>
    <row r="14894" spans="1:8">
      <c r="A14894" s="317" t="s">
        <v>42901</v>
      </c>
      <c r="B14894" s="330" t="s">
        <v>59247</v>
      </c>
      <c r="C14894" s="330" t="s">
        <v>31053</v>
      </c>
      <c r="D14894" s="330" t="s">
        <v>31054</v>
      </c>
      <c r="E14894" s="330" t="s">
        <v>4819</v>
      </c>
      <c r="F14894" s="331">
        <v>0.21</v>
      </c>
      <c r="G14894" s="332">
        <v>1588</v>
      </c>
      <c r="H14894" s="333">
        <v>1922</v>
      </c>
    </row>
    <row r="14895" spans="1:8">
      <c r="A14895" s="317" t="s">
        <v>42902</v>
      </c>
      <c r="B14895" s="330" t="s">
        <v>59248</v>
      </c>
      <c r="C14895" s="330" t="s">
        <v>31055</v>
      </c>
      <c r="D14895" s="330" t="s">
        <v>31056</v>
      </c>
      <c r="E14895" s="330" t="s">
        <v>4634</v>
      </c>
      <c r="F14895" s="331">
        <v>0.21</v>
      </c>
      <c r="G14895" s="332">
        <v>1113</v>
      </c>
      <c r="H14895" s="333">
        <v>1347</v>
      </c>
    </row>
    <row r="14896" spans="1:8">
      <c r="A14896" s="317" t="s">
        <v>42903</v>
      </c>
      <c r="B14896" s="330" t="s">
        <v>59249</v>
      </c>
      <c r="C14896" s="330" t="s">
        <v>31057</v>
      </c>
      <c r="D14896" s="330" t="s">
        <v>31058</v>
      </c>
      <c r="E14896" s="330" t="s">
        <v>4634</v>
      </c>
      <c r="F14896" s="331">
        <v>0.21</v>
      </c>
      <c r="G14896" s="332">
        <v>10165</v>
      </c>
      <c r="H14896" s="333">
        <v>12300</v>
      </c>
    </row>
    <row r="14897" spans="1:8">
      <c r="A14897" s="317" t="s">
        <v>42904</v>
      </c>
      <c r="B14897" s="330" t="s">
        <v>59250</v>
      </c>
      <c r="C14897" s="330" t="s">
        <v>31059</v>
      </c>
      <c r="D14897" s="330" t="s">
        <v>31060</v>
      </c>
      <c r="E14897" s="330" t="s">
        <v>4634</v>
      </c>
      <c r="F14897" s="331">
        <v>0.21</v>
      </c>
      <c r="G14897" s="332">
        <v>4329</v>
      </c>
      <c r="H14897" s="333">
        <v>5239</v>
      </c>
    </row>
    <row r="14898" spans="1:8">
      <c r="A14898" s="317" t="s">
        <v>42905</v>
      </c>
      <c r="B14898" s="330" t="s">
        <v>59251</v>
      </c>
      <c r="C14898" s="330" t="s">
        <v>31061</v>
      </c>
      <c r="D14898" s="330" t="s">
        <v>31062</v>
      </c>
      <c r="E14898" s="330" t="s">
        <v>4634</v>
      </c>
      <c r="F14898" s="331">
        <v>0.21</v>
      </c>
      <c r="G14898" s="332">
        <v>6808</v>
      </c>
      <c r="H14898" s="333">
        <v>8238</v>
      </c>
    </row>
    <row r="14899" spans="1:8">
      <c r="A14899" s="317" t="s">
        <v>42906</v>
      </c>
      <c r="B14899" s="330" t="s">
        <v>59252</v>
      </c>
      <c r="C14899" s="330" t="s">
        <v>31063</v>
      </c>
      <c r="D14899" s="330" t="s">
        <v>31064</v>
      </c>
      <c r="E14899" s="330" t="s">
        <v>4634</v>
      </c>
      <c r="F14899" s="331">
        <v>0.21</v>
      </c>
      <c r="G14899" s="332">
        <v>3810</v>
      </c>
      <c r="H14899" s="333">
        <v>4611</v>
      </c>
    </row>
    <row r="14900" spans="1:8">
      <c r="A14900" s="317" t="s">
        <v>42907</v>
      </c>
      <c r="B14900" s="330" t="s">
        <v>59253</v>
      </c>
      <c r="C14900" s="330" t="s">
        <v>31065</v>
      </c>
      <c r="D14900" s="330" t="s">
        <v>31066</v>
      </c>
      <c r="E14900" s="330" t="s">
        <v>4634</v>
      </c>
      <c r="F14900" s="331">
        <v>0.21</v>
      </c>
      <c r="G14900" s="332">
        <v>3665</v>
      </c>
      <c r="H14900" s="333">
        <v>4435</v>
      </c>
    </row>
    <row r="14901" spans="1:8">
      <c r="A14901" s="317" t="s">
        <v>42908</v>
      </c>
      <c r="B14901" s="330" t="s">
        <v>59254</v>
      </c>
      <c r="C14901" s="330" t="s">
        <v>31067</v>
      </c>
      <c r="D14901" s="330" t="s">
        <v>31068</v>
      </c>
      <c r="E14901" s="330" t="s">
        <v>4634</v>
      </c>
      <c r="F14901" s="331">
        <v>0.21</v>
      </c>
      <c r="G14901" s="332">
        <v>3406</v>
      </c>
      <c r="H14901" s="333">
        <v>4122</v>
      </c>
    </row>
    <row r="14902" spans="1:8">
      <c r="A14902" s="317" t="s">
        <v>42909</v>
      </c>
      <c r="B14902" s="330" t="s">
        <v>59255</v>
      </c>
      <c r="C14902" s="330" t="s">
        <v>31069</v>
      </c>
      <c r="D14902" s="330" t="s">
        <v>31070</v>
      </c>
      <c r="E14902" s="330" t="s">
        <v>4634</v>
      </c>
      <c r="F14902" s="331">
        <v>0.21</v>
      </c>
      <c r="G14902" s="332">
        <v>3589</v>
      </c>
      <c r="H14902" s="333">
        <v>4343</v>
      </c>
    </row>
    <row r="14903" spans="1:8">
      <c r="A14903" s="317" t="s">
        <v>42910</v>
      </c>
      <c r="B14903" s="330" t="s">
        <v>59256</v>
      </c>
      <c r="C14903" s="330" t="s">
        <v>31071</v>
      </c>
      <c r="D14903" s="330" t="s">
        <v>31072</v>
      </c>
      <c r="E14903" s="330" t="s">
        <v>4634</v>
      </c>
      <c r="F14903" s="331">
        <v>0.21</v>
      </c>
      <c r="G14903" s="332">
        <v>1586</v>
      </c>
      <c r="H14903" s="333">
        <v>1920</v>
      </c>
    </row>
    <row r="14904" spans="1:8">
      <c r="A14904" s="317" t="s">
        <v>42911</v>
      </c>
      <c r="B14904" s="330" t="s">
        <v>59257</v>
      </c>
      <c r="C14904" s="330" t="s">
        <v>31073</v>
      </c>
      <c r="D14904" s="330" t="s">
        <v>31074</v>
      </c>
      <c r="E14904" s="330" t="s">
        <v>4634</v>
      </c>
      <c r="F14904" s="331">
        <v>0.21</v>
      </c>
      <c r="G14904" s="332">
        <v>446</v>
      </c>
      <c r="H14904" s="333">
        <v>540</v>
      </c>
    </row>
    <row r="14905" spans="1:8">
      <c r="A14905" s="317" t="s">
        <v>42912</v>
      </c>
      <c r="B14905" s="330" t="s">
        <v>59258</v>
      </c>
      <c r="C14905" s="330" t="s">
        <v>31075</v>
      </c>
      <c r="D14905" s="330" t="s">
        <v>31076</v>
      </c>
      <c r="E14905" s="330" t="s">
        <v>4634</v>
      </c>
      <c r="F14905" s="331">
        <v>0.21</v>
      </c>
      <c r="G14905" s="332">
        <v>194</v>
      </c>
      <c r="H14905" s="333">
        <v>235</v>
      </c>
    </row>
    <row r="14906" spans="1:8">
      <c r="A14906" s="317" t="s">
        <v>42913</v>
      </c>
      <c r="B14906" s="330" t="s">
        <v>59259</v>
      </c>
      <c r="C14906" s="330" t="s">
        <v>31077</v>
      </c>
      <c r="D14906" s="330" t="s">
        <v>31078</v>
      </c>
      <c r="E14906" s="330" t="s">
        <v>37248</v>
      </c>
      <c r="F14906" s="331">
        <v>0.21</v>
      </c>
      <c r="G14906" s="332">
        <v>296</v>
      </c>
      <c r="H14906" s="333">
        <v>359</v>
      </c>
    </row>
    <row r="14907" spans="1:8">
      <c r="A14907" s="317" t="s">
        <v>42914</v>
      </c>
      <c r="B14907" s="330" t="s">
        <v>59260</v>
      </c>
      <c r="C14907" s="330" t="s">
        <v>31079</v>
      </c>
      <c r="D14907" s="330" t="s">
        <v>31080</v>
      </c>
      <c r="E14907" s="330" t="s">
        <v>4634</v>
      </c>
      <c r="F14907" s="331">
        <v>0.21</v>
      </c>
      <c r="G14907" s="332">
        <v>37449</v>
      </c>
      <c r="H14907" s="333">
        <v>45314</v>
      </c>
    </row>
    <row r="14908" spans="1:8">
      <c r="A14908" s="317" t="s">
        <v>42915</v>
      </c>
      <c r="B14908" s="330" t="s">
        <v>59261</v>
      </c>
      <c r="C14908" s="330" t="s">
        <v>31081</v>
      </c>
      <c r="D14908" s="330" t="s">
        <v>6002</v>
      </c>
      <c r="E14908" s="330" t="s">
        <v>4634</v>
      </c>
      <c r="F14908" s="331">
        <v>0.21</v>
      </c>
      <c r="G14908" s="332">
        <v>37340</v>
      </c>
      <c r="H14908" s="333">
        <v>45182</v>
      </c>
    </row>
    <row r="14909" spans="1:8">
      <c r="A14909" s="317" t="s">
        <v>42916</v>
      </c>
      <c r="B14909" s="330" t="s">
        <v>59262</v>
      </c>
      <c r="C14909" s="330" t="s">
        <v>31082</v>
      </c>
      <c r="D14909" s="330" t="s">
        <v>31083</v>
      </c>
      <c r="E14909" s="330" t="s">
        <v>4634</v>
      </c>
      <c r="F14909" s="331">
        <v>0.21</v>
      </c>
      <c r="G14909" s="332">
        <v>2639</v>
      </c>
      <c r="H14909" s="333">
        <v>3194</v>
      </c>
    </row>
    <row r="14910" spans="1:8">
      <c r="A14910" s="317" t="s">
        <v>42917</v>
      </c>
      <c r="B14910" s="330" t="s">
        <v>59263</v>
      </c>
      <c r="C14910" s="330" t="s">
        <v>31084</v>
      </c>
      <c r="D14910" s="330" t="s">
        <v>31085</v>
      </c>
      <c r="E14910" s="330" t="s">
        <v>4634</v>
      </c>
      <c r="F14910" s="331">
        <v>0.21</v>
      </c>
      <c r="G14910" s="332">
        <v>372</v>
      </c>
      <c r="H14910" s="333">
        <v>451</v>
      </c>
    </row>
    <row r="14911" spans="1:8">
      <c r="A14911" s="317" t="s">
        <v>42918</v>
      </c>
      <c r="B14911" s="330" t="s">
        <v>59264</v>
      </c>
      <c r="C14911" s="330" t="s">
        <v>31086</v>
      </c>
      <c r="D14911" s="330" t="s">
        <v>31087</v>
      </c>
      <c r="E14911" s="330" t="s">
        <v>4634</v>
      </c>
      <c r="F14911" s="331">
        <v>0.21</v>
      </c>
      <c r="G14911" s="332">
        <v>4994</v>
      </c>
      <c r="H14911" s="333">
        <v>6043</v>
      </c>
    </row>
    <row r="14912" spans="1:8">
      <c r="A14912" s="317" t="s">
        <v>42919</v>
      </c>
      <c r="B14912" s="330" t="s">
        <v>59265</v>
      </c>
      <c r="C14912" s="330" t="s">
        <v>31088</v>
      </c>
      <c r="D14912" s="330" t="s">
        <v>9121</v>
      </c>
      <c r="E14912" s="330" t="s">
        <v>4819</v>
      </c>
      <c r="F14912" s="331">
        <v>0.21</v>
      </c>
      <c r="G14912" s="332">
        <v>2792</v>
      </c>
      <c r="H14912" s="333">
        <v>3379</v>
      </c>
    </row>
    <row r="14913" spans="1:8">
      <c r="A14913" s="317" t="s">
        <v>42920</v>
      </c>
      <c r="B14913" s="330" t="s">
        <v>59266</v>
      </c>
      <c r="C14913" s="330" t="s">
        <v>31089</v>
      </c>
      <c r="D14913" s="330" t="s">
        <v>31090</v>
      </c>
      <c r="E14913" s="330" t="s">
        <v>4634</v>
      </c>
      <c r="F14913" s="331">
        <v>0.21</v>
      </c>
      <c r="G14913" s="332">
        <v>2830</v>
      </c>
      <c r="H14913" s="333">
        <v>3425</v>
      </c>
    </row>
    <row r="14914" spans="1:8">
      <c r="A14914" s="317" t="s">
        <v>42921</v>
      </c>
      <c r="B14914" s="330" t="s">
        <v>59267</v>
      </c>
      <c r="C14914" s="330" t="s">
        <v>31091</v>
      </c>
      <c r="D14914" s="330" t="s">
        <v>31092</v>
      </c>
      <c r="E14914" s="330" t="s">
        <v>4634</v>
      </c>
      <c r="F14914" s="331">
        <v>0.21</v>
      </c>
      <c r="G14914" s="332">
        <v>2427</v>
      </c>
      <c r="H14914" s="333">
        <v>2937</v>
      </c>
    </row>
    <row r="14915" spans="1:8">
      <c r="A14915" s="317" t="s">
        <v>42922</v>
      </c>
      <c r="B14915" s="330" t="s">
        <v>59268</v>
      </c>
      <c r="C14915" s="330" t="s">
        <v>31093</v>
      </c>
      <c r="D14915" s="330" t="s">
        <v>31094</v>
      </c>
      <c r="E14915" s="330" t="s">
        <v>4634</v>
      </c>
      <c r="F14915" s="331">
        <v>0.21</v>
      </c>
      <c r="G14915" s="332">
        <v>8856</v>
      </c>
      <c r="H14915" s="333">
        <v>10716</v>
      </c>
    </row>
    <row r="14916" spans="1:8">
      <c r="A14916" s="317" t="s">
        <v>42923</v>
      </c>
      <c r="B14916" s="330" t="s">
        <v>59269</v>
      </c>
      <c r="C14916" s="330" t="s">
        <v>31095</v>
      </c>
      <c r="D14916" s="330" t="s">
        <v>7967</v>
      </c>
      <c r="E14916" s="330" t="s">
        <v>37248</v>
      </c>
      <c r="F14916" s="331">
        <v>0.21</v>
      </c>
      <c r="G14916" s="332">
        <v>72638</v>
      </c>
      <c r="H14916" s="333">
        <v>87892</v>
      </c>
    </row>
    <row r="14917" spans="1:8">
      <c r="A14917" s="317" t="s">
        <v>42924</v>
      </c>
      <c r="B14917" s="330" t="s">
        <v>59270</v>
      </c>
      <c r="C14917" s="330" t="s">
        <v>31096</v>
      </c>
      <c r="D14917" s="330" t="s">
        <v>10573</v>
      </c>
      <c r="E14917" s="330" t="s">
        <v>4634</v>
      </c>
      <c r="F14917" s="331">
        <v>0.21</v>
      </c>
      <c r="G14917" s="332">
        <v>196</v>
      </c>
      <c r="H14917" s="333">
        <v>238</v>
      </c>
    </row>
    <row r="14918" spans="1:8">
      <c r="A14918" s="317" t="s">
        <v>42925</v>
      </c>
      <c r="B14918" s="330" t="s">
        <v>59271</v>
      </c>
      <c r="C14918" s="330" t="s">
        <v>31097</v>
      </c>
      <c r="D14918" s="330" t="s">
        <v>25183</v>
      </c>
      <c r="E14918" s="330" t="s">
        <v>4819</v>
      </c>
      <c r="F14918" s="331">
        <v>0.21</v>
      </c>
      <c r="G14918" s="332">
        <v>5208</v>
      </c>
      <c r="H14918" s="333">
        <v>6302</v>
      </c>
    </row>
    <row r="14919" spans="1:8">
      <c r="A14919" s="317" t="s">
        <v>42926</v>
      </c>
      <c r="B14919" s="330" t="s">
        <v>59272</v>
      </c>
      <c r="C14919" s="330" t="s">
        <v>31098</v>
      </c>
      <c r="D14919" s="330" t="s">
        <v>31099</v>
      </c>
      <c r="E14919" s="330" t="s">
        <v>4634</v>
      </c>
      <c r="F14919" s="331">
        <v>0.21</v>
      </c>
      <c r="G14919" s="332">
        <v>372</v>
      </c>
      <c r="H14919" s="333">
        <v>451</v>
      </c>
    </row>
    <row r="14920" spans="1:8">
      <c r="A14920" s="317" t="s">
        <v>42927</v>
      </c>
      <c r="B14920" s="330" t="s">
        <v>59273</v>
      </c>
      <c r="C14920" s="330" t="s">
        <v>31100</v>
      </c>
      <c r="D14920" s="330" t="s">
        <v>8323</v>
      </c>
      <c r="E14920" s="330" t="s">
        <v>37248</v>
      </c>
      <c r="F14920" s="331">
        <v>0.21</v>
      </c>
      <c r="G14920" s="332">
        <v>553</v>
      </c>
      <c r="H14920" s="333">
        <v>670</v>
      </c>
    </row>
    <row r="14921" spans="1:8">
      <c r="A14921" s="317" t="s">
        <v>42928</v>
      </c>
      <c r="B14921" s="330" t="s">
        <v>59274</v>
      </c>
      <c r="C14921" s="330" t="s">
        <v>31101</v>
      </c>
      <c r="D14921" s="330" t="s">
        <v>31102</v>
      </c>
      <c r="E14921" s="330" t="s">
        <v>4819</v>
      </c>
      <c r="F14921" s="331">
        <v>0.21</v>
      </c>
      <c r="G14921" s="332">
        <v>37913</v>
      </c>
      <c r="H14921" s="333">
        <v>45875</v>
      </c>
    </row>
    <row r="14922" spans="1:8">
      <c r="A14922" s="317" t="s">
        <v>42929</v>
      </c>
      <c r="B14922" s="330" t="s">
        <v>59275</v>
      </c>
      <c r="C14922" s="330" t="s">
        <v>31103</v>
      </c>
      <c r="D14922" s="330" t="s">
        <v>8083</v>
      </c>
      <c r="E14922" s="330" t="s">
        <v>4634</v>
      </c>
      <c r="F14922" s="331">
        <v>0.21</v>
      </c>
      <c r="G14922" s="332">
        <v>648</v>
      </c>
      <c r="H14922" s="333">
        <v>785</v>
      </c>
    </row>
    <row r="14923" spans="1:8">
      <c r="A14923" s="317" t="s">
        <v>42930</v>
      </c>
      <c r="B14923" s="330" t="s">
        <v>59276</v>
      </c>
      <c r="C14923" s="330" t="s">
        <v>31104</v>
      </c>
      <c r="D14923" s="330" t="s">
        <v>31105</v>
      </c>
      <c r="E14923" s="330" t="s">
        <v>4623</v>
      </c>
      <c r="F14923" s="331">
        <v>0.21</v>
      </c>
      <c r="G14923" s="332">
        <v>10718</v>
      </c>
      <c r="H14923" s="333">
        <v>12969</v>
      </c>
    </row>
    <row r="14924" spans="1:8">
      <c r="A14924" s="317" t="s">
        <v>42931</v>
      </c>
      <c r="B14924" s="330" t="s">
        <v>59277</v>
      </c>
      <c r="C14924" s="330" t="s">
        <v>31106</v>
      </c>
      <c r="D14924" s="330" t="s">
        <v>31107</v>
      </c>
      <c r="E14924" s="330" t="s">
        <v>4819</v>
      </c>
      <c r="F14924" s="331">
        <v>0.21</v>
      </c>
      <c r="G14924" s="332">
        <v>8287</v>
      </c>
      <c r="H14924" s="333">
        <v>10028</v>
      </c>
    </row>
    <row r="14925" spans="1:8">
      <c r="A14925" s="317" t="s">
        <v>42932</v>
      </c>
      <c r="B14925" s="330" t="s">
        <v>59278</v>
      </c>
      <c r="C14925" s="330" t="s">
        <v>31108</v>
      </c>
      <c r="D14925" s="330" t="s">
        <v>7369</v>
      </c>
      <c r="E14925" s="330" t="s">
        <v>37248</v>
      </c>
      <c r="F14925" s="331">
        <v>0.21</v>
      </c>
      <c r="G14925" s="332">
        <v>25037</v>
      </c>
      <c r="H14925" s="333">
        <v>30295</v>
      </c>
    </row>
    <row r="14926" spans="1:8">
      <c r="A14926" s="317" t="s">
        <v>42933</v>
      </c>
      <c r="B14926" s="330" t="s">
        <v>59279</v>
      </c>
      <c r="C14926" s="330" t="s">
        <v>31109</v>
      </c>
      <c r="D14926" s="330" t="s">
        <v>8083</v>
      </c>
      <c r="E14926" s="330" t="s">
        <v>4634</v>
      </c>
      <c r="F14926" s="331">
        <v>0.21</v>
      </c>
      <c r="G14926" s="332">
        <v>196</v>
      </c>
      <c r="H14926" s="333">
        <v>238</v>
      </c>
    </row>
    <row r="14927" spans="1:8">
      <c r="A14927" s="317" t="s">
        <v>42934</v>
      </c>
      <c r="B14927" s="330" t="s">
        <v>59280</v>
      </c>
      <c r="C14927" s="330" t="s">
        <v>31110</v>
      </c>
      <c r="D14927" s="330" t="s">
        <v>27466</v>
      </c>
      <c r="E14927" s="330" t="s">
        <v>4634</v>
      </c>
      <c r="F14927" s="331">
        <v>0.21</v>
      </c>
      <c r="G14927" s="332">
        <v>1976</v>
      </c>
      <c r="H14927" s="333">
        <v>2391</v>
      </c>
    </row>
    <row r="14928" spans="1:8">
      <c r="A14928" s="317" t="s">
        <v>42935</v>
      </c>
      <c r="B14928" s="330" t="s">
        <v>59281</v>
      </c>
      <c r="C14928" s="330" t="s">
        <v>31111</v>
      </c>
      <c r="D14928" s="330" t="s">
        <v>31112</v>
      </c>
      <c r="E14928" s="330" t="s">
        <v>4634</v>
      </c>
      <c r="F14928" s="331">
        <v>0.21</v>
      </c>
      <c r="G14928" s="332">
        <v>10257</v>
      </c>
      <c r="H14928" s="333">
        <v>12411</v>
      </c>
    </row>
    <row r="14929" spans="1:8">
      <c r="A14929" s="317" t="s">
        <v>42936</v>
      </c>
      <c r="B14929" s="330" t="s">
        <v>59282</v>
      </c>
      <c r="C14929" s="330" t="s">
        <v>31113</v>
      </c>
      <c r="D14929" s="330" t="s">
        <v>8081</v>
      </c>
      <c r="E14929" s="330" t="s">
        <v>4634</v>
      </c>
      <c r="F14929" s="331">
        <v>0.21</v>
      </c>
      <c r="G14929" s="332">
        <v>3225</v>
      </c>
      <c r="H14929" s="333">
        <v>3903</v>
      </c>
    </row>
    <row r="14930" spans="1:8">
      <c r="A14930" s="317" t="s">
        <v>42937</v>
      </c>
      <c r="B14930" s="330" t="s">
        <v>59283</v>
      </c>
      <c r="C14930" s="330" t="s">
        <v>31114</v>
      </c>
      <c r="D14930" s="330" t="s">
        <v>21203</v>
      </c>
      <c r="E14930" s="330" t="s">
        <v>37248</v>
      </c>
      <c r="F14930" s="331">
        <v>0.21</v>
      </c>
      <c r="G14930" s="332">
        <v>2128</v>
      </c>
      <c r="H14930" s="333">
        <v>2575</v>
      </c>
    </row>
    <row r="14931" spans="1:8">
      <c r="A14931" s="317" t="s">
        <v>42938</v>
      </c>
      <c r="B14931" s="330" t="s">
        <v>59284</v>
      </c>
      <c r="C14931" s="330" t="s">
        <v>31115</v>
      </c>
      <c r="D14931" s="330" t="s">
        <v>27270</v>
      </c>
      <c r="E14931" s="330" t="s">
        <v>4634</v>
      </c>
      <c r="F14931" s="331">
        <v>0.21</v>
      </c>
      <c r="G14931" s="332">
        <v>988</v>
      </c>
      <c r="H14931" s="333">
        <v>1196</v>
      </c>
    </row>
    <row r="14932" spans="1:8">
      <c r="A14932" s="317" t="s">
        <v>42939</v>
      </c>
      <c r="B14932" s="330" t="s">
        <v>59285</v>
      </c>
      <c r="C14932" s="330" t="s">
        <v>31116</v>
      </c>
      <c r="D14932" s="330" t="s">
        <v>31112</v>
      </c>
      <c r="E14932" s="330" t="s">
        <v>37248</v>
      </c>
      <c r="F14932" s="331">
        <v>0.21</v>
      </c>
      <c r="G14932" s="332">
        <v>15905</v>
      </c>
      <c r="H14932" s="333">
        <v>19246</v>
      </c>
    </row>
    <row r="14933" spans="1:8">
      <c r="A14933" s="317" t="s">
        <v>42940</v>
      </c>
      <c r="B14933" s="330" t="s">
        <v>59286</v>
      </c>
      <c r="C14933" s="330" t="s">
        <v>31117</v>
      </c>
      <c r="D14933" s="330" t="s">
        <v>10524</v>
      </c>
      <c r="E14933" s="330" t="s">
        <v>37248</v>
      </c>
      <c r="F14933" s="331">
        <v>0.21</v>
      </c>
      <c r="G14933" s="332">
        <v>30376</v>
      </c>
      <c r="H14933" s="333">
        <v>36755</v>
      </c>
    </row>
    <row r="14934" spans="1:8">
      <c r="A14934" s="317" t="s">
        <v>42941</v>
      </c>
      <c r="B14934" s="330" t="s">
        <v>59287</v>
      </c>
      <c r="C14934" s="330" t="s">
        <v>31118</v>
      </c>
      <c r="D14934" s="330" t="s">
        <v>31119</v>
      </c>
      <c r="E14934" s="330" t="s">
        <v>4634</v>
      </c>
      <c r="F14934" s="331">
        <v>0.21</v>
      </c>
      <c r="G14934" s="332">
        <v>789</v>
      </c>
      <c r="H14934" s="333">
        <v>955</v>
      </c>
    </row>
    <row r="14935" spans="1:8">
      <c r="A14935" s="317" t="s">
        <v>42942</v>
      </c>
      <c r="B14935" s="330" t="s">
        <v>59288</v>
      </c>
      <c r="C14935" s="330" t="s">
        <v>31120</v>
      </c>
      <c r="D14935" s="330" t="s">
        <v>8004</v>
      </c>
      <c r="E14935" s="330" t="s">
        <v>37248</v>
      </c>
      <c r="F14935" s="331">
        <v>0.21</v>
      </c>
      <c r="G14935" s="332">
        <v>2391</v>
      </c>
      <c r="H14935" s="333">
        <v>2894</v>
      </c>
    </row>
    <row r="14936" spans="1:8">
      <c r="A14936" s="317" t="s">
        <v>42943</v>
      </c>
      <c r="B14936" s="330" t="s">
        <v>59289</v>
      </c>
      <c r="C14936" s="330" t="s">
        <v>31121</v>
      </c>
      <c r="D14936" s="330" t="s">
        <v>7653</v>
      </c>
      <c r="E14936" s="330" t="s">
        <v>37248</v>
      </c>
      <c r="F14936" s="331">
        <v>0.21</v>
      </c>
      <c r="G14936" s="332">
        <v>265</v>
      </c>
      <c r="H14936" s="333">
        <v>321</v>
      </c>
    </row>
    <row r="14937" spans="1:8">
      <c r="A14937" s="317" t="s">
        <v>42944</v>
      </c>
      <c r="B14937" s="330" t="s">
        <v>59290</v>
      </c>
      <c r="C14937" s="330" t="s">
        <v>31122</v>
      </c>
      <c r="D14937" s="330" t="s">
        <v>6840</v>
      </c>
      <c r="E14937" s="330" t="s">
        <v>37248</v>
      </c>
      <c r="F14937" s="331">
        <v>0.21</v>
      </c>
      <c r="G14937" s="332">
        <v>417</v>
      </c>
      <c r="H14937" s="333">
        <v>505</v>
      </c>
    </row>
    <row r="14938" spans="1:8">
      <c r="A14938" s="317" t="s">
        <v>42945</v>
      </c>
      <c r="B14938" s="330" t="s">
        <v>59291</v>
      </c>
      <c r="C14938" s="330" t="s">
        <v>31123</v>
      </c>
      <c r="D14938" s="330" t="s">
        <v>31124</v>
      </c>
      <c r="E14938" s="330" t="s">
        <v>4819</v>
      </c>
      <c r="F14938" s="331">
        <v>0.21</v>
      </c>
      <c r="G14938" s="332">
        <v>10004</v>
      </c>
      <c r="H14938" s="333">
        <v>12105</v>
      </c>
    </row>
    <row r="14939" spans="1:8">
      <c r="A14939" s="317" t="s">
        <v>42946</v>
      </c>
      <c r="B14939" s="330" t="s">
        <v>59292</v>
      </c>
      <c r="C14939" s="330" t="s">
        <v>31125</v>
      </c>
      <c r="D14939" s="330" t="s">
        <v>31126</v>
      </c>
      <c r="E14939" s="330" t="s">
        <v>37248</v>
      </c>
      <c r="F14939" s="331">
        <v>0.21</v>
      </c>
      <c r="G14939" s="332">
        <v>780</v>
      </c>
      <c r="H14939" s="333">
        <v>944</v>
      </c>
    </row>
    <row r="14940" spans="1:8">
      <c r="A14940" s="317" t="s">
        <v>42947</v>
      </c>
      <c r="B14940" s="330" t="s">
        <v>59293</v>
      </c>
      <c r="C14940" s="330" t="s">
        <v>31127</v>
      </c>
      <c r="D14940" s="330" t="s">
        <v>4648</v>
      </c>
      <c r="E14940" s="330" t="s">
        <v>37248</v>
      </c>
      <c r="F14940" s="331">
        <v>0.21</v>
      </c>
      <c r="G14940" s="332">
        <v>5155</v>
      </c>
      <c r="H14940" s="333">
        <v>6238</v>
      </c>
    </row>
    <row r="14941" spans="1:8">
      <c r="A14941" s="317" t="s">
        <v>42948</v>
      </c>
      <c r="B14941" s="330" t="s">
        <v>59294</v>
      </c>
      <c r="C14941" s="330" t="s">
        <v>31128</v>
      </c>
      <c r="D14941" s="330" t="s">
        <v>31129</v>
      </c>
      <c r="E14941" s="330" t="s">
        <v>37248</v>
      </c>
      <c r="F14941" s="331">
        <v>0.21</v>
      </c>
      <c r="G14941" s="332">
        <v>1608</v>
      </c>
      <c r="H14941" s="333">
        <v>1946</v>
      </c>
    </row>
    <row r="14942" spans="1:8">
      <c r="A14942" s="317" t="s">
        <v>42949</v>
      </c>
      <c r="B14942" s="330" t="s">
        <v>59295</v>
      </c>
      <c r="C14942" s="330" t="s">
        <v>31130</v>
      </c>
      <c r="D14942" s="330" t="s">
        <v>31131</v>
      </c>
      <c r="E14942" s="330" t="s">
        <v>4634</v>
      </c>
      <c r="F14942" s="331">
        <v>0.21</v>
      </c>
      <c r="G14942" s="332">
        <v>800</v>
      </c>
      <c r="H14942" s="333">
        <v>968</v>
      </c>
    </row>
    <row r="14943" spans="1:8">
      <c r="A14943" s="317">
        <v>2615110480</v>
      </c>
      <c r="B14943" s="330" t="s">
        <v>59296</v>
      </c>
      <c r="C14943" s="330" t="s">
        <v>31132</v>
      </c>
      <c r="D14943" s="330" t="s">
        <v>31133</v>
      </c>
      <c r="E14943" s="330" t="s">
        <v>37248</v>
      </c>
      <c r="F14943" s="331">
        <v>0.21</v>
      </c>
      <c r="G14943" s="332">
        <v>1151</v>
      </c>
      <c r="H14943" s="333">
        <v>1393</v>
      </c>
    </row>
    <row r="14944" spans="1:8">
      <c r="A14944" s="317">
        <v>2615294028</v>
      </c>
      <c r="B14944" s="330" t="s">
        <v>59297</v>
      </c>
      <c r="C14944" s="330" t="s">
        <v>31134</v>
      </c>
      <c r="D14944" s="330" t="s">
        <v>31135</v>
      </c>
      <c r="E14944" s="330" t="s">
        <v>4634</v>
      </c>
      <c r="F14944" s="331">
        <v>0.21</v>
      </c>
      <c r="G14944" s="332">
        <v>1782</v>
      </c>
      <c r="H14944" s="333">
        <v>2157</v>
      </c>
    </row>
    <row r="14945" spans="1:8">
      <c r="A14945" s="317">
        <v>2615294035</v>
      </c>
      <c r="B14945" s="330" t="s">
        <v>59298</v>
      </c>
      <c r="C14945" s="330" t="s">
        <v>31136</v>
      </c>
      <c r="D14945" s="330" t="s">
        <v>31137</v>
      </c>
      <c r="E14945" s="330" t="s">
        <v>4819</v>
      </c>
      <c r="F14945" s="331">
        <v>0.21</v>
      </c>
      <c r="G14945" s="332">
        <v>1740</v>
      </c>
      <c r="H14945" s="333">
        <v>2106</v>
      </c>
    </row>
    <row r="14946" spans="1:8">
      <c r="A14946" s="317">
        <v>2615294043</v>
      </c>
      <c r="B14946" s="330" t="s">
        <v>59299</v>
      </c>
      <c r="C14946" s="330" t="s">
        <v>31138</v>
      </c>
      <c r="D14946" s="330" t="s">
        <v>31139</v>
      </c>
      <c r="E14946" s="330" t="s">
        <v>4634</v>
      </c>
      <c r="F14946" s="331">
        <v>0.21</v>
      </c>
      <c r="G14946" s="332">
        <v>678</v>
      </c>
      <c r="H14946" s="333">
        <v>821</v>
      </c>
    </row>
    <row r="14947" spans="1:8">
      <c r="A14947" s="317">
        <v>2615294178</v>
      </c>
      <c r="B14947" s="330" t="s">
        <v>59300</v>
      </c>
      <c r="C14947" s="330" t="s">
        <v>31140</v>
      </c>
      <c r="D14947" s="330" t="s">
        <v>31141</v>
      </c>
      <c r="E14947" s="330" t="s">
        <v>4634</v>
      </c>
      <c r="F14947" s="331">
        <v>0.21</v>
      </c>
      <c r="G14947" s="332">
        <v>2583</v>
      </c>
      <c r="H14947" s="333">
        <v>3126</v>
      </c>
    </row>
    <row r="14948" spans="1:8">
      <c r="A14948" s="317">
        <v>2615294309</v>
      </c>
      <c r="B14948" s="330" t="s">
        <v>59301</v>
      </c>
      <c r="C14948" s="330" t="s">
        <v>31142</v>
      </c>
      <c r="D14948" s="330" t="s">
        <v>31143</v>
      </c>
      <c r="E14948" s="330" t="s">
        <v>37248</v>
      </c>
      <c r="F14948" s="331">
        <v>0.21</v>
      </c>
      <c r="G14948" s="332">
        <v>6116</v>
      </c>
      <c r="H14948" s="333">
        <v>7401</v>
      </c>
    </row>
    <row r="14949" spans="1:8">
      <c r="A14949" s="317">
        <v>2615294888</v>
      </c>
      <c r="B14949" s="330" t="s">
        <v>59302</v>
      </c>
      <c r="C14949" s="330" t="s">
        <v>31144</v>
      </c>
      <c r="D14949" s="330" t="s">
        <v>31145</v>
      </c>
      <c r="E14949" s="330" t="s">
        <v>4634</v>
      </c>
      <c r="F14949" s="331">
        <v>0.21</v>
      </c>
      <c r="G14949" s="332">
        <v>10132</v>
      </c>
      <c r="H14949" s="333">
        <v>12260</v>
      </c>
    </row>
    <row r="14950" spans="1:8">
      <c r="A14950" s="317">
        <v>2615295093</v>
      </c>
      <c r="B14950" s="330" t="s">
        <v>59303</v>
      </c>
      <c r="C14950" s="330" t="s">
        <v>31146</v>
      </c>
      <c r="D14950" s="330" t="s">
        <v>7241</v>
      </c>
      <c r="E14950" s="330" t="s">
        <v>37248</v>
      </c>
      <c r="F14950" s="331">
        <v>0.21</v>
      </c>
      <c r="G14950" s="332">
        <v>711</v>
      </c>
      <c r="H14950" s="333">
        <v>861</v>
      </c>
    </row>
    <row r="14951" spans="1:8">
      <c r="A14951" s="317">
        <v>2615296243</v>
      </c>
      <c r="B14951" s="330" t="s">
        <v>59304</v>
      </c>
      <c r="C14951" s="330" t="s">
        <v>31147</v>
      </c>
      <c r="D14951" s="330" t="s">
        <v>12194</v>
      </c>
      <c r="E14951" s="330" t="s">
        <v>4634</v>
      </c>
      <c r="F14951" s="331">
        <v>0.21</v>
      </c>
      <c r="G14951" s="332">
        <v>1126</v>
      </c>
      <c r="H14951" s="333">
        <v>1363</v>
      </c>
    </row>
    <row r="14952" spans="1:8">
      <c r="A14952" s="317">
        <v>2615296765</v>
      </c>
      <c r="B14952" s="330" t="s">
        <v>59305</v>
      </c>
      <c r="C14952" s="330" t="s">
        <v>31148</v>
      </c>
      <c r="D14952" s="330" t="s">
        <v>28102</v>
      </c>
      <c r="E14952" s="330" t="s">
        <v>4634</v>
      </c>
      <c r="F14952" s="331">
        <v>0.21</v>
      </c>
      <c r="G14952" s="332">
        <v>455</v>
      </c>
      <c r="H14952" s="333">
        <v>551</v>
      </c>
    </row>
    <row r="14953" spans="1:8">
      <c r="A14953" s="317">
        <v>2615297061</v>
      </c>
      <c r="B14953" s="330" t="s">
        <v>59306</v>
      </c>
      <c r="C14953" s="330" t="s">
        <v>31149</v>
      </c>
      <c r="D14953" s="330" t="s">
        <v>31150</v>
      </c>
      <c r="E14953" s="330" t="s">
        <v>4634</v>
      </c>
      <c r="F14953" s="331">
        <v>0.21</v>
      </c>
      <c r="G14953" s="332">
        <v>36751</v>
      </c>
      <c r="H14953" s="333">
        <v>44469</v>
      </c>
    </row>
    <row r="14954" spans="1:8">
      <c r="A14954" s="317">
        <v>2615297323</v>
      </c>
      <c r="B14954" s="330" t="s">
        <v>59307</v>
      </c>
      <c r="C14954" s="330" t="s">
        <v>31151</v>
      </c>
      <c r="D14954" s="330" t="s">
        <v>28102</v>
      </c>
      <c r="E14954" s="330" t="s">
        <v>4819</v>
      </c>
      <c r="F14954" s="331">
        <v>0.21</v>
      </c>
      <c r="G14954" s="332">
        <v>1373</v>
      </c>
      <c r="H14954" s="333">
        <v>1662</v>
      </c>
    </row>
    <row r="14955" spans="1:8">
      <c r="A14955" s="317">
        <v>2615297329</v>
      </c>
      <c r="B14955" s="330" t="s">
        <v>59308</v>
      </c>
      <c r="C14955" s="330" t="s">
        <v>31152</v>
      </c>
      <c r="D14955" s="330" t="s">
        <v>29470</v>
      </c>
      <c r="E14955" s="330" t="s">
        <v>4634</v>
      </c>
      <c r="F14955" s="331">
        <v>0.21</v>
      </c>
      <c r="G14955" s="332">
        <v>274</v>
      </c>
      <c r="H14955" s="333">
        <v>332</v>
      </c>
    </row>
    <row r="14956" spans="1:8">
      <c r="A14956" s="317">
        <v>2615297355</v>
      </c>
      <c r="B14956" s="330" t="s">
        <v>59309</v>
      </c>
      <c r="C14956" s="330" t="s">
        <v>31153</v>
      </c>
      <c r="D14956" s="330" t="s">
        <v>31154</v>
      </c>
      <c r="E14956" s="330" t="s">
        <v>4634</v>
      </c>
      <c r="F14956" s="331">
        <v>0.21</v>
      </c>
      <c r="G14956" s="332">
        <v>3002</v>
      </c>
      <c r="H14956" s="333">
        <v>3633</v>
      </c>
    </row>
    <row r="14957" spans="1:8">
      <c r="A14957" s="317">
        <v>2615297356</v>
      </c>
      <c r="B14957" s="330" t="s">
        <v>59310</v>
      </c>
      <c r="C14957" s="330" t="s">
        <v>31155</v>
      </c>
      <c r="D14957" s="330" t="s">
        <v>31156</v>
      </c>
      <c r="E14957" s="330" t="s">
        <v>37248</v>
      </c>
      <c r="F14957" s="331">
        <v>0.21</v>
      </c>
      <c r="G14957" s="332">
        <v>4566</v>
      </c>
      <c r="H14957" s="333">
        <v>5525</v>
      </c>
    </row>
    <row r="14958" spans="1:8">
      <c r="A14958" s="317">
        <v>2615297373</v>
      </c>
      <c r="B14958" s="330" t="s">
        <v>59311</v>
      </c>
      <c r="C14958" s="330" t="s">
        <v>31157</v>
      </c>
      <c r="D14958" s="330" t="s">
        <v>31158</v>
      </c>
      <c r="E14958" s="330" t="s">
        <v>37248</v>
      </c>
      <c r="F14958" s="331">
        <v>0.21</v>
      </c>
      <c r="G14958" s="332">
        <v>2823</v>
      </c>
      <c r="H14958" s="333">
        <v>3416</v>
      </c>
    </row>
    <row r="14959" spans="1:8">
      <c r="A14959" s="317">
        <v>2615298786</v>
      </c>
      <c r="B14959" s="330" t="s">
        <v>59312</v>
      </c>
      <c r="C14959" s="330" t="s">
        <v>31159</v>
      </c>
      <c r="D14959" s="330" t="s">
        <v>31160</v>
      </c>
      <c r="E14959" s="330" t="s">
        <v>4634</v>
      </c>
      <c r="F14959" s="331">
        <v>0.21</v>
      </c>
      <c r="G14959" s="332">
        <v>4833</v>
      </c>
      <c r="H14959" s="333">
        <v>5848</v>
      </c>
    </row>
    <row r="14960" spans="1:8">
      <c r="A14960" s="317">
        <v>2615302217</v>
      </c>
      <c r="B14960" s="330" t="s">
        <v>59313</v>
      </c>
      <c r="C14960" s="330" t="s">
        <v>31161</v>
      </c>
      <c r="D14960" s="330" t="s">
        <v>31162</v>
      </c>
      <c r="E14960" s="330" t="s">
        <v>4634</v>
      </c>
      <c r="F14960" s="331">
        <v>0.21</v>
      </c>
      <c r="G14960" s="332">
        <v>1478</v>
      </c>
      <c r="H14960" s="333">
        <v>1789</v>
      </c>
    </row>
    <row r="14961" spans="1:8">
      <c r="A14961" s="317">
        <v>2615302505</v>
      </c>
      <c r="B14961" s="330" t="s">
        <v>59314</v>
      </c>
      <c r="C14961" s="330" t="s">
        <v>31163</v>
      </c>
      <c r="D14961" s="330" t="s">
        <v>31164</v>
      </c>
      <c r="E14961" s="330" t="s">
        <v>4819</v>
      </c>
      <c r="F14961" s="331">
        <v>0.21</v>
      </c>
      <c r="G14961" s="332">
        <v>2259</v>
      </c>
      <c r="H14961" s="333">
        <v>2734</v>
      </c>
    </row>
    <row r="14962" spans="1:8">
      <c r="A14962" s="317">
        <v>2615302530</v>
      </c>
      <c r="B14962" s="330" t="s">
        <v>59315</v>
      </c>
      <c r="C14962" s="330" t="s">
        <v>31165</v>
      </c>
      <c r="D14962" s="330" t="s">
        <v>31166</v>
      </c>
      <c r="E14962" s="330" t="s">
        <v>4634</v>
      </c>
      <c r="F14962" s="331">
        <v>0.21</v>
      </c>
      <c r="G14962" s="332">
        <v>1371</v>
      </c>
      <c r="H14962" s="333">
        <v>1659</v>
      </c>
    </row>
    <row r="14963" spans="1:8">
      <c r="A14963" s="317">
        <v>2615302548</v>
      </c>
      <c r="B14963" s="330" t="s">
        <v>59316</v>
      </c>
      <c r="C14963" s="330" t="s">
        <v>31167</v>
      </c>
      <c r="D14963" s="330" t="s">
        <v>31168</v>
      </c>
      <c r="E14963" s="330" t="s">
        <v>4634</v>
      </c>
      <c r="F14963" s="331">
        <v>0.21</v>
      </c>
      <c r="G14963" s="332">
        <v>455</v>
      </c>
      <c r="H14963" s="333">
        <v>551</v>
      </c>
    </row>
    <row r="14964" spans="1:8">
      <c r="A14964" s="317">
        <v>2615302683</v>
      </c>
      <c r="B14964" s="330" t="s">
        <v>59317</v>
      </c>
      <c r="C14964" s="330" t="s">
        <v>31169</v>
      </c>
      <c r="D14964" s="330" t="s">
        <v>31170</v>
      </c>
      <c r="E14964" s="330" t="s">
        <v>37248</v>
      </c>
      <c r="F14964" s="331">
        <v>0.21</v>
      </c>
      <c r="G14964" s="332">
        <v>6491</v>
      </c>
      <c r="H14964" s="333">
        <v>7855</v>
      </c>
    </row>
    <row r="14965" spans="1:8">
      <c r="A14965" s="317">
        <v>2615302747</v>
      </c>
      <c r="B14965" s="330" t="s">
        <v>59318</v>
      </c>
      <c r="C14965" s="330" t="s">
        <v>31171</v>
      </c>
      <c r="D14965" s="330" t="s">
        <v>11070</v>
      </c>
      <c r="E14965" s="330" t="s">
        <v>4819</v>
      </c>
      <c r="F14965" s="331">
        <v>0.21</v>
      </c>
      <c r="G14965" s="332">
        <v>5226</v>
      </c>
      <c r="H14965" s="333">
        <v>6324</v>
      </c>
    </row>
    <row r="14966" spans="1:8">
      <c r="A14966" s="317">
        <v>2615302807</v>
      </c>
      <c r="B14966" s="330" t="s">
        <v>59319</v>
      </c>
      <c r="C14966" s="330" t="s">
        <v>31172</v>
      </c>
      <c r="D14966" s="330" t="s">
        <v>31173</v>
      </c>
      <c r="E14966" s="330" t="s">
        <v>4634</v>
      </c>
      <c r="F14966" s="331">
        <v>0.21</v>
      </c>
      <c r="G14966" s="332">
        <v>432</v>
      </c>
      <c r="H14966" s="333">
        <v>523</v>
      </c>
    </row>
    <row r="14967" spans="1:8">
      <c r="A14967" s="317">
        <v>2615303020</v>
      </c>
      <c r="B14967" s="330" t="s">
        <v>59320</v>
      </c>
      <c r="C14967" s="330" t="s">
        <v>31174</v>
      </c>
      <c r="D14967" s="330" t="s">
        <v>31175</v>
      </c>
      <c r="E14967" s="330" t="s">
        <v>4634</v>
      </c>
      <c r="F14967" s="331">
        <v>0.21</v>
      </c>
      <c r="G14967" s="332">
        <v>274</v>
      </c>
      <c r="H14967" s="333">
        <v>332</v>
      </c>
    </row>
    <row r="14968" spans="1:8">
      <c r="A14968" s="317">
        <v>2615303029</v>
      </c>
      <c r="B14968" s="330" t="s">
        <v>59321</v>
      </c>
      <c r="C14968" s="330" t="s">
        <v>31176</v>
      </c>
      <c r="D14968" s="330" t="s">
        <v>11745</v>
      </c>
      <c r="E14968" s="330" t="s">
        <v>4634</v>
      </c>
      <c r="F14968" s="331">
        <v>0.21</v>
      </c>
      <c r="G14968" s="332">
        <v>274</v>
      </c>
      <c r="H14968" s="333">
        <v>332</v>
      </c>
    </row>
    <row r="14969" spans="1:8">
      <c r="A14969" s="317">
        <v>2615448632</v>
      </c>
      <c r="B14969" s="330" t="s">
        <v>59322</v>
      </c>
      <c r="C14969" s="330" t="s">
        <v>31177</v>
      </c>
      <c r="D14969" s="330" t="s">
        <v>31178</v>
      </c>
      <c r="E14969" s="330" t="s">
        <v>4634</v>
      </c>
      <c r="F14969" s="331">
        <v>0.21</v>
      </c>
      <c r="G14969" s="332">
        <v>245</v>
      </c>
      <c r="H14969" s="333">
        <v>297</v>
      </c>
    </row>
    <row r="14970" spans="1:8">
      <c r="A14970" s="317">
        <v>2615650007</v>
      </c>
      <c r="B14970" s="330" t="s">
        <v>59323</v>
      </c>
      <c r="C14970" s="330" t="s">
        <v>31179</v>
      </c>
      <c r="D14970" s="330" t="s">
        <v>31180</v>
      </c>
      <c r="E14970" s="330" t="s">
        <v>4819</v>
      </c>
      <c r="F14970" s="331">
        <v>0.21</v>
      </c>
      <c r="G14970" s="332">
        <v>1025</v>
      </c>
      <c r="H14970" s="333">
        <v>1241</v>
      </c>
    </row>
    <row r="14971" spans="1:8">
      <c r="A14971" s="317">
        <v>2631163851</v>
      </c>
      <c r="B14971" s="330" t="s">
        <v>59324</v>
      </c>
      <c r="C14971" s="330" t="s">
        <v>31181</v>
      </c>
      <c r="D14971" s="330" t="s">
        <v>20333</v>
      </c>
      <c r="E14971" s="330" t="s">
        <v>4819</v>
      </c>
      <c r="F14971" s="331">
        <v>0.21</v>
      </c>
      <c r="G14971" s="332">
        <v>7716</v>
      </c>
      <c r="H14971" s="333">
        <v>9337</v>
      </c>
    </row>
    <row r="14972" spans="1:8">
      <c r="A14972" s="317">
        <v>2910011082</v>
      </c>
      <c r="B14972" s="330" t="s">
        <v>59325</v>
      </c>
      <c r="C14972" s="330" t="s">
        <v>31182</v>
      </c>
      <c r="D14972" s="330" t="s">
        <v>31183</v>
      </c>
      <c r="E14972" s="330" t="s">
        <v>4634</v>
      </c>
      <c r="F14972" s="331">
        <v>0.21</v>
      </c>
      <c r="G14972" s="332">
        <v>180</v>
      </c>
      <c r="H14972" s="333">
        <v>218</v>
      </c>
    </row>
    <row r="14973" spans="1:8">
      <c r="A14973" s="317">
        <v>2910011088</v>
      </c>
      <c r="B14973" s="330" t="s">
        <v>59326</v>
      </c>
      <c r="C14973" s="330" t="s">
        <v>31184</v>
      </c>
      <c r="D14973" s="330" t="s">
        <v>31185</v>
      </c>
      <c r="E14973" s="330" t="s">
        <v>37248</v>
      </c>
      <c r="F14973" s="331">
        <v>0.21</v>
      </c>
      <c r="G14973" s="332">
        <v>318</v>
      </c>
      <c r="H14973" s="333">
        <v>385</v>
      </c>
    </row>
    <row r="14974" spans="1:8">
      <c r="A14974" s="317">
        <v>2910011125</v>
      </c>
      <c r="B14974" s="330" t="s">
        <v>59327</v>
      </c>
      <c r="C14974" s="330" t="s">
        <v>31186</v>
      </c>
      <c r="D14974" s="330" t="s">
        <v>31187</v>
      </c>
      <c r="E14974" s="330" t="s">
        <v>4634</v>
      </c>
      <c r="F14974" s="331">
        <v>0.21</v>
      </c>
      <c r="G14974" s="332">
        <v>153</v>
      </c>
      <c r="H14974" s="333">
        <v>186</v>
      </c>
    </row>
    <row r="14975" spans="1:8">
      <c r="A14975" s="317">
        <v>2910011128</v>
      </c>
      <c r="B14975" s="330" t="s">
        <v>59328</v>
      </c>
      <c r="C14975" s="330" t="s">
        <v>31188</v>
      </c>
      <c r="D14975" s="330" t="s">
        <v>31189</v>
      </c>
      <c r="E14975" s="330" t="s">
        <v>4634</v>
      </c>
      <c r="F14975" s="331">
        <v>0.21</v>
      </c>
      <c r="G14975" s="332">
        <v>274</v>
      </c>
      <c r="H14975" s="333">
        <v>332</v>
      </c>
    </row>
    <row r="14976" spans="1:8">
      <c r="A14976" s="317">
        <v>2910011157</v>
      </c>
      <c r="B14976" s="330" t="s">
        <v>59329</v>
      </c>
      <c r="C14976" s="330" t="s">
        <v>31190</v>
      </c>
      <c r="D14976" s="330" t="s">
        <v>31191</v>
      </c>
      <c r="E14976" s="330" t="s">
        <v>4634</v>
      </c>
      <c r="F14976" s="331">
        <v>0.21</v>
      </c>
      <c r="G14976" s="332">
        <v>274</v>
      </c>
      <c r="H14976" s="333">
        <v>332</v>
      </c>
    </row>
    <row r="14977" spans="1:8">
      <c r="A14977" s="317">
        <v>2910011162</v>
      </c>
      <c r="B14977" s="330" t="s">
        <v>59330</v>
      </c>
      <c r="C14977" s="330" t="s">
        <v>31192</v>
      </c>
      <c r="D14977" s="330" t="s">
        <v>7235</v>
      </c>
      <c r="E14977" s="330" t="s">
        <v>4634</v>
      </c>
      <c r="F14977" s="331">
        <v>0.21</v>
      </c>
      <c r="G14977" s="332">
        <v>153</v>
      </c>
      <c r="H14977" s="333">
        <v>186</v>
      </c>
    </row>
    <row r="14978" spans="1:8">
      <c r="A14978" s="317">
        <v>2910011170</v>
      </c>
      <c r="B14978" s="330" t="s">
        <v>59331</v>
      </c>
      <c r="C14978" s="330" t="s">
        <v>31193</v>
      </c>
      <c r="D14978" s="330" t="s">
        <v>31194</v>
      </c>
      <c r="E14978" s="330" t="s">
        <v>37248</v>
      </c>
      <c r="F14978" s="331">
        <v>0.21</v>
      </c>
      <c r="G14978" s="332">
        <v>435</v>
      </c>
      <c r="H14978" s="333">
        <v>527</v>
      </c>
    </row>
    <row r="14979" spans="1:8">
      <c r="A14979" s="317">
        <v>2910020120</v>
      </c>
      <c r="B14979" s="330" t="s">
        <v>59332</v>
      </c>
      <c r="C14979" s="330" t="s">
        <v>31195</v>
      </c>
      <c r="D14979" s="330" t="s">
        <v>31196</v>
      </c>
      <c r="E14979" s="330" t="s">
        <v>4634</v>
      </c>
      <c r="F14979" s="331">
        <v>0.21</v>
      </c>
      <c r="G14979" s="332">
        <v>372</v>
      </c>
      <c r="H14979" s="333">
        <v>451</v>
      </c>
    </row>
    <row r="14980" spans="1:8">
      <c r="A14980" s="317">
        <v>2910021116</v>
      </c>
      <c r="B14980" s="330" t="s">
        <v>59333</v>
      </c>
      <c r="C14980" s="330" t="s">
        <v>31197</v>
      </c>
      <c r="D14980" s="330" t="s">
        <v>31198</v>
      </c>
      <c r="E14980" s="330" t="s">
        <v>4634</v>
      </c>
      <c r="F14980" s="331">
        <v>0.21</v>
      </c>
      <c r="G14980" s="332">
        <v>426</v>
      </c>
      <c r="H14980" s="333">
        <v>516</v>
      </c>
    </row>
    <row r="14981" spans="1:8">
      <c r="A14981" s="317">
        <v>2910021118</v>
      </c>
      <c r="B14981" s="330" t="s">
        <v>59334</v>
      </c>
      <c r="C14981" s="330" t="s">
        <v>31199</v>
      </c>
      <c r="D14981" s="330" t="s">
        <v>31200</v>
      </c>
      <c r="E14981" s="330" t="s">
        <v>4634</v>
      </c>
      <c r="F14981" s="331">
        <v>0.21</v>
      </c>
      <c r="G14981" s="332">
        <v>153</v>
      </c>
      <c r="H14981" s="333">
        <v>186</v>
      </c>
    </row>
    <row r="14982" spans="1:8">
      <c r="A14982" s="317">
        <v>2910021120</v>
      </c>
      <c r="B14982" s="330" t="s">
        <v>59335</v>
      </c>
      <c r="C14982" s="330" t="s">
        <v>31201</v>
      </c>
      <c r="D14982" s="330" t="s">
        <v>31202</v>
      </c>
      <c r="E14982" s="330" t="s">
        <v>4634</v>
      </c>
      <c r="F14982" s="331">
        <v>0.21</v>
      </c>
      <c r="G14982" s="332">
        <v>274</v>
      </c>
      <c r="H14982" s="333">
        <v>332</v>
      </c>
    </row>
    <row r="14983" spans="1:8">
      <c r="A14983" s="317">
        <v>2910021122</v>
      </c>
      <c r="B14983" s="330" t="s">
        <v>59336</v>
      </c>
      <c r="C14983" s="330" t="s">
        <v>31203</v>
      </c>
      <c r="D14983" s="330" t="s">
        <v>31204</v>
      </c>
      <c r="E14983" s="330" t="s">
        <v>4819</v>
      </c>
      <c r="F14983" s="331">
        <v>0.21</v>
      </c>
      <c r="G14983" s="332">
        <v>1505</v>
      </c>
      <c r="H14983" s="333">
        <v>1822</v>
      </c>
    </row>
    <row r="14984" spans="1:8">
      <c r="A14984" s="317">
        <v>2910021125</v>
      </c>
      <c r="B14984" s="330" t="s">
        <v>59337</v>
      </c>
      <c r="C14984" s="330" t="s">
        <v>31205</v>
      </c>
      <c r="D14984" s="330" t="s">
        <v>31206</v>
      </c>
      <c r="E14984" s="330" t="s">
        <v>4634</v>
      </c>
      <c r="F14984" s="331">
        <v>0.21</v>
      </c>
      <c r="G14984" s="332">
        <v>274</v>
      </c>
      <c r="H14984" s="333">
        <v>332</v>
      </c>
    </row>
    <row r="14985" spans="1:8">
      <c r="A14985" s="317">
        <v>2910021126</v>
      </c>
      <c r="B14985" s="330" t="s">
        <v>59338</v>
      </c>
      <c r="C14985" s="330" t="s">
        <v>31207</v>
      </c>
      <c r="D14985" s="330" t="s">
        <v>31208</v>
      </c>
      <c r="E14985" s="330" t="s">
        <v>4634</v>
      </c>
      <c r="F14985" s="331">
        <v>0.21</v>
      </c>
      <c r="G14985" s="332">
        <v>180</v>
      </c>
      <c r="H14985" s="333">
        <v>218</v>
      </c>
    </row>
    <row r="14986" spans="1:8">
      <c r="A14986" s="317">
        <v>2910021132</v>
      </c>
      <c r="B14986" s="330" t="s">
        <v>59339</v>
      </c>
      <c r="C14986" s="330" t="s">
        <v>31209</v>
      </c>
      <c r="D14986" s="330" t="s">
        <v>31210</v>
      </c>
      <c r="E14986" s="330" t="s">
        <v>4634</v>
      </c>
      <c r="F14986" s="331">
        <v>0.21</v>
      </c>
      <c r="G14986" s="332">
        <v>426</v>
      </c>
      <c r="H14986" s="333">
        <v>516</v>
      </c>
    </row>
    <row r="14987" spans="1:8">
      <c r="A14987" s="317">
        <v>2910021154</v>
      </c>
      <c r="B14987" s="330" t="s">
        <v>59340</v>
      </c>
      <c r="C14987" s="330" t="s">
        <v>31211</v>
      </c>
      <c r="D14987" s="330" t="s">
        <v>31212</v>
      </c>
      <c r="E14987" s="330" t="s">
        <v>4634</v>
      </c>
      <c r="F14987" s="331">
        <v>0.21</v>
      </c>
      <c r="G14987" s="332">
        <v>274</v>
      </c>
      <c r="H14987" s="333">
        <v>332</v>
      </c>
    </row>
    <row r="14988" spans="1:8">
      <c r="A14988" s="317">
        <v>2910091118</v>
      </c>
      <c r="B14988" s="330" t="s">
        <v>59341</v>
      </c>
      <c r="C14988" s="330" t="s">
        <v>31213</v>
      </c>
      <c r="D14988" s="330" t="s">
        <v>31214</v>
      </c>
      <c r="E14988" s="330" t="s">
        <v>4819</v>
      </c>
      <c r="F14988" s="331">
        <v>0.21</v>
      </c>
      <c r="G14988" s="332">
        <v>318</v>
      </c>
      <c r="H14988" s="333">
        <v>385</v>
      </c>
    </row>
    <row r="14989" spans="1:8">
      <c r="A14989" s="317">
        <v>2910110048</v>
      </c>
      <c r="B14989" s="330" t="s">
        <v>59342</v>
      </c>
      <c r="C14989" s="330" t="s">
        <v>31215</v>
      </c>
      <c r="D14989" s="330" t="s">
        <v>31216</v>
      </c>
      <c r="E14989" s="330" t="s">
        <v>37248</v>
      </c>
      <c r="F14989" s="331">
        <v>0.21</v>
      </c>
      <c r="G14989" s="332">
        <v>1505</v>
      </c>
      <c r="H14989" s="333">
        <v>1822</v>
      </c>
    </row>
    <row r="14990" spans="1:8">
      <c r="A14990" s="317">
        <v>2910110120</v>
      </c>
      <c r="B14990" s="330" t="s">
        <v>59343</v>
      </c>
      <c r="C14990" s="330" t="s">
        <v>31217</v>
      </c>
      <c r="D14990" s="330" t="s">
        <v>31218</v>
      </c>
      <c r="E14990" s="330" t="s">
        <v>4634</v>
      </c>
      <c r="F14990" s="331">
        <v>0.21</v>
      </c>
      <c r="G14990" s="332">
        <v>180</v>
      </c>
      <c r="H14990" s="333">
        <v>218</v>
      </c>
    </row>
    <row r="14991" spans="1:8">
      <c r="A14991" s="317">
        <v>2910130244</v>
      </c>
      <c r="B14991" s="330" t="s">
        <v>59344</v>
      </c>
      <c r="C14991" s="330" t="s">
        <v>31219</v>
      </c>
      <c r="D14991" s="330" t="s">
        <v>31220</v>
      </c>
      <c r="E14991" s="330" t="s">
        <v>4634</v>
      </c>
      <c r="F14991" s="331">
        <v>0.21</v>
      </c>
      <c r="G14991" s="332">
        <v>1298</v>
      </c>
      <c r="H14991" s="333">
        <v>1571</v>
      </c>
    </row>
    <row r="14992" spans="1:8">
      <c r="A14992" s="317">
        <v>2910131197</v>
      </c>
      <c r="B14992" s="330" t="s">
        <v>59345</v>
      </c>
      <c r="C14992" s="330" t="s">
        <v>31221</v>
      </c>
      <c r="D14992" s="330" t="s">
        <v>31222</v>
      </c>
      <c r="E14992" s="330" t="s">
        <v>4634</v>
      </c>
      <c r="F14992" s="331">
        <v>0.21</v>
      </c>
      <c r="G14992" s="332">
        <v>392</v>
      </c>
      <c r="H14992" s="333">
        <v>475</v>
      </c>
    </row>
    <row r="14993" spans="1:8">
      <c r="A14993" s="317">
        <v>2910141047</v>
      </c>
      <c r="B14993" s="330" t="s">
        <v>59346</v>
      </c>
      <c r="C14993" s="330" t="s">
        <v>31223</v>
      </c>
      <c r="D14993" s="330" t="s">
        <v>31224</v>
      </c>
      <c r="E14993" s="330" t="s">
        <v>4634</v>
      </c>
      <c r="F14993" s="331">
        <v>0.21</v>
      </c>
      <c r="G14993" s="332">
        <v>580</v>
      </c>
      <c r="H14993" s="333">
        <v>702</v>
      </c>
    </row>
    <row r="14994" spans="1:8">
      <c r="A14994" s="317">
        <v>2910141126</v>
      </c>
      <c r="B14994" s="330" t="s">
        <v>59347</v>
      </c>
      <c r="C14994" s="330" t="s">
        <v>31225</v>
      </c>
      <c r="D14994" s="330" t="s">
        <v>31226</v>
      </c>
      <c r="E14994" s="330" t="s">
        <v>4634</v>
      </c>
      <c r="F14994" s="331">
        <v>0.21</v>
      </c>
      <c r="G14994" s="332">
        <v>153</v>
      </c>
      <c r="H14994" s="333">
        <v>186</v>
      </c>
    </row>
    <row r="14995" spans="1:8">
      <c r="A14995" s="317">
        <v>2910141158</v>
      </c>
      <c r="B14995" s="330" t="s">
        <v>59348</v>
      </c>
      <c r="C14995" s="330" t="s">
        <v>31227</v>
      </c>
      <c r="D14995" s="330" t="s">
        <v>31228</v>
      </c>
      <c r="E14995" s="330" t="s">
        <v>37248</v>
      </c>
      <c r="F14995" s="331">
        <v>0.21</v>
      </c>
      <c r="G14995" s="332">
        <v>318</v>
      </c>
      <c r="H14995" s="333">
        <v>385</v>
      </c>
    </row>
    <row r="14996" spans="1:8">
      <c r="A14996" s="317">
        <v>2910141162</v>
      </c>
      <c r="B14996" s="330" t="s">
        <v>59349</v>
      </c>
      <c r="C14996" s="330" t="s">
        <v>31229</v>
      </c>
      <c r="D14996" s="330" t="s">
        <v>31230</v>
      </c>
      <c r="E14996" s="330" t="s">
        <v>4634</v>
      </c>
      <c r="F14996" s="331">
        <v>0.21</v>
      </c>
      <c r="G14996" s="332">
        <v>412</v>
      </c>
      <c r="H14996" s="333">
        <v>499</v>
      </c>
    </row>
    <row r="14997" spans="1:8">
      <c r="A14997" s="317">
        <v>2910141168</v>
      </c>
      <c r="B14997" s="330" t="s">
        <v>59350</v>
      </c>
      <c r="C14997" s="330" t="s">
        <v>31231</v>
      </c>
      <c r="D14997" s="330" t="s">
        <v>15428</v>
      </c>
      <c r="E14997" s="330" t="s">
        <v>4634</v>
      </c>
      <c r="F14997" s="331">
        <v>0.21</v>
      </c>
      <c r="G14997" s="332">
        <v>972</v>
      </c>
      <c r="H14997" s="333">
        <v>1177</v>
      </c>
    </row>
    <row r="14998" spans="1:8">
      <c r="A14998" s="317">
        <v>2910141197</v>
      </c>
      <c r="B14998" s="330" t="s">
        <v>59351</v>
      </c>
      <c r="C14998" s="330" t="s">
        <v>31232</v>
      </c>
      <c r="D14998" s="330" t="s">
        <v>7332</v>
      </c>
      <c r="E14998" s="330" t="s">
        <v>4819</v>
      </c>
      <c r="F14998" s="331">
        <v>0.21</v>
      </c>
      <c r="G14998" s="332">
        <v>410</v>
      </c>
      <c r="H14998" s="333">
        <v>497</v>
      </c>
    </row>
    <row r="14999" spans="1:8">
      <c r="A14999" s="317">
        <v>2910141199</v>
      </c>
      <c r="B14999" s="330" t="s">
        <v>59352</v>
      </c>
      <c r="C14999" s="330" t="s">
        <v>31233</v>
      </c>
      <c r="D14999" s="330" t="s">
        <v>31234</v>
      </c>
      <c r="E14999" s="330" t="s">
        <v>4634</v>
      </c>
      <c r="F14999" s="331">
        <v>0.21</v>
      </c>
      <c r="G14999" s="332">
        <v>820</v>
      </c>
      <c r="H14999" s="333">
        <v>993</v>
      </c>
    </row>
    <row r="15000" spans="1:8">
      <c r="A15000" s="317">
        <v>2910141201</v>
      </c>
      <c r="B15000" s="330" t="s">
        <v>59353</v>
      </c>
      <c r="C15000" s="330" t="s">
        <v>31235</v>
      </c>
      <c r="D15000" s="330" t="s">
        <v>31236</v>
      </c>
      <c r="E15000" s="330" t="s">
        <v>4819</v>
      </c>
      <c r="F15000" s="331">
        <v>0.21</v>
      </c>
      <c r="G15000" s="332">
        <v>3616</v>
      </c>
      <c r="H15000" s="333">
        <v>4376</v>
      </c>
    </row>
    <row r="15001" spans="1:8">
      <c r="A15001" s="317">
        <v>2910141203</v>
      </c>
      <c r="B15001" s="330" t="s">
        <v>59354</v>
      </c>
      <c r="C15001" s="330" t="s">
        <v>31237</v>
      </c>
      <c r="D15001" s="330" t="s">
        <v>30260</v>
      </c>
      <c r="E15001" s="330" t="s">
        <v>4634</v>
      </c>
      <c r="F15001" s="331">
        <v>0.21</v>
      </c>
      <c r="G15001" s="332">
        <v>236</v>
      </c>
      <c r="H15001" s="333">
        <v>286</v>
      </c>
    </row>
    <row r="15002" spans="1:8">
      <c r="A15002" s="317">
        <v>2910141218</v>
      </c>
      <c r="B15002" s="330" t="s">
        <v>59355</v>
      </c>
      <c r="C15002" s="330" t="s">
        <v>31238</v>
      </c>
      <c r="D15002" s="330" t="s">
        <v>31239</v>
      </c>
      <c r="E15002" s="330" t="s">
        <v>4634</v>
      </c>
      <c r="F15002" s="331">
        <v>0.21</v>
      </c>
      <c r="G15002" s="332">
        <v>648</v>
      </c>
      <c r="H15002" s="333">
        <v>785</v>
      </c>
    </row>
    <row r="15003" spans="1:8">
      <c r="A15003" s="317">
        <v>2910141238</v>
      </c>
      <c r="B15003" s="330" t="s">
        <v>59356</v>
      </c>
      <c r="C15003" s="330" t="s">
        <v>31240</v>
      </c>
      <c r="D15003" s="330" t="s">
        <v>31241</v>
      </c>
      <c r="E15003" s="330" t="s">
        <v>4634</v>
      </c>
      <c r="F15003" s="331">
        <v>0.21</v>
      </c>
      <c r="G15003" s="332">
        <v>372</v>
      </c>
      <c r="H15003" s="333">
        <v>451</v>
      </c>
    </row>
    <row r="15004" spans="1:8">
      <c r="A15004" s="317">
        <v>2910141242</v>
      </c>
      <c r="B15004" s="330" t="s">
        <v>59357</v>
      </c>
      <c r="C15004" s="330" t="s">
        <v>31242</v>
      </c>
      <c r="D15004" s="330" t="s">
        <v>31243</v>
      </c>
      <c r="E15004" s="330" t="s">
        <v>4634</v>
      </c>
      <c r="F15004" s="331">
        <v>0.21</v>
      </c>
      <c r="G15004" s="332">
        <v>372</v>
      </c>
      <c r="H15004" s="333">
        <v>451</v>
      </c>
    </row>
    <row r="15005" spans="1:8">
      <c r="A15005" s="317">
        <v>2910141244</v>
      </c>
      <c r="B15005" s="330" t="s">
        <v>59358</v>
      </c>
      <c r="C15005" s="330" t="s">
        <v>31244</v>
      </c>
      <c r="D15005" s="330" t="s">
        <v>8844</v>
      </c>
      <c r="E15005" s="330" t="s">
        <v>4634</v>
      </c>
      <c r="F15005" s="331">
        <v>0.21</v>
      </c>
      <c r="G15005" s="332">
        <v>372</v>
      </c>
      <c r="H15005" s="333">
        <v>451</v>
      </c>
    </row>
    <row r="15006" spans="1:8">
      <c r="A15006" s="317">
        <v>2910141248</v>
      </c>
      <c r="B15006" s="330" t="s">
        <v>59359</v>
      </c>
      <c r="C15006" s="330" t="s">
        <v>31245</v>
      </c>
      <c r="D15006" s="330" t="s">
        <v>31246</v>
      </c>
      <c r="E15006" s="330" t="s">
        <v>4634</v>
      </c>
      <c r="F15006" s="331">
        <v>0.21</v>
      </c>
      <c r="G15006" s="332">
        <v>455</v>
      </c>
      <c r="H15006" s="333">
        <v>551</v>
      </c>
    </row>
    <row r="15007" spans="1:8">
      <c r="A15007" s="317">
        <v>2910141356</v>
      </c>
      <c r="B15007" s="330" t="s">
        <v>59360</v>
      </c>
      <c r="C15007" s="330" t="s">
        <v>31247</v>
      </c>
      <c r="D15007" s="330" t="s">
        <v>31248</v>
      </c>
      <c r="E15007" s="330" t="s">
        <v>37248</v>
      </c>
      <c r="F15007" s="331">
        <v>0.21</v>
      </c>
      <c r="G15007" s="332">
        <v>1124</v>
      </c>
      <c r="H15007" s="333">
        <v>1361</v>
      </c>
    </row>
    <row r="15008" spans="1:8">
      <c r="A15008" s="317">
        <v>2910151246</v>
      </c>
      <c r="B15008" s="330" t="s">
        <v>59361</v>
      </c>
      <c r="C15008" s="330" t="s">
        <v>31249</v>
      </c>
      <c r="D15008" s="330" t="s">
        <v>31250</v>
      </c>
      <c r="E15008" s="330" t="s">
        <v>37248</v>
      </c>
      <c r="F15008" s="331">
        <v>0.21</v>
      </c>
      <c r="G15008" s="332">
        <v>916</v>
      </c>
      <c r="H15008" s="333">
        <v>1109</v>
      </c>
    </row>
    <row r="15009" spans="1:8">
      <c r="A15009" s="317">
        <v>2910151356</v>
      </c>
      <c r="B15009" s="330" t="s">
        <v>59362</v>
      </c>
      <c r="C15009" s="330" t="s">
        <v>31251</v>
      </c>
      <c r="D15009" s="330" t="s">
        <v>31252</v>
      </c>
      <c r="E15009" s="330" t="s">
        <v>4634</v>
      </c>
      <c r="F15009" s="331">
        <v>0.21</v>
      </c>
      <c r="G15009" s="332">
        <v>1170</v>
      </c>
      <c r="H15009" s="333">
        <v>1416</v>
      </c>
    </row>
    <row r="15010" spans="1:8">
      <c r="A15010" s="317">
        <v>2910211005</v>
      </c>
      <c r="B15010" s="330" t="s">
        <v>59363</v>
      </c>
      <c r="C15010" s="330" t="s">
        <v>31253</v>
      </c>
      <c r="D15010" s="330" t="s">
        <v>13114</v>
      </c>
      <c r="E15010" s="330" t="s">
        <v>4634</v>
      </c>
      <c r="F15010" s="331">
        <v>0.21</v>
      </c>
      <c r="G15010" s="332">
        <v>426</v>
      </c>
      <c r="H15010" s="333">
        <v>516</v>
      </c>
    </row>
    <row r="15011" spans="1:8">
      <c r="A15011" s="317">
        <v>2910211006</v>
      </c>
      <c r="B15011" s="330" t="s">
        <v>59364</v>
      </c>
      <c r="C15011" s="330" t="s">
        <v>31254</v>
      </c>
      <c r="D15011" s="330" t="s">
        <v>7235</v>
      </c>
      <c r="E15011" s="330" t="s">
        <v>4634</v>
      </c>
      <c r="F15011" s="331">
        <v>0.21</v>
      </c>
      <c r="G15011" s="332">
        <v>180</v>
      </c>
      <c r="H15011" s="333">
        <v>218</v>
      </c>
    </row>
    <row r="15012" spans="1:8">
      <c r="A15012" s="317">
        <v>2910211007</v>
      </c>
      <c r="B15012" s="330" t="s">
        <v>59365</v>
      </c>
      <c r="C15012" s="330" t="s">
        <v>31255</v>
      </c>
      <c r="D15012" s="330" t="s">
        <v>31256</v>
      </c>
      <c r="E15012" s="330" t="s">
        <v>37248</v>
      </c>
      <c r="F15012" s="331">
        <v>0.21</v>
      </c>
      <c r="G15012" s="332">
        <v>107</v>
      </c>
      <c r="H15012" s="333">
        <v>130</v>
      </c>
    </row>
    <row r="15013" spans="1:8">
      <c r="A15013" s="317">
        <v>2910211018</v>
      </c>
      <c r="B15013" s="330" t="s">
        <v>59366</v>
      </c>
      <c r="C15013" s="330" t="s">
        <v>31257</v>
      </c>
      <c r="D15013" s="330" t="s">
        <v>31258</v>
      </c>
      <c r="E15013" s="330" t="s">
        <v>4634</v>
      </c>
      <c r="F15013" s="331">
        <v>0.21</v>
      </c>
      <c r="G15013" s="332">
        <v>274</v>
      </c>
      <c r="H15013" s="333">
        <v>332</v>
      </c>
    </row>
    <row r="15014" spans="1:8">
      <c r="A15014" s="317">
        <v>2910211019</v>
      </c>
      <c r="B15014" s="330" t="s">
        <v>59367</v>
      </c>
      <c r="C15014" s="330" t="s">
        <v>31259</v>
      </c>
      <c r="D15014" s="330" t="s">
        <v>31260</v>
      </c>
      <c r="E15014" s="330" t="s">
        <v>4634</v>
      </c>
      <c r="F15014" s="331">
        <v>0.21</v>
      </c>
      <c r="G15014" s="332">
        <v>180</v>
      </c>
      <c r="H15014" s="333">
        <v>218</v>
      </c>
    </row>
    <row r="15015" spans="1:8">
      <c r="A15015" s="317">
        <v>2910211020</v>
      </c>
      <c r="B15015" s="330" t="s">
        <v>59368</v>
      </c>
      <c r="C15015" s="330" t="s">
        <v>31261</v>
      </c>
      <c r="D15015" s="330" t="s">
        <v>31262</v>
      </c>
      <c r="E15015" s="330" t="s">
        <v>4634</v>
      </c>
      <c r="F15015" s="331">
        <v>0.21</v>
      </c>
      <c r="G15015" s="332">
        <v>412</v>
      </c>
      <c r="H15015" s="333">
        <v>499</v>
      </c>
    </row>
    <row r="15016" spans="1:8">
      <c r="A15016" s="317">
        <v>2910211025</v>
      </c>
      <c r="B15016" s="330" t="s">
        <v>59369</v>
      </c>
      <c r="C15016" s="330" t="s">
        <v>31263</v>
      </c>
      <c r="D15016" s="330" t="s">
        <v>31264</v>
      </c>
      <c r="E15016" s="330" t="s">
        <v>4819</v>
      </c>
      <c r="F15016" s="331">
        <v>0.21</v>
      </c>
      <c r="G15016" s="332">
        <v>479</v>
      </c>
      <c r="H15016" s="333">
        <v>580</v>
      </c>
    </row>
    <row r="15017" spans="1:8">
      <c r="A15017" s="317">
        <v>2910211093</v>
      </c>
      <c r="B15017" s="330" t="s">
        <v>59370</v>
      </c>
      <c r="C15017" s="330" t="s">
        <v>31265</v>
      </c>
      <c r="D15017" s="330" t="s">
        <v>6796</v>
      </c>
      <c r="E15017" s="330" t="s">
        <v>4819</v>
      </c>
      <c r="F15017" s="331">
        <v>0.21</v>
      </c>
      <c r="G15017" s="332">
        <v>519</v>
      </c>
      <c r="H15017" s="333">
        <v>628</v>
      </c>
    </row>
    <row r="15018" spans="1:8">
      <c r="A15018" s="317">
        <v>2910211205</v>
      </c>
      <c r="B15018" s="330" t="s">
        <v>59371</v>
      </c>
      <c r="C15018" s="330" t="s">
        <v>31266</v>
      </c>
      <c r="D15018" s="330" t="s">
        <v>31267</v>
      </c>
      <c r="E15018" s="330" t="s">
        <v>4634</v>
      </c>
      <c r="F15018" s="331">
        <v>0.21</v>
      </c>
      <c r="G15018" s="332">
        <v>254</v>
      </c>
      <c r="H15018" s="333">
        <v>308</v>
      </c>
    </row>
    <row r="15019" spans="1:8">
      <c r="A15019" s="317">
        <v>2910211207</v>
      </c>
      <c r="B15019" s="330" t="s">
        <v>59372</v>
      </c>
      <c r="C15019" s="330" t="s">
        <v>31268</v>
      </c>
      <c r="D15019" s="330" t="s">
        <v>31269</v>
      </c>
      <c r="E15019" s="330" t="s">
        <v>4634</v>
      </c>
      <c r="F15019" s="331">
        <v>0.21</v>
      </c>
      <c r="G15019" s="332">
        <v>254</v>
      </c>
      <c r="H15019" s="333">
        <v>308</v>
      </c>
    </row>
    <row r="15020" spans="1:8">
      <c r="A15020" s="317">
        <v>2910211217</v>
      </c>
      <c r="B15020" s="330" t="s">
        <v>59373</v>
      </c>
      <c r="C15020" s="330" t="s">
        <v>31270</v>
      </c>
      <c r="D15020" s="330" t="s">
        <v>31196</v>
      </c>
      <c r="E15020" s="330" t="s">
        <v>4634</v>
      </c>
      <c r="F15020" s="331">
        <v>0.21</v>
      </c>
      <c r="G15020" s="332">
        <v>153</v>
      </c>
      <c r="H15020" s="333">
        <v>186</v>
      </c>
    </row>
    <row r="15021" spans="1:8">
      <c r="A15021" s="317">
        <v>2910211218</v>
      </c>
      <c r="B15021" s="330" t="s">
        <v>59374</v>
      </c>
      <c r="C15021" s="330" t="s">
        <v>31271</v>
      </c>
      <c r="D15021" s="330" t="s">
        <v>31272</v>
      </c>
      <c r="E15021" s="330" t="s">
        <v>4634</v>
      </c>
      <c r="F15021" s="331">
        <v>0.21</v>
      </c>
      <c r="G15021" s="332">
        <v>836</v>
      </c>
      <c r="H15021" s="333">
        <v>1012</v>
      </c>
    </row>
    <row r="15022" spans="1:8">
      <c r="A15022" s="317">
        <v>2910211219</v>
      </c>
      <c r="B15022" s="330" t="s">
        <v>59375</v>
      </c>
      <c r="C15022" s="330" t="s">
        <v>31273</v>
      </c>
      <c r="D15022" s="330" t="s">
        <v>31274</v>
      </c>
      <c r="E15022" s="330" t="s">
        <v>4634</v>
      </c>
      <c r="F15022" s="331">
        <v>0.21</v>
      </c>
      <c r="G15022" s="332">
        <v>147</v>
      </c>
      <c r="H15022" s="333">
        <v>178</v>
      </c>
    </row>
    <row r="15023" spans="1:8">
      <c r="A15023" s="317">
        <v>2910211236</v>
      </c>
      <c r="B15023" s="330" t="s">
        <v>59376</v>
      </c>
      <c r="C15023" s="330" t="s">
        <v>31275</v>
      </c>
      <c r="D15023" s="330" t="s">
        <v>31276</v>
      </c>
      <c r="E15023" s="330" t="s">
        <v>4634</v>
      </c>
      <c r="F15023" s="331">
        <v>0.21</v>
      </c>
      <c r="G15023" s="332">
        <v>153</v>
      </c>
      <c r="H15023" s="333">
        <v>186</v>
      </c>
    </row>
    <row r="15024" spans="1:8">
      <c r="A15024" s="317">
        <v>2910281203</v>
      </c>
      <c r="B15024" s="330" t="s">
        <v>59377</v>
      </c>
      <c r="C15024" s="330" t="s">
        <v>31277</v>
      </c>
      <c r="D15024" s="330" t="s">
        <v>31278</v>
      </c>
      <c r="E15024" s="330" t="s">
        <v>4819</v>
      </c>
      <c r="F15024" s="331">
        <v>0.21</v>
      </c>
      <c r="G15024" s="332">
        <v>1025</v>
      </c>
      <c r="H15024" s="333">
        <v>1241</v>
      </c>
    </row>
    <row r="15025" spans="1:8">
      <c r="A15025" s="317">
        <v>2910281205</v>
      </c>
      <c r="B15025" s="330" t="s">
        <v>59378</v>
      </c>
      <c r="C15025" s="330" t="s">
        <v>31279</v>
      </c>
      <c r="D15025" s="330" t="s">
        <v>31278</v>
      </c>
      <c r="E15025" s="330" t="s">
        <v>37248</v>
      </c>
      <c r="F15025" s="331">
        <v>0.21</v>
      </c>
      <c r="G15025" s="332">
        <v>976</v>
      </c>
      <c r="H15025" s="333">
        <v>1181</v>
      </c>
    </row>
    <row r="15026" spans="1:8">
      <c r="A15026" s="317">
        <v>2910281209</v>
      </c>
      <c r="B15026" s="330" t="s">
        <v>59379</v>
      </c>
      <c r="C15026" s="330" t="s">
        <v>31280</v>
      </c>
      <c r="D15026" s="330" t="s">
        <v>31278</v>
      </c>
      <c r="E15026" s="330" t="s">
        <v>37248</v>
      </c>
      <c r="F15026" s="331">
        <v>0.21</v>
      </c>
      <c r="G15026" s="332">
        <v>814</v>
      </c>
      <c r="H15026" s="333">
        <v>985</v>
      </c>
    </row>
    <row r="15027" spans="1:8">
      <c r="A15027" s="317">
        <v>2910285226</v>
      </c>
      <c r="B15027" s="330" t="s">
        <v>59380</v>
      </c>
      <c r="C15027" s="330" t="s">
        <v>31281</v>
      </c>
      <c r="D15027" s="330" t="s">
        <v>31282</v>
      </c>
      <c r="E15027" s="330" t="s">
        <v>4634</v>
      </c>
      <c r="F15027" s="331">
        <v>0.21</v>
      </c>
      <c r="G15027" s="332">
        <v>372</v>
      </c>
      <c r="H15027" s="333">
        <v>451</v>
      </c>
    </row>
    <row r="15028" spans="1:8">
      <c r="A15028" s="317">
        <v>2910401118</v>
      </c>
      <c r="B15028" s="330" t="s">
        <v>59381</v>
      </c>
      <c r="C15028" s="330" t="s">
        <v>31283</v>
      </c>
      <c r="D15028" s="330" t="s">
        <v>7332</v>
      </c>
      <c r="E15028" s="330" t="s">
        <v>37248</v>
      </c>
      <c r="F15028" s="331">
        <v>0.21</v>
      </c>
      <c r="G15028" s="332">
        <v>553</v>
      </c>
      <c r="H15028" s="333">
        <v>670</v>
      </c>
    </row>
    <row r="15029" spans="1:8">
      <c r="A15029" s="317">
        <v>2910401289</v>
      </c>
      <c r="B15029" s="330" t="s">
        <v>59382</v>
      </c>
      <c r="C15029" s="330" t="s">
        <v>31284</v>
      </c>
      <c r="D15029" s="330" t="s">
        <v>7332</v>
      </c>
      <c r="E15029" s="330" t="s">
        <v>37248</v>
      </c>
      <c r="F15029" s="331">
        <v>0.21</v>
      </c>
      <c r="G15029" s="332">
        <v>383</v>
      </c>
      <c r="H15029" s="333">
        <v>464</v>
      </c>
    </row>
    <row r="15030" spans="1:8">
      <c r="A15030" s="317">
        <v>2910405154</v>
      </c>
      <c r="B15030" s="330" t="s">
        <v>59383</v>
      </c>
      <c r="C15030" s="330" t="s">
        <v>31285</v>
      </c>
      <c r="D15030" s="330" t="s">
        <v>31286</v>
      </c>
      <c r="E15030" s="330" t="s">
        <v>4634</v>
      </c>
      <c r="F15030" s="331">
        <v>0.21</v>
      </c>
      <c r="G15030" s="332">
        <v>564</v>
      </c>
      <c r="H15030" s="333">
        <v>683</v>
      </c>
    </row>
    <row r="15031" spans="1:8">
      <c r="A15031" s="317">
        <v>2910501130</v>
      </c>
      <c r="B15031" s="330" t="s">
        <v>59384</v>
      </c>
      <c r="C15031" s="330" t="s">
        <v>31287</v>
      </c>
      <c r="D15031" s="330" t="s">
        <v>31288</v>
      </c>
      <c r="E15031" s="330" t="s">
        <v>4634</v>
      </c>
      <c r="F15031" s="331">
        <v>0.21</v>
      </c>
      <c r="G15031" s="332">
        <v>245</v>
      </c>
      <c r="H15031" s="333">
        <v>297</v>
      </c>
    </row>
    <row r="15032" spans="1:8">
      <c r="A15032" s="317">
        <v>2910501152</v>
      </c>
      <c r="B15032" s="330" t="s">
        <v>59385</v>
      </c>
      <c r="C15032" s="330" t="s">
        <v>31289</v>
      </c>
      <c r="D15032" s="330" t="s">
        <v>31290</v>
      </c>
      <c r="E15032" s="330" t="s">
        <v>4634</v>
      </c>
      <c r="F15032" s="331">
        <v>0.21</v>
      </c>
      <c r="G15032" s="332">
        <v>153</v>
      </c>
      <c r="H15032" s="333">
        <v>186</v>
      </c>
    </row>
    <row r="15033" spans="1:8">
      <c r="A15033" s="317">
        <v>2910541050</v>
      </c>
      <c r="B15033" s="330" t="s">
        <v>59386</v>
      </c>
      <c r="C15033" s="330" t="s">
        <v>31291</v>
      </c>
      <c r="D15033" s="330" t="s">
        <v>31292</v>
      </c>
      <c r="E15033" s="330" t="s">
        <v>37248</v>
      </c>
      <c r="F15033" s="331">
        <v>0.21</v>
      </c>
      <c r="G15033" s="332">
        <v>205</v>
      </c>
      <c r="H15033" s="333">
        <v>249</v>
      </c>
    </row>
    <row r="15034" spans="1:8">
      <c r="A15034" s="317">
        <v>2910601105</v>
      </c>
      <c r="B15034" s="330" t="s">
        <v>59387</v>
      </c>
      <c r="C15034" s="330" t="s">
        <v>31293</v>
      </c>
      <c r="D15034" s="330" t="s">
        <v>31196</v>
      </c>
      <c r="E15034" s="330" t="s">
        <v>4634</v>
      </c>
      <c r="F15034" s="331">
        <v>0.21</v>
      </c>
      <c r="G15034" s="332">
        <v>153</v>
      </c>
      <c r="H15034" s="333">
        <v>186</v>
      </c>
    </row>
    <row r="15035" spans="1:8">
      <c r="A15035" s="317">
        <v>2910601118</v>
      </c>
      <c r="B15035" s="330" t="s">
        <v>59388</v>
      </c>
      <c r="C15035" s="330" t="s">
        <v>31294</v>
      </c>
      <c r="D15035" s="330" t="s">
        <v>8844</v>
      </c>
      <c r="E15035" s="330" t="s">
        <v>4634</v>
      </c>
      <c r="F15035" s="331">
        <v>0.21</v>
      </c>
      <c r="G15035" s="332">
        <v>274</v>
      </c>
      <c r="H15035" s="333">
        <v>332</v>
      </c>
    </row>
    <row r="15036" spans="1:8">
      <c r="A15036" s="317">
        <v>2910601325</v>
      </c>
      <c r="B15036" s="330" t="s">
        <v>59389</v>
      </c>
      <c r="C15036" s="330" t="s">
        <v>31295</v>
      </c>
      <c r="D15036" s="330" t="s">
        <v>8771</v>
      </c>
      <c r="E15036" s="330" t="s">
        <v>4634</v>
      </c>
      <c r="F15036" s="331">
        <v>0.21</v>
      </c>
      <c r="G15036" s="332">
        <v>180</v>
      </c>
      <c r="H15036" s="333">
        <v>218</v>
      </c>
    </row>
    <row r="15037" spans="1:8">
      <c r="A15037" s="317">
        <v>2910611002</v>
      </c>
      <c r="B15037" s="330" t="s">
        <v>59390</v>
      </c>
      <c r="C15037" s="330" t="s">
        <v>31296</v>
      </c>
      <c r="D15037" s="330" t="s">
        <v>12616</v>
      </c>
      <c r="E15037" s="330" t="s">
        <v>4634</v>
      </c>
      <c r="F15037" s="331">
        <v>0.21</v>
      </c>
      <c r="G15037" s="332">
        <v>153</v>
      </c>
      <c r="H15037" s="333">
        <v>186</v>
      </c>
    </row>
    <row r="15038" spans="1:8">
      <c r="A15038" s="317">
        <v>2910611005</v>
      </c>
      <c r="B15038" s="330" t="s">
        <v>59391</v>
      </c>
      <c r="C15038" s="330" t="s">
        <v>31297</v>
      </c>
      <c r="D15038" s="330" t="s">
        <v>31298</v>
      </c>
      <c r="E15038" s="330" t="s">
        <v>4634</v>
      </c>
      <c r="F15038" s="331">
        <v>0.21</v>
      </c>
      <c r="G15038" s="332">
        <v>426</v>
      </c>
      <c r="H15038" s="333">
        <v>516</v>
      </c>
    </row>
    <row r="15039" spans="1:8">
      <c r="A15039" s="317">
        <v>2910611006</v>
      </c>
      <c r="B15039" s="330" t="s">
        <v>59392</v>
      </c>
      <c r="C15039" s="330" t="s">
        <v>31299</v>
      </c>
      <c r="D15039" s="330" t="s">
        <v>15512</v>
      </c>
      <c r="E15039" s="330" t="s">
        <v>37248</v>
      </c>
      <c r="F15039" s="331">
        <v>0.21</v>
      </c>
      <c r="G15039" s="332">
        <v>78</v>
      </c>
      <c r="H15039" s="333">
        <v>95</v>
      </c>
    </row>
    <row r="15040" spans="1:8">
      <c r="A15040" s="317">
        <v>2910611007</v>
      </c>
      <c r="B15040" s="330" t="s">
        <v>59393</v>
      </c>
      <c r="C15040" s="330" t="s">
        <v>31300</v>
      </c>
      <c r="D15040" s="330" t="s">
        <v>31301</v>
      </c>
      <c r="E15040" s="330" t="s">
        <v>4634</v>
      </c>
      <c r="F15040" s="331">
        <v>0.21</v>
      </c>
      <c r="G15040" s="332">
        <v>147</v>
      </c>
      <c r="H15040" s="333">
        <v>178</v>
      </c>
    </row>
    <row r="15041" spans="1:8">
      <c r="A15041" s="317">
        <v>2910611012</v>
      </c>
      <c r="B15041" s="330" t="s">
        <v>59394</v>
      </c>
      <c r="C15041" s="330" t="s">
        <v>31302</v>
      </c>
      <c r="D15041" s="330" t="s">
        <v>31303</v>
      </c>
      <c r="E15041" s="330" t="s">
        <v>4634</v>
      </c>
      <c r="F15041" s="331">
        <v>0.21</v>
      </c>
      <c r="G15041" s="332">
        <v>84</v>
      </c>
      <c r="H15041" s="333">
        <v>102</v>
      </c>
    </row>
    <row r="15042" spans="1:8">
      <c r="A15042" s="317">
        <v>2910611015</v>
      </c>
      <c r="B15042" s="330" t="s">
        <v>59395</v>
      </c>
      <c r="C15042" s="330" t="s">
        <v>31304</v>
      </c>
      <c r="D15042" s="330" t="s">
        <v>31305</v>
      </c>
      <c r="E15042" s="330" t="s">
        <v>4634</v>
      </c>
      <c r="F15042" s="331">
        <v>0.21</v>
      </c>
      <c r="G15042" s="332">
        <v>309</v>
      </c>
      <c r="H15042" s="333">
        <v>374</v>
      </c>
    </row>
    <row r="15043" spans="1:8">
      <c r="A15043" s="317">
        <v>2910611018</v>
      </c>
      <c r="B15043" s="330" t="s">
        <v>59396</v>
      </c>
      <c r="C15043" s="330" t="s">
        <v>31306</v>
      </c>
      <c r="D15043" s="330" t="s">
        <v>31307</v>
      </c>
      <c r="E15043" s="330" t="s">
        <v>4634</v>
      </c>
      <c r="F15043" s="331">
        <v>0.21</v>
      </c>
      <c r="G15043" s="332">
        <v>309</v>
      </c>
      <c r="H15043" s="333">
        <v>374</v>
      </c>
    </row>
    <row r="15044" spans="1:8">
      <c r="A15044" s="317">
        <v>2910611019</v>
      </c>
      <c r="B15044" s="330" t="s">
        <v>59397</v>
      </c>
      <c r="C15044" s="330" t="s">
        <v>31308</v>
      </c>
      <c r="D15044" s="330" t="s">
        <v>31309</v>
      </c>
      <c r="E15044" s="330" t="s">
        <v>4634</v>
      </c>
      <c r="F15044" s="331">
        <v>0.21</v>
      </c>
      <c r="G15044" s="332">
        <v>2502</v>
      </c>
      <c r="H15044" s="333">
        <v>3028</v>
      </c>
    </row>
    <row r="15045" spans="1:8">
      <c r="A15045" s="317">
        <v>2910611020</v>
      </c>
      <c r="B15045" s="330" t="s">
        <v>59398</v>
      </c>
      <c r="C15045" s="330" t="s">
        <v>31310</v>
      </c>
      <c r="D15045" s="330" t="s">
        <v>31311</v>
      </c>
      <c r="E15045" s="330" t="s">
        <v>4634</v>
      </c>
      <c r="F15045" s="331">
        <v>0.21</v>
      </c>
      <c r="G15045" s="332">
        <v>580</v>
      </c>
      <c r="H15045" s="333">
        <v>702</v>
      </c>
    </row>
    <row r="15046" spans="1:8">
      <c r="A15046" s="317">
        <v>2910611022</v>
      </c>
      <c r="B15046" s="330" t="s">
        <v>59399</v>
      </c>
      <c r="C15046" s="330" t="s">
        <v>31312</v>
      </c>
      <c r="D15046" s="330" t="s">
        <v>31313</v>
      </c>
      <c r="E15046" s="330" t="s">
        <v>4634</v>
      </c>
      <c r="F15046" s="331">
        <v>0.21</v>
      </c>
      <c r="G15046" s="332">
        <v>216</v>
      </c>
      <c r="H15046" s="333">
        <v>262</v>
      </c>
    </row>
    <row r="15047" spans="1:8">
      <c r="A15047" s="317">
        <v>2910611093</v>
      </c>
      <c r="B15047" s="330" t="s">
        <v>59400</v>
      </c>
      <c r="C15047" s="330" t="s">
        <v>31314</v>
      </c>
      <c r="D15047" s="330" t="s">
        <v>26044</v>
      </c>
      <c r="E15047" s="330" t="s">
        <v>4634</v>
      </c>
      <c r="F15047" s="331">
        <v>0.21</v>
      </c>
      <c r="G15047" s="332">
        <v>274</v>
      </c>
      <c r="H15047" s="333">
        <v>332</v>
      </c>
    </row>
    <row r="15048" spans="1:8">
      <c r="A15048" s="317">
        <v>2910615407</v>
      </c>
      <c r="B15048" s="330" t="s">
        <v>59401</v>
      </c>
      <c r="C15048" s="330" t="s">
        <v>31315</v>
      </c>
      <c r="D15048" s="330" t="s">
        <v>31316</v>
      </c>
      <c r="E15048" s="330" t="s">
        <v>4819</v>
      </c>
      <c r="F15048" s="331">
        <v>0.21</v>
      </c>
      <c r="G15048" s="332">
        <v>1505</v>
      </c>
      <c r="H15048" s="333">
        <v>1822</v>
      </c>
    </row>
    <row r="15049" spans="1:8">
      <c r="A15049" s="317">
        <v>2910641054</v>
      </c>
      <c r="B15049" s="330" t="s">
        <v>59402</v>
      </c>
      <c r="C15049" s="330" t="s">
        <v>31317</v>
      </c>
      <c r="D15049" s="330" t="s">
        <v>23255</v>
      </c>
      <c r="E15049" s="330" t="s">
        <v>37248</v>
      </c>
      <c r="F15049" s="331">
        <v>0.21</v>
      </c>
      <c r="G15049" s="332">
        <v>107</v>
      </c>
      <c r="H15049" s="333">
        <v>130</v>
      </c>
    </row>
    <row r="15050" spans="1:8">
      <c r="A15050" s="317">
        <v>2910641081</v>
      </c>
      <c r="B15050" s="330" t="s">
        <v>59403</v>
      </c>
      <c r="C15050" s="330" t="s">
        <v>31318</v>
      </c>
      <c r="D15050" s="330" t="s">
        <v>31319</v>
      </c>
      <c r="E15050" s="330" t="s">
        <v>4634</v>
      </c>
      <c r="F15050" s="331">
        <v>0.21</v>
      </c>
      <c r="G15050" s="332">
        <v>823</v>
      </c>
      <c r="H15050" s="333">
        <v>996</v>
      </c>
    </row>
    <row r="15051" spans="1:8">
      <c r="A15051" s="317">
        <v>2910641122</v>
      </c>
      <c r="B15051" s="330" t="s">
        <v>59404</v>
      </c>
      <c r="C15051" s="330" t="s">
        <v>31320</v>
      </c>
      <c r="D15051" s="330" t="s">
        <v>31321</v>
      </c>
      <c r="E15051" s="330" t="s">
        <v>4819</v>
      </c>
      <c r="F15051" s="331">
        <v>0.21</v>
      </c>
      <c r="G15051" s="332">
        <v>3062</v>
      </c>
      <c r="H15051" s="333">
        <v>3706</v>
      </c>
    </row>
    <row r="15052" spans="1:8">
      <c r="A15052" s="317">
        <v>2910648880</v>
      </c>
      <c r="B15052" s="330" t="s">
        <v>59405</v>
      </c>
      <c r="C15052" s="330" t="s">
        <v>31322</v>
      </c>
      <c r="D15052" s="330" t="s">
        <v>21350</v>
      </c>
      <c r="E15052" s="330" t="s">
        <v>4819</v>
      </c>
      <c r="F15052" s="331">
        <v>0.21</v>
      </c>
      <c r="G15052" s="332">
        <v>479</v>
      </c>
      <c r="H15052" s="333">
        <v>580</v>
      </c>
    </row>
    <row r="15053" spans="1:8">
      <c r="A15053" s="317">
        <v>2910771118</v>
      </c>
      <c r="B15053" s="330" t="s">
        <v>59406</v>
      </c>
      <c r="C15053" s="330" t="s">
        <v>31323</v>
      </c>
      <c r="D15053" s="330" t="s">
        <v>31196</v>
      </c>
      <c r="E15053" s="330" t="s">
        <v>4634</v>
      </c>
      <c r="F15053" s="331">
        <v>0.21</v>
      </c>
      <c r="G15053" s="332">
        <v>153</v>
      </c>
      <c r="H15053" s="333">
        <v>186</v>
      </c>
    </row>
    <row r="15054" spans="1:8">
      <c r="A15054" s="317">
        <v>2910871122</v>
      </c>
      <c r="B15054" s="330" t="s">
        <v>59407</v>
      </c>
      <c r="C15054" s="330" t="s">
        <v>31324</v>
      </c>
      <c r="D15054" s="330" t="s">
        <v>31325</v>
      </c>
      <c r="E15054" s="330" t="s">
        <v>4634</v>
      </c>
      <c r="F15054" s="331">
        <v>0.21</v>
      </c>
      <c r="G15054" s="332">
        <v>274</v>
      </c>
      <c r="H15054" s="333">
        <v>332</v>
      </c>
    </row>
    <row r="15055" spans="1:8">
      <c r="A15055" s="317">
        <v>2910951118</v>
      </c>
      <c r="B15055" s="330" t="s">
        <v>59408</v>
      </c>
      <c r="C15055" s="330" t="s">
        <v>31326</v>
      </c>
      <c r="D15055" s="330" t="s">
        <v>31325</v>
      </c>
      <c r="E15055" s="330" t="s">
        <v>4634</v>
      </c>
      <c r="F15055" s="331">
        <v>0.21</v>
      </c>
      <c r="G15055" s="332">
        <v>432</v>
      </c>
      <c r="H15055" s="333">
        <v>523</v>
      </c>
    </row>
    <row r="15056" spans="1:8">
      <c r="A15056" s="317">
        <v>2911011270</v>
      </c>
      <c r="B15056" s="330" t="s">
        <v>59409</v>
      </c>
      <c r="C15056" s="330" t="s">
        <v>31327</v>
      </c>
      <c r="D15056" s="330" t="s">
        <v>31328</v>
      </c>
      <c r="E15056" s="330" t="s">
        <v>4819</v>
      </c>
      <c r="F15056" s="331">
        <v>0.21</v>
      </c>
      <c r="G15056" s="332">
        <v>4706</v>
      </c>
      <c r="H15056" s="333">
        <v>5695</v>
      </c>
    </row>
    <row r="15057" spans="1:8">
      <c r="A15057" s="317">
        <v>2911011363</v>
      </c>
      <c r="B15057" s="330" t="s">
        <v>59410</v>
      </c>
      <c r="C15057" s="330" t="s">
        <v>31329</v>
      </c>
      <c r="D15057" s="330" t="s">
        <v>31330</v>
      </c>
      <c r="E15057" s="330" t="s">
        <v>4634</v>
      </c>
      <c r="F15057" s="331">
        <v>0.21</v>
      </c>
      <c r="G15057" s="332">
        <v>2005</v>
      </c>
      <c r="H15057" s="333">
        <v>2427</v>
      </c>
    </row>
    <row r="15058" spans="1:8">
      <c r="A15058" s="317">
        <v>2911021267</v>
      </c>
      <c r="B15058" s="330" t="s">
        <v>59411</v>
      </c>
      <c r="C15058" s="330" t="s">
        <v>31331</v>
      </c>
      <c r="D15058" s="330" t="s">
        <v>31332</v>
      </c>
      <c r="E15058" s="330" t="s">
        <v>37248</v>
      </c>
      <c r="F15058" s="331">
        <v>0.21</v>
      </c>
      <c r="G15058" s="332">
        <v>2250</v>
      </c>
      <c r="H15058" s="333">
        <v>2723</v>
      </c>
    </row>
    <row r="15059" spans="1:8">
      <c r="A15059" s="317">
        <v>2911061180</v>
      </c>
      <c r="B15059" s="330" t="s">
        <v>59412</v>
      </c>
      <c r="C15059" s="330" t="s">
        <v>31333</v>
      </c>
      <c r="D15059" s="330" t="s">
        <v>31334</v>
      </c>
      <c r="E15059" s="330" t="s">
        <v>4634</v>
      </c>
      <c r="F15059" s="331">
        <v>0.21</v>
      </c>
      <c r="G15059" s="332">
        <v>274</v>
      </c>
      <c r="H15059" s="333">
        <v>332</v>
      </c>
    </row>
    <row r="15060" spans="1:8">
      <c r="A15060" s="317">
        <v>2912031193</v>
      </c>
      <c r="B15060" s="330" t="s">
        <v>59413</v>
      </c>
      <c r="C15060" s="330" t="s">
        <v>31335</v>
      </c>
      <c r="D15060" s="330" t="s">
        <v>31336</v>
      </c>
      <c r="E15060" s="330" t="s">
        <v>4634</v>
      </c>
      <c r="F15060" s="331">
        <v>0.21</v>
      </c>
      <c r="G15060" s="332">
        <v>87</v>
      </c>
      <c r="H15060" s="333">
        <v>106</v>
      </c>
    </row>
    <row r="15061" spans="1:8">
      <c r="A15061" s="317">
        <v>2912041114</v>
      </c>
      <c r="B15061" s="330" t="s">
        <v>59414</v>
      </c>
      <c r="C15061" s="330" t="s">
        <v>31337</v>
      </c>
      <c r="D15061" s="330" t="s">
        <v>31338</v>
      </c>
      <c r="E15061" s="330" t="s">
        <v>4634</v>
      </c>
      <c r="F15061" s="331">
        <v>0.21</v>
      </c>
      <c r="G15061" s="332">
        <v>490</v>
      </c>
      <c r="H15061" s="333">
        <v>593</v>
      </c>
    </row>
    <row r="15062" spans="1:8">
      <c r="A15062" s="317">
        <v>2912041147</v>
      </c>
      <c r="B15062" s="330" t="s">
        <v>59415</v>
      </c>
      <c r="C15062" s="330" t="s">
        <v>31339</v>
      </c>
      <c r="D15062" s="330" t="s">
        <v>31340</v>
      </c>
      <c r="E15062" s="330" t="s">
        <v>4634</v>
      </c>
      <c r="F15062" s="331">
        <v>0.21</v>
      </c>
      <c r="G15062" s="332">
        <v>412</v>
      </c>
      <c r="H15062" s="333">
        <v>499</v>
      </c>
    </row>
    <row r="15063" spans="1:8">
      <c r="A15063" s="317">
        <v>2912081116</v>
      </c>
      <c r="B15063" s="330" t="s">
        <v>59416</v>
      </c>
      <c r="C15063" s="330" t="s">
        <v>31341</v>
      </c>
      <c r="D15063" s="330" t="s">
        <v>31342</v>
      </c>
      <c r="E15063" s="330" t="s">
        <v>4634</v>
      </c>
      <c r="F15063" s="331">
        <v>0.21</v>
      </c>
      <c r="G15063" s="332">
        <v>490</v>
      </c>
      <c r="H15063" s="333">
        <v>593</v>
      </c>
    </row>
    <row r="15064" spans="1:8">
      <c r="A15064" s="317">
        <v>2912401005</v>
      </c>
      <c r="B15064" s="330" t="s">
        <v>59417</v>
      </c>
      <c r="C15064" s="330" t="s">
        <v>31343</v>
      </c>
      <c r="D15064" s="330" t="s">
        <v>31344</v>
      </c>
      <c r="E15064" s="330" t="s">
        <v>4634</v>
      </c>
      <c r="F15064" s="331">
        <v>0.21</v>
      </c>
      <c r="G15064" s="332">
        <v>274</v>
      </c>
      <c r="H15064" s="333">
        <v>332</v>
      </c>
    </row>
    <row r="15065" spans="1:8">
      <c r="A15065" s="317">
        <v>2912401007</v>
      </c>
      <c r="B15065" s="330" t="s">
        <v>59418</v>
      </c>
      <c r="C15065" s="330" t="s">
        <v>31345</v>
      </c>
      <c r="D15065" s="330" t="s">
        <v>31346</v>
      </c>
      <c r="E15065" s="330" t="s">
        <v>4634</v>
      </c>
      <c r="F15065" s="331">
        <v>0.21</v>
      </c>
      <c r="G15065" s="332">
        <v>348</v>
      </c>
      <c r="H15065" s="333">
        <v>422</v>
      </c>
    </row>
    <row r="15066" spans="1:8">
      <c r="A15066" s="317">
        <v>2912401018</v>
      </c>
      <c r="B15066" s="330" t="s">
        <v>59419</v>
      </c>
      <c r="C15066" s="330" t="s">
        <v>31347</v>
      </c>
      <c r="D15066" s="330" t="s">
        <v>31348</v>
      </c>
      <c r="E15066" s="330" t="s">
        <v>4819</v>
      </c>
      <c r="F15066" s="331">
        <v>0.21</v>
      </c>
      <c r="G15066" s="332">
        <v>1505</v>
      </c>
      <c r="H15066" s="333">
        <v>1822</v>
      </c>
    </row>
    <row r="15067" spans="1:8">
      <c r="A15067" s="317">
        <v>2912401019</v>
      </c>
      <c r="B15067" s="330" t="s">
        <v>59420</v>
      </c>
      <c r="C15067" s="330" t="s">
        <v>31349</v>
      </c>
      <c r="D15067" s="330" t="s">
        <v>31350</v>
      </c>
      <c r="E15067" s="330" t="s">
        <v>4634</v>
      </c>
      <c r="F15067" s="331">
        <v>0.21</v>
      </c>
      <c r="G15067" s="332">
        <v>372</v>
      </c>
      <c r="H15067" s="333">
        <v>451</v>
      </c>
    </row>
    <row r="15068" spans="1:8">
      <c r="A15068" s="317">
        <v>2912401020</v>
      </c>
      <c r="B15068" s="330" t="s">
        <v>59421</v>
      </c>
      <c r="C15068" s="330" t="s">
        <v>31351</v>
      </c>
      <c r="D15068" s="330" t="s">
        <v>31352</v>
      </c>
      <c r="E15068" s="330" t="s">
        <v>37248</v>
      </c>
      <c r="F15068" s="331">
        <v>0.21</v>
      </c>
      <c r="G15068" s="332">
        <v>107</v>
      </c>
      <c r="H15068" s="333">
        <v>130</v>
      </c>
    </row>
    <row r="15069" spans="1:8">
      <c r="A15069" s="317">
        <v>2912401038</v>
      </c>
      <c r="B15069" s="330" t="s">
        <v>59422</v>
      </c>
      <c r="C15069" s="330" t="s">
        <v>31353</v>
      </c>
      <c r="D15069" s="330" t="s">
        <v>31354</v>
      </c>
      <c r="E15069" s="330" t="s">
        <v>37248</v>
      </c>
      <c r="F15069" s="331">
        <v>0.21</v>
      </c>
      <c r="G15069" s="332">
        <v>174</v>
      </c>
      <c r="H15069" s="333">
        <v>211</v>
      </c>
    </row>
    <row r="15070" spans="1:8">
      <c r="A15070" s="317">
        <v>2912401412</v>
      </c>
      <c r="B15070" s="330" t="s">
        <v>59423</v>
      </c>
      <c r="C15070" s="330" t="s">
        <v>31355</v>
      </c>
      <c r="D15070" s="330" t="s">
        <v>21058</v>
      </c>
      <c r="E15070" s="330" t="s">
        <v>4634</v>
      </c>
      <c r="F15070" s="331">
        <v>0.21</v>
      </c>
      <c r="G15070" s="332">
        <v>673</v>
      </c>
      <c r="H15070" s="333">
        <v>815</v>
      </c>
    </row>
    <row r="15071" spans="1:8">
      <c r="A15071" s="317">
        <v>2912401420</v>
      </c>
      <c r="B15071" s="330" t="s">
        <v>59424</v>
      </c>
      <c r="C15071" s="330" t="s">
        <v>31356</v>
      </c>
      <c r="D15071" s="330" t="s">
        <v>31357</v>
      </c>
      <c r="E15071" s="330" t="s">
        <v>4634</v>
      </c>
      <c r="F15071" s="331">
        <v>0.21</v>
      </c>
      <c r="G15071" s="332">
        <v>274</v>
      </c>
      <c r="H15071" s="333">
        <v>332</v>
      </c>
    </row>
    <row r="15072" spans="1:8">
      <c r="A15072" s="317">
        <v>2912731122</v>
      </c>
      <c r="B15072" s="330" t="s">
        <v>59425</v>
      </c>
      <c r="C15072" s="330" t="s">
        <v>31358</v>
      </c>
      <c r="D15072" s="330" t="s">
        <v>31359</v>
      </c>
      <c r="E15072" s="330" t="s">
        <v>4819</v>
      </c>
      <c r="F15072" s="331">
        <v>0.21</v>
      </c>
      <c r="G15072" s="332">
        <v>1505</v>
      </c>
      <c r="H15072" s="333">
        <v>1822</v>
      </c>
    </row>
    <row r="15073" spans="1:8">
      <c r="A15073" s="317">
        <v>2912738178</v>
      </c>
      <c r="B15073" s="330" t="s">
        <v>59426</v>
      </c>
      <c r="C15073" s="330" t="s">
        <v>31360</v>
      </c>
      <c r="D15073" s="330" t="s">
        <v>7942</v>
      </c>
      <c r="E15073" s="330" t="s">
        <v>4634</v>
      </c>
      <c r="F15073" s="331">
        <v>0.21</v>
      </c>
      <c r="G15073" s="332">
        <v>180</v>
      </c>
      <c r="H15073" s="333">
        <v>218</v>
      </c>
    </row>
    <row r="15074" spans="1:8">
      <c r="A15074" s="317">
        <v>2914201468</v>
      </c>
      <c r="B15074" s="330" t="s">
        <v>59427</v>
      </c>
      <c r="C15074" s="330" t="s">
        <v>31361</v>
      </c>
      <c r="D15074" s="330" t="s">
        <v>31362</v>
      </c>
      <c r="E15074" s="330" t="s">
        <v>4634</v>
      </c>
      <c r="F15074" s="331">
        <v>0.21</v>
      </c>
      <c r="G15074" s="332">
        <v>236</v>
      </c>
      <c r="H15074" s="333">
        <v>286</v>
      </c>
    </row>
    <row r="15075" spans="1:8">
      <c r="A15075" s="317">
        <v>2914201483</v>
      </c>
      <c r="B15075" s="330" t="s">
        <v>59428</v>
      </c>
      <c r="C15075" s="330" t="s">
        <v>31363</v>
      </c>
      <c r="D15075" s="330" t="s">
        <v>31364</v>
      </c>
      <c r="E15075" s="330" t="s">
        <v>4634</v>
      </c>
      <c r="F15075" s="331">
        <v>0.21</v>
      </c>
      <c r="G15075" s="332">
        <v>274</v>
      </c>
      <c r="H15075" s="333">
        <v>332</v>
      </c>
    </row>
    <row r="15076" spans="1:8">
      <c r="A15076" s="317">
        <v>2914201503</v>
      </c>
      <c r="B15076" s="330" t="s">
        <v>59429</v>
      </c>
      <c r="C15076" s="330" t="s">
        <v>31365</v>
      </c>
      <c r="D15076" s="330" t="s">
        <v>23255</v>
      </c>
      <c r="E15076" s="330" t="s">
        <v>4819</v>
      </c>
      <c r="F15076" s="331">
        <v>0.21</v>
      </c>
      <c r="G15076" s="332">
        <v>910</v>
      </c>
      <c r="H15076" s="333">
        <v>1102</v>
      </c>
    </row>
    <row r="15077" spans="1:8">
      <c r="A15077" s="317">
        <v>2914201504</v>
      </c>
      <c r="B15077" s="330" t="s">
        <v>59430</v>
      </c>
      <c r="C15077" s="330" t="s">
        <v>31366</v>
      </c>
      <c r="D15077" s="330" t="s">
        <v>4658</v>
      </c>
      <c r="E15077" s="330" t="s">
        <v>37248</v>
      </c>
      <c r="F15077" s="331">
        <v>0.21</v>
      </c>
      <c r="G15077" s="332">
        <v>976</v>
      </c>
      <c r="H15077" s="333">
        <v>1181</v>
      </c>
    </row>
    <row r="15078" spans="1:8">
      <c r="A15078" s="317">
        <v>2914201506</v>
      </c>
      <c r="B15078" s="330" t="s">
        <v>59431</v>
      </c>
      <c r="C15078" s="330" t="s">
        <v>31367</v>
      </c>
      <c r="D15078" s="330" t="s">
        <v>31368</v>
      </c>
      <c r="E15078" s="330" t="s">
        <v>4634</v>
      </c>
      <c r="F15078" s="331">
        <v>0.21</v>
      </c>
      <c r="G15078" s="332">
        <v>274</v>
      </c>
      <c r="H15078" s="333">
        <v>332</v>
      </c>
    </row>
    <row r="15079" spans="1:8">
      <c r="A15079" s="317">
        <v>2914201529</v>
      </c>
      <c r="B15079" s="330" t="s">
        <v>59432</v>
      </c>
      <c r="C15079" s="330" t="s">
        <v>31369</v>
      </c>
      <c r="D15079" s="330" t="s">
        <v>4658</v>
      </c>
      <c r="E15079" s="330" t="s">
        <v>37248</v>
      </c>
      <c r="F15079" s="331">
        <v>0.21</v>
      </c>
      <c r="G15079" s="332">
        <v>976</v>
      </c>
      <c r="H15079" s="333">
        <v>1181</v>
      </c>
    </row>
    <row r="15080" spans="1:8">
      <c r="A15080" s="317">
        <v>2914201703</v>
      </c>
      <c r="B15080" s="330" t="s">
        <v>59433</v>
      </c>
      <c r="C15080" s="330" t="s">
        <v>31370</v>
      </c>
      <c r="D15080" s="330" t="s">
        <v>31371</v>
      </c>
      <c r="E15080" s="330" t="s">
        <v>37248</v>
      </c>
      <c r="F15080" s="331">
        <v>0.21</v>
      </c>
      <c r="G15080" s="332">
        <v>318</v>
      </c>
      <c r="H15080" s="333">
        <v>385</v>
      </c>
    </row>
    <row r="15081" spans="1:8">
      <c r="A15081" s="317">
        <v>2914201712</v>
      </c>
      <c r="B15081" s="330" t="s">
        <v>59434</v>
      </c>
      <c r="C15081" s="330" t="s">
        <v>31372</v>
      </c>
      <c r="D15081" s="330" t="s">
        <v>7235</v>
      </c>
      <c r="E15081" s="330" t="s">
        <v>4634</v>
      </c>
      <c r="F15081" s="331">
        <v>0.21</v>
      </c>
      <c r="G15081" s="332">
        <v>256</v>
      </c>
      <c r="H15081" s="333">
        <v>310</v>
      </c>
    </row>
    <row r="15082" spans="1:8">
      <c r="A15082" s="317">
        <v>2914211528</v>
      </c>
      <c r="B15082" s="330" t="s">
        <v>59435</v>
      </c>
      <c r="C15082" s="330" t="s">
        <v>31373</v>
      </c>
      <c r="D15082" s="330" t="s">
        <v>31368</v>
      </c>
      <c r="E15082" s="330" t="s">
        <v>4634</v>
      </c>
      <c r="F15082" s="331">
        <v>0.21</v>
      </c>
      <c r="G15082" s="332">
        <v>455</v>
      </c>
      <c r="H15082" s="333">
        <v>551</v>
      </c>
    </row>
    <row r="15083" spans="1:8">
      <c r="A15083" s="317">
        <v>2914451079</v>
      </c>
      <c r="B15083" s="330" t="s">
        <v>59436</v>
      </c>
      <c r="C15083" s="330" t="s">
        <v>31374</v>
      </c>
      <c r="D15083" s="330" t="s">
        <v>31375</v>
      </c>
      <c r="E15083" s="330" t="s">
        <v>4623</v>
      </c>
      <c r="F15083" s="331">
        <v>0.21</v>
      </c>
      <c r="G15083" s="332">
        <v>497</v>
      </c>
      <c r="H15083" s="333">
        <v>602</v>
      </c>
    </row>
    <row r="15084" spans="1:8">
      <c r="A15084" s="317">
        <v>2914451080</v>
      </c>
      <c r="B15084" s="330" t="s">
        <v>59437</v>
      </c>
      <c r="C15084" s="330" t="s">
        <v>31376</v>
      </c>
      <c r="D15084" s="330" t="s">
        <v>31377</v>
      </c>
      <c r="E15084" s="330" t="s">
        <v>4819</v>
      </c>
      <c r="F15084" s="331">
        <v>0.21</v>
      </c>
      <c r="G15084" s="332">
        <v>671</v>
      </c>
      <c r="H15084" s="333">
        <v>812</v>
      </c>
    </row>
    <row r="15085" spans="1:8">
      <c r="A15085" s="317">
        <v>2914461401</v>
      </c>
      <c r="B15085" s="330" t="s">
        <v>59438</v>
      </c>
      <c r="C15085" s="330" t="s">
        <v>31378</v>
      </c>
      <c r="D15085" s="330" t="s">
        <v>31379</v>
      </c>
      <c r="E15085" s="330" t="s">
        <v>4634</v>
      </c>
      <c r="F15085" s="331">
        <v>0.21</v>
      </c>
      <c r="G15085" s="332">
        <v>245</v>
      </c>
      <c r="H15085" s="333">
        <v>297</v>
      </c>
    </row>
    <row r="15086" spans="1:8">
      <c r="A15086" s="317">
        <v>2914461403</v>
      </c>
      <c r="B15086" s="330" t="s">
        <v>59439</v>
      </c>
      <c r="C15086" s="330" t="s">
        <v>31380</v>
      </c>
      <c r="D15086" s="330" t="s">
        <v>31381</v>
      </c>
      <c r="E15086" s="330" t="s">
        <v>4634</v>
      </c>
      <c r="F15086" s="331">
        <v>0.21</v>
      </c>
      <c r="G15086" s="332">
        <v>412</v>
      </c>
      <c r="H15086" s="333">
        <v>499</v>
      </c>
    </row>
    <row r="15087" spans="1:8">
      <c r="A15087" s="317">
        <v>2914491410</v>
      </c>
      <c r="B15087" s="330" t="s">
        <v>59440</v>
      </c>
      <c r="C15087" s="330" t="s">
        <v>31382</v>
      </c>
      <c r="D15087" s="330" t="s">
        <v>8863</v>
      </c>
      <c r="E15087" s="330" t="s">
        <v>4819</v>
      </c>
      <c r="F15087" s="331">
        <v>0.21</v>
      </c>
      <c r="G15087" s="332">
        <v>890</v>
      </c>
      <c r="H15087" s="333">
        <v>1077</v>
      </c>
    </row>
    <row r="15088" spans="1:8">
      <c r="A15088" s="317">
        <v>2914491413</v>
      </c>
      <c r="B15088" s="330" t="s">
        <v>59441</v>
      </c>
      <c r="C15088" s="330" t="s">
        <v>31383</v>
      </c>
      <c r="D15088" s="330" t="s">
        <v>7653</v>
      </c>
      <c r="E15088" s="330" t="s">
        <v>37248</v>
      </c>
      <c r="F15088" s="331">
        <v>0.21</v>
      </c>
      <c r="G15088" s="332">
        <v>976</v>
      </c>
      <c r="H15088" s="333">
        <v>1181</v>
      </c>
    </row>
    <row r="15089" spans="1:8">
      <c r="A15089" s="317">
        <v>2914500009</v>
      </c>
      <c r="B15089" s="330" t="s">
        <v>59442</v>
      </c>
      <c r="C15089" s="330" t="s">
        <v>31384</v>
      </c>
      <c r="D15089" s="330" t="s">
        <v>31208</v>
      </c>
      <c r="E15089" s="330" t="s">
        <v>4634</v>
      </c>
      <c r="F15089" s="331">
        <v>0.21</v>
      </c>
      <c r="G15089" s="332">
        <v>1851</v>
      </c>
      <c r="H15089" s="333">
        <v>2240</v>
      </c>
    </row>
    <row r="15090" spans="1:8">
      <c r="A15090" s="317">
        <v>2914501028</v>
      </c>
      <c r="B15090" s="330" t="s">
        <v>59443</v>
      </c>
      <c r="C15090" s="330" t="s">
        <v>31385</v>
      </c>
      <c r="D15090" s="330" t="s">
        <v>7235</v>
      </c>
      <c r="E15090" s="330" t="s">
        <v>4634</v>
      </c>
      <c r="F15090" s="331">
        <v>0.21</v>
      </c>
      <c r="G15090" s="332">
        <v>274</v>
      </c>
      <c r="H15090" s="333">
        <v>332</v>
      </c>
    </row>
    <row r="15091" spans="1:8">
      <c r="A15091" s="317">
        <v>2914541008</v>
      </c>
      <c r="B15091" s="330" t="s">
        <v>59444</v>
      </c>
      <c r="C15091" s="330" t="s">
        <v>31386</v>
      </c>
      <c r="D15091" s="330" t="s">
        <v>31387</v>
      </c>
      <c r="E15091" s="330" t="s">
        <v>4634</v>
      </c>
      <c r="F15091" s="331">
        <v>0.21</v>
      </c>
      <c r="G15091" s="332">
        <v>426</v>
      </c>
      <c r="H15091" s="333">
        <v>516</v>
      </c>
    </row>
    <row r="15092" spans="1:8">
      <c r="A15092" s="317">
        <v>2914550033</v>
      </c>
      <c r="B15092" s="330" t="s">
        <v>59445</v>
      </c>
      <c r="C15092" s="330" t="s">
        <v>31388</v>
      </c>
      <c r="D15092" s="330" t="s">
        <v>31389</v>
      </c>
      <c r="E15092" s="330" t="s">
        <v>4634</v>
      </c>
      <c r="F15092" s="331">
        <v>0.21</v>
      </c>
      <c r="G15092" s="332">
        <v>22</v>
      </c>
      <c r="H15092" s="333">
        <v>27</v>
      </c>
    </row>
    <row r="15093" spans="1:8">
      <c r="A15093" s="317">
        <v>2914551117</v>
      </c>
      <c r="B15093" s="330" t="s">
        <v>59446</v>
      </c>
      <c r="C15093" s="330" t="s">
        <v>31390</v>
      </c>
      <c r="D15093" s="330" t="s">
        <v>31391</v>
      </c>
      <c r="E15093" s="330" t="s">
        <v>4634</v>
      </c>
      <c r="F15093" s="331">
        <v>0.21</v>
      </c>
      <c r="G15093" s="332">
        <v>309</v>
      </c>
      <c r="H15093" s="333">
        <v>374</v>
      </c>
    </row>
    <row r="15094" spans="1:8">
      <c r="A15094" s="317">
        <v>2914551164</v>
      </c>
      <c r="B15094" s="330" t="s">
        <v>59447</v>
      </c>
      <c r="C15094" s="330" t="s">
        <v>31392</v>
      </c>
      <c r="D15094" s="330" t="s">
        <v>31393</v>
      </c>
      <c r="E15094" s="330" t="s">
        <v>4623</v>
      </c>
      <c r="F15094" s="331">
        <v>0.21</v>
      </c>
      <c r="G15094" s="332">
        <v>941</v>
      </c>
      <c r="H15094" s="333">
        <v>1139</v>
      </c>
    </row>
    <row r="15095" spans="1:8">
      <c r="A15095" s="317">
        <v>2914551176</v>
      </c>
      <c r="B15095" s="330" t="s">
        <v>59448</v>
      </c>
      <c r="C15095" s="330" t="s">
        <v>31394</v>
      </c>
      <c r="D15095" s="330" t="s">
        <v>31395</v>
      </c>
      <c r="E15095" s="330" t="s">
        <v>4819</v>
      </c>
      <c r="F15095" s="331">
        <v>0.21</v>
      </c>
      <c r="G15095" s="332">
        <v>1566</v>
      </c>
      <c r="H15095" s="333">
        <v>1895</v>
      </c>
    </row>
    <row r="15096" spans="1:8">
      <c r="A15096" s="317">
        <v>2914551188</v>
      </c>
      <c r="B15096" s="330" t="s">
        <v>59449</v>
      </c>
      <c r="C15096" s="330" t="s">
        <v>31396</v>
      </c>
      <c r="D15096" s="330" t="s">
        <v>31397</v>
      </c>
      <c r="E15096" s="330" t="s">
        <v>4819</v>
      </c>
      <c r="F15096" s="331">
        <v>0.21</v>
      </c>
      <c r="G15096" s="332">
        <v>3161</v>
      </c>
      <c r="H15096" s="333">
        <v>3825</v>
      </c>
    </row>
    <row r="15097" spans="1:8">
      <c r="A15097" s="317">
        <v>2914551189</v>
      </c>
      <c r="B15097" s="330" t="s">
        <v>59450</v>
      </c>
      <c r="C15097" s="330" t="s">
        <v>31398</v>
      </c>
      <c r="D15097" s="330" t="s">
        <v>31397</v>
      </c>
      <c r="E15097" s="330" t="s">
        <v>4819</v>
      </c>
      <c r="F15097" s="331">
        <v>0.21</v>
      </c>
      <c r="G15097" s="332">
        <v>1588</v>
      </c>
      <c r="H15097" s="333">
        <v>1922</v>
      </c>
    </row>
    <row r="15098" spans="1:8">
      <c r="A15098" s="317">
        <v>2914555131</v>
      </c>
      <c r="B15098" s="330" t="s">
        <v>59451</v>
      </c>
      <c r="C15098" s="330" t="s">
        <v>31399</v>
      </c>
      <c r="D15098" s="330" t="s">
        <v>31400</v>
      </c>
      <c r="E15098" s="330" t="s">
        <v>4819</v>
      </c>
      <c r="F15098" s="331">
        <v>0.21</v>
      </c>
      <c r="G15098" s="332">
        <v>1505</v>
      </c>
      <c r="H15098" s="333">
        <v>1822</v>
      </c>
    </row>
    <row r="15099" spans="1:8">
      <c r="A15099" s="317">
        <v>2915011005</v>
      </c>
      <c r="B15099" s="330" t="s">
        <v>59452</v>
      </c>
      <c r="C15099" s="330" t="s">
        <v>31401</v>
      </c>
      <c r="D15099" s="330" t="s">
        <v>21292</v>
      </c>
      <c r="E15099" s="330" t="s">
        <v>4634</v>
      </c>
      <c r="F15099" s="331">
        <v>0.21</v>
      </c>
      <c r="G15099" s="332">
        <v>153</v>
      </c>
      <c r="H15099" s="333">
        <v>186</v>
      </c>
    </row>
    <row r="15100" spans="1:8">
      <c r="A15100" s="317">
        <v>2915011007</v>
      </c>
      <c r="B15100" s="330" t="s">
        <v>59453</v>
      </c>
      <c r="C15100" s="330" t="s">
        <v>31402</v>
      </c>
      <c r="D15100" s="330" t="s">
        <v>31403</v>
      </c>
      <c r="E15100" s="330" t="s">
        <v>4819</v>
      </c>
      <c r="F15100" s="331">
        <v>0.21</v>
      </c>
      <c r="G15100" s="332">
        <v>1704</v>
      </c>
      <c r="H15100" s="333">
        <v>2062</v>
      </c>
    </row>
    <row r="15101" spans="1:8">
      <c r="A15101" s="317">
        <v>2915011009</v>
      </c>
      <c r="B15101" s="330" t="s">
        <v>59454</v>
      </c>
      <c r="C15101" s="330" t="s">
        <v>31404</v>
      </c>
      <c r="D15101" s="330" t="s">
        <v>4654</v>
      </c>
      <c r="E15101" s="330" t="s">
        <v>37248</v>
      </c>
      <c r="F15101" s="331">
        <v>0.21</v>
      </c>
      <c r="G15101" s="332">
        <v>976</v>
      </c>
      <c r="H15101" s="333">
        <v>1181</v>
      </c>
    </row>
    <row r="15102" spans="1:8">
      <c r="A15102" s="317">
        <v>2915011011</v>
      </c>
      <c r="B15102" s="330" t="s">
        <v>59455</v>
      </c>
      <c r="C15102" s="330" t="s">
        <v>31405</v>
      </c>
      <c r="D15102" s="330" t="s">
        <v>7953</v>
      </c>
      <c r="E15102" s="330" t="s">
        <v>37248</v>
      </c>
      <c r="F15102" s="331">
        <v>0.21</v>
      </c>
      <c r="G15102" s="332">
        <v>383</v>
      </c>
      <c r="H15102" s="333">
        <v>464</v>
      </c>
    </row>
    <row r="15103" spans="1:8">
      <c r="A15103" s="317">
        <v>2915011038</v>
      </c>
      <c r="B15103" s="330" t="s">
        <v>59456</v>
      </c>
      <c r="C15103" s="330" t="s">
        <v>31406</v>
      </c>
      <c r="D15103" s="330" t="s">
        <v>7953</v>
      </c>
      <c r="E15103" s="330" t="s">
        <v>37248</v>
      </c>
      <c r="F15103" s="331">
        <v>0.21</v>
      </c>
      <c r="G15103" s="332">
        <v>240</v>
      </c>
      <c r="H15103" s="333">
        <v>291</v>
      </c>
    </row>
    <row r="15104" spans="1:8">
      <c r="A15104" s="317">
        <v>2915050107</v>
      </c>
      <c r="B15104" s="330" t="s">
        <v>59457</v>
      </c>
      <c r="C15104" s="330" t="s">
        <v>31407</v>
      </c>
      <c r="D15104" s="330" t="s">
        <v>31408</v>
      </c>
      <c r="E15104" s="330" t="s">
        <v>4819</v>
      </c>
      <c r="F15104" s="331">
        <v>0.21</v>
      </c>
      <c r="G15104" s="332">
        <v>1195</v>
      </c>
      <c r="H15104" s="333">
        <v>1446</v>
      </c>
    </row>
    <row r="15105" spans="1:8">
      <c r="A15105" s="317">
        <v>2915051180</v>
      </c>
      <c r="B15105" s="330" t="s">
        <v>59458</v>
      </c>
      <c r="C15105" s="330" t="s">
        <v>31409</v>
      </c>
      <c r="D15105" s="330" t="s">
        <v>31410</v>
      </c>
      <c r="E15105" s="330" t="s">
        <v>4634</v>
      </c>
      <c r="F15105" s="331">
        <v>0.21</v>
      </c>
      <c r="G15105" s="332">
        <v>274</v>
      </c>
      <c r="H15105" s="333">
        <v>332</v>
      </c>
    </row>
    <row r="15106" spans="1:8">
      <c r="A15106" s="317">
        <v>2915061003</v>
      </c>
      <c r="B15106" s="330" t="s">
        <v>59459</v>
      </c>
      <c r="C15106" s="330" t="s">
        <v>31411</v>
      </c>
      <c r="D15106" s="330" t="s">
        <v>31412</v>
      </c>
      <c r="E15106" s="330" t="s">
        <v>4634</v>
      </c>
      <c r="F15106" s="331">
        <v>0.21</v>
      </c>
      <c r="G15106" s="332">
        <v>455</v>
      </c>
      <c r="H15106" s="333">
        <v>551</v>
      </c>
    </row>
    <row r="15107" spans="1:8">
      <c r="A15107" s="317">
        <v>2915121006</v>
      </c>
      <c r="B15107" s="330" t="s">
        <v>59460</v>
      </c>
      <c r="C15107" s="330" t="s">
        <v>31413</v>
      </c>
      <c r="D15107" s="330" t="s">
        <v>31414</v>
      </c>
      <c r="E15107" s="330" t="s">
        <v>4819</v>
      </c>
      <c r="F15107" s="331">
        <v>0.21</v>
      </c>
      <c r="G15107" s="332">
        <v>519</v>
      </c>
      <c r="H15107" s="333">
        <v>628</v>
      </c>
    </row>
    <row r="15108" spans="1:8">
      <c r="A15108" s="317">
        <v>2915191007</v>
      </c>
      <c r="B15108" s="330" t="s">
        <v>59461</v>
      </c>
      <c r="C15108" s="330" t="s">
        <v>31415</v>
      </c>
      <c r="D15108" s="330" t="s">
        <v>31416</v>
      </c>
      <c r="E15108" s="330" t="s">
        <v>4634</v>
      </c>
      <c r="F15108" s="331">
        <v>0.21</v>
      </c>
      <c r="G15108" s="332">
        <v>820</v>
      </c>
      <c r="H15108" s="333">
        <v>993</v>
      </c>
    </row>
    <row r="15109" spans="1:8">
      <c r="A15109" s="317">
        <v>2916011005</v>
      </c>
      <c r="B15109" s="330" t="s">
        <v>59462</v>
      </c>
      <c r="C15109" s="330" t="s">
        <v>31417</v>
      </c>
      <c r="D15109" s="330" t="s">
        <v>31418</v>
      </c>
      <c r="E15109" s="330" t="s">
        <v>4634</v>
      </c>
      <c r="F15109" s="331">
        <v>0.21</v>
      </c>
      <c r="G15109" s="332">
        <v>28</v>
      </c>
      <c r="H15109" s="333">
        <v>34</v>
      </c>
    </row>
    <row r="15110" spans="1:8">
      <c r="A15110" s="317">
        <v>2916011006</v>
      </c>
      <c r="B15110" s="330" t="s">
        <v>59463</v>
      </c>
      <c r="C15110" s="330" t="s">
        <v>31419</v>
      </c>
      <c r="D15110" s="330" t="s">
        <v>31420</v>
      </c>
      <c r="E15110" s="330" t="s">
        <v>4634</v>
      </c>
      <c r="F15110" s="331">
        <v>0.21</v>
      </c>
      <c r="G15110" s="332">
        <v>274</v>
      </c>
      <c r="H15110" s="333">
        <v>332</v>
      </c>
    </row>
    <row r="15111" spans="1:8">
      <c r="A15111" s="317">
        <v>2916011010</v>
      </c>
      <c r="B15111" s="330" t="s">
        <v>59464</v>
      </c>
      <c r="C15111" s="330" t="s">
        <v>31421</v>
      </c>
      <c r="D15111" s="330" t="s">
        <v>6205</v>
      </c>
      <c r="E15111" s="330" t="s">
        <v>4634</v>
      </c>
      <c r="F15111" s="331">
        <v>0.21</v>
      </c>
      <c r="G15111" s="332">
        <v>274</v>
      </c>
      <c r="H15111" s="333">
        <v>332</v>
      </c>
    </row>
    <row r="15112" spans="1:8">
      <c r="A15112" s="317">
        <v>2916011012</v>
      </c>
      <c r="B15112" s="330" t="s">
        <v>59465</v>
      </c>
      <c r="C15112" s="330" t="s">
        <v>31422</v>
      </c>
      <c r="D15112" s="330" t="s">
        <v>31423</v>
      </c>
      <c r="E15112" s="330" t="s">
        <v>4634</v>
      </c>
      <c r="F15112" s="331">
        <v>0.21</v>
      </c>
      <c r="G15112" s="332">
        <v>180</v>
      </c>
      <c r="H15112" s="333">
        <v>218</v>
      </c>
    </row>
    <row r="15113" spans="1:8">
      <c r="A15113" s="317">
        <v>2916011014</v>
      </c>
      <c r="B15113" s="330" t="s">
        <v>59466</v>
      </c>
      <c r="C15113" s="330" t="s">
        <v>31424</v>
      </c>
      <c r="D15113" s="330" t="s">
        <v>6205</v>
      </c>
      <c r="E15113" s="330" t="s">
        <v>37248</v>
      </c>
      <c r="F15113" s="331">
        <v>0.21</v>
      </c>
      <c r="G15113" s="332">
        <v>827</v>
      </c>
      <c r="H15113" s="333">
        <v>1001</v>
      </c>
    </row>
    <row r="15114" spans="1:8">
      <c r="A15114" s="317">
        <v>2916011015</v>
      </c>
      <c r="B15114" s="330" t="s">
        <v>59467</v>
      </c>
      <c r="C15114" s="330" t="s">
        <v>31425</v>
      </c>
      <c r="D15114" s="330" t="s">
        <v>31426</v>
      </c>
      <c r="E15114" s="330" t="s">
        <v>4634</v>
      </c>
      <c r="F15114" s="331">
        <v>0.21</v>
      </c>
      <c r="G15114" s="332">
        <v>426</v>
      </c>
      <c r="H15114" s="333">
        <v>516</v>
      </c>
    </row>
    <row r="15115" spans="1:8">
      <c r="A15115" s="317">
        <v>2916011022</v>
      </c>
      <c r="B15115" s="330" t="s">
        <v>59468</v>
      </c>
      <c r="C15115" s="330" t="s">
        <v>31427</v>
      </c>
      <c r="D15115" s="330" t="s">
        <v>31428</v>
      </c>
      <c r="E15115" s="330" t="s">
        <v>4819</v>
      </c>
      <c r="F15115" s="331">
        <v>0.21</v>
      </c>
      <c r="G15115" s="332">
        <v>553</v>
      </c>
      <c r="H15115" s="333">
        <v>670</v>
      </c>
    </row>
    <row r="15116" spans="1:8">
      <c r="A15116" s="317">
        <v>2916011111</v>
      </c>
      <c r="B15116" s="330" t="s">
        <v>59469</v>
      </c>
      <c r="C15116" s="330" t="s">
        <v>31429</v>
      </c>
      <c r="D15116" s="330" t="s">
        <v>31430</v>
      </c>
      <c r="E15116" s="330" t="s">
        <v>4819</v>
      </c>
      <c r="F15116" s="331">
        <v>0.21</v>
      </c>
      <c r="G15116" s="332">
        <v>2237</v>
      </c>
      <c r="H15116" s="333">
        <v>2707</v>
      </c>
    </row>
    <row r="15117" spans="1:8">
      <c r="A15117" s="317">
        <v>2916011892</v>
      </c>
      <c r="B15117" s="330" t="s">
        <v>59470</v>
      </c>
      <c r="C15117" s="330" t="s">
        <v>31431</v>
      </c>
      <c r="D15117" s="330" t="s">
        <v>31432</v>
      </c>
      <c r="E15117" s="330" t="s">
        <v>4634</v>
      </c>
      <c r="F15117" s="331">
        <v>0.21</v>
      </c>
      <c r="G15117" s="332">
        <v>274</v>
      </c>
      <c r="H15117" s="333">
        <v>332</v>
      </c>
    </row>
    <row r="15118" spans="1:8">
      <c r="A15118" s="317">
        <v>2916012014</v>
      </c>
      <c r="B15118" s="330" t="s">
        <v>59471</v>
      </c>
      <c r="C15118" s="330" t="s">
        <v>31433</v>
      </c>
      <c r="D15118" s="330" t="s">
        <v>5015</v>
      </c>
      <c r="E15118" s="330" t="s">
        <v>37248</v>
      </c>
      <c r="F15118" s="331">
        <v>0.21</v>
      </c>
      <c r="G15118" s="332">
        <v>1701</v>
      </c>
      <c r="H15118" s="333">
        <v>2059</v>
      </c>
    </row>
    <row r="15119" spans="1:8">
      <c r="A15119" s="317">
        <v>2916021013</v>
      </c>
      <c r="B15119" s="330" t="s">
        <v>59472</v>
      </c>
      <c r="C15119" s="330" t="s">
        <v>31434</v>
      </c>
      <c r="D15119" s="330" t="s">
        <v>31435</v>
      </c>
      <c r="E15119" s="330" t="s">
        <v>4634</v>
      </c>
      <c r="F15119" s="331">
        <v>0.21</v>
      </c>
      <c r="G15119" s="332">
        <v>309</v>
      </c>
      <c r="H15119" s="333">
        <v>374</v>
      </c>
    </row>
    <row r="15120" spans="1:8">
      <c r="A15120" s="317">
        <v>2916031018</v>
      </c>
      <c r="B15120" s="330" t="s">
        <v>59473</v>
      </c>
      <c r="C15120" s="330" t="s">
        <v>31436</v>
      </c>
      <c r="D15120" s="330" t="s">
        <v>5015</v>
      </c>
      <c r="E15120" s="330" t="s">
        <v>4634</v>
      </c>
      <c r="F15120" s="331">
        <v>0.21</v>
      </c>
      <c r="G15120" s="332">
        <v>903</v>
      </c>
      <c r="H15120" s="333">
        <v>1093</v>
      </c>
    </row>
    <row r="15121" spans="1:8">
      <c r="A15121" s="317">
        <v>2916060006</v>
      </c>
      <c r="B15121" s="330" t="s">
        <v>59474</v>
      </c>
      <c r="C15121" s="330" t="s">
        <v>31437</v>
      </c>
      <c r="D15121" s="330" t="s">
        <v>5015</v>
      </c>
      <c r="E15121" s="330" t="s">
        <v>4634</v>
      </c>
      <c r="F15121" s="331">
        <v>0.21</v>
      </c>
      <c r="G15121" s="332">
        <v>691</v>
      </c>
      <c r="H15121" s="333">
        <v>837</v>
      </c>
    </row>
    <row r="15122" spans="1:8">
      <c r="A15122" s="317">
        <v>2916060007</v>
      </c>
      <c r="B15122" s="330" t="s">
        <v>59475</v>
      </c>
      <c r="C15122" s="330" t="s">
        <v>31438</v>
      </c>
      <c r="D15122" s="330" t="s">
        <v>31439</v>
      </c>
      <c r="E15122" s="330" t="s">
        <v>4634</v>
      </c>
      <c r="F15122" s="331">
        <v>0.21</v>
      </c>
      <c r="G15122" s="332">
        <v>274</v>
      </c>
      <c r="H15122" s="333">
        <v>332</v>
      </c>
    </row>
    <row r="15123" spans="1:8">
      <c r="A15123" s="317">
        <v>2916069088</v>
      </c>
      <c r="B15123" s="330" t="s">
        <v>59476</v>
      </c>
      <c r="C15123" s="330" t="s">
        <v>31440</v>
      </c>
      <c r="D15123" s="330" t="s">
        <v>31441</v>
      </c>
      <c r="E15123" s="330" t="s">
        <v>4819</v>
      </c>
      <c r="F15123" s="331">
        <v>0.21</v>
      </c>
      <c r="G15123" s="332">
        <v>3707</v>
      </c>
      <c r="H15123" s="333">
        <v>4486</v>
      </c>
    </row>
    <row r="15124" spans="1:8">
      <c r="A15124" s="317">
        <v>2916080006</v>
      </c>
      <c r="B15124" s="330" t="s">
        <v>59477</v>
      </c>
      <c r="C15124" s="330" t="s">
        <v>31442</v>
      </c>
      <c r="D15124" s="330" t="s">
        <v>31443</v>
      </c>
      <c r="E15124" s="330" t="s">
        <v>4634</v>
      </c>
      <c r="F15124" s="331">
        <v>0.21</v>
      </c>
      <c r="G15124" s="332">
        <v>254</v>
      </c>
      <c r="H15124" s="333">
        <v>308</v>
      </c>
    </row>
    <row r="15125" spans="1:8">
      <c r="A15125" s="317">
        <v>2916080007</v>
      </c>
      <c r="B15125" s="330" t="s">
        <v>59478</v>
      </c>
      <c r="C15125" s="330" t="s">
        <v>31444</v>
      </c>
      <c r="D15125" s="330" t="s">
        <v>6510</v>
      </c>
      <c r="E15125" s="330" t="s">
        <v>4819</v>
      </c>
      <c r="F15125" s="331">
        <v>0.21</v>
      </c>
      <c r="G15125" s="332">
        <v>1936</v>
      </c>
      <c r="H15125" s="333">
        <v>2343</v>
      </c>
    </row>
    <row r="15126" spans="1:8">
      <c r="A15126" s="317">
        <v>2916080008</v>
      </c>
      <c r="B15126" s="330" t="s">
        <v>59479</v>
      </c>
      <c r="C15126" s="330" t="s">
        <v>31445</v>
      </c>
      <c r="D15126" s="330" t="s">
        <v>31446</v>
      </c>
      <c r="E15126" s="330" t="s">
        <v>4634</v>
      </c>
      <c r="F15126" s="331">
        <v>0.21</v>
      </c>
      <c r="G15126" s="332">
        <v>274</v>
      </c>
      <c r="H15126" s="333">
        <v>332</v>
      </c>
    </row>
    <row r="15127" spans="1:8">
      <c r="A15127" s="317">
        <v>2916080010</v>
      </c>
      <c r="B15127" s="330" t="s">
        <v>59480</v>
      </c>
      <c r="C15127" s="330" t="s">
        <v>31447</v>
      </c>
      <c r="D15127" s="330" t="s">
        <v>31448</v>
      </c>
      <c r="E15127" s="330" t="s">
        <v>4634</v>
      </c>
      <c r="F15127" s="331">
        <v>0.21</v>
      </c>
      <c r="G15127" s="332">
        <v>153</v>
      </c>
      <c r="H15127" s="333">
        <v>186</v>
      </c>
    </row>
    <row r="15128" spans="1:8">
      <c r="A15128" s="317">
        <v>2916080012</v>
      </c>
      <c r="B15128" s="330" t="s">
        <v>59481</v>
      </c>
      <c r="C15128" s="330" t="s">
        <v>31449</v>
      </c>
      <c r="D15128" s="330" t="s">
        <v>31450</v>
      </c>
      <c r="E15128" s="330" t="s">
        <v>4634</v>
      </c>
      <c r="F15128" s="331">
        <v>0.21</v>
      </c>
      <c r="G15128" s="332">
        <v>499</v>
      </c>
      <c r="H15128" s="333">
        <v>604</v>
      </c>
    </row>
    <row r="15129" spans="1:8">
      <c r="A15129" s="317">
        <v>2916080014</v>
      </c>
      <c r="B15129" s="330" t="s">
        <v>59482</v>
      </c>
      <c r="C15129" s="330" t="s">
        <v>31451</v>
      </c>
      <c r="D15129" s="330" t="s">
        <v>7892</v>
      </c>
      <c r="E15129" s="330" t="s">
        <v>4819</v>
      </c>
      <c r="F15129" s="331">
        <v>0.21</v>
      </c>
      <c r="G15129" s="332">
        <v>1505</v>
      </c>
      <c r="H15129" s="333">
        <v>1822</v>
      </c>
    </row>
    <row r="15130" spans="1:8">
      <c r="A15130" s="317">
        <v>2916080906</v>
      </c>
      <c r="B15130" s="330" t="s">
        <v>59483</v>
      </c>
      <c r="C15130" s="330" t="s">
        <v>31452</v>
      </c>
      <c r="D15130" s="330" t="s">
        <v>31453</v>
      </c>
      <c r="E15130" s="330" t="s">
        <v>4819</v>
      </c>
      <c r="F15130" s="331">
        <v>0.21</v>
      </c>
      <c r="G15130" s="332">
        <v>292</v>
      </c>
      <c r="H15130" s="333">
        <v>354</v>
      </c>
    </row>
    <row r="15131" spans="1:8">
      <c r="A15131" s="317">
        <v>2916080907</v>
      </c>
      <c r="B15131" s="330" t="s">
        <v>59484</v>
      </c>
      <c r="C15131" s="330" t="s">
        <v>31454</v>
      </c>
      <c r="D15131" s="330" t="s">
        <v>31455</v>
      </c>
      <c r="E15131" s="330" t="s">
        <v>4819</v>
      </c>
      <c r="F15131" s="331">
        <v>0.21</v>
      </c>
      <c r="G15131" s="332">
        <v>994</v>
      </c>
      <c r="H15131" s="333">
        <v>1203</v>
      </c>
    </row>
    <row r="15132" spans="1:8">
      <c r="A15132" s="317">
        <v>2916080908</v>
      </c>
      <c r="B15132" s="330" t="s">
        <v>59485</v>
      </c>
      <c r="C15132" s="330" t="s">
        <v>31456</v>
      </c>
      <c r="D15132" s="330" t="s">
        <v>31457</v>
      </c>
      <c r="E15132" s="330" t="s">
        <v>4634</v>
      </c>
      <c r="F15132" s="331">
        <v>0.21</v>
      </c>
      <c r="G15132" s="332">
        <v>274</v>
      </c>
      <c r="H15132" s="333">
        <v>332</v>
      </c>
    </row>
    <row r="15133" spans="1:8">
      <c r="A15133" s="317">
        <v>2916080909</v>
      </c>
      <c r="B15133" s="330" t="s">
        <v>59486</v>
      </c>
      <c r="C15133" s="330" t="s">
        <v>31458</v>
      </c>
      <c r="D15133" s="330" t="s">
        <v>31459</v>
      </c>
      <c r="E15133" s="330" t="s">
        <v>4819</v>
      </c>
      <c r="F15133" s="331">
        <v>0.21</v>
      </c>
      <c r="G15133" s="332">
        <v>1505</v>
      </c>
      <c r="H15133" s="333">
        <v>1822</v>
      </c>
    </row>
    <row r="15134" spans="1:8">
      <c r="A15134" s="317">
        <v>2916080910</v>
      </c>
      <c r="B15134" s="330" t="s">
        <v>59487</v>
      </c>
      <c r="C15134" s="330" t="s">
        <v>31460</v>
      </c>
      <c r="D15134" s="330" t="s">
        <v>31461</v>
      </c>
      <c r="E15134" s="330" t="s">
        <v>4819</v>
      </c>
      <c r="F15134" s="331">
        <v>0.21</v>
      </c>
      <c r="G15134" s="332">
        <v>1704</v>
      </c>
      <c r="H15134" s="333">
        <v>2062</v>
      </c>
    </row>
    <row r="15135" spans="1:8">
      <c r="A15135" s="317">
        <v>2916080911</v>
      </c>
      <c r="B15135" s="330" t="s">
        <v>59488</v>
      </c>
      <c r="C15135" s="330" t="s">
        <v>31462</v>
      </c>
      <c r="D15135" s="330" t="s">
        <v>7892</v>
      </c>
      <c r="E15135" s="330" t="s">
        <v>4819</v>
      </c>
      <c r="F15135" s="331">
        <v>0.21</v>
      </c>
      <c r="G15135" s="332">
        <v>1530</v>
      </c>
      <c r="H15135" s="333">
        <v>1852</v>
      </c>
    </row>
    <row r="15136" spans="1:8">
      <c r="A15136" s="317">
        <v>2916080912</v>
      </c>
      <c r="B15136" s="330" t="s">
        <v>59489</v>
      </c>
      <c r="C15136" s="330" t="s">
        <v>31463</v>
      </c>
      <c r="D15136" s="330" t="s">
        <v>31464</v>
      </c>
      <c r="E15136" s="330" t="s">
        <v>37248</v>
      </c>
      <c r="F15136" s="331">
        <v>0.21</v>
      </c>
      <c r="G15136" s="332">
        <v>2215</v>
      </c>
      <c r="H15136" s="333">
        <v>2681</v>
      </c>
    </row>
    <row r="15137" spans="1:8">
      <c r="A15137" s="317">
        <v>2916082908</v>
      </c>
      <c r="B15137" s="330" t="s">
        <v>59490</v>
      </c>
      <c r="C15137" s="330" t="s">
        <v>31465</v>
      </c>
      <c r="D15137" s="330" t="s">
        <v>31466</v>
      </c>
      <c r="E15137" s="330" t="s">
        <v>4634</v>
      </c>
      <c r="F15137" s="331">
        <v>0.21</v>
      </c>
      <c r="G15137" s="332">
        <v>387</v>
      </c>
      <c r="H15137" s="333">
        <v>469</v>
      </c>
    </row>
    <row r="15138" spans="1:8">
      <c r="A15138" s="317">
        <v>2916089079</v>
      </c>
      <c r="B15138" s="330" t="s">
        <v>59491</v>
      </c>
      <c r="C15138" s="330" t="s">
        <v>31467</v>
      </c>
      <c r="D15138" s="330" t="s">
        <v>31468</v>
      </c>
      <c r="E15138" s="330" t="s">
        <v>4634</v>
      </c>
      <c r="F15138" s="331">
        <v>0.21</v>
      </c>
      <c r="G15138" s="332">
        <v>274</v>
      </c>
      <c r="H15138" s="333">
        <v>332</v>
      </c>
    </row>
    <row r="15139" spans="1:8">
      <c r="A15139" s="317">
        <v>2916120023</v>
      </c>
      <c r="B15139" s="330" t="s">
        <v>59492</v>
      </c>
      <c r="C15139" s="330" t="s">
        <v>31469</v>
      </c>
      <c r="D15139" s="330" t="s">
        <v>31470</v>
      </c>
      <c r="E15139" s="330" t="s">
        <v>4634</v>
      </c>
      <c r="F15139" s="331">
        <v>0.21</v>
      </c>
      <c r="G15139" s="332">
        <v>791</v>
      </c>
      <c r="H15139" s="333">
        <v>958</v>
      </c>
    </row>
    <row r="15140" spans="1:8">
      <c r="A15140" s="317">
        <v>2916130004</v>
      </c>
      <c r="B15140" s="330" t="s">
        <v>59493</v>
      </c>
      <c r="C15140" s="330" t="s">
        <v>31471</v>
      </c>
      <c r="D15140" s="330" t="s">
        <v>31472</v>
      </c>
      <c r="E15140" s="330" t="s">
        <v>4634</v>
      </c>
      <c r="F15140" s="331">
        <v>0.21</v>
      </c>
      <c r="G15140" s="332">
        <v>29</v>
      </c>
      <c r="H15140" s="333">
        <v>36</v>
      </c>
    </row>
    <row r="15141" spans="1:8">
      <c r="A15141" s="317">
        <v>2916130027</v>
      </c>
      <c r="B15141" s="330" t="s">
        <v>59494</v>
      </c>
      <c r="C15141" s="330" t="s">
        <v>31473</v>
      </c>
      <c r="D15141" s="330" t="s">
        <v>14408</v>
      </c>
      <c r="E15141" s="330" t="s">
        <v>4634</v>
      </c>
      <c r="F15141" s="331">
        <v>0.21</v>
      </c>
      <c r="G15141" s="332">
        <v>1170</v>
      </c>
      <c r="H15141" s="333">
        <v>1416</v>
      </c>
    </row>
    <row r="15142" spans="1:8">
      <c r="A15142" s="317">
        <v>2916160007</v>
      </c>
      <c r="B15142" s="330" t="s">
        <v>59495</v>
      </c>
      <c r="C15142" s="330" t="s">
        <v>31474</v>
      </c>
      <c r="D15142" s="330" t="s">
        <v>31475</v>
      </c>
      <c r="E15142" s="330" t="s">
        <v>4634</v>
      </c>
      <c r="F15142" s="331">
        <v>0.21</v>
      </c>
      <c r="G15142" s="332">
        <v>1043</v>
      </c>
      <c r="H15142" s="333">
        <v>1263</v>
      </c>
    </row>
    <row r="15143" spans="1:8">
      <c r="A15143" s="317">
        <v>2916160009</v>
      </c>
      <c r="B15143" s="330" t="s">
        <v>59496</v>
      </c>
      <c r="C15143" s="330" t="s">
        <v>31476</v>
      </c>
      <c r="D15143" s="330" t="s">
        <v>31477</v>
      </c>
      <c r="E15143" s="330" t="s">
        <v>37248</v>
      </c>
      <c r="F15143" s="331">
        <v>0.21</v>
      </c>
      <c r="G15143" s="332">
        <v>6714</v>
      </c>
      <c r="H15143" s="333">
        <v>8124</v>
      </c>
    </row>
    <row r="15144" spans="1:8">
      <c r="A15144" s="317">
        <v>2916160109</v>
      </c>
      <c r="B15144" s="330" t="s">
        <v>59497</v>
      </c>
      <c r="C15144" s="330" t="s">
        <v>31478</v>
      </c>
      <c r="D15144" s="330" t="s">
        <v>22179</v>
      </c>
      <c r="E15144" s="330" t="s">
        <v>4634</v>
      </c>
      <c r="F15144" s="331">
        <v>0.21</v>
      </c>
      <c r="G15144" s="332">
        <v>274</v>
      </c>
      <c r="H15144" s="333">
        <v>332</v>
      </c>
    </row>
    <row r="15145" spans="1:8">
      <c r="A15145" s="317">
        <v>2916190004</v>
      </c>
      <c r="B15145" s="330" t="s">
        <v>59498</v>
      </c>
      <c r="C15145" s="330" t="s">
        <v>31479</v>
      </c>
      <c r="D15145" s="330" t="s">
        <v>31480</v>
      </c>
      <c r="E15145" s="330" t="s">
        <v>37248</v>
      </c>
      <c r="F15145" s="331">
        <v>0.21</v>
      </c>
      <c r="G15145" s="332">
        <v>435</v>
      </c>
      <c r="H15145" s="333">
        <v>527</v>
      </c>
    </row>
    <row r="15146" spans="1:8">
      <c r="A15146" s="317">
        <v>2916190012</v>
      </c>
      <c r="B15146" s="330" t="s">
        <v>59499</v>
      </c>
      <c r="C15146" s="330" t="s">
        <v>31481</v>
      </c>
      <c r="D15146" s="330" t="s">
        <v>5233</v>
      </c>
      <c r="E15146" s="330" t="s">
        <v>4819</v>
      </c>
      <c r="F15146" s="331">
        <v>0.21</v>
      </c>
      <c r="G15146" s="332">
        <v>910</v>
      </c>
      <c r="H15146" s="333">
        <v>1102</v>
      </c>
    </row>
    <row r="15147" spans="1:8">
      <c r="A15147" s="317">
        <v>2916190013</v>
      </c>
      <c r="B15147" s="330" t="s">
        <v>59500</v>
      </c>
      <c r="C15147" s="330" t="s">
        <v>31482</v>
      </c>
      <c r="D15147" s="330" t="s">
        <v>5233</v>
      </c>
      <c r="E15147" s="330" t="s">
        <v>37248</v>
      </c>
      <c r="F15147" s="331">
        <v>0.21</v>
      </c>
      <c r="G15147" s="332">
        <v>976</v>
      </c>
      <c r="H15147" s="333">
        <v>1181</v>
      </c>
    </row>
    <row r="15148" spans="1:8">
      <c r="A15148" s="317">
        <v>2916190108</v>
      </c>
      <c r="B15148" s="330" t="s">
        <v>59501</v>
      </c>
      <c r="C15148" s="330" t="s">
        <v>31483</v>
      </c>
      <c r="D15148" s="330" t="s">
        <v>31480</v>
      </c>
      <c r="E15148" s="330" t="s">
        <v>37248</v>
      </c>
      <c r="F15148" s="331">
        <v>0.21</v>
      </c>
      <c r="G15148" s="332">
        <v>194</v>
      </c>
      <c r="H15148" s="333">
        <v>235</v>
      </c>
    </row>
    <row r="15149" spans="1:8">
      <c r="A15149" s="317">
        <v>2916190284</v>
      </c>
      <c r="B15149" s="330" t="s">
        <v>59502</v>
      </c>
      <c r="C15149" s="330" t="s">
        <v>31484</v>
      </c>
      <c r="D15149" s="330" t="s">
        <v>31485</v>
      </c>
      <c r="E15149" s="330" t="s">
        <v>4634</v>
      </c>
      <c r="F15149" s="331">
        <v>0.21</v>
      </c>
      <c r="G15149" s="332">
        <v>274</v>
      </c>
      <c r="H15149" s="333">
        <v>332</v>
      </c>
    </row>
    <row r="15150" spans="1:8">
      <c r="A15150" s="317">
        <v>2916201003</v>
      </c>
      <c r="B15150" s="330" t="s">
        <v>59503</v>
      </c>
      <c r="C15150" s="330" t="s">
        <v>31486</v>
      </c>
      <c r="D15150" s="330" t="s">
        <v>5015</v>
      </c>
      <c r="E15150" s="330" t="s">
        <v>4634</v>
      </c>
      <c r="F15150" s="331">
        <v>0.21</v>
      </c>
      <c r="G15150" s="332">
        <v>68</v>
      </c>
      <c r="H15150" s="333">
        <v>83</v>
      </c>
    </row>
    <row r="15151" spans="1:8">
      <c r="A15151" s="317">
        <v>2916280013</v>
      </c>
      <c r="B15151" s="330" t="s">
        <v>59504</v>
      </c>
      <c r="C15151" s="330" t="s">
        <v>31487</v>
      </c>
      <c r="D15151" s="330" t="s">
        <v>6921</v>
      </c>
      <c r="E15151" s="330" t="s">
        <v>4819</v>
      </c>
      <c r="F15151" s="331">
        <v>0.21</v>
      </c>
      <c r="G15151" s="332">
        <v>1610</v>
      </c>
      <c r="H15151" s="333">
        <v>1949</v>
      </c>
    </row>
    <row r="15152" spans="1:8">
      <c r="A15152" s="317">
        <v>2916540005</v>
      </c>
      <c r="B15152" s="330" t="s">
        <v>59505</v>
      </c>
      <c r="C15152" s="330" t="s">
        <v>31488</v>
      </c>
      <c r="D15152" s="330" t="s">
        <v>31489</v>
      </c>
      <c r="E15152" s="330" t="s">
        <v>4634</v>
      </c>
      <c r="F15152" s="331">
        <v>0.21</v>
      </c>
      <c r="G15152" s="332">
        <v>274</v>
      </c>
      <c r="H15152" s="333">
        <v>332</v>
      </c>
    </row>
    <row r="15153" spans="1:8">
      <c r="A15153" s="317">
        <v>2916540012</v>
      </c>
      <c r="B15153" s="330" t="s">
        <v>59506</v>
      </c>
      <c r="C15153" s="330" t="s">
        <v>31490</v>
      </c>
      <c r="D15153" s="330" t="s">
        <v>31491</v>
      </c>
      <c r="E15153" s="330" t="s">
        <v>37248</v>
      </c>
      <c r="F15153" s="331">
        <v>0.21</v>
      </c>
      <c r="G15153" s="332">
        <v>1661</v>
      </c>
      <c r="H15153" s="333">
        <v>2010</v>
      </c>
    </row>
    <row r="15154" spans="1:8">
      <c r="A15154" s="317">
        <v>2916540015</v>
      </c>
      <c r="B15154" s="330" t="s">
        <v>59507</v>
      </c>
      <c r="C15154" s="330" t="s">
        <v>31492</v>
      </c>
      <c r="D15154" s="330" t="s">
        <v>31493</v>
      </c>
      <c r="E15154" s="330" t="s">
        <v>37248</v>
      </c>
      <c r="F15154" s="331">
        <v>0.21</v>
      </c>
      <c r="G15154" s="332">
        <v>2591</v>
      </c>
      <c r="H15154" s="333">
        <v>3136</v>
      </c>
    </row>
    <row r="15155" spans="1:8">
      <c r="A15155" s="317">
        <v>2916540018</v>
      </c>
      <c r="B15155" s="330" t="s">
        <v>59508</v>
      </c>
      <c r="C15155" s="330" t="s">
        <v>31494</v>
      </c>
      <c r="D15155" s="330" t="s">
        <v>31495</v>
      </c>
      <c r="E15155" s="330" t="s">
        <v>4819</v>
      </c>
      <c r="F15155" s="331">
        <v>0.21</v>
      </c>
      <c r="G15155" s="332">
        <v>4149</v>
      </c>
      <c r="H15155" s="333">
        <v>5021</v>
      </c>
    </row>
    <row r="15156" spans="1:8">
      <c r="A15156" s="317">
        <v>2916550006</v>
      </c>
      <c r="B15156" s="330" t="s">
        <v>59509</v>
      </c>
      <c r="C15156" s="330" t="s">
        <v>31496</v>
      </c>
      <c r="D15156" s="330" t="s">
        <v>4909</v>
      </c>
      <c r="E15156" s="330" t="s">
        <v>37248</v>
      </c>
      <c r="F15156" s="331">
        <v>0.21</v>
      </c>
      <c r="G15156" s="332">
        <v>194</v>
      </c>
      <c r="H15156" s="333">
        <v>235</v>
      </c>
    </row>
    <row r="15157" spans="1:8">
      <c r="A15157" s="317">
        <v>2916550011</v>
      </c>
      <c r="B15157" s="330" t="s">
        <v>59510</v>
      </c>
      <c r="C15157" s="330" t="s">
        <v>31497</v>
      </c>
      <c r="D15157" s="330" t="s">
        <v>31498</v>
      </c>
      <c r="E15157" s="330" t="s">
        <v>4634</v>
      </c>
      <c r="F15157" s="331">
        <v>0.21</v>
      </c>
      <c r="G15157" s="332">
        <v>87</v>
      </c>
      <c r="H15157" s="333">
        <v>106</v>
      </c>
    </row>
    <row r="15158" spans="1:8">
      <c r="A15158" s="317">
        <v>2916600007</v>
      </c>
      <c r="B15158" s="330" t="s">
        <v>59511</v>
      </c>
      <c r="C15158" s="330" t="s">
        <v>31499</v>
      </c>
      <c r="D15158" s="330" t="s">
        <v>31500</v>
      </c>
      <c r="E15158" s="330" t="s">
        <v>4634</v>
      </c>
      <c r="F15158" s="331">
        <v>0.21</v>
      </c>
      <c r="G15158" s="332">
        <v>372</v>
      </c>
      <c r="H15158" s="333">
        <v>451</v>
      </c>
    </row>
    <row r="15159" spans="1:8">
      <c r="A15159" s="317">
        <v>2916600013</v>
      </c>
      <c r="B15159" s="330" t="s">
        <v>59512</v>
      </c>
      <c r="C15159" s="330" t="s">
        <v>31501</v>
      </c>
      <c r="D15159" s="330" t="s">
        <v>6259</v>
      </c>
      <c r="E15159" s="330" t="s">
        <v>4634</v>
      </c>
      <c r="F15159" s="331">
        <v>0.21</v>
      </c>
      <c r="G15159" s="332">
        <v>903</v>
      </c>
      <c r="H15159" s="333">
        <v>1093</v>
      </c>
    </row>
    <row r="15160" spans="1:8">
      <c r="A15160" s="317">
        <v>2916600018</v>
      </c>
      <c r="B15160" s="330" t="s">
        <v>59513</v>
      </c>
      <c r="C15160" s="330" t="s">
        <v>31502</v>
      </c>
      <c r="D15160" s="330" t="s">
        <v>6259</v>
      </c>
      <c r="E15160" s="330" t="s">
        <v>4634</v>
      </c>
      <c r="F15160" s="331">
        <v>0.21</v>
      </c>
      <c r="G15160" s="332">
        <v>153</v>
      </c>
      <c r="H15160" s="333">
        <v>186</v>
      </c>
    </row>
    <row r="15161" spans="1:8">
      <c r="A15161" s="317">
        <v>2916600022</v>
      </c>
      <c r="B15161" s="330" t="s">
        <v>59514</v>
      </c>
      <c r="C15161" s="330" t="s">
        <v>31503</v>
      </c>
      <c r="D15161" s="330" t="s">
        <v>31504</v>
      </c>
      <c r="E15161" s="330" t="s">
        <v>4634</v>
      </c>
      <c r="F15161" s="331">
        <v>0.21</v>
      </c>
      <c r="G15161" s="332">
        <v>490</v>
      </c>
      <c r="H15161" s="333">
        <v>593</v>
      </c>
    </row>
    <row r="15162" spans="1:8">
      <c r="A15162" s="317">
        <v>2916609063</v>
      </c>
      <c r="B15162" s="330" t="s">
        <v>59515</v>
      </c>
      <c r="C15162" s="330" t="s">
        <v>31505</v>
      </c>
      <c r="D15162" s="330" t="s">
        <v>31506</v>
      </c>
      <c r="E15162" s="330" t="s">
        <v>4634</v>
      </c>
      <c r="F15162" s="331">
        <v>0.21</v>
      </c>
      <c r="G15162" s="332">
        <v>584</v>
      </c>
      <c r="H15162" s="333">
        <v>707</v>
      </c>
    </row>
    <row r="15163" spans="1:8">
      <c r="A15163" s="317">
        <v>2916609112</v>
      </c>
      <c r="B15163" s="330" t="s">
        <v>59516</v>
      </c>
      <c r="C15163" s="330" t="s">
        <v>31507</v>
      </c>
      <c r="D15163" s="330" t="s">
        <v>31508</v>
      </c>
      <c r="E15163" s="330" t="s">
        <v>4819</v>
      </c>
      <c r="F15163" s="331">
        <v>0.21</v>
      </c>
      <c r="G15163" s="332">
        <v>1025</v>
      </c>
      <c r="H15163" s="333">
        <v>1241</v>
      </c>
    </row>
    <row r="15164" spans="1:8">
      <c r="A15164" s="317">
        <v>2916620011</v>
      </c>
      <c r="B15164" s="330" t="s">
        <v>59517</v>
      </c>
      <c r="C15164" s="330" t="s">
        <v>31509</v>
      </c>
      <c r="D15164" s="330" t="s">
        <v>6259</v>
      </c>
      <c r="E15164" s="330" t="s">
        <v>4634</v>
      </c>
      <c r="F15164" s="331">
        <v>0.21</v>
      </c>
      <c r="G15164" s="332">
        <v>153</v>
      </c>
      <c r="H15164" s="333">
        <v>186</v>
      </c>
    </row>
    <row r="15165" spans="1:8">
      <c r="A15165" s="317">
        <v>2916640001</v>
      </c>
      <c r="B15165" s="330" t="s">
        <v>59518</v>
      </c>
      <c r="C15165" s="330" t="s">
        <v>31510</v>
      </c>
      <c r="D15165" s="330" t="s">
        <v>6299</v>
      </c>
      <c r="E15165" s="330" t="s">
        <v>4819</v>
      </c>
      <c r="F15165" s="331">
        <v>0.21</v>
      </c>
      <c r="G15165" s="332">
        <v>1438</v>
      </c>
      <c r="H15165" s="333">
        <v>1740</v>
      </c>
    </row>
    <row r="15166" spans="1:8">
      <c r="A15166" s="317">
        <v>2916640004</v>
      </c>
      <c r="B15166" s="330" t="s">
        <v>59519</v>
      </c>
      <c r="C15166" s="330" t="s">
        <v>31511</v>
      </c>
      <c r="D15166" s="330" t="s">
        <v>31512</v>
      </c>
      <c r="E15166" s="330" t="s">
        <v>4634</v>
      </c>
      <c r="F15166" s="331">
        <v>0.21</v>
      </c>
      <c r="G15166" s="332">
        <v>309</v>
      </c>
      <c r="H15166" s="333">
        <v>374</v>
      </c>
    </row>
    <row r="15167" spans="1:8">
      <c r="A15167" s="317">
        <v>2916640901</v>
      </c>
      <c r="B15167" s="330" t="s">
        <v>59520</v>
      </c>
      <c r="C15167" s="330" t="s">
        <v>31513</v>
      </c>
      <c r="D15167" s="330" t="s">
        <v>6299</v>
      </c>
      <c r="E15167" s="330" t="s">
        <v>4634</v>
      </c>
      <c r="F15167" s="331">
        <v>0.21</v>
      </c>
      <c r="G15167" s="332">
        <v>426</v>
      </c>
      <c r="H15167" s="333">
        <v>516</v>
      </c>
    </row>
    <row r="15168" spans="1:8">
      <c r="A15168" s="317">
        <v>2916640905</v>
      </c>
      <c r="B15168" s="330" t="s">
        <v>59521</v>
      </c>
      <c r="C15168" s="330" t="s">
        <v>31514</v>
      </c>
      <c r="D15168" s="330" t="s">
        <v>31515</v>
      </c>
      <c r="E15168" s="330" t="s">
        <v>37248</v>
      </c>
      <c r="F15168" s="331">
        <v>0.21</v>
      </c>
      <c r="G15168" s="332">
        <v>2128</v>
      </c>
      <c r="H15168" s="333">
        <v>2575</v>
      </c>
    </row>
    <row r="15169" spans="1:8">
      <c r="A15169" s="317">
        <v>2916649005</v>
      </c>
      <c r="B15169" s="330" t="s">
        <v>59522</v>
      </c>
      <c r="C15169" s="330" t="s">
        <v>31516</v>
      </c>
      <c r="D15169" s="330" t="s">
        <v>31517</v>
      </c>
      <c r="E15169" s="330" t="s">
        <v>4634</v>
      </c>
      <c r="F15169" s="331">
        <v>0.21</v>
      </c>
      <c r="G15169" s="332">
        <v>274</v>
      </c>
      <c r="H15169" s="333">
        <v>332</v>
      </c>
    </row>
    <row r="15170" spans="1:8">
      <c r="A15170" s="317">
        <v>2916650001</v>
      </c>
      <c r="B15170" s="330" t="s">
        <v>59523</v>
      </c>
      <c r="C15170" s="330" t="s">
        <v>31518</v>
      </c>
      <c r="D15170" s="330" t="s">
        <v>31519</v>
      </c>
      <c r="E15170" s="330" t="s">
        <v>4634</v>
      </c>
      <c r="F15170" s="331">
        <v>0.21</v>
      </c>
      <c r="G15170" s="332">
        <v>274</v>
      </c>
      <c r="H15170" s="333">
        <v>332</v>
      </c>
    </row>
    <row r="15171" spans="1:8">
      <c r="A15171" s="317">
        <v>2916650003</v>
      </c>
      <c r="B15171" s="330" t="s">
        <v>59524</v>
      </c>
      <c r="C15171" s="330" t="s">
        <v>31520</v>
      </c>
      <c r="D15171" s="330" t="s">
        <v>31521</v>
      </c>
      <c r="E15171" s="330" t="s">
        <v>37248</v>
      </c>
      <c r="F15171" s="331">
        <v>0.21</v>
      </c>
      <c r="G15171" s="332">
        <v>1701</v>
      </c>
      <c r="H15171" s="333">
        <v>2059</v>
      </c>
    </row>
    <row r="15172" spans="1:8">
      <c r="A15172" s="317">
        <v>2916650006</v>
      </c>
      <c r="B15172" s="330" t="s">
        <v>59525</v>
      </c>
      <c r="C15172" s="330" t="s">
        <v>31522</v>
      </c>
      <c r="D15172" s="330" t="s">
        <v>6518</v>
      </c>
      <c r="E15172" s="330" t="s">
        <v>4819</v>
      </c>
      <c r="F15172" s="331">
        <v>0.21</v>
      </c>
      <c r="G15172" s="332">
        <v>910</v>
      </c>
      <c r="H15172" s="333">
        <v>1102</v>
      </c>
    </row>
    <row r="15173" spans="1:8">
      <c r="A15173" s="317">
        <v>2916650008</v>
      </c>
      <c r="B15173" s="330" t="s">
        <v>59526</v>
      </c>
      <c r="C15173" s="330" t="s">
        <v>31523</v>
      </c>
      <c r="D15173" s="330" t="s">
        <v>31524</v>
      </c>
      <c r="E15173" s="330" t="s">
        <v>4819</v>
      </c>
      <c r="F15173" s="331">
        <v>0.21</v>
      </c>
      <c r="G15173" s="332">
        <v>2328</v>
      </c>
      <c r="H15173" s="333">
        <v>2817</v>
      </c>
    </row>
    <row r="15174" spans="1:8">
      <c r="A15174" s="317">
        <v>2916650009</v>
      </c>
      <c r="B15174" s="330" t="s">
        <v>59527</v>
      </c>
      <c r="C15174" s="330" t="s">
        <v>31525</v>
      </c>
      <c r="D15174" s="330" t="s">
        <v>5504</v>
      </c>
      <c r="E15174" s="330" t="s">
        <v>37248</v>
      </c>
      <c r="F15174" s="331">
        <v>0.21</v>
      </c>
      <c r="G15174" s="332">
        <v>240</v>
      </c>
      <c r="H15174" s="333">
        <v>291</v>
      </c>
    </row>
    <row r="15175" spans="1:8">
      <c r="A15175" s="317">
        <v>2916650011</v>
      </c>
      <c r="B15175" s="330" t="s">
        <v>59528</v>
      </c>
      <c r="C15175" s="330" t="s">
        <v>31526</v>
      </c>
      <c r="D15175" s="330" t="s">
        <v>6259</v>
      </c>
      <c r="E15175" s="330" t="s">
        <v>4634</v>
      </c>
      <c r="F15175" s="331">
        <v>0.21</v>
      </c>
      <c r="G15175" s="332">
        <v>412</v>
      </c>
      <c r="H15175" s="333">
        <v>499</v>
      </c>
    </row>
    <row r="15176" spans="1:8">
      <c r="A15176" s="317">
        <v>2916650012</v>
      </c>
      <c r="B15176" s="330" t="s">
        <v>59529</v>
      </c>
      <c r="C15176" s="330" t="s">
        <v>31527</v>
      </c>
      <c r="D15176" s="330" t="s">
        <v>6259</v>
      </c>
      <c r="E15176" s="330" t="s">
        <v>4634</v>
      </c>
      <c r="F15176" s="331">
        <v>0.21</v>
      </c>
      <c r="G15176" s="332">
        <v>28</v>
      </c>
      <c r="H15176" s="333">
        <v>34</v>
      </c>
    </row>
    <row r="15177" spans="1:8">
      <c r="A15177" s="317">
        <v>2916650014</v>
      </c>
      <c r="B15177" s="330" t="s">
        <v>59530</v>
      </c>
      <c r="C15177" s="330" t="s">
        <v>31528</v>
      </c>
      <c r="D15177" s="330" t="s">
        <v>31529</v>
      </c>
      <c r="E15177" s="330" t="s">
        <v>4634</v>
      </c>
      <c r="F15177" s="331">
        <v>0.21</v>
      </c>
      <c r="G15177" s="332">
        <v>153</v>
      </c>
      <c r="H15177" s="333">
        <v>186</v>
      </c>
    </row>
    <row r="15178" spans="1:8">
      <c r="A15178" s="317">
        <v>2916650037</v>
      </c>
      <c r="B15178" s="330" t="s">
        <v>59531</v>
      </c>
      <c r="C15178" s="330" t="s">
        <v>31530</v>
      </c>
      <c r="D15178" s="330" t="s">
        <v>6259</v>
      </c>
      <c r="E15178" s="330" t="s">
        <v>4634</v>
      </c>
      <c r="F15178" s="331">
        <v>0.21</v>
      </c>
      <c r="G15178" s="332">
        <v>236</v>
      </c>
      <c r="H15178" s="333">
        <v>286</v>
      </c>
    </row>
    <row r="15179" spans="1:8">
      <c r="A15179" s="317">
        <v>2916650038</v>
      </c>
      <c r="B15179" s="330" t="s">
        <v>59532</v>
      </c>
      <c r="C15179" s="330" t="s">
        <v>31531</v>
      </c>
      <c r="D15179" s="330" t="s">
        <v>31532</v>
      </c>
      <c r="E15179" s="330" t="s">
        <v>4634</v>
      </c>
      <c r="F15179" s="331">
        <v>0.21</v>
      </c>
      <c r="G15179" s="332">
        <v>3002</v>
      </c>
      <c r="H15179" s="333">
        <v>3633</v>
      </c>
    </row>
    <row r="15180" spans="1:8">
      <c r="A15180" s="317">
        <v>2916650903</v>
      </c>
      <c r="B15180" s="330" t="s">
        <v>59533</v>
      </c>
      <c r="C15180" s="330" t="s">
        <v>31533</v>
      </c>
      <c r="D15180" s="330" t="s">
        <v>31534</v>
      </c>
      <c r="E15180" s="330" t="s">
        <v>4634</v>
      </c>
      <c r="F15180" s="331">
        <v>0.21</v>
      </c>
      <c r="G15180" s="332">
        <v>274</v>
      </c>
      <c r="H15180" s="333">
        <v>332</v>
      </c>
    </row>
    <row r="15181" spans="1:8">
      <c r="A15181" s="317">
        <v>2916650905</v>
      </c>
      <c r="B15181" s="330" t="s">
        <v>59534</v>
      </c>
      <c r="C15181" s="330" t="s">
        <v>31535</v>
      </c>
      <c r="D15181" s="330" t="s">
        <v>6299</v>
      </c>
      <c r="E15181" s="330" t="s">
        <v>4819</v>
      </c>
      <c r="F15181" s="331">
        <v>0.21</v>
      </c>
      <c r="G15181" s="332">
        <v>754</v>
      </c>
      <c r="H15181" s="333">
        <v>913</v>
      </c>
    </row>
    <row r="15182" spans="1:8">
      <c r="A15182" s="317">
        <v>2916659006</v>
      </c>
      <c r="B15182" s="330" t="s">
        <v>59535</v>
      </c>
      <c r="C15182" s="330" t="s">
        <v>31536</v>
      </c>
      <c r="D15182" s="330" t="s">
        <v>6305</v>
      </c>
      <c r="E15182" s="330" t="s">
        <v>4634</v>
      </c>
      <c r="F15182" s="331">
        <v>0.21</v>
      </c>
      <c r="G15182" s="332">
        <v>49</v>
      </c>
      <c r="H15182" s="333">
        <v>60</v>
      </c>
    </row>
    <row r="15183" spans="1:8">
      <c r="A15183" s="317">
        <v>2916660003</v>
      </c>
      <c r="B15183" s="330" t="s">
        <v>59536</v>
      </c>
      <c r="C15183" s="330" t="s">
        <v>31537</v>
      </c>
      <c r="D15183" s="330" t="s">
        <v>31538</v>
      </c>
      <c r="E15183" s="330" t="s">
        <v>4634</v>
      </c>
      <c r="F15183" s="331">
        <v>0.21</v>
      </c>
      <c r="G15183" s="332">
        <v>1113</v>
      </c>
      <c r="H15183" s="333">
        <v>1347</v>
      </c>
    </row>
    <row r="15184" spans="1:8">
      <c r="A15184" s="317">
        <v>2916660007</v>
      </c>
      <c r="B15184" s="330" t="s">
        <v>59537</v>
      </c>
      <c r="C15184" s="330" t="s">
        <v>31539</v>
      </c>
      <c r="D15184" s="330" t="s">
        <v>31540</v>
      </c>
      <c r="E15184" s="330" t="s">
        <v>4634</v>
      </c>
      <c r="F15184" s="331">
        <v>0.21</v>
      </c>
      <c r="G15184" s="332">
        <v>274</v>
      </c>
      <c r="H15184" s="333">
        <v>332</v>
      </c>
    </row>
    <row r="15185" spans="1:8">
      <c r="A15185" s="317">
        <v>2916660008</v>
      </c>
      <c r="B15185" s="330" t="s">
        <v>59538</v>
      </c>
      <c r="C15185" s="330" t="s">
        <v>31541</v>
      </c>
      <c r="D15185" s="330" t="s">
        <v>17639</v>
      </c>
      <c r="E15185" s="330" t="s">
        <v>4819</v>
      </c>
      <c r="F15185" s="331">
        <v>0.21</v>
      </c>
      <c r="G15185" s="332">
        <v>2647</v>
      </c>
      <c r="H15185" s="333">
        <v>3203</v>
      </c>
    </row>
    <row r="15186" spans="1:8">
      <c r="A15186" s="317">
        <v>2916660009</v>
      </c>
      <c r="B15186" s="330" t="s">
        <v>59539</v>
      </c>
      <c r="C15186" s="330" t="s">
        <v>31542</v>
      </c>
      <c r="D15186" s="330" t="s">
        <v>31543</v>
      </c>
      <c r="E15186" s="330" t="s">
        <v>4634</v>
      </c>
      <c r="F15186" s="331">
        <v>0.21</v>
      </c>
      <c r="G15186" s="332">
        <v>811</v>
      </c>
      <c r="H15186" s="333">
        <v>982</v>
      </c>
    </row>
    <row r="15187" spans="1:8">
      <c r="A15187" s="317">
        <v>2916660010</v>
      </c>
      <c r="B15187" s="330" t="s">
        <v>59540</v>
      </c>
      <c r="C15187" s="330" t="s">
        <v>31544</v>
      </c>
      <c r="D15187" s="330" t="s">
        <v>31545</v>
      </c>
      <c r="E15187" s="330" t="s">
        <v>37248</v>
      </c>
      <c r="F15187" s="331">
        <v>0.21</v>
      </c>
      <c r="G15187" s="332">
        <v>1936</v>
      </c>
      <c r="H15187" s="333">
        <v>2343</v>
      </c>
    </row>
    <row r="15188" spans="1:8">
      <c r="A15188" s="317">
        <v>2916660011</v>
      </c>
      <c r="B15188" s="330" t="s">
        <v>59541</v>
      </c>
      <c r="C15188" s="330" t="s">
        <v>31546</v>
      </c>
      <c r="D15188" s="330" t="s">
        <v>31547</v>
      </c>
      <c r="E15188" s="330" t="s">
        <v>4634</v>
      </c>
      <c r="F15188" s="331">
        <v>0.21</v>
      </c>
      <c r="G15188" s="332">
        <v>309</v>
      </c>
      <c r="H15188" s="333">
        <v>374</v>
      </c>
    </row>
    <row r="15189" spans="1:8">
      <c r="A15189" s="317">
        <v>2916660012</v>
      </c>
      <c r="B15189" s="330" t="s">
        <v>59542</v>
      </c>
      <c r="C15189" s="330" t="s">
        <v>31548</v>
      </c>
      <c r="D15189" s="330" t="s">
        <v>5471</v>
      </c>
      <c r="E15189" s="330" t="s">
        <v>4819</v>
      </c>
      <c r="F15189" s="331">
        <v>0.21</v>
      </c>
      <c r="G15189" s="332">
        <v>910</v>
      </c>
      <c r="H15189" s="333">
        <v>1102</v>
      </c>
    </row>
    <row r="15190" spans="1:8">
      <c r="A15190" s="317">
        <v>2916660013</v>
      </c>
      <c r="B15190" s="330" t="s">
        <v>59543</v>
      </c>
      <c r="C15190" s="330" t="s">
        <v>31549</v>
      </c>
      <c r="D15190" s="330" t="s">
        <v>31550</v>
      </c>
      <c r="E15190" s="330" t="s">
        <v>4819</v>
      </c>
      <c r="F15190" s="331">
        <v>0.21</v>
      </c>
      <c r="G15190" s="332">
        <v>910</v>
      </c>
      <c r="H15190" s="333">
        <v>1102</v>
      </c>
    </row>
    <row r="15191" spans="1:8">
      <c r="A15191" s="317">
        <v>2916660014</v>
      </c>
      <c r="B15191" s="330" t="s">
        <v>59544</v>
      </c>
      <c r="C15191" s="330" t="s">
        <v>31551</v>
      </c>
      <c r="D15191" s="330" t="s">
        <v>31552</v>
      </c>
      <c r="E15191" s="330" t="s">
        <v>4819</v>
      </c>
      <c r="F15191" s="331">
        <v>0.21</v>
      </c>
      <c r="G15191" s="332">
        <v>1164</v>
      </c>
      <c r="H15191" s="333">
        <v>1409</v>
      </c>
    </row>
    <row r="15192" spans="1:8">
      <c r="A15192" s="317">
        <v>2916660017</v>
      </c>
      <c r="B15192" s="330" t="s">
        <v>59545</v>
      </c>
      <c r="C15192" s="330" t="s">
        <v>31553</v>
      </c>
      <c r="D15192" s="330" t="s">
        <v>31554</v>
      </c>
      <c r="E15192" s="330" t="s">
        <v>4634</v>
      </c>
      <c r="F15192" s="331">
        <v>0.21</v>
      </c>
      <c r="G15192" s="332">
        <v>1431</v>
      </c>
      <c r="H15192" s="333">
        <v>1732</v>
      </c>
    </row>
    <row r="15193" spans="1:8">
      <c r="A15193" s="317">
        <v>2916660019</v>
      </c>
      <c r="B15193" s="330" t="s">
        <v>59546</v>
      </c>
      <c r="C15193" s="330" t="s">
        <v>31555</v>
      </c>
      <c r="D15193" s="330" t="s">
        <v>31556</v>
      </c>
      <c r="E15193" s="330" t="s">
        <v>37248</v>
      </c>
      <c r="F15193" s="331">
        <v>0.21</v>
      </c>
      <c r="G15193" s="332">
        <v>758</v>
      </c>
      <c r="H15193" s="333">
        <v>918</v>
      </c>
    </row>
    <row r="15194" spans="1:8">
      <c r="A15194" s="317">
        <v>2916660021</v>
      </c>
      <c r="B15194" s="330" t="s">
        <v>59547</v>
      </c>
      <c r="C15194" s="330" t="s">
        <v>31557</v>
      </c>
      <c r="D15194" s="330" t="s">
        <v>6305</v>
      </c>
      <c r="E15194" s="330" t="s">
        <v>4634</v>
      </c>
      <c r="F15194" s="331">
        <v>0.21</v>
      </c>
      <c r="G15194" s="332">
        <v>928</v>
      </c>
      <c r="H15194" s="333">
        <v>1123</v>
      </c>
    </row>
    <row r="15195" spans="1:8">
      <c r="A15195" s="317">
        <v>2916660023</v>
      </c>
      <c r="B15195" s="330" t="s">
        <v>59548</v>
      </c>
      <c r="C15195" s="330" t="s">
        <v>31558</v>
      </c>
      <c r="D15195" s="330" t="s">
        <v>31559</v>
      </c>
      <c r="E15195" s="330" t="s">
        <v>4819</v>
      </c>
      <c r="F15195" s="331">
        <v>0.21</v>
      </c>
      <c r="G15195" s="332">
        <v>1208</v>
      </c>
      <c r="H15195" s="333">
        <v>1462</v>
      </c>
    </row>
    <row r="15196" spans="1:8">
      <c r="A15196" s="317">
        <v>2916660024</v>
      </c>
      <c r="B15196" s="330" t="s">
        <v>59549</v>
      </c>
      <c r="C15196" s="330" t="s">
        <v>31560</v>
      </c>
      <c r="D15196" s="330" t="s">
        <v>31561</v>
      </c>
      <c r="E15196" s="330" t="s">
        <v>4819</v>
      </c>
      <c r="F15196" s="331">
        <v>0.21</v>
      </c>
      <c r="G15196" s="332">
        <v>7173</v>
      </c>
      <c r="H15196" s="333">
        <v>8680</v>
      </c>
    </row>
    <row r="15197" spans="1:8">
      <c r="A15197" s="317">
        <v>2916660027</v>
      </c>
      <c r="B15197" s="330" t="s">
        <v>59550</v>
      </c>
      <c r="C15197" s="330" t="s">
        <v>31562</v>
      </c>
      <c r="D15197" s="330" t="s">
        <v>6305</v>
      </c>
      <c r="E15197" s="330" t="s">
        <v>37248</v>
      </c>
      <c r="F15197" s="331">
        <v>0.21</v>
      </c>
      <c r="G15197" s="332">
        <v>1019</v>
      </c>
      <c r="H15197" s="333">
        <v>1233</v>
      </c>
    </row>
    <row r="15198" spans="1:8">
      <c r="A15198" s="317">
        <v>2916660033</v>
      </c>
      <c r="B15198" s="330" t="s">
        <v>59551</v>
      </c>
      <c r="C15198" s="330" t="s">
        <v>31563</v>
      </c>
      <c r="D15198" s="330" t="s">
        <v>6305</v>
      </c>
      <c r="E15198" s="330" t="s">
        <v>37248</v>
      </c>
      <c r="F15198" s="331">
        <v>0.21</v>
      </c>
      <c r="G15198" s="332">
        <v>305</v>
      </c>
      <c r="H15198" s="333">
        <v>370</v>
      </c>
    </row>
    <row r="15199" spans="1:8">
      <c r="A15199" s="317">
        <v>2916660040</v>
      </c>
      <c r="B15199" s="330" t="s">
        <v>59552</v>
      </c>
      <c r="C15199" s="330" t="s">
        <v>31564</v>
      </c>
      <c r="D15199" s="330" t="s">
        <v>31565</v>
      </c>
      <c r="E15199" s="330" t="s">
        <v>4634</v>
      </c>
      <c r="F15199" s="331">
        <v>0.21</v>
      </c>
      <c r="G15199" s="332">
        <v>372</v>
      </c>
      <c r="H15199" s="333">
        <v>451</v>
      </c>
    </row>
    <row r="15200" spans="1:8">
      <c r="A15200" s="317">
        <v>2916660041</v>
      </c>
      <c r="B15200" s="330" t="s">
        <v>59553</v>
      </c>
      <c r="C15200" s="330" t="s">
        <v>31566</v>
      </c>
      <c r="D15200" s="330" t="s">
        <v>21833</v>
      </c>
      <c r="E15200" s="330" t="s">
        <v>4634</v>
      </c>
      <c r="F15200" s="331">
        <v>0.21</v>
      </c>
      <c r="G15200" s="332">
        <v>274</v>
      </c>
      <c r="H15200" s="333">
        <v>332</v>
      </c>
    </row>
    <row r="15201" spans="1:8">
      <c r="A15201" s="317">
        <v>2916660042</v>
      </c>
      <c r="B15201" s="330" t="s">
        <v>59554</v>
      </c>
      <c r="C15201" s="330" t="s">
        <v>31567</v>
      </c>
      <c r="D15201" s="330" t="s">
        <v>9337</v>
      </c>
      <c r="E15201" s="330" t="s">
        <v>4819</v>
      </c>
      <c r="F15201" s="331">
        <v>0.21</v>
      </c>
      <c r="G15201" s="332">
        <v>919</v>
      </c>
      <c r="H15201" s="333">
        <v>1112</v>
      </c>
    </row>
    <row r="15202" spans="1:8">
      <c r="A15202" s="317">
        <v>2916669005</v>
      </c>
      <c r="B15202" s="330" t="s">
        <v>59555</v>
      </c>
      <c r="C15202" s="330" t="s">
        <v>31568</v>
      </c>
      <c r="D15202" s="330" t="s">
        <v>31569</v>
      </c>
      <c r="E15202" s="330" t="s">
        <v>37248</v>
      </c>
      <c r="F15202" s="331">
        <v>0.21</v>
      </c>
      <c r="G15202" s="332">
        <v>1247</v>
      </c>
      <c r="H15202" s="333">
        <v>1509</v>
      </c>
    </row>
    <row r="15203" spans="1:8">
      <c r="A15203" s="317">
        <v>2916669024</v>
      </c>
      <c r="B15203" s="330" t="s">
        <v>59556</v>
      </c>
      <c r="C15203" s="330" t="s">
        <v>31570</v>
      </c>
      <c r="D15203" s="330" t="s">
        <v>31571</v>
      </c>
      <c r="E15203" s="330" t="s">
        <v>4634</v>
      </c>
      <c r="F15203" s="331">
        <v>0.21</v>
      </c>
      <c r="G15203" s="332">
        <v>191</v>
      </c>
      <c r="H15203" s="333">
        <v>232</v>
      </c>
    </row>
    <row r="15204" spans="1:8">
      <c r="A15204" s="317">
        <v>2916680005</v>
      </c>
      <c r="B15204" s="330" t="s">
        <v>59557</v>
      </c>
      <c r="C15204" s="330" t="s">
        <v>31572</v>
      </c>
      <c r="D15204" s="330" t="s">
        <v>31573</v>
      </c>
      <c r="E15204" s="330" t="s">
        <v>37248</v>
      </c>
      <c r="F15204" s="331">
        <v>0.21</v>
      </c>
      <c r="G15204" s="332">
        <v>305</v>
      </c>
      <c r="H15204" s="333">
        <v>370</v>
      </c>
    </row>
    <row r="15205" spans="1:8">
      <c r="A15205" s="317">
        <v>2916683006</v>
      </c>
      <c r="B15205" s="330" t="s">
        <v>59558</v>
      </c>
      <c r="C15205" s="330" t="s">
        <v>31574</v>
      </c>
      <c r="D15205" s="330" t="s">
        <v>31575</v>
      </c>
      <c r="E15205" s="330" t="s">
        <v>37248</v>
      </c>
      <c r="F15205" s="331">
        <v>0.21</v>
      </c>
      <c r="G15205" s="332">
        <v>501</v>
      </c>
      <c r="H15205" s="333">
        <v>607</v>
      </c>
    </row>
    <row r="15206" spans="1:8">
      <c r="A15206" s="317">
        <v>2916710636</v>
      </c>
      <c r="B15206" s="330" t="s">
        <v>59559</v>
      </c>
      <c r="C15206" s="330" t="s">
        <v>31576</v>
      </c>
      <c r="D15206" s="330" t="s">
        <v>31577</v>
      </c>
      <c r="E15206" s="330" t="s">
        <v>4634</v>
      </c>
      <c r="F15206" s="331">
        <v>0.21</v>
      </c>
      <c r="G15206" s="332">
        <v>816</v>
      </c>
      <c r="H15206" s="333">
        <v>988</v>
      </c>
    </row>
    <row r="15207" spans="1:8">
      <c r="A15207" s="317">
        <v>2917030110</v>
      </c>
      <c r="B15207" s="330" t="s">
        <v>59560</v>
      </c>
      <c r="C15207" s="330" t="s">
        <v>31578</v>
      </c>
      <c r="D15207" s="330" t="s">
        <v>31579</v>
      </c>
      <c r="E15207" s="330" t="s">
        <v>4819</v>
      </c>
      <c r="F15207" s="331">
        <v>0.21</v>
      </c>
      <c r="G15207" s="332">
        <v>702</v>
      </c>
      <c r="H15207" s="333">
        <v>850</v>
      </c>
    </row>
    <row r="15208" spans="1:8">
      <c r="A15208" s="317">
        <v>2917030709</v>
      </c>
      <c r="B15208" s="330" t="s">
        <v>59561</v>
      </c>
      <c r="C15208" s="330" t="s">
        <v>31580</v>
      </c>
      <c r="D15208" s="330" t="s">
        <v>31581</v>
      </c>
      <c r="E15208" s="330" t="s">
        <v>4634</v>
      </c>
      <c r="F15208" s="331">
        <v>0.21</v>
      </c>
      <c r="G15208" s="332">
        <v>274</v>
      </c>
      <c r="H15208" s="333">
        <v>332</v>
      </c>
    </row>
    <row r="15209" spans="1:8">
      <c r="A15209" s="317">
        <v>2917500095</v>
      </c>
      <c r="B15209" s="330" t="s">
        <v>59562</v>
      </c>
      <c r="C15209" s="330" t="s">
        <v>31582</v>
      </c>
      <c r="D15209" s="330" t="s">
        <v>7466</v>
      </c>
      <c r="E15209" s="330" t="s">
        <v>4623</v>
      </c>
      <c r="F15209" s="331">
        <v>0.21</v>
      </c>
      <c r="G15209" s="332">
        <v>1378</v>
      </c>
      <c r="H15209" s="333">
        <v>1668</v>
      </c>
    </row>
    <row r="15210" spans="1:8">
      <c r="A15210" s="317">
        <v>2917500157</v>
      </c>
      <c r="B15210" s="330" t="s">
        <v>59563</v>
      </c>
      <c r="C15210" s="330" t="s">
        <v>31583</v>
      </c>
      <c r="D15210" s="330" t="s">
        <v>31584</v>
      </c>
      <c r="E15210" s="330" t="s">
        <v>4634</v>
      </c>
      <c r="F15210" s="331">
        <v>0.21</v>
      </c>
      <c r="G15210" s="332">
        <v>437</v>
      </c>
      <c r="H15210" s="333">
        <v>529</v>
      </c>
    </row>
    <row r="15211" spans="1:8">
      <c r="A15211" s="317">
        <v>2917511104</v>
      </c>
      <c r="B15211" s="330" t="s">
        <v>59564</v>
      </c>
      <c r="C15211" s="330" t="s">
        <v>31585</v>
      </c>
      <c r="D15211" s="330" t="s">
        <v>31586</v>
      </c>
      <c r="E15211" s="330" t="s">
        <v>4634</v>
      </c>
      <c r="F15211" s="331">
        <v>0.21</v>
      </c>
      <c r="G15211" s="332">
        <v>309</v>
      </c>
      <c r="H15211" s="333">
        <v>374</v>
      </c>
    </row>
    <row r="15212" spans="1:8">
      <c r="A15212" s="317">
        <v>2917530081</v>
      </c>
      <c r="B15212" s="330" t="s">
        <v>59565</v>
      </c>
      <c r="C15212" s="330" t="s">
        <v>31587</v>
      </c>
      <c r="D15212" s="330" t="s">
        <v>15291</v>
      </c>
      <c r="E15212" s="330" t="s">
        <v>4634</v>
      </c>
      <c r="F15212" s="331">
        <v>0.21</v>
      </c>
      <c r="G15212" s="332">
        <v>412</v>
      </c>
      <c r="H15212" s="333">
        <v>499</v>
      </c>
    </row>
    <row r="15213" spans="1:8">
      <c r="A15213" s="317">
        <v>2917530083</v>
      </c>
      <c r="B15213" s="330" t="s">
        <v>59566</v>
      </c>
      <c r="C15213" s="330" t="s">
        <v>31588</v>
      </c>
      <c r="D15213" s="330" t="s">
        <v>31589</v>
      </c>
      <c r="E15213" s="330" t="s">
        <v>4634</v>
      </c>
      <c r="F15213" s="331">
        <v>0.21</v>
      </c>
      <c r="G15213" s="332">
        <v>180</v>
      </c>
      <c r="H15213" s="333">
        <v>218</v>
      </c>
    </row>
    <row r="15214" spans="1:8">
      <c r="A15214" s="317">
        <v>2917530095</v>
      </c>
      <c r="B15214" s="330" t="s">
        <v>59567</v>
      </c>
      <c r="C15214" s="330" t="s">
        <v>31590</v>
      </c>
      <c r="D15214" s="330" t="s">
        <v>31591</v>
      </c>
      <c r="E15214" s="330" t="s">
        <v>4634</v>
      </c>
      <c r="F15214" s="331">
        <v>0.21</v>
      </c>
      <c r="G15214" s="332">
        <v>274</v>
      </c>
      <c r="H15214" s="333">
        <v>332</v>
      </c>
    </row>
    <row r="15215" spans="1:8">
      <c r="A15215" s="317">
        <v>2917530101</v>
      </c>
      <c r="B15215" s="330" t="s">
        <v>59568</v>
      </c>
      <c r="C15215" s="330" t="s">
        <v>31592</v>
      </c>
      <c r="D15215" s="330" t="s">
        <v>5504</v>
      </c>
      <c r="E15215" s="330" t="s">
        <v>37248</v>
      </c>
      <c r="F15215" s="331">
        <v>0.21</v>
      </c>
      <c r="G15215" s="332">
        <v>600</v>
      </c>
      <c r="H15215" s="333">
        <v>726</v>
      </c>
    </row>
    <row r="15216" spans="1:8">
      <c r="A15216" s="317">
        <v>2917530104</v>
      </c>
      <c r="B15216" s="330" t="s">
        <v>59569</v>
      </c>
      <c r="C15216" s="330" t="s">
        <v>31593</v>
      </c>
      <c r="D15216" s="330" t="s">
        <v>23081</v>
      </c>
      <c r="E15216" s="330" t="s">
        <v>4634</v>
      </c>
      <c r="F15216" s="331">
        <v>0.21</v>
      </c>
      <c r="G15216" s="332">
        <v>274</v>
      </c>
      <c r="H15216" s="333">
        <v>332</v>
      </c>
    </row>
    <row r="15217" spans="1:8">
      <c r="A15217" s="317">
        <v>2917530174</v>
      </c>
      <c r="B15217" s="330" t="s">
        <v>59570</v>
      </c>
      <c r="C15217" s="330" t="s">
        <v>31594</v>
      </c>
      <c r="D15217" s="330" t="s">
        <v>15291</v>
      </c>
      <c r="E15217" s="330" t="s">
        <v>4819</v>
      </c>
      <c r="F15217" s="331">
        <v>0.21</v>
      </c>
      <c r="G15217" s="332">
        <v>1920</v>
      </c>
      <c r="H15217" s="333">
        <v>2324</v>
      </c>
    </row>
    <row r="15218" spans="1:8">
      <c r="A15218" s="317">
        <v>2917550088</v>
      </c>
      <c r="B15218" s="330" t="s">
        <v>59571</v>
      </c>
      <c r="C15218" s="330" t="s">
        <v>31595</v>
      </c>
      <c r="D15218" s="330" t="s">
        <v>31596</v>
      </c>
      <c r="E15218" s="330" t="s">
        <v>4634</v>
      </c>
      <c r="F15218" s="331">
        <v>0.21</v>
      </c>
      <c r="G15218" s="332">
        <v>309</v>
      </c>
      <c r="H15218" s="333">
        <v>374</v>
      </c>
    </row>
    <row r="15219" spans="1:8">
      <c r="A15219" s="317">
        <v>2917550101</v>
      </c>
      <c r="B15219" s="330" t="s">
        <v>59572</v>
      </c>
      <c r="C15219" s="330" t="s">
        <v>31597</v>
      </c>
      <c r="D15219" s="330" t="s">
        <v>7466</v>
      </c>
      <c r="E15219" s="330" t="s">
        <v>4634</v>
      </c>
      <c r="F15219" s="331">
        <v>0.21</v>
      </c>
      <c r="G15219" s="332">
        <v>274</v>
      </c>
      <c r="H15219" s="333">
        <v>332</v>
      </c>
    </row>
    <row r="15220" spans="1:8">
      <c r="A15220" s="317">
        <v>2917550138</v>
      </c>
      <c r="B15220" s="330" t="s">
        <v>59573</v>
      </c>
      <c r="C15220" s="330" t="s">
        <v>31598</v>
      </c>
      <c r="D15220" s="330" t="s">
        <v>31599</v>
      </c>
      <c r="E15220" s="330" t="s">
        <v>4634</v>
      </c>
      <c r="F15220" s="331">
        <v>0.21</v>
      </c>
      <c r="G15220" s="332">
        <v>898</v>
      </c>
      <c r="H15220" s="333">
        <v>1087</v>
      </c>
    </row>
    <row r="15221" spans="1:8">
      <c r="A15221" s="317">
        <v>2917550184</v>
      </c>
      <c r="B15221" s="330" t="s">
        <v>59574</v>
      </c>
      <c r="C15221" s="330" t="s">
        <v>31600</v>
      </c>
      <c r="D15221" s="330" t="s">
        <v>8670</v>
      </c>
      <c r="E15221" s="330" t="s">
        <v>4634</v>
      </c>
      <c r="F15221" s="331">
        <v>0.21</v>
      </c>
      <c r="G15221" s="332">
        <v>791</v>
      </c>
      <c r="H15221" s="333">
        <v>958</v>
      </c>
    </row>
    <row r="15222" spans="1:8">
      <c r="A15222" s="317">
        <v>2917601059</v>
      </c>
      <c r="B15222" s="330" t="s">
        <v>59575</v>
      </c>
      <c r="C15222" s="330" t="s">
        <v>31601</v>
      </c>
      <c r="D15222" s="330" t="s">
        <v>31602</v>
      </c>
      <c r="E15222" s="330" t="s">
        <v>4634</v>
      </c>
      <c r="F15222" s="331">
        <v>0.21</v>
      </c>
      <c r="G15222" s="332">
        <v>274</v>
      </c>
      <c r="H15222" s="333">
        <v>332</v>
      </c>
    </row>
    <row r="15223" spans="1:8">
      <c r="A15223" s="317">
        <v>2917610086</v>
      </c>
      <c r="B15223" s="330" t="s">
        <v>59576</v>
      </c>
      <c r="C15223" s="330" t="s">
        <v>31603</v>
      </c>
      <c r="D15223" s="330" t="s">
        <v>31604</v>
      </c>
      <c r="E15223" s="330" t="s">
        <v>4634</v>
      </c>
      <c r="F15223" s="331">
        <v>0.21</v>
      </c>
      <c r="G15223" s="332">
        <v>309</v>
      </c>
      <c r="H15223" s="333">
        <v>374</v>
      </c>
    </row>
    <row r="15224" spans="1:8">
      <c r="A15224" s="317">
        <v>2917610093</v>
      </c>
      <c r="B15224" s="330" t="s">
        <v>59577</v>
      </c>
      <c r="C15224" s="330" t="s">
        <v>31605</v>
      </c>
      <c r="D15224" s="330" t="s">
        <v>31604</v>
      </c>
      <c r="E15224" s="330" t="s">
        <v>4634</v>
      </c>
      <c r="F15224" s="331">
        <v>0.21</v>
      </c>
      <c r="G15224" s="332">
        <v>180</v>
      </c>
      <c r="H15224" s="333">
        <v>218</v>
      </c>
    </row>
    <row r="15225" spans="1:8">
      <c r="A15225" s="317">
        <v>2917700040</v>
      </c>
      <c r="B15225" s="330" t="s">
        <v>59578</v>
      </c>
      <c r="C15225" s="330" t="s">
        <v>31606</v>
      </c>
      <c r="D15225" s="330" t="s">
        <v>31607</v>
      </c>
      <c r="E15225" s="330" t="s">
        <v>37248</v>
      </c>
      <c r="F15225" s="331">
        <v>0.21</v>
      </c>
      <c r="G15225" s="332">
        <v>934</v>
      </c>
      <c r="H15225" s="333">
        <v>1131</v>
      </c>
    </row>
    <row r="15226" spans="1:8">
      <c r="A15226" s="317">
        <v>2917710039</v>
      </c>
      <c r="B15226" s="330" t="s">
        <v>59579</v>
      </c>
      <c r="C15226" s="330" t="s">
        <v>31608</v>
      </c>
      <c r="D15226" s="330" t="s">
        <v>31609</v>
      </c>
      <c r="E15226" s="330" t="s">
        <v>4634</v>
      </c>
      <c r="F15226" s="331">
        <v>0.21</v>
      </c>
      <c r="G15226" s="332">
        <v>309</v>
      </c>
      <c r="H15226" s="333">
        <v>374</v>
      </c>
    </row>
    <row r="15227" spans="1:8">
      <c r="A15227" s="317">
        <v>2917760012</v>
      </c>
      <c r="B15227" s="330" t="s">
        <v>59580</v>
      </c>
      <c r="C15227" s="330" t="s">
        <v>31610</v>
      </c>
      <c r="D15227" s="330" t="s">
        <v>31611</v>
      </c>
      <c r="E15227" s="330" t="s">
        <v>4634</v>
      </c>
      <c r="F15227" s="331">
        <v>0.21</v>
      </c>
      <c r="G15227" s="332">
        <v>865</v>
      </c>
      <c r="H15227" s="333">
        <v>1047</v>
      </c>
    </row>
    <row r="15228" spans="1:8">
      <c r="A15228" s="317">
        <v>2917760034</v>
      </c>
      <c r="B15228" s="330" t="s">
        <v>59581</v>
      </c>
      <c r="C15228" s="330" t="s">
        <v>31612</v>
      </c>
      <c r="D15228" s="330" t="s">
        <v>31613</v>
      </c>
      <c r="E15228" s="330" t="s">
        <v>4819</v>
      </c>
      <c r="F15228" s="331">
        <v>0.21</v>
      </c>
      <c r="G15228" s="332">
        <v>1701</v>
      </c>
      <c r="H15228" s="333">
        <v>2059</v>
      </c>
    </row>
    <row r="15229" spans="1:8">
      <c r="A15229" s="317">
        <v>2917760151</v>
      </c>
      <c r="B15229" s="330" t="s">
        <v>59582</v>
      </c>
      <c r="C15229" s="330" t="s">
        <v>31614</v>
      </c>
      <c r="D15229" s="330" t="s">
        <v>8375</v>
      </c>
      <c r="E15229" s="330" t="s">
        <v>37248</v>
      </c>
      <c r="F15229" s="331">
        <v>0.21</v>
      </c>
      <c r="G15229" s="332">
        <v>452</v>
      </c>
      <c r="H15229" s="333">
        <v>547</v>
      </c>
    </row>
    <row r="15230" spans="1:8">
      <c r="A15230" s="317">
        <v>2917760156</v>
      </c>
      <c r="B15230" s="330" t="s">
        <v>59583</v>
      </c>
      <c r="C15230" s="330" t="s">
        <v>31615</v>
      </c>
      <c r="D15230" s="330" t="s">
        <v>31616</v>
      </c>
      <c r="E15230" s="330" t="s">
        <v>4634</v>
      </c>
      <c r="F15230" s="331">
        <v>0.21</v>
      </c>
      <c r="G15230" s="332">
        <v>153</v>
      </c>
      <c r="H15230" s="333">
        <v>186</v>
      </c>
    </row>
    <row r="15231" spans="1:8">
      <c r="A15231" s="317">
        <v>2917760159</v>
      </c>
      <c r="B15231" s="330" t="s">
        <v>59584</v>
      </c>
      <c r="C15231" s="330" t="s">
        <v>31617</v>
      </c>
      <c r="D15231" s="330" t="s">
        <v>31618</v>
      </c>
      <c r="E15231" s="330" t="s">
        <v>4634</v>
      </c>
      <c r="F15231" s="331">
        <v>0.21</v>
      </c>
      <c r="G15231" s="332">
        <v>236</v>
      </c>
      <c r="H15231" s="333">
        <v>286</v>
      </c>
    </row>
    <row r="15232" spans="1:8">
      <c r="A15232" s="317">
        <v>2917760187</v>
      </c>
      <c r="B15232" s="330" t="s">
        <v>59585</v>
      </c>
      <c r="C15232" s="330" t="s">
        <v>31619</v>
      </c>
      <c r="D15232" s="330" t="s">
        <v>31620</v>
      </c>
      <c r="E15232" s="330" t="s">
        <v>37248</v>
      </c>
      <c r="F15232" s="331">
        <v>0.21</v>
      </c>
      <c r="G15232" s="332">
        <v>4332</v>
      </c>
      <c r="H15232" s="333">
        <v>5242</v>
      </c>
    </row>
    <row r="15233" spans="1:8">
      <c r="A15233" s="317">
        <v>2917761253</v>
      </c>
      <c r="B15233" s="330" t="s">
        <v>59586</v>
      </c>
      <c r="C15233" s="330" t="s">
        <v>31621</v>
      </c>
      <c r="D15233" s="330" t="s">
        <v>31622</v>
      </c>
      <c r="E15233" s="330" t="s">
        <v>4819</v>
      </c>
      <c r="F15233" s="331">
        <v>0.21</v>
      </c>
      <c r="G15233" s="332">
        <v>910</v>
      </c>
      <c r="H15233" s="333">
        <v>1102</v>
      </c>
    </row>
    <row r="15234" spans="1:8">
      <c r="A15234" s="317">
        <v>2917780078</v>
      </c>
      <c r="B15234" s="330" t="s">
        <v>59587</v>
      </c>
      <c r="C15234" s="330" t="s">
        <v>31623</v>
      </c>
      <c r="D15234" s="330" t="s">
        <v>7510</v>
      </c>
      <c r="E15234" s="330" t="s">
        <v>37248</v>
      </c>
      <c r="F15234" s="331">
        <v>0.21</v>
      </c>
      <c r="G15234" s="332">
        <v>240</v>
      </c>
      <c r="H15234" s="333">
        <v>291</v>
      </c>
    </row>
    <row r="15235" spans="1:8">
      <c r="A15235" s="317">
        <v>2917780105</v>
      </c>
      <c r="B15235" s="330" t="s">
        <v>59588</v>
      </c>
      <c r="C15235" s="330" t="s">
        <v>31624</v>
      </c>
      <c r="D15235" s="330" t="s">
        <v>31625</v>
      </c>
      <c r="E15235" s="330" t="s">
        <v>4634</v>
      </c>
      <c r="F15235" s="331">
        <v>0.21</v>
      </c>
      <c r="G15235" s="332">
        <v>153</v>
      </c>
      <c r="H15235" s="333">
        <v>186</v>
      </c>
    </row>
    <row r="15236" spans="1:8">
      <c r="A15236" s="317">
        <v>2917780185</v>
      </c>
      <c r="B15236" s="330" t="s">
        <v>59589</v>
      </c>
      <c r="C15236" s="330" t="s">
        <v>31626</v>
      </c>
      <c r="D15236" s="330" t="s">
        <v>31627</v>
      </c>
      <c r="E15236" s="330" t="s">
        <v>4634</v>
      </c>
      <c r="F15236" s="331">
        <v>0.21</v>
      </c>
      <c r="G15236" s="332">
        <v>372</v>
      </c>
      <c r="H15236" s="333">
        <v>451</v>
      </c>
    </row>
    <row r="15237" spans="1:8">
      <c r="A15237" s="317">
        <v>2917790174</v>
      </c>
      <c r="B15237" s="330" t="s">
        <v>59590</v>
      </c>
      <c r="C15237" s="330" t="s">
        <v>31628</v>
      </c>
      <c r="D15237" s="330" t="s">
        <v>31629</v>
      </c>
      <c r="E15237" s="330" t="s">
        <v>4819</v>
      </c>
      <c r="F15237" s="331">
        <v>0.21</v>
      </c>
      <c r="G15237" s="332">
        <v>1505</v>
      </c>
      <c r="H15237" s="333">
        <v>1822</v>
      </c>
    </row>
    <row r="15238" spans="1:8">
      <c r="A15238" s="317">
        <v>2917800032</v>
      </c>
      <c r="B15238" s="330" t="s">
        <v>59591</v>
      </c>
      <c r="C15238" s="330" t="s">
        <v>31630</v>
      </c>
      <c r="D15238" s="330" t="s">
        <v>31631</v>
      </c>
      <c r="E15238" s="330" t="s">
        <v>4634</v>
      </c>
      <c r="F15238" s="331">
        <v>0.21</v>
      </c>
      <c r="G15238" s="332">
        <v>274</v>
      </c>
      <c r="H15238" s="333">
        <v>332</v>
      </c>
    </row>
    <row r="15239" spans="1:8">
      <c r="A15239" s="317">
        <v>2917800053</v>
      </c>
      <c r="B15239" s="330" t="s">
        <v>59592</v>
      </c>
      <c r="C15239" s="330" t="s">
        <v>31632</v>
      </c>
      <c r="D15239" s="330" t="s">
        <v>31633</v>
      </c>
      <c r="E15239" s="330" t="s">
        <v>4634</v>
      </c>
      <c r="F15239" s="331">
        <v>0.21</v>
      </c>
      <c r="G15239" s="332">
        <v>236</v>
      </c>
      <c r="H15239" s="333">
        <v>286</v>
      </c>
    </row>
    <row r="15240" spans="1:8">
      <c r="A15240" s="317">
        <v>2917800253</v>
      </c>
      <c r="B15240" s="330" t="s">
        <v>59593</v>
      </c>
      <c r="C15240" s="330" t="s">
        <v>31634</v>
      </c>
      <c r="D15240" s="330" t="s">
        <v>31635</v>
      </c>
      <c r="E15240" s="330" t="s">
        <v>4819</v>
      </c>
      <c r="F15240" s="331">
        <v>0.21</v>
      </c>
      <c r="G15240" s="332">
        <v>1505</v>
      </c>
      <c r="H15240" s="333">
        <v>1822</v>
      </c>
    </row>
    <row r="15241" spans="1:8">
      <c r="A15241" s="317">
        <v>2917800303</v>
      </c>
      <c r="B15241" s="330" t="s">
        <v>59594</v>
      </c>
      <c r="C15241" s="330" t="s">
        <v>31636</v>
      </c>
      <c r="D15241" s="330" t="s">
        <v>31637</v>
      </c>
      <c r="E15241" s="330" t="s">
        <v>4634</v>
      </c>
      <c r="F15241" s="331">
        <v>0.21</v>
      </c>
      <c r="G15241" s="332">
        <v>274</v>
      </c>
      <c r="H15241" s="333">
        <v>332</v>
      </c>
    </row>
    <row r="15242" spans="1:8">
      <c r="A15242" s="317">
        <v>2917850055</v>
      </c>
      <c r="B15242" s="330" t="s">
        <v>59595</v>
      </c>
      <c r="C15242" s="330" t="s">
        <v>31638</v>
      </c>
      <c r="D15242" s="330" t="s">
        <v>31639</v>
      </c>
      <c r="E15242" s="330" t="s">
        <v>4634</v>
      </c>
      <c r="F15242" s="331">
        <v>0.21</v>
      </c>
      <c r="G15242" s="332">
        <v>309</v>
      </c>
      <c r="H15242" s="333">
        <v>374</v>
      </c>
    </row>
    <row r="15243" spans="1:8">
      <c r="A15243" s="317">
        <v>2917850080</v>
      </c>
      <c r="B15243" s="330" t="s">
        <v>59596</v>
      </c>
      <c r="C15243" s="330" t="s">
        <v>31640</v>
      </c>
      <c r="D15243" s="330" t="s">
        <v>6205</v>
      </c>
      <c r="E15243" s="330" t="s">
        <v>37248</v>
      </c>
      <c r="F15243" s="331">
        <v>0.21</v>
      </c>
      <c r="G15243" s="332">
        <v>240</v>
      </c>
      <c r="H15243" s="333">
        <v>291</v>
      </c>
    </row>
    <row r="15244" spans="1:8">
      <c r="A15244" s="317">
        <v>2917850119</v>
      </c>
      <c r="B15244" s="330" t="s">
        <v>59597</v>
      </c>
      <c r="C15244" s="330" t="s">
        <v>31641</v>
      </c>
      <c r="D15244" s="330" t="s">
        <v>31589</v>
      </c>
      <c r="E15244" s="330" t="s">
        <v>4634</v>
      </c>
      <c r="F15244" s="331">
        <v>0.21</v>
      </c>
      <c r="G15244" s="332">
        <v>180</v>
      </c>
      <c r="H15244" s="333">
        <v>218</v>
      </c>
    </row>
    <row r="15245" spans="1:8">
      <c r="A15245" s="317">
        <v>2918260150</v>
      </c>
      <c r="B15245" s="330" t="s">
        <v>59598</v>
      </c>
      <c r="C15245" s="330" t="s">
        <v>31642</v>
      </c>
      <c r="D15245" s="330" t="s">
        <v>31338</v>
      </c>
      <c r="E15245" s="330" t="s">
        <v>4634</v>
      </c>
      <c r="F15245" s="331">
        <v>0.21</v>
      </c>
      <c r="G15245" s="332">
        <v>180</v>
      </c>
      <c r="H15245" s="333">
        <v>218</v>
      </c>
    </row>
    <row r="15246" spans="1:8">
      <c r="A15246" s="317">
        <v>2918370504</v>
      </c>
      <c r="B15246" s="330" t="s">
        <v>59599</v>
      </c>
      <c r="C15246" s="330" t="s">
        <v>31643</v>
      </c>
      <c r="D15246" s="330" t="s">
        <v>31644</v>
      </c>
      <c r="E15246" s="330" t="s">
        <v>4634</v>
      </c>
      <c r="F15246" s="331">
        <v>0.21</v>
      </c>
      <c r="G15246" s="332">
        <v>412</v>
      </c>
      <c r="H15246" s="333">
        <v>499</v>
      </c>
    </row>
    <row r="15247" spans="1:8">
      <c r="A15247" s="317">
        <v>2918650007</v>
      </c>
      <c r="B15247" s="330" t="s">
        <v>59600</v>
      </c>
      <c r="C15247" s="330" t="s">
        <v>31645</v>
      </c>
      <c r="D15247" s="330" t="s">
        <v>31646</v>
      </c>
      <c r="E15247" s="330" t="s">
        <v>37248</v>
      </c>
      <c r="F15247" s="331">
        <v>0.21</v>
      </c>
      <c r="G15247" s="332">
        <v>435</v>
      </c>
      <c r="H15247" s="333">
        <v>527</v>
      </c>
    </row>
    <row r="15248" spans="1:8">
      <c r="A15248" s="317">
        <v>2918660002</v>
      </c>
      <c r="B15248" s="330" t="s">
        <v>59601</v>
      </c>
      <c r="C15248" s="330" t="s">
        <v>31647</v>
      </c>
      <c r="D15248" s="330" t="s">
        <v>12706</v>
      </c>
      <c r="E15248" s="330" t="s">
        <v>37248</v>
      </c>
      <c r="F15248" s="331">
        <v>0.21</v>
      </c>
      <c r="G15248" s="332">
        <v>305</v>
      </c>
      <c r="H15248" s="333">
        <v>370</v>
      </c>
    </row>
    <row r="15249" spans="1:8">
      <c r="A15249" s="317">
        <v>3130900020</v>
      </c>
      <c r="B15249" s="330" t="s">
        <v>59602</v>
      </c>
      <c r="C15249" s="330" t="s">
        <v>31648</v>
      </c>
      <c r="D15249" s="330" t="s">
        <v>31649</v>
      </c>
      <c r="E15249" s="330" t="s">
        <v>4634</v>
      </c>
      <c r="F15249" s="331">
        <v>0.21</v>
      </c>
      <c r="G15249" s="332">
        <v>1557</v>
      </c>
      <c r="H15249" s="333">
        <v>1884</v>
      </c>
    </row>
    <row r="15250" spans="1:8">
      <c r="A15250" s="317">
        <v>3600000006</v>
      </c>
      <c r="B15250" s="330" t="s">
        <v>59603</v>
      </c>
      <c r="C15250" s="330" t="s">
        <v>31650</v>
      </c>
      <c r="D15250" s="330" t="s">
        <v>31651</v>
      </c>
      <c r="E15250" s="330" t="s">
        <v>4634</v>
      </c>
      <c r="F15250" s="331">
        <v>0.21</v>
      </c>
      <c r="G15250" s="332">
        <v>29</v>
      </c>
      <c r="H15250" s="333">
        <v>36</v>
      </c>
    </row>
    <row r="15251" spans="1:8">
      <c r="A15251" s="317">
        <v>3600001000</v>
      </c>
      <c r="B15251" s="330" t="s">
        <v>59604</v>
      </c>
      <c r="C15251" s="330" t="s">
        <v>31652</v>
      </c>
      <c r="D15251" s="330" t="s">
        <v>31653</v>
      </c>
      <c r="E15251" s="330" t="s">
        <v>4634</v>
      </c>
      <c r="F15251" s="331">
        <v>0.21</v>
      </c>
      <c r="G15251" s="332">
        <v>570</v>
      </c>
      <c r="H15251" s="333">
        <v>690</v>
      </c>
    </row>
    <row r="15252" spans="1:8">
      <c r="A15252" s="317">
        <v>3600002000</v>
      </c>
      <c r="B15252" s="330" t="s">
        <v>59605</v>
      </c>
      <c r="C15252" s="330" t="s">
        <v>31654</v>
      </c>
      <c r="D15252" s="330" t="s">
        <v>31655</v>
      </c>
      <c r="E15252" s="330" t="s">
        <v>4634</v>
      </c>
      <c r="F15252" s="331">
        <v>0.21</v>
      </c>
      <c r="G15252" s="332">
        <v>584</v>
      </c>
      <c r="H15252" s="333">
        <v>707</v>
      </c>
    </row>
    <row r="15253" spans="1:8">
      <c r="A15253" s="317">
        <v>3600002005</v>
      </c>
      <c r="B15253" s="330" t="s">
        <v>59606</v>
      </c>
      <c r="C15253" s="330" t="s">
        <v>31656</v>
      </c>
      <c r="D15253" s="330" t="s">
        <v>31657</v>
      </c>
      <c r="E15253" s="330" t="s">
        <v>4634</v>
      </c>
      <c r="F15253" s="331">
        <v>0.21</v>
      </c>
      <c r="G15253" s="332">
        <v>570</v>
      </c>
      <c r="H15253" s="333">
        <v>690</v>
      </c>
    </row>
    <row r="15254" spans="1:8">
      <c r="A15254" s="317">
        <v>3600002006</v>
      </c>
      <c r="B15254" s="330" t="s">
        <v>59607</v>
      </c>
      <c r="C15254" s="330" t="s">
        <v>31658</v>
      </c>
      <c r="D15254" s="330" t="s">
        <v>31659</v>
      </c>
      <c r="E15254" s="330" t="s">
        <v>4634</v>
      </c>
      <c r="F15254" s="331">
        <v>0.21</v>
      </c>
      <c r="G15254" s="332">
        <v>711</v>
      </c>
      <c r="H15254" s="333">
        <v>861</v>
      </c>
    </row>
    <row r="15255" spans="1:8">
      <c r="A15255" s="317">
        <v>3600009001</v>
      </c>
      <c r="B15255" s="330" t="s">
        <v>59608</v>
      </c>
      <c r="C15255" s="330" t="s">
        <v>31660</v>
      </c>
      <c r="D15255" s="330" t="s">
        <v>31661</v>
      </c>
      <c r="E15255" s="330" t="s">
        <v>4634</v>
      </c>
      <c r="F15255" s="331">
        <v>0.21</v>
      </c>
      <c r="G15255" s="332">
        <v>580</v>
      </c>
      <c r="H15255" s="333">
        <v>702</v>
      </c>
    </row>
    <row r="15256" spans="1:8">
      <c r="A15256" s="317">
        <v>3600009002</v>
      </c>
      <c r="B15256" s="330" t="s">
        <v>59609</v>
      </c>
      <c r="C15256" s="330" t="s">
        <v>31662</v>
      </c>
      <c r="D15256" s="330" t="s">
        <v>31663</v>
      </c>
      <c r="E15256" s="330" t="s">
        <v>4634</v>
      </c>
      <c r="F15256" s="331">
        <v>0.21</v>
      </c>
      <c r="G15256" s="332">
        <v>377</v>
      </c>
      <c r="H15256" s="333">
        <v>457</v>
      </c>
    </row>
    <row r="15257" spans="1:8">
      <c r="A15257" s="317">
        <v>3600031002</v>
      </c>
      <c r="B15257" s="330" t="s">
        <v>59610</v>
      </c>
      <c r="C15257" s="330" t="s">
        <v>31664</v>
      </c>
      <c r="D15257" s="330" t="s">
        <v>31665</v>
      </c>
      <c r="E15257" s="330" t="s">
        <v>4634</v>
      </c>
      <c r="F15257" s="331">
        <v>0.21</v>
      </c>
      <c r="G15257" s="332">
        <v>13721</v>
      </c>
      <c r="H15257" s="333">
        <v>16603</v>
      </c>
    </row>
    <row r="15258" spans="1:8">
      <c r="A15258" s="317">
        <v>3600034504</v>
      </c>
      <c r="B15258" s="330" t="s">
        <v>59611</v>
      </c>
      <c r="C15258" s="330" t="s">
        <v>31666</v>
      </c>
      <c r="D15258" s="330" t="s">
        <v>31667</v>
      </c>
      <c r="E15258" s="330" t="s">
        <v>4634</v>
      </c>
      <c r="F15258" s="331">
        <v>0.21</v>
      </c>
      <c r="G15258" s="332">
        <v>678</v>
      </c>
      <c r="H15258" s="333">
        <v>821</v>
      </c>
    </row>
    <row r="15259" spans="1:8">
      <c r="A15259" s="317">
        <v>3600034505</v>
      </c>
      <c r="B15259" s="330" t="s">
        <v>59612</v>
      </c>
      <c r="C15259" s="330" t="s">
        <v>31668</v>
      </c>
      <c r="D15259" s="330" t="s">
        <v>31669</v>
      </c>
      <c r="E15259" s="330" t="s">
        <v>4634</v>
      </c>
      <c r="F15259" s="331">
        <v>0.21</v>
      </c>
      <c r="G15259" s="332">
        <v>584</v>
      </c>
      <c r="H15259" s="333">
        <v>707</v>
      </c>
    </row>
    <row r="15260" spans="1:8">
      <c r="A15260" s="317">
        <v>3600034506</v>
      </c>
      <c r="B15260" s="330" t="s">
        <v>59613</v>
      </c>
      <c r="C15260" s="330" t="s">
        <v>31670</v>
      </c>
      <c r="D15260" s="330" t="s">
        <v>31671</v>
      </c>
      <c r="E15260" s="330" t="s">
        <v>4634</v>
      </c>
      <c r="F15260" s="331">
        <v>0.21</v>
      </c>
      <c r="G15260" s="332">
        <v>648</v>
      </c>
      <c r="H15260" s="333">
        <v>785</v>
      </c>
    </row>
    <row r="15261" spans="1:8">
      <c r="A15261" s="317">
        <v>3600054004</v>
      </c>
      <c r="B15261" s="330" t="s">
        <v>59614</v>
      </c>
      <c r="C15261" s="330" t="s">
        <v>31672</v>
      </c>
      <c r="D15261" s="330" t="s">
        <v>31673</v>
      </c>
      <c r="E15261" s="330" t="s">
        <v>4634</v>
      </c>
      <c r="F15261" s="331">
        <v>0.21</v>
      </c>
      <c r="G15261" s="332">
        <v>455</v>
      </c>
      <c r="H15261" s="333">
        <v>551</v>
      </c>
    </row>
    <row r="15262" spans="1:8">
      <c r="A15262" s="317">
        <v>3600098001</v>
      </c>
      <c r="B15262" s="330" t="s">
        <v>59615</v>
      </c>
      <c r="C15262" s="330" t="s">
        <v>31674</v>
      </c>
      <c r="D15262" s="330" t="s">
        <v>31675</v>
      </c>
      <c r="E15262" s="330" t="s">
        <v>4634</v>
      </c>
      <c r="F15262" s="331">
        <v>0.21</v>
      </c>
      <c r="G15262" s="332">
        <v>2059</v>
      </c>
      <c r="H15262" s="333">
        <v>2492</v>
      </c>
    </row>
    <row r="15263" spans="1:8">
      <c r="A15263" s="317">
        <v>3600100002</v>
      </c>
      <c r="B15263" s="330" t="s">
        <v>59616</v>
      </c>
      <c r="C15263" s="330" t="s">
        <v>31676</v>
      </c>
      <c r="D15263" s="330" t="s">
        <v>31677</v>
      </c>
      <c r="E15263" s="330" t="s">
        <v>4634</v>
      </c>
      <c r="F15263" s="331">
        <v>0.21</v>
      </c>
      <c r="G15263" s="332">
        <v>372</v>
      </c>
      <c r="H15263" s="333">
        <v>451</v>
      </c>
    </row>
    <row r="15264" spans="1:8">
      <c r="A15264" s="317">
        <v>3600100015</v>
      </c>
      <c r="B15264" s="330" t="s">
        <v>59617</v>
      </c>
      <c r="C15264" s="330" t="s">
        <v>31678</v>
      </c>
      <c r="D15264" s="330" t="s">
        <v>31679</v>
      </c>
      <c r="E15264" s="330" t="s">
        <v>4634</v>
      </c>
      <c r="F15264" s="331">
        <v>0.21</v>
      </c>
      <c r="G15264" s="332">
        <v>387</v>
      </c>
      <c r="H15264" s="333">
        <v>469</v>
      </c>
    </row>
    <row r="15265" spans="1:8">
      <c r="A15265" s="317">
        <v>3600100031</v>
      </c>
      <c r="B15265" s="330" t="s">
        <v>59618</v>
      </c>
      <c r="C15265" s="330" t="s">
        <v>31680</v>
      </c>
      <c r="D15265" s="330" t="s">
        <v>21795</v>
      </c>
      <c r="E15265" s="330" t="s">
        <v>4634</v>
      </c>
      <c r="F15265" s="331">
        <v>0.21</v>
      </c>
      <c r="G15265" s="332">
        <v>1798</v>
      </c>
      <c r="H15265" s="333">
        <v>2176</v>
      </c>
    </row>
    <row r="15266" spans="1:8">
      <c r="A15266" s="317">
        <v>3600100043</v>
      </c>
      <c r="B15266" s="330" t="s">
        <v>59619</v>
      </c>
      <c r="C15266" s="330" t="s">
        <v>31681</v>
      </c>
      <c r="D15266" s="330" t="s">
        <v>31682</v>
      </c>
      <c r="E15266" s="330" t="s">
        <v>4634</v>
      </c>
      <c r="F15266" s="331">
        <v>0.21</v>
      </c>
      <c r="G15266" s="332">
        <v>711</v>
      </c>
      <c r="H15266" s="333">
        <v>861</v>
      </c>
    </row>
    <row r="15267" spans="1:8">
      <c r="A15267" s="317">
        <v>3600100044</v>
      </c>
      <c r="B15267" s="330" t="s">
        <v>59620</v>
      </c>
      <c r="C15267" s="330" t="s">
        <v>31683</v>
      </c>
      <c r="D15267" s="330" t="s">
        <v>31684</v>
      </c>
      <c r="E15267" s="330" t="s">
        <v>4634</v>
      </c>
      <c r="F15267" s="331">
        <v>0.21</v>
      </c>
      <c r="G15267" s="332">
        <v>432</v>
      </c>
      <c r="H15267" s="333">
        <v>523</v>
      </c>
    </row>
    <row r="15268" spans="1:8">
      <c r="A15268" s="317">
        <v>3600100045</v>
      </c>
      <c r="B15268" s="330" t="s">
        <v>59621</v>
      </c>
      <c r="C15268" s="330" t="s">
        <v>31685</v>
      </c>
      <c r="D15268" s="330" t="s">
        <v>31686</v>
      </c>
      <c r="E15268" s="330" t="s">
        <v>4634</v>
      </c>
      <c r="F15268" s="331">
        <v>0.21</v>
      </c>
      <c r="G15268" s="332">
        <v>673</v>
      </c>
      <c r="H15268" s="333">
        <v>815</v>
      </c>
    </row>
    <row r="15269" spans="1:8">
      <c r="A15269" s="317">
        <v>3600100048</v>
      </c>
      <c r="B15269" s="330" t="s">
        <v>59622</v>
      </c>
      <c r="C15269" s="330" t="s">
        <v>31687</v>
      </c>
      <c r="D15269" s="330" t="s">
        <v>31688</v>
      </c>
      <c r="E15269" s="330" t="s">
        <v>4634</v>
      </c>
      <c r="F15269" s="331">
        <v>0.21</v>
      </c>
      <c r="G15269" s="332">
        <v>377</v>
      </c>
      <c r="H15269" s="333">
        <v>457</v>
      </c>
    </row>
    <row r="15270" spans="1:8">
      <c r="A15270" s="317">
        <v>3600100049</v>
      </c>
      <c r="B15270" s="330" t="s">
        <v>59623</v>
      </c>
      <c r="C15270" s="330" t="s">
        <v>31689</v>
      </c>
      <c r="D15270" s="330" t="s">
        <v>31688</v>
      </c>
      <c r="E15270" s="330" t="s">
        <v>4819</v>
      </c>
      <c r="F15270" s="331">
        <v>0.21</v>
      </c>
      <c r="G15270" s="332">
        <v>3031</v>
      </c>
      <c r="H15270" s="333">
        <v>3668</v>
      </c>
    </row>
    <row r="15271" spans="1:8">
      <c r="A15271" s="317">
        <v>3600100062</v>
      </c>
      <c r="B15271" s="330" t="s">
        <v>59624</v>
      </c>
      <c r="C15271" s="330" t="s">
        <v>31690</v>
      </c>
      <c r="D15271" s="330" t="s">
        <v>6257</v>
      </c>
      <c r="E15271" s="330" t="s">
        <v>4634</v>
      </c>
      <c r="F15271" s="331">
        <v>0.21</v>
      </c>
      <c r="G15271" s="332">
        <v>648</v>
      </c>
      <c r="H15271" s="333">
        <v>785</v>
      </c>
    </row>
    <row r="15272" spans="1:8">
      <c r="A15272" s="317">
        <v>3600100076</v>
      </c>
      <c r="B15272" s="330" t="s">
        <v>59625</v>
      </c>
      <c r="C15272" s="330" t="s">
        <v>31691</v>
      </c>
      <c r="D15272" s="330" t="s">
        <v>6236</v>
      </c>
      <c r="E15272" s="330" t="s">
        <v>4634</v>
      </c>
      <c r="F15272" s="331">
        <v>0.21</v>
      </c>
      <c r="G15272" s="332">
        <v>2212</v>
      </c>
      <c r="H15272" s="333">
        <v>2677</v>
      </c>
    </row>
    <row r="15273" spans="1:8">
      <c r="A15273" s="317">
        <v>3600100077</v>
      </c>
      <c r="B15273" s="330" t="s">
        <v>59626</v>
      </c>
      <c r="C15273" s="330" t="s">
        <v>31692</v>
      </c>
      <c r="D15273" s="330" t="s">
        <v>6236</v>
      </c>
      <c r="E15273" s="330" t="s">
        <v>4634</v>
      </c>
      <c r="F15273" s="331">
        <v>0.21</v>
      </c>
      <c r="G15273" s="332">
        <v>2491</v>
      </c>
      <c r="H15273" s="333">
        <v>3015</v>
      </c>
    </row>
    <row r="15274" spans="1:8">
      <c r="A15274" s="317">
        <v>3600100098</v>
      </c>
      <c r="B15274" s="330" t="s">
        <v>59627</v>
      </c>
      <c r="C15274" s="330" t="s">
        <v>31693</v>
      </c>
      <c r="D15274" s="330" t="s">
        <v>31694</v>
      </c>
      <c r="E15274" s="330" t="s">
        <v>37248</v>
      </c>
      <c r="F15274" s="331">
        <v>0.21</v>
      </c>
      <c r="G15274" s="332">
        <v>194</v>
      </c>
      <c r="H15274" s="333">
        <v>235</v>
      </c>
    </row>
    <row r="15275" spans="1:8">
      <c r="A15275" s="317">
        <v>3600100099</v>
      </c>
      <c r="B15275" s="330" t="s">
        <v>59628</v>
      </c>
      <c r="C15275" s="330" t="s">
        <v>31695</v>
      </c>
      <c r="D15275" s="330" t="s">
        <v>6332</v>
      </c>
      <c r="E15275" s="330" t="s">
        <v>4819</v>
      </c>
      <c r="F15275" s="331">
        <v>0.21</v>
      </c>
      <c r="G15275" s="332">
        <v>6562</v>
      </c>
      <c r="H15275" s="333">
        <v>7941</v>
      </c>
    </row>
    <row r="15276" spans="1:8">
      <c r="A15276" s="317">
        <v>3600100527</v>
      </c>
      <c r="B15276" s="330" t="s">
        <v>59629</v>
      </c>
      <c r="C15276" s="330" t="s">
        <v>31696</v>
      </c>
      <c r="D15276" s="330" t="s">
        <v>12706</v>
      </c>
      <c r="E15276" s="330" t="s">
        <v>4634</v>
      </c>
      <c r="F15276" s="331">
        <v>0.21</v>
      </c>
      <c r="G15276" s="332">
        <v>678</v>
      </c>
      <c r="H15276" s="333">
        <v>821</v>
      </c>
    </row>
    <row r="15277" spans="1:8">
      <c r="A15277" s="317">
        <v>3600100528</v>
      </c>
      <c r="B15277" s="330" t="s">
        <v>59630</v>
      </c>
      <c r="C15277" s="330" t="s">
        <v>31697</v>
      </c>
      <c r="D15277" s="330" t="s">
        <v>31698</v>
      </c>
      <c r="E15277" s="330" t="s">
        <v>4634</v>
      </c>
      <c r="F15277" s="331">
        <v>0.21</v>
      </c>
      <c r="G15277" s="332">
        <v>455</v>
      </c>
      <c r="H15277" s="333">
        <v>551</v>
      </c>
    </row>
    <row r="15278" spans="1:8">
      <c r="A15278" s="317">
        <v>3600101001</v>
      </c>
      <c r="B15278" s="330" t="s">
        <v>59631</v>
      </c>
      <c r="C15278" s="330" t="s">
        <v>31699</v>
      </c>
      <c r="D15278" s="330" t="s">
        <v>31700</v>
      </c>
      <c r="E15278" s="330" t="s">
        <v>4634</v>
      </c>
      <c r="F15278" s="331">
        <v>0.21</v>
      </c>
      <c r="G15278" s="332">
        <v>490</v>
      </c>
      <c r="H15278" s="333">
        <v>593</v>
      </c>
    </row>
    <row r="15279" spans="1:8">
      <c r="A15279" s="317">
        <v>3600101002</v>
      </c>
      <c r="B15279" s="330" t="s">
        <v>59632</v>
      </c>
      <c r="C15279" s="330" t="s">
        <v>31701</v>
      </c>
      <c r="D15279" s="330" t="s">
        <v>31702</v>
      </c>
      <c r="E15279" s="330" t="s">
        <v>4634</v>
      </c>
      <c r="F15279" s="331">
        <v>0.21</v>
      </c>
      <c r="G15279" s="332">
        <v>412</v>
      </c>
      <c r="H15279" s="333">
        <v>499</v>
      </c>
    </row>
    <row r="15280" spans="1:8">
      <c r="A15280" s="317">
        <v>3600101004</v>
      </c>
      <c r="B15280" s="330" t="s">
        <v>59633</v>
      </c>
      <c r="C15280" s="330" t="s">
        <v>31703</v>
      </c>
      <c r="D15280" s="330" t="s">
        <v>31704</v>
      </c>
      <c r="E15280" s="330" t="s">
        <v>4634</v>
      </c>
      <c r="F15280" s="331">
        <v>0.21</v>
      </c>
      <c r="G15280" s="332">
        <v>490</v>
      </c>
      <c r="H15280" s="333">
        <v>593</v>
      </c>
    </row>
    <row r="15281" spans="1:8">
      <c r="A15281" s="317">
        <v>3600101007</v>
      </c>
      <c r="B15281" s="330" t="s">
        <v>59634</v>
      </c>
      <c r="C15281" s="330" t="s">
        <v>31705</v>
      </c>
      <c r="D15281" s="330" t="s">
        <v>31706</v>
      </c>
      <c r="E15281" s="330" t="s">
        <v>4634</v>
      </c>
      <c r="F15281" s="331">
        <v>0.21</v>
      </c>
      <c r="G15281" s="332">
        <v>392</v>
      </c>
      <c r="H15281" s="333">
        <v>475</v>
      </c>
    </row>
    <row r="15282" spans="1:8">
      <c r="A15282" s="317">
        <v>3600101008</v>
      </c>
      <c r="B15282" s="330" t="s">
        <v>59635</v>
      </c>
      <c r="C15282" s="330" t="s">
        <v>31707</v>
      </c>
      <c r="D15282" s="330" t="s">
        <v>31708</v>
      </c>
      <c r="E15282" s="330" t="s">
        <v>4634</v>
      </c>
      <c r="F15282" s="331">
        <v>0.21</v>
      </c>
      <c r="G15282" s="332">
        <v>309</v>
      </c>
      <c r="H15282" s="333">
        <v>374</v>
      </c>
    </row>
    <row r="15283" spans="1:8">
      <c r="A15283" s="317">
        <v>3600101015</v>
      </c>
      <c r="B15283" s="330" t="s">
        <v>59636</v>
      </c>
      <c r="C15283" s="330" t="s">
        <v>31709</v>
      </c>
      <c r="D15283" s="330" t="s">
        <v>31710</v>
      </c>
      <c r="E15283" s="330" t="s">
        <v>4819</v>
      </c>
      <c r="F15283" s="331">
        <v>0.21</v>
      </c>
      <c r="G15283" s="332">
        <v>5597</v>
      </c>
      <c r="H15283" s="333">
        <v>6773</v>
      </c>
    </row>
    <row r="15284" spans="1:8">
      <c r="A15284" s="317">
        <v>3600101036</v>
      </c>
      <c r="B15284" s="330" t="s">
        <v>59637</v>
      </c>
      <c r="C15284" s="330" t="s">
        <v>31711</v>
      </c>
      <c r="D15284" s="330" t="s">
        <v>31712</v>
      </c>
      <c r="E15284" s="330" t="s">
        <v>4634</v>
      </c>
      <c r="F15284" s="331">
        <v>0.21</v>
      </c>
      <c r="G15284" s="332">
        <v>928</v>
      </c>
      <c r="H15284" s="333">
        <v>1123</v>
      </c>
    </row>
    <row r="15285" spans="1:8">
      <c r="A15285" s="317">
        <v>3600101039</v>
      </c>
      <c r="B15285" s="330" t="s">
        <v>59638</v>
      </c>
      <c r="C15285" s="330" t="s">
        <v>31713</v>
      </c>
      <c r="D15285" s="330" t="s">
        <v>31714</v>
      </c>
      <c r="E15285" s="330" t="s">
        <v>4634</v>
      </c>
      <c r="F15285" s="331">
        <v>0.21</v>
      </c>
      <c r="G15285" s="332">
        <v>455</v>
      </c>
      <c r="H15285" s="333">
        <v>551</v>
      </c>
    </row>
    <row r="15286" spans="1:8">
      <c r="A15286" s="317">
        <v>3600101052</v>
      </c>
      <c r="B15286" s="330" t="s">
        <v>59639</v>
      </c>
      <c r="C15286" s="330" t="s">
        <v>31715</v>
      </c>
      <c r="D15286" s="330" t="s">
        <v>31716</v>
      </c>
      <c r="E15286" s="330" t="s">
        <v>4634</v>
      </c>
      <c r="F15286" s="331">
        <v>0.21</v>
      </c>
      <c r="G15286" s="332">
        <v>1692</v>
      </c>
      <c r="H15286" s="333">
        <v>2048</v>
      </c>
    </row>
    <row r="15287" spans="1:8">
      <c r="A15287" s="317">
        <v>3600101055</v>
      </c>
      <c r="B15287" s="330" t="s">
        <v>59640</v>
      </c>
      <c r="C15287" s="330" t="s">
        <v>31717</v>
      </c>
      <c r="D15287" s="330" t="s">
        <v>31718</v>
      </c>
      <c r="E15287" s="330" t="s">
        <v>4819</v>
      </c>
      <c r="F15287" s="331">
        <v>0.21</v>
      </c>
      <c r="G15287" s="332">
        <v>4169</v>
      </c>
      <c r="H15287" s="333">
        <v>5045</v>
      </c>
    </row>
    <row r="15288" spans="1:8">
      <c r="A15288" s="317">
        <v>3600101501</v>
      </c>
      <c r="B15288" s="330" t="s">
        <v>59641</v>
      </c>
      <c r="C15288" s="330" t="s">
        <v>31719</v>
      </c>
      <c r="D15288" s="330" t="s">
        <v>31720</v>
      </c>
      <c r="E15288" s="330" t="s">
        <v>4634</v>
      </c>
      <c r="F15288" s="331">
        <v>0.21</v>
      </c>
      <c r="G15288" s="332">
        <v>584</v>
      </c>
      <c r="H15288" s="333">
        <v>707</v>
      </c>
    </row>
    <row r="15289" spans="1:8">
      <c r="A15289" s="317">
        <v>3600102005</v>
      </c>
      <c r="B15289" s="330" t="s">
        <v>59642</v>
      </c>
      <c r="C15289" s="330" t="s">
        <v>31721</v>
      </c>
      <c r="D15289" s="330" t="s">
        <v>31722</v>
      </c>
      <c r="E15289" s="330" t="s">
        <v>4634</v>
      </c>
      <c r="F15289" s="331">
        <v>0.21</v>
      </c>
      <c r="G15289" s="332">
        <v>711</v>
      </c>
      <c r="H15289" s="333">
        <v>861</v>
      </c>
    </row>
    <row r="15290" spans="1:8">
      <c r="A15290" s="317">
        <v>3600102006</v>
      </c>
      <c r="B15290" s="330" t="s">
        <v>59643</v>
      </c>
      <c r="C15290" s="330" t="s">
        <v>31723</v>
      </c>
      <c r="D15290" s="330" t="s">
        <v>31722</v>
      </c>
      <c r="E15290" s="330" t="s">
        <v>4634</v>
      </c>
      <c r="F15290" s="331">
        <v>0.21</v>
      </c>
      <c r="G15290" s="332">
        <v>490</v>
      </c>
      <c r="H15290" s="333">
        <v>593</v>
      </c>
    </row>
    <row r="15291" spans="1:8">
      <c r="A15291" s="317">
        <v>3600102010</v>
      </c>
      <c r="B15291" s="330" t="s">
        <v>59644</v>
      </c>
      <c r="C15291" s="330" t="s">
        <v>31724</v>
      </c>
      <c r="D15291" s="330" t="s">
        <v>6257</v>
      </c>
      <c r="E15291" s="330" t="s">
        <v>4819</v>
      </c>
      <c r="F15291" s="331">
        <v>0.21</v>
      </c>
      <c r="G15291" s="332">
        <v>1025</v>
      </c>
      <c r="H15291" s="333">
        <v>1241</v>
      </c>
    </row>
    <row r="15292" spans="1:8">
      <c r="A15292" s="317">
        <v>3600102012</v>
      </c>
      <c r="B15292" s="330" t="s">
        <v>59645</v>
      </c>
      <c r="C15292" s="330" t="s">
        <v>31725</v>
      </c>
      <c r="D15292" s="330" t="s">
        <v>6257</v>
      </c>
      <c r="E15292" s="330" t="s">
        <v>4819</v>
      </c>
      <c r="F15292" s="331">
        <v>0.21</v>
      </c>
      <c r="G15292" s="332">
        <v>1025</v>
      </c>
      <c r="H15292" s="333">
        <v>1241</v>
      </c>
    </row>
    <row r="15293" spans="1:8">
      <c r="A15293" s="317">
        <v>3600102018</v>
      </c>
      <c r="B15293" s="330" t="s">
        <v>59646</v>
      </c>
      <c r="C15293" s="330" t="s">
        <v>31726</v>
      </c>
      <c r="D15293" s="330" t="s">
        <v>31727</v>
      </c>
      <c r="E15293" s="330" t="s">
        <v>4634</v>
      </c>
      <c r="F15293" s="331">
        <v>0.21</v>
      </c>
      <c r="G15293" s="332">
        <v>1086</v>
      </c>
      <c r="H15293" s="333">
        <v>1315</v>
      </c>
    </row>
    <row r="15294" spans="1:8">
      <c r="A15294" s="317">
        <v>3600102049</v>
      </c>
      <c r="B15294" s="330" t="s">
        <v>59647</v>
      </c>
      <c r="C15294" s="330" t="s">
        <v>31728</v>
      </c>
      <c r="D15294" s="330" t="s">
        <v>6257</v>
      </c>
      <c r="E15294" s="330" t="s">
        <v>37248</v>
      </c>
      <c r="F15294" s="331">
        <v>0.21</v>
      </c>
      <c r="G15294" s="332">
        <v>515</v>
      </c>
      <c r="H15294" s="333">
        <v>624</v>
      </c>
    </row>
    <row r="15295" spans="1:8">
      <c r="A15295" s="317">
        <v>3600103018</v>
      </c>
      <c r="B15295" s="330" t="s">
        <v>59648</v>
      </c>
      <c r="C15295" s="330" t="s">
        <v>31729</v>
      </c>
      <c r="D15295" s="330" t="s">
        <v>31730</v>
      </c>
      <c r="E15295" s="330" t="s">
        <v>4634</v>
      </c>
      <c r="F15295" s="331">
        <v>0.21</v>
      </c>
      <c r="G15295" s="332">
        <v>1030</v>
      </c>
      <c r="H15295" s="333">
        <v>1247</v>
      </c>
    </row>
    <row r="15296" spans="1:8">
      <c r="A15296" s="317">
        <v>3600103020</v>
      </c>
      <c r="B15296" s="330" t="s">
        <v>59649</v>
      </c>
      <c r="C15296" s="330" t="s">
        <v>31731</v>
      </c>
      <c r="D15296" s="330" t="s">
        <v>31732</v>
      </c>
      <c r="E15296" s="330" t="s">
        <v>4819</v>
      </c>
      <c r="F15296" s="331">
        <v>0.21</v>
      </c>
      <c r="G15296" s="332">
        <v>3167</v>
      </c>
      <c r="H15296" s="333">
        <v>3833</v>
      </c>
    </row>
    <row r="15297" spans="1:8">
      <c r="A15297" s="317">
        <v>3600105001</v>
      </c>
      <c r="B15297" s="330" t="s">
        <v>59650</v>
      </c>
      <c r="C15297" s="330" t="s">
        <v>31733</v>
      </c>
      <c r="D15297" s="330" t="s">
        <v>31734</v>
      </c>
      <c r="E15297" s="330" t="s">
        <v>4634</v>
      </c>
      <c r="F15297" s="331">
        <v>0.21</v>
      </c>
      <c r="G15297" s="332">
        <v>309</v>
      </c>
      <c r="H15297" s="333">
        <v>374</v>
      </c>
    </row>
    <row r="15298" spans="1:8">
      <c r="A15298" s="317">
        <v>3600105002</v>
      </c>
      <c r="B15298" s="330" t="s">
        <v>59651</v>
      </c>
      <c r="C15298" s="330" t="s">
        <v>31735</v>
      </c>
      <c r="D15298" s="330" t="s">
        <v>31736</v>
      </c>
      <c r="E15298" s="330" t="s">
        <v>4634</v>
      </c>
      <c r="F15298" s="331">
        <v>0.21</v>
      </c>
      <c r="G15298" s="332">
        <v>2123</v>
      </c>
      <c r="H15298" s="333">
        <v>2569</v>
      </c>
    </row>
    <row r="15299" spans="1:8">
      <c r="A15299" s="317">
        <v>3600105009</v>
      </c>
      <c r="B15299" s="330" t="s">
        <v>59652</v>
      </c>
      <c r="C15299" s="330" t="s">
        <v>31737</v>
      </c>
      <c r="D15299" s="330" t="s">
        <v>31738</v>
      </c>
      <c r="E15299" s="330" t="s">
        <v>4634</v>
      </c>
      <c r="F15299" s="331">
        <v>0.21</v>
      </c>
      <c r="G15299" s="332">
        <v>1474</v>
      </c>
      <c r="H15299" s="333">
        <v>1784</v>
      </c>
    </row>
    <row r="15300" spans="1:8">
      <c r="A15300" s="317">
        <v>3600105011</v>
      </c>
      <c r="B15300" s="330" t="s">
        <v>59653</v>
      </c>
      <c r="C15300" s="330" t="s">
        <v>31739</v>
      </c>
      <c r="D15300" s="330" t="s">
        <v>31740</v>
      </c>
      <c r="E15300" s="330" t="s">
        <v>4634</v>
      </c>
      <c r="F15300" s="331">
        <v>0.21</v>
      </c>
      <c r="G15300" s="332">
        <v>3421</v>
      </c>
      <c r="H15300" s="333">
        <v>4140</v>
      </c>
    </row>
    <row r="15301" spans="1:8">
      <c r="A15301" s="317">
        <v>3600106003</v>
      </c>
      <c r="B15301" s="330" t="s">
        <v>59654</v>
      </c>
      <c r="C15301" s="330" t="s">
        <v>31741</v>
      </c>
      <c r="D15301" s="330" t="s">
        <v>31742</v>
      </c>
      <c r="E15301" s="330" t="s">
        <v>4634</v>
      </c>
      <c r="F15301" s="331">
        <v>0.21</v>
      </c>
      <c r="G15301" s="332">
        <v>678</v>
      </c>
      <c r="H15301" s="333">
        <v>821</v>
      </c>
    </row>
    <row r="15302" spans="1:8">
      <c r="A15302" s="317">
        <v>3600106010</v>
      </c>
      <c r="B15302" s="330" t="s">
        <v>59655</v>
      </c>
      <c r="C15302" s="330" t="s">
        <v>31743</v>
      </c>
      <c r="D15302" s="330" t="s">
        <v>10501</v>
      </c>
      <c r="E15302" s="330" t="s">
        <v>4634</v>
      </c>
      <c r="F15302" s="331">
        <v>0.21</v>
      </c>
      <c r="G15302" s="332">
        <v>1844</v>
      </c>
      <c r="H15302" s="333">
        <v>2232</v>
      </c>
    </row>
    <row r="15303" spans="1:8">
      <c r="A15303" s="317">
        <v>3600106011</v>
      </c>
      <c r="B15303" s="330" t="s">
        <v>59656</v>
      </c>
      <c r="C15303" s="330" t="s">
        <v>31744</v>
      </c>
      <c r="D15303" s="330" t="s">
        <v>31745</v>
      </c>
      <c r="E15303" s="330" t="s">
        <v>4634</v>
      </c>
      <c r="F15303" s="331">
        <v>0.21</v>
      </c>
      <c r="G15303" s="332">
        <v>1844</v>
      </c>
      <c r="H15303" s="333">
        <v>2232</v>
      </c>
    </row>
    <row r="15304" spans="1:8">
      <c r="A15304" s="317">
        <v>3600106012</v>
      </c>
      <c r="B15304" s="330" t="s">
        <v>59657</v>
      </c>
      <c r="C15304" s="330" t="s">
        <v>31746</v>
      </c>
      <c r="D15304" s="330" t="s">
        <v>31747</v>
      </c>
      <c r="E15304" s="330" t="s">
        <v>4634</v>
      </c>
      <c r="F15304" s="331">
        <v>0.21</v>
      </c>
      <c r="G15304" s="332">
        <v>5652</v>
      </c>
      <c r="H15304" s="333">
        <v>6839</v>
      </c>
    </row>
    <row r="15305" spans="1:8">
      <c r="A15305" s="317">
        <v>3600106013</v>
      </c>
      <c r="B15305" s="330" t="s">
        <v>59658</v>
      </c>
      <c r="C15305" s="330" t="s">
        <v>31748</v>
      </c>
      <c r="D15305" s="330" t="s">
        <v>31749</v>
      </c>
      <c r="E15305" s="330" t="s">
        <v>4634</v>
      </c>
      <c r="F15305" s="331">
        <v>0.21</v>
      </c>
      <c r="G15305" s="332">
        <v>4472</v>
      </c>
      <c r="H15305" s="333">
        <v>5412</v>
      </c>
    </row>
    <row r="15306" spans="1:8">
      <c r="A15306" s="317">
        <v>3600106014</v>
      </c>
      <c r="B15306" s="330" t="s">
        <v>59659</v>
      </c>
      <c r="C15306" s="330" t="s">
        <v>31750</v>
      </c>
      <c r="D15306" s="330" t="s">
        <v>31751</v>
      </c>
      <c r="E15306" s="330" t="s">
        <v>4634</v>
      </c>
      <c r="F15306" s="331">
        <v>0.21</v>
      </c>
      <c r="G15306" s="332">
        <v>5652</v>
      </c>
      <c r="H15306" s="333">
        <v>6839</v>
      </c>
    </row>
    <row r="15307" spans="1:8">
      <c r="A15307" s="317">
        <v>3600106015</v>
      </c>
      <c r="B15307" s="330" t="s">
        <v>59660</v>
      </c>
      <c r="C15307" s="330" t="s">
        <v>31752</v>
      </c>
      <c r="D15307" s="330" t="s">
        <v>31753</v>
      </c>
      <c r="E15307" s="330" t="s">
        <v>4634</v>
      </c>
      <c r="F15307" s="331">
        <v>0.21</v>
      </c>
      <c r="G15307" s="332">
        <v>6553</v>
      </c>
      <c r="H15307" s="333">
        <v>7930</v>
      </c>
    </row>
    <row r="15308" spans="1:8">
      <c r="A15308" s="317">
        <v>3600106017</v>
      </c>
      <c r="B15308" s="330" t="s">
        <v>59661</v>
      </c>
      <c r="C15308" s="330" t="s">
        <v>31754</v>
      </c>
      <c r="D15308" s="330" t="s">
        <v>31755</v>
      </c>
      <c r="E15308" s="330" t="s">
        <v>4634</v>
      </c>
      <c r="F15308" s="331">
        <v>0.21</v>
      </c>
      <c r="G15308" s="332">
        <v>5652</v>
      </c>
      <c r="H15308" s="333">
        <v>6839</v>
      </c>
    </row>
    <row r="15309" spans="1:8">
      <c r="A15309" s="317">
        <v>3600106020</v>
      </c>
      <c r="B15309" s="330" t="s">
        <v>59662</v>
      </c>
      <c r="C15309" s="330" t="s">
        <v>31756</v>
      </c>
      <c r="D15309" s="330" t="s">
        <v>31757</v>
      </c>
      <c r="E15309" s="330" t="s">
        <v>37248</v>
      </c>
      <c r="F15309" s="331">
        <v>0.21</v>
      </c>
      <c r="G15309" s="332">
        <v>3031</v>
      </c>
      <c r="H15309" s="333">
        <v>3668</v>
      </c>
    </row>
    <row r="15310" spans="1:8">
      <c r="A15310" s="317">
        <v>3600106021</v>
      </c>
      <c r="B15310" s="330" t="s">
        <v>59663</v>
      </c>
      <c r="C15310" s="330" t="s">
        <v>31758</v>
      </c>
      <c r="D15310" s="330" t="s">
        <v>31759</v>
      </c>
      <c r="E15310" s="330" t="s">
        <v>4634</v>
      </c>
      <c r="F15310" s="331">
        <v>0.21</v>
      </c>
      <c r="G15310" s="332">
        <v>570</v>
      </c>
      <c r="H15310" s="333">
        <v>690</v>
      </c>
    </row>
    <row r="15311" spans="1:8">
      <c r="A15311" s="317">
        <v>3600106022</v>
      </c>
      <c r="B15311" s="330" t="s">
        <v>59664</v>
      </c>
      <c r="C15311" s="330" t="s">
        <v>31760</v>
      </c>
      <c r="D15311" s="330" t="s">
        <v>31759</v>
      </c>
      <c r="E15311" s="330" t="s">
        <v>4819</v>
      </c>
      <c r="F15311" s="331">
        <v>0.21</v>
      </c>
      <c r="G15311" s="332">
        <v>1701</v>
      </c>
      <c r="H15311" s="333">
        <v>2059</v>
      </c>
    </row>
    <row r="15312" spans="1:8">
      <c r="A15312" s="317">
        <v>3600106023</v>
      </c>
      <c r="B15312" s="330" t="s">
        <v>59665</v>
      </c>
      <c r="C15312" s="330" t="s">
        <v>31761</v>
      </c>
      <c r="D15312" s="330" t="s">
        <v>31759</v>
      </c>
      <c r="E15312" s="330" t="s">
        <v>4634</v>
      </c>
      <c r="F15312" s="331">
        <v>0.21</v>
      </c>
      <c r="G15312" s="332">
        <v>570</v>
      </c>
      <c r="H15312" s="333">
        <v>690</v>
      </c>
    </row>
    <row r="15313" spans="1:8">
      <c r="A15313" s="317">
        <v>3600106025</v>
      </c>
      <c r="B15313" s="330" t="s">
        <v>59666</v>
      </c>
      <c r="C15313" s="330" t="s">
        <v>31762</v>
      </c>
      <c r="D15313" s="330" t="s">
        <v>31763</v>
      </c>
      <c r="E15313" s="330" t="s">
        <v>4634</v>
      </c>
      <c r="F15313" s="331">
        <v>0.21</v>
      </c>
      <c r="G15313" s="332">
        <v>711</v>
      </c>
      <c r="H15313" s="333">
        <v>861</v>
      </c>
    </row>
    <row r="15314" spans="1:8">
      <c r="A15314" s="317">
        <v>3600106027</v>
      </c>
      <c r="B15314" s="330" t="s">
        <v>59667</v>
      </c>
      <c r="C15314" s="330" t="s">
        <v>31764</v>
      </c>
      <c r="D15314" s="330" t="s">
        <v>31765</v>
      </c>
      <c r="E15314" s="330" t="s">
        <v>4819</v>
      </c>
      <c r="F15314" s="331">
        <v>0.21</v>
      </c>
      <c r="G15314" s="332">
        <v>10243</v>
      </c>
      <c r="H15314" s="333">
        <v>12395</v>
      </c>
    </row>
    <row r="15315" spans="1:8">
      <c r="A15315" s="317">
        <v>3600106028</v>
      </c>
      <c r="B15315" s="330" t="s">
        <v>59668</v>
      </c>
      <c r="C15315" s="330" t="s">
        <v>31766</v>
      </c>
      <c r="D15315" s="330" t="s">
        <v>31765</v>
      </c>
      <c r="E15315" s="330" t="s">
        <v>4634</v>
      </c>
      <c r="F15315" s="331">
        <v>0.21</v>
      </c>
      <c r="G15315" s="332">
        <v>4472</v>
      </c>
      <c r="H15315" s="333">
        <v>5412</v>
      </c>
    </row>
    <row r="15316" spans="1:8">
      <c r="A15316" s="317">
        <v>3600106029</v>
      </c>
      <c r="B15316" s="330" t="s">
        <v>59669</v>
      </c>
      <c r="C15316" s="330" t="s">
        <v>31767</v>
      </c>
      <c r="D15316" s="330" t="s">
        <v>31765</v>
      </c>
      <c r="E15316" s="330" t="s">
        <v>4634</v>
      </c>
      <c r="F15316" s="331">
        <v>0.21</v>
      </c>
      <c r="G15316" s="332">
        <v>5081</v>
      </c>
      <c r="H15316" s="333">
        <v>6149</v>
      </c>
    </row>
    <row r="15317" spans="1:8">
      <c r="A15317" s="317">
        <v>3600106030</v>
      </c>
      <c r="B15317" s="330" t="s">
        <v>59670</v>
      </c>
      <c r="C15317" s="330" t="s">
        <v>31768</v>
      </c>
      <c r="D15317" s="330" t="s">
        <v>31765</v>
      </c>
      <c r="E15317" s="330" t="s">
        <v>4634</v>
      </c>
      <c r="F15317" s="331">
        <v>0.21</v>
      </c>
      <c r="G15317" s="332">
        <v>5081</v>
      </c>
      <c r="H15317" s="333">
        <v>6149</v>
      </c>
    </row>
    <row r="15318" spans="1:8">
      <c r="A15318" s="317">
        <v>3600106031</v>
      </c>
      <c r="B15318" s="330" t="s">
        <v>59671</v>
      </c>
      <c r="C15318" s="330" t="s">
        <v>31769</v>
      </c>
      <c r="D15318" s="330" t="s">
        <v>31765</v>
      </c>
      <c r="E15318" s="330" t="s">
        <v>4634</v>
      </c>
      <c r="F15318" s="331">
        <v>0.21</v>
      </c>
      <c r="G15318" s="332">
        <v>3582</v>
      </c>
      <c r="H15318" s="333">
        <v>4335</v>
      </c>
    </row>
    <row r="15319" spans="1:8">
      <c r="A15319" s="317">
        <v>3600106032</v>
      </c>
      <c r="B15319" s="330" t="s">
        <v>59672</v>
      </c>
      <c r="C15319" s="330" t="s">
        <v>31770</v>
      </c>
      <c r="D15319" s="330" t="s">
        <v>31765</v>
      </c>
      <c r="E15319" s="330" t="s">
        <v>4634</v>
      </c>
      <c r="F15319" s="331">
        <v>0.21</v>
      </c>
      <c r="G15319" s="332">
        <v>5081</v>
      </c>
      <c r="H15319" s="333">
        <v>6149</v>
      </c>
    </row>
    <row r="15320" spans="1:8">
      <c r="A15320" s="317">
        <v>3600106033</v>
      </c>
      <c r="B15320" s="330" t="s">
        <v>59673</v>
      </c>
      <c r="C15320" s="330" t="s">
        <v>31771</v>
      </c>
      <c r="D15320" s="330" t="s">
        <v>31765</v>
      </c>
      <c r="E15320" s="330" t="s">
        <v>4634</v>
      </c>
      <c r="F15320" s="331">
        <v>0.21</v>
      </c>
      <c r="G15320" s="332">
        <v>2766</v>
      </c>
      <c r="H15320" s="333">
        <v>3347</v>
      </c>
    </row>
    <row r="15321" spans="1:8">
      <c r="A15321" s="317">
        <v>3600109002</v>
      </c>
      <c r="B15321" s="330" t="s">
        <v>59674</v>
      </c>
      <c r="C15321" s="330" t="s">
        <v>31772</v>
      </c>
      <c r="D15321" s="330" t="s">
        <v>31773</v>
      </c>
      <c r="E15321" s="330" t="s">
        <v>4634</v>
      </c>
      <c r="F15321" s="331">
        <v>0.21</v>
      </c>
      <c r="G15321" s="332">
        <v>2063</v>
      </c>
      <c r="H15321" s="333">
        <v>2497</v>
      </c>
    </row>
    <row r="15322" spans="1:8">
      <c r="A15322" s="317">
        <v>3600109019</v>
      </c>
      <c r="B15322" s="330" t="s">
        <v>59675</v>
      </c>
      <c r="C15322" s="330" t="s">
        <v>31774</v>
      </c>
      <c r="D15322" s="330" t="s">
        <v>15466</v>
      </c>
      <c r="E15322" s="330" t="s">
        <v>37248</v>
      </c>
      <c r="F15322" s="331">
        <v>0.21</v>
      </c>
      <c r="G15322" s="332">
        <v>194</v>
      </c>
      <c r="H15322" s="333">
        <v>235</v>
      </c>
    </row>
    <row r="15323" spans="1:8">
      <c r="A15323" s="317">
        <v>3600109024</v>
      </c>
      <c r="B15323" s="330" t="s">
        <v>59676</v>
      </c>
      <c r="C15323" s="330" t="s">
        <v>31775</v>
      </c>
      <c r="D15323" s="330" t="s">
        <v>7334</v>
      </c>
      <c r="E15323" s="330" t="s">
        <v>37248</v>
      </c>
      <c r="F15323" s="331">
        <v>0.21</v>
      </c>
      <c r="G15323" s="332">
        <v>519</v>
      </c>
      <c r="H15323" s="333">
        <v>628</v>
      </c>
    </row>
    <row r="15324" spans="1:8">
      <c r="A15324" s="317">
        <v>3600112006</v>
      </c>
      <c r="B15324" s="330" t="s">
        <v>59677</v>
      </c>
      <c r="C15324" s="330" t="s">
        <v>31776</v>
      </c>
      <c r="D15324" s="330" t="s">
        <v>7322</v>
      </c>
      <c r="E15324" s="330" t="s">
        <v>37248</v>
      </c>
      <c r="F15324" s="331">
        <v>0.21</v>
      </c>
      <c r="G15324" s="332">
        <v>1373</v>
      </c>
      <c r="H15324" s="333">
        <v>1662</v>
      </c>
    </row>
    <row r="15325" spans="1:8">
      <c r="A15325" s="317">
        <v>3600113014</v>
      </c>
      <c r="B15325" s="330" t="s">
        <v>59678</v>
      </c>
      <c r="C15325" s="330" t="s">
        <v>31777</v>
      </c>
      <c r="D15325" s="330" t="s">
        <v>31778</v>
      </c>
      <c r="E15325" s="330" t="s">
        <v>4634</v>
      </c>
      <c r="F15325" s="331">
        <v>0.21</v>
      </c>
      <c r="G15325" s="332">
        <v>2232</v>
      </c>
      <c r="H15325" s="333">
        <v>2701</v>
      </c>
    </row>
    <row r="15326" spans="1:8">
      <c r="A15326" s="317">
        <v>3600113015</v>
      </c>
      <c r="B15326" s="330" t="s">
        <v>59679</v>
      </c>
      <c r="C15326" s="330" t="s">
        <v>31779</v>
      </c>
      <c r="D15326" s="330" t="s">
        <v>31780</v>
      </c>
      <c r="E15326" s="330" t="s">
        <v>4634</v>
      </c>
      <c r="F15326" s="331">
        <v>0.21</v>
      </c>
      <c r="G15326" s="332">
        <v>1798</v>
      </c>
      <c r="H15326" s="333">
        <v>2176</v>
      </c>
    </row>
    <row r="15327" spans="1:8">
      <c r="A15327" s="317">
        <v>3600113021</v>
      </c>
      <c r="B15327" s="330" t="s">
        <v>59680</v>
      </c>
      <c r="C15327" s="330" t="s">
        <v>31781</v>
      </c>
      <c r="D15327" s="330" t="s">
        <v>31782</v>
      </c>
      <c r="E15327" s="330" t="s">
        <v>4634</v>
      </c>
      <c r="F15327" s="331">
        <v>0.21</v>
      </c>
      <c r="G15327" s="332">
        <v>1798</v>
      </c>
      <c r="H15327" s="333">
        <v>2176</v>
      </c>
    </row>
    <row r="15328" spans="1:8">
      <c r="A15328" s="317">
        <v>3600113506</v>
      </c>
      <c r="B15328" s="330" t="s">
        <v>59681</v>
      </c>
      <c r="C15328" s="330" t="s">
        <v>31783</v>
      </c>
      <c r="D15328" s="330" t="s">
        <v>31784</v>
      </c>
      <c r="E15328" s="330" t="s">
        <v>4634</v>
      </c>
      <c r="F15328" s="331">
        <v>0.21</v>
      </c>
      <c r="G15328" s="332">
        <v>648</v>
      </c>
      <c r="H15328" s="333">
        <v>785</v>
      </c>
    </row>
    <row r="15329" spans="1:8">
      <c r="A15329" s="317">
        <v>3600115001</v>
      </c>
      <c r="B15329" s="330" t="s">
        <v>59682</v>
      </c>
      <c r="C15329" s="330" t="s">
        <v>31785</v>
      </c>
      <c r="D15329" s="330" t="s">
        <v>31786</v>
      </c>
      <c r="E15329" s="330" t="s">
        <v>4634</v>
      </c>
      <c r="F15329" s="331">
        <v>0.21</v>
      </c>
      <c r="G15329" s="332">
        <v>711</v>
      </c>
      <c r="H15329" s="333">
        <v>861</v>
      </c>
    </row>
    <row r="15330" spans="1:8">
      <c r="A15330" s="317">
        <v>3600118006</v>
      </c>
      <c r="B15330" s="330" t="s">
        <v>59683</v>
      </c>
      <c r="C15330" s="330" t="s">
        <v>31787</v>
      </c>
      <c r="D15330" s="330" t="s">
        <v>31788</v>
      </c>
      <c r="E15330" s="330" t="s">
        <v>37248</v>
      </c>
      <c r="F15330" s="331">
        <v>0.21</v>
      </c>
      <c r="G15330" s="332">
        <v>579</v>
      </c>
      <c r="H15330" s="333">
        <v>701</v>
      </c>
    </row>
    <row r="15331" spans="1:8">
      <c r="A15331" s="317">
        <v>3600118007</v>
      </c>
      <c r="B15331" s="330" t="s">
        <v>59684</v>
      </c>
      <c r="C15331" s="330" t="s">
        <v>31789</v>
      </c>
      <c r="D15331" s="330" t="s">
        <v>31790</v>
      </c>
      <c r="E15331" s="330" t="s">
        <v>4634</v>
      </c>
      <c r="F15331" s="331">
        <v>0.21</v>
      </c>
      <c r="G15331" s="332">
        <v>372</v>
      </c>
      <c r="H15331" s="333">
        <v>451</v>
      </c>
    </row>
    <row r="15332" spans="1:8">
      <c r="A15332" s="317">
        <v>3600118502</v>
      </c>
      <c r="B15332" s="330" t="s">
        <v>59685</v>
      </c>
      <c r="C15332" s="330" t="s">
        <v>31791</v>
      </c>
      <c r="D15332" s="330" t="s">
        <v>31792</v>
      </c>
      <c r="E15332" s="330" t="s">
        <v>4634</v>
      </c>
      <c r="F15332" s="331">
        <v>0.21</v>
      </c>
      <c r="G15332" s="332">
        <v>564</v>
      </c>
      <c r="H15332" s="333">
        <v>683</v>
      </c>
    </row>
    <row r="15333" spans="1:8">
      <c r="A15333" s="317">
        <v>3600119016</v>
      </c>
      <c r="B15333" s="330" t="s">
        <v>59686</v>
      </c>
      <c r="C15333" s="330" t="s">
        <v>31793</v>
      </c>
      <c r="D15333" s="330" t="s">
        <v>31794</v>
      </c>
      <c r="E15333" s="330" t="s">
        <v>4634</v>
      </c>
      <c r="F15333" s="331">
        <v>0.21</v>
      </c>
      <c r="G15333" s="332">
        <v>791</v>
      </c>
      <c r="H15333" s="333">
        <v>958</v>
      </c>
    </row>
    <row r="15334" spans="1:8">
      <c r="A15334" s="317">
        <v>3600119028</v>
      </c>
      <c r="B15334" s="330" t="s">
        <v>59687</v>
      </c>
      <c r="C15334" s="330" t="s">
        <v>31795</v>
      </c>
      <c r="D15334" s="330" t="s">
        <v>21833</v>
      </c>
      <c r="E15334" s="330" t="s">
        <v>4634</v>
      </c>
      <c r="F15334" s="331">
        <v>0.21</v>
      </c>
      <c r="G15334" s="332">
        <v>678</v>
      </c>
      <c r="H15334" s="333">
        <v>821</v>
      </c>
    </row>
    <row r="15335" spans="1:8">
      <c r="A15335" s="317">
        <v>3600119029</v>
      </c>
      <c r="B15335" s="330" t="s">
        <v>59688</v>
      </c>
      <c r="C15335" s="330" t="s">
        <v>31796</v>
      </c>
      <c r="D15335" s="330" t="s">
        <v>31797</v>
      </c>
      <c r="E15335" s="330" t="s">
        <v>4634</v>
      </c>
      <c r="F15335" s="331">
        <v>0.21</v>
      </c>
      <c r="G15335" s="332">
        <v>584</v>
      </c>
      <c r="H15335" s="333">
        <v>707</v>
      </c>
    </row>
    <row r="15336" spans="1:8">
      <c r="A15336" s="317">
        <v>3600120007</v>
      </c>
      <c r="B15336" s="330" t="s">
        <v>59689</v>
      </c>
      <c r="C15336" s="330" t="s">
        <v>31798</v>
      </c>
      <c r="D15336" s="330" t="s">
        <v>31799</v>
      </c>
      <c r="E15336" s="330" t="s">
        <v>4634</v>
      </c>
      <c r="F15336" s="331">
        <v>0.21</v>
      </c>
      <c r="G15336" s="332">
        <v>903</v>
      </c>
      <c r="H15336" s="333">
        <v>1093</v>
      </c>
    </row>
    <row r="15337" spans="1:8">
      <c r="A15337" s="317">
        <v>3600134013</v>
      </c>
      <c r="B15337" s="330" t="s">
        <v>59690</v>
      </c>
      <c r="C15337" s="330" t="s">
        <v>31800</v>
      </c>
      <c r="D15337" s="330" t="s">
        <v>31801</v>
      </c>
      <c r="E15337" s="330" t="s">
        <v>4634</v>
      </c>
      <c r="F15337" s="331">
        <v>0.21</v>
      </c>
      <c r="G15337" s="332">
        <v>1679</v>
      </c>
      <c r="H15337" s="333">
        <v>2032</v>
      </c>
    </row>
    <row r="15338" spans="1:8">
      <c r="A15338" s="317">
        <v>3600134014</v>
      </c>
      <c r="B15338" s="330" t="s">
        <v>59691</v>
      </c>
      <c r="C15338" s="330" t="s">
        <v>31802</v>
      </c>
      <c r="D15338" s="330" t="s">
        <v>31803</v>
      </c>
      <c r="E15338" s="330" t="s">
        <v>4634</v>
      </c>
      <c r="F15338" s="331">
        <v>0.21</v>
      </c>
      <c r="G15338" s="332">
        <v>7662</v>
      </c>
      <c r="H15338" s="333">
        <v>9272</v>
      </c>
    </row>
    <row r="15339" spans="1:8">
      <c r="A15339" s="317">
        <v>3600134015</v>
      </c>
      <c r="B15339" s="330" t="s">
        <v>59692</v>
      </c>
      <c r="C15339" s="330" t="s">
        <v>31804</v>
      </c>
      <c r="D15339" s="330" t="s">
        <v>31805</v>
      </c>
      <c r="E15339" s="330" t="s">
        <v>4634</v>
      </c>
      <c r="F15339" s="331">
        <v>0.21</v>
      </c>
      <c r="G15339" s="332">
        <v>1342</v>
      </c>
      <c r="H15339" s="333">
        <v>1624</v>
      </c>
    </row>
    <row r="15340" spans="1:8">
      <c r="A15340" s="317">
        <v>3600134016</v>
      </c>
      <c r="B15340" s="330" t="s">
        <v>59693</v>
      </c>
      <c r="C15340" s="330" t="s">
        <v>31806</v>
      </c>
      <c r="D15340" s="330" t="s">
        <v>31807</v>
      </c>
      <c r="E15340" s="330" t="s">
        <v>4634</v>
      </c>
      <c r="F15340" s="331">
        <v>0.21</v>
      </c>
      <c r="G15340" s="332">
        <v>15343</v>
      </c>
      <c r="H15340" s="333">
        <v>18566</v>
      </c>
    </row>
    <row r="15341" spans="1:8">
      <c r="A15341" s="317">
        <v>3600149500</v>
      </c>
      <c r="B15341" s="330" t="s">
        <v>59694</v>
      </c>
      <c r="C15341" s="330" t="s">
        <v>31808</v>
      </c>
      <c r="D15341" s="330" t="s">
        <v>31809</v>
      </c>
      <c r="E15341" s="330" t="s">
        <v>4634</v>
      </c>
      <c r="F15341" s="331">
        <v>0.21</v>
      </c>
      <c r="G15341" s="332">
        <v>678</v>
      </c>
      <c r="H15341" s="333">
        <v>821</v>
      </c>
    </row>
    <row r="15342" spans="1:8">
      <c r="A15342" s="317">
        <v>3600150003</v>
      </c>
      <c r="B15342" s="330" t="s">
        <v>59695</v>
      </c>
      <c r="C15342" s="330" t="s">
        <v>31810</v>
      </c>
      <c r="D15342" s="330" t="s">
        <v>31811</v>
      </c>
      <c r="E15342" s="330" t="s">
        <v>4634</v>
      </c>
      <c r="F15342" s="331">
        <v>0.21</v>
      </c>
      <c r="G15342" s="332">
        <v>2491</v>
      </c>
      <c r="H15342" s="333">
        <v>3015</v>
      </c>
    </row>
    <row r="15343" spans="1:8">
      <c r="A15343" s="317">
        <v>3600150005</v>
      </c>
      <c r="B15343" s="330" t="s">
        <v>59696</v>
      </c>
      <c r="C15343" s="330" t="s">
        <v>31812</v>
      </c>
      <c r="D15343" s="330" t="s">
        <v>31813</v>
      </c>
      <c r="E15343" s="330" t="s">
        <v>4634</v>
      </c>
      <c r="F15343" s="331">
        <v>0.21</v>
      </c>
      <c r="G15343" s="332">
        <v>412</v>
      </c>
      <c r="H15343" s="333">
        <v>499</v>
      </c>
    </row>
    <row r="15344" spans="1:8">
      <c r="A15344" s="317">
        <v>3600150006</v>
      </c>
      <c r="B15344" s="330" t="s">
        <v>59697</v>
      </c>
      <c r="C15344" s="330" t="s">
        <v>31814</v>
      </c>
      <c r="D15344" s="330" t="s">
        <v>31815</v>
      </c>
      <c r="E15344" s="330" t="s">
        <v>4634</v>
      </c>
      <c r="F15344" s="331">
        <v>0.21</v>
      </c>
      <c r="G15344" s="332">
        <v>490</v>
      </c>
      <c r="H15344" s="333">
        <v>593</v>
      </c>
    </row>
    <row r="15345" spans="1:8">
      <c r="A15345" s="317">
        <v>3600150011</v>
      </c>
      <c r="B15345" s="330" t="s">
        <v>59698</v>
      </c>
      <c r="C15345" s="330" t="s">
        <v>31816</v>
      </c>
      <c r="D15345" s="330" t="s">
        <v>31817</v>
      </c>
      <c r="E15345" s="330" t="s">
        <v>37248</v>
      </c>
      <c r="F15345" s="331">
        <v>0.21</v>
      </c>
      <c r="G15345" s="332">
        <v>2094</v>
      </c>
      <c r="H15345" s="333">
        <v>2534</v>
      </c>
    </row>
    <row r="15346" spans="1:8">
      <c r="A15346" s="317">
        <v>3600150021</v>
      </c>
      <c r="B15346" s="330" t="s">
        <v>59699</v>
      </c>
      <c r="C15346" s="330" t="s">
        <v>31818</v>
      </c>
      <c r="D15346" s="330" t="s">
        <v>31819</v>
      </c>
      <c r="E15346" s="330" t="s">
        <v>4634</v>
      </c>
      <c r="F15346" s="331">
        <v>0.21</v>
      </c>
      <c r="G15346" s="332">
        <v>2663</v>
      </c>
      <c r="H15346" s="333">
        <v>3223</v>
      </c>
    </row>
    <row r="15347" spans="1:8">
      <c r="A15347" s="317">
        <v>3600150022</v>
      </c>
      <c r="B15347" s="330" t="s">
        <v>59700</v>
      </c>
      <c r="C15347" s="330" t="s">
        <v>31820</v>
      </c>
      <c r="D15347" s="330" t="s">
        <v>31821</v>
      </c>
      <c r="E15347" s="330" t="s">
        <v>4634</v>
      </c>
      <c r="F15347" s="331">
        <v>0.21</v>
      </c>
      <c r="G15347" s="332">
        <v>1126</v>
      </c>
      <c r="H15347" s="333">
        <v>1363</v>
      </c>
    </row>
    <row r="15348" spans="1:8">
      <c r="A15348" s="317">
        <v>3600150023</v>
      </c>
      <c r="B15348" s="330" t="s">
        <v>59701</v>
      </c>
      <c r="C15348" s="330" t="s">
        <v>31822</v>
      </c>
      <c r="D15348" s="330" t="s">
        <v>31823</v>
      </c>
      <c r="E15348" s="330" t="s">
        <v>4634</v>
      </c>
      <c r="F15348" s="331">
        <v>0.21</v>
      </c>
      <c r="G15348" s="332">
        <v>678</v>
      </c>
      <c r="H15348" s="333">
        <v>821</v>
      </c>
    </row>
    <row r="15349" spans="1:8">
      <c r="A15349" s="317">
        <v>3600150029</v>
      </c>
      <c r="B15349" s="330" t="s">
        <v>59702</v>
      </c>
      <c r="C15349" s="330" t="s">
        <v>31824</v>
      </c>
      <c r="D15349" s="330" t="s">
        <v>31825</v>
      </c>
      <c r="E15349" s="330" t="s">
        <v>4634</v>
      </c>
      <c r="F15349" s="331">
        <v>0.21</v>
      </c>
      <c r="G15349" s="332">
        <v>6593</v>
      </c>
      <c r="H15349" s="333">
        <v>7978</v>
      </c>
    </row>
    <row r="15350" spans="1:8">
      <c r="A15350" s="317">
        <v>3600171001</v>
      </c>
      <c r="B15350" s="330" t="s">
        <v>59703</v>
      </c>
      <c r="C15350" s="330" t="s">
        <v>31826</v>
      </c>
      <c r="D15350" s="330" t="s">
        <v>31827</v>
      </c>
      <c r="E15350" s="330" t="s">
        <v>4634</v>
      </c>
      <c r="F15350" s="331">
        <v>0.21</v>
      </c>
      <c r="G15350" s="332">
        <v>309</v>
      </c>
      <c r="H15350" s="333">
        <v>374</v>
      </c>
    </row>
    <row r="15351" spans="1:8">
      <c r="A15351" s="317">
        <v>3600190003</v>
      </c>
      <c r="B15351" s="330" t="s">
        <v>59704</v>
      </c>
      <c r="C15351" s="330" t="s">
        <v>31828</v>
      </c>
      <c r="D15351" s="330" t="s">
        <v>31829</v>
      </c>
      <c r="E15351" s="330" t="s">
        <v>4634</v>
      </c>
      <c r="F15351" s="331">
        <v>0.21</v>
      </c>
      <c r="G15351" s="332">
        <v>678</v>
      </c>
      <c r="H15351" s="333">
        <v>821</v>
      </c>
    </row>
    <row r="15352" spans="1:8">
      <c r="A15352" s="317">
        <v>3600190007</v>
      </c>
      <c r="B15352" s="330" t="s">
        <v>59705</v>
      </c>
      <c r="C15352" s="330" t="s">
        <v>31830</v>
      </c>
      <c r="D15352" s="330" t="s">
        <v>31831</v>
      </c>
      <c r="E15352" s="330" t="s">
        <v>4634</v>
      </c>
      <c r="F15352" s="331">
        <v>0.21</v>
      </c>
      <c r="G15352" s="332">
        <v>372</v>
      </c>
      <c r="H15352" s="333">
        <v>451</v>
      </c>
    </row>
    <row r="15353" spans="1:8">
      <c r="A15353" s="317">
        <v>3600190017</v>
      </c>
      <c r="B15353" s="330" t="s">
        <v>59706</v>
      </c>
      <c r="C15353" s="330" t="s">
        <v>31832</v>
      </c>
      <c r="D15353" s="330" t="s">
        <v>31833</v>
      </c>
      <c r="E15353" s="330" t="s">
        <v>4634</v>
      </c>
      <c r="F15353" s="331">
        <v>0.21</v>
      </c>
      <c r="G15353" s="332">
        <v>2766</v>
      </c>
      <c r="H15353" s="333">
        <v>3347</v>
      </c>
    </row>
    <row r="15354" spans="1:8">
      <c r="A15354" s="317">
        <v>3600190023</v>
      </c>
      <c r="B15354" s="330" t="s">
        <v>59707</v>
      </c>
      <c r="C15354" s="330" t="s">
        <v>31834</v>
      </c>
      <c r="D15354" s="330" t="s">
        <v>31835</v>
      </c>
      <c r="E15354" s="330" t="s">
        <v>4634</v>
      </c>
      <c r="F15354" s="331">
        <v>0.21</v>
      </c>
      <c r="G15354" s="332">
        <v>6703</v>
      </c>
      <c r="H15354" s="333">
        <v>8111</v>
      </c>
    </row>
    <row r="15355" spans="1:8">
      <c r="A15355" s="317">
        <v>3600190024</v>
      </c>
      <c r="B15355" s="330" t="s">
        <v>59708</v>
      </c>
      <c r="C15355" s="330" t="s">
        <v>31836</v>
      </c>
      <c r="D15355" s="330" t="s">
        <v>31837</v>
      </c>
      <c r="E15355" s="330" t="s">
        <v>4634</v>
      </c>
      <c r="F15355" s="331">
        <v>0.21</v>
      </c>
      <c r="G15355" s="332">
        <v>412</v>
      </c>
      <c r="H15355" s="333">
        <v>499</v>
      </c>
    </row>
    <row r="15356" spans="1:8">
      <c r="A15356" s="317">
        <v>3600190027</v>
      </c>
      <c r="B15356" s="330" t="s">
        <v>59709</v>
      </c>
      <c r="C15356" s="330" t="s">
        <v>31838</v>
      </c>
      <c r="D15356" s="330" t="s">
        <v>31839</v>
      </c>
      <c r="E15356" s="330" t="s">
        <v>4634</v>
      </c>
      <c r="F15356" s="331">
        <v>0.21</v>
      </c>
      <c r="G15356" s="332">
        <v>5663</v>
      </c>
      <c r="H15356" s="333">
        <v>6853</v>
      </c>
    </row>
    <row r="15357" spans="1:8">
      <c r="A15357" s="317">
        <v>3600190029</v>
      </c>
      <c r="B15357" s="330" t="s">
        <v>59710</v>
      </c>
      <c r="C15357" s="330" t="s">
        <v>31840</v>
      </c>
      <c r="D15357" s="330" t="s">
        <v>31841</v>
      </c>
      <c r="E15357" s="330" t="s">
        <v>4634</v>
      </c>
      <c r="F15357" s="331">
        <v>0.21</v>
      </c>
      <c r="G15357" s="332">
        <v>4472</v>
      </c>
      <c r="H15357" s="333">
        <v>5412</v>
      </c>
    </row>
    <row r="15358" spans="1:8">
      <c r="A15358" s="317">
        <v>3600190030</v>
      </c>
      <c r="B15358" s="330" t="s">
        <v>59711</v>
      </c>
      <c r="C15358" s="330" t="s">
        <v>31842</v>
      </c>
      <c r="D15358" s="330" t="s">
        <v>31843</v>
      </c>
      <c r="E15358" s="330" t="s">
        <v>4634</v>
      </c>
      <c r="F15358" s="331">
        <v>0.21</v>
      </c>
      <c r="G15358" s="332">
        <v>5663</v>
      </c>
      <c r="H15358" s="333">
        <v>6853</v>
      </c>
    </row>
    <row r="15359" spans="1:8">
      <c r="A15359" s="317">
        <v>3600190036</v>
      </c>
      <c r="B15359" s="330" t="s">
        <v>59712</v>
      </c>
      <c r="C15359" s="330" t="s">
        <v>31844</v>
      </c>
      <c r="D15359" s="330" t="s">
        <v>31845</v>
      </c>
      <c r="E15359" s="330" t="s">
        <v>4634</v>
      </c>
      <c r="F15359" s="331">
        <v>0.21</v>
      </c>
      <c r="G15359" s="332">
        <v>1692</v>
      </c>
      <c r="H15359" s="333">
        <v>2048</v>
      </c>
    </row>
    <row r="15360" spans="1:8">
      <c r="A15360" s="317">
        <v>3600190038</v>
      </c>
      <c r="B15360" s="330" t="s">
        <v>59713</v>
      </c>
      <c r="C15360" s="330" t="s">
        <v>31846</v>
      </c>
      <c r="D15360" s="330" t="s">
        <v>13939</v>
      </c>
      <c r="E15360" s="330" t="s">
        <v>4819</v>
      </c>
      <c r="F15360" s="331">
        <v>0.21</v>
      </c>
      <c r="G15360" s="332">
        <v>6562</v>
      </c>
      <c r="H15360" s="333">
        <v>7941</v>
      </c>
    </row>
    <row r="15361" spans="1:8">
      <c r="A15361" s="317">
        <v>3600190039</v>
      </c>
      <c r="B15361" s="330" t="s">
        <v>59714</v>
      </c>
      <c r="C15361" s="330" t="s">
        <v>31847</v>
      </c>
      <c r="D15361" s="330" t="s">
        <v>31848</v>
      </c>
      <c r="E15361" s="330" t="s">
        <v>4819</v>
      </c>
      <c r="F15361" s="331">
        <v>0.21</v>
      </c>
      <c r="G15361" s="332">
        <v>8423</v>
      </c>
      <c r="H15361" s="333">
        <v>10192</v>
      </c>
    </row>
    <row r="15362" spans="1:8">
      <c r="A15362" s="317">
        <v>3600190520</v>
      </c>
      <c r="B15362" s="330" t="s">
        <v>59715</v>
      </c>
      <c r="C15362" s="330" t="s">
        <v>31849</v>
      </c>
      <c r="D15362" s="330" t="s">
        <v>31850</v>
      </c>
      <c r="E15362" s="330" t="s">
        <v>4634</v>
      </c>
      <c r="F15362" s="331">
        <v>0.21</v>
      </c>
      <c r="G15362" s="332">
        <v>2707</v>
      </c>
      <c r="H15362" s="333">
        <v>3276</v>
      </c>
    </row>
    <row r="15363" spans="1:8">
      <c r="A15363" s="317">
        <v>3600190521</v>
      </c>
      <c r="B15363" s="330" t="s">
        <v>59716</v>
      </c>
      <c r="C15363" s="330" t="s">
        <v>31851</v>
      </c>
      <c r="D15363" s="330" t="s">
        <v>31852</v>
      </c>
      <c r="E15363" s="330" t="s">
        <v>4634</v>
      </c>
      <c r="F15363" s="331">
        <v>0.21</v>
      </c>
      <c r="G15363" s="332">
        <v>4737</v>
      </c>
      <c r="H15363" s="333">
        <v>5732</v>
      </c>
    </row>
    <row r="15364" spans="1:8">
      <c r="A15364" s="317">
        <v>3600200010</v>
      </c>
      <c r="B15364" s="330" t="s">
        <v>59717</v>
      </c>
      <c r="C15364" s="330" t="s">
        <v>31853</v>
      </c>
      <c r="D15364" s="330" t="s">
        <v>31854</v>
      </c>
      <c r="E15364" s="330" t="s">
        <v>4634</v>
      </c>
      <c r="F15364" s="331">
        <v>0.21</v>
      </c>
      <c r="G15364" s="332">
        <v>3210</v>
      </c>
      <c r="H15364" s="333">
        <v>3885</v>
      </c>
    </row>
    <row r="15365" spans="1:8">
      <c r="A15365" s="317">
        <v>3600200016</v>
      </c>
      <c r="B15365" s="330" t="s">
        <v>59718</v>
      </c>
      <c r="C15365" s="330" t="s">
        <v>31855</v>
      </c>
      <c r="D15365" s="330" t="s">
        <v>31856</v>
      </c>
      <c r="E15365" s="330" t="s">
        <v>4634</v>
      </c>
      <c r="F15365" s="331">
        <v>0.21</v>
      </c>
      <c r="G15365" s="332">
        <v>25778</v>
      </c>
      <c r="H15365" s="333">
        <v>31192</v>
      </c>
    </row>
    <row r="15366" spans="1:8">
      <c r="A15366" s="317">
        <v>3600200021</v>
      </c>
      <c r="B15366" s="330" t="s">
        <v>59719</v>
      </c>
      <c r="C15366" s="330" t="s">
        <v>31857</v>
      </c>
      <c r="D15366" s="330" t="s">
        <v>31858</v>
      </c>
      <c r="E15366" s="330" t="s">
        <v>4634</v>
      </c>
      <c r="F15366" s="331">
        <v>0.21</v>
      </c>
      <c r="G15366" s="332">
        <v>8336</v>
      </c>
      <c r="H15366" s="333">
        <v>10087</v>
      </c>
    </row>
    <row r="15367" spans="1:8">
      <c r="A15367" s="317">
        <v>3600200041</v>
      </c>
      <c r="B15367" s="330" t="s">
        <v>59720</v>
      </c>
      <c r="C15367" s="330" t="s">
        <v>31859</v>
      </c>
      <c r="D15367" s="330" t="s">
        <v>14675</v>
      </c>
      <c r="E15367" s="330" t="s">
        <v>37248</v>
      </c>
      <c r="F15367" s="331">
        <v>0.21</v>
      </c>
      <c r="G15367" s="332">
        <v>470</v>
      </c>
      <c r="H15367" s="333">
        <v>569</v>
      </c>
    </row>
    <row r="15368" spans="1:8">
      <c r="A15368" s="317">
        <v>3600200043</v>
      </c>
      <c r="B15368" s="330" t="s">
        <v>59721</v>
      </c>
      <c r="C15368" s="330" t="s">
        <v>31860</v>
      </c>
      <c r="D15368" s="330" t="s">
        <v>31861</v>
      </c>
      <c r="E15368" s="330" t="s">
        <v>4634</v>
      </c>
      <c r="F15368" s="331">
        <v>0.21</v>
      </c>
      <c r="G15368" s="332">
        <v>1008</v>
      </c>
      <c r="H15368" s="333">
        <v>1220</v>
      </c>
    </row>
    <row r="15369" spans="1:8">
      <c r="A15369" s="317">
        <v>3600200055</v>
      </c>
      <c r="B15369" s="330" t="s">
        <v>59722</v>
      </c>
      <c r="C15369" s="330" t="s">
        <v>31862</v>
      </c>
      <c r="D15369" s="330" t="s">
        <v>31863</v>
      </c>
      <c r="E15369" s="330" t="s">
        <v>4634</v>
      </c>
      <c r="F15369" s="331">
        <v>0.21</v>
      </c>
      <c r="G15369" s="332">
        <v>2768</v>
      </c>
      <c r="H15369" s="333">
        <v>3350</v>
      </c>
    </row>
    <row r="15370" spans="1:8">
      <c r="A15370" s="317">
        <v>3600200058</v>
      </c>
      <c r="B15370" s="330" t="s">
        <v>59723</v>
      </c>
      <c r="C15370" s="330" t="s">
        <v>31864</v>
      </c>
      <c r="D15370" s="330" t="s">
        <v>31865</v>
      </c>
      <c r="E15370" s="330" t="s">
        <v>4819</v>
      </c>
      <c r="F15370" s="331">
        <v>0.21</v>
      </c>
      <c r="G15370" s="332">
        <v>7430</v>
      </c>
      <c r="H15370" s="333">
        <v>8991</v>
      </c>
    </row>
    <row r="15371" spans="1:8">
      <c r="A15371" s="317">
        <v>3600200059</v>
      </c>
      <c r="B15371" s="330" t="s">
        <v>59724</v>
      </c>
      <c r="C15371" s="330" t="s">
        <v>31866</v>
      </c>
      <c r="D15371" s="330" t="s">
        <v>31865</v>
      </c>
      <c r="E15371" s="330" t="s">
        <v>4819</v>
      </c>
      <c r="F15371" s="331">
        <v>0.21</v>
      </c>
      <c r="G15371" s="332">
        <v>8423</v>
      </c>
      <c r="H15371" s="333">
        <v>10192</v>
      </c>
    </row>
    <row r="15372" spans="1:8">
      <c r="A15372" s="317">
        <v>3600200516</v>
      </c>
      <c r="B15372" s="330" t="s">
        <v>59725</v>
      </c>
      <c r="C15372" s="330" t="s">
        <v>31867</v>
      </c>
      <c r="D15372" s="330" t="s">
        <v>31868</v>
      </c>
      <c r="E15372" s="330" t="s">
        <v>4634</v>
      </c>
      <c r="F15372" s="331">
        <v>0.21</v>
      </c>
      <c r="G15372" s="332">
        <v>564</v>
      </c>
      <c r="H15372" s="333">
        <v>683</v>
      </c>
    </row>
    <row r="15373" spans="1:8">
      <c r="A15373" s="317">
        <v>3600202004</v>
      </c>
      <c r="B15373" s="330" t="s">
        <v>59726</v>
      </c>
      <c r="C15373" s="330" t="s">
        <v>31869</v>
      </c>
      <c r="D15373" s="330" t="s">
        <v>31870</v>
      </c>
      <c r="E15373" s="330" t="s">
        <v>4634</v>
      </c>
      <c r="F15373" s="331">
        <v>0.21</v>
      </c>
      <c r="G15373" s="332">
        <v>3225</v>
      </c>
      <c r="H15373" s="333">
        <v>3903</v>
      </c>
    </row>
    <row r="15374" spans="1:8">
      <c r="A15374" s="317">
        <v>3600202006</v>
      </c>
      <c r="B15374" s="330" t="s">
        <v>59727</v>
      </c>
      <c r="C15374" s="330" t="s">
        <v>31871</v>
      </c>
      <c r="D15374" s="330" t="s">
        <v>31872</v>
      </c>
      <c r="E15374" s="330" t="s">
        <v>4634</v>
      </c>
      <c r="F15374" s="331">
        <v>0.21</v>
      </c>
      <c r="G15374" s="332">
        <v>570</v>
      </c>
      <c r="H15374" s="333">
        <v>690</v>
      </c>
    </row>
    <row r="15375" spans="1:8">
      <c r="A15375" s="317">
        <v>3600202007</v>
      </c>
      <c r="B15375" s="330" t="s">
        <v>59728</v>
      </c>
      <c r="C15375" s="330" t="s">
        <v>31873</v>
      </c>
      <c r="D15375" s="330" t="s">
        <v>31874</v>
      </c>
      <c r="E15375" s="330" t="s">
        <v>4634</v>
      </c>
      <c r="F15375" s="331">
        <v>0.21</v>
      </c>
      <c r="G15375" s="332">
        <v>3894</v>
      </c>
      <c r="H15375" s="333">
        <v>4712</v>
      </c>
    </row>
    <row r="15376" spans="1:8">
      <c r="A15376" s="317">
        <v>3600202012</v>
      </c>
      <c r="B15376" s="330" t="s">
        <v>59729</v>
      </c>
      <c r="C15376" s="330" t="s">
        <v>31875</v>
      </c>
      <c r="D15376" s="330" t="s">
        <v>31876</v>
      </c>
      <c r="E15376" s="330" t="s">
        <v>4634</v>
      </c>
      <c r="F15376" s="331">
        <v>0.21</v>
      </c>
      <c r="G15376" s="332">
        <v>1798</v>
      </c>
      <c r="H15376" s="333">
        <v>2176</v>
      </c>
    </row>
    <row r="15377" spans="1:8">
      <c r="A15377" s="317">
        <v>3600202020</v>
      </c>
      <c r="B15377" s="330" t="s">
        <v>59730</v>
      </c>
      <c r="C15377" s="330" t="s">
        <v>31877</v>
      </c>
      <c r="D15377" s="330" t="s">
        <v>6421</v>
      </c>
      <c r="E15377" s="330" t="s">
        <v>4634</v>
      </c>
      <c r="F15377" s="331">
        <v>0.21</v>
      </c>
      <c r="G15377" s="332">
        <v>595</v>
      </c>
      <c r="H15377" s="333">
        <v>720</v>
      </c>
    </row>
    <row r="15378" spans="1:8">
      <c r="A15378" s="317">
        <v>3600203002</v>
      </c>
      <c r="B15378" s="330" t="s">
        <v>59731</v>
      </c>
      <c r="C15378" s="330" t="s">
        <v>31878</v>
      </c>
      <c r="D15378" s="330" t="s">
        <v>31879</v>
      </c>
      <c r="E15378" s="330" t="s">
        <v>4634</v>
      </c>
      <c r="F15378" s="331">
        <v>0.21</v>
      </c>
      <c r="G15378" s="332">
        <v>7156</v>
      </c>
      <c r="H15378" s="333">
        <v>8659</v>
      </c>
    </row>
    <row r="15379" spans="1:8">
      <c r="A15379" s="317">
        <v>3600203004</v>
      </c>
      <c r="B15379" s="330" t="s">
        <v>59732</v>
      </c>
      <c r="C15379" s="330" t="s">
        <v>31880</v>
      </c>
      <c r="D15379" s="330" t="s">
        <v>31881</v>
      </c>
      <c r="E15379" s="330" t="s">
        <v>4634</v>
      </c>
      <c r="F15379" s="331">
        <v>0.21</v>
      </c>
      <c r="G15379" s="332">
        <v>2232</v>
      </c>
      <c r="H15379" s="333">
        <v>2701</v>
      </c>
    </row>
    <row r="15380" spans="1:8">
      <c r="A15380" s="317">
        <v>3600203005</v>
      </c>
      <c r="B15380" s="330" t="s">
        <v>59733</v>
      </c>
      <c r="C15380" s="330" t="s">
        <v>31882</v>
      </c>
      <c r="D15380" s="330" t="s">
        <v>31883</v>
      </c>
      <c r="E15380" s="330" t="s">
        <v>37248</v>
      </c>
      <c r="F15380" s="331">
        <v>0.21</v>
      </c>
      <c r="G15380" s="332">
        <v>19291</v>
      </c>
      <c r="H15380" s="333">
        <v>23343</v>
      </c>
    </row>
    <row r="15381" spans="1:8">
      <c r="A15381" s="317">
        <v>3600205002</v>
      </c>
      <c r="B15381" s="330" t="s">
        <v>59734</v>
      </c>
      <c r="C15381" s="330" t="s">
        <v>31884</v>
      </c>
      <c r="D15381" s="330" t="s">
        <v>21132</v>
      </c>
      <c r="E15381" s="330" t="s">
        <v>4634</v>
      </c>
      <c r="F15381" s="331">
        <v>0.21</v>
      </c>
      <c r="G15381" s="332">
        <v>490</v>
      </c>
      <c r="H15381" s="333">
        <v>593</v>
      </c>
    </row>
    <row r="15382" spans="1:8">
      <c r="A15382" s="317">
        <v>3600206003</v>
      </c>
      <c r="B15382" s="330" t="s">
        <v>59735</v>
      </c>
      <c r="C15382" s="330" t="s">
        <v>31885</v>
      </c>
      <c r="D15382" s="330" t="s">
        <v>31886</v>
      </c>
      <c r="E15382" s="330" t="s">
        <v>4634</v>
      </c>
      <c r="F15382" s="331">
        <v>0.21</v>
      </c>
      <c r="G15382" s="332">
        <v>992</v>
      </c>
      <c r="H15382" s="333">
        <v>1201</v>
      </c>
    </row>
    <row r="15383" spans="1:8">
      <c r="A15383" s="317">
        <v>3600206005</v>
      </c>
      <c r="B15383" s="330" t="s">
        <v>59736</v>
      </c>
      <c r="C15383" s="330" t="s">
        <v>31887</v>
      </c>
      <c r="D15383" s="330" t="s">
        <v>31888</v>
      </c>
      <c r="E15383" s="330" t="s">
        <v>4819</v>
      </c>
      <c r="F15383" s="331">
        <v>0.21</v>
      </c>
      <c r="G15383" s="332">
        <v>2067</v>
      </c>
      <c r="H15383" s="333">
        <v>2502</v>
      </c>
    </row>
    <row r="15384" spans="1:8">
      <c r="A15384" s="317">
        <v>3600206006</v>
      </c>
      <c r="B15384" s="330" t="s">
        <v>59737</v>
      </c>
      <c r="C15384" s="330" t="s">
        <v>31889</v>
      </c>
      <c r="D15384" s="330" t="s">
        <v>31890</v>
      </c>
      <c r="E15384" s="330" t="s">
        <v>4819</v>
      </c>
      <c r="F15384" s="331">
        <v>0.21</v>
      </c>
      <c r="G15384" s="332">
        <v>3912</v>
      </c>
      <c r="H15384" s="333">
        <v>4734</v>
      </c>
    </row>
    <row r="15385" spans="1:8">
      <c r="A15385" s="317">
        <v>3600206013</v>
      </c>
      <c r="B15385" s="330" t="s">
        <v>59738</v>
      </c>
      <c r="C15385" s="330" t="s">
        <v>31891</v>
      </c>
      <c r="D15385" s="330" t="s">
        <v>31892</v>
      </c>
      <c r="E15385" s="330" t="s">
        <v>4634</v>
      </c>
      <c r="F15385" s="331">
        <v>0.21</v>
      </c>
      <c r="G15385" s="332">
        <v>7162</v>
      </c>
      <c r="H15385" s="333">
        <v>8667</v>
      </c>
    </row>
    <row r="15386" spans="1:8">
      <c r="A15386" s="317">
        <v>3600206014</v>
      </c>
      <c r="B15386" s="330" t="s">
        <v>59739</v>
      </c>
      <c r="C15386" s="330" t="s">
        <v>31893</v>
      </c>
      <c r="D15386" s="330" t="s">
        <v>31894</v>
      </c>
      <c r="E15386" s="330" t="s">
        <v>4634</v>
      </c>
      <c r="F15386" s="331">
        <v>0.21</v>
      </c>
      <c r="G15386" s="332">
        <v>13406</v>
      </c>
      <c r="H15386" s="333">
        <v>16222</v>
      </c>
    </row>
    <row r="15387" spans="1:8">
      <c r="A15387" s="317">
        <v>3600206016</v>
      </c>
      <c r="B15387" s="330" t="s">
        <v>59740</v>
      </c>
      <c r="C15387" s="330" t="s">
        <v>31895</v>
      </c>
      <c r="D15387" s="330" t="s">
        <v>31865</v>
      </c>
      <c r="E15387" s="330" t="s">
        <v>37248</v>
      </c>
      <c r="F15387" s="331">
        <v>0.21</v>
      </c>
      <c r="G15387" s="332">
        <v>15033</v>
      </c>
      <c r="H15387" s="333">
        <v>18190</v>
      </c>
    </row>
    <row r="15388" spans="1:8">
      <c r="A15388" s="317">
        <v>3600206017</v>
      </c>
      <c r="B15388" s="330" t="s">
        <v>59741</v>
      </c>
      <c r="C15388" s="330" t="s">
        <v>31896</v>
      </c>
      <c r="D15388" s="330" t="s">
        <v>31897</v>
      </c>
      <c r="E15388" s="330" t="s">
        <v>4819</v>
      </c>
      <c r="F15388" s="331">
        <v>0.21</v>
      </c>
      <c r="G15388" s="332">
        <v>13685</v>
      </c>
      <c r="H15388" s="333">
        <v>16559</v>
      </c>
    </row>
    <row r="15389" spans="1:8">
      <c r="A15389" s="317">
        <v>3600206502</v>
      </c>
      <c r="B15389" s="330" t="s">
        <v>59742</v>
      </c>
      <c r="C15389" s="330" t="s">
        <v>31898</v>
      </c>
      <c r="D15389" s="330" t="s">
        <v>31899</v>
      </c>
      <c r="E15389" s="330" t="s">
        <v>4634</v>
      </c>
      <c r="F15389" s="331">
        <v>0.21</v>
      </c>
      <c r="G15389" s="332">
        <v>387</v>
      </c>
      <c r="H15389" s="333">
        <v>469</v>
      </c>
    </row>
    <row r="15390" spans="1:8">
      <c r="A15390" s="317">
        <v>3600209003</v>
      </c>
      <c r="B15390" s="330" t="s">
        <v>59743</v>
      </c>
      <c r="C15390" s="330" t="s">
        <v>31900</v>
      </c>
      <c r="D15390" s="330" t="s">
        <v>31901</v>
      </c>
      <c r="E15390" s="330" t="s">
        <v>4634</v>
      </c>
      <c r="F15390" s="331">
        <v>0.21</v>
      </c>
      <c r="G15390" s="332">
        <v>455</v>
      </c>
      <c r="H15390" s="333">
        <v>551</v>
      </c>
    </row>
    <row r="15391" spans="1:8">
      <c r="A15391" s="317">
        <v>3600209004</v>
      </c>
      <c r="B15391" s="330" t="s">
        <v>59744</v>
      </c>
      <c r="C15391" s="330" t="s">
        <v>31902</v>
      </c>
      <c r="D15391" s="330" t="s">
        <v>31903</v>
      </c>
      <c r="E15391" s="330" t="s">
        <v>4634</v>
      </c>
      <c r="F15391" s="331">
        <v>0.21</v>
      </c>
      <c r="G15391" s="332">
        <v>412</v>
      </c>
      <c r="H15391" s="333">
        <v>499</v>
      </c>
    </row>
    <row r="15392" spans="1:8">
      <c r="A15392" s="317">
        <v>3600209006</v>
      </c>
      <c r="B15392" s="330" t="s">
        <v>59745</v>
      </c>
      <c r="C15392" s="330" t="s">
        <v>31904</v>
      </c>
      <c r="D15392" s="330" t="s">
        <v>31905</v>
      </c>
      <c r="E15392" s="330" t="s">
        <v>4819</v>
      </c>
      <c r="F15392" s="331">
        <v>0.21</v>
      </c>
      <c r="G15392" s="332">
        <v>4978</v>
      </c>
      <c r="H15392" s="333">
        <v>6024</v>
      </c>
    </row>
    <row r="15393" spans="1:8">
      <c r="A15393" s="317">
        <v>3600209008</v>
      </c>
      <c r="B15393" s="330" t="s">
        <v>59746</v>
      </c>
      <c r="C15393" s="330" t="s">
        <v>31906</v>
      </c>
      <c r="D15393" s="330" t="s">
        <v>31907</v>
      </c>
      <c r="E15393" s="330" t="s">
        <v>4634</v>
      </c>
      <c r="F15393" s="331">
        <v>0.21</v>
      </c>
      <c r="G15393" s="332">
        <v>1692</v>
      </c>
      <c r="H15393" s="333">
        <v>2048</v>
      </c>
    </row>
    <row r="15394" spans="1:8">
      <c r="A15394" s="317">
        <v>3600209010</v>
      </c>
      <c r="B15394" s="330" t="s">
        <v>59747</v>
      </c>
      <c r="C15394" s="330" t="s">
        <v>31908</v>
      </c>
      <c r="D15394" s="330" t="s">
        <v>31909</v>
      </c>
      <c r="E15394" s="330" t="s">
        <v>4634</v>
      </c>
      <c r="F15394" s="331">
        <v>0.21</v>
      </c>
      <c r="G15394" s="332">
        <v>3490</v>
      </c>
      <c r="H15394" s="333">
        <v>4223</v>
      </c>
    </row>
    <row r="15395" spans="1:8">
      <c r="A15395" s="317">
        <v>3600209500</v>
      </c>
      <c r="B15395" s="330" t="s">
        <v>59748</v>
      </c>
      <c r="C15395" s="330" t="s">
        <v>31910</v>
      </c>
      <c r="D15395" s="330" t="s">
        <v>6259</v>
      </c>
      <c r="E15395" s="330" t="s">
        <v>4819</v>
      </c>
      <c r="F15395" s="331">
        <v>0.21</v>
      </c>
      <c r="G15395" s="332">
        <v>5117</v>
      </c>
      <c r="H15395" s="333">
        <v>6192</v>
      </c>
    </row>
    <row r="15396" spans="1:8">
      <c r="A15396" s="317">
        <v>3600210002</v>
      </c>
      <c r="B15396" s="330" t="s">
        <v>59749</v>
      </c>
      <c r="C15396" s="330" t="s">
        <v>31911</v>
      </c>
      <c r="D15396" s="330" t="s">
        <v>21441</v>
      </c>
      <c r="E15396" s="330" t="s">
        <v>4634</v>
      </c>
      <c r="F15396" s="331">
        <v>0.21</v>
      </c>
      <c r="G15396" s="332">
        <v>372</v>
      </c>
      <c r="H15396" s="333">
        <v>451</v>
      </c>
    </row>
    <row r="15397" spans="1:8">
      <c r="A15397" s="317">
        <v>3600210006</v>
      </c>
      <c r="B15397" s="330" t="s">
        <v>59750</v>
      </c>
      <c r="C15397" s="330" t="s">
        <v>31912</v>
      </c>
      <c r="D15397" s="330" t="s">
        <v>31913</v>
      </c>
      <c r="E15397" s="330" t="s">
        <v>4634</v>
      </c>
      <c r="F15397" s="331">
        <v>0.21</v>
      </c>
      <c r="G15397" s="332">
        <v>412</v>
      </c>
      <c r="H15397" s="333">
        <v>499</v>
      </c>
    </row>
    <row r="15398" spans="1:8">
      <c r="A15398" s="317">
        <v>3600210012</v>
      </c>
      <c r="B15398" s="330" t="s">
        <v>59751</v>
      </c>
      <c r="C15398" s="330" t="s">
        <v>31914</v>
      </c>
      <c r="D15398" s="330" t="s">
        <v>31915</v>
      </c>
      <c r="E15398" s="330" t="s">
        <v>4819</v>
      </c>
      <c r="F15398" s="331">
        <v>0.21</v>
      </c>
      <c r="G15398" s="332">
        <v>863</v>
      </c>
      <c r="H15398" s="333">
        <v>1045</v>
      </c>
    </row>
    <row r="15399" spans="1:8">
      <c r="A15399" s="317">
        <v>3600210014</v>
      </c>
      <c r="B15399" s="330" t="s">
        <v>59752</v>
      </c>
      <c r="C15399" s="330" t="s">
        <v>31916</v>
      </c>
      <c r="D15399" s="330" t="s">
        <v>6485</v>
      </c>
      <c r="E15399" s="330" t="s">
        <v>37248</v>
      </c>
      <c r="F15399" s="331">
        <v>0.21</v>
      </c>
      <c r="G15399" s="332">
        <v>361</v>
      </c>
      <c r="H15399" s="333">
        <v>437</v>
      </c>
    </row>
    <row r="15400" spans="1:8">
      <c r="A15400" s="317">
        <v>3600210015</v>
      </c>
      <c r="B15400" s="330" t="s">
        <v>59753</v>
      </c>
      <c r="C15400" s="330" t="s">
        <v>31917</v>
      </c>
      <c r="D15400" s="330" t="s">
        <v>31918</v>
      </c>
      <c r="E15400" s="330" t="s">
        <v>4634</v>
      </c>
      <c r="F15400" s="331">
        <v>0.21</v>
      </c>
      <c r="G15400" s="332">
        <v>432</v>
      </c>
      <c r="H15400" s="333">
        <v>523</v>
      </c>
    </row>
    <row r="15401" spans="1:8">
      <c r="A15401" s="317">
        <v>3600210016</v>
      </c>
      <c r="B15401" s="330" t="s">
        <v>59754</v>
      </c>
      <c r="C15401" s="330" t="s">
        <v>31919</v>
      </c>
      <c r="D15401" s="330" t="s">
        <v>31920</v>
      </c>
      <c r="E15401" s="330" t="s">
        <v>4634</v>
      </c>
      <c r="F15401" s="331">
        <v>0.21</v>
      </c>
      <c r="G15401" s="332">
        <v>309</v>
      </c>
      <c r="H15401" s="333">
        <v>374</v>
      </c>
    </row>
    <row r="15402" spans="1:8">
      <c r="A15402" s="317">
        <v>3600210022</v>
      </c>
      <c r="B15402" s="330" t="s">
        <v>59755</v>
      </c>
      <c r="C15402" s="330" t="s">
        <v>31921</v>
      </c>
      <c r="D15402" s="330" t="s">
        <v>31922</v>
      </c>
      <c r="E15402" s="330" t="s">
        <v>4634</v>
      </c>
      <c r="F15402" s="331">
        <v>0.21</v>
      </c>
      <c r="G15402" s="332">
        <v>678</v>
      </c>
      <c r="H15402" s="333">
        <v>821</v>
      </c>
    </row>
    <row r="15403" spans="1:8">
      <c r="A15403" s="317">
        <v>3600210023</v>
      </c>
      <c r="B15403" s="330" t="s">
        <v>59756</v>
      </c>
      <c r="C15403" s="330" t="s">
        <v>31923</v>
      </c>
      <c r="D15403" s="330" t="s">
        <v>21455</v>
      </c>
      <c r="E15403" s="330" t="s">
        <v>4634</v>
      </c>
      <c r="F15403" s="331">
        <v>0.21</v>
      </c>
      <c r="G15403" s="332">
        <v>387</v>
      </c>
      <c r="H15403" s="333">
        <v>469</v>
      </c>
    </row>
    <row r="15404" spans="1:8">
      <c r="A15404" s="317">
        <v>3600210024</v>
      </c>
      <c r="B15404" s="330" t="s">
        <v>59757</v>
      </c>
      <c r="C15404" s="330" t="s">
        <v>31924</v>
      </c>
      <c r="D15404" s="330" t="s">
        <v>21455</v>
      </c>
      <c r="E15404" s="330" t="s">
        <v>4634</v>
      </c>
      <c r="F15404" s="331">
        <v>0.21</v>
      </c>
      <c r="G15404" s="332">
        <v>455</v>
      </c>
      <c r="H15404" s="333">
        <v>551</v>
      </c>
    </row>
    <row r="15405" spans="1:8">
      <c r="A15405" s="317">
        <v>3600210025</v>
      </c>
      <c r="B15405" s="330" t="s">
        <v>59758</v>
      </c>
      <c r="C15405" s="330" t="s">
        <v>31925</v>
      </c>
      <c r="D15405" s="330" t="s">
        <v>31926</v>
      </c>
      <c r="E15405" s="330" t="s">
        <v>4634</v>
      </c>
      <c r="F15405" s="331">
        <v>0.21</v>
      </c>
      <c r="G15405" s="332">
        <v>280</v>
      </c>
      <c r="H15405" s="333">
        <v>339</v>
      </c>
    </row>
    <row r="15406" spans="1:8">
      <c r="A15406" s="317">
        <v>3600210032</v>
      </c>
      <c r="B15406" s="330" t="s">
        <v>59759</v>
      </c>
      <c r="C15406" s="330" t="s">
        <v>31927</v>
      </c>
      <c r="D15406" s="330" t="s">
        <v>21485</v>
      </c>
      <c r="E15406" s="330" t="s">
        <v>4634</v>
      </c>
      <c r="F15406" s="331">
        <v>0.21</v>
      </c>
      <c r="G15406" s="332">
        <v>4437</v>
      </c>
      <c r="H15406" s="333">
        <v>5369</v>
      </c>
    </row>
    <row r="15407" spans="1:8">
      <c r="A15407" s="317">
        <v>3600210034</v>
      </c>
      <c r="B15407" s="330" t="s">
        <v>59760</v>
      </c>
      <c r="C15407" s="330" t="s">
        <v>31928</v>
      </c>
      <c r="D15407" s="330" t="s">
        <v>21485</v>
      </c>
      <c r="E15407" s="330" t="s">
        <v>4634</v>
      </c>
      <c r="F15407" s="331">
        <v>0.21</v>
      </c>
      <c r="G15407" s="332">
        <v>711</v>
      </c>
      <c r="H15407" s="333">
        <v>861</v>
      </c>
    </row>
    <row r="15408" spans="1:8">
      <c r="A15408" s="317">
        <v>3600210036</v>
      </c>
      <c r="B15408" s="330" t="s">
        <v>59761</v>
      </c>
      <c r="C15408" s="330" t="s">
        <v>31929</v>
      </c>
      <c r="D15408" s="330" t="s">
        <v>21443</v>
      </c>
      <c r="E15408" s="330" t="s">
        <v>4634</v>
      </c>
      <c r="F15408" s="331">
        <v>0.21</v>
      </c>
      <c r="G15408" s="332">
        <v>455</v>
      </c>
      <c r="H15408" s="333">
        <v>551</v>
      </c>
    </row>
    <row r="15409" spans="1:8">
      <c r="A15409" s="317">
        <v>3600210038</v>
      </c>
      <c r="B15409" s="330" t="s">
        <v>59762</v>
      </c>
      <c r="C15409" s="330" t="s">
        <v>31930</v>
      </c>
      <c r="D15409" s="330" t="s">
        <v>31931</v>
      </c>
      <c r="E15409" s="330" t="s">
        <v>4634</v>
      </c>
      <c r="F15409" s="331">
        <v>0.21</v>
      </c>
      <c r="G15409" s="332">
        <v>167</v>
      </c>
      <c r="H15409" s="333">
        <v>203</v>
      </c>
    </row>
    <row r="15410" spans="1:8">
      <c r="A15410" s="317">
        <v>3600210050</v>
      </c>
      <c r="B15410" s="330" t="s">
        <v>59763</v>
      </c>
      <c r="C15410" s="330" t="s">
        <v>31932</v>
      </c>
      <c r="D15410" s="330" t="s">
        <v>31933</v>
      </c>
      <c r="E15410" s="330" t="s">
        <v>4634</v>
      </c>
      <c r="F15410" s="331">
        <v>0.21</v>
      </c>
      <c r="G15410" s="332">
        <v>490</v>
      </c>
      <c r="H15410" s="333">
        <v>593</v>
      </c>
    </row>
    <row r="15411" spans="1:8">
      <c r="A15411" s="317">
        <v>3600210057</v>
      </c>
      <c r="B15411" s="330" t="s">
        <v>59764</v>
      </c>
      <c r="C15411" s="330" t="s">
        <v>31934</v>
      </c>
      <c r="D15411" s="330" t="s">
        <v>31935</v>
      </c>
      <c r="E15411" s="330" t="s">
        <v>4634</v>
      </c>
      <c r="F15411" s="331">
        <v>0.21</v>
      </c>
      <c r="G15411" s="332">
        <v>490</v>
      </c>
      <c r="H15411" s="333">
        <v>593</v>
      </c>
    </row>
    <row r="15412" spans="1:8">
      <c r="A15412" s="317">
        <v>3600210058</v>
      </c>
      <c r="B15412" s="330" t="s">
        <v>59765</v>
      </c>
      <c r="C15412" s="330" t="s">
        <v>31936</v>
      </c>
      <c r="D15412" s="330" t="s">
        <v>31937</v>
      </c>
      <c r="E15412" s="330" t="s">
        <v>4634</v>
      </c>
      <c r="F15412" s="331">
        <v>0.21</v>
      </c>
      <c r="G15412" s="332">
        <v>309</v>
      </c>
      <c r="H15412" s="333">
        <v>374</v>
      </c>
    </row>
    <row r="15413" spans="1:8">
      <c r="A15413" s="317">
        <v>3600210082</v>
      </c>
      <c r="B15413" s="330" t="s">
        <v>59766</v>
      </c>
      <c r="C15413" s="330" t="s">
        <v>31938</v>
      </c>
      <c r="D15413" s="330" t="s">
        <v>31939</v>
      </c>
      <c r="E15413" s="330" t="s">
        <v>4634</v>
      </c>
      <c r="F15413" s="331">
        <v>0.21</v>
      </c>
      <c r="G15413" s="332">
        <v>372</v>
      </c>
      <c r="H15413" s="333">
        <v>451</v>
      </c>
    </row>
    <row r="15414" spans="1:8">
      <c r="A15414" s="317">
        <v>3600210086</v>
      </c>
      <c r="B15414" s="330" t="s">
        <v>59767</v>
      </c>
      <c r="C15414" s="330" t="s">
        <v>31940</v>
      </c>
      <c r="D15414" s="330" t="s">
        <v>31941</v>
      </c>
      <c r="E15414" s="330" t="s">
        <v>4634</v>
      </c>
      <c r="F15414" s="331">
        <v>0.21</v>
      </c>
      <c r="G15414" s="332">
        <v>570</v>
      </c>
      <c r="H15414" s="333">
        <v>690</v>
      </c>
    </row>
    <row r="15415" spans="1:8">
      <c r="A15415" s="317">
        <v>3600210104</v>
      </c>
      <c r="B15415" s="330" t="s">
        <v>59768</v>
      </c>
      <c r="C15415" s="330" t="s">
        <v>31942</v>
      </c>
      <c r="D15415" s="330" t="s">
        <v>31943</v>
      </c>
      <c r="E15415" s="330" t="s">
        <v>4634</v>
      </c>
      <c r="F15415" s="331">
        <v>0.21</v>
      </c>
      <c r="G15415" s="332">
        <v>372</v>
      </c>
      <c r="H15415" s="333">
        <v>451</v>
      </c>
    </row>
    <row r="15416" spans="1:8">
      <c r="A15416" s="317">
        <v>3600210105</v>
      </c>
      <c r="B15416" s="330" t="s">
        <v>59769</v>
      </c>
      <c r="C15416" s="330" t="s">
        <v>31944</v>
      </c>
      <c r="D15416" s="330" t="s">
        <v>31943</v>
      </c>
      <c r="E15416" s="330" t="s">
        <v>4634</v>
      </c>
      <c r="F15416" s="331">
        <v>0.21</v>
      </c>
      <c r="G15416" s="332">
        <v>648</v>
      </c>
      <c r="H15416" s="333">
        <v>785</v>
      </c>
    </row>
    <row r="15417" spans="1:8">
      <c r="A15417" s="317">
        <v>3600210109</v>
      </c>
      <c r="B15417" s="330" t="s">
        <v>59770</v>
      </c>
      <c r="C15417" s="330" t="s">
        <v>31945</v>
      </c>
      <c r="D15417" s="330" t="s">
        <v>4602</v>
      </c>
      <c r="E15417" s="330" t="s">
        <v>37248</v>
      </c>
      <c r="F15417" s="331">
        <v>0.21</v>
      </c>
      <c r="G15417" s="332">
        <v>1566</v>
      </c>
      <c r="H15417" s="333">
        <v>1895</v>
      </c>
    </row>
    <row r="15418" spans="1:8">
      <c r="A15418" s="317">
        <v>3600210116</v>
      </c>
      <c r="B15418" s="330" t="s">
        <v>59771</v>
      </c>
      <c r="C15418" s="330" t="s">
        <v>31946</v>
      </c>
      <c r="D15418" s="330" t="s">
        <v>21460</v>
      </c>
      <c r="E15418" s="330" t="s">
        <v>4634</v>
      </c>
      <c r="F15418" s="331">
        <v>0.21</v>
      </c>
      <c r="G15418" s="332">
        <v>147</v>
      </c>
      <c r="H15418" s="333">
        <v>178</v>
      </c>
    </row>
    <row r="15419" spans="1:8">
      <c r="A15419" s="317">
        <v>3600210120</v>
      </c>
      <c r="B15419" s="330" t="s">
        <v>59772</v>
      </c>
      <c r="C15419" s="330" t="s">
        <v>31947</v>
      </c>
      <c r="D15419" s="330" t="s">
        <v>31948</v>
      </c>
      <c r="E15419" s="330" t="s">
        <v>4634</v>
      </c>
      <c r="F15419" s="331">
        <v>0.21</v>
      </c>
      <c r="G15419" s="332">
        <v>490</v>
      </c>
      <c r="H15419" s="333">
        <v>593</v>
      </c>
    </row>
    <row r="15420" spans="1:8">
      <c r="A15420" s="317">
        <v>3600210124</v>
      </c>
      <c r="B15420" s="330" t="s">
        <v>59773</v>
      </c>
      <c r="C15420" s="330" t="s">
        <v>31949</v>
      </c>
      <c r="D15420" s="330" t="s">
        <v>31950</v>
      </c>
      <c r="E15420" s="330" t="s">
        <v>4634</v>
      </c>
      <c r="F15420" s="331">
        <v>0.21</v>
      </c>
      <c r="G15420" s="332">
        <v>432</v>
      </c>
      <c r="H15420" s="333">
        <v>523</v>
      </c>
    </row>
    <row r="15421" spans="1:8">
      <c r="A15421" s="317">
        <v>3600210128</v>
      </c>
      <c r="B15421" s="330" t="s">
        <v>59774</v>
      </c>
      <c r="C15421" s="330" t="s">
        <v>31951</v>
      </c>
      <c r="D15421" s="330" t="s">
        <v>31952</v>
      </c>
      <c r="E15421" s="330" t="s">
        <v>4634</v>
      </c>
      <c r="F15421" s="331">
        <v>0.21</v>
      </c>
      <c r="G15421" s="332">
        <v>1008</v>
      </c>
      <c r="H15421" s="333">
        <v>1220</v>
      </c>
    </row>
    <row r="15422" spans="1:8">
      <c r="A15422" s="317">
        <v>3600210129</v>
      </c>
      <c r="B15422" s="330" t="s">
        <v>59775</v>
      </c>
      <c r="C15422" s="330" t="s">
        <v>31953</v>
      </c>
      <c r="D15422" s="330" t="s">
        <v>31954</v>
      </c>
      <c r="E15422" s="330" t="s">
        <v>4634</v>
      </c>
      <c r="F15422" s="331">
        <v>0.21</v>
      </c>
      <c r="G15422" s="332">
        <v>1365</v>
      </c>
      <c r="H15422" s="333">
        <v>1652</v>
      </c>
    </row>
    <row r="15423" spans="1:8">
      <c r="A15423" s="317">
        <v>3600210130</v>
      </c>
      <c r="B15423" s="330" t="s">
        <v>59776</v>
      </c>
      <c r="C15423" s="330" t="s">
        <v>31955</v>
      </c>
      <c r="D15423" s="330" t="s">
        <v>31952</v>
      </c>
      <c r="E15423" s="330" t="s">
        <v>4634</v>
      </c>
      <c r="F15423" s="331">
        <v>0.21</v>
      </c>
      <c r="G15423" s="332">
        <v>167</v>
      </c>
      <c r="H15423" s="333">
        <v>203</v>
      </c>
    </row>
    <row r="15424" spans="1:8">
      <c r="A15424" s="317">
        <v>3600210136</v>
      </c>
      <c r="B15424" s="330" t="s">
        <v>59777</v>
      </c>
      <c r="C15424" s="330" t="s">
        <v>31956</v>
      </c>
      <c r="D15424" s="330" t="s">
        <v>4814</v>
      </c>
      <c r="E15424" s="330" t="s">
        <v>37248</v>
      </c>
      <c r="F15424" s="331">
        <v>0.21</v>
      </c>
      <c r="G15424" s="332">
        <v>305</v>
      </c>
      <c r="H15424" s="333">
        <v>370</v>
      </c>
    </row>
    <row r="15425" spans="1:8">
      <c r="A15425" s="317">
        <v>3600210506</v>
      </c>
      <c r="B15425" s="330" t="s">
        <v>59778</v>
      </c>
      <c r="C15425" s="330" t="s">
        <v>31957</v>
      </c>
      <c r="D15425" s="330" t="s">
        <v>31958</v>
      </c>
      <c r="E15425" s="330" t="s">
        <v>4634</v>
      </c>
      <c r="F15425" s="331">
        <v>0.21</v>
      </c>
      <c r="G15425" s="332">
        <v>584</v>
      </c>
      <c r="H15425" s="333">
        <v>707</v>
      </c>
    </row>
    <row r="15426" spans="1:8">
      <c r="A15426" s="317">
        <v>3600210507</v>
      </c>
      <c r="B15426" s="330" t="s">
        <v>59779</v>
      </c>
      <c r="C15426" s="330" t="s">
        <v>31959</v>
      </c>
      <c r="D15426" s="330" t="s">
        <v>21441</v>
      </c>
      <c r="E15426" s="330" t="s">
        <v>4634</v>
      </c>
      <c r="F15426" s="331">
        <v>0.21</v>
      </c>
      <c r="G15426" s="332">
        <v>584</v>
      </c>
      <c r="H15426" s="333">
        <v>707</v>
      </c>
    </row>
    <row r="15427" spans="1:8">
      <c r="A15427" s="317">
        <v>3600222005</v>
      </c>
      <c r="B15427" s="330" t="s">
        <v>59780</v>
      </c>
      <c r="C15427" s="330" t="s">
        <v>31960</v>
      </c>
      <c r="D15427" s="330" t="s">
        <v>31858</v>
      </c>
      <c r="E15427" s="330" t="s">
        <v>4634</v>
      </c>
      <c r="F15427" s="331">
        <v>0.21</v>
      </c>
      <c r="G15427" s="332">
        <v>7787</v>
      </c>
      <c r="H15427" s="333">
        <v>9423</v>
      </c>
    </row>
    <row r="15428" spans="1:8">
      <c r="A15428" s="317">
        <v>3600224001</v>
      </c>
      <c r="B15428" s="330" t="s">
        <v>59781</v>
      </c>
      <c r="C15428" s="330" t="s">
        <v>31961</v>
      </c>
      <c r="D15428" s="330" t="s">
        <v>31962</v>
      </c>
      <c r="E15428" s="330" t="s">
        <v>4634</v>
      </c>
      <c r="F15428" s="331">
        <v>0.21</v>
      </c>
      <c r="G15428" s="332">
        <v>711</v>
      </c>
      <c r="H15428" s="333">
        <v>861</v>
      </c>
    </row>
    <row r="15429" spans="1:8">
      <c r="A15429" s="317">
        <v>3600224005</v>
      </c>
      <c r="B15429" s="330" t="s">
        <v>59782</v>
      </c>
      <c r="C15429" s="330" t="s">
        <v>31963</v>
      </c>
      <c r="D15429" s="330" t="s">
        <v>31964</v>
      </c>
      <c r="E15429" s="330" t="s">
        <v>4634</v>
      </c>
      <c r="F15429" s="331">
        <v>0.21</v>
      </c>
      <c r="G15429" s="332">
        <v>180</v>
      </c>
      <c r="H15429" s="333">
        <v>218</v>
      </c>
    </row>
    <row r="15430" spans="1:8">
      <c r="A15430" s="317">
        <v>3600224006</v>
      </c>
      <c r="B15430" s="330" t="s">
        <v>59783</v>
      </c>
      <c r="C15430" s="330" t="s">
        <v>31965</v>
      </c>
      <c r="D15430" s="330" t="s">
        <v>31966</v>
      </c>
      <c r="E15430" s="330" t="s">
        <v>4634</v>
      </c>
      <c r="F15430" s="331">
        <v>0.21</v>
      </c>
      <c r="G15430" s="332">
        <v>131</v>
      </c>
      <c r="H15430" s="333">
        <v>159</v>
      </c>
    </row>
    <row r="15431" spans="1:8">
      <c r="A15431" s="317">
        <v>3600224008</v>
      </c>
      <c r="B15431" s="330" t="s">
        <v>59784</v>
      </c>
      <c r="C15431" s="330" t="s">
        <v>31967</v>
      </c>
      <c r="D15431" s="330" t="s">
        <v>6259</v>
      </c>
      <c r="E15431" s="330" t="s">
        <v>4634</v>
      </c>
      <c r="F15431" s="331">
        <v>0.21</v>
      </c>
      <c r="G15431" s="332">
        <v>372</v>
      </c>
      <c r="H15431" s="333">
        <v>451</v>
      </c>
    </row>
    <row r="15432" spans="1:8">
      <c r="A15432" s="317">
        <v>3600224011</v>
      </c>
      <c r="B15432" s="330" t="s">
        <v>59785</v>
      </c>
      <c r="C15432" s="330" t="s">
        <v>31968</v>
      </c>
      <c r="D15432" s="330" t="s">
        <v>31969</v>
      </c>
      <c r="E15432" s="330" t="s">
        <v>4634</v>
      </c>
      <c r="F15432" s="331">
        <v>0.21</v>
      </c>
      <c r="G15432" s="332">
        <v>2766</v>
      </c>
      <c r="H15432" s="333">
        <v>3347</v>
      </c>
    </row>
    <row r="15433" spans="1:8">
      <c r="A15433" s="317">
        <v>3600224021</v>
      </c>
      <c r="B15433" s="330" t="s">
        <v>59786</v>
      </c>
      <c r="C15433" s="330" t="s">
        <v>31970</v>
      </c>
      <c r="D15433" s="330" t="s">
        <v>31971</v>
      </c>
      <c r="E15433" s="330" t="s">
        <v>4634</v>
      </c>
      <c r="F15433" s="331">
        <v>0.21</v>
      </c>
      <c r="G15433" s="332">
        <v>3047</v>
      </c>
      <c r="H15433" s="333">
        <v>3687</v>
      </c>
    </row>
    <row r="15434" spans="1:8">
      <c r="A15434" s="317">
        <v>3600224035</v>
      </c>
      <c r="B15434" s="330" t="s">
        <v>59787</v>
      </c>
      <c r="C15434" s="330" t="s">
        <v>31972</v>
      </c>
      <c r="D15434" s="330" t="s">
        <v>31973</v>
      </c>
      <c r="E15434" s="330" t="s">
        <v>4634</v>
      </c>
      <c r="F15434" s="331">
        <v>0.21</v>
      </c>
      <c r="G15434" s="332">
        <v>372</v>
      </c>
      <c r="H15434" s="333">
        <v>451</v>
      </c>
    </row>
    <row r="15435" spans="1:8">
      <c r="A15435" s="317">
        <v>3600224038</v>
      </c>
      <c r="B15435" s="330" t="s">
        <v>59788</v>
      </c>
      <c r="C15435" s="330" t="s">
        <v>31974</v>
      </c>
      <c r="D15435" s="330" t="s">
        <v>31975</v>
      </c>
      <c r="E15435" s="330" t="s">
        <v>4634</v>
      </c>
      <c r="F15435" s="331">
        <v>0.21</v>
      </c>
      <c r="G15435" s="332">
        <v>2128</v>
      </c>
      <c r="H15435" s="333">
        <v>2575</v>
      </c>
    </row>
    <row r="15436" spans="1:8">
      <c r="A15436" s="317">
        <v>3600224039</v>
      </c>
      <c r="B15436" s="330" t="s">
        <v>59789</v>
      </c>
      <c r="C15436" s="330" t="s">
        <v>31976</v>
      </c>
      <c r="D15436" s="330" t="s">
        <v>31977</v>
      </c>
      <c r="E15436" s="330" t="s">
        <v>4634</v>
      </c>
      <c r="F15436" s="331">
        <v>0.21</v>
      </c>
      <c r="G15436" s="332">
        <v>1139</v>
      </c>
      <c r="H15436" s="333">
        <v>1379</v>
      </c>
    </row>
    <row r="15437" spans="1:8">
      <c r="A15437" s="317">
        <v>3600224053</v>
      </c>
      <c r="B15437" s="330" t="s">
        <v>59790</v>
      </c>
      <c r="C15437" s="330" t="s">
        <v>31978</v>
      </c>
      <c r="D15437" s="330" t="s">
        <v>31979</v>
      </c>
      <c r="E15437" s="330" t="s">
        <v>4634</v>
      </c>
      <c r="F15437" s="331">
        <v>0.21</v>
      </c>
      <c r="G15437" s="332">
        <v>309</v>
      </c>
      <c r="H15437" s="333">
        <v>374</v>
      </c>
    </row>
    <row r="15438" spans="1:8">
      <c r="A15438" s="317">
        <v>3600224059</v>
      </c>
      <c r="B15438" s="330" t="s">
        <v>59791</v>
      </c>
      <c r="C15438" s="330" t="s">
        <v>31980</v>
      </c>
      <c r="D15438" s="330" t="s">
        <v>31981</v>
      </c>
      <c r="E15438" s="330" t="s">
        <v>4634</v>
      </c>
      <c r="F15438" s="331">
        <v>0.21</v>
      </c>
      <c r="G15438" s="332">
        <v>711</v>
      </c>
      <c r="H15438" s="333">
        <v>861</v>
      </c>
    </row>
    <row r="15439" spans="1:8">
      <c r="A15439" s="317">
        <v>3600224063</v>
      </c>
      <c r="B15439" s="330" t="s">
        <v>59792</v>
      </c>
      <c r="C15439" s="330" t="s">
        <v>31982</v>
      </c>
      <c r="D15439" s="330" t="s">
        <v>21487</v>
      </c>
      <c r="E15439" s="330" t="s">
        <v>4634</v>
      </c>
      <c r="F15439" s="331">
        <v>0.21</v>
      </c>
      <c r="G15439" s="332">
        <v>648</v>
      </c>
      <c r="H15439" s="333">
        <v>785</v>
      </c>
    </row>
    <row r="15440" spans="1:8">
      <c r="A15440" s="317">
        <v>3600224064</v>
      </c>
      <c r="B15440" s="330" t="s">
        <v>59793</v>
      </c>
      <c r="C15440" s="330" t="s">
        <v>31983</v>
      </c>
      <c r="D15440" s="330" t="s">
        <v>31984</v>
      </c>
      <c r="E15440" s="330" t="s">
        <v>4634</v>
      </c>
      <c r="F15440" s="331">
        <v>0.21</v>
      </c>
      <c r="G15440" s="332">
        <v>289</v>
      </c>
      <c r="H15440" s="333">
        <v>350</v>
      </c>
    </row>
    <row r="15441" spans="1:8">
      <c r="A15441" s="317">
        <v>3600232504</v>
      </c>
      <c r="B15441" s="330" t="s">
        <v>59794</v>
      </c>
      <c r="C15441" s="330" t="s">
        <v>31985</v>
      </c>
      <c r="D15441" s="330" t="s">
        <v>31986</v>
      </c>
      <c r="E15441" s="330" t="s">
        <v>4634</v>
      </c>
      <c r="F15441" s="331">
        <v>0.21</v>
      </c>
      <c r="G15441" s="332">
        <v>1043</v>
      </c>
      <c r="H15441" s="333">
        <v>1263</v>
      </c>
    </row>
    <row r="15442" spans="1:8">
      <c r="A15442" s="317">
        <v>3600240500</v>
      </c>
      <c r="B15442" s="330" t="s">
        <v>59795</v>
      </c>
      <c r="C15442" s="330" t="s">
        <v>31987</v>
      </c>
      <c r="D15442" s="330" t="s">
        <v>31988</v>
      </c>
      <c r="E15442" s="330" t="s">
        <v>4634</v>
      </c>
      <c r="F15442" s="331">
        <v>0.21</v>
      </c>
      <c r="G15442" s="332">
        <v>1043</v>
      </c>
      <c r="H15442" s="333">
        <v>1263</v>
      </c>
    </row>
    <row r="15443" spans="1:8">
      <c r="A15443" s="317">
        <v>3600250002</v>
      </c>
      <c r="B15443" s="330" t="s">
        <v>59796</v>
      </c>
      <c r="C15443" s="330" t="s">
        <v>31989</v>
      </c>
      <c r="D15443" s="330" t="s">
        <v>31990</v>
      </c>
      <c r="E15443" s="330" t="s">
        <v>4634</v>
      </c>
      <c r="F15443" s="331">
        <v>0.21</v>
      </c>
      <c r="G15443" s="332">
        <v>1692</v>
      </c>
      <c r="H15443" s="333">
        <v>2048</v>
      </c>
    </row>
    <row r="15444" spans="1:8">
      <c r="A15444" s="317">
        <v>3600250004</v>
      </c>
      <c r="B15444" s="330" t="s">
        <v>59797</v>
      </c>
      <c r="C15444" s="330" t="s">
        <v>31991</v>
      </c>
      <c r="D15444" s="330" t="s">
        <v>31992</v>
      </c>
      <c r="E15444" s="330" t="s">
        <v>4634</v>
      </c>
      <c r="F15444" s="331">
        <v>0.21</v>
      </c>
      <c r="G15444" s="332">
        <v>1692</v>
      </c>
      <c r="H15444" s="333">
        <v>2048</v>
      </c>
    </row>
    <row r="15445" spans="1:8">
      <c r="A15445" s="317">
        <v>3600283013</v>
      </c>
      <c r="B15445" s="330" t="s">
        <v>59798</v>
      </c>
      <c r="C15445" s="330" t="s">
        <v>31993</v>
      </c>
      <c r="D15445" s="330" t="s">
        <v>31994</v>
      </c>
      <c r="E15445" s="330" t="s">
        <v>4819</v>
      </c>
      <c r="F15445" s="331">
        <v>0.21</v>
      </c>
      <c r="G15445" s="332">
        <v>3961</v>
      </c>
      <c r="H15445" s="333">
        <v>4793</v>
      </c>
    </row>
    <row r="15446" spans="1:8">
      <c r="A15446" s="317">
        <v>3600283045</v>
      </c>
      <c r="B15446" s="330" t="s">
        <v>59799</v>
      </c>
      <c r="C15446" s="330" t="s">
        <v>31995</v>
      </c>
      <c r="D15446" s="330" t="s">
        <v>31996</v>
      </c>
      <c r="E15446" s="330" t="s">
        <v>4634</v>
      </c>
      <c r="F15446" s="331">
        <v>0.21</v>
      </c>
      <c r="G15446" s="332">
        <v>892</v>
      </c>
      <c r="H15446" s="333">
        <v>1080</v>
      </c>
    </row>
    <row r="15447" spans="1:8">
      <c r="A15447" s="317">
        <v>3600290001</v>
      </c>
      <c r="B15447" s="330" t="s">
        <v>59800</v>
      </c>
      <c r="C15447" s="330" t="s">
        <v>31997</v>
      </c>
      <c r="D15447" s="330" t="s">
        <v>31998</v>
      </c>
      <c r="E15447" s="330" t="s">
        <v>4634</v>
      </c>
      <c r="F15447" s="331">
        <v>0.21</v>
      </c>
      <c r="G15447" s="332">
        <v>570</v>
      </c>
      <c r="H15447" s="333">
        <v>690</v>
      </c>
    </row>
    <row r="15448" spans="1:8">
      <c r="A15448" s="317">
        <v>3600290004</v>
      </c>
      <c r="B15448" s="330" t="s">
        <v>59801</v>
      </c>
      <c r="C15448" s="330" t="s">
        <v>31999</v>
      </c>
      <c r="D15448" s="330" t="s">
        <v>15019</v>
      </c>
      <c r="E15448" s="330" t="s">
        <v>4634</v>
      </c>
      <c r="F15448" s="331">
        <v>0.21</v>
      </c>
      <c r="G15448" s="332">
        <v>319</v>
      </c>
      <c r="H15448" s="333">
        <v>386</v>
      </c>
    </row>
    <row r="15449" spans="1:8">
      <c r="A15449" s="317">
        <v>3600290502</v>
      </c>
      <c r="B15449" s="330" t="s">
        <v>59802</v>
      </c>
      <c r="C15449" s="330" t="s">
        <v>32000</v>
      </c>
      <c r="D15449" s="330" t="s">
        <v>32001</v>
      </c>
      <c r="E15449" s="330" t="s">
        <v>37248</v>
      </c>
      <c r="F15449" s="331">
        <v>0.21</v>
      </c>
      <c r="G15449" s="332">
        <v>4535</v>
      </c>
      <c r="H15449" s="333">
        <v>5488</v>
      </c>
    </row>
    <row r="15450" spans="1:8">
      <c r="A15450" s="317">
        <v>3600290503</v>
      </c>
      <c r="B15450" s="330" t="s">
        <v>59803</v>
      </c>
      <c r="C15450" s="330" t="s">
        <v>32002</v>
      </c>
      <c r="D15450" s="330" t="s">
        <v>32003</v>
      </c>
      <c r="E15450" s="330" t="s">
        <v>4819</v>
      </c>
      <c r="F15450" s="331">
        <v>0.21</v>
      </c>
      <c r="G15450" s="332">
        <v>3865</v>
      </c>
      <c r="H15450" s="333">
        <v>4677</v>
      </c>
    </row>
    <row r="15451" spans="1:8">
      <c r="A15451" s="317">
        <v>3600300021</v>
      </c>
      <c r="B15451" s="330" t="s">
        <v>59804</v>
      </c>
      <c r="C15451" s="330" t="s">
        <v>32004</v>
      </c>
      <c r="D15451" s="330" t="s">
        <v>22113</v>
      </c>
      <c r="E15451" s="330" t="s">
        <v>4634</v>
      </c>
      <c r="F15451" s="331">
        <v>0.21</v>
      </c>
      <c r="G15451" s="332">
        <v>7069</v>
      </c>
      <c r="H15451" s="333">
        <v>8554</v>
      </c>
    </row>
    <row r="15452" spans="1:8">
      <c r="A15452" s="317">
        <v>3600300060</v>
      </c>
      <c r="B15452" s="330" t="s">
        <v>59805</v>
      </c>
      <c r="C15452" s="330" t="s">
        <v>32005</v>
      </c>
      <c r="D15452" s="330" t="s">
        <v>32006</v>
      </c>
      <c r="E15452" s="330" t="s">
        <v>4634</v>
      </c>
      <c r="F15452" s="331">
        <v>0.21</v>
      </c>
      <c r="G15452" s="332">
        <v>678</v>
      </c>
      <c r="H15452" s="333">
        <v>821</v>
      </c>
    </row>
    <row r="15453" spans="1:8">
      <c r="A15453" s="317">
        <v>3600300061</v>
      </c>
      <c r="B15453" s="330" t="s">
        <v>59806</v>
      </c>
      <c r="C15453" s="330" t="s">
        <v>32007</v>
      </c>
      <c r="D15453" s="330" t="s">
        <v>32006</v>
      </c>
      <c r="E15453" s="330" t="s">
        <v>4634</v>
      </c>
      <c r="F15453" s="331">
        <v>0.21</v>
      </c>
      <c r="G15453" s="332">
        <v>2059</v>
      </c>
      <c r="H15453" s="333">
        <v>2492</v>
      </c>
    </row>
    <row r="15454" spans="1:8">
      <c r="A15454" s="317">
        <v>3600300063</v>
      </c>
      <c r="B15454" s="330" t="s">
        <v>59807</v>
      </c>
      <c r="C15454" s="330" t="s">
        <v>32008</v>
      </c>
      <c r="D15454" s="330" t="s">
        <v>32009</v>
      </c>
      <c r="E15454" s="330" t="s">
        <v>4634</v>
      </c>
      <c r="F15454" s="331">
        <v>0.21</v>
      </c>
      <c r="G15454" s="332">
        <v>550</v>
      </c>
      <c r="H15454" s="333">
        <v>666</v>
      </c>
    </row>
    <row r="15455" spans="1:8">
      <c r="A15455" s="317">
        <v>3600300074</v>
      </c>
      <c r="B15455" s="330" t="s">
        <v>59808</v>
      </c>
      <c r="C15455" s="330" t="s">
        <v>32010</v>
      </c>
      <c r="D15455" s="330" t="s">
        <v>32011</v>
      </c>
      <c r="E15455" s="330" t="s">
        <v>4819</v>
      </c>
      <c r="F15455" s="331">
        <v>0.21</v>
      </c>
      <c r="G15455" s="332">
        <v>5034</v>
      </c>
      <c r="H15455" s="333">
        <v>6092</v>
      </c>
    </row>
    <row r="15456" spans="1:8">
      <c r="A15456" s="317">
        <v>3600301007</v>
      </c>
      <c r="B15456" s="330" t="s">
        <v>59809</v>
      </c>
      <c r="C15456" s="330" t="s">
        <v>32012</v>
      </c>
      <c r="D15456" s="330" t="s">
        <v>32013</v>
      </c>
      <c r="E15456" s="330" t="s">
        <v>4634</v>
      </c>
      <c r="F15456" s="331">
        <v>0.21</v>
      </c>
      <c r="G15456" s="332">
        <v>1030</v>
      </c>
      <c r="H15456" s="333">
        <v>1247</v>
      </c>
    </row>
    <row r="15457" spans="1:8">
      <c r="A15457" s="317">
        <v>3600301501</v>
      </c>
      <c r="B15457" s="330" t="s">
        <v>59810</v>
      </c>
      <c r="C15457" s="330" t="s">
        <v>32014</v>
      </c>
      <c r="D15457" s="330" t="s">
        <v>32015</v>
      </c>
      <c r="E15457" s="330" t="s">
        <v>4634</v>
      </c>
      <c r="F15457" s="331">
        <v>0.21</v>
      </c>
      <c r="G15457" s="332">
        <v>648</v>
      </c>
      <c r="H15457" s="333">
        <v>785</v>
      </c>
    </row>
    <row r="15458" spans="1:8">
      <c r="A15458" s="317">
        <v>3600301502</v>
      </c>
      <c r="B15458" s="330" t="s">
        <v>59811</v>
      </c>
      <c r="C15458" s="330" t="s">
        <v>32016</v>
      </c>
      <c r="D15458" s="330" t="s">
        <v>32015</v>
      </c>
      <c r="E15458" s="330" t="s">
        <v>4634</v>
      </c>
      <c r="F15458" s="331">
        <v>0.21</v>
      </c>
      <c r="G15458" s="332">
        <v>648</v>
      </c>
      <c r="H15458" s="333">
        <v>785</v>
      </c>
    </row>
    <row r="15459" spans="1:8">
      <c r="A15459" s="317">
        <v>3600301510</v>
      </c>
      <c r="B15459" s="330" t="s">
        <v>59812</v>
      </c>
      <c r="C15459" s="330" t="s">
        <v>32017</v>
      </c>
      <c r="D15459" s="330" t="s">
        <v>32018</v>
      </c>
      <c r="E15459" s="330" t="s">
        <v>4634</v>
      </c>
      <c r="F15459" s="331">
        <v>0.21</v>
      </c>
      <c r="G15459" s="332">
        <v>3036</v>
      </c>
      <c r="H15459" s="333">
        <v>3674</v>
      </c>
    </row>
    <row r="15460" spans="1:8">
      <c r="A15460" s="317">
        <v>3600309003</v>
      </c>
      <c r="B15460" s="330" t="s">
        <v>59813</v>
      </c>
      <c r="C15460" s="330" t="s">
        <v>32019</v>
      </c>
      <c r="D15460" s="330" t="s">
        <v>32020</v>
      </c>
      <c r="E15460" s="330" t="s">
        <v>4819</v>
      </c>
      <c r="F15460" s="331">
        <v>0.21</v>
      </c>
      <c r="G15460" s="332">
        <v>3607</v>
      </c>
      <c r="H15460" s="333">
        <v>4365</v>
      </c>
    </row>
    <row r="15461" spans="1:8">
      <c r="A15461" s="317">
        <v>3600311001</v>
      </c>
      <c r="B15461" s="330" t="s">
        <v>59814</v>
      </c>
      <c r="C15461" s="330" t="s">
        <v>32021</v>
      </c>
      <c r="D15461" s="330" t="s">
        <v>32022</v>
      </c>
      <c r="E15461" s="330" t="s">
        <v>4634</v>
      </c>
      <c r="F15461" s="331">
        <v>0.21</v>
      </c>
      <c r="G15461" s="332">
        <v>3524</v>
      </c>
      <c r="H15461" s="333">
        <v>4265</v>
      </c>
    </row>
    <row r="15462" spans="1:8">
      <c r="A15462" s="317">
        <v>3600311007</v>
      </c>
      <c r="B15462" s="330" t="s">
        <v>59815</v>
      </c>
      <c r="C15462" s="330" t="s">
        <v>32023</v>
      </c>
      <c r="D15462" s="330" t="s">
        <v>32024</v>
      </c>
      <c r="E15462" s="330" t="s">
        <v>4634</v>
      </c>
      <c r="F15462" s="331">
        <v>0.21</v>
      </c>
      <c r="G15462" s="332">
        <v>1405</v>
      </c>
      <c r="H15462" s="333">
        <v>1701</v>
      </c>
    </row>
    <row r="15463" spans="1:8">
      <c r="A15463" s="317">
        <v>3600311012</v>
      </c>
      <c r="B15463" s="330" t="s">
        <v>59816</v>
      </c>
      <c r="C15463" s="330" t="s">
        <v>32025</v>
      </c>
      <c r="D15463" s="330" t="s">
        <v>32026</v>
      </c>
      <c r="E15463" s="330" t="s">
        <v>4634</v>
      </c>
      <c r="F15463" s="331">
        <v>0.21</v>
      </c>
      <c r="G15463" s="332">
        <v>7787</v>
      </c>
      <c r="H15463" s="333">
        <v>9423</v>
      </c>
    </row>
    <row r="15464" spans="1:8">
      <c r="A15464" s="317">
        <v>3600311015</v>
      </c>
      <c r="B15464" s="330" t="s">
        <v>59817</v>
      </c>
      <c r="C15464" s="330" t="s">
        <v>32027</v>
      </c>
      <c r="D15464" s="330" t="s">
        <v>32028</v>
      </c>
      <c r="E15464" s="330" t="s">
        <v>4819</v>
      </c>
      <c r="F15464" s="331">
        <v>0.21</v>
      </c>
      <c r="G15464" s="332">
        <v>12686</v>
      </c>
      <c r="H15464" s="333">
        <v>15351</v>
      </c>
    </row>
    <row r="15465" spans="1:8">
      <c r="A15465" s="317">
        <v>3600311016</v>
      </c>
      <c r="B15465" s="330" t="s">
        <v>59818</v>
      </c>
      <c r="C15465" s="330" t="s">
        <v>32029</v>
      </c>
      <c r="D15465" s="330" t="s">
        <v>17403</v>
      </c>
      <c r="E15465" s="330" t="s">
        <v>4819</v>
      </c>
      <c r="F15465" s="331">
        <v>0.21</v>
      </c>
      <c r="G15465" s="332">
        <v>7430</v>
      </c>
      <c r="H15465" s="333">
        <v>8991</v>
      </c>
    </row>
    <row r="15466" spans="1:8">
      <c r="A15466" s="317">
        <v>3600313007</v>
      </c>
      <c r="B15466" s="330" t="s">
        <v>59819</v>
      </c>
      <c r="C15466" s="330" t="s">
        <v>32030</v>
      </c>
      <c r="D15466" s="330" t="s">
        <v>32031</v>
      </c>
      <c r="E15466" s="330" t="s">
        <v>4634</v>
      </c>
      <c r="F15466" s="331">
        <v>0.21</v>
      </c>
      <c r="G15466" s="332">
        <v>11425</v>
      </c>
      <c r="H15466" s="333">
        <v>13825</v>
      </c>
    </row>
    <row r="15467" spans="1:8">
      <c r="A15467" s="317">
        <v>3600313011</v>
      </c>
      <c r="B15467" s="330" t="s">
        <v>59820</v>
      </c>
      <c r="C15467" s="330" t="s">
        <v>32032</v>
      </c>
      <c r="D15467" s="330" t="s">
        <v>32033</v>
      </c>
      <c r="E15467" s="330" t="s">
        <v>4634</v>
      </c>
      <c r="F15467" s="331">
        <v>0.21</v>
      </c>
      <c r="G15467" s="332">
        <v>791</v>
      </c>
      <c r="H15467" s="333">
        <v>958</v>
      </c>
    </row>
    <row r="15468" spans="1:8">
      <c r="A15468" s="317">
        <v>3600320005</v>
      </c>
      <c r="B15468" s="330" t="s">
        <v>59821</v>
      </c>
      <c r="C15468" s="330" t="s">
        <v>32034</v>
      </c>
      <c r="D15468" s="330" t="s">
        <v>32035</v>
      </c>
      <c r="E15468" s="330" t="s">
        <v>4634</v>
      </c>
      <c r="F15468" s="331">
        <v>0.21</v>
      </c>
      <c r="G15468" s="332">
        <v>3024</v>
      </c>
      <c r="H15468" s="333">
        <v>3660</v>
      </c>
    </row>
    <row r="15469" spans="1:8">
      <c r="A15469" s="317">
        <v>3600320015</v>
      </c>
      <c r="B15469" s="330" t="s">
        <v>59822</v>
      </c>
      <c r="C15469" s="330" t="s">
        <v>32036</v>
      </c>
      <c r="D15469" s="330" t="s">
        <v>32037</v>
      </c>
      <c r="E15469" s="330" t="s">
        <v>4819</v>
      </c>
      <c r="F15469" s="331">
        <v>0.21</v>
      </c>
      <c r="G15469" s="332">
        <v>11421</v>
      </c>
      <c r="H15469" s="333">
        <v>13820</v>
      </c>
    </row>
    <row r="15470" spans="1:8">
      <c r="A15470" s="317">
        <v>3600320016</v>
      </c>
      <c r="B15470" s="330" t="s">
        <v>59823</v>
      </c>
      <c r="C15470" s="330" t="s">
        <v>32038</v>
      </c>
      <c r="D15470" s="330" t="s">
        <v>32039</v>
      </c>
      <c r="E15470" s="330" t="s">
        <v>4623</v>
      </c>
      <c r="F15470" s="331">
        <v>0.21</v>
      </c>
      <c r="G15470" s="332">
        <v>3415</v>
      </c>
      <c r="H15470" s="333">
        <v>4133</v>
      </c>
    </row>
    <row r="15471" spans="1:8">
      <c r="A15471" s="317" t="s">
        <v>32040</v>
      </c>
      <c r="B15471" s="330" t="s">
        <v>32040</v>
      </c>
      <c r="C15471" s="330" t="s">
        <v>32041</v>
      </c>
      <c r="D15471" s="330" t="s">
        <v>32042</v>
      </c>
      <c r="E15471" s="330" t="s">
        <v>4819</v>
      </c>
      <c r="F15471" s="331">
        <v>0.21</v>
      </c>
      <c r="G15471" s="332">
        <v>7995</v>
      </c>
      <c r="H15471" s="333">
        <v>9674</v>
      </c>
    </row>
    <row r="15472" spans="1:8">
      <c r="A15472" s="317">
        <v>3600320017</v>
      </c>
      <c r="B15472" s="330" t="s">
        <v>59824</v>
      </c>
      <c r="C15472" s="330" t="s">
        <v>32043</v>
      </c>
      <c r="D15472" s="330" t="s">
        <v>6249</v>
      </c>
      <c r="E15472" s="330" t="s">
        <v>4819</v>
      </c>
      <c r="F15472" s="331">
        <v>0.21</v>
      </c>
      <c r="G15472" s="332">
        <v>6562</v>
      </c>
      <c r="H15472" s="333">
        <v>7941</v>
      </c>
    </row>
    <row r="15473" spans="1:8">
      <c r="A15473" s="317">
        <v>3600323000</v>
      </c>
      <c r="B15473" s="330" t="s">
        <v>59825</v>
      </c>
      <c r="C15473" s="330" t="s">
        <v>32044</v>
      </c>
      <c r="D15473" s="330" t="s">
        <v>32045</v>
      </c>
      <c r="E15473" s="330" t="s">
        <v>4634</v>
      </c>
      <c r="F15473" s="331">
        <v>0.21</v>
      </c>
      <c r="G15473" s="332">
        <v>564</v>
      </c>
      <c r="H15473" s="333">
        <v>683</v>
      </c>
    </row>
    <row r="15474" spans="1:8">
      <c r="A15474" s="317">
        <v>3600327000</v>
      </c>
      <c r="B15474" s="330" t="s">
        <v>59826</v>
      </c>
      <c r="C15474" s="330" t="s">
        <v>32046</v>
      </c>
      <c r="D15474" s="330" t="s">
        <v>32047</v>
      </c>
      <c r="E15474" s="330" t="s">
        <v>4634</v>
      </c>
      <c r="F15474" s="331">
        <v>0.21</v>
      </c>
      <c r="G15474" s="332">
        <v>678</v>
      </c>
      <c r="H15474" s="333">
        <v>821</v>
      </c>
    </row>
    <row r="15475" spans="1:8">
      <c r="A15475" s="317">
        <v>3600328033</v>
      </c>
      <c r="B15475" s="330" t="s">
        <v>59827</v>
      </c>
      <c r="C15475" s="330" t="s">
        <v>32048</v>
      </c>
      <c r="D15475" s="330" t="s">
        <v>32049</v>
      </c>
      <c r="E15475" s="330" t="s">
        <v>4819</v>
      </c>
      <c r="F15475" s="331">
        <v>0.21</v>
      </c>
      <c r="G15475" s="332">
        <v>12168</v>
      </c>
      <c r="H15475" s="333">
        <v>14724</v>
      </c>
    </row>
    <row r="15476" spans="1:8">
      <c r="A15476" s="317">
        <v>3600328035</v>
      </c>
      <c r="B15476" s="330" t="s">
        <v>59828</v>
      </c>
      <c r="C15476" s="330" t="s">
        <v>32050</v>
      </c>
      <c r="D15476" s="330" t="s">
        <v>32051</v>
      </c>
      <c r="E15476" s="330" t="s">
        <v>4634</v>
      </c>
      <c r="F15476" s="331">
        <v>0.21</v>
      </c>
      <c r="G15476" s="332">
        <v>3194</v>
      </c>
      <c r="H15476" s="333">
        <v>3865</v>
      </c>
    </row>
    <row r="15477" spans="1:8">
      <c r="A15477" s="317">
        <v>3600328043</v>
      </c>
      <c r="B15477" s="330" t="s">
        <v>59829</v>
      </c>
      <c r="C15477" s="330" t="s">
        <v>32052</v>
      </c>
      <c r="D15477" s="330" t="s">
        <v>32053</v>
      </c>
      <c r="E15477" s="330" t="s">
        <v>37248</v>
      </c>
      <c r="F15477" s="331">
        <v>0.21</v>
      </c>
      <c r="G15477" s="332">
        <v>22756</v>
      </c>
      <c r="H15477" s="333">
        <v>27535</v>
      </c>
    </row>
    <row r="15478" spans="1:8">
      <c r="A15478" s="317">
        <v>3600340005</v>
      </c>
      <c r="B15478" s="330" t="s">
        <v>59830</v>
      </c>
      <c r="C15478" s="330" t="s">
        <v>32054</v>
      </c>
      <c r="D15478" s="330" t="s">
        <v>32055</v>
      </c>
      <c r="E15478" s="330" t="s">
        <v>4634</v>
      </c>
      <c r="F15478" s="331">
        <v>0.21</v>
      </c>
      <c r="G15478" s="332">
        <v>11124</v>
      </c>
      <c r="H15478" s="333">
        <v>13461</v>
      </c>
    </row>
    <row r="15479" spans="1:8">
      <c r="A15479" s="317">
        <v>3600360002</v>
      </c>
      <c r="B15479" s="330" t="s">
        <v>59831</v>
      </c>
      <c r="C15479" s="330" t="s">
        <v>32056</v>
      </c>
      <c r="D15479" s="330" t="s">
        <v>32057</v>
      </c>
      <c r="E15479" s="330" t="s">
        <v>4634</v>
      </c>
      <c r="F15479" s="331">
        <v>0.21</v>
      </c>
      <c r="G15479" s="332">
        <v>19269</v>
      </c>
      <c r="H15479" s="333">
        <v>23316</v>
      </c>
    </row>
    <row r="15480" spans="1:8">
      <c r="A15480" s="317">
        <v>3600360505</v>
      </c>
      <c r="B15480" s="330" t="s">
        <v>59832</v>
      </c>
      <c r="C15480" s="330" t="s">
        <v>32058</v>
      </c>
      <c r="D15480" s="330" t="s">
        <v>32059</v>
      </c>
      <c r="E15480" s="330" t="s">
        <v>4634</v>
      </c>
      <c r="F15480" s="331">
        <v>0.21</v>
      </c>
      <c r="G15480" s="332">
        <v>7530</v>
      </c>
      <c r="H15480" s="333">
        <v>9112</v>
      </c>
    </row>
    <row r="15481" spans="1:8">
      <c r="A15481" s="317">
        <v>3600360507</v>
      </c>
      <c r="B15481" s="330" t="s">
        <v>59833</v>
      </c>
      <c r="C15481" s="330" t="s">
        <v>32060</v>
      </c>
      <c r="D15481" s="330" t="s">
        <v>32061</v>
      </c>
      <c r="E15481" s="330" t="s">
        <v>4634</v>
      </c>
      <c r="F15481" s="331">
        <v>0.21</v>
      </c>
      <c r="G15481" s="332">
        <v>2712</v>
      </c>
      <c r="H15481" s="333">
        <v>3282</v>
      </c>
    </row>
    <row r="15482" spans="1:8">
      <c r="A15482" s="317">
        <v>3600361001</v>
      </c>
      <c r="B15482" s="330" t="s">
        <v>59834</v>
      </c>
      <c r="C15482" s="330" t="s">
        <v>32062</v>
      </c>
      <c r="D15482" s="330" t="s">
        <v>32063</v>
      </c>
      <c r="E15482" s="330" t="s">
        <v>4634</v>
      </c>
      <c r="F15482" s="331">
        <v>0.21</v>
      </c>
      <c r="G15482" s="332">
        <v>4945</v>
      </c>
      <c r="H15482" s="333">
        <v>5984</v>
      </c>
    </row>
    <row r="15483" spans="1:8">
      <c r="A15483" s="317">
        <v>3600362002</v>
      </c>
      <c r="B15483" s="330" t="s">
        <v>59835</v>
      </c>
      <c r="C15483" s="330" t="s">
        <v>32064</v>
      </c>
      <c r="D15483" s="330" t="s">
        <v>32065</v>
      </c>
      <c r="E15483" s="330" t="s">
        <v>4634</v>
      </c>
      <c r="F15483" s="331">
        <v>0.21</v>
      </c>
      <c r="G15483" s="332">
        <v>2491</v>
      </c>
      <c r="H15483" s="333">
        <v>3015</v>
      </c>
    </row>
    <row r="15484" spans="1:8">
      <c r="A15484" s="317">
        <v>3600390003</v>
      </c>
      <c r="B15484" s="330" t="s">
        <v>59836</v>
      </c>
      <c r="C15484" s="330" t="s">
        <v>32066</v>
      </c>
      <c r="D15484" s="330" t="s">
        <v>32067</v>
      </c>
      <c r="E15484" s="330" t="s">
        <v>4634</v>
      </c>
      <c r="F15484" s="331">
        <v>0.21</v>
      </c>
      <c r="G15484" s="332">
        <v>2491</v>
      </c>
      <c r="H15484" s="333">
        <v>3015</v>
      </c>
    </row>
    <row r="15485" spans="1:8">
      <c r="A15485" s="317">
        <v>3600390010</v>
      </c>
      <c r="B15485" s="330" t="s">
        <v>59837</v>
      </c>
      <c r="C15485" s="330" t="s">
        <v>32068</v>
      </c>
      <c r="D15485" s="330" t="s">
        <v>32069</v>
      </c>
      <c r="E15485" s="330" t="s">
        <v>4634</v>
      </c>
      <c r="F15485" s="331">
        <v>0.21</v>
      </c>
      <c r="G15485" s="332">
        <v>19269</v>
      </c>
      <c r="H15485" s="333">
        <v>23316</v>
      </c>
    </row>
    <row r="15486" spans="1:8">
      <c r="A15486" s="317">
        <v>3600390019</v>
      </c>
      <c r="B15486" s="330" t="s">
        <v>59838</v>
      </c>
      <c r="C15486" s="330" t="s">
        <v>32070</v>
      </c>
      <c r="D15486" s="330" t="s">
        <v>32071</v>
      </c>
      <c r="E15486" s="330" t="s">
        <v>4634</v>
      </c>
      <c r="F15486" s="331">
        <v>0.21</v>
      </c>
      <c r="G15486" s="332">
        <v>1956</v>
      </c>
      <c r="H15486" s="333">
        <v>2367</v>
      </c>
    </row>
    <row r="15487" spans="1:8">
      <c r="A15487" s="317">
        <v>3600390030</v>
      </c>
      <c r="B15487" s="330" t="s">
        <v>59839</v>
      </c>
      <c r="C15487" s="330" t="s">
        <v>32072</v>
      </c>
      <c r="D15487" s="330" t="s">
        <v>32073</v>
      </c>
      <c r="E15487" s="330" t="s">
        <v>4634</v>
      </c>
      <c r="F15487" s="331">
        <v>0.21</v>
      </c>
      <c r="G15487" s="332">
        <v>12447</v>
      </c>
      <c r="H15487" s="333">
        <v>15061</v>
      </c>
    </row>
    <row r="15488" spans="1:8">
      <c r="A15488" s="317">
        <v>3600390033</v>
      </c>
      <c r="B15488" s="330" t="s">
        <v>59840</v>
      </c>
      <c r="C15488" s="330" t="s">
        <v>32074</v>
      </c>
      <c r="D15488" s="330" t="s">
        <v>32073</v>
      </c>
      <c r="E15488" s="330" t="s">
        <v>4634</v>
      </c>
      <c r="F15488" s="331">
        <v>0.21</v>
      </c>
      <c r="G15488" s="332">
        <v>19188</v>
      </c>
      <c r="H15488" s="333">
        <v>23218</v>
      </c>
    </row>
    <row r="15489" spans="1:8">
      <c r="A15489" s="317">
        <v>3600390501</v>
      </c>
      <c r="B15489" s="330" t="s">
        <v>59841</v>
      </c>
      <c r="C15489" s="330" t="s">
        <v>32075</v>
      </c>
      <c r="D15489" s="330" t="s">
        <v>32076</v>
      </c>
      <c r="E15489" s="330" t="s">
        <v>4634</v>
      </c>
      <c r="F15489" s="331">
        <v>0.21</v>
      </c>
      <c r="G15489" s="332">
        <v>131</v>
      </c>
      <c r="H15489" s="333">
        <v>159</v>
      </c>
    </row>
    <row r="15490" spans="1:8">
      <c r="A15490" s="317">
        <v>3600390502</v>
      </c>
      <c r="B15490" s="330" t="s">
        <v>59842</v>
      </c>
      <c r="C15490" s="330" t="s">
        <v>32077</v>
      </c>
      <c r="D15490" s="330" t="s">
        <v>32078</v>
      </c>
      <c r="E15490" s="330" t="s">
        <v>4819</v>
      </c>
      <c r="F15490" s="331">
        <v>0.21</v>
      </c>
      <c r="G15490" s="332">
        <v>13121</v>
      </c>
      <c r="H15490" s="333">
        <v>15877</v>
      </c>
    </row>
    <row r="15491" spans="1:8">
      <c r="A15491" s="317">
        <v>3600400008</v>
      </c>
      <c r="B15491" s="330" t="s">
        <v>59843</v>
      </c>
      <c r="C15491" s="330" t="s">
        <v>32079</v>
      </c>
      <c r="D15491" s="330" t="s">
        <v>22134</v>
      </c>
      <c r="E15491" s="330" t="s">
        <v>4634</v>
      </c>
      <c r="F15491" s="331">
        <v>0.21</v>
      </c>
      <c r="G15491" s="332">
        <v>3966</v>
      </c>
      <c r="H15491" s="333">
        <v>4799</v>
      </c>
    </row>
    <row r="15492" spans="1:8">
      <c r="A15492" s="317">
        <v>3600400012</v>
      </c>
      <c r="B15492" s="330" t="s">
        <v>59844</v>
      </c>
      <c r="C15492" s="330" t="s">
        <v>32080</v>
      </c>
      <c r="D15492" s="330" t="s">
        <v>32081</v>
      </c>
      <c r="E15492" s="330" t="s">
        <v>4634</v>
      </c>
      <c r="F15492" s="331">
        <v>0.21</v>
      </c>
      <c r="G15492" s="332">
        <v>2212</v>
      </c>
      <c r="H15492" s="333">
        <v>2677</v>
      </c>
    </row>
    <row r="15493" spans="1:8">
      <c r="A15493" s="317">
        <v>3600400016</v>
      </c>
      <c r="B15493" s="330" t="s">
        <v>59845</v>
      </c>
      <c r="C15493" s="330" t="s">
        <v>32082</v>
      </c>
      <c r="D15493" s="330" t="s">
        <v>32083</v>
      </c>
      <c r="E15493" s="330" t="s">
        <v>4634</v>
      </c>
      <c r="F15493" s="331">
        <v>0.21</v>
      </c>
      <c r="G15493" s="332">
        <v>4432</v>
      </c>
      <c r="H15493" s="333">
        <v>5363</v>
      </c>
    </row>
    <row r="15494" spans="1:8">
      <c r="A15494" s="317">
        <v>3600400032</v>
      </c>
      <c r="B15494" s="330" t="s">
        <v>59846</v>
      </c>
      <c r="C15494" s="330" t="s">
        <v>32084</v>
      </c>
      <c r="D15494" s="330" t="s">
        <v>32085</v>
      </c>
      <c r="E15494" s="330" t="s">
        <v>4634</v>
      </c>
      <c r="F15494" s="331">
        <v>0.21</v>
      </c>
      <c r="G15494" s="332">
        <v>1267</v>
      </c>
      <c r="H15494" s="333">
        <v>1534</v>
      </c>
    </row>
    <row r="15495" spans="1:8">
      <c r="A15495" s="317">
        <v>3600400034</v>
      </c>
      <c r="B15495" s="330" t="s">
        <v>59847</v>
      </c>
      <c r="C15495" s="330" t="s">
        <v>32086</v>
      </c>
      <c r="D15495" s="330" t="s">
        <v>32087</v>
      </c>
      <c r="E15495" s="330" t="s">
        <v>37248</v>
      </c>
      <c r="F15495" s="331">
        <v>0.21</v>
      </c>
      <c r="G15495" s="332">
        <v>4079</v>
      </c>
      <c r="H15495" s="333">
        <v>4936</v>
      </c>
    </row>
    <row r="15496" spans="1:8">
      <c r="A15496" s="317">
        <v>3600400507</v>
      </c>
      <c r="B15496" s="330" t="s">
        <v>59848</v>
      </c>
      <c r="C15496" s="330" t="s">
        <v>32088</v>
      </c>
      <c r="D15496" s="330" t="s">
        <v>32089</v>
      </c>
      <c r="E15496" s="330" t="s">
        <v>4634</v>
      </c>
      <c r="F15496" s="331">
        <v>0.21</v>
      </c>
      <c r="G15496" s="332">
        <v>1030</v>
      </c>
      <c r="H15496" s="333">
        <v>1247</v>
      </c>
    </row>
    <row r="15497" spans="1:8">
      <c r="A15497" s="317">
        <v>3600409010</v>
      </c>
      <c r="B15497" s="330" t="s">
        <v>59849</v>
      </c>
      <c r="C15497" s="330" t="s">
        <v>32090</v>
      </c>
      <c r="D15497" s="330" t="s">
        <v>32091</v>
      </c>
      <c r="E15497" s="330" t="s">
        <v>4634</v>
      </c>
      <c r="F15497" s="331">
        <v>0.21</v>
      </c>
      <c r="G15497" s="332">
        <v>48456</v>
      </c>
      <c r="H15497" s="333">
        <v>58632</v>
      </c>
    </row>
    <row r="15498" spans="1:8">
      <c r="A15498" s="317">
        <v>3600409011</v>
      </c>
      <c r="B15498" s="330" t="s">
        <v>59850</v>
      </c>
      <c r="C15498" s="330" t="s">
        <v>32092</v>
      </c>
      <c r="D15498" s="330" t="s">
        <v>32093</v>
      </c>
      <c r="E15498" s="330" t="s">
        <v>4634</v>
      </c>
      <c r="F15498" s="331">
        <v>0.21</v>
      </c>
      <c r="G15498" s="332">
        <v>27572</v>
      </c>
      <c r="H15498" s="333">
        <v>33363</v>
      </c>
    </row>
    <row r="15499" spans="1:8">
      <c r="A15499" s="317">
        <v>3600421002</v>
      </c>
      <c r="B15499" s="330" t="s">
        <v>59851</v>
      </c>
      <c r="C15499" s="330" t="s">
        <v>32094</v>
      </c>
      <c r="D15499" s="330" t="s">
        <v>32095</v>
      </c>
      <c r="E15499" s="330" t="s">
        <v>4634</v>
      </c>
      <c r="F15499" s="331">
        <v>0.21</v>
      </c>
      <c r="G15499" s="332">
        <v>905</v>
      </c>
      <c r="H15499" s="333">
        <v>1096</v>
      </c>
    </row>
    <row r="15500" spans="1:8">
      <c r="A15500" s="317">
        <v>3600421500</v>
      </c>
      <c r="B15500" s="330" t="s">
        <v>59852</v>
      </c>
      <c r="C15500" s="330" t="s">
        <v>32096</v>
      </c>
      <c r="D15500" s="330" t="s">
        <v>32097</v>
      </c>
      <c r="E15500" s="330" t="s">
        <v>4819</v>
      </c>
      <c r="F15500" s="331">
        <v>0.21</v>
      </c>
      <c r="G15500" s="332">
        <v>1331</v>
      </c>
      <c r="H15500" s="333">
        <v>1611</v>
      </c>
    </row>
    <row r="15501" spans="1:8">
      <c r="A15501" s="317">
        <v>3600422000</v>
      </c>
      <c r="B15501" s="330" t="s">
        <v>59853</v>
      </c>
      <c r="C15501" s="330" t="s">
        <v>32098</v>
      </c>
      <c r="D15501" s="330" t="s">
        <v>32099</v>
      </c>
      <c r="E15501" s="330" t="s">
        <v>4634</v>
      </c>
      <c r="F15501" s="331">
        <v>0.21</v>
      </c>
      <c r="G15501" s="332">
        <v>9505</v>
      </c>
      <c r="H15501" s="333">
        <v>11502</v>
      </c>
    </row>
    <row r="15502" spans="1:8">
      <c r="A15502" s="317">
        <v>3600422006</v>
      </c>
      <c r="B15502" s="330" t="s">
        <v>59854</v>
      </c>
      <c r="C15502" s="330" t="s">
        <v>32100</v>
      </c>
      <c r="D15502" s="330" t="s">
        <v>32101</v>
      </c>
      <c r="E15502" s="330" t="s">
        <v>4634</v>
      </c>
      <c r="F15502" s="331">
        <v>0.21</v>
      </c>
      <c r="G15502" s="332">
        <v>2186</v>
      </c>
      <c r="H15502" s="333">
        <v>2646</v>
      </c>
    </row>
    <row r="15503" spans="1:8">
      <c r="A15503" s="317">
        <v>3600422503</v>
      </c>
      <c r="B15503" s="330" t="s">
        <v>59855</v>
      </c>
      <c r="C15503" s="330" t="s">
        <v>32102</v>
      </c>
      <c r="D15503" s="330" t="s">
        <v>32103</v>
      </c>
      <c r="E15503" s="330" t="s">
        <v>4634</v>
      </c>
      <c r="F15503" s="331">
        <v>0.21</v>
      </c>
      <c r="G15503" s="332">
        <v>541</v>
      </c>
      <c r="H15503" s="333">
        <v>655</v>
      </c>
    </row>
    <row r="15504" spans="1:8">
      <c r="A15504" s="317">
        <v>3600423004</v>
      </c>
      <c r="B15504" s="330" t="s">
        <v>59856</v>
      </c>
      <c r="C15504" s="330" t="s">
        <v>32104</v>
      </c>
      <c r="D15504" s="330" t="s">
        <v>32105</v>
      </c>
      <c r="E15504" s="330" t="s">
        <v>4634</v>
      </c>
      <c r="F15504" s="331">
        <v>0.21</v>
      </c>
      <c r="G15504" s="332">
        <v>4285</v>
      </c>
      <c r="H15504" s="333">
        <v>5185</v>
      </c>
    </row>
    <row r="15505" spans="1:8">
      <c r="A15505" s="317">
        <v>3600460004</v>
      </c>
      <c r="B15505" s="330" t="s">
        <v>59857</v>
      </c>
      <c r="C15505" s="330" t="s">
        <v>32106</v>
      </c>
      <c r="D15505" s="330" t="s">
        <v>32107</v>
      </c>
      <c r="E15505" s="330" t="s">
        <v>4634</v>
      </c>
      <c r="F15505" s="331">
        <v>0.21</v>
      </c>
      <c r="G15505" s="332">
        <v>8597</v>
      </c>
      <c r="H15505" s="333">
        <v>10403</v>
      </c>
    </row>
    <row r="15506" spans="1:8">
      <c r="A15506" s="317">
        <v>3600460005</v>
      </c>
      <c r="B15506" s="330" t="s">
        <v>59858</v>
      </c>
      <c r="C15506" s="330" t="s">
        <v>32108</v>
      </c>
      <c r="D15506" s="330" t="s">
        <v>32109</v>
      </c>
      <c r="E15506" s="330" t="s">
        <v>4634</v>
      </c>
      <c r="F15506" s="331">
        <v>0.21</v>
      </c>
      <c r="G15506" s="332">
        <v>791</v>
      </c>
      <c r="H15506" s="333">
        <v>958</v>
      </c>
    </row>
    <row r="15507" spans="1:8">
      <c r="A15507" s="317">
        <v>3600492504</v>
      </c>
      <c r="B15507" s="330" t="s">
        <v>59859</v>
      </c>
      <c r="C15507" s="330" t="s">
        <v>32110</v>
      </c>
      <c r="D15507" s="330" t="s">
        <v>32111</v>
      </c>
      <c r="E15507" s="330" t="s">
        <v>4634</v>
      </c>
      <c r="F15507" s="331">
        <v>0.21</v>
      </c>
      <c r="G15507" s="332">
        <v>3660</v>
      </c>
      <c r="H15507" s="333">
        <v>4429</v>
      </c>
    </row>
    <row r="15508" spans="1:8">
      <c r="A15508" s="317">
        <v>3600499003</v>
      </c>
      <c r="B15508" s="330" t="s">
        <v>59860</v>
      </c>
      <c r="C15508" s="330" t="s">
        <v>32112</v>
      </c>
      <c r="D15508" s="330" t="s">
        <v>32113</v>
      </c>
      <c r="E15508" s="330" t="s">
        <v>4634</v>
      </c>
      <c r="F15508" s="331">
        <v>0.21</v>
      </c>
      <c r="G15508" s="332">
        <v>5164</v>
      </c>
      <c r="H15508" s="333">
        <v>6249</v>
      </c>
    </row>
    <row r="15509" spans="1:8">
      <c r="A15509" s="317">
        <v>3600499016</v>
      </c>
      <c r="B15509" s="330" t="s">
        <v>59861</v>
      </c>
      <c r="C15509" s="330" t="s">
        <v>32114</v>
      </c>
      <c r="D15509" s="330" t="s">
        <v>32115</v>
      </c>
      <c r="E15509" s="330" t="s">
        <v>4634</v>
      </c>
      <c r="F15509" s="331">
        <v>0.21</v>
      </c>
      <c r="G15509" s="332">
        <v>928</v>
      </c>
      <c r="H15509" s="333">
        <v>1123</v>
      </c>
    </row>
    <row r="15510" spans="1:8">
      <c r="A15510" s="317">
        <v>3600499022</v>
      </c>
      <c r="B15510" s="330" t="s">
        <v>59862</v>
      </c>
      <c r="C15510" s="330" t="s">
        <v>32116</v>
      </c>
      <c r="D15510" s="330" t="s">
        <v>32117</v>
      </c>
      <c r="E15510" s="330" t="s">
        <v>4634</v>
      </c>
      <c r="F15510" s="331">
        <v>0.21</v>
      </c>
      <c r="G15510" s="332">
        <v>4887</v>
      </c>
      <c r="H15510" s="333">
        <v>5914</v>
      </c>
    </row>
    <row r="15511" spans="1:8">
      <c r="A15511" s="317">
        <v>3600499023</v>
      </c>
      <c r="B15511" s="330" t="s">
        <v>59863</v>
      </c>
      <c r="C15511" s="330" t="s">
        <v>32118</v>
      </c>
      <c r="D15511" s="330" t="s">
        <v>32119</v>
      </c>
      <c r="E15511" s="330" t="s">
        <v>4819</v>
      </c>
      <c r="F15511" s="331">
        <v>0.21</v>
      </c>
      <c r="G15511" s="332">
        <v>6562</v>
      </c>
      <c r="H15511" s="333">
        <v>7941</v>
      </c>
    </row>
    <row r="15512" spans="1:8">
      <c r="A15512" s="317">
        <v>3600508023</v>
      </c>
      <c r="B15512" s="330" t="s">
        <v>59864</v>
      </c>
      <c r="C15512" s="330" t="s">
        <v>32120</v>
      </c>
      <c r="D15512" s="330" t="s">
        <v>32121</v>
      </c>
      <c r="E15512" s="330" t="s">
        <v>4634</v>
      </c>
      <c r="F15512" s="331">
        <v>0.21</v>
      </c>
      <c r="G15512" s="332">
        <v>2197</v>
      </c>
      <c r="H15512" s="333">
        <v>2659</v>
      </c>
    </row>
    <row r="15513" spans="1:8">
      <c r="A15513" s="317">
        <v>3600508035</v>
      </c>
      <c r="B15513" s="330" t="s">
        <v>59865</v>
      </c>
      <c r="C15513" s="330" t="s">
        <v>32122</v>
      </c>
      <c r="D15513" s="330" t="s">
        <v>32123</v>
      </c>
      <c r="E15513" s="330" t="s">
        <v>4634</v>
      </c>
      <c r="F15513" s="331">
        <v>0.21</v>
      </c>
      <c r="G15513" s="332">
        <v>2881</v>
      </c>
      <c r="H15513" s="333">
        <v>3487</v>
      </c>
    </row>
    <row r="15514" spans="1:8">
      <c r="A15514" s="317">
        <v>3600521002</v>
      </c>
      <c r="B15514" s="330" t="s">
        <v>59866</v>
      </c>
      <c r="C15514" s="330" t="s">
        <v>32124</v>
      </c>
      <c r="D15514" s="330" t="s">
        <v>32125</v>
      </c>
      <c r="E15514" s="330" t="s">
        <v>4634</v>
      </c>
      <c r="F15514" s="331">
        <v>0.21</v>
      </c>
      <c r="G15514" s="332">
        <v>678</v>
      </c>
      <c r="H15514" s="333">
        <v>821</v>
      </c>
    </row>
    <row r="15515" spans="1:8">
      <c r="A15515" s="317">
        <v>3600550000</v>
      </c>
      <c r="B15515" s="330" t="s">
        <v>59867</v>
      </c>
      <c r="C15515" s="330" t="s">
        <v>32126</v>
      </c>
      <c r="D15515" s="330" t="s">
        <v>7991</v>
      </c>
      <c r="E15515" s="330" t="s">
        <v>4634</v>
      </c>
      <c r="F15515" s="331">
        <v>0.21</v>
      </c>
      <c r="G15515" s="332">
        <v>602</v>
      </c>
      <c r="H15515" s="333">
        <v>729</v>
      </c>
    </row>
    <row r="15516" spans="1:8">
      <c r="A15516" s="317">
        <v>3600552000</v>
      </c>
      <c r="B15516" s="330" t="s">
        <v>59868</v>
      </c>
      <c r="C15516" s="330" t="s">
        <v>32127</v>
      </c>
      <c r="D15516" s="330" t="s">
        <v>32128</v>
      </c>
      <c r="E15516" s="330" t="s">
        <v>4634</v>
      </c>
      <c r="F15516" s="331">
        <v>0.21</v>
      </c>
      <c r="G15516" s="332">
        <v>541</v>
      </c>
      <c r="H15516" s="333">
        <v>655</v>
      </c>
    </row>
    <row r="15517" spans="1:8">
      <c r="A15517" s="317">
        <v>3600552505</v>
      </c>
      <c r="B15517" s="330" t="s">
        <v>59869</v>
      </c>
      <c r="C15517" s="330" t="s">
        <v>32129</v>
      </c>
      <c r="D15517" s="330" t="s">
        <v>32130</v>
      </c>
      <c r="E15517" s="330" t="s">
        <v>4634</v>
      </c>
      <c r="F15517" s="331">
        <v>0.21</v>
      </c>
      <c r="G15517" s="332">
        <v>486</v>
      </c>
      <c r="H15517" s="333">
        <v>589</v>
      </c>
    </row>
    <row r="15518" spans="1:8">
      <c r="A15518" s="317">
        <v>3600552509</v>
      </c>
      <c r="B15518" s="330" t="s">
        <v>59870</v>
      </c>
      <c r="C15518" s="330" t="s">
        <v>32131</v>
      </c>
      <c r="D15518" s="330" t="s">
        <v>32130</v>
      </c>
      <c r="E15518" s="330" t="s">
        <v>4634</v>
      </c>
      <c r="F15518" s="331">
        <v>0.21</v>
      </c>
      <c r="G15518" s="332">
        <v>20960</v>
      </c>
      <c r="H15518" s="333">
        <v>25362</v>
      </c>
    </row>
    <row r="15519" spans="1:8">
      <c r="A15519" s="317">
        <v>3600552510</v>
      </c>
      <c r="B15519" s="330" t="s">
        <v>59871</v>
      </c>
      <c r="C15519" s="330" t="s">
        <v>32132</v>
      </c>
      <c r="D15519" s="330" t="s">
        <v>32133</v>
      </c>
      <c r="E15519" s="330" t="s">
        <v>4634</v>
      </c>
      <c r="F15519" s="331">
        <v>0.21</v>
      </c>
      <c r="G15519" s="332">
        <v>8554</v>
      </c>
      <c r="H15519" s="333">
        <v>10351</v>
      </c>
    </row>
    <row r="15520" spans="1:8">
      <c r="A15520" s="317">
        <v>3600590505</v>
      </c>
      <c r="B15520" s="330" t="s">
        <v>59872</v>
      </c>
      <c r="C15520" s="330" t="s">
        <v>32134</v>
      </c>
      <c r="D15520" s="330" t="s">
        <v>32135</v>
      </c>
      <c r="E15520" s="330" t="s">
        <v>4634</v>
      </c>
      <c r="F15520" s="331">
        <v>0.21</v>
      </c>
      <c r="G15520" s="332">
        <v>564</v>
      </c>
      <c r="H15520" s="333">
        <v>683</v>
      </c>
    </row>
    <row r="15521" spans="1:8">
      <c r="A15521" s="317">
        <v>3600590507</v>
      </c>
      <c r="B15521" s="330" t="s">
        <v>59873</v>
      </c>
      <c r="C15521" s="330" t="s">
        <v>32136</v>
      </c>
      <c r="D15521" s="330" t="s">
        <v>32137</v>
      </c>
      <c r="E15521" s="330" t="s">
        <v>4634</v>
      </c>
      <c r="F15521" s="331">
        <v>0.21</v>
      </c>
      <c r="G15521" s="332">
        <v>584</v>
      </c>
      <c r="H15521" s="333">
        <v>707</v>
      </c>
    </row>
    <row r="15522" spans="1:8">
      <c r="A15522" s="317">
        <v>3600590508</v>
      </c>
      <c r="B15522" s="330" t="s">
        <v>59874</v>
      </c>
      <c r="C15522" s="330" t="s">
        <v>32138</v>
      </c>
      <c r="D15522" s="330" t="s">
        <v>32139</v>
      </c>
      <c r="E15522" s="330" t="s">
        <v>4634</v>
      </c>
      <c r="F15522" s="331">
        <v>0.21</v>
      </c>
      <c r="G15522" s="332">
        <v>791</v>
      </c>
      <c r="H15522" s="333">
        <v>958</v>
      </c>
    </row>
    <row r="15523" spans="1:8">
      <c r="A15523" s="317">
        <v>3600591000</v>
      </c>
      <c r="B15523" s="330" t="s">
        <v>59875</v>
      </c>
      <c r="C15523" s="330" t="s">
        <v>32140</v>
      </c>
      <c r="D15523" s="330" t="s">
        <v>32141</v>
      </c>
      <c r="E15523" s="330" t="s">
        <v>4634</v>
      </c>
      <c r="F15523" s="331">
        <v>0.21</v>
      </c>
      <c r="G15523" s="332">
        <v>1976</v>
      </c>
      <c r="H15523" s="333">
        <v>2391</v>
      </c>
    </row>
    <row r="15524" spans="1:8">
      <c r="A15524" s="317">
        <v>3600591002</v>
      </c>
      <c r="B15524" s="330" t="s">
        <v>59876</v>
      </c>
      <c r="C15524" s="330" t="s">
        <v>32142</v>
      </c>
      <c r="D15524" s="330" t="s">
        <v>32143</v>
      </c>
      <c r="E15524" s="330" t="s">
        <v>4634</v>
      </c>
      <c r="F15524" s="331">
        <v>0.21</v>
      </c>
      <c r="G15524" s="332">
        <v>367</v>
      </c>
      <c r="H15524" s="333">
        <v>445</v>
      </c>
    </row>
    <row r="15525" spans="1:8">
      <c r="A15525" s="317">
        <v>3600690503</v>
      </c>
      <c r="B15525" s="330" t="s">
        <v>59877</v>
      </c>
      <c r="C15525" s="330" t="s">
        <v>32144</v>
      </c>
      <c r="D15525" s="330" t="s">
        <v>32145</v>
      </c>
      <c r="E15525" s="330" t="s">
        <v>4634</v>
      </c>
      <c r="F15525" s="331">
        <v>0.21</v>
      </c>
      <c r="G15525" s="332">
        <v>11129</v>
      </c>
      <c r="H15525" s="333">
        <v>13467</v>
      </c>
    </row>
    <row r="15526" spans="1:8">
      <c r="A15526" s="317">
        <v>3600700029</v>
      </c>
      <c r="B15526" s="330" t="s">
        <v>59878</v>
      </c>
      <c r="C15526" s="330" t="s">
        <v>32146</v>
      </c>
      <c r="D15526" s="330" t="s">
        <v>32147</v>
      </c>
      <c r="E15526" s="330" t="s">
        <v>4634</v>
      </c>
      <c r="F15526" s="331">
        <v>0.21</v>
      </c>
      <c r="G15526" s="332">
        <v>16802</v>
      </c>
      <c r="H15526" s="333">
        <v>20331</v>
      </c>
    </row>
    <row r="15527" spans="1:8">
      <c r="A15527" s="317">
        <v>3600700033</v>
      </c>
      <c r="B15527" s="330" t="s">
        <v>59879</v>
      </c>
      <c r="C15527" s="330" t="s">
        <v>32148</v>
      </c>
      <c r="D15527" s="330" t="s">
        <v>32149</v>
      </c>
      <c r="E15527" s="330" t="s">
        <v>4634</v>
      </c>
      <c r="F15527" s="331">
        <v>0.21</v>
      </c>
      <c r="G15527" s="332">
        <v>4615</v>
      </c>
      <c r="H15527" s="333">
        <v>5585</v>
      </c>
    </row>
    <row r="15528" spans="1:8">
      <c r="A15528" s="317">
        <v>3600700035</v>
      </c>
      <c r="B15528" s="330" t="s">
        <v>59880</v>
      </c>
      <c r="C15528" s="330" t="s">
        <v>32150</v>
      </c>
      <c r="D15528" s="330" t="s">
        <v>32151</v>
      </c>
      <c r="E15528" s="330" t="s">
        <v>4634</v>
      </c>
      <c r="F15528" s="331">
        <v>0.21</v>
      </c>
      <c r="G15528" s="332">
        <v>55061</v>
      </c>
      <c r="H15528" s="333">
        <v>66624</v>
      </c>
    </row>
    <row r="15529" spans="1:8">
      <c r="A15529" s="317">
        <v>3600700036</v>
      </c>
      <c r="B15529" s="330" t="s">
        <v>59881</v>
      </c>
      <c r="C15529" s="330" t="s">
        <v>32152</v>
      </c>
      <c r="D15529" s="330" t="s">
        <v>32153</v>
      </c>
      <c r="E15529" s="330" t="s">
        <v>4634</v>
      </c>
      <c r="F15529" s="331">
        <v>0.21</v>
      </c>
      <c r="G15529" s="332">
        <v>19450</v>
      </c>
      <c r="H15529" s="333">
        <v>23535</v>
      </c>
    </row>
    <row r="15530" spans="1:8">
      <c r="A15530" s="317">
        <v>3600700055</v>
      </c>
      <c r="B15530" s="330" t="s">
        <v>59882</v>
      </c>
      <c r="C15530" s="330" t="s">
        <v>32154</v>
      </c>
      <c r="D15530" s="330" t="s">
        <v>32155</v>
      </c>
      <c r="E15530" s="330" t="s">
        <v>4819</v>
      </c>
      <c r="F15530" s="331">
        <v>0.21</v>
      </c>
      <c r="G15530" s="332">
        <v>12686</v>
      </c>
      <c r="H15530" s="333">
        <v>15351</v>
      </c>
    </row>
    <row r="15531" spans="1:8">
      <c r="A15531" s="317">
        <v>3600700056</v>
      </c>
      <c r="B15531" s="330" t="s">
        <v>59883</v>
      </c>
      <c r="C15531" s="330" t="s">
        <v>32156</v>
      </c>
      <c r="D15531" s="330" t="s">
        <v>32157</v>
      </c>
      <c r="E15531" s="330" t="s">
        <v>4819</v>
      </c>
      <c r="F15531" s="331">
        <v>0.21</v>
      </c>
      <c r="G15531" s="332">
        <v>16712</v>
      </c>
      <c r="H15531" s="333">
        <v>20222</v>
      </c>
    </row>
    <row r="15532" spans="1:8">
      <c r="A15532" s="317">
        <v>3600703003</v>
      </c>
      <c r="B15532" s="330" t="s">
        <v>59884</v>
      </c>
      <c r="C15532" s="330" t="s">
        <v>32158</v>
      </c>
      <c r="D15532" s="330" t="s">
        <v>32159</v>
      </c>
      <c r="E15532" s="330" t="s">
        <v>4819</v>
      </c>
      <c r="F15532" s="331">
        <v>0.21</v>
      </c>
      <c r="G15532" s="332">
        <v>3979</v>
      </c>
      <c r="H15532" s="333">
        <v>4815</v>
      </c>
    </row>
    <row r="15533" spans="1:8">
      <c r="A15533" s="317">
        <v>3600703509</v>
      </c>
      <c r="B15533" s="330" t="s">
        <v>59885</v>
      </c>
      <c r="C15533" s="330" t="s">
        <v>32160</v>
      </c>
      <c r="D15533" s="330" t="s">
        <v>32161</v>
      </c>
      <c r="E15533" s="330" t="s">
        <v>4634</v>
      </c>
      <c r="F15533" s="331">
        <v>0.21</v>
      </c>
      <c r="G15533" s="332">
        <v>584</v>
      </c>
      <c r="H15533" s="333">
        <v>707</v>
      </c>
    </row>
    <row r="15534" spans="1:8">
      <c r="A15534" s="317">
        <v>3600707001</v>
      </c>
      <c r="B15534" s="330" t="s">
        <v>59886</v>
      </c>
      <c r="C15534" s="330" t="s">
        <v>32162</v>
      </c>
      <c r="D15534" s="330" t="s">
        <v>32163</v>
      </c>
      <c r="E15534" s="330" t="s">
        <v>4634</v>
      </c>
      <c r="F15534" s="331">
        <v>0.21</v>
      </c>
      <c r="G15534" s="332">
        <v>711</v>
      </c>
      <c r="H15534" s="333">
        <v>861</v>
      </c>
    </row>
    <row r="15535" spans="1:8">
      <c r="A15535" s="317">
        <v>3600707503</v>
      </c>
      <c r="B15535" s="330" t="s">
        <v>59887</v>
      </c>
      <c r="C15535" s="330" t="s">
        <v>32164</v>
      </c>
      <c r="D15535" s="330" t="s">
        <v>32165</v>
      </c>
      <c r="E15535" s="330" t="s">
        <v>4634</v>
      </c>
      <c r="F15535" s="331">
        <v>0.21</v>
      </c>
      <c r="G15535" s="332">
        <v>602</v>
      </c>
      <c r="H15535" s="333">
        <v>729</v>
      </c>
    </row>
    <row r="15536" spans="1:8">
      <c r="A15536" s="317">
        <v>3600712004</v>
      </c>
      <c r="B15536" s="330" t="s">
        <v>59888</v>
      </c>
      <c r="C15536" s="330" t="s">
        <v>32166</v>
      </c>
      <c r="D15536" s="330" t="s">
        <v>32167</v>
      </c>
      <c r="E15536" s="330" t="s">
        <v>4634</v>
      </c>
      <c r="F15536" s="331">
        <v>0.21</v>
      </c>
      <c r="G15536" s="332">
        <v>6435</v>
      </c>
      <c r="H15536" s="333">
        <v>7787</v>
      </c>
    </row>
    <row r="15537" spans="1:8">
      <c r="A15537" s="317">
        <v>3600712026</v>
      </c>
      <c r="B15537" s="330" t="s">
        <v>59889</v>
      </c>
      <c r="C15537" s="330" t="s">
        <v>32168</v>
      </c>
      <c r="D15537" s="330" t="s">
        <v>32169</v>
      </c>
      <c r="E15537" s="330" t="s">
        <v>4819</v>
      </c>
      <c r="F15537" s="331">
        <v>0.21</v>
      </c>
      <c r="G15537" s="332">
        <v>1648</v>
      </c>
      <c r="H15537" s="333">
        <v>1995</v>
      </c>
    </row>
    <row r="15538" spans="1:8">
      <c r="A15538" s="317">
        <v>3600760023</v>
      </c>
      <c r="B15538" s="330" t="s">
        <v>59890</v>
      </c>
      <c r="C15538" s="330" t="s">
        <v>32170</v>
      </c>
      <c r="D15538" s="330" t="s">
        <v>32171</v>
      </c>
      <c r="E15538" s="330" t="s">
        <v>4634</v>
      </c>
      <c r="F15538" s="331">
        <v>0.21</v>
      </c>
      <c r="G15538" s="332">
        <v>188653</v>
      </c>
      <c r="H15538" s="333">
        <v>228271</v>
      </c>
    </row>
    <row r="15539" spans="1:8">
      <c r="A15539" s="317">
        <v>3600760040</v>
      </c>
      <c r="B15539" s="330" t="s">
        <v>59891</v>
      </c>
      <c r="C15539" s="330" t="s">
        <v>32172</v>
      </c>
      <c r="D15539" s="330" t="s">
        <v>27436</v>
      </c>
      <c r="E15539" s="330" t="s">
        <v>4634</v>
      </c>
      <c r="F15539" s="331">
        <v>0.21</v>
      </c>
      <c r="G15539" s="332">
        <v>88701</v>
      </c>
      <c r="H15539" s="333">
        <v>107329</v>
      </c>
    </row>
    <row r="15540" spans="1:8">
      <c r="A15540" s="317">
        <v>3600760113</v>
      </c>
      <c r="B15540" s="330" t="s">
        <v>59892</v>
      </c>
      <c r="C15540" s="330" t="s">
        <v>32173</v>
      </c>
      <c r="D15540" s="330" t="s">
        <v>32174</v>
      </c>
      <c r="E15540" s="330" t="s">
        <v>4634</v>
      </c>
      <c r="F15540" s="331">
        <v>0.21</v>
      </c>
      <c r="G15540" s="332">
        <v>83975</v>
      </c>
      <c r="H15540" s="333">
        <v>101610</v>
      </c>
    </row>
    <row r="15541" spans="1:8">
      <c r="A15541" s="317">
        <v>3600760119</v>
      </c>
      <c r="B15541" s="330" t="s">
        <v>59893</v>
      </c>
      <c r="C15541" s="330" t="s">
        <v>32175</v>
      </c>
      <c r="D15541" s="330" t="s">
        <v>9496</v>
      </c>
      <c r="E15541" s="330" t="s">
        <v>4819</v>
      </c>
      <c r="F15541" s="331">
        <v>0.21</v>
      </c>
      <c r="G15541" s="332">
        <v>60772</v>
      </c>
      <c r="H15541" s="333">
        <v>73535</v>
      </c>
    </row>
    <row r="15542" spans="1:8">
      <c r="A15542" s="317">
        <v>3600900018</v>
      </c>
      <c r="B15542" s="330" t="s">
        <v>59894</v>
      </c>
      <c r="C15542" s="330" t="s">
        <v>32176</v>
      </c>
      <c r="D15542" s="330" t="s">
        <v>32177</v>
      </c>
      <c r="E15542" s="330" t="s">
        <v>4634</v>
      </c>
      <c r="F15542" s="331">
        <v>0.21</v>
      </c>
      <c r="G15542" s="332">
        <v>5652</v>
      </c>
      <c r="H15542" s="333">
        <v>6839</v>
      </c>
    </row>
    <row r="15543" spans="1:8">
      <c r="A15543" s="317">
        <v>3600900020</v>
      </c>
      <c r="B15543" s="330" t="s">
        <v>59895</v>
      </c>
      <c r="C15543" s="330" t="s">
        <v>32178</v>
      </c>
      <c r="D15543" s="330" t="s">
        <v>32179</v>
      </c>
      <c r="E15543" s="330" t="s">
        <v>37248</v>
      </c>
      <c r="F15543" s="331">
        <v>0.21</v>
      </c>
      <c r="G15543" s="332">
        <v>19884</v>
      </c>
      <c r="H15543" s="333">
        <v>24060</v>
      </c>
    </row>
    <row r="15544" spans="1:8">
      <c r="A15544" s="317">
        <v>3600900021</v>
      </c>
      <c r="B15544" s="330" t="s">
        <v>59896</v>
      </c>
      <c r="C15544" s="330" t="s">
        <v>32180</v>
      </c>
      <c r="D15544" s="330" t="s">
        <v>5782</v>
      </c>
      <c r="E15544" s="330" t="s">
        <v>4634</v>
      </c>
      <c r="F15544" s="331">
        <v>0.21</v>
      </c>
      <c r="G15544" s="332">
        <v>4472</v>
      </c>
      <c r="H15544" s="333">
        <v>5412</v>
      </c>
    </row>
    <row r="15545" spans="1:8">
      <c r="A15545" s="317">
        <v>3600900026</v>
      </c>
      <c r="B15545" s="330" t="s">
        <v>59897</v>
      </c>
      <c r="C15545" s="330" t="s">
        <v>32181</v>
      </c>
      <c r="D15545" s="330" t="s">
        <v>4859</v>
      </c>
      <c r="E15545" s="330" t="s">
        <v>4634</v>
      </c>
      <c r="F15545" s="331">
        <v>0.21</v>
      </c>
      <c r="G15545" s="332">
        <v>1371</v>
      </c>
      <c r="H15545" s="333">
        <v>1659</v>
      </c>
    </row>
    <row r="15546" spans="1:8">
      <c r="A15546" s="317">
        <v>3600900512</v>
      </c>
      <c r="B15546" s="330" t="s">
        <v>59898</v>
      </c>
      <c r="C15546" s="330" t="s">
        <v>32182</v>
      </c>
      <c r="D15546" s="330" t="s">
        <v>32183</v>
      </c>
      <c r="E15546" s="330" t="s">
        <v>4634</v>
      </c>
      <c r="F15546" s="331">
        <v>0.21</v>
      </c>
      <c r="G15546" s="332">
        <v>446</v>
      </c>
      <c r="H15546" s="333">
        <v>540</v>
      </c>
    </row>
    <row r="15547" spans="1:8">
      <c r="A15547" s="317">
        <v>3600900526</v>
      </c>
      <c r="B15547" s="330" t="s">
        <v>59899</v>
      </c>
      <c r="C15547" s="330" t="s">
        <v>32184</v>
      </c>
      <c r="D15547" s="330" t="s">
        <v>32185</v>
      </c>
      <c r="E15547" s="330" t="s">
        <v>4819</v>
      </c>
      <c r="F15547" s="331">
        <v>0.21</v>
      </c>
      <c r="G15547" s="332">
        <v>15436</v>
      </c>
      <c r="H15547" s="333">
        <v>18678</v>
      </c>
    </row>
    <row r="15548" spans="1:8">
      <c r="A15548" s="317">
        <v>3600905001</v>
      </c>
      <c r="B15548" s="330" t="s">
        <v>59900</v>
      </c>
      <c r="C15548" s="330" t="s">
        <v>32186</v>
      </c>
      <c r="D15548" s="330" t="s">
        <v>21504</v>
      </c>
      <c r="E15548" s="330" t="s">
        <v>4634</v>
      </c>
      <c r="F15548" s="331">
        <v>0.21</v>
      </c>
      <c r="G15548" s="332">
        <v>7662</v>
      </c>
      <c r="H15548" s="333">
        <v>9272</v>
      </c>
    </row>
    <row r="15549" spans="1:8">
      <c r="A15549" s="317">
        <v>3600905011</v>
      </c>
      <c r="B15549" s="330" t="s">
        <v>59901</v>
      </c>
      <c r="C15549" s="330" t="s">
        <v>32187</v>
      </c>
      <c r="D15549" s="330" t="s">
        <v>5782</v>
      </c>
      <c r="E15549" s="330" t="s">
        <v>4634</v>
      </c>
      <c r="F15549" s="331">
        <v>0.21</v>
      </c>
      <c r="G15549" s="332">
        <v>2212</v>
      </c>
      <c r="H15549" s="333">
        <v>2677</v>
      </c>
    </row>
    <row r="15550" spans="1:8">
      <c r="A15550" s="317">
        <v>3600905015</v>
      </c>
      <c r="B15550" s="330" t="s">
        <v>59902</v>
      </c>
      <c r="C15550" s="330" t="s">
        <v>32188</v>
      </c>
      <c r="D15550" s="330" t="s">
        <v>32189</v>
      </c>
      <c r="E15550" s="330" t="s">
        <v>4634</v>
      </c>
      <c r="F15550" s="331">
        <v>0.21</v>
      </c>
      <c r="G15550" s="332">
        <v>3421</v>
      </c>
      <c r="H15550" s="333">
        <v>4140</v>
      </c>
    </row>
    <row r="15551" spans="1:8">
      <c r="A15551" s="317">
        <v>3600905023</v>
      </c>
      <c r="B15551" s="330" t="s">
        <v>59903</v>
      </c>
      <c r="C15551" s="330" t="s">
        <v>32190</v>
      </c>
      <c r="D15551" s="330" t="s">
        <v>32191</v>
      </c>
      <c r="E15551" s="330" t="s">
        <v>4634</v>
      </c>
      <c r="F15551" s="331">
        <v>0.21</v>
      </c>
      <c r="G15551" s="332">
        <v>4472</v>
      </c>
      <c r="H15551" s="333">
        <v>5412</v>
      </c>
    </row>
    <row r="15552" spans="1:8">
      <c r="A15552" s="317">
        <v>3600905025</v>
      </c>
      <c r="B15552" s="330" t="s">
        <v>59904</v>
      </c>
      <c r="C15552" s="330" t="s">
        <v>32192</v>
      </c>
      <c r="D15552" s="330" t="s">
        <v>32193</v>
      </c>
      <c r="E15552" s="330" t="s">
        <v>4634</v>
      </c>
      <c r="F15552" s="331">
        <v>0.21</v>
      </c>
      <c r="G15552" s="332">
        <v>3421</v>
      </c>
      <c r="H15552" s="333">
        <v>4140</v>
      </c>
    </row>
    <row r="15553" spans="1:8">
      <c r="A15553" s="317">
        <v>3600905027</v>
      </c>
      <c r="B15553" s="330" t="s">
        <v>59905</v>
      </c>
      <c r="C15553" s="330" t="s">
        <v>32194</v>
      </c>
      <c r="D15553" s="330" t="s">
        <v>4859</v>
      </c>
      <c r="E15553" s="330" t="s">
        <v>4634</v>
      </c>
      <c r="F15553" s="331">
        <v>0.21</v>
      </c>
      <c r="G15553" s="332">
        <v>3421</v>
      </c>
      <c r="H15553" s="333">
        <v>4140</v>
      </c>
    </row>
    <row r="15554" spans="1:8">
      <c r="A15554" s="317">
        <v>3600905039</v>
      </c>
      <c r="B15554" s="330" t="s">
        <v>59906</v>
      </c>
      <c r="C15554" s="330" t="s">
        <v>32195</v>
      </c>
      <c r="D15554" s="330" t="s">
        <v>32196</v>
      </c>
      <c r="E15554" s="330" t="s">
        <v>4634</v>
      </c>
      <c r="F15554" s="331">
        <v>0.21</v>
      </c>
      <c r="G15554" s="332">
        <v>2299</v>
      </c>
      <c r="H15554" s="333">
        <v>2782</v>
      </c>
    </row>
    <row r="15555" spans="1:8">
      <c r="A15555" s="317">
        <v>3600905045</v>
      </c>
      <c r="B15555" s="330" t="s">
        <v>59907</v>
      </c>
      <c r="C15555" s="330" t="s">
        <v>32197</v>
      </c>
      <c r="D15555" s="330" t="s">
        <v>32198</v>
      </c>
      <c r="E15555" s="330" t="s">
        <v>4634</v>
      </c>
      <c r="F15555" s="331">
        <v>0.21</v>
      </c>
      <c r="G15555" s="332">
        <v>3421</v>
      </c>
      <c r="H15555" s="333">
        <v>4140</v>
      </c>
    </row>
    <row r="15556" spans="1:8">
      <c r="A15556" s="317">
        <v>3600905056</v>
      </c>
      <c r="B15556" s="330" t="s">
        <v>59908</v>
      </c>
      <c r="C15556" s="330" t="s">
        <v>32199</v>
      </c>
      <c r="D15556" s="330" t="s">
        <v>32200</v>
      </c>
      <c r="E15556" s="330" t="s">
        <v>4634</v>
      </c>
      <c r="F15556" s="331">
        <v>0.21</v>
      </c>
      <c r="G15556" s="332">
        <v>2163</v>
      </c>
      <c r="H15556" s="333">
        <v>2618</v>
      </c>
    </row>
    <row r="15557" spans="1:8">
      <c r="A15557" s="317">
        <v>3600905057</v>
      </c>
      <c r="B15557" s="330" t="s">
        <v>59909</v>
      </c>
      <c r="C15557" s="330" t="s">
        <v>32201</v>
      </c>
      <c r="D15557" s="330" t="s">
        <v>21521</v>
      </c>
      <c r="E15557" s="330" t="s">
        <v>4634</v>
      </c>
      <c r="F15557" s="331">
        <v>0.21</v>
      </c>
      <c r="G15557" s="332">
        <v>4004</v>
      </c>
      <c r="H15557" s="333">
        <v>4845</v>
      </c>
    </row>
    <row r="15558" spans="1:8">
      <c r="A15558" s="317">
        <v>3600905058</v>
      </c>
      <c r="B15558" s="330" t="s">
        <v>59910</v>
      </c>
      <c r="C15558" s="330" t="s">
        <v>32202</v>
      </c>
      <c r="D15558" s="330" t="s">
        <v>32203</v>
      </c>
      <c r="E15558" s="330" t="s">
        <v>4634</v>
      </c>
      <c r="F15558" s="331">
        <v>0.21</v>
      </c>
      <c r="G15558" s="332">
        <v>3582</v>
      </c>
      <c r="H15558" s="333">
        <v>4335</v>
      </c>
    </row>
    <row r="15559" spans="1:8">
      <c r="A15559" s="317">
        <v>3600905060</v>
      </c>
      <c r="B15559" s="330" t="s">
        <v>59911</v>
      </c>
      <c r="C15559" s="330" t="s">
        <v>32204</v>
      </c>
      <c r="D15559" s="330" t="s">
        <v>21521</v>
      </c>
      <c r="E15559" s="330" t="s">
        <v>4634</v>
      </c>
      <c r="F15559" s="331">
        <v>0.21</v>
      </c>
      <c r="G15559" s="332">
        <v>731</v>
      </c>
      <c r="H15559" s="333">
        <v>885</v>
      </c>
    </row>
    <row r="15560" spans="1:8">
      <c r="A15560" s="317">
        <v>3600905063</v>
      </c>
      <c r="B15560" s="330" t="s">
        <v>59912</v>
      </c>
      <c r="C15560" s="330" t="s">
        <v>32205</v>
      </c>
      <c r="D15560" s="330" t="s">
        <v>14868</v>
      </c>
      <c r="E15560" s="330" t="s">
        <v>4819</v>
      </c>
      <c r="F15560" s="331">
        <v>0.21</v>
      </c>
      <c r="G15560" s="332">
        <v>9016</v>
      </c>
      <c r="H15560" s="333">
        <v>10910</v>
      </c>
    </row>
    <row r="15561" spans="1:8">
      <c r="A15561" s="317">
        <v>3600905075</v>
      </c>
      <c r="B15561" s="330" t="s">
        <v>59913</v>
      </c>
      <c r="C15561" s="330" t="s">
        <v>32206</v>
      </c>
      <c r="D15561" s="330" t="s">
        <v>32207</v>
      </c>
      <c r="E15561" s="330" t="s">
        <v>4634</v>
      </c>
      <c r="F15561" s="331">
        <v>0.21</v>
      </c>
      <c r="G15561" s="332">
        <v>19644</v>
      </c>
      <c r="H15561" s="333">
        <v>23770</v>
      </c>
    </row>
    <row r="15562" spans="1:8">
      <c r="A15562" s="317">
        <v>3600905090</v>
      </c>
      <c r="B15562" s="330" t="s">
        <v>59914</v>
      </c>
      <c r="C15562" s="330" t="s">
        <v>32208</v>
      </c>
      <c r="D15562" s="330" t="s">
        <v>32209</v>
      </c>
      <c r="E15562" s="330" t="s">
        <v>4634</v>
      </c>
      <c r="F15562" s="331">
        <v>0.21</v>
      </c>
      <c r="G15562" s="332">
        <v>3660</v>
      </c>
      <c r="H15562" s="333">
        <v>4429</v>
      </c>
    </row>
    <row r="15563" spans="1:8">
      <c r="A15563" s="317">
        <v>3600905095</v>
      </c>
      <c r="B15563" s="330" t="s">
        <v>59915</v>
      </c>
      <c r="C15563" s="330" t="s">
        <v>32210</v>
      </c>
      <c r="D15563" s="330" t="s">
        <v>32211</v>
      </c>
      <c r="E15563" s="330" t="s">
        <v>4819</v>
      </c>
      <c r="F15563" s="331">
        <v>0.21</v>
      </c>
      <c r="G15563" s="332">
        <v>17109</v>
      </c>
      <c r="H15563" s="333">
        <v>20702</v>
      </c>
    </row>
    <row r="15564" spans="1:8">
      <c r="A15564" s="317">
        <v>3600905104</v>
      </c>
      <c r="B15564" s="330" t="s">
        <v>59916</v>
      </c>
      <c r="C15564" s="330" t="s">
        <v>32212</v>
      </c>
      <c r="D15564" s="330" t="s">
        <v>32213</v>
      </c>
      <c r="E15564" s="330" t="s">
        <v>4634</v>
      </c>
      <c r="F15564" s="331">
        <v>0.21</v>
      </c>
      <c r="G15564" s="332">
        <v>3528</v>
      </c>
      <c r="H15564" s="333">
        <v>4269</v>
      </c>
    </row>
    <row r="15565" spans="1:8">
      <c r="A15565" s="317">
        <v>3600905108</v>
      </c>
      <c r="B15565" s="330" t="s">
        <v>59917</v>
      </c>
      <c r="C15565" s="330" t="s">
        <v>32214</v>
      </c>
      <c r="D15565" s="330" t="s">
        <v>32213</v>
      </c>
      <c r="E15565" s="330" t="s">
        <v>4634</v>
      </c>
      <c r="F15565" s="331">
        <v>0.21</v>
      </c>
      <c r="G15565" s="332">
        <v>2837</v>
      </c>
      <c r="H15565" s="333">
        <v>3433</v>
      </c>
    </row>
    <row r="15566" spans="1:8">
      <c r="A15566" s="317">
        <v>3600905111</v>
      </c>
      <c r="B15566" s="330" t="s">
        <v>59918</v>
      </c>
      <c r="C15566" s="330" t="s">
        <v>32215</v>
      </c>
      <c r="D15566" s="330" t="s">
        <v>5782</v>
      </c>
      <c r="E15566" s="330" t="s">
        <v>4634</v>
      </c>
      <c r="F15566" s="331">
        <v>0.21</v>
      </c>
      <c r="G15566" s="332">
        <v>18435</v>
      </c>
      <c r="H15566" s="333">
        <v>22307</v>
      </c>
    </row>
    <row r="15567" spans="1:8">
      <c r="A15567" s="317">
        <v>3600905119</v>
      </c>
      <c r="B15567" s="330" t="s">
        <v>59919</v>
      </c>
      <c r="C15567" s="330" t="s">
        <v>32216</v>
      </c>
      <c r="D15567" s="330" t="s">
        <v>32217</v>
      </c>
      <c r="E15567" s="330" t="s">
        <v>4819</v>
      </c>
      <c r="F15567" s="331">
        <v>0.21</v>
      </c>
      <c r="G15567" s="332">
        <v>10243</v>
      </c>
      <c r="H15567" s="333">
        <v>12395</v>
      </c>
    </row>
    <row r="15568" spans="1:8">
      <c r="A15568" s="317">
        <v>3600905124</v>
      </c>
      <c r="B15568" s="330" t="s">
        <v>59920</v>
      </c>
      <c r="C15568" s="330" t="s">
        <v>32218</v>
      </c>
      <c r="D15568" s="330" t="s">
        <v>32177</v>
      </c>
      <c r="E15568" s="330" t="s">
        <v>4634</v>
      </c>
      <c r="F15568" s="331">
        <v>0.21</v>
      </c>
      <c r="G15568" s="332">
        <v>3047</v>
      </c>
      <c r="H15568" s="333">
        <v>3687</v>
      </c>
    </row>
    <row r="15569" spans="1:8">
      <c r="A15569" s="317">
        <v>3600905130</v>
      </c>
      <c r="B15569" s="330" t="s">
        <v>59921</v>
      </c>
      <c r="C15569" s="330" t="s">
        <v>32219</v>
      </c>
      <c r="D15569" s="330" t="s">
        <v>32220</v>
      </c>
      <c r="E15569" s="330" t="s">
        <v>4634</v>
      </c>
      <c r="F15569" s="331">
        <v>0.21</v>
      </c>
      <c r="G15569" s="332">
        <v>3056</v>
      </c>
      <c r="H15569" s="333">
        <v>3698</v>
      </c>
    </row>
    <row r="15570" spans="1:8">
      <c r="A15570" s="317">
        <v>3600905134</v>
      </c>
      <c r="B15570" s="330" t="s">
        <v>59922</v>
      </c>
      <c r="C15570" s="330" t="s">
        <v>32221</v>
      </c>
      <c r="D15570" s="330" t="s">
        <v>21563</v>
      </c>
      <c r="E15570" s="330" t="s">
        <v>4634</v>
      </c>
      <c r="F15570" s="331">
        <v>0.21</v>
      </c>
      <c r="G15570" s="332">
        <v>6596</v>
      </c>
      <c r="H15570" s="333">
        <v>7982</v>
      </c>
    </row>
    <row r="15571" spans="1:8">
      <c r="A15571" s="317">
        <v>3600905138</v>
      </c>
      <c r="B15571" s="330" t="s">
        <v>59923</v>
      </c>
      <c r="C15571" s="330" t="s">
        <v>32222</v>
      </c>
      <c r="D15571" s="330" t="s">
        <v>32223</v>
      </c>
      <c r="E15571" s="330" t="s">
        <v>4634</v>
      </c>
      <c r="F15571" s="331">
        <v>0.21</v>
      </c>
      <c r="G15571" s="332">
        <v>8410</v>
      </c>
      <c r="H15571" s="333">
        <v>10177</v>
      </c>
    </row>
    <row r="15572" spans="1:8">
      <c r="A15572" s="317">
        <v>3600905139</v>
      </c>
      <c r="B15572" s="330" t="s">
        <v>59924</v>
      </c>
      <c r="C15572" s="330" t="s">
        <v>32224</v>
      </c>
      <c r="D15572" s="330" t="s">
        <v>32177</v>
      </c>
      <c r="E15572" s="330" t="s">
        <v>4634</v>
      </c>
      <c r="F15572" s="331">
        <v>0.21</v>
      </c>
      <c r="G15572" s="332">
        <v>2491</v>
      </c>
      <c r="H15572" s="333">
        <v>3015</v>
      </c>
    </row>
    <row r="15573" spans="1:8">
      <c r="A15573" s="317">
        <v>3600905140</v>
      </c>
      <c r="B15573" s="330" t="s">
        <v>59925</v>
      </c>
      <c r="C15573" s="330" t="s">
        <v>32225</v>
      </c>
      <c r="D15573" s="330" t="s">
        <v>32177</v>
      </c>
      <c r="E15573" s="330" t="s">
        <v>4634</v>
      </c>
      <c r="F15573" s="331">
        <v>0.21</v>
      </c>
      <c r="G15573" s="332">
        <v>2491</v>
      </c>
      <c r="H15573" s="333">
        <v>3015</v>
      </c>
    </row>
    <row r="15574" spans="1:8">
      <c r="A15574" s="317">
        <v>3600905147</v>
      </c>
      <c r="B15574" s="330" t="s">
        <v>59926</v>
      </c>
      <c r="C15574" s="330" t="s">
        <v>32226</v>
      </c>
      <c r="D15574" s="330" t="s">
        <v>32223</v>
      </c>
      <c r="E15574" s="330" t="s">
        <v>4634</v>
      </c>
      <c r="F15574" s="331">
        <v>0.21</v>
      </c>
      <c r="G15574" s="332">
        <v>2768</v>
      </c>
      <c r="H15574" s="333">
        <v>3350</v>
      </c>
    </row>
    <row r="15575" spans="1:8">
      <c r="A15575" s="317">
        <v>3600905156</v>
      </c>
      <c r="B15575" s="330" t="s">
        <v>59927</v>
      </c>
      <c r="C15575" s="330" t="s">
        <v>32227</v>
      </c>
      <c r="D15575" s="330" t="s">
        <v>6740</v>
      </c>
      <c r="E15575" s="330" t="s">
        <v>37248</v>
      </c>
      <c r="F15575" s="331">
        <v>0.21</v>
      </c>
      <c r="G15575" s="332">
        <v>11381</v>
      </c>
      <c r="H15575" s="333">
        <v>13772</v>
      </c>
    </row>
    <row r="15576" spans="1:8">
      <c r="A15576" s="317">
        <v>3600905157</v>
      </c>
      <c r="B15576" s="330" t="s">
        <v>59928</v>
      </c>
      <c r="C15576" s="330" t="s">
        <v>32228</v>
      </c>
      <c r="D15576" s="330" t="s">
        <v>32229</v>
      </c>
      <c r="E15576" s="330" t="s">
        <v>37248</v>
      </c>
      <c r="F15576" s="331">
        <v>0.21</v>
      </c>
      <c r="G15576" s="332">
        <v>11381</v>
      </c>
      <c r="H15576" s="333">
        <v>13772</v>
      </c>
    </row>
    <row r="15577" spans="1:8">
      <c r="A15577" s="317">
        <v>3600905158</v>
      </c>
      <c r="B15577" s="330" t="s">
        <v>59929</v>
      </c>
      <c r="C15577" s="330" t="s">
        <v>32230</v>
      </c>
      <c r="D15577" s="330" t="s">
        <v>32231</v>
      </c>
      <c r="E15577" s="330" t="s">
        <v>37248</v>
      </c>
      <c r="F15577" s="331">
        <v>0.21</v>
      </c>
      <c r="G15577" s="332">
        <v>5242</v>
      </c>
      <c r="H15577" s="333">
        <v>6343</v>
      </c>
    </row>
    <row r="15578" spans="1:8">
      <c r="A15578" s="317">
        <v>3600905161</v>
      </c>
      <c r="B15578" s="330" t="s">
        <v>59930</v>
      </c>
      <c r="C15578" s="330" t="s">
        <v>32232</v>
      </c>
      <c r="D15578" s="330" t="s">
        <v>21563</v>
      </c>
      <c r="E15578" s="330" t="s">
        <v>37248</v>
      </c>
      <c r="F15578" s="331">
        <v>0.21</v>
      </c>
      <c r="G15578" s="332">
        <v>452</v>
      </c>
      <c r="H15578" s="333">
        <v>547</v>
      </c>
    </row>
    <row r="15579" spans="1:8">
      <c r="A15579" s="317">
        <v>3600905509</v>
      </c>
      <c r="B15579" s="330" t="s">
        <v>59931</v>
      </c>
      <c r="C15579" s="330" t="s">
        <v>32233</v>
      </c>
      <c r="D15579" s="330" t="s">
        <v>32234</v>
      </c>
      <c r="E15579" s="330" t="s">
        <v>4634</v>
      </c>
      <c r="F15579" s="331">
        <v>0.21</v>
      </c>
      <c r="G15579" s="332">
        <v>3189</v>
      </c>
      <c r="H15579" s="333">
        <v>3859</v>
      </c>
    </row>
    <row r="15580" spans="1:8">
      <c r="A15580" s="317">
        <v>3600905510</v>
      </c>
      <c r="B15580" s="330" t="s">
        <v>59932</v>
      </c>
      <c r="C15580" s="330" t="s">
        <v>32235</v>
      </c>
      <c r="D15580" s="330" t="s">
        <v>32234</v>
      </c>
      <c r="E15580" s="330" t="s">
        <v>4634</v>
      </c>
      <c r="F15580" s="331">
        <v>0.21</v>
      </c>
      <c r="G15580" s="332">
        <v>1008</v>
      </c>
      <c r="H15580" s="333">
        <v>1220</v>
      </c>
    </row>
    <row r="15581" spans="1:8">
      <c r="A15581" s="317">
        <v>3600905512</v>
      </c>
      <c r="B15581" s="330" t="s">
        <v>59933</v>
      </c>
      <c r="C15581" s="330" t="s">
        <v>32236</v>
      </c>
      <c r="D15581" s="330" t="s">
        <v>32237</v>
      </c>
      <c r="E15581" s="330" t="s">
        <v>4634</v>
      </c>
      <c r="F15581" s="331">
        <v>0.21</v>
      </c>
      <c r="G15581" s="332">
        <v>12072</v>
      </c>
      <c r="H15581" s="333">
        <v>14608</v>
      </c>
    </row>
    <row r="15582" spans="1:8">
      <c r="A15582" s="317">
        <v>3600905513</v>
      </c>
      <c r="B15582" s="330" t="s">
        <v>59934</v>
      </c>
      <c r="C15582" s="330" t="s">
        <v>32238</v>
      </c>
      <c r="D15582" s="330" t="s">
        <v>32239</v>
      </c>
      <c r="E15582" s="330" t="s">
        <v>4634</v>
      </c>
      <c r="F15582" s="331">
        <v>0.21</v>
      </c>
      <c r="G15582" s="332">
        <v>948</v>
      </c>
      <c r="H15582" s="333">
        <v>1148</v>
      </c>
    </row>
    <row r="15583" spans="1:8">
      <c r="A15583" s="317">
        <v>3600910000</v>
      </c>
      <c r="B15583" s="330" t="s">
        <v>59935</v>
      </c>
      <c r="C15583" s="330" t="s">
        <v>32240</v>
      </c>
      <c r="D15583" s="330" t="s">
        <v>32241</v>
      </c>
      <c r="E15583" s="330" t="s">
        <v>4634</v>
      </c>
      <c r="F15583" s="331">
        <v>0.21</v>
      </c>
      <c r="G15583" s="332">
        <v>4677</v>
      </c>
      <c r="H15583" s="333">
        <v>5660</v>
      </c>
    </row>
    <row r="15584" spans="1:8">
      <c r="A15584" s="317">
        <v>3600910001</v>
      </c>
      <c r="B15584" s="330" t="s">
        <v>59936</v>
      </c>
      <c r="C15584" s="330" t="s">
        <v>32242</v>
      </c>
      <c r="D15584" s="330" t="s">
        <v>32243</v>
      </c>
      <c r="E15584" s="330" t="s">
        <v>4634</v>
      </c>
      <c r="F15584" s="331">
        <v>0.21</v>
      </c>
      <c r="G15584" s="332">
        <v>5239</v>
      </c>
      <c r="H15584" s="333">
        <v>6340</v>
      </c>
    </row>
    <row r="15585" spans="1:8">
      <c r="A15585" s="317">
        <v>3600910505</v>
      </c>
      <c r="B15585" s="330" t="s">
        <v>59937</v>
      </c>
      <c r="C15585" s="330" t="s">
        <v>32244</v>
      </c>
      <c r="D15585" s="330" t="s">
        <v>32245</v>
      </c>
      <c r="E15585" s="330" t="s">
        <v>4634</v>
      </c>
      <c r="F15585" s="331">
        <v>0.21</v>
      </c>
      <c r="G15585" s="332">
        <v>1030</v>
      </c>
      <c r="H15585" s="333">
        <v>1247</v>
      </c>
    </row>
    <row r="15586" spans="1:8">
      <c r="A15586" s="317">
        <v>3600913000</v>
      </c>
      <c r="B15586" s="330" t="s">
        <v>59938</v>
      </c>
      <c r="C15586" s="330" t="s">
        <v>32246</v>
      </c>
      <c r="D15586" s="330" t="s">
        <v>32247</v>
      </c>
      <c r="E15586" s="330" t="s">
        <v>4634</v>
      </c>
      <c r="F15586" s="331">
        <v>0.21</v>
      </c>
      <c r="G15586" s="332">
        <v>816</v>
      </c>
      <c r="H15586" s="333">
        <v>988</v>
      </c>
    </row>
    <row r="15587" spans="1:8">
      <c r="A15587" s="317">
        <v>3600913001</v>
      </c>
      <c r="B15587" s="330" t="s">
        <v>59939</v>
      </c>
      <c r="C15587" s="330" t="s">
        <v>32248</v>
      </c>
      <c r="D15587" s="330" t="s">
        <v>32249</v>
      </c>
      <c r="E15587" s="330" t="s">
        <v>4634</v>
      </c>
      <c r="F15587" s="331">
        <v>0.21</v>
      </c>
      <c r="G15587" s="332">
        <v>1641</v>
      </c>
      <c r="H15587" s="333">
        <v>1986</v>
      </c>
    </row>
    <row r="15588" spans="1:8">
      <c r="A15588" s="317">
        <v>3600913006</v>
      </c>
      <c r="B15588" s="330" t="s">
        <v>59940</v>
      </c>
      <c r="C15588" s="330" t="s">
        <v>32250</v>
      </c>
      <c r="D15588" s="330" t="s">
        <v>32251</v>
      </c>
      <c r="E15588" s="330" t="s">
        <v>4634</v>
      </c>
      <c r="F15588" s="331">
        <v>0.21</v>
      </c>
      <c r="G15588" s="332">
        <v>1347</v>
      </c>
      <c r="H15588" s="333">
        <v>1630</v>
      </c>
    </row>
    <row r="15589" spans="1:8">
      <c r="A15589" s="317">
        <v>3600913010</v>
      </c>
      <c r="B15589" s="330" t="s">
        <v>59941</v>
      </c>
      <c r="C15589" s="330" t="s">
        <v>32252</v>
      </c>
      <c r="D15589" s="330" t="s">
        <v>32253</v>
      </c>
      <c r="E15589" s="330" t="s">
        <v>4634</v>
      </c>
      <c r="F15589" s="331">
        <v>0.21</v>
      </c>
      <c r="G15589" s="332">
        <v>928</v>
      </c>
      <c r="H15589" s="333">
        <v>1123</v>
      </c>
    </row>
    <row r="15590" spans="1:8">
      <c r="A15590" s="317">
        <v>3600915001</v>
      </c>
      <c r="B15590" s="330" t="s">
        <v>59942</v>
      </c>
      <c r="C15590" s="330" t="s">
        <v>32254</v>
      </c>
      <c r="D15590" s="330" t="s">
        <v>6774</v>
      </c>
      <c r="E15590" s="330" t="s">
        <v>4634</v>
      </c>
      <c r="F15590" s="331">
        <v>0.21</v>
      </c>
      <c r="G15590" s="332">
        <v>3047</v>
      </c>
      <c r="H15590" s="333">
        <v>3687</v>
      </c>
    </row>
    <row r="15591" spans="1:8">
      <c r="A15591" s="317">
        <v>3600917010</v>
      </c>
      <c r="B15591" s="330" t="s">
        <v>59943</v>
      </c>
      <c r="C15591" s="330" t="s">
        <v>32255</v>
      </c>
      <c r="D15591" s="330" t="s">
        <v>32256</v>
      </c>
      <c r="E15591" s="330" t="s">
        <v>4634</v>
      </c>
      <c r="F15591" s="331">
        <v>0.21</v>
      </c>
      <c r="G15591" s="332">
        <v>6553</v>
      </c>
      <c r="H15591" s="333">
        <v>7930</v>
      </c>
    </row>
    <row r="15592" spans="1:8">
      <c r="A15592" s="317">
        <v>3600917019</v>
      </c>
      <c r="B15592" s="330" t="s">
        <v>59944</v>
      </c>
      <c r="C15592" s="330" t="s">
        <v>32257</v>
      </c>
      <c r="D15592" s="330" t="s">
        <v>22364</v>
      </c>
      <c r="E15592" s="330" t="s">
        <v>4634</v>
      </c>
      <c r="F15592" s="331">
        <v>0.21</v>
      </c>
      <c r="G15592" s="332">
        <v>2212</v>
      </c>
      <c r="H15592" s="333">
        <v>2677</v>
      </c>
    </row>
    <row r="15593" spans="1:8">
      <c r="A15593" s="317">
        <v>3600917020</v>
      </c>
      <c r="B15593" s="330" t="s">
        <v>59945</v>
      </c>
      <c r="C15593" s="330" t="s">
        <v>32258</v>
      </c>
      <c r="D15593" s="330" t="s">
        <v>32259</v>
      </c>
      <c r="E15593" s="330" t="s">
        <v>4634</v>
      </c>
      <c r="F15593" s="331">
        <v>0.21</v>
      </c>
      <c r="G15593" s="332">
        <v>3047</v>
      </c>
      <c r="H15593" s="333">
        <v>3687</v>
      </c>
    </row>
    <row r="15594" spans="1:8">
      <c r="A15594" s="317">
        <v>3600917037</v>
      </c>
      <c r="B15594" s="330" t="s">
        <v>59946</v>
      </c>
      <c r="C15594" s="330" t="s">
        <v>32260</v>
      </c>
      <c r="D15594" s="330" t="s">
        <v>32261</v>
      </c>
      <c r="E15594" s="330" t="s">
        <v>4634</v>
      </c>
      <c r="F15594" s="331">
        <v>0.21</v>
      </c>
      <c r="G15594" s="332">
        <v>1547</v>
      </c>
      <c r="H15594" s="333">
        <v>1872</v>
      </c>
    </row>
    <row r="15595" spans="1:8">
      <c r="A15595" s="317">
        <v>3600917038</v>
      </c>
      <c r="B15595" s="330" t="s">
        <v>59947</v>
      </c>
      <c r="C15595" s="330" t="s">
        <v>32262</v>
      </c>
      <c r="D15595" s="330" t="s">
        <v>32261</v>
      </c>
      <c r="E15595" s="330" t="s">
        <v>4634</v>
      </c>
      <c r="F15595" s="331">
        <v>0.21</v>
      </c>
      <c r="G15595" s="332">
        <v>4004</v>
      </c>
      <c r="H15595" s="333">
        <v>4845</v>
      </c>
    </row>
    <row r="15596" spans="1:8">
      <c r="A15596" s="317">
        <v>3600921001</v>
      </c>
      <c r="B15596" s="330" t="s">
        <v>59948</v>
      </c>
      <c r="C15596" s="330" t="s">
        <v>32263</v>
      </c>
      <c r="D15596" s="330" t="s">
        <v>32264</v>
      </c>
      <c r="E15596" s="330" t="s">
        <v>4634</v>
      </c>
      <c r="F15596" s="331">
        <v>0.21</v>
      </c>
      <c r="G15596" s="332">
        <v>595</v>
      </c>
      <c r="H15596" s="333">
        <v>720</v>
      </c>
    </row>
    <row r="15597" spans="1:8">
      <c r="A15597" s="317">
        <v>3600929003</v>
      </c>
      <c r="B15597" s="330" t="s">
        <v>59949</v>
      </c>
      <c r="C15597" s="330" t="s">
        <v>32265</v>
      </c>
      <c r="D15597" s="330" t="s">
        <v>32266</v>
      </c>
      <c r="E15597" s="330" t="s">
        <v>4634</v>
      </c>
      <c r="F15597" s="331">
        <v>0.21</v>
      </c>
      <c r="G15597" s="332">
        <v>4472</v>
      </c>
      <c r="H15597" s="333">
        <v>5412</v>
      </c>
    </row>
    <row r="15598" spans="1:8">
      <c r="A15598" s="317">
        <v>3600929005</v>
      </c>
      <c r="B15598" s="330" t="s">
        <v>59950</v>
      </c>
      <c r="C15598" s="330" t="s">
        <v>32267</v>
      </c>
      <c r="D15598" s="330" t="s">
        <v>32266</v>
      </c>
      <c r="E15598" s="330" t="s">
        <v>4819</v>
      </c>
      <c r="F15598" s="331">
        <v>0.21</v>
      </c>
      <c r="G15598" s="332">
        <v>7957</v>
      </c>
      <c r="H15598" s="333">
        <v>9628</v>
      </c>
    </row>
    <row r="15599" spans="1:8">
      <c r="A15599" s="317">
        <v>3600929008</v>
      </c>
      <c r="B15599" s="330" t="s">
        <v>59951</v>
      </c>
      <c r="C15599" s="330" t="s">
        <v>32268</v>
      </c>
      <c r="D15599" s="330" t="s">
        <v>32269</v>
      </c>
      <c r="E15599" s="330" t="s">
        <v>4634</v>
      </c>
      <c r="F15599" s="331">
        <v>0.21</v>
      </c>
      <c r="G15599" s="332">
        <v>2059</v>
      </c>
      <c r="H15599" s="333">
        <v>2492</v>
      </c>
    </row>
    <row r="15600" spans="1:8">
      <c r="A15600" s="317">
        <v>3601010001</v>
      </c>
      <c r="B15600" s="330" t="s">
        <v>59952</v>
      </c>
      <c r="C15600" s="330" t="s">
        <v>32270</v>
      </c>
      <c r="D15600" s="330" t="s">
        <v>32271</v>
      </c>
      <c r="E15600" s="330" t="s">
        <v>4634</v>
      </c>
      <c r="F15600" s="331">
        <v>0.21</v>
      </c>
      <c r="G15600" s="332">
        <v>455</v>
      </c>
      <c r="H15600" s="333">
        <v>551</v>
      </c>
    </row>
    <row r="15601" spans="1:8">
      <c r="A15601" s="317">
        <v>3601010006</v>
      </c>
      <c r="B15601" s="330" t="s">
        <v>59953</v>
      </c>
      <c r="C15601" s="330" t="s">
        <v>32272</v>
      </c>
      <c r="D15601" s="330" t="s">
        <v>32273</v>
      </c>
      <c r="E15601" s="330" t="s">
        <v>4634</v>
      </c>
      <c r="F15601" s="331">
        <v>0.21</v>
      </c>
      <c r="G15601" s="332">
        <v>387</v>
      </c>
      <c r="H15601" s="333">
        <v>469</v>
      </c>
    </row>
    <row r="15602" spans="1:8">
      <c r="A15602" s="317">
        <v>3601010010</v>
      </c>
      <c r="B15602" s="330" t="s">
        <v>59954</v>
      </c>
      <c r="C15602" s="330" t="s">
        <v>32274</v>
      </c>
      <c r="D15602" s="330" t="s">
        <v>32275</v>
      </c>
      <c r="E15602" s="330" t="s">
        <v>4634</v>
      </c>
      <c r="F15602" s="331">
        <v>0.21</v>
      </c>
      <c r="G15602" s="332">
        <v>348</v>
      </c>
      <c r="H15602" s="333">
        <v>422</v>
      </c>
    </row>
    <row r="15603" spans="1:8">
      <c r="A15603" s="317">
        <v>3601010017</v>
      </c>
      <c r="B15603" s="330" t="s">
        <v>59955</v>
      </c>
      <c r="C15603" s="330" t="s">
        <v>32276</v>
      </c>
      <c r="D15603" s="330" t="s">
        <v>31675</v>
      </c>
      <c r="E15603" s="330" t="s">
        <v>4634</v>
      </c>
      <c r="F15603" s="331">
        <v>0.21</v>
      </c>
      <c r="G15603" s="332">
        <v>348</v>
      </c>
      <c r="H15603" s="333">
        <v>422</v>
      </c>
    </row>
    <row r="15604" spans="1:8">
      <c r="A15604" s="317">
        <v>3601010020</v>
      </c>
      <c r="B15604" s="330" t="s">
        <v>59956</v>
      </c>
      <c r="C15604" s="330" t="s">
        <v>32277</v>
      </c>
      <c r="D15604" s="330" t="s">
        <v>31736</v>
      </c>
      <c r="E15604" s="330" t="s">
        <v>4634</v>
      </c>
      <c r="F15604" s="331">
        <v>0.21</v>
      </c>
      <c r="G15604" s="332">
        <v>455</v>
      </c>
      <c r="H15604" s="333">
        <v>551</v>
      </c>
    </row>
    <row r="15605" spans="1:8">
      <c r="A15605" s="317">
        <v>3601010027</v>
      </c>
      <c r="B15605" s="330" t="s">
        <v>59957</v>
      </c>
      <c r="C15605" s="330" t="s">
        <v>32278</v>
      </c>
      <c r="D15605" s="330" t="s">
        <v>32279</v>
      </c>
      <c r="E15605" s="330" t="s">
        <v>4634</v>
      </c>
      <c r="F15605" s="331">
        <v>0.21</v>
      </c>
      <c r="G15605" s="332">
        <v>564</v>
      </c>
      <c r="H15605" s="333">
        <v>683</v>
      </c>
    </row>
    <row r="15606" spans="1:8">
      <c r="A15606" s="317">
        <v>3601010046</v>
      </c>
      <c r="B15606" s="330" t="s">
        <v>59958</v>
      </c>
      <c r="C15606" s="330" t="s">
        <v>32280</v>
      </c>
      <c r="D15606" s="330" t="s">
        <v>32281</v>
      </c>
      <c r="E15606" s="330" t="s">
        <v>4634</v>
      </c>
      <c r="F15606" s="331">
        <v>0.21</v>
      </c>
      <c r="G15606" s="332">
        <v>1479</v>
      </c>
      <c r="H15606" s="333">
        <v>1790</v>
      </c>
    </row>
    <row r="15607" spans="1:8">
      <c r="A15607" s="317">
        <v>3601010516</v>
      </c>
      <c r="B15607" s="330" t="s">
        <v>59959</v>
      </c>
      <c r="C15607" s="330" t="s">
        <v>32282</v>
      </c>
      <c r="D15607" s="330" t="s">
        <v>32283</v>
      </c>
      <c r="E15607" s="330" t="s">
        <v>4634</v>
      </c>
      <c r="F15607" s="331">
        <v>0.21</v>
      </c>
      <c r="G15607" s="332">
        <v>3966</v>
      </c>
      <c r="H15607" s="333">
        <v>4799</v>
      </c>
    </row>
    <row r="15608" spans="1:8">
      <c r="A15608" s="317">
        <v>3601010517</v>
      </c>
      <c r="B15608" s="330" t="s">
        <v>59960</v>
      </c>
      <c r="C15608" s="330" t="s">
        <v>32284</v>
      </c>
      <c r="D15608" s="330" t="s">
        <v>32285</v>
      </c>
      <c r="E15608" s="330" t="s">
        <v>4634</v>
      </c>
      <c r="F15608" s="331">
        <v>0.21</v>
      </c>
      <c r="G15608" s="332">
        <v>648</v>
      </c>
      <c r="H15608" s="333">
        <v>785</v>
      </c>
    </row>
    <row r="15609" spans="1:8">
      <c r="A15609" s="317">
        <v>3601010519</v>
      </c>
      <c r="B15609" s="330" t="s">
        <v>59961</v>
      </c>
      <c r="C15609" s="330" t="s">
        <v>32286</v>
      </c>
      <c r="D15609" s="330" t="s">
        <v>32287</v>
      </c>
      <c r="E15609" s="330" t="s">
        <v>4634</v>
      </c>
      <c r="F15609" s="331">
        <v>0.21</v>
      </c>
      <c r="G15609" s="332">
        <v>648</v>
      </c>
      <c r="H15609" s="333">
        <v>785</v>
      </c>
    </row>
    <row r="15610" spans="1:8">
      <c r="A15610" s="317">
        <v>3601012003</v>
      </c>
      <c r="B15610" s="330" t="s">
        <v>59962</v>
      </c>
      <c r="C15610" s="330" t="s">
        <v>32288</v>
      </c>
      <c r="D15610" s="330" t="s">
        <v>32289</v>
      </c>
      <c r="E15610" s="330" t="s">
        <v>4819</v>
      </c>
      <c r="F15610" s="331">
        <v>0.21</v>
      </c>
      <c r="G15610" s="332">
        <v>9654</v>
      </c>
      <c r="H15610" s="333">
        <v>11682</v>
      </c>
    </row>
    <row r="15611" spans="1:8">
      <c r="A15611" s="317">
        <v>3601015503</v>
      </c>
      <c r="B15611" s="330" t="s">
        <v>59963</v>
      </c>
      <c r="C15611" s="330" t="s">
        <v>32290</v>
      </c>
      <c r="D15611" s="330" t="s">
        <v>32291</v>
      </c>
      <c r="E15611" s="330" t="s">
        <v>4634</v>
      </c>
      <c r="F15611" s="331">
        <v>0.21</v>
      </c>
      <c r="G15611" s="332">
        <v>678</v>
      </c>
      <c r="H15611" s="333">
        <v>821</v>
      </c>
    </row>
    <row r="15612" spans="1:8">
      <c r="A15612" s="317">
        <v>3601016502</v>
      </c>
      <c r="B15612" s="330" t="s">
        <v>59964</v>
      </c>
      <c r="C15612" s="330" t="s">
        <v>32292</v>
      </c>
      <c r="D15612" s="330" t="s">
        <v>32293</v>
      </c>
      <c r="E15612" s="330" t="s">
        <v>4634</v>
      </c>
      <c r="F15612" s="331">
        <v>0.21</v>
      </c>
      <c r="G15612" s="332">
        <v>972</v>
      </c>
      <c r="H15612" s="333">
        <v>1177</v>
      </c>
    </row>
    <row r="15613" spans="1:8">
      <c r="A15613" s="317">
        <v>3601016504</v>
      </c>
      <c r="B15613" s="330" t="s">
        <v>59965</v>
      </c>
      <c r="C15613" s="330" t="s">
        <v>32294</v>
      </c>
      <c r="D15613" s="330" t="s">
        <v>32295</v>
      </c>
      <c r="E15613" s="330" t="s">
        <v>4634</v>
      </c>
      <c r="F15613" s="331">
        <v>0.21</v>
      </c>
      <c r="G15613" s="332">
        <v>648</v>
      </c>
      <c r="H15613" s="333">
        <v>785</v>
      </c>
    </row>
    <row r="15614" spans="1:8">
      <c r="A15614" s="317">
        <v>3601021509</v>
      </c>
      <c r="B15614" s="330" t="s">
        <v>59966</v>
      </c>
      <c r="C15614" s="330" t="s">
        <v>32296</v>
      </c>
      <c r="D15614" s="330" t="s">
        <v>32297</v>
      </c>
      <c r="E15614" s="330" t="s">
        <v>4634</v>
      </c>
      <c r="F15614" s="331">
        <v>0.21</v>
      </c>
      <c r="G15614" s="332">
        <v>1641</v>
      </c>
      <c r="H15614" s="333">
        <v>1986</v>
      </c>
    </row>
    <row r="15615" spans="1:8">
      <c r="A15615" s="317">
        <v>3601021510</v>
      </c>
      <c r="B15615" s="330" t="s">
        <v>59967</v>
      </c>
      <c r="C15615" s="330" t="s">
        <v>32298</v>
      </c>
      <c r="D15615" s="330" t="s">
        <v>30975</v>
      </c>
      <c r="E15615" s="330" t="s">
        <v>4634</v>
      </c>
      <c r="F15615" s="331">
        <v>0.21</v>
      </c>
      <c r="G15615" s="332">
        <v>5661</v>
      </c>
      <c r="H15615" s="333">
        <v>6850</v>
      </c>
    </row>
    <row r="15616" spans="1:8">
      <c r="A15616" s="317">
        <v>3601023003</v>
      </c>
      <c r="B15616" s="330" t="s">
        <v>59968</v>
      </c>
      <c r="C15616" s="330" t="s">
        <v>32299</v>
      </c>
      <c r="D15616" s="330" t="s">
        <v>32300</v>
      </c>
      <c r="E15616" s="330" t="s">
        <v>4634</v>
      </c>
      <c r="F15616" s="331">
        <v>0.21</v>
      </c>
      <c r="G15616" s="332">
        <v>702</v>
      </c>
      <c r="H15616" s="333">
        <v>850</v>
      </c>
    </row>
    <row r="15617" spans="1:8">
      <c r="A15617" s="317">
        <v>3601023007</v>
      </c>
      <c r="B15617" s="330" t="s">
        <v>59969</v>
      </c>
      <c r="C15617" s="330" t="s">
        <v>32301</v>
      </c>
      <c r="D15617" s="330" t="s">
        <v>32302</v>
      </c>
      <c r="E15617" s="330" t="s">
        <v>4634</v>
      </c>
      <c r="F15617" s="331">
        <v>0.21</v>
      </c>
      <c r="G15617" s="332">
        <v>243</v>
      </c>
      <c r="H15617" s="333">
        <v>295</v>
      </c>
    </row>
    <row r="15618" spans="1:8">
      <c r="A15618" s="317">
        <v>3601023008</v>
      </c>
      <c r="B15618" s="330" t="s">
        <v>59970</v>
      </c>
      <c r="C15618" s="330" t="s">
        <v>32303</v>
      </c>
      <c r="D15618" s="330" t="s">
        <v>32304</v>
      </c>
      <c r="E15618" s="330" t="s">
        <v>4634</v>
      </c>
      <c r="F15618" s="331">
        <v>0.21</v>
      </c>
      <c r="G15618" s="332">
        <v>1411</v>
      </c>
      <c r="H15618" s="333">
        <v>1708</v>
      </c>
    </row>
    <row r="15619" spans="1:8">
      <c r="A15619" s="317">
        <v>3601023011</v>
      </c>
      <c r="B15619" s="330" t="s">
        <v>59971</v>
      </c>
      <c r="C15619" s="330" t="s">
        <v>32305</v>
      </c>
      <c r="D15619" s="330" t="s">
        <v>32306</v>
      </c>
      <c r="E15619" s="330" t="s">
        <v>4634</v>
      </c>
      <c r="F15619" s="331">
        <v>0.21</v>
      </c>
      <c r="G15619" s="332">
        <v>490</v>
      </c>
      <c r="H15619" s="333">
        <v>593</v>
      </c>
    </row>
    <row r="15620" spans="1:8">
      <c r="A15620" s="317">
        <v>3601099003</v>
      </c>
      <c r="B15620" s="330" t="s">
        <v>59972</v>
      </c>
      <c r="C15620" s="330" t="s">
        <v>32307</v>
      </c>
      <c r="D15620" s="330" t="s">
        <v>32308</v>
      </c>
      <c r="E15620" s="330" t="s">
        <v>4634</v>
      </c>
      <c r="F15620" s="331">
        <v>0.21</v>
      </c>
      <c r="G15620" s="332">
        <v>131</v>
      </c>
      <c r="H15620" s="333">
        <v>159</v>
      </c>
    </row>
    <row r="15621" spans="1:8">
      <c r="A15621" s="317">
        <v>3601099004</v>
      </c>
      <c r="B15621" s="330" t="s">
        <v>59973</v>
      </c>
      <c r="C15621" s="330" t="s">
        <v>32309</v>
      </c>
      <c r="D15621" s="330" t="s">
        <v>32310</v>
      </c>
      <c r="E15621" s="330" t="s">
        <v>4819</v>
      </c>
      <c r="F15621" s="331">
        <v>0.21</v>
      </c>
      <c r="G15621" s="332">
        <v>863</v>
      </c>
      <c r="H15621" s="333">
        <v>1045</v>
      </c>
    </row>
    <row r="15622" spans="1:8">
      <c r="A15622" s="317">
        <v>3601110256</v>
      </c>
      <c r="B15622" s="330" t="s">
        <v>59974</v>
      </c>
      <c r="C15622" s="330" t="s">
        <v>32311</v>
      </c>
      <c r="D15622" s="330" t="s">
        <v>32312</v>
      </c>
      <c r="E15622" s="330" t="s">
        <v>4634</v>
      </c>
      <c r="F15622" s="331">
        <v>0.21</v>
      </c>
      <c r="G15622" s="332">
        <v>1704</v>
      </c>
      <c r="H15622" s="333">
        <v>2062</v>
      </c>
    </row>
    <row r="15623" spans="1:8">
      <c r="A15623" s="317">
        <v>3601110616</v>
      </c>
      <c r="B15623" s="330" t="s">
        <v>59975</v>
      </c>
      <c r="C15623" s="330" t="s">
        <v>32313</v>
      </c>
      <c r="D15623" s="330" t="s">
        <v>32314</v>
      </c>
      <c r="E15623" s="330" t="s">
        <v>37248</v>
      </c>
      <c r="F15623" s="331">
        <v>0.21</v>
      </c>
      <c r="G15623" s="332">
        <v>515</v>
      </c>
      <c r="H15623" s="333">
        <v>624</v>
      </c>
    </row>
    <row r="15624" spans="1:8">
      <c r="A15624" s="317">
        <v>3601119204</v>
      </c>
      <c r="B15624" s="330" t="s">
        <v>59976</v>
      </c>
      <c r="C15624" s="330" t="s">
        <v>32315</v>
      </c>
      <c r="D15624" s="330" t="s">
        <v>32316</v>
      </c>
      <c r="E15624" s="330" t="s">
        <v>4634</v>
      </c>
      <c r="F15624" s="331">
        <v>0.21</v>
      </c>
      <c r="G15624" s="332">
        <v>2014</v>
      </c>
      <c r="H15624" s="333">
        <v>2437</v>
      </c>
    </row>
    <row r="15625" spans="1:8">
      <c r="A15625" s="317">
        <v>3601119209</v>
      </c>
      <c r="B15625" s="330" t="s">
        <v>59977</v>
      </c>
      <c r="C15625" s="330" t="s">
        <v>32317</v>
      </c>
      <c r="D15625" s="330" t="s">
        <v>32318</v>
      </c>
      <c r="E15625" s="330" t="s">
        <v>4634</v>
      </c>
      <c r="F15625" s="331">
        <v>0.21</v>
      </c>
      <c r="G15625" s="332">
        <v>3421</v>
      </c>
      <c r="H15625" s="333">
        <v>4140</v>
      </c>
    </row>
    <row r="15626" spans="1:8">
      <c r="A15626" s="317">
        <v>3601119309</v>
      </c>
      <c r="B15626" s="330" t="s">
        <v>59978</v>
      </c>
      <c r="C15626" s="330" t="s">
        <v>32319</v>
      </c>
      <c r="D15626" s="330" t="s">
        <v>7414</v>
      </c>
      <c r="E15626" s="330" t="s">
        <v>4634</v>
      </c>
      <c r="F15626" s="331">
        <v>0.21</v>
      </c>
      <c r="G15626" s="332">
        <v>2212</v>
      </c>
      <c r="H15626" s="333">
        <v>2677</v>
      </c>
    </row>
    <row r="15627" spans="1:8">
      <c r="A15627" s="317">
        <v>3601119318</v>
      </c>
      <c r="B15627" s="330" t="s">
        <v>59979</v>
      </c>
      <c r="C15627" s="330" t="s">
        <v>32320</v>
      </c>
      <c r="D15627" s="330" t="s">
        <v>10700</v>
      </c>
      <c r="E15627" s="330" t="s">
        <v>4634</v>
      </c>
      <c r="F15627" s="331">
        <v>0.21</v>
      </c>
      <c r="G15627" s="332">
        <v>1012</v>
      </c>
      <c r="H15627" s="333">
        <v>1225</v>
      </c>
    </row>
    <row r="15628" spans="1:8">
      <c r="A15628" s="317">
        <v>3601119940</v>
      </c>
      <c r="B15628" s="330" t="s">
        <v>59980</v>
      </c>
      <c r="C15628" s="330" t="s">
        <v>32321</v>
      </c>
      <c r="D15628" s="330" t="s">
        <v>7508</v>
      </c>
      <c r="E15628" s="330" t="s">
        <v>37248</v>
      </c>
      <c r="F15628" s="331">
        <v>0.21</v>
      </c>
      <c r="G15628" s="332">
        <v>1208</v>
      </c>
      <c r="H15628" s="333">
        <v>1462</v>
      </c>
    </row>
    <row r="15629" spans="1:8">
      <c r="A15629" s="317">
        <v>3601253503</v>
      </c>
      <c r="B15629" s="330" t="s">
        <v>59981</v>
      </c>
      <c r="C15629" s="330" t="s">
        <v>32322</v>
      </c>
      <c r="D15629" s="330" t="s">
        <v>32323</v>
      </c>
      <c r="E15629" s="330" t="s">
        <v>4634</v>
      </c>
      <c r="F15629" s="331">
        <v>0.21</v>
      </c>
      <c r="G15629" s="332">
        <v>678</v>
      </c>
      <c r="H15629" s="333">
        <v>821</v>
      </c>
    </row>
    <row r="15630" spans="1:8">
      <c r="A15630" s="317">
        <v>3601303002</v>
      </c>
      <c r="B15630" s="330" t="s">
        <v>59982</v>
      </c>
      <c r="C15630" s="330" t="s">
        <v>32324</v>
      </c>
      <c r="D15630" s="330" t="s">
        <v>32325</v>
      </c>
      <c r="E15630" s="330" t="s">
        <v>4634</v>
      </c>
      <c r="F15630" s="331">
        <v>0.21</v>
      </c>
      <c r="G15630" s="332">
        <v>490</v>
      </c>
      <c r="H15630" s="333">
        <v>593</v>
      </c>
    </row>
    <row r="15631" spans="1:8">
      <c r="A15631" s="317">
        <v>3601303004</v>
      </c>
      <c r="B15631" s="330" t="s">
        <v>59983</v>
      </c>
      <c r="C15631" s="330" t="s">
        <v>32326</v>
      </c>
      <c r="D15631" s="330" t="s">
        <v>32327</v>
      </c>
      <c r="E15631" s="330" t="s">
        <v>4634</v>
      </c>
      <c r="F15631" s="331">
        <v>0.21</v>
      </c>
      <c r="G15631" s="332">
        <v>1115</v>
      </c>
      <c r="H15631" s="333">
        <v>1350</v>
      </c>
    </row>
    <row r="15632" spans="1:8">
      <c r="A15632" s="317">
        <v>3601321001</v>
      </c>
      <c r="B15632" s="330" t="s">
        <v>59984</v>
      </c>
      <c r="C15632" s="330" t="s">
        <v>32328</v>
      </c>
      <c r="D15632" s="330" t="s">
        <v>32329</v>
      </c>
      <c r="E15632" s="330" t="s">
        <v>4634</v>
      </c>
      <c r="F15632" s="331">
        <v>0.21</v>
      </c>
      <c r="G15632" s="332">
        <v>711</v>
      </c>
      <c r="H15632" s="333">
        <v>861</v>
      </c>
    </row>
    <row r="15633" spans="1:8">
      <c r="A15633" s="317">
        <v>3601321008</v>
      </c>
      <c r="B15633" s="330" t="s">
        <v>59985</v>
      </c>
      <c r="C15633" s="330" t="s">
        <v>32330</v>
      </c>
      <c r="D15633" s="330" t="s">
        <v>32331</v>
      </c>
      <c r="E15633" s="330" t="s">
        <v>4634</v>
      </c>
      <c r="F15633" s="331">
        <v>0.21</v>
      </c>
      <c r="G15633" s="332">
        <v>2467</v>
      </c>
      <c r="H15633" s="333">
        <v>2986</v>
      </c>
    </row>
    <row r="15634" spans="1:8">
      <c r="A15634" s="317">
        <v>3601376007</v>
      </c>
      <c r="B15634" s="330" t="s">
        <v>59986</v>
      </c>
      <c r="C15634" s="330" t="s">
        <v>32332</v>
      </c>
      <c r="D15634" s="330" t="s">
        <v>21309</v>
      </c>
      <c r="E15634" s="330" t="s">
        <v>4819</v>
      </c>
      <c r="F15634" s="331">
        <v>0.21</v>
      </c>
      <c r="G15634" s="332">
        <v>3961</v>
      </c>
      <c r="H15634" s="333">
        <v>4793</v>
      </c>
    </row>
    <row r="15635" spans="1:8">
      <c r="A15635" s="317">
        <v>3601902001</v>
      </c>
      <c r="B15635" s="330" t="s">
        <v>59987</v>
      </c>
      <c r="C15635" s="330" t="s">
        <v>32333</v>
      </c>
      <c r="D15635" s="330" t="s">
        <v>32334</v>
      </c>
      <c r="E15635" s="330" t="s">
        <v>4634</v>
      </c>
      <c r="F15635" s="331">
        <v>0.21</v>
      </c>
      <c r="G15635" s="332">
        <v>1267</v>
      </c>
      <c r="H15635" s="333">
        <v>1534</v>
      </c>
    </row>
    <row r="15636" spans="1:8">
      <c r="A15636" s="317">
        <v>3601902012</v>
      </c>
      <c r="B15636" s="330" t="s">
        <v>59988</v>
      </c>
      <c r="C15636" s="330" t="s">
        <v>32335</v>
      </c>
      <c r="D15636" s="330" t="s">
        <v>32336</v>
      </c>
      <c r="E15636" s="330" t="s">
        <v>4634</v>
      </c>
      <c r="F15636" s="331">
        <v>0.21</v>
      </c>
      <c r="G15636" s="332">
        <v>1030</v>
      </c>
      <c r="H15636" s="333">
        <v>1247</v>
      </c>
    </row>
    <row r="15637" spans="1:8">
      <c r="A15637" s="317">
        <v>3601923001</v>
      </c>
      <c r="B15637" s="330" t="s">
        <v>59989</v>
      </c>
      <c r="C15637" s="330" t="s">
        <v>32337</v>
      </c>
      <c r="D15637" s="330" t="s">
        <v>32338</v>
      </c>
      <c r="E15637" s="330" t="s">
        <v>4634</v>
      </c>
      <c r="F15637" s="331">
        <v>0.21</v>
      </c>
      <c r="G15637" s="332">
        <v>722</v>
      </c>
      <c r="H15637" s="333">
        <v>874</v>
      </c>
    </row>
    <row r="15638" spans="1:8">
      <c r="A15638" s="317">
        <v>3601923017</v>
      </c>
      <c r="B15638" s="330" t="s">
        <v>59990</v>
      </c>
      <c r="C15638" s="330" t="s">
        <v>32339</v>
      </c>
      <c r="D15638" s="330" t="s">
        <v>32340</v>
      </c>
      <c r="E15638" s="330" t="s">
        <v>4634</v>
      </c>
      <c r="F15638" s="331">
        <v>0.21</v>
      </c>
      <c r="G15638" s="332">
        <v>4066</v>
      </c>
      <c r="H15638" s="333">
        <v>4920</v>
      </c>
    </row>
    <row r="15639" spans="1:8">
      <c r="A15639" s="317">
        <v>3601923022</v>
      </c>
      <c r="B15639" s="330" t="s">
        <v>59991</v>
      </c>
      <c r="C15639" s="330" t="s">
        <v>32341</v>
      </c>
      <c r="D15639" s="330" t="s">
        <v>32342</v>
      </c>
      <c r="E15639" s="330" t="s">
        <v>4634</v>
      </c>
      <c r="F15639" s="331">
        <v>0.21</v>
      </c>
      <c r="G15639" s="332">
        <v>1900</v>
      </c>
      <c r="H15639" s="333">
        <v>2299</v>
      </c>
    </row>
    <row r="15640" spans="1:8">
      <c r="A15640" s="317">
        <v>3601923023</v>
      </c>
      <c r="B15640" s="330" t="s">
        <v>59992</v>
      </c>
      <c r="C15640" s="330" t="s">
        <v>32343</v>
      </c>
      <c r="D15640" s="330" t="s">
        <v>32344</v>
      </c>
      <c r="E15640" s="330" t="s">
        <v>4634</v>
      </c>
      <c r="F15640" s="331">
        <v>0.21</v>
      </c>
      <c r="G15640" s="332">
        <v>2540</v>
      </c>
      <c r="H15640" s="333">
        <v>3074</v>
      </c>
    </row>
    <row r="15641" spans="1:8">
      <c r="A15641" s="317">
        <v>3601923024</v>
      </c>
      <c r="B15641" s="330" t="s">
        <v>59993</v>
      </c>
      <c r="C15641" s="330" t="s">
        <v>32345</v>
      </c>
      <c r="D15641" s="330" t="s">
        <v>32346</v>
      </c>
      <c r="E15641" s="330" t="s">
        <v>4634</v>
      </c>
      <c r="F15641" s="331">
        <v>0.21</v>
      </c>
      <c r="G15641" s="332">
        <v>2212</v>
      </c>
      <c r="H15641" s="333">
        <v>2677</v>
      </c>
    </row>
    <row r="15642" spans="1:8">
      <c r="A15642" s="317">
        <v>3601923025</v>
      </c>
      <c r="B15642" s="330" t="s">
        <v>59994</v>
      </c>
      <c r="C15642" s="330" t="s">
        <v>32347</v>
      </c>
      <c r="D15642" s="330" t="s">
        <v>32348</v>
      </c>
      <c r="E15642" s="330" t="s">
        <v>4634</v>
      </c>
      <c r="F15642" s="331">
        <v>0.21</v>
      </c>
      <c r="G15642" s="332">
        <v>899</v>
      </c>
      <c r="H15642" s="333">
        <v>1088</v>
      </c>
    </row>
    <row r="15643" spans="1:8">
      <c r="A15643" s="317">
        <v>3601923029</v>
      </c>
      <c r="B15643" s="330" t="s">
        <v>59995</v>
      </c>
      <c r="C15643" s="330" t="s">
        <v>32349</v>
      </c>
      <c r="D15643" s="330" t="s">
        <v>32310</v>
      </c>
      <c r="E15643" s="330" t="s">
        <v>4634</v>
      </c>
      <c r="F15643" s="331">
        <v>0.21</v>
      </c>
      <c r="G15643" s="332">
        <v>3700</v>
      </c>
      <c r="H15643" s="333">
        <v>4477</v>
      </c>
    </row>
    <row r="15644" spans="1:8">
      <c r="A15644" s="317">
        <v>3601923030</v>
      </c>
      <c r="B15644" s="330" t="s">
        <v>59996</v>
      </c>
      <c r="C15644" s="330" t="s">
        <v>32350</v>
      </c>
      <c r="D15644" s="330" t="s">
        <v>32310</v>
      </c>
      <c r="E15644" s="330" t="s">
        <v>4634</v>
      </c>
      <c r="F15644" s="331">
        <v>0.21</v>
      </c>
      <c r="G15644" s="332">
        <v>693</v>
      </c>
      <c r="H15644" s="333">
        <v>839</v>
      </c>
    </row>
    <row r="15645" spans="1:8">
      <c r="A15645" s="317">
        <v>3601923502</v>
      </c>
      <c r="B15645" s="330" t="s">
        <v>59997</v>
      </c>
      <c r="C15645" s="330" t="s">
        <v>32351</v>
      </c>
      <c r="D15645" s="330" t="s">
        <v>32352</v>
      </c>
      <c r="E15645" s="330" t="s">
        <v>4634</v>
      </c>
      <c r="F15645" s="331">
        <v>0.21</v>
      </c>
      <c r="G15645" s="332">
        <v>3490</v>
      </c>
      <c r="H15645" s="333">
        <v>4223</v>
      </c>
    </row>
    <row r="15646" spans="1:8">
      <c r="A15646" s="317">
        <v>3602000000</v>
      </c>
      <c r="B15646" s="330" t="s">
        <v>59998</v>
      </c>
      <c r="C15646" s="330" t="s">
        <v>32353</v>
      </c>
      <c r="D15646" s="330" t="s">
        <v>32354</v>
      </c>
      <c r="E15646" s="330" t="s">
        <v>4634</v>
      </c>
      <c r="F15646" s="331">
        <v>0.21</v>
      </c>
      <c r="G15646" s="332">
        <v>648</v>
      </c>
      <c r="H15646" s="333">
        <v>785</v>
      </c>
    </row>
    <row r="15647" spans="1:8">
      <c r="A15647" s="317">
        <v>3602000001</v>
      </c>
      <c r="B15647" s="330" t="s">
        <v>59999</v>
      </c>
      <c r="C15647" s="330" t="s">
        <v>32355</v>
      </c>
      <c r="D15647" s="330" t="s">
        <v>32356</v>
      </c>
      <c r="E15647" s="330" t="s">
        <v>4634</v>
      </c>
      <c r="F15647" s="331">
        <v>0.21</v>
      </c>
      <c r="G15647" s="332">
        <v>791</v>
      </c>
      <c r="H15647" s="333">
        <v>958</v>
      </c>
    </row>
    <row r="15648" spans="1:8">
      <c r="A15648" s="317">
        <v>3602000510</v>
      </c>
      <c r="B15648" s="330" t="s">
        <v>60000</v>
      </c>
      <c r="C15648" s="330" t="s">
        <v>32357</v>
      </c>
      <c r="D15648" s="330" t="s">
        <v>13222</v>
      </c>
      <c r="E15648" s="330" t="s">
        <v>4634</v>
      </c>
      <c r="F15648" s="331">
        <v>0.21</v>
      </c>
      <c r="G15648" s="332">
        <v>584</v>
      </c>
      <c r="H15648" s="333">
        <v>707</v>
      </c>
    </row>
    <row r="15649" spans="1:8">
      <c r="A15649" s="317">
        <v>3602001001</v>
      </c>
      <c r="B15649" s="330" t="s">
        <v>60001</v>
      </c>
      <c r="C15649" s="330" t="s">
        <v>32358</v>
      </c>
      <c r="D15649" s="330" t="s">
        <v>32359</v>
      </c>
      <c r="E15649" s="330" t="s">
        <v>4634</v>
      </c>
      <c r="F15649" s="331">
        <v>0.21</v>
      </c>
      <c r="G15649" s="332">
        <v>23838</v>
      </c>
      <c r="H15649" s="333">
        <v>28844</v>
      </c>
    </row>
    <row r="15650" spans="1:8">
      <c r="A15650" s="317">
        <v>3602010000</v>
      </c>
      <c r="B15650" s="330" t="s">
        <v>60002</v>
      </c>
      <c r="C15650" s="330" t="s">
        <v>32360</v>
      </c>
      <c r="D15650" s="330" t="s">
        <v>32361</v>
      </c>
      <c r="E15650" s="330" t="s">
        <v>4634</v>
      </c>
      <c r="F15650" s="331">
        <v>0.21</v>
      </c>
      <c r="G15650" s="332">
        <v>570</v>
      </c>
      <c r="H15650" s="333">
        <v>690</v>
      </c>
    </row>
    <row r="15651" spans="1:8">
      <c r="A15651" s="317">
        <v>3602025023</v>
      </c>
      <c r="B15651" s="330" t="s">
        <v>60003</v>
      </c>
      <c r="C15651" s="330" t="s">
        <v>32362</v>
      </c>
      <c r="D15651" s="330" t="s">
        <v>32363</v>
      </c>
      <c r="E15651" s="330" t="s">
        <v>4819</v>
      </c>
      <c r="F15651" s="331">
        <v>0.21</v>
      </c>
      <c r="G15651" s="332">
        <v>3263</v>
      </c>
      <c r="H15651" s="333">
        <v>3949</v>
      </c>
    </row>
    <row r="15652" spans="1:8">
      <c r="A15652" s="317">
        <v>3602033001</v>
      </c>
      <c r="B15652" s="330" t="s">
        <v>60004</v>
      </c>
      <c r="C15652" s="330" t="s">
        <v>32364</v>
      </c>
      <c r="D15652" s="330" t="s">
        <v>32365</v>
      </c>
      <c r="E15652" s="330" t="s">
        <v>4634</v>
      </c>
      <c r="F15652" s="331">
        <v>0.21</v>
      </c>
      <c r="G15652" s="332">
        <v>702</v>
      </c>
      <c r="H15652" s="333">
        <v>850</v>
      </c>
    </row>
    <row r="15653" spans="1:8">
      <c r="A15653" s="317">
        <v>3602033003</v>
      </c>
      <c r="B15653" s="330" t="s">
        <v>60005</v>
      </c>
      <c r="C15653" s="330" t="s">
        <v>32366</v>
      </c>
      <c r="D15653" s="330" t="s">
        <v>32367</v>
      </c>
      <c r="E15653" s="330" t="s">
        <v>4634</v>
      </c>
      <c r="F15653" s="331">
        <v>0.21</v>
      </c>
      <c r="G15653" s="332">
        <v>348</v>
      </c>
      <c r="H15653" s="333">
        <v>422</v>
      </c>
    </row>
    <row r="15654" spans="1:8">
      <c r="A15654" s="317">
        <v>3602033004</v>
      </c>
      <c r="B15654" s="330" t="s">
        <v>60006</v>
      </c>
      <c r="C15654" s="330" t="s">
        <v>32368</v>
      </c>
      <c r="D15654" s="330" t="s">
        <v>32367</v>
      </c>
      <c r="E15654" s="330" t="s">
        <v>4634</v>
      </c>
      <c r="F15654" s="331">
        <v>0.21</v>
      </c>
      <c r="G15654" s="332">
        <v>446</v>
      </c>
      <c r="H15654" s="333">
        <v>540</v>
      </c>
    </row>
    <row r="15655" spans="1:8">
      <c r="A15655" s="317">
        <v>3602053003</v>
      </c>
      <c r="B15655" s="330" t="s">
        <v>60007</v>
      </c>
      <c r="C15655" s="330" t="s">
        <v>32369</v>
      </c>
      <c r="D15655" s="330" t="s">
        <v>32370</v>
      </c>
      <c r="E15655" s="330" t="s">
        <v>4634</v>
      </c>
      <c r="F15655" s="331">
        <v>0.21</v>
      </c>
      <c r="G15655" s="332">
        <v>564</v>
      </c>
      <c r="H15655" s="333">
        <v>683</v>
      </c>
    </row>
    <row r="15656" spans="1:8">
      <c r="A15656" s="317">
        <v>3602053004</v>
      </c>
      <c r="B15656" s="330" t="s">
        <v>60008</v>
      </c>
      <c r="C15656" s="330" t="s">
        <v>32371</v>
      </c>
      <c r="D15656" s="330" t="s">
        <v>32372</v>
      </c>
      <c r="E15656" s="330" t="s">
        <v>4634</v>
      </c>
      <c r="F15656" s="331">
        <v>0.21</v>
      </c>
      <c r="G15656" s="332">
        <v>1030</v>
      </c>
      <c r="H15656" s="333">
        <v>1247</v>
      </c>
    </row>
    <row r="15657" spans="1:8">
      <c r="A15657" s="317">
        <v>3602053005</v>
      </c>
      <c r="B15657" s="330" t="s">
        <v>60009</v>
      </c>
      <c r="C15657" s="330" t="s">
        <v>32373</v>
      </c>
      <c r="D15657" s="330" t="s">
        <v>32374</v>
      </c>
      <c r="E15657" s="330" t="s">
        <v>4634</v>
      </c>
      <c r="F15657" s="331">
        <v>0.21</v>
      </c>
      <c r="G15657" s="332">
        <v>2491</v>
      </c>
      <c r="H15657" s="333">
        <v>3015</v>
      </c>
    </row>
    <row r="15658" spans="1:8">
      <c r="A15658" s="317">
        <v>3602099000</v>
      </c>
      <c r="B15658" s="330" t="s">
        <v>60010</v>
      </c>
      <c r="C15658" s="330" t="s">
        <v>32375</v>
      </c>
      <c r="D15658" s="330" t="s">
        <v>32376</v>
      </c>
      <c r="E15658" s="330" t="s">
        <v>4634</v>
      </c>
      <c r="F15658" s="331">
        <v>0.21</v>
      </c>
      <c r="G15658" s="332">
        <v>678</v>
      </c>
      <c r="H15658" s="333">
        <v>821</v>
      </c>
    </row>
    <row r="15659" spans="1:8">
      <c r="A15659" s="317">
        <v>3602300011</v>
      </c>
      <c r="B15659" s="330" t="s">
        <v>60011</v>
      </c>
      <c r="C15659" s="330" t="s">
        <v>32377</v>
      </c>
      <c r="D15659" s="330" t="s">
        <v>32378</v>
      </c>
      <c r="E15659" s="330" t="s">
        <v>4634</v>
      </c>
      <c r="F15659" s="331">
        <v>0.21</v>
      </c>
      <c r="G15659" s="332">
        <v>3189</v>
      </c>
      <c r="H15659" s="333">
        <v>3859</v>
      </c>
    </row>
    <row r="15660" spans="1:8">
      <c r="A15660" s="317">
        <v>3602305011</v>
      </c>
      <c r="B15660" s="330" t="s">
        <v>60012</v>
      </c>
      <c r="C15660" s="330" t="s">
        <v>32379</v>
      </c>
      <c r="D15660" s="330" t="s">
        <v>32380</v>
      </c>
      <c r="E15660" s="330" t="s">
        <v>4634</v>
      </c>
      <c r="F15660" s="331">
        <v>0.21</v>
      </c>
      <c r="G15660" s="332">
        <v>564</v>
      </c>
      <c r="H15660" s="333">
        <v>683</v>
      </c>
    </row>
    <row r="15661" spans="1:8">
      <c r="A15661" s="317">
        <v>3602311018</v>
      </c>
      <c r="B15661" s="330" t="s">
        <v>60013</v>
      </c>
      <c r="C15661" s="330" t="s">
        <v>32381</v>
      </c>
      <c r="D15661" s="330" t="s">
        <v>32382</v>
      </c>
      <c r="E15661" s="330" t="s">
        <v>4634</v>
      </c>
      <c r="F15661" s="331">
        <v>0.21</v>
      </c>
      <c r="G15661" s="332">
        <v>1844</v>
      </c>
      <c r="H15661" s="333">
        <v>2232</v>
      </c>
    </row>
    <row r="15662" spans="1:8">
      <c r="A15662" s="317">
        <v>3602311047</v>
      </c>
      <c r="B15662" s="330" t="s">
        <v>60014</v>
      </c>
      <c r="C15662" s="330" t="s">
        <v>32383</v>
      </c>
      <c r="D15662" s="330" t="s">
        <v>6316</v>
      </c>
      <c r="E15662" s="330" t="s">
        <v>37248</v>
      </c>
      <c r="F15662" s="331">
        <v>0.21</v>
      </c>
      <c r="G15662" s="332">
        <v>515</v>
      </c>
      <c r="H15662" s="333">
        <v>624</v>
      </c>
    </row>
    <row r="15663" spans="1:8">
      <c r="A15663" s="317">
        <v>3602311052</v>
      </c>
      <c r="B15663" s="330" t="s">
        <v>60015</v>
      </c>
      <c r="C15663" s="330" t="s">
        <v>32384</v>
      </c>
      <c r="D15663" s="330" t="s">
        <v>32385</v>
      </c>
      <c r="E15663" s="330" t="s">
        <v>37248</v>
      </c>
      <c r="F15663" s="331">
        <v>0.21</v>
      </c>
      <c r="G15663" s="332">
        <v>890</v>
      </c>
      <c r="H15663" s="333">
        <v>1077</v>
      </c>
    </row>
    <row r="15664" spans="1:8">
      <c r="A15664" s="317">
        <v>3602317037</v>
      </c>
      <c r="B15664" s="330" t="s">
        <v>60016</v>
      </c>
      <c r="C15664" s="330" t="s">
        <v>32386</v>
      </c>
      <c r="D15664" s="330" t="s">
        <v>32387</v>
      </c>
      <c r="E15664" s="330" t="s">
        <v>4634</v>
      </c>
      <c r="F15664" s="331">
        <v>0.21</v>
      </c>
      <c r="G15664" s="332">
        <v>3966</v>
      </c>
      <c r="H15664" s="333">
        <v>4799</v>
      </c>
    </row>
    <row r="15665" spans="1:8">
      <c r="A15665" s="317">
        <v>3602317042</v>
      </c>
      <c r="B15665" s="330" t="s">
        <v>60017</v>
      </c>
      <c r="C15665" s="330" t="s">
        <v>32388</v>
      </c>
      <c r="D15665" s="330" t="s">
        <v>32389</v>
      </c>
      <c r="E15665" s="330" t="s">
        <v>37248</v>
      </c>
      <c r="F15665" s="331">
        <v>0.21</v>
      </c>
      <c r="G15665" s="332">
        <v>5768</v>
      </c>
      <c r="H15665" s="333">
        <v>6980</v>
      </c>
    </row>
    <row r="15666" spans="1:8">
      <c r="A15666" s="317">
        <v>3602317050</v>
      </c>
      <c r="B15666" s="330" t="s">
        <v>60018</v>
      </c>
      <c r="C15666" s="330" t="s">
        <v>32390</v>
      </c>
      <c r="D15666" s="330" t="s">
        <v>32387</v>
      </c>
      <c r="E15666" s="330" t="s">
        <v>4634</v>
      </c>
      <c r="F15666" s="331">
        <v>0.21</v>
      </c>
      <c r="G15666" s="332">
        <v>1030</v>
      </c>
      <c r="H15666" s="333">
        <v>1247</v>
      </c>
    </row>
    <row r="15667" spans="1:8">
      <c r="A15667" s="317">
        <v>3602329026</v>
      </c>
      <c r="B15667" s="330" t="s">
        <v>60019</v>
      </c>
      <c r="C15667" s="330" t="s">
        <v>32391</v>
      </c>
      <c r="D15667" s="330" t="s">
        <v>32392</v>
      </c>
      <c r="E15667" s="330" t="s">
        <v>4634</v>
      </c>
      <c r="F15667" s="331">
        <v>0.21</v>
      </c>
      <c r="G15667" s="332">
        <v>791</v>
      </c>
      <c r="H15667" s="333">
        <v>958</v>
      </c>
    </row>
    <row r="15668" spans="1:8">
      <c r="A15668" s="317">
        <v>3602329027</v>
      </c>
      <c r="B15668" s="330" t="s">
        <v>60020</v>
      </c>
      <c r="C15668" s="330" t="s">
        <v>32393</v>
      </c>
      <c r="D15668" s="330" t="s">
        <v>32394</v>
      </c>
      <c r="E15668" s="330" t="s">
        <v>4634</v>
      </c>
      <c r="F15668" s="331">
        <v>0.21</v>
      </c>
      <c r="G15668" s="332">
        <v>648</v>
      </c>
      <c r="H15668" s="333">
        <v>785</v>
      </c>
    </row>
    <row r="15669" spans="1:8">
      <c r="A15669" s="317">
        <v>3602329031</v>
      </c>
      <c r="B15669" s="330" t="s">
        <v>60021</v>
      </c>
      <c r="C15669" s="330" t="s">
        <v>32395</v>
      </c>
      <c r="D15669" s="330" t="s">
        <v>32396</v>
      </c>
      <c r="E15669" s="330" t="s">
        <v>4634</v>
      </c>
      <c r="F15669" s="331">
        <v>0.21</v>
      </c>
      <c r="G15669" s="332">
        <v>8307</v>
      </c>
      <c r="H15669" s="333">
        <v>10052</v>
      </c>
    </row>
    <row r="15670" spans="1:8">
      <c r="A15670" s="317">
        <v>3602391503</v>
      </c>
      <c r="B15670" s="330" t="s">
        <v>60022</v>
      </c>
      <c r="C15670" s="330" t="s">
        <v>32397</v>
      </c>
      <c r="D15670" s="330" t="s">
        <v>32398</v>
      </c>
      <c r="E15670" s="330" t="s">
        <v>4634</v>
      </c>
      <c r="F15670" s="331">
        <v>0.21</v>
      </c>
      <c r="G15670" s="332">
        <v>387</v>
      </c>
      <c r="H15670" s="333">
        <v>469</v>
      </c>
    </row>
    <row r="15671" spans="1:8">
      <c r="A15671" s="317">
        <v>3603001529</v>
      </c>
      <c r="B15671" s="330" t="s">
        <v>60023</v>
      </c>
      <c r="C15671" s="330" t="s">
        <v>32399</v>
      </c>
      <c r="D15671" s="330" t="s">
        <v>32400</v>
      </c>
      <c r="E15671" s="330" t="s">
        <v>4634</v>
      </c>
      <c r="F15671" s="331">
        <v>0.21</v>
      </c>
      <c r="G15671" s="332">
        <v>892</v>
      </c>
      <c r="H15671" s="333">
        <v>1080</v>
      </c>
    </row>
    <row r="15672" spans="1:8">
      <c r="A15672" s="317">
        <v>3603003005</v>
      </c>
      <c r="B15672" s="330" t="s">
        <v>60024</v>
      </c>
      <c r="C15672" s="330" t="s">
        <v>32401</v>
      </c>
      <c r="D15672" s="330" t="s">
        <v>32402</v>
      </c>
      <c r="E15672" s="330" t="s">
        <v>4634</v>
      </c>
      <c r="F15672" s="331">
        <v>0.21</v>
      </c>
      <c r="G15672" s="332">
        <v>2768</v>
      </c>
      <c r="H15672" s="333">
        <v>3350</v>
      </c>
    </row>
    <row r="15673" spans="1:8">
      <c r="A15673" s="317">
        <v>3603008500</v>
      </c>
      <c r="B15673" s="330" t="s">
        <v>60025</v>
      </c>
      <c r="C15673" s="330" t="s">
        <v>32403</v>
      </c>
      <c r="D15673" s="330" t="s">
        <v>32404</v>
      </c>
      <c r="E15673" s="330" t="s">
        <v>37248</v>
      </c>
      <c r="F15673" s="331">
        <v>0.21</v>
      </c>
      <c r="G15673" s="332">
        <v>24549</v>
      </c>
      <c r="H15673" s="333">
        <v>29705</v>
      </c>
    </row>
    <row r="15674" spans="1:8">
      <c r="A15674" s="317">
        <v>3603029501</v>
      </c>
      <c r="B15674" s="330" t="s">
        <v>60026</v>
      </c>
      <c r="C15674" s="330" t="s">
        <v>32405</v>
      </c>
      <c r="D15674" s="330" t="s">
        <v>32406</v>
      </c>
      <c r="E15674" s="330" t="s">
        <v>4634</v>
      </c>
      <c r="F15674" s="331">
        <v>0.21</v>
      </c>
      <c r="G15674" s="332">
        <v>1075</v>
      </c>
      <c r="H15674" s="333">
        <v>1301</v>
      </c>
    </row>
    <row r="15675" spans="1:8">
      <c r="A15675" s="317">
        <v>3603050005</v>
      </c>
      <c r="B15675" s="330" t="s">
        <v>60027</v>
      </c>
      <c r="C15675" s="330" t="s">
        <v>32407</v>
      </c>
      <c r="D15675" s="330" t="s">
        <v>32408</v>
      </c>
      <c r="E15675" s="330" t="s">
        <v>4634</v>
      </c>
      <c r="F15675" s="331">
        <v>0.21</v>
      </c>
      <c r="G15675" s="332">
        <v>12599</v>
      </c>
      <c r="H15675" s="333">
        <v>15245</v>
      </c>
    </row>
    <row r="15676" spans="1:8">
      <c r="A15676" s="317">
        <v>3603050014</v>
      </c>
      <c r="B15676" s="330" t="s">
        <v>60028</v>
      </c>
      <c r="C15676" s="330" t="s">
        <v>32409</v>
      </c>
      <c r="D15676" s="330" t="s">
        <v>32410</v>
      </c>
      <c r="E15676" s="330" t="s">
        <v>4634</v>
      </c>
      <c r="F15676" s="331">
        <v>0.21</v>
      </c>
      <c r="G15676" s="332">
        <v>36963</v>
      </c>
      <c r="H15676" s="333">
        <v>44726</v>
      </c>
    </row>
    <row r="15677" spans="1:8">
      <c r="A15677" s="317">
        <v>3603060010</v>
      </c>
      <c r="B15677" s="330" t="s">
        <v>60029</v>
      </c>
      <c r="C15677" s="330" t="s">
        <v>32411</v>
      </c>
      <c r="D15677" s="330" t="s">
        <v>16545</v>
      </c>
      <c r="E15677" s="330" t="s">
        <v>4634</v>
      </c>
      <c r="F15677" s="331">
        <v>0.21</v>
      </c>
      <c r="G15677" s="332">
        <v>21286</v>
      </c>
      <c r="H15677" s="333">
        <v>25757</v>
      </c>
    </row>
    <row r="15678" spans="1:8">
      <c r="A15678" s="317">
        <v>3603060012</v>
      </c>
      <c r="B15678" s="330" t="s">
        <v>60030</v>
      </c>
      <c r="C15678" s="330" t="s">
        <v>32412</v>
      </c>
      <c r="D15678" s="330" t="s">
        <v>16545</v>
      </c>
      <c r="E15678" s="330" t="s">
        <v>4634</v>
      </c>
      <c r="F15678" s="331">
        <v>0.21</v>
      </c>
      <c r="G15678" s="332">
        <v>31016</v>
      </c>
      <c r="H15678" s="333">
        <v>37530</v>
      </c>
    </row>
    <row r="15679" spans="1:8">
      <c r="A15679" s="317">
        <v>3603070000</v>
      </c>
      <c r="B15679" s="330" t="s">
        <v>60031</v>
      </c>
      <c r="C15679" s="330" t="s">
        <v>32413</v>
      </c>
      <c r="D15679" s="330" t="s">
        <v>32414</v>
      </c>
      <c r="E15679" s="330" t="s">
        <v>4634</v>
      </c>
      <c r="F15679" s="331">
        <v>0.21</v>
      </c>
      <c r="G15679" s="332">
        <v>13721</v>
      </c>
      <c r="H15679" s="333">
        <v>16603</v>
      </c>
    </row>
    <row r="15680" spans="1:8">
      <c r="A15680" s="317">
        <v>3603100000</v>
      </c>
      <c r="B15680" s="330" t="s">
        <v>60032</v>
      </c>
      <c r="C15680" s="330" t="s">
        <v>32415</v>
      </c>
      <c r="D15680" s="330" t="s">
        <v>15291</v>
      </c>
      <c r="E15680" s="330" t="s">
        <v>4634</v>
      </c>
      <c r="F15680" s="331">
        <v>0.21</v>
      </c>
      <c r="G15680" s="332">
        <v>1041</v>
      </c>
      <c r="H15680" s="333">
        <v>1260</v>
      </c>
    </row>
    <row r="15681" spans="1:8">
      <c r="A15681" s="317">
        <v>3603100030</v>
      </c>
      <c r="B15681" s="330" t="s">
        <v>60033</v>
      </c>
      <c r="C15681" s="330" t="s">
        <v>32416</v>
      </c>
      <c r="D15681" s="330" t="s">
        <v>32417</v>
      </c>
      <c r="E15681" s="330" t="s">
        <v>4634</v>
      </c>
      <c r="F15681" s="331">
        <v>0.21</v>
      </c>
      <c r="G15681" s="332">
        <v>1956</v>
      </c>
      <c r="H15681" s="333">
        <v>2367</v>
      </c>
    </row>
    <row r="15682" spans="1:8">
      <c r="A15682" s="317">
        <v>3603100031</v>
      </c>
      <c r="B15682" s="330" t="s">
        <v>60034</v>
      </c>
      <c r="C15682" s="330" t="s">
        <v>32418</v>
      </c>
      <c r="D15682" s="330" t="s">
        <v>32419</v>
      </c>
      <c r="E15682" s="330" t="s">
        <v>4634</v>
      </c>
      <c r="F15682" s="331">
        <v>0.21</v>
      </c>
      <c r="G15682" s="332">
        <v>1411</v>
      </c>
      <c r="H15682" s="333">
        <v>1708</v>
      </c>
    </row>
    <row r="15683" spans="1:8">
      <c r="A15683" s="317">
        <v>3603100032</v>
      </c>
      <c r="B15683" s="330" t="s">
        <v>60035</v>
      </c>
      <c r="C15683" s="330" t="s">
        <v>32420</v>
      </c>
      <c r="D15683" s="330" t="s">
        <v>32421</v>
      </c>
      <c r="E15683" s="330" t="s">
        <v>4634</v>
      </c>
      <c r="F15683" s="331">
        <v>0.21</v>
      </c>
      <c r="G15683" s="332">
        <v>2707</v>
      </c>
      <c r="H15683" s="333">
        <v>3276</v>
      </c>
    </row>
    <row r="15684" spans="1:8">
      <c r="A15684" s="317">
        <v>3603101007</v>
      </c>
      <c r="B15684" s="330" t="s">
        <v>60036</v>
      </c>
      <c r="C15684" s="330" t="s">
        <v>32422</v>
      </c>
      <c r="D15684" s="330" t="s">
        <v>32423</v>
      </c>
      <c r="E15684" s="330" t="s">
        <v>4634</v>
      </c>
      <c r="F15684" s="331">
        <v>0.21</v>
      </c>
      <c r="G15684" s="332">
        <v>5909</v>
      </c>
      <c r="H15684" s="333">
        <v>7150</v>
      </c>
    </row>
    <row r="15685" spans="1:8">
      <c r="A15685" s="317">
        <v>3603105001</v>
      </c>
      <c r="B15685" s="330" t="s">
        <v>60037</v>
      </c>
      <c r="C15685" s="330" t="s">
        <v>32424</v>
      </c>
      <c r="D15685" s="330" t="s">
        <v>32425</v>
      </c>
      <c r="E15685" s="330" t="s">
        <v>4634</v>
      </c>
      <c r="F15685" s="331">
        <v>0.21</v>
      </c>
      <c r="G15685" s="332">
        <v>1267</v>
      </c>
      <c r="H15685" s="333">
        <v>1534</v>
      </c>
    </row>
    <row r="15686" spans="1:8">
      <c r="A15686" s="317">
        <v>3603105003</v>
      </c>
      <c r="B15686" s="330" t="s">
        <v>60038</v>
      </c>
      <c r="C15686" s="330" t="s">
        <v>32426</v>
      </c>
      <c r="D15686" s="330" t="s">
        <v>32427</v>
      </c>
      <c r="E15686" s="330" t="s">
        <v>4634</v>
      </c>
      <c r="F15686" s="331">
        <v>0.21</v>
      </c>
      <c r="G15686" s="332">
        <v>1692</v>
      </c>
      <c r="H15686" s="333">
        <v>2048</v>
      </c>
    </row>
    <row r="15687" spans="1:8">
      <c r="A15687" s="317">
        <v>3603105010</v>
      </c>
      <c r="B15687" s="330" t="s">
        <v>60039</v>
      </c>
      <c r="C15687" s="330" t="s">
        <v>32428</v>
      </c>
      <c r="D15687" s="330" t="s">
        <v>32429</v>
      </c>
      <c r="E15687" s="330" t="s">
        <v>4634</v>
      </c>
      <c r="F15687" s="331">
        <v>0.21</v>
      </c>
      <c r="G15687" s="332">
        <v>678</v>
      </c>
      <c r="H15687" s="333">
        <v>821</v>
      </c>
    </row>
    <row r="15688" spans="1:8">
      <c r="A15688" s="317">
        <v>3603120001</v>
      </c>
      <c r="B15688" s="330" t="s">
        <v>60040</v>
      </c>
      <c r="C15688" s="330" t="s">
        <v>32430</v>
      </c>
      <c r="D15688" s="330" t="s">
        <v>11098</v>
      </c>
      <c r="E15688" s="330" t="s">
        <v>4634</v>
      </c>
      <c r="F15688" s="331">
        <v>0.21</v>
      </c>
      <c r="G15688" s="332">
        <v>1876</v>
      </c>
      <c r="H15688" s="333">
        <v>2270</v>
      </c>
    </row>
    <row r="15689" spans="1:8">
      <c r="A15689" s="317">
        <v>3603120003</v>
      </c>
      <c r="B15689" s="330" t="s">
        <v>60041</v>
      </c>
      <c r="C15689" s="330" t="s">
        <v>32431</v>
      </c>
      <c r="D15689" s="330" t="s">
        <v>23122</v>
      </c>
      <c r="E15689" s="330" t="s">
        <v>4634</v>
      </c>
      <c r="F15689" s="331">
        <v>0.21</v>
      </c>
      <c r="G15689" s="332">
        <v>8327</v>
      </c>
      <c r="H15689" s="333">
        <v>10076</v>
      </c>
    </row>
    <row r="15690" spans="1:8">
      <c r="A15690" s="317">
        <v>3603120502</v>
      </c>
      <c r="B15690" s="330" t="s">
        <v>60042</v>
      </c>
      <c r="C15690" s="330" t="s">
        <v>32432</v>
      </c>
      <c r="D15690" s="330" t="s">
        <v>32433</v>
      </c>
      <c r="E15690" s="330" t="s">
        <v>4634</v>
      </c>
      <c r="F15690" s="331">
        <v>0.21</v>
      </c>
      <c r="G15690" s="332">
        <v>678</v>
      </c>
      <c r="H15690" s="333">
        <v>821</v>
      </c>
    </row>
    <row r="15691" spans="1:8">
      <c r="A15691" s="317">
        <v>3603121003</v>
      </c>
      <c r="B15691" s="330" t="s">
        <v>60043</v>
      </c>
      <c r="C15691" s="330" t="s">
        <v>32434</v>
      </c>
      <c r="D15691" s="330" t="s">
        <v>32435</v>
      </c>
      <c r="E15691" s="330" t="s">
        <v>4634</v>
      </c>
      <c r="F15691" s="331">
        <v>0.21</v>
      </c>
      <c r="G15691" s="332">
        <v>387</v>
      </c>
      <c r="H15691" s="333">
        <v>469</v>
      </c>
    </row>
    <row r="15692" spans="1:8">
      <c r="A15692" s="317">
        <v>3603121004</v>
      </c>
      <c r="B15692" s="330" t="s">
        <v>60044</v>
      </c>
      <c r="C15692" s="330" t="s">
        <v>32436</v>
      </c>
      <c r="D15692" s="330" t="s">
        <v>32437</v>
      </c>
      <c r="E15692" s="330" t="s">
        <v>4634</v>
      </c>
      <c r="F15692" s="331">
        <v>0.21</v>
      </c>
      <c r="G15692" s="332">
        <v>372</v>
      </c>
      <c r="H15692" s="333">
        <v>451</v>
      </c>
    </row>
    <row r="15693" spans="1:8">
      <c r="A15693" s="317">
        <v>3603123007</v>
      </c>
      <c r="B15693" s="330" t="s">
        <v>60045</v>
      </c>
      <c r="C15693" s="330" t="s">
        <v>32438</v>
      </c>
      <c r="D15693" s="330" t="s">
        <v>32439</v>
      </c>
      <c r="E15693" s="330" t="s">
        <v>4634</v>
      </c>
      <c r="F15693" s="331">
        <v>0.21</v>
      </c>
      <c r="G15693" s="332">
        <v>9712</v>
      </c>
      <c r="H15693" s="333">
        <v>11752</v>
      </c>
    </row>
    <row r="15694" spans="1:8">
      <c r="A15694" s="317">
        <v>3603123010</v>
      </c>
      <c r="B15694" s="330" t="s">
        <v>60046</v>
      </c>
      <c r="C15694" s="330" t="s">
        <v>32440</v>
      </c>
      <c r="D15694" s="330" t="s">
        <v>32441</v>
      </c>
      <c r="E15694" s="330" t="s">
        <v>4634</v>
      </c>
      <c r="F15694" s="331">
        <v>0.21</v>
      </c>
      <c r="G15694" s="332">
        <v>145</v>
      </c>
      <c r="H15694" s="333">
        <v>176</v>
      </c>
    </row>
    <row r="15695" spans="1:8">
      <c r="A15695" s="317">
        <v>3603123017</v>
      </c>
      <c r="B15695" s="330" t="s">
        <v>60047</v>
      </c>
      <c r="C15695" s="330" t="s">
        <v>32442</v>
      </c>
      <c r="D15695" s="330" t="s">
        <v>32443</v>
      </c>
      <c r="E15695" s="330" t="s">
        <v>4634</v>
      </c>
      <c r="F15695" s="331">
        <v>0.21</v>
      </c>
      <c r="G15695" s="332">
        <v>66445</v>
      </c>
      <c r="H15695" s="333">
        <v>80399</v>
      </c>
    </row>
    <row r="15696" spans="1:8">
      <c r="A15696" s="317">
        <v>3603123021</v>
      </c>
      <c r="B15696" s="330" t="s">
        <v>60048</v>
      </c>
      <c r="C15696" s="330" t="s">
        <v>32444</v>
      </c>
      <c r="D15696" s="330" t="s">
        <v>32445</v>
      </c>
      <c r="E15696" s="330" t="s">
        <v>4819</v>
      </c>
      <c r="F15696" s="331">
        <v>0.21</v>
      </c>
      <c r="G15696" s="332">
        <v>10816</v>
      </c>
      <c r="H15696" s="333">
        <v>13088</v>
      </c>
    </row>
    <row r="15697" spans="1:8">
      <c r="A15697" s="317">
        <v>3603124011</v>
      </c>
      <c r="B15697" s="330" t="s">
        <v>60049</v>
      </c>
      <c r="C15697" s="330" t="s">
        <v>32446</v>
      </c>
      <c r="D15697" s="330" t="s">
        <v>32447</v>
      </c>
      <c r="E15697" s="330" t="s">
        <v>4634</v>
      </c>
      <c r="F15697" s="331">
        <v>0.21</v>
      </c>
      <c r="G15697" s="332">
        <v>2462</v>
      </c>
      <c r="H15697" s="333">
        <v>2980</v>
      </c>
    </row>
    <row r="15698" spans="1:8">
      <c r="A15698" s="317">
        <v>3603124023</v>
      </c>
      <c r="B15698" s="330" t="s">
        <v>60050</v>
      </c>
      <c r="C15698" s="330" t="s">
        <v>32448</v>
      </c>
      <c r="D15698" s="330" t="s">
        <v>32449</v>
      </c>
      <c r="E15698" s="330" t="s">
        <v>4634</v>
      </c>
      <c r="F15698" s="331">
        <v>0.21</v>
      </c>
      <c r="G15698" s="332">
        <v>7020</v>
      </c>
      <c r="H15698" s="333">
        <v>8495</v>
      </c>
    </row>
    <row r="15699" spans="1:8">
      <c r="A15699" s="317">
        <v>3603124025</v>
      </c>
      <c r="B15699" s="330" t="s">
        <v>60051</v>
      </c>
      <c r="C15699" s="330" t="s">
        <v>32450</v>
      </c>
      <c r="D15699" s="330" t="s">
        <v>32451</v>
      </c>
      <c r="E15699" s="330" t="s">
        <v>4634</v>
      </c>
      <c r="F15699" s="331">
        <v>0.21</v>
      </c>
      <c r="G15699" s="332">
        <v>31859</v>
      </c>
      <c r="H15699" s="333">
        <v>38550</v>
      </c>
    </row>
    <row r="15700" spans="1:8">
      <c r="A15700" s="317">
        <v>3603124030</v>
      </c>
      <c r="B15700" s="330" t="s">
        <v>60052</v>
      </c>
      <c r="C15700" s="330" t="s">
        <v>32452</v>
      </c>
      <c r="D15700" s="330" t="s">
        <v>32453</v>
      </c>
      <c r="E15700" s="330" t="s">
        <v>4634</v>
      </c>
      <c r="F15700" s="331">
        <v>0.21</v>
      </c>
      <c r="G15700" s="332">
        <v>76135</v>
      </c>
      <c r="H15700" s="333">
        <v>92124</v>
      </c>
    </row>
    <row r="15701" spans="1:8">
      <c r="A15701" s="317">
        <v>3603132000</v>
      </c>
      <c r="B15701" s="330" t="s">
        <v>60053</v>
      </c>
      <c r="C15701" s="330" t="s">
        <v>32454</v>
      </c>
      <c r="D15701" s="330" t="s">
        <v>32455</v>
      </c>
      <c r="E15701" s="330" t="s">
        <v>4634</v>
      </c>
      <c r="F15701" s="331">
        <v>0.21</v>
      </c>
      <c r="G15701" s="332">
        <v>91</v>
      </c>
      <c r="H15701" s="333">
        <v>111</v>
      </c>
    </row>
    <row r="15702" spans="1:8">
      <c r="A15702" s="317">
        <v>3603133001</v>
      </c>
      <c r="B15702" s="330" t="s">
        <v>60054</v>
      </c>
      <c r="C15702" s="330" t="s">
        <v>32456</v>
      </c>
      <c r="D15702" s="330" t="s">
        <v>32457</v>
      </c>
      <c r="E15702" s="330" t="s">
        <v>4634</v>
      </c>
      <c r="F15702" s="331">
        <v>0.21</v>
      </c>
      <c r="G15702" s="332">
        <v>490</v>
      </c>
      <c r="H15702" s="333">
        <v>593</v>
      </c>
    </row>
    <row r="15703" spans="1:8">
      <c r="A15703" s="317">
        <v>3603200007</v>
      </c>
      <c r="B15703" s="330" t="s">
        <v>60055</v>
      </c>
      <c r="C15703" s="330" t="s">
        <v>32458</v>
      </c>
      <c r="D15703" s="330" t="s">
        <v>32459</v>
      </c>
      <c r="E15703" s="330" t="s">
        <v>4634</v>
      </c>
      <c r="F15703" s="331">
        <v>0.21</v>
      </c>
      <c r="G15703" s="332">
        <v>1411</v>
      </c>
      <c r="H15703" s="333">
        <v>1708</v>
      </c>
    </row>
    <row r="15704" spans="1:8">
      <c r="A15704" s="317">
        <v>3603201000</v>
      </c>
      <c r="B15704" s="330" t="s">
        <v>60056</v>
      </c>
      <c r="C15704" s="330" t="s">
        <v>32460</v>
      </c>
      <c r="D15704" s="330" t="s">
        <v>32461</v>
      </c>
      <c r="E15704" s="330" t="s">
        <v>4634</v>
      </c>
      <c r="F15704" s="331">
        <v>0.21</v>
      </c>
      <c r="G15704" s="332">
        <v>82</v>
      </c>
      <c r="H15704" s="333">
        <v>100</v>
      </c>
    </row>
    <row r="15705" spans="1:8">
      <c r="A15705" s="317">
        <v>3603201005</v>
      </c>
      <c r="B15705" s="330" t="s">
        <v>60057</v>
      </c>
      <c r="C15705" s="330" t="s">
        <v>32462</v>
      </c>
      <c r="D15705" s="330" t="s">
        <v>32463</v>
      </c>
      <c r="E15705" s="330" t="s">
        <v>4819</v>
      </c>
      <c r="F15705" s="331">
        <v>0.21</v>
      </c>
      <c r="G15705" s="332">
        <v>863</v>
      </c>
      <c r="H15705" s="333">
        <v>1045</v>
      </c>
    </row>
    <row r="15706" spans="1:8">
      <c r="A15706" s="317">
        <v>3603201031</v>
      </c>
      <c r="B15706" s="330" t="s">
        <v>60058</v>
      </c>
      <c r="C15706" s="330" t="s">
        <v>32464</v>
      </c>
      <c r="D15706" s="330" t="s">
        <v>23175</v>
      </c>
      <c r="E15706" s="330" t="s">
        <v>4634</v>
      </c>
      <c r="F15706" s="331">
        <v>0.21</v>
      </c>
      <c r="G15706" s="332">
        <v>446</v>
      </c>
      <c r="H15706" s="333">
        <v>540</v>
      </c>
    </row>
    <row r="15707" spans="1:8">
      <c r="A15707" s="317">
        <v>3603201037</v>
      </c>
      <c r="B15707" s="330" t="s">
        <v>60059</v>
      </c>
      <c r="C15707" s="330" t="s">
        <v>32465</v>
      </c>
      <c r="D15707" s="330" t="s">
        <v>32463</v>
      </c>
      <c r="E15707" s="330" t="s">
        <v>4634</v>
      </c>
      <c r="F15707" s="331">
        <v>0.21</v>
      </c>
      <c r="G15707" s="332">
        <v>1956</v>
      </c>
      <c r="H15707" s="333">
        <v>2367</v>
      </c>
    </row>
    <row r="15708" spans="1:8">
      <c r="A15708" s="317">
        <v>3603201042</v>
      </c>
      <c r="B15708" s="330" t="s">
        <v>60060</v>
      </c>
      <c r="C15708" s="330" t="s">
        <v>32466</v>
      </c>
      <c r="D15708" s="330" t="s">
        <v>32467</v>
      </c>
      <c r="E15708" s="330" t="s">
        <v>4634</v>
      </c>
      <c r="F15708" s="331">
        <v>0.21</v>
      </c>
      <c r="G15708" s="332">
        <v>372</v>
      </c>
      <c r="H15708" s="333">
        <v>451</v>
      </c>
    </row>
    <row r="15709" spans="1:8">
      <c r="A15709" s="317">
        <v>3603201043</v>
      </c>
      <c r="B15709" s="330" t="s">
        <v>60061</v>
      </c>
      <c r="C15709" s="330" t="s">
        <v>32468</v>
      </c>
      <c r="D15709" s="330" t="s">
        <v>32469</v>
      </c>
      <c r="E15709" s="330" t="s">
        <v>4634</v>
      </c>
      <c r="F15709" s="331">
        <v>0.21</v>
      </c>
      <c r="G15709" s="332">
        <v>91</v>
      </c>
      <c r="H15709" s="333">
        <v>111</v>
      </c>
    </row>
    <row r="15710" spans="1:8">
      <c r="A15710" s="317">
        <v>3603201047</v>
      </c>
      <c r="B15710" s="330" t="s">
        <v>60062</v>
      </c>
      <c r="C15710" s="330" t="s">
        <v>32470</v>
      </c>
      <c r="D15710" s="330" t="s">
        <v>32471</v>
      </c>
      <c r="E15710" s="330" t="s">
        <v>4634</v>
      </c>
      <c r="F15710" s="331">
        <v>0.21</v>
      </c>
      <c r="G15710" s="332">
        <v>309</v>
      </c>
      <c r="H15710" s="333">
        <v>374</v>
      </c>
    </row>
    <row r="15711" spans="1:8">
      <c r="A15711" s="317">
        <v>3603201048</v>
      </c>
      <c r="B15711" s="330" t="s">
        <v>60063</v>
      </c>
      <c r="C15711" s="330" t="s">
        <v>32472</v>
      </c>
      <c r="D15711" s="330" t="s">
        <v>32473</v>
      </c>
      <c r="E15711" s="330" t="s">
        <v>4634</v>
      </c>
      <c r="F15711" s="331">
        <v>0.21</v>
      </c>
      <c r="G15711" s="332">
        <v>1153</v>
      </c>
      <c r="H15711" s="333">
        <v>1396</v>
      </c>
    </row>
    <row r="15712" spans="1:8">
      <c r="A15712" s="317">
        <v>3603201050</v>
      </c>
      <c r="B15712" s="330" t="s">
        <v>60064</v>
      </c>
      <c r="C15712" s="330" t="s">
        <v>32474</v>
      </c>
      <c r="D15712" s="330" t="s">
        <v>23175</v>
      </c>
      <c r="E15712" s="330" t="s">
        <v>4634</v>
      </c>
      <c r="F15712" s="331">
        <v>0.21</v>
      </c>
      <c r="G15712" s="332">
        <v>309</v>
      </c>
      <c r="H15712" s="333">
        <v>374</v>
      </c>
    </row>
    <row r="15713" spans="1:8">
      <c r="A15713" s="317">
        <v>3603201055</v>
      </c>
      <c r="B15713" s="330" t="s">
        <v>60065</v>
      </c>
      <c r="C15713" s="330" t="s">
        <v>32475</v>
      </c>
      <c r="D15713" s="330" t="s">
        <v>32476</v>
      </c>
      <c r="E15713" s="330" t="s">
        <v>4634</v>
      </c>
      <c r="F15713" s="331">
        <v>0.21</v>
      </c>
      <c r="G15713" s="332">
        <v>678</v>
      </c>
      <c r="H15713" s="333">
        <v>821</v>
      </c>
    </row>
    <row r="15714" spans="1:8">
      <c r="A15714" s="317">
        <v>3603201077</v>
      </c>
      <c r="B15714" s="330" t="s">
        <v>60066</v>
      </c>
      <c r="C15714" s="330" t="s">
        <v>32477</v>
      </c>
      <c r="D15714" s="330" t="s">
        <v>31589</v>
      </c>
      <c r="E15714" s="330" t="s">
        <v>4634</v>
      </c>
      <c r="F15714" s="331">
        <v>0.21</v>
      </c>
      <c r="G15714" s="332">
        <v>2212</v>
      </c>
      <c r="H15714" s="333">
        <v>2677</v>
      </c>
    </row>
    <row r="15715" spans="1:8">
      <c r="A15715" s="317">
        <v>3603201085</v>
      </c>
      <c r="B15715" s="330" t="s">
        <v>60067</v>
      </c>
      <c r="C15715" s="330" t="s">
        <v>32478</v>
      </c>
      <c r="D15715" s="330" t="s">
        <v>8670</v>
      </c>
      <c r="E15715" s="330" t="s">
        <v>4634</v>
      </c>
      <c r="F15715" s="331">
        <v>0.21</v>
      </c>
      <c r="G15715" s="332">
        <v>6553</v>
      </c>
      <c r="H15715" s="333">
        <v>7930</v>
      </c>
    </row>
    <row r="15716" spans="1:8">
      <c r="A15716" s="317">
        <v>3603203007</v>
      </c>
      <c r="B15716" s="330" t="s">
        <v>60068</v>
      </c>
      <c r="C15716" s="330" t="s">
        <v>32479</v>
      </c>
      <c r="D15716" s="330" t="s">
        <v>32480</v>
      </c>
      <c r="E15716" s="330" t="s">
        <v>4634</v>
      </c>
      <c r="F15716" s="331">
        <v>0.21</v>
      </c>
      <c r="G15716" s="332">
        <v>3047</v>
      </c>
      <c r="H15716" s="333">
        <v>3687</v>
      </c>
    </row>
    <row r="15717" spans="1:8">
      <c r="A15717" s="317">
        <v>3603211501</v>
      </c>
      <c r="B15717" s="330" t="s">
        <v>60069</v>
      </c>
      <c r="C15717" s="330" t="s">
        <v>32481</v>
      </c>
      <c r="D15717" s="330" t="s">
        <v>32482</v>
      </c>
      <c r="E15717" s="330" t="s">
        <v>4634</v>
      </c>
      <c r="F15717" s="331">
        <v>0.21</v>
      </c>
      <c r="G15717" s="332">
        <v>584</v>
      </c>
      <c r="H15717" s="333">
        <v>707</v>
      </c>
    </row>
    <row r="15718" spans="1:8">
      <c r="A15718" s="317">
        <v>3603230004</v>
      </c>
      <c r="B15718" s="330" t="s">
        <v>60070</v>
      </c>
      <c r="C15718" s="330" t="s">
        <v>32483</v>
      </c>
      <c r="D15718" s="330" t="s">
        <v>32484</v>
      </c>
      <c r="E15718" s="330" t="s">
        <v>4634</v>
      </c>
      <c r="F15718" s="331">
        <v>0.21</v>
      </c>
      <c r="G15718" s="332">
        <v>648</v>
      </c>
      <c r="H15718" s="333">
        <v>785</v>
      </c>
    </row>
    <row r="15719" spans="1:8">
      <c r="A15719" s="317">
        <v>3603231017</v>
      </c>
      <c r="B15719" s="330" t="s">
        <v>60071</v>
      </c>
      <c r="C15719" s="330" t="s">
        <v>32485</v>
      </c>
      <c r="D15719" s="330" t="s">
        <v>32486</v>
      </c>
      <c r="E15719" s="330" t="s">
        <v>4634</v>
      </c>
      <c r="F15719" s="331">
        <v>0.21</v>
      </c>
      <c r="G15719" s="332">
        <v>3421</v>
      </c>
      <c r="H15719" s="333">
        <v>4140</v>
      </c>
    </row>
    <row r="15720" spans="1:8">
      <c r="A15720" s="317">
        <v>3603231539</v>
      </c>
      <c r="B15720" s="330" t="s">
        <v>60072</v>
      </c>
      <c r="C15720" s="330" t="s">
        <v>32487</v>
      </c>
      <c r="D15720" s="330" t="s">
        <v>7879</v>
      </c>
      <c r="E15720" s="330" t="s">
        <v>4819</v>
      </c>
      <c r="F15720" s="331">
        <v>0.21</v>
      </c>
      <c r="G15720" s="332">
        <v>3934</v>
      </c>
      <c r="H15720" s="333">
        <v>4761</v>
      </c>
    </row>
    <row r="15721" spans="1:8">
      <c r="A15721" s="317">
        <v>3603300005</v>
      </c>
      <c r="B15721" s="330" t="s">
        <v>60073</v>
      </c>
      <c r="C15721" s="330" t="s">
        <v>32488</v>
      </c>
      <c r="D15721" s="330" t="s">
        <v>32489</v>
      </c>
      <c r="E15721" s="330" t="s">
        <v>4634</v>
      </c>
      <c r="F15721" s="331">
        <v>0.21</v>
      </c>
      <c r="G15721" s="332">
        <v>3421</v>
      </c>
      <c r="H15721" s="333">
        <v>4140</v>
      </c>
    </row>
    <row r="15722" spans="1:8">
      <c r="A15722" s="317">
        <v>3603300501</v>
      </c>
      <c r="B15722" s="330" t="s">
        <v>60074</v>
      </c>
      <c r="C15722" s="330" t="s">
        <v>32490</v>
      </c>
      <c r="D15722" s="330" t="s">
        <v>32491</v>
      </c>
      <c r="E15722" s="330" t="s">
        <v>4634</v>
      </c>
      <c r="F15722" s="331">
        <v>0.21</v>
      </c>
      <c r="G15722" s="332">
        <v>972</v>
      </c>
      <c r="H15722" s="333">
        <v>1177</v>
      </c>
    </row>
    <row r="15723" spans="1:8">
      <c r="A15723" s="317">
        <v>3603313001</v>
      </c>
      <c r="B15723" s="330" t="s">
        <v>60075</v>
      </c>
      <c r="C15723" s="330" t="s">
        <v>32492</v>
      </c>
      <c r="D15723" s="330" t="s">
        <v>32493</v>
      </c>
      <c r="E15723" s="330" t="s">
        <v>4634</v>
      </c>
      <c r="F15723" s="331">
        <v>0.21</v>
      </c>
      <c r="G15723" s="332">
        <v>3395</v>
      </c>
      <c r="H15723" s="333">
        <v>4108</v>
      </c>
    </row>
    <row r="15724" spans="1:8">
      <c r="A15724" s="317">
        <v>3603313002</v>
      </c>
      <c r="B15724" s="330" t="s">
        <v>60076</v>
      </c>
      <c r="C15724" s="330" t="s">
        <v>32494</v>
      </c>
      <c r="D15724" s="330" t="s">
        <v>32495</v>
      </c>
      <c r="E15724" s="330" t="s">
        <v>4634</v>
      </c>
      <c r="F15724" s="331">
        <v>0.21</v>
      </c>
      <c r="G15724" s="332">
        <v>401</v>
      </c>
      <c r="H15724" s="333">
        <v>486</v>
      </c>
    </row>
    <row r="15725" spans="1:8">
      <c r="A15725" s="317">
        <v>3603313006</v>
      </c>
      <c r="B15725" s="330" t="s">
        <v>60077</v>
      </c>
      <c r="C15725" s="330" t="s">
        <v>32496</v>
      </c>
      <c r="D15725" s="330" t="s">
        <v>4656</v>
      </c>
      <c r="E15725" s="330" t="s">
        <v>37248</v>
      </c>
      <c r="F15725" s="331">
        <v>0.21</v>
      </c>
      <c r="G15725" s="332">
        <v>6879</v>
      </c>
      <c r="H15725" s="333">
        <v>8324</v>
      </c>
    </row>
    <row r="15726" spans="1:8">
      <c r="A15726" s="317">
        <v>3603313007</v>
      </c>
      <c r="B15726" s="330" t="s">
        <v>60078</v>
      </c>
      <c r="C15726" s="330" t="s">
        <v>32497</v>
      </c>
      <c r="D15726" s="330" t="s">
        <v>32498</v>
      </c>
      <c r="E15726" s="330" t="s">
        <v>4819</v>
      </c>
      <c r="F15726" s="331">
        <v>0.21</v>
      </c>
      <c r="G15726" s="332">
        <v>12686</v>
      </c>
      <c r="H15726" s="333">
        <v>15351</v>
      </c>
    </row>
    <row r="15727" spans="1:8">
      <c r="A15727" s="317">
        <v>3603315500</v>
      </c>
      <c r="B15727" s="330" t="s">
        <v>60079</v>
      </c>
      <c r="C15727" s="330" t="s">
        <v>32499</v>
      </c>
      <c r="D15727" s="330" t="s">
        <v>30489</v>
      </c>
      <c r="E15727" s="330" t="s">
        <v>4634</v>
      </c>
      <c r="F15727" s="331">
        <v>0.21</v>
      </c>
      <c r="G15727" s="332">
        <v>648</v>
      </c>
      <c r="H15727" s="333">
        <v>785</v>
      </c>
    </row>
    <row r="15728" spans="1:8">
      <c r="A15728" s="317">
        <v>3603317002</v>
      </c>
      <c r="B15728" s="330" t="s">
        <v>60080</v>
      </c>
      <c r="C15728" s="330" t="s">
        <v>32500</v>
      </c>
      <c r="D15728" s="330" t="s">
        <v>32501</v>
      </c>
      <c r="E15728" s="330" t="s">
        <v>4634</v>
      </c>
      <c r="F15728" s="331">
        <v>0.21</v>
      </c>
      <c r="G15728" s="332">
        <v>1030</v>
      </c>
      <c r="H15728" s="333">
        <v>1247</v>
      </c>
    </row>
    <row r="15729" spans="1:8">
      <c r="A15729" s="317">
        <v>3603340006</v>
      </c>
      <c r="B15729" s="330" t="s">
        <v>60081</v>
      </c>
      <c r="C15729" s="330" t="s">
        <v>32502</v>
      </c>
      <c r="D15729" s="330" t="s">
        <v>32503</v>
      </c>
      <c r="E15729" s="330" t="s">
        <v>4634</v>
      </c>
      <c r="F15729" s="331">
        <v>0.21</v>
      </c>
      <c r="G15729" s="332">
        <v>5652</v>
      </c>
      <c r="H15729" s="333">
        <v>6839</v>
      </c>
    </row>
    <row r="15730" spans="1:8">
      <c r="A15730" s="317">
        <v>3603340010</v>
      </c>
      <c r="B15730" s="330" t="s">
        <v>60082</v>
      </c>
      <c r="C15730" s="330" t="s">
        <v>32504</v>
      </c>
      <c r="D15730" s="330" t="s">
        <v>32505</v>
      </c>
      <c r="E15730" s="330" t="s">
        <v>4634</v>
      </c>
      <c r="F15730" s="331">
        <v>0.21</v>
      </c>
      <c r="G15730" s="332">
        <v>8367</v>
      </c>
      <c r="H15730" s="333">
        <v>10125</v>
      </c>
    </row>
    <row r="15731" spans="1:8">
      <c r="A15731" s="317">
        <v>3603340014</v>
      </c>
      <c r="B15731" s="330" t="s">
        <v>60083</v>
      </c>
      <c r="C15731" s="330" t="s">
        <v>32506</v>
      </c>
      <c r="D15731" s="330" t="s">
        <v>32507</v>
      </c>
      <c r="E15731" s="330" t="s">
        <v>4634</v>
      </c>
      <c r="F15731" s="331">
        <v>0.21</v>
      </c>
      <c r="G15731" s="332">
        <v>2491</v>
      </c>
      <c r="H15731" s="333">
        <v>3015</v>
      </c>
    </row>
    <row r="15732" spans="1:8">
      <c r="A15732" s="317">
        <v>3603340017</v>
      </c>
      <c r="B15732" s="330" t="s">
        <v>60084</v>
      </c>
      <c r="C15732" s="330" t="s">
        <v>32508</v>
      </c>
      <c r="D15732" s="330" t="s">
        <v>12426</v>
      </c>
      <c r="E15732" s="330" t="s">
        <v>4819</v>
      </c>
      <c r="F15732" s="331">
        <v>0.21</v>
      </c>
      <c r="G15732" s="332">
        <v>12686</v>
      </c>
      <c r="H15732" s="333">
        <v>15351</v>
      </c>
    </row>
    <row r="15733" spans="1:8">
      <c r="A15733" s="317">
        <v>3603340019</v>
      </c>
      <c r="B15733" s="330" t="s">
        <v>60085</v>
      </c>
      <c r="C15733" s="330" t="s">
        <v>32509</v>
      </c>
      <c r="D15733" s="330" t="s">
        <v>32510</v>
      </c>
      <c r="E15733" s="330" t="s">
        <v>4819</v>
      </c>
      <c r="F15733" s="331">
        <v>0.21</v>
      </c>
      <c r="G15733" s="332">
        <v>5663</v>
      </c>
      <c r="H15733" s="333">
        <v>6853</v>
      </c>
    </row>
    <row r="15734" spans="1:8">
      <c r="A15734" s="317">
        <v>3603340501</v>
      </c>
      <c r="B15734" s="330" t="s">
        <v>60086</v>
      </c>
      <c r="C15734" s="330" t="s">
        <v>32511</v>
      </c>
      <c r="D15734" s="330" t="s">
        <v>32512</v>
      </c>
      <c r="E15734" s="330" t="s">
        <v>37248</v>
      </c>
      <c r="F15734" s="331">
        <v>0.21</v>
      </c>
      <c r="G15734" s="332">
        <v>4624</v>
      </c>
      <c r="H15734" s="333">
        <v>5596</v>
      </c>
    </row>
    <row r="15735" spans="1:8">
      <c r="A15735" s="317">
        <v>3603340503</v>
      </c>
      <c r="B15735" s="330" t="s">
        <v>60087</v>
      </c>
      <c r="C15735" s="330" t="s">
        <v>32513</v>
      </c>
      <c r="D15735" s="330" t="s">
        <v>32514</v>
      </c>
      <c r="E15735" s="330" t="s">
        <v>4819</v>
      </c>
      <c r="F15735" s="331">
        <v>0.21</v>
      </c>
      <c r="G15735" s="332">
        <v>7376</v>
      </c>
      <c r="H15735" s="333">
        <v>8925</v>
      </c>
    </row>
    <row r="15736" spans="1:8">
      <c r="A15736" s="317">
        <v>3603342001</v>
      </c>
      <c r="B15736" s="330" t="s">
        <v>60088</v>
      </c>
      <c r="C15736" s="330" t="s">
        <v>32515</v>
      </c>
      <c r="D15736" s="330" t="s">
        <v>32516</v>
      </c>
      <c r="E15736" s="330" t="s">
        <v>4634</v>
      </c>
      <c r="F15736" s="331">
        <v>0.21</v>
      </c>
      <c r="G15736" s="332">
        <v>2467</v>
      </c>
      <c r="H15736" s="333">
        <v>2986</v>
      </c>
    </row>
    <row r="15737" spans="1:8">
      <c r="A15737" s="317">
        <v>3603342002</v>
      </c>
      <c r="B15737" s="330" t="s">
        <v>60089</v>
      </c>
      <c r="C15737" s="330" t="s">
        <v>32517</v>
      </c>
      <c r="D15737" s="330" t="s">
        <v>32518</v>
      </c>
      <c r="E15737" s="330" t="s">
        <v>4634</v>
      </c>
      <c r="F15737" s="331">
        <v>0.21</v>
      </c>
      <c r="G15737" s="332">
        <v>3731</v>
      </c>
      <c r="H15737" s="333">
        <v>4515</v>
      </c>
    </row>
    <row r="15738" spans="1:8">
      <c r="A15738" s="317">
        <v>3603342003</v>
      </c>
      <c r="B15738" s="330" t="s">
        <v>60090</v>
      </c>
      <c r="C15738" s="330" t="s">
        <v>32519</v>
      </c>
      <c r="D15738" s="330" t="s">
        <v>32520</v>
      </c>
      <c r="E15738" s="330" t="s">
        <v>4634</v>
      </c>
      <c r="F15738" s="331">
        <v>0.21</v>
      </c>
      <c r="G15738" s="332">
        <v>372</v>
      </c>
      <c r="H15738" s="333">
        <v>451</v>
      </c>
    </row>
    <row r="15739" spans="1:8">
      <c r="A15739" s="317">
        <v>3603342004</v>
      </c>
      <c r="B15739" s="330" t="s">
        <v>60091</v>
      </c>
      <c r="C15739" s="330" t="s">
        <v>32521</v>
      </c>
      <c r="D15739" s="330" t="s">
        <v>32522</v>
      </c>
      <c r="E15739" s="330" t="s">
        <v>4634</v>
      </c>
      <c r="F15739" s="331">
        <v>0.21</v>
      </c>
      <c r="G15739" s="332">
        <v>22031</v>
      </c>
      <c r="H15739" s="333">
        <v>26658</v>
      </c>
    </row>
    <row r="15740" spans="1:8">
      <c r="A15740" s="317">
        <v>3603342009</v>
      </c>
      <c r="B15740" s="330" t="s">
        <v>60092</v>
      </c>
      <c r="C15740" s="330" t="s">
        <v>32523</v>
      </c>
      <c r="D15740" s="330" t="s">
        <v>32524</v>
      </c>
      <c r="E15740" s="330" t="s">
        <v>37248</v>
      </c>
      <c r="F15740" s="331">
        <v>0.21</v>
      </c>
      <c r="G15740" s="332">
        <v>11084</v>
      </c>
      <c r="H15740" s="333">
        <v>13412</v>
      </c>
    </row>
    <row r="15741" spans="1:8">
      <c r="A15741" s="317">
        <v>3603344003</v>
      </c>
      <c r="B15741" s="330" t="s">
        <v>60093</v>
      </c>
      <c r="C15741" s="330" t="s">
        <v>32525</v>
      </c>
      <c r="D15741" s="330" t="s">
        <v>32526</v>
      </c>
      <c r="E15741" s="330" t="s">
        <v>4634</v>
      </c>
      <c r="F15741" s="331">
        <v>0.21</v>
      </c>
      <c r="G15741" s="332">
        <v>584</v>
      </c>
      <c r="H15741" s="333">
        <v>707</v>
      </c>
    </row>
    <row r="15742" spans="1:8">
      <c r="A15742" s="317">
        <v>3603344023</v>
      </c>
      <c r="B15742" s="330" t="s">
        <v>60094</v>
      </c>
      <c r="C15742" s="330" t="s">
        <v>32527</v>
      </c>
      <c r="D15742" s="330" t="s">
        <v>32528</v>
      </c>
      <c r="E15742" s="330" t="s">
        <v>4634</v>
      </c>
      <c r="F15742" s="331">
        <v>0.21</v>
      </c>
      <c r="G15742" s="332">
        <v>6016</v>
      </c>
      <c r="H15742" s="333">
        <v>7280</v>
      </c>
    </row>
    <row r="15743" spans="1:8">
      <c r="A15743" s="317">
        <v>3603344024</v>
      </c>
      <c r="B15743" s="330" t="s">
        <v>60095</v>
      </c>
      <c r="C15743" s="330" t="s">
        <v>32529</v>
      </c>
      <c r="D15743" s="330" t="s">
        <v>32530</v>
      </c>
      <c r="E15743" s="330" t="s">
        <v>4819</v>
      </c>
      <c r="F15743" s="331">
        <v>0.21</v>
      </c>
      <c r="G15743" s="332">
        <v>14879</v>
      </c>
      <c r="H15743" s="333">
        <v>18004</v>
      </c>
    </row>
    <row r="15744" spans="1:8">
      <c r="A15744" s="317">
        <v>3603344039</v>
      </c>
      <c r="B15744" s="330" t="s">
        <v>60096</v>
      </c>
      <c r="C15744" s="330" t="s">
        <v>32531</v>
      </c>
      <c r="D15744" s="330" t="s">
        <v>32532</v>
      </c>
      <c r="E15744" s="330" t="s">
        <v>4634</v>
      </c>
      <c r="F15744" s="331">
        <v>0.21</v>
      </c>
      <c r="G15744" s="332">
        <v>2614</v>
      </c>
      <c r="H15744" s="333">
        <v>3163</v>
      </c>
    </row>
    <row r="15745" spans="1:8">
      <c r="A15745" s="317">
        <v>3603344046</v>
      </c>
      <c r="B15745" s="330" t="s">
        <v>60097</v>
      </c>
      <c r="C15745" s="330" t="s">
        <v>32533</v>
      </c>
      <c r="D15745" s="330" t="s">
        <v>32534</v>
      </c>
      <c r="E15745" s="330" t="s">
        <v>4634</v>
      </c>
      <c r="F15745" s="331">
        <v>0.21</v>
      </c>
      <c r="G15745" s="332">
        <v>8336</v>
      </c>
      <c r="H15745" s="333">
        <v>10087</v>
      </c>
    </row>
    <row r="15746" spans="1:8">
      <c r="A15746" s="317">
        <v>3603344047</v>
      </c>
      <c r="B15746" s="330" t="s">
        <v>60098</v>
      </c>
      <c r="C15746" s="330" t="s">
        <v>32535</v>
      </c>
      <c r="D15746" s="330" t="s">
        <v>32536</v>
      </c>
      <c r="E15746" s="330" t="s">
        <v>4634</v>
      </c>
      <c r="F15746" s="331">
        <v>0.21</v>
      </c>
      <c r="G15746" s="332">
        <v>5652</v>
      </c>
      <c r="H15746" s="333">
        <v>6839</v>
      </c>
    </row>
    <row r="15747" spans="1:8">
      <c r="A15747" s="317">
        <v>3603344052</v>
      </c>
      <c r="B15747" s="330" t="s">
        <v>60099</v>
      </c>
      <c r="C15747" s="330" t="s">
        <v>32537</v>
      </c>
      <c r="D15747" s="330" t="s">
        <v>32538</v>
      </c>
      <c r="E15747" s="330" t="s">
        <v>4634</v>
      </c>
      <c r="F15747" s="331">
        <v>0.21</v>
      </c>
      <c r="G15747" s="332">
        <v>7662</v>
      </c>
      <c r="H15747" s="333">
        <v>9272</v>
      </c>
    </row>
    <row r="15748" spans="1:8">
      <c r="A15748" s="317">
        <v>3603344057</v>
      </c>
      <c r="B15748" s="330" t="s">
        <v>60100</v>
      </c>
      <c r="C15748" s="330" t="s">
        <v>32539</v>
      </c>
      <c r="D15748" s="330" t="s">
        <v>32540</v>
      </c>
      <c r="E15748" s="330" t="s">
        <v>4634</v>
      </c>
      <c r="F15748" s="331">
        <v>0.21</v>
      </c>
      <c r="G15748" s="332">
        <v>14870</v>
      </c>
      <c r="H15748" s="333">
        <v>17993</v>
      </c>
    </row>
    <row r="15749" spans="1:8">
      <c r="A15749" s="317">
        <v>3603344059</v>
      </c>
      <c r="B15749" s="330" t="s">
        <v>60101</v>
      </c>
      <c r="C15749" s="330" t="s">
        <v>32541</v>
      </c>
      <c r="D15749" s="330" t="s">
        <v>32542</v>
      </c>
      <c r="E15749" s="330" t="s">
        <v>4634</v>
      </c>
      <c r="F15749" s="331">
        <v>0.21</v>
      </c>
      <c r="G15749" s="332">
        <v>9166</v>
      </c>
      <c r="H15749" s="333">
        <v>11091</v>
      </c>
    </row>
    <row r="15750" spans="1:8">
      <c r="A15750" s="317">
        <v>3603344062</v>
      </c>
      <c r="B15750" s="330" t="s">
        <v>60102</v>
      </c>
      <c r="C15750" s="330" t="s">
        <v>32543</v>
      </c>
      <c r="D15750" s="330" t="s">
        <v>32544</v>
      </c>
      <c r="E15750" s="330" t="s">
        <v>37248</v>
      </c>
      <c r="F15750" s="331">
        <v>0.21</v>
      </c>
      <c r="G15750" s="332">
        <v>6460</v>
      </c>
      <c r="H15750" s="333">
        <v>7817</v>
      </c>
    </row>
    <row r="15751" spans="1:8">
      <c r="A15751" s="317">
        <v>3603344097</v>
      </c>
      <c r="B15751" s="330" t="s">
        <v>60103</v>
      </c>
      <c r="C15751" s="330" t="s">
        <v>32545</v>
      </c>
      <c r="D15751" s="330" t="s">
        <v>32546</v>
      </c>
      <c r="E15751" s="330" t="s">
        <v>4634</v>
      </c>
      <c r="F15751" s="331">
        <v>0.21</v>
      </c>
      <c r="G15751" s="332">
        <v>716</v>
      </c>
      <c r="H15751" s="333">
        <v>867</v>
      </c>
    </row>
    <row r="15752" spans="1:8">
      <c r="A15752" s="317">
        <v>3603345016</v>
      </c>
      <c r="B15752" s="330" t="s">
        <v>60104</v>
      </c>
      <c r="C15752" s="330" t="s">
        <v>32547</v>
      </c>
      <c r="D15752" s="330" t="s">
        <v>19427</v>
      </c>
      <c r="E15752" s="330" t="s">
        <v>4819</v>
      </c>
      <c r="F15752" s="331">
        <v>0.21</v>
      </c>
      <c r="G15752" s="332">
        <v>4169</v>
      </c>
      <c r="H15752" s="333">
        <v>5045</v>
      </c>
    </row>
    <row r="15753" spans="1:8">
      <c r="A15753" s="317">
        <v>3603386001</v>
      </c>
      <c r="B15753" s="330" t="s">
        <v>60105</v>
      </c>
      <c r="C15753" s="330" t="s">
        <v>32548</v>
      </c>
      <c r="D15753" s="330" t="s">
        <v>32549</v>
      </c>
      <c r="E15753" s="330" t="s">
        <v>4634</v>
      </c>
      <c r="F15753" s="331">
        <v>0.21</v>
      </c>
      <c r="G15753" s="332">
        <v>3421</v>
      </c>
      <c r="H15753" s="333">
        <v>4140</v>
      </c>
    </row>
    <row r="15754" spans="1:8">
      <c r="A15754" s="317">
        <v>3603386039</v>
      </c>
      <c r="B15754" s="330" t="s">
        <v>60106</v>
      </c>
      <c r="C15754" s="330" t="s">
        <v>32550</v>
      </c>
      <c r="D15754" s="330" t="s">
        <v>32551</v>
      </c>
      <c r="E15754" s="330" t="s">
        <v>4634</v>
      </c>
      <c r="F15754" s="331">
        <v>0.21</v>
      </c>
      <c r="G15754" s="332">
        <v>2409</v>
      </c>
      <c r="H15754" s="333">
        <v>2915</v>
      </c>
    </row>
    <row r="15755" spans="1:8">
      <c r="A15755" s="317">
        <v>3603386063</v>
      </c>
      <c r="B15755" s="330" t="s">
        <v>60107</v>
      </c>
      <c r="C15755" s="330" t="s">
        <v>32552</v>
      </c>
      <c r="D15755" s="330" t="s">
        <v>32553</v>
      </c>
      <c r="E15755" s="330" t="s">
        <v>4819</v>
      </c>
      <c r="F15755" s="331">
        <v>0.21</v>
      </c>
      <c r="G15755" s="332">
        <v>10816</v>
      </c>
      <c r="H15755" s="333">
        <v>13088</v>
      </c>
    </row>
    <row r="15756" spans="1:8">
      <c r="A15756" s="317">
        <v>3603386065</v>
      </c>
      <c r="B15756" s="330" t="s">
        <v>60108</v>
      </c>
      <c r="C15756" s="330" t="s">
        <v>32554</v>
      </c>
      <c r="D15756" s="330" t="s">
        <v>32553</v>
      </c>
      <c r="E15756" s="330" t="s">
        <v>4819</v>
      </c>
      <c r="F15756" s="331">
        <v>0.21</v>
      </c>
      <c r="G15756" s="332">
        <v>5034</v>
      </c>
      <c r="H15756" s="333">
        <v>6092</v>
      </c>
    </row>
    <row r="15757" spans="1:8">
      <c r="A15757" s="317">
        <v>3603386066</v>
      </c>
      <c r="B15757" s="330" t="s">
        <v>60109</v>
      </c>
      <c r="C15757" s="330" t="s">
        <v>32555</v>
      </c>
      <c r="D15757" s="330" t="s">
        <v>32553</v>
      </c>
      <c r="E15757" s="330" t="s">
        <v>4819</v>
      </c>
      <c r="F15757" s="331">
        <v>0.21</v>
      </c>
      <c r="G15757" s="332">
        <v>5034</v>
      </c>
      <c r="H15757" s="333">
        <v>6092</v>
      </c>
    </row>
    <row r="15758" spans="1:8">
      <c r="A15758" s="317">
        <v>3603391007</v>
      </c>
      <c r="B15758" s="330" t="s">
        <v>60110</v>
      </c>
      <c r="C15758" s="330" t="s">
        <v>32556</v>
      </c>
      <c r="D15758" s="330" t="s">
        <v>32557</v>
      </c>
      <c r="E15758" s="330" t="s">
        <v>37248</v>
      </c>
      <c r="F15758" s="331">
        <v>0.21</v>
      </c>
      <c r="G15758" s="332">
        <v>553</v>
      </c>
      <c r="H15758" s="333">
        <v>670</v>
      </c>
    </row>
    <row r="15759" spans="1:8">
      <c r="A15759" s="317">
        <v>3603400003</v>
      </c>
      <c r="B15759" s="330" t="s">
        <v>60111</v>
      </c>
      <c r="C15759" s="330" t="s">
        <v>32558</v>
      </c>
      <c r="D15759" s="330" t="s">
        <v>32559</v>
      </c>
      <c r="E15759" s="330" t="s">
        <v>4634</v>
      </c>
      <c r="F15759" s="331">
        <v>0.21</v>
      </c>
      <c r="G15759" s="332">
        <v>4389</v>
      </c>
      <c r="H15759" s="333">
        <v>5311</v>
      </c>
    </row>
    <row r="15760" spans="1:8">
      <c r="A15760" s="317">
        <v>3603405509</v>
      </c>
      <c r="B15760" s="330" t="s">
        <v>60112</v>
      </c>
      <c r="C15760" s="330" t="s">
        <v>32560</v>
      </c>
      <c r="D15760" s="330" t="s">
        <v>32561</v>
      </c>
      <c r="E15760" s="330" t="s">
        <v>4634</v>
      </c>
      <c r="F15760" s="331">
        <v>0.21</v>
      </c>
      <c r="G15760" s="332">
        <v>584</v>
      </c>
      <c r="H15760" s="333">
        <v>707</v>
      </c>
    </row>
    <row r="15761" spans="1:8">
      <c r="A15761" s="317">
        <v>3603410001</v>
      </c>
      <c r="B15761" s="330" t="s">
        <v>60113</v>
      </c>
      <c r="C15761" s="330" t="s">
        <v>32562</v>
      </c>
      <c r="D15761" s="330" t="s">
        <v>32563</v>
      </c>
      <c r="E15761" s="330" t="s">
        <v>4634</v>
      </c>
      <c r="F15761" s="331">
        <v>0.21</v>
      </c>
      <c r="G15761" s="332">
        <v>372</v>
      </c>
      <c r="H15761" s="333">
        <v>451</v>
      </c>
    </row>
    <row r="15762" spans="1:8">
      <c r="A15762" s="317">
        <v>3603410005</v>
      </c>
      <c r="B15762" s="330" t="s">
        <v>60114</v>
      </c>
      <c r="C15762" s="330" t="s">
        <v>32564</v>
      </c>
      <c r="D15762" s="330" t="s">
        <v>32565</v>
      </c>
      <c r="E15762" s="330" t="s">
        <v>4634</v>
      </c>
      <c r="F15762" s="331">
        <v>0.21</v>
      </c>
      <c r="G15762" s="332">
        <v>131</v>
      </c>
      <c r="H15762" s="333">
        <v>159</v>
      </c>
    </row>
    <row r="15763" spans="1:8">
      <c r="A15763" s="317">
        <v>3603410006</v>
      </c>
      <c r="B15763" s="330" t="s">
        <v>60115</v>
      </c>
      <c r="C15763" s="330" t="s">
        <v>32566</v>
      </c>
      <c r="D15763" s="330" t="s">
        <v>32567</v>
      </c>
      <c r="E15763" s="330" t="s">
        <v>4634</v>
      </c>
      <c r="F15763" s="331">
        <v>0.21</v>
      </c>
      <c r="G15763" s="332">
        <v>202</v>
      </c>
      <c r="H15763" s="333">
        <v>245</v>
      </c>
    </row>
    <row r="15764" spans="1:8">
      <c r="A15764" s="317">
        <v>3603410007</v>
      </c>
      <c r="B15764" s="330" t="s">
        <v>60116</v>
      </c>
      <c r="C15764" s="330" t="s">
        <v>32568</v>
      </c>
      <c r="D15764" s="330" t="s">
        <v>32569</v>
      </c>
      <c r="E15764" s="330" t="s">
        <v>4634</v>
      </c>
      <c r="F15764" s="331">
        <v>0.21</v>
      </c>
      <c r="G15764" s="332">
        <v>711</v>
      </c>
      <c r="H15764" s="333">
        <v>861</v>
      </c>
    </row>
    <row r="15765" spans="1:8">
      <c r="A15765" s="317">
        <v>3603410504</v>
      </c>
      <c r="B15765" s="330" t="s">
        <v>60117</v>
      </c>
      <c r="C15765" s="330" t="s">
        <v>32570</v>
      </c>
      <c r="D15765" s="330" t="s">
        <v>30626</v>
      </c>
      <c r="E15765" s="330" t="s">
        <v>4634</v>
      </c>
      <c r="F15765" s="331">
        <v>0.21</v>
      </c>
      <c r="G15765" s="332">
        <v>791</v>
      </c>
      <c r="H15765" s="333">
        <v>958</v>
      </c>
    </row>
    <row r="15766" spans="1:8">
      <c r="A15766" s="317">
        <v>3603414020</v>
      </c>
      <c r="B15766" s="330" t="s">
        <v>60118</v>
      </c>
      <c r="C15766" s="330" t="s">
        <v>32571</v>
      </c>
      <c r="D15766" s="330" t="s">
        <v>32033</v>
      </c>
      <c r="E15766" s="330" t="s">
        <v>4634</v>
      </c>
      <c r="F15766" s="331">
        <v>0.21</v>
      </c>
      <c r="G15766" s="332">
        <v>2186</v>
      </c>
      <c r="H15766" s="333">
        <v>2646</v>
      </c>
    </row>
    <row r="15767" spans="1:8">
      <c r="A15767" s="317">
        <v>3603414021</v>
      </c>
      <c r="B15767" s="330" t="s">
        <v>60119</v>
      </c>
      <c r="C15767" s="330" t="s">
        <v>32572</v>
      </c>
      <c r="D15767" s="330" t="s">
        <v>32573</v>
      </c>
      <c r="E15767" s="330" t="s">
        <v>4634</v>
      </c>
      <c r="F15767" s="331">
        <v>0.21</v>
      </c>
      <c r="G15767" s="332">
        <v>1956</v>
      </c>
      <c r="H15767" s="333">
        <v>2367</v>
      </c>
    </row>
    <row r="15768" spans="1:8">
      <c r="A15768" s="317">
        <v>3603415556</v>
      </c>
      <c r="B15768" s="330" t="s">
        <v>60120</v>
      </c>
      <c r="C15768" s="330" t="s">
        <v>32574</v>
      </c>
      <c r="D15768" s="330" t="s">
        <v>32575</v>
      </c>
      <c r="E15768" s="330" t="s">
        <v>4819</v>
      </c>
      <c r="F15768" s="331">
        <v>0.21</v>
      </c>
      <c r="G15768" s="332">
        <v>3468</v>
      </c>
      <c r="H15768" s="333">
        <v>4197</v>
      </c>
    </row>
    <row r="15769" spans="1:8">
      <c r="A15769" s="317">
        <v>3603415560</v>
      </c>
      <c r="B15769" s="330" t="s">
        <v>60121</v>
      </c>
      <c r="C15769" s="330" t="s">
        <v>32576</v>
      </c>
      <c r="D15769" s="330" t="s">
        <v>31325</v>
      </c>
      <c r="E15769" s="330" t="s">
        <v>4634</v>
      </c>
      <c r="F15769" s="331">
        <v>0.21</v>
      </c>
      <c r="G15769" s="332">
        <v>432</v>
      </c>
      <c r="H15769" s="333">
        <v>523</v>
      </c>
    </row>
    <row r="15770" spans="1:8">
      <c r="A15770" s="317">
        <v>3603430505</v>
      </c>
      <c r="B15770" s="330" t="s">
        <v>60122</v>
      </c>
      <c r="C15770" s="330" t="s">
        <v>32577</v>
      </c>
      <c r="D15770" s="330" t="s">
        <v>32578</v>
      </c>
      <c r="E15770" s="330" t="s">
        <v>4634</v>
      </c>
      <c r="F15770" s="331">
        <v>0.21</v>
      </c>
      <c r="G15770" s="332">
        <v>2143</v>
      </c>
      <c r="H15770" s="333">
        <v>2594</v>
      </c>
    </row>
    <row r="15771" spans="1:8">
      <c r="A15771" s="317">
        <v>3603435003</v>
      </c>
      <c r="B15771" s="330" t="s">
        <v>60123</v>
      </c>
      <c r="C15771" s="330" t="s">
        <v>32579</v>
      </c>
      <c r="D15771" s="330" t="s">
        <v>31381</v>
      </c>
      <c r="E15771" s="330" t="s">
        <v>4634</v>
      </c>
      <c r="F15771" s="331">
        <v>0.21</v>
      </c>
      <c r="G15771" s="332">
        <v>570</v>
      </c>
      <c r="H15771" s="333">
        <v>690</v>
      </c>
    </row>
    <row r="15772" spans="1:8">
      <c r="A15772" s="317">
        <v>3603435004</v>
      </c>
      <c r="B15772" s="330" t="s">
        <v>60124</v>
      </c>
      <c r="C15772" s="330" t="s">
        <v>32580</v>
      </c>
      <c r="D15772" s="330" t="s">
        <v>32581</v>
      </c>
      <c r="E15772" s="330" t="s">
        <v>4634</v>
      </c>
      <c r="F15772" s="331">
        <v>0.21</v>
      </c>
      <c r="G15772" s="332">
        <v>570</v>
      </c>
      <c r="H15772" s="333">
        <v>690</v>
      </c>
    </row>
    <row r="15773" spans="1:8">
      <c r="A15773" s="317">
        <v>3603435020</v>
      </c>
      <c r="B15773" s="330" t="s">
        <v>60125</v>
      </c>
      <c r="C15773" s="330" t="s">
        <v>32582</v>
      </c>
      <c r="D15773" s="330" t="s">
        <v>32583</v>
      </c>
      <c r="E15773" s="330" t="s">
        <v>4634</v>
      </c>
      <c r="F15773" s="331">
        <v>0.21</v>
      </c>
      <c r="G15773" s="332">
        <v>245</v>
      </c>
      <c r="H15773" s="333">
        <v>297</v>
      </c>
    </row>
    <row r="15774" spans="1:8">
      <c r="A15774" s="317">
        <v>3603435042</v>
      </c>
      <c r="B15774" s="330" t="s">
        <v>60126</v>
      </c>
      <c r="C15774" s="330" t="s">
        <v>32584</v>
      </c>
      <c r="D15774" s="330" t="s">
        <v>32585</v>
      </c>
      <c r="E15774" s="330" t="s">
        <v>4819</v>
      </c>
      <c r="F15774" s="331">
        <v>0.21</v>
      </c>
      <c r="G15774" s="332">
        <v>1383</v>
      </c>
      <c r="H15774" s="333">
        <v>1674</v>
      </c>
    </row>
    <row r="15775" spans="1:8">
      <c r="A15775" s="317">
        <v>3603435044</v>
      </c>
      <c r="B15775" s="330" t="s">
        <v>60127</v>
      </c>
      <c r="C15775" s="330" t="s">
        <v>32586</v>
      </c>
      <c r="D15775" s="330" t="s">
        <v>32587</v>
      </c>
      <c r="E15775" s="330" t="s">
        <v>37248</v>
      </c>
      <c r="F15775" s="331">
        <v>0.21</v>
      </c>
      <c r="G15775" s="332">
        <v>78</v>
      </c>
      <c r="H15775" s="333">
        <v>95</v>
      </c>
    </row>
    <row r="15776" spans="1:8">
      <c r="A15776" s="317">
        <v>3603435051</v>
      </c>
      <c r="B15776" s="330" t="s">
        <v>60128</v>
      </c>
      <c r="C15776" s="330" t="s">
        <v>32588</v>
      </c>
      <c r="D15776" s="330" t="s">
        <v>32589</v>
      </c>
      <c r="E15776" s="330" t="s">
        <v>4819</v>
      </c>
      <c r="F15776" s="331">
        <v>0.21</v>
      </c>
      <c r="G15776" s="332">
        <v>292</v>
      </c>
      <c r="H15776" s="333">
        <v>354</v>
      </c>
    </row>
    <row r="15777" spans="1:8">
      <c r="A15777" s="317">
        <v>3603435056</v>
      </c>
      <c r="B15777" s="330" t="s">
        <v>60129</v>
      </c>
      <c r="C15777" s="330" t="s">
        <v>32590</v>
      </c>
      <c r="D15777" s="330" t="s">
        <v>12663</v>
      </c>
      <c r="E15777" s="330" t="s">
        <v>4634</v>
      </c>
      <c r="F15777" s="331">
        <v>0.21</v>
      </c>
      <c r="G15777" s="332">
        <v>745</v>
      </c>
      <c r="H15777" s="333">
        <v>902</v>
      </c>
    </row>
    <row r="15778" spans="1:8">
      <c r="A15778" s="317">
        <v>3603450000</v>
      </c>
      <c r="B15778" s="330" t="s">
        <v>60130</v>
      </c>
      <c r="C15778" s="330" t="s">
        <v>32591</v>
      </c>
      <c r="D15778" s="330" t="s">
        <v>32592</v>
      </c>
      <c r="E15778" s="330" t="s">
        <v>4634</v>
      </c>
      <c r="F15778" s="331">
        <v>0.21</v>
      </c>
      <c r="G15778" s="332">
        <v>1479</v>
      </c>
      <c r="H15778" s="333">
        <v>1790</v>
      </c>
    </row>
    <row r="15779" spans="1:8">
      <c r="A15779" s="317">
        <v>3603450006</v>
      </c>
      <c r="B15779" s="330" t="s">
        <v>60131</v>
      </c>
      <c r="C15779" s="330" t="s">
        <v>32593</v>
      </c>
      <c r="D15779" s="330" t="s">
        <v>32594</v>
      </c>
      <c r="E15779" s="330" t="s">
        <v>4634</v>
      </c>
      <c r="F15779" s="331">
        <v>0.21</v>
      </c>
      <c r="G15779" s="332">
        <v>1008</v>
      </c>
      <c r="H15779" s="333">
        <v>1220</v>
      </c>
    </row>
    <row r="15780" spans="1:8">
      <c r="A15780" s="317">
        <v>3603450008</v>
      </c>
      <c r="B15780" s="330" t="s">
        <v>60132</v>
      </c>
      <c r="C15780" s="330" t="s">
        <v>32595</v>
      </c>
      <c r="D15780" s="330" t="s">
        <v>32596</v>
      </c>
      <c r="E15780" s="330" t="s">
        <v>4634</v>
      </c>
      <c r="F15780" s="331">
        <v>0.21</v>
      </c>
      <c r="G15780" s="332">
        <v>412</v>
      </c>
      <c r="H15780" s="333">
        <v>499</v>
      </c>
    </row>
    <row r="15781" spans="1:8">
      <c r="A15781" s="317">
        <v>3603450503</v>
      </c>
      <c r="B15781" s="330" t="s">
        <v>60133</v>
      </c>
      <c r="C15781" s="330" t="s">
        <v>32597</v>
      </c>
      <c r="D15781" s="330" t="s">
        <v>32598</v>
      </c>
      <c r="E15781" s="330" t="s">
        <v>4634</v>
      </c>
      <c r="F15781" s="331">
        <v>0.21</v>
      </c>
      <c r="G15781" s="332">
        <v>5418</v>
      </c>
      <c r="H15781" s="333">
        <v>6556</v>
      </c>
    </row>
    <row r="15782" spans="1:8">
      <c r="A15782" s="317">
        <v>3603450504</v>
      </c>
      <c r="B15782" s="330" t="s">
        <v>60134</v>
      </c>
      <c r="C15782" s="330" t="s">
        <v>32599</v>
      </c>
      <c r="D15782" s="330" t="s">
        <v>32600</v>
      </c>
      <c r="E15782" s="330" t="s">
        <v>4819</v>
      </c>
      <c r="F15782" s="331">
        <v>0.21</v>
      </c>
      <c r="G15782" s="332">
        <v>1815</v>
      </c>
      <c r="H15782" s="333">
        <v>2197</v>
      </c>
    </row>
    <row r="15783" spans="1:8">
      <c r="A15783" s="317">
        <v>3603458008</v>
      </c>
      <c r="B15783" s="330" t="s">
        <v>60135</v>
      </c>
      <c r="C15783" s="330" t="s">
        <v>32601</v>
      </c>
      <c r="D15783" s="330" t="s">
        <v>32602</v>
      </c>
      <c r="E15783" s="330" t="s">
        <v>4634</v>
      </c>
      <c r="F15783" s="331">
        <v>0.21</v>
      </c>
      <c r="G15783" s="332">
        <v>1798</v>
      </c>
      <c r="H15783" s="333">
        <v>2176</v>
      </c>
    </row>
    <row r="15784" spans="1:8">
      <c r="A15784" s="317">
        <v>3603458010</v>
      </c>
      <c r="B15784" s="330" t="s">
        <v>60136</v>
      </c>
      <c r="C15784" s="330" t="s">
        <v>32603</v>
      </c>
      <c r="D15784" s="330" t="s">
        <v>32604</v>
      </c>
      <c r="E15784" s="330" t="s">
        <v>4634</v>
      </c>
      <c r="F15784" s="331">
        <v>0.21</v>
      </c>
      <c r="G15784" s="332">
        <v>3421</v>
      </c>
      <c r="H15784" s="333">
        <v>4140</v>
      </c>
    </row>
    <row r="15785" spans="1:8">
      <c r="A15785" s="317">
        <v>3603462000</v>
      </c>
      <c r="B15785" s="330" t="s">
        <v>60137</v>
      </c>
      <c r="C15785" s="330" t="s">
        <v>32605</v>
      </c>
      <c r="D15785" s="330" t="s">
        <v>32606</v>
      </c>
      <c r="E15785" s="330" t="s">
        <v>4634</v>
      </c>
      <c r="F15785" s="331">
        <v>0.21</v>
      </c>
      <c r="G15785" s="332">
        <v>2881</v>
      </c>
      <c r="H15785" s="333">
        <v>3487</v>
      </c>
    </row>
    <row r="15786" spans="1:8">
      <c r="A15786" s="317">
        <v>3603462004</v>
      </c>
      <c r="B15786" s="330" t="s">
        <v>60138</v>
      </c>
      <c r="C15786" s="330" t="s">
        <v>32607</v>
      </c>
      <c r="D15786" s="330" t="s">
        <v>32608</v>
      </c>
      <c r="E15786" s="330" t="s">
        <v>4634</v>
      </c>
      <c r="F15786" s="331">
        <v>0.21</v>
      </c>
      <c r="G15786" s="332">
        <v>3935</v>
      </c>
      <c r="H15786" s="333">
        <v>4762</v>
      </c>
    </row>
    <row r="15787" spans="1:8">
      <c r="A15787" s="317">
        <v>3603462006</v>
      </c>
      <c r="B15787" s="330" t="s">
        <v>60139</v>
      </c>
      <c r="C15787" s="330" t="s">
        <v>32609</v>
      </c>
      <c r="D15787" s="330" t="s">
        <v>9931</v>
      </c>
      <c r="E15787" s="330" t="s">
        <v>4819</v>
      </c>
      <c r="F15787" s="331">
        <v>0.21</v>
      </c>
      <c r="G15787" s="332">
        <v>25374</v>
      </c>
      <c r="H15787" s="333">
        <v>30703</v>
      </c>
    </row>
    <row r="15788" spans="1:8">
      <c r="A15788" s="317">
        <v>3603462007</v>
      </c>
      <c r="B15788" s="330" t="s">
        <v>60140</v>
      </c>
      <c r="C15788" s="330" t="s">
        <v>32610</v>
      </c>
      <c r="D15788" s="330" t="s">
        <v>32611</v>
      </c>
      <c r="E15788" s="330" t="s">
        <v>4634</v>
      </c>
      <c r="F15788" s="331">
        <v>0.21</v>
      </c>
      <c r="G15788" s="332">
        <v>1547</v>
      </c>
      <c r="H15788" s="333">
        <v>1872</v>
      </c>
    </row>
    <row r="15789" spans="1:8">
      <c r="A15789" s="317">
        <v>3603462010</v>
      </c>
      <c r="B15789" s="330" t="s">
        <v>60141</v>
      </c>
      <c r="C15789" s="330" t="s">
        <v>32612</v>
      </c>
      <c r="D15789" s="330" t="s">
        <v>32613</v>
      </c>
      <c r="E15789" s="330" t="s">
        <v>4634</v>
      </c>
      <c r="F15789" s="331">
        <v>0.21</v>
      </c>
      <c r="G15789" s="332">
        <v>15343</v>
      </c>
      <c r="H15789" s="333">
        <v>18566</v>
      </c>
    </row>
    <row r="15790" spans="1:8">
      <c r="A15790" s="317">
        <v>3603462011</v>
      </c>
      <c r="B15790" s="330" t="s">
        <v>60142</v>
      </c>
      <c r="C15790" s="330" t="s">
        <v>32614</v>
      </c>
      <c r="D15790" s="330" t="s">
        <v>32615</v>
      </c>
      <c r="E15790" s="330" t="s">
        <v>4819</v>
      </c>
      <c r="F15790" s="331">
        <v>0.21</v>
      </c>
      <c r="G15790" s="332">
        <v>5034</v>
      </c>
      <c r="H15790" s="333">
        <v>6092</v>
      </c>
    </row>
    <row r="15791" spans="1:8">
      <c r="A15791" s="317">
        <v>3603462012</v>
      </c>
      <c r="B15791" s="330" t="s">
        <v>60143</v>
      </c>
      <c r="C15791" s="330" t="s">
        <v>32616</v>
      </c>
      <c r="D15791" s="330" t="s">
        <v>32617</v>
      </c>
      <c r="E15791" s="330" t="s">
        <v>4634</v>
      </c>
      <c r="F15791" s="331">
        <v>0.21</v>
      </c>
      <c r="G15791" s="332">
        <v>97</v>
      </c>
      <c r="H15791" s="333">
        <v>118</v>
      </c>
    </row>
    <row r="15792" spans="1:8">
      <c r="A15792" s="317">
        <v>3603463003</v>
      </c>
      <c r="B15792" s="330" t="s">
        <v>60144</v>
      </c>
      <c r="C15792" s="330" t="s">
        <v>32618</v>
      </c>
      <c r="D15792" s="330" t="s">
        <v>7235</v>
      </c>
      <c r="E15792" s="330" t="s">
        <v>4634</v>
      </c>
      <c r="F15792" s="331">
        <v>0.21</v>
      </c>
      <c r="G15792" s="332">
        <v>539</v>
      </c>
      <c r="H15792" s="333">
        <v>653</v>
      </c>
    </row>
    <row r="15793" spans="1:8">
      <c r="A15793" s="317">
        <v>3603463005</v>
      </c>
      <c r="B15793" s="330" t="s">
        <v>60145</v>
      </c>
      <c r="C15793" s="330" t="s">
        <v>32619</v>
      </c>
      <c r="D15793" s="330" t="s">
        <v>32620</v>
      </c>
      <c r="E15793" s="330" t="s">
        <v>4634</v>
      </c>
      <c r="F15793" s="331">
        <v>0.21</v>
      </c>
      <c r="G15793" s="332">
        <v>1008</v>
      </c>
      <c r="H15793" s="333">
        <v>1220</v>
      </c>
    </row>
    <row r="15794" spans="1:8">
      <c r="A15794" s="317">
        <v>3603463503</v>
      </c>
      <c r="B15794" s="330" t="s">
        <v>60146</v>
      </c>
      <c r="C15794" s="330" t="s">
        <v>32621</v>
      </c>
      <c r="D15794" s="330" t="s">
        <v>32622</v>
      </c>
      <c r="E15794" s="330" t="s">
        <v>4634</v>
      </c>
      <c r="F15794" s="331">
        <v>0.21</v>
      </c>
      <c r="G15794" s="332">
        <v>580</v>
      </c>
      <c r="H15794" s="333">
        <v>702</v>
      </c>
    </row>
    <row r="15795" spans="1:8">
      <c r="A15795" s="317">
        <v>3603490001</v>
      </c>
      <c r="B15795" s="330" t="s">
        <v>60147</v>
      </c>
      <c r="C15795" s="330" t="s">
        <v>32623</v>
      </c>
      <c r="D15795" s="330" t="s">
        <v>32624</v>
      </c>
      <c r="E15795" s="330" t="s">
        <v>4634</v>
      </c>
      <c r="F15795" s="331">
        <v>0.21</v>
      </c>
      <c r="G15795" s="332">
        <v>27572</v>
      </c>
      <c r="H15795" s="333">
        <v>33363</v>
      </c>
    </row>
    <row r="15796" spans="1:8">
      <c r="A15796" s="317">
        <v>3603490015</v>
      </c>
      <c r="B15796" s="330" t="s">
        <v>60148</v>
      </c>
      <c r="C15796" s="330" t="s">
        <v>32625</v>
      </c>
      <c r="D15796" s="330" t="s">
        <v>32626</v>
      </c>
      <c r="E15796" s="330" t="s">
        <v>4634</v>
      </c>
      <c r="F15796" s="331">
        <v>0.21</v>
      </c>
      <c r="G15796" s="332">
        <v>816</v>
      </c>
      <c r="H15796" s="333">
        <v>988</v>
      </c>
    </row>
    <row r="15797" spans="1:8">
      <c r="A15797" s="317">
        <v>3603490016</v>
      </c>
      <c r="B15797" s="330" t="s">
        <v>60149</v>
      </c>
      <c r="C15797" s="330" t="s">
        <v>32627</v>
      </c>
      <c r="D15797" s="330" t="s">
        <v>32628</v>
      </c>
      <c r="E15797" s="330" t="s">
        <v>4634</v>
      </c>
      <c r="F15797" s="331">
        <v>0.21</v>
      </c>
      <c r="G15797" s="332">
        <v>3056</v>
      </c>
      <c r="H15797" s="333">
        <v>3698</v>
      </c>
    </row>
    <row r="15798" spans="1:8">
      <c r="A15798" s="317">
        <v>3603490017</v>
      </c>
      <c r="B15798" s="330" t="s">
        <v>60150</v>
      </c>
      <c r="C15798" s="330" t="s">
        <v>32629</v>
      </c>
      <c r="D15798" s="330" t="s">
        <v>32630</v>
      </c>
      <c r="E15798" s="330" t="s">
        <v>4634</v>
      </c>
      <c r="F15798" s="331">
        <v>0.21</v>
      </c>
      <c r="G15798" s="332">
        <v>3047</v>
      </c>
      <c r="H15798" s="333">
        <v>3687</v>
      </c>
    </row>
    <row r="15799" spans="1:8">
      <c r="A15799" s="317">
        <v>3603490020</v>
      </c>
      <c r="B15799" s="330" t="s">
        <v>60151</v>
      </c>
      <c r="C15799" s="330" t="s">
        <v>32631</v>
      </c>
      <c r="D15799" s="330" t="s">
        <v>32632</v>
      </c>
      <c r="E15799" s="330" t="s">
        <v>4819</v>
      </c>
      <c r="F15799" s="331">
        <v>0.21</v>
      </c>
      <c r="G15799" s="332">
        <v>7430</v>
      </c>
      <c r="H15799" s="333">
        <v>8991</v>
      </c>
    </row>
    <row r="15800" spans="1:8">
      <c r="A15800" s="317">
        <v>3603521000</v>
      </c>
      <c r="B15800" s="330" t="s">
        <v>60152</v>
      </c>
      <c r="C15800" s="330" t="s">
        <v>32633</v>
      </c>
      <c r="D15800" s="330" t="s">
        <v>32634</v>
      </c>
      <c r="E15800" s="330" t="s">
        <v>4634</v>
      </c>
      <c r="F15800" s="331">
        <v>0.21</v>
      </c>
      <c r="G15800" s="332">
        <v>570</v>
      </c>
      <c r="H15800" s="333">
        <v>690</v>
      </c>
    </row>
    <row r="15801" spans="1:8">
      <c r="A15801" s="317">
        <v>3603523008</v>
      </c>
      <c r="B15801" s="330" t="s">
        <v>60153</v>
      </c>
      <c r="C15801" s="330" t="s">
        <v>32635</v>
      </c>
      <c r="D15801" s="330" t="s">
        <v>32636</v>
      </c>
      <c r="E15801" s="330" t="s">
        <v>4819</v>
      </c>
      <c r="F15801" s="331">
        <v>0.21</v>
      </c>
      <c r="G15801" s="332">
        <v>28605</v>
      </c>
      <c r="H15801" s="333">
        <v>34613</v>
      </c>
    </row>
    <row r="15802" spans="1:8">
      <c r="A15802" s="317">
        <v>3603523013</v>
      </c>
      <c r="B15802" s="330" t="s">
        <v>60154</v>
      </c>
      <c r="C15802" s="330" t="s">
        <v>32637</v>
      </c>
      <c r="D15802" s="330" t="s">
        <v>32638</v>
      </c>
      <c r="E15802" s="330" t="s">
        <v>4634</v>
      </c>
      <c r="F15802" s="331">
        <v>0.21</v>
      </c>
      <c r="G15802" s="332">
        <v>3421</v>
      </c>
      <c r="H15802" s="333">
        <v>4140</v>
      </c>
    </row>
    <row r="15803" spans="1:8">
      <c r="A15803" s="317">
        <v>3603523016</v>
      </c>
      <c r="B15803" s="330" t="s">
        <v>60155</v>
      </c>
      <c r="C15803" s="330" t="s">
        <v>32639</v>
      </c>
      <c r="D15803" s="330" t="s">
        <v>32640</v>
      </c>
      <c r="E15803" s="330" t="s">
        <v>4819</v>
      </c>
      <c r="F15803" s="331">
        <v>0.21</v>
      </c>
      <c r="G15803" s="332">
        <v>73970</v>
      </c>
      <c r="H15803" s="333">
        <v>89504</v>
      </c>
    </row>
    <row r="15804" spans="1:8">
      <c r="A15804" s="317">
        <v>3603523030</v>
      </c>
      <c r="B15804" s="330" t="s">
        <v>60156</v>
      </c>
      <c r="C15804" s="330" t="s">
        <v>32641</v>
      </c>
      <c r="D15804" s="330" t="s">
        <v>32642</v>
      </c>
      <c r="E15804" s="330" t="s">
        <v>4634</v>
      </c>
      <c r="F15804" s="331">
        <v>0.21</v>
      </c>
      <c r="G15804" s="332">
        <v>9866</v>
      </c>
      <c r="H15804" s="333">
        <v>11938</v>
      </c>
    </row>
    <row r="15805" spans="1:8">
      <c r="A15805" s="317">
        <v>3603523032</v>
      </c>
      <c r="B15805" s="330" t="s">
        <v>60157</v>
      </c>
      <c r="C15805" s="330" t="s">
        <v>32643</v>
      </c>
      <c r="D15805" s="330" t="s">
        <v>32644</v>
      </c>
      <c r="E15805" s="330" t="s">
        <v>4634</v>
      </c>
      <c r="F15805" s="331">
        <v>0.21</v>
      </c>
      <c r="G15805" s="332">
        <v>14143</v>
      </c>
      <c r="H15805" s="333">
        <v>17114</v>
      </c>
    </row>
    <row r="15806" spans="1:8">
      <c r="A15806" s="317">
        <v>3603523034</v>
      </c>
      <c r="B15806" s="330" t="s">
        <v>60158</v>
      </c>
      <c r="C15806" s="330" t="s">
        <v>32645</v>
      </c>
      <c r="D15806" s="330" t="s">
        <v>32646</v>
      </c>
      <c r="E15806" s="330" t="s">
        <v>4634</v>
      </c>
      <c r="F15806" s="331">
        <v>0.21</v>
      </c>
      <c r="G15806" s="332">
        <v>24460</v>
      </c>
      <c r="H15806" s="333">
        <v>29597</v>
      </c>
    </row>
    <row r="15807" spans="1:8">
      <c r="A15807" s="317">
        <v>3603523035</v>
      </c>
      <c r="B15807" s="330" t="s">
        <v>60159</v>
      </c>
      <c r="C15807" s="330" t="s">
        <v>32647</v>
      </c>
      <c r="D15807" s="330" t="s">
        <v>32646</v>
      </c>
      <c r="E15807" s="330" t="s">
        <v>4634</v>
      </c>
      <c r="F15807" s="331">
        <v>0.21</v>
      </c>
      <c r="G15807" s="332">
        <v>52601</v>
      </c>
      <c r="H15807" s="333">
        <v>63648</v>
      </c>
    </row>
    <row r="15808" spans="1:8">
      <c r="A15808" s="317">
        <v>3603523037</v>
      </c>
      <c r="B15808" s="330" t="s">
        <v>60160</v>
      </c>
      <c r="C15808" s="330" t="s">
        <v>32648</v>
      </c>
      <c r="D15808" s="330" t="s">
        <v>32646</v>
      </c>
      <c r="E15808" s="330" t="s">
        <v>4634</v>
      </c>
      <c r="F15808" s="331">
        <v>0.21</v>
      </c>
      <c r="G15808" s="332">
        <v>37186</v>
      </c>
      <c r="H15808" s="333">
        <v>44996</v>
      </c>
    </row>
    <row r="15809" spans="1:8">
      <c r="A15809" s="317">
        <v>3603523039</v>
      </c>
      <c r="B15809" s="330" t="s">
        <v>60161</v>
      </c>
      <c r="C15809" s="330" t="s">
        <v>32649</v>
      </c>
      <c r="D15809" s="330" t="s">
        <v>32650</v>
      </c>
      <c r="E15809" s="330" t="s">
        <v>4634</v>
      </c>
      <c r="F15809" s="331">
        <v>0.21</v>
      </c>
      <c r="G15809" s="332">
        <v>10339</v>
      </c>
      <c r="H15809" s="333">
        <v>12511</v>
      </c>
    </row>
    <row r="15810" spans="1:8">
      <c r="A15810" s="317">
        <v>3603523041</v>
      </c>
      <c r="B15810" s="330" t="s">
        <v>60162</v>
      </c>
      <c r="C15810" s="330" t="s">
        <v>32651</v>
      </c>
      <c r="D15810" s="330" t="s">
        <v>32652</v>
      </c>
      <c r="E15810" s="330" t="s">
        <v>4819</v>
      </c>
      <c r="F15810" s="331">
        <v>0.21</v>
      </c>
      <c r="G15810" s="332">
        <v>50968</v>
      </c>
      <c r="H15810" s="333">
        <v>61672</v>
      </c>
    </row>
    <row r="15811" spans="1:8">
      <c r="A15811" s="317">
        <v>3603523042</v>
      </c>
      <c r="B15811" s="330" t="s">
        <v>60163</v>
      </c>
      <c r="C15811" s="330" t="s">
        <v>32653</v>
      </c>
      <c r="D15811" s="330" t="s">
        <v>32654</v>
      </c>
      <c r="E15811" s="330" t="s">
        <v>4634</v>
      </c>
      <c r="F15811" s="331">
        <v>0.21</v>
      </c>
      <c r="G15811" s="332">
        <v>20672</v>
      </c>
      <c r="H15811" s="333">
        <v>25014</v>
      </c>
    </row>
    <row r="15812" spans="1:8">
      <c r="A15812" s="317">
        <v>3603523047</v>
      </c>
      <c r="B15812" s="330" t="s">
        <v>60164</v>
      </c>
      <c r="C15812" s="330" t="s">
        <v>32655</v>
      </c>
      <c r="D15812" s="330" t="s">
        <v>5334</v>
      </c>
      <c r="E15812" s="330" t="s">
        <v>4623</v>
      </c>
      <c r="F15812" s="331">
        <v>0.21</v>
      </c>
      <c r="G15812" s="332">
        <v>44546</v>
      </c>
      <c r="H15812" s="333">
        <v>53901</v>
      </c>
    </row>
    <row r="15813" spans="1:8">
      <c r="A15813" s="317">
        <v>3603523070</v>
      </c>
      <c r="B15813" s="330" t="s">
        <v>60165</v>
      </c>
      <c r="C15813" s="330" t="s">
        <v>32656</v>
      </c>
      <c r="D15813" s="330" t="s">
        <v>5334</v>
      </c>
      <c r="E15813" s="330" t="s">
        <v>37248</v>
      </c>
      <c r="F15813" s="331">
        <v>0.21</v>
      </c>
      <c r="G15813" s="332">
        <v>20826</v>
      </c>
      <c r="H15813" s="333">
        <v>25200</v>
      </c>
    </row>
    <row r="15814" spans="1:8">
      <c r="A15814" s="317">
        <v>3604010037</v>
      </c>
      <c r="B15814" s="330" t="s">
        <v>60166</v>
      </c>
      <c r="C15814" s="330" t="s">
        <v>32657</v>
      </c>
      <c r="D15814" s="330" t="s">
        <v>32658</v>
      </c>
      <c r="E15814" s="330" t="s">
        <v>4634</v>
      </c>
      <c r="F15814" s="331">
        <v>0.21</v>
      </c>
      <c r="G15814" s="332">
        <v>27773</v>
      </c>
      <c r="H15814" s="333">
        <v>33606</v>
      </c>
    </row>
    <row r="15815" spans="1:8">
      <c r="A15815" s="317">
        <v>3604010064</v>
      </c>
      <c r="B15815" s="330" t="s">
        <v>60167</v>
      </c>
      <c r="C15815" s="330" t="s">
        <v>32659</v>
      </c>
      <c r="D15815" s="330" t="s">
        <v>32660</v>
      </c>
      <c r="E15815" s="330" t="s">
        <v>4634</v>
      </c>
      <c r="F15815" s="331">
        <v>0.21</v>
      </c>
      <c r="G15815" s="332">
        <v>46348</v>
      </c>
      <c r="H15815" s="333">
        <v>56082</v>
      </c>
    </row>
    <row r="15816" spans="1:8">
      <c r="A15816" s="317">
        <v>3604010088</v>
      </c>
      <c r="B15816" s="330" t="s">
        <v>60168</v>
      </c>
      <c r="C15816" s="330" t="s">
        <v>32661</v>
      </c>
      <c r="D15816" s="330" t="s">
        <v>32662</v>
      </c>
      <c r="E15816" s="330" t="s">
        <v>4634</v>
      </c>
      <c r="F15816" s="331">
        <v>0.21</v>
      </c>
      <c r="G15816" s="332">
        <v>124468</v>
      </c>
      <c r="H15816" s="333">
        <v>150607</v>
      </c>
    </row>
    <row r="15817" spans="1:8">
      <c r="A15817" s="317">
        <v>3604010501</v>
      </c>
      <c r="B15817" s="330" t="s">
        <v>60169</v>
      </c>
      <c r="C15817" s="330" t="s">
        <v>32663</v>
      </c>
      <c r="D15817" s="330" t="s">
        <v>32664</v>
      </c>
      <c r="E15817" s="330" t="s">
        <v>4634</v>
      </c>
      <c r="F15817" s="331">
        <v>0.21</v>
      </c>
      <c r="G15817" s="332">
        <v>34195</v>
      </c>
      <c r="H15817" s="333">
        <v>41376</v>
      </c>
    </row>
    <row r="15818" spans="1:8">
      <c r="A15818" s="317">
        <v>3604011523</v>
      </c>
      <c r="B15818" s="330" t="s">
        <v>60170</v>
      </c>
      <c r="C15818" s="330" t="s">
        <v>32665</v>
      </c>
      <c r="D15818" s="330" t="s">
        <v>32666</v>
      </c>
      <c r="E15818" s="330" t="s">
        <v>4634</v>
      </c>
      <c r="F15818" s="331">
        <v>0.21</v>
      </c>
      <c r="G15818" s="332">
        <v>175980</v>
      </c>
      <c r="H15818" s="333">
        <v>212936</v>
      </c>
    </row>
    <row r="15819" spans="1:8">
      <c r="A15819" s="317">
        <v>3604011587</v>
      </c>
      <c r="B15819" s="330" t="s">
        <v>60171</v>
      </c>
      <c r="C15819" s="330" t="s">
        <v>32667</v>
      </c>
      <c r="D15819" s="330" t="s">
        <v>32668</v>
      </c>
      <c r="E15819" s="330" t="s">
        <v>37248</v>
      </c>
      <c r="F15819" s="331">
        <v>0.21</v>
      </c>
      <c r="G15819" s="332">
        <v>69345</v>
      </c>
      <c r="H15819" s="333">
        <v>83908</v>
      </c>
    </row>
    <row r="15820" spans="1:8">
      <c r="A15820" s="317">
        <v>3604011621</v>
      </c>
      <c r="B15820" s="330" t="s">
        <v>60172</v>
      </c>
      <c r="C15820" s="330" t="s">
        <v>32669</v>
      </c>
      <c r="D15820" s="330" t="s">
        <v>32670</v>
      </c>
      <c r="E15820" s="330" t="s">
        <v>4634</v>
      </c>
      <c r="F15820" s="331">
        <v>0.21</v>
      </c>
      <c r="G15820" s="332">
        <v>68018</v>
      </c>
      <c r="H15820" s="333">
        <v>82302</v>
      </c>
    </row>
    <row r="15821" spans="1:8">
      <c r="A15821" s="317">
        <v>3604080018</v>
      </c>
      <c r="B15821" s="330" t="s">
        <v>60173</v>
      </c>
      <c r="C15821" s="330" t="s">
        <v>32671</v>
      </c>
      <c r="D15821" s="330" t="s">
        <v>32672</v>
      </c>
      <c r="E15821" s="330" t="s">
        <v>4634</v>
      </c>
      <c r="F15821" s="331">
        <v>0.21</v>
      </c>
      <c r="G15821" s="332">
        <v>52601</v>
      </c>
      <c r="H15821" s="333">
        <v>63648</v>
      </c>
    </row>
    <row r="15822" spans="1:8">
      <c r="A15822" s="317">
        <v>3604080024</v>
      </c>
      <c r="B15822" s="330" t="s">
        <v>60174</v>
      </c>
      <c r="C15822" s="330" t="s">
        <v>32673</v>
      </c>
      <c r="D15822" s="330" t="s">
        <v>32674</v>
      </c>
      <c r="E15822" s="330" t="s">
        <v>4634</v>
      </c>
      <c r="F15822" s="331">
        <v>0.21</v>
      </c>
      <c r="G15822" s="332">
        <v>76218</v>
      </c>
      <c r="H15822" s="333">
        <v>92224</v>
      </c>
    </row>
    <row r="15823" spans="1:8">
      <c r="A15823" s="317">
        <v>3604080025</v>
      </c>
      <c r="B15823" s="330" t="s">
        <v>60175</v>
      </c>
      <c r="C15823" s="330" t="s">
        <v>32675</v>
      </c>
      <c r="D15823" s="330" t="s">
        <v>32676</v>
      </c>
      <c r="E15823" s="330" t="s">
        <v>4634</v>
      </c>
      <c r="F15823" s="331">
        <v>0.21</v>
      </c>
      <c r="G15823" s="332">
        <v>77923</v>
      </c>
      <c r="H15823" s="333">
        <v>94287</v>
      </c>
    </row>
    <row r="15824" spans="1:8">
      <c r="A15824" s="317">
        <v>3604080037</v>
      </c>
      <c r="B15824" s="330" t="s">
        <v>60176</v>
      </c>
      <c r="C15824" s="330" t="s">
        <v>32677</v>
      </c>
      <c r="D15824" s="330" t="s">
        <v>32678</v>
      </c>
      <c r="E15824" s="330" t="s">
        <v>4634</v>
      </c>
      <c r="F15824" s="331">
        <v>0.21</v>
      </c>
      <c r="G15824" s="332">
        <v>112395</v>
      </c>
      <c r="H15824" s="333">
        <v>135998</v>
      </c>
    </row>
    <row r="15825" spans="1:8">
      <c r="A15825" s="317">
        <v>3604080044</v>
      </c>
      <c r="B15825" s="330" t="s">
        <v>60177</v>
      </c>
      <c r="C15825" s="330" t="s">
        <v>32679</v>
      </c>
      <c r="D15825" s="330" t="s">
        <v>32680</v>
      </c>
      <c r="E15825" s="330" t="s">
        <v>4634</v>
      </c>
      <c r="F15825" s="331">
        <v>0.21</v>
      </c>
      <c r="G15825" s="332">
        <v>45231</v>
      </c>
      <c r="H15825" s="333">
        <v>54730</v>
      </c>
    </row>
    <row r="15826" spans="1:8">
      <c r="A15826" s="317">
        <v>3604080053</v>
      </c>
      <c r="B15826" s="330" t="s">
        <v>60178</v>
      </c>
      <c r="C15826" s="330" t="s">
        <v>32681</v>
      </c>
      <c r="D15826" s="330" t="s">
        <v>32682</v>
      </c>
      <c r="E15826" s="330" t="s">
        <v>4634</v>
      </c>
      <c r="F15826" s="331">
        <v>0.21</v>
      </c>
      <c r="G15826" s="332">
        <v>33497</v>
      </c>
      <c r="H15826" s="333">
        <v>40532</v>
      </c>
    </row>
    <row r="15827" spans="1:8">
      <c r="A15827" s="317">
        <v>3604080054</v>
      </c>
      <c r="B15827" s="330" t="s">
        <v>60179</v>
      </c>
      <c r="C15827" s="330" t="s">
        <v>32683</v>
      </c>
      <c r="D15827" s="330" t="s">
        <v>32684</v>
      </c>
      <c r="E15827" s="330" t="s">
        <v>4634</v>
      </c>
      <c r="F15827" s="331">
        <v>0.21</v>
      </c>
      <c r="G15827" s="332">
        <v>52601</v>
      </c>
      <c r="H15827" s="333">
        <v>63648</v>
      </c>
    </row>
    <row r="15828" spans="1:8">
      <c r="A15828" s="317">
        <v>3604080055</v>
      </c>
      <c r="B15828" s="330" t="s">
        <v>60180</v>
      </c>
      <c r="C15828" s="330" t="s">
        <v>32685</v>
      </c>
      <c r="D15828" s="330" t="s">
        <v>32684</v>
      </c>
      <c r="E15828" s="330" t="s">
        <v>4819</v>
      </c>
      <c r="F15828" s="331">
        <v>0.21</v>
      </c>
      <c r="G15828" s="332">
        <v>120628</v>
      </c>
      <c r="H15828" s="333">
        <v>145960</v>
      </c>
    </row>
    <row r="15829" spans="1:8">
      <c r="A15829" s="317">
        <v>3604080070</v>
      </c>
      <c r="B15829" s="330" t="s">
        <v>60181</v>
      </c>
      <c r="C15829" s="330" t="s">
        <v>32686</v>
      </c>
      <c r="D15829" s="330" t="s">
        <v>32687</v>
      </c>
      <c r="E15829" s="330" t="s">
        <v>4634</v>
      </c>
      <c r="F15829" s="331">
        <v>0.21</v>
      </c>
      <c r="G15829" s="332">
        <v>88365</v>
      </c>
      <c r="H15829" s="333">
        <v>106922</v>
      </c>
    </row>
    <row r="15830" spans="1:8">
      <c r="A15830" s="317">
        <v>3604090009</v>
      </c>
      <c r="B15830" s="330" t="s">
        <v>60182</v>
      </c>
      <c r="C15830" s="330" t="s">
        <v>32688</v>
      </c>
      <c r="D15830" s="330" t="s">
        <v>32689</v>
      </c>
      <c r="E15830" s="330" t="s">
        <v>4634</v>
      </c>
      <c r="F15830" s="331">
        <v>0.21</v>
      </c>
      <c r="G15830" s="332">
        <v>19644</v>
      </c>
      <c r="H15830" s="333">
        <v>23770</v>
      </c>
    </row>
    <row r="15831" spans="1:8">
      <c r="A15831" s="317">
        <v>3604090022</v>
      </c>
      <c r="B15831" s="330" t="s">
        <v>60183</v>
      </c>
      <c r="C15831" s="330" t="s">
        <v>32690</v>
      </c>
      <c r="D15831" s="330" t="s">
        <v>8006</v>
      </c>
      <c r="E15831" s="330" t="s">
        <v>4634</v>
      </c>
      <c r="F15831" s="331">
        <v>0.21</v>
      </c>
      <c r="G15831" s="332">
        <v>42397</v>
      </c>
      <c r="H15831" s="333">
        <v>51301</v>
      </c>
    </row>
    <row r="15832" spans="1:8">
      <c r="A15832" s="317">
        <v>3604090023</v>
      </c>
      <c r="B15832" s="330" t="s">
        <v>60184</v>
      </c>
      <c r="C15832" s="330" t="s">
        <v>32691</v>
      </c>
      <c r="D15832" s="330" t="s">
        <v>32692</v>
      </c>
      <c r="E15832" s="330" t="s">
        <v>4634</v>
      </c>
      <c r="F15832" s="331">
        <v>0.21</v>
      </c>
      <c r="G15832" s="332">
        <v>42770</v>
      </c>
      <c r="H15832" s="333">
        <v>51752</v>
      </c>
    </row>
    <row r="15833" spans="1:8">
      <c r="A15833" s="317">
        <v>3604090029</v>
      </c>
      <c r="B15833" s="330" t="s">
        <v>60185</v>
      </c>
      <c r="C15833" s="330" t="s">
        <v>32693</v>
      </c>
      <c r="D15833" s="330" t="s">
        <v>32694</v>
      </c>
      <c r="E15833" s="330" t="s">
        <v>4634</v>
      </c>
      <c r="F15833" s="331">
        <v>0.21</v>
      </c>
      <c r="G15833" s="332">
        <v>4737</v>
      </c>
      <c r="H15833" s="333">
        <v>5732</v>
      </c>
    </row>
    <row r="15834" spans="1:8">
      <c r="A15834" s="317">
        <v>3604090034</v>
      </c>
      <c r="B15834" s="330" t="s">
        <v>60186</v>
      </c>
      <c r="C15834" s="330" t="s">
        <v>32695</v>
      </c>
      <c r="D15834" s="330" t="s">
        <v>8006</v>
      </c>
      <c r="E15834" s="330" t="s">
        <v>4634</v>
      </c>
      <c r="F15834" s="331">
        <v>0.21</v>
      </c>
      <c r="G15834" s="332">
        <v>5344</v>
      </c>
      <c r="H15834" s="333">
        <v>6467</v>
      </c>
    </row>
    <row r="15835" spans="1:8">
      <c r="A15835" s="317">
        <v>3604090044</v>
      </c>
      <c r="B15835" s="330" t="s">
        <v>60187</v>
      </c>
      <c r="C15835" s="330" t="s">
        <v>32696</v>
      </c>
      <c r="D15835" s="330" t="s">
        <v>32697</v>
      </c>
      <c r="E15835" s="330" t="s">
        <v>4634</v>
      </c>
      <c r="F15835" s="331">
        <v>0.21</v>
      </c>
      <c r="G15835" s="332">
        <v>19753</v>
      </c>
      <c r="H15835" s="333">
        <v>23902</v>
      </c>
    </row>
    <row r="15836" spans="1:8">
      <c r="A15836" s="317">
        <v>3604090046</v>
      </c>
      <c r="B15836" s="330" t="s">
        <v>60188</v>
      </c>
      <c r="C15836" s="330" t="s">
        <v>32698</v>
      </c>
      <c r="D15836" s="330" t="s">
        <v>32699</v>
      </c>
      <c r="E15836" s="330" t="s">
        <v>4634</v>
      </c>
      <c r="F15836" s="331">
        <v>0.21</v>
      </c>
      <c r="G15836" s="332">
        <v>22666</v>
      </c>
      <c r="H15836" s="333">
        <v>27426</v>
      </c>
    </row>
    <row r="15837" spans="1:8">
      <c r="A15837" s="317">
        <v>3604090049</v>
      </c>
      <c r="B15837" s="330" t="s">
        <v>60189</v>
      </c>
      <c r="C15837" s="330" t="s">
        <v>32700</v>
      </c>
      <c r="D15837" s="330" t="s">
        <v>32701</v>
      </c>
      <c r="E15837" s="330" t="s">
        <v>4634</v>
      </c>
      <c r="F15837" s="331">
        <v>0.21</v>
      </c>
      <c r="G15837" s="332">
        <v>26242</v>
      </c>
      <c r="H15837" s="333">
        <v>31753</v>
      </c>
    </row>
    <row r="15838" spans="1:8">
      <c r="A15838" s="317">
        <v>3604090057</v>
      </c>
      <c r="B15838" s="330" t="s">
        <v>60190</v>
      </c>
      <c r="C15838" s="330" t="s">
        <v>32702</v>
      </c>
      <c r="D15838" s="330" t="s">
        <v>32703</v>
      </c>
      <c r="E15838" s="330" t="s">
        <v>4634</v>
      </c>
      <c r="F15838" s="331">
        <v>0.21</v>
      </c>
      <c r="G15838" s="332">
        <v>12789</v>
      </c>
      <c r="H15838" s="333">
        <v>15475</v>
      </c>
    </row>
    <row r="15839" spans="1:8">
      <c r="A15839" s="317">
        <v>3604090064</v>
      </c>
      <c r="B15839" s="330" t="s">
        <v>60191</v>
      </c>
      <c r="C15839" s="330" t="s">
        <v>32704</v>
      </c>
      <c r="D15839" s="330" t="s">
        <v>32705</v>
      </c>
      <c r="E15839" s="330" t="s">
        <v>4634</v>
      </c>
      <c r="F15839" s="331">
        <v>0.21</v>
      </c>
      <c r="G15839" s="332">
        <v>59985</v>
      </c>
      <c r="H15839" s="333">
        <v>72582</v>
      </c>
    </row>
    <row r="15840" spans="1:8">
      <c r="A15840" s="317">
        <v>3604220021</v>
      </c>
      <c r="B15840" s="330" t="s">
        <v>60192</v>
      </c>
      <c r="C15840" s="330" t="s">
        <v>32706</v>
      </c>
      <c r="D15840" s="330" t="s">
        <v>5155</v>
      </c>
      <c r="E15840" s="330" t="s">
        <v>4634</v>
      </c>
      <c r="F15840" s="331">
        <v>0.21</v>
      </c>
      <c r="G15840" s="332">
        <v>27598</v>
      </c>
      <c r="H15840" s="333">
        <v>33394</v>
      </c>
    </row>
    <row r="15841" spans="1:8">
      <c r="A15841" s="317">
        <v>3604220033</v>
      </c>
      <c r="B15841" s="330" t="s">
        <v>60193</v>
      </c>
      <c r="C15841" s="330" t="s">
        <v>32707</v>
      </c>
      <c r="D15841" s="330" t="s">
        <v>32708</v>
      </c>
      <c r="E15841" s="330" t="s">
        <v>4634</v>
      </c>
      <c r="F15841" s="331">
        <v>0.21</v>
      </c>
      <c r="G15841" s="332">
        <v>27572</v>
      </c>
      <c r="H15841" s="333">
        <v>33363</v>
      </c>
    </row>
    <row r="15842" spans="1:8">
      <c r="A15842" s="317">
        <v>3604220034</v>
      </c>
      <c r="B15842" s="330" t="s">
        <v>60194</v>
      </c>
      <c r="C15842" s="330" t="s">
        <v>32709</v>
      </c>
      <c r="D15842" s="330" t="s">
        <v>32710</v>
      </c>
      <c r="E15842" s="330" t="s">
        <v>4634</v>
      </c>
      <c r="F15842" s="331">
        <v>0.21</v>
      </c>
      <c r="G15842" s="332">
        <v>18631</v>
      </c>
      <c r="H15842" s="333">
        <v>22544</v>
      </c>
    </row>
    <row r="15843" spans="1:8">
      <c r="A15843" s="317">
        <v>3604220039</v>
      </c>
      <c r="B15843" s="330" t="s">
        <v>60195</v>
      </c>
      <c r="C15843" s="330" t="s">
        <v>32711</v>
      </c>
      <c r="D15843" s="330" t="s">
        <v>32712</v>
      </c>
      <c r="E15843" s="330" t="s">
        <v>4634</v>
      </c>
      <c r="F15843" s="331">
        <v>0.21</v>
      </c>
      <c r="G15843" s="332">
        <v>19644</v>
      </c>
      <c r="H15843" s="333">
        <v>23770</v>
      </c>
    </row>
    <row r="15844" spans="1:8">
      <c r="A15844" s="317">
        <v>3604220042</v>
      </c>
      <c r="B15844" s="330" t="s">
        <v>60196</v>
      </c>
      <c r="C15844" s="330" t="s">
        <v>32713</v>
      </c>
      <c r="D15844" s="330" t="s">
        <v>32714</v>
      </c>
      <c r="E15844" s="330" t="s">
        <v>4634</v>
      </c>
      <c r="F15844" s="331">
        <v>0.21</v>
      </c>
      <c r="G15844" s="332">
        <v>42397</v>
      </c>
      <c r="H15844" s="333">
        <v>51301</v>
      </c>
    </row>
    <row r="15845" spans="1:8">
      <c r="A15845" s="317">
        <v>3604220043</v>
      </c>
      <c r="B15845" s="330" t="s">
        <v>60197</v>
      </c>
      <c r="C15845" s="330" t="s">
        <v>32715</v>
      </c>
      <c r="D15845" s="330" t="s">
        <v>32716</v>
      </c>
      <c r="E15845" s="330" t="s">
        <v>4634</v>
      </c>
      <c r="F15845" s="331">
        <v>0.21</v>
      </c>
      <c r="G15845" s="332">
        <v>31859</v>
      </c>
      <c r="H15845" s="333">
        <v>38550</v>
      </c>
    </row>
    <row r="15846" spans="1:8">
      <c r="A15846" s="317">
        <v>3604220044</v>
      </c>
      <c r="B15846" s="330" t="s">
        <v>60198</v>
      </c>
      <c r="C15846" s="330" t="s">
        <v>32717</v>
      </c>
      <c r="D15846" s="330" t="s">
        <v>32718</v>
      </c>
      <c r="E15846" s="330" t="s">
        <v>4634</v>
      </c>
      <c r="F15846" s="331">
        <v>0.21</v>
      </c>
      <c r="G15846" s="332">
        <v>21787</v>
      </c>
      <c r="H15846" s="333">
        <v>26363</v>
      </c>
    </row>
    <row r="15847" spans="1:8">
      <c r="A15847" s="317">
        <v>3604220046</v>
      </c>
      <c r="B15847" s="330" t="s">
        <v>60199</v>
      </c>
      <c r="C15847" s="330" t="s">
        <v>32719</v>
      </c>
      <c r="D15847" s="330" t="s">
        <v>32720</v>
      </c>
      <c r="E15847" s="330" t="s">
        <v>4634</v>
      </c>
      <c r="F15847" s="331">
        <v>0.21</v>
      </c>
      <c r="G15847" s="332">
        <v>30615</v>
      </c>
      <c r="H15847" s="333">
        <v>37045</v>
      </c>
    </row>
    <row r="15848" spans="1:8">
      <c r="A15848" s="317">
        <v>3604220047</v>
      </c>
      <c r="B15848" s="330" t="s">
        <v>60200</v>
      </c>
      <c r="C15848" s="330" t="s">
        <v>32721</v>
      </c>
      <c r="D15848" s="330" t="s">
        <v>32722</v>
      </c>
      <c r="E15848" s="330" t="s">
        <v>4634</v>
      </c>
      <c r="F15848" s="331">
        <v>0.21</v>
      </c>
      <c r="G15848" s="332">
        <v>24460</v>
      </c>
      <c r="H15848" s="333">
        <v>29597</v>
      </c>
    </row>
    <row r="15849" spans="1:8">
      <c r="A15849" s="317">
        <v>3604220061</v>
      </c>
      <c r="B15849" s="330" t="s">
        <v>60201</v>
      </c>
      <c r="C15849" s="330" t="s">
        <v>32723</v>
      </c>
      <c r="D15849" s="330" t="s">
        <v>32724</v>
      </c>
      <c r="E15849" s="330" t="s">
        <v>4634</v>
      </c>
      <c r="F15849" s="331">
        <v>0.21</v>
      </c>
      <c r="G15849" s="332">
        <v>28919</v>
      </c>
      <c r="H15849" s="333">
        <v>34992</v>
      </c>
    </row>
    <row r="15850" spans="1:8">
      <c r="A15850" s="317">
        <v>3604220069</v>
      </c>
      <c r="B15850" s="330" t="s">
        <v>60202</v>
      </c>
      <c r="C15850" s="330" t="s">
        <v>32725</v>
      </c>
      <c r="D15850" s="330" t="s">
        <v>32726</v>
      </c>
      <c r="E15850" s="330" t="s">
        <v>4634</v>
      </c>
      <c r="F15850" s="331">
        <v>0.21</v>
      </c>
      <c r="G15850" s="332">
        <v>903</v>
      </c>
      <c r="H15850" s="333">
        <v>1093</v>
      </c>
    </row>
    <row r="15851" spans="1:8">
      <c r="A15851" s="317">
        <v>3604220077</v>
      </c>
      <c r="B15851" s="330" t="s">
        <v>60203</v>
      </c>
      <c r="C15851" s="330" t="s">
        <v>32727</v>
      </c>
      <c r="D15851" s="330" t="s">
        <v>32728</v>
      </c>
      <c r="E15851" s="330" t="s">
        <v>4634</v>
      </c>
      <c r="F15851" s="331">
        <v>0.21</v>
      </c>
      <c r="G15851" s="332">
        <v>19644</v>
      </c>
      <c r="H15851" s="333">
        <v>23770</v>
      </c>
    </row>
    <row r="15852" spans="1:8">
      <c r="A15852" s="317">
        <v>3604220078</v>
      </c>
      <c r="B15852" s="330" t="s">
        <v>60204</v>
      </c>
      <c r="C15852" s="330" t="s">
        <v>32729</v>
      </c>
      <c r="D15852" s="330" t="s">
        <v>32730</v>
      </c>
      <c r="E15852" s="330" t="s">
        <v>4634</v>
      </c>
      <c r="F15852" s="331">
        <v>0.21</v>
      </c>
      <c r="G15852" s="332">
        <v>42397</v>
      </c>
      <c r="H15852" s="333">
        <v>51301</v>
      </c>
    </row>
    <row r="15853" spans="1:8">
      <c r="A15853" s="317">
        <v>3604220085</v>
      </c>
      <c r="B15853" s="330" t="s">
        <v>60205</v>
      </c>
      <c r="C15853" s="330" t="s">
        <v>32731</v>
      </c>
      <c r="D15853" s="330" t="s">
        <v>5155</v>
      </c>
      <c r="E15853" s="330" t="s">
        <v>4634</v>
      </c>
      <c r="F15853" s="331">
        <v>0.21</v>
      </c>
      <c r="G15853" s="332">
        <v>31864</v>
      </c>
      <c r="H15853" s="333">
        <v>38556</v>
      </c>
    </row>
    <row r="15854" spans="1:8">
      <c r="A15854" s="317">
        <v>3604220092</v>
      </c>
      <c r="B15854" s="330" t="s">
        <v>60206</v>
      </c>
      <c r="C15854" s="330" t="s">
        <v>32732</v>
      </c>
      <c r="D15854" s="330" t="s">
        <v>32733</v>
      </c>
      <c r="E15854" s="330" t="s">
        <v>37248</v>
      </c>
      <c r="F15854" s="331">
        <v>0.21</v>
      </c>
      <c r="G15854" s="332">
        <v>38692</v>
      </c>
      <c r="H15854" s="333">
        <v>46818</v>
      </c>
    </row>
    <row r="15855" spans="1:8">
      <c r="A15855" s="317">
        <v>3604220097</v>
      </c>
      <c r="B15855" s="330" t="s">
        <v>60207</v>
      </c>
      <c r="C15855" s="330" t="s">
        <v>32734</v>
      </c>
      <c r="D15855" s="330" t="s">
        <v>32735</v>
      </c>
      <c r="E15855" s="330" t="s">
        <v>4634</v>
      </c>
      <c r="F15855" s="331">
        <v>0.21</v>
      </c>
      <c r="G15855" s="332">
        <v>42397</v>
      </c>
      <c r="H15855" s="333">
        <v>51301</v>
      </c>
    </row>
    <row r="15856" spans="1:8">
      <c r="A15856" s="317">
        <v>3604220159</v>
      </c>
      <c r="B15856" s="330" t="s">
        <v>60208</v>
      </c>
      <c r="C15856" s="330" t="s">
        <v>32736</v>
      </c>
      <c r="D15856" s="330" t="s">
        <v>32737</v>
      </c>
      <c r="E15856" s="330" t="s">
        <v>4634</v>
      </c>
      <c r="F15856" s="331">
        <v>0.21</v>
      </c>
      <c r="G15856" s="332">
        <v>76135</v>
      </c>
      <c r="H15856" s="333">
        <v>92124</v>
      </c>
    </row>
    <row r="15857" spans="1:8">
      <c r="A15857" s="317">
        <v>3604220512</v>
      </c>
      <c r="B15857" s="330" t="s">
        <v>60209</v>
      </c>
      <c r="C15857" s="330" t="s">
        <v>32738</v>
      </c>
      <c r="D15857" s="330" t="s">
        <v>32739</v>
      </c>
      <c r="E15857" s="330" t="s">
        <v>4634</v>
      </c>
      <c r="F15857" s="331">
        <v>0.21</v>
      </c>
      <c r="G15857" s="332">
        <v>17245</v>
      </c>
      <c r="H15857" s="333">
        <v>20867</v>
      </c>
    </row>
    <row r="15858" spans="1:8">
      <c r="A15858" s="317">
        <v>3604220559</v>
      </c>
      <c r="B15858" s="330" t="s">
        <v>60210</v>
      </c>
      <c r="C15858" s="330" t="s">
        <v>32740</v>
      </c>
      <c r="D15858" s="330" t="s">
        <v>32741</v>
      </c>
      <c r="E15858" s="330" t="s">
        <v>4634</v>
      </c>
      <c r="F15858" s="331">
        <v>0.21</v>
      </c>
      <c r="G15858" s="332">
        <v>7359</v>
      </c>
      <c r="H15858" s="333">
        <v>8905</v>
      </c>
    </row>
    <row r="15859" spans="1:8">
      <c r="A15859" s="317">
        <v>3604220570</v>
      </c>
      <c r="B15859" s="330" t="s">
        <v>60211</v>
      </c>
      <c r="C15859" s="330" t="s">
        <v>32742</v>
      </c>
      <c r="D15859" s="330" t="s">
        <v>32743</v>
      </c>
      <c r="E15859" s="330" t="s">
        <v>4634</v>
      </c>
      <c r="F15859" s="331">
        <v>0.21</v>
      </c>
      <c r="G15859" s="332">
        <v>39595</v>
      </c>
      <c r="H15859" s="333">
        <v>47910</v>
      </c>
    </row>
    <row r="15860" spans="1:8">
      <c r="A15860" s="317">
        <v>3604229057</v>
      </c>
      <c r="B15860" s="330" t="s">
        <v>60212</v>
      </c>
      <c r="C15860" s="330" t="s">
        <v>32744</v>
      </c>
      <c r="D15860" s="330" t="s">
        <v>32745</v>
      </c>
      <c r="E15860" s="330" t="s">
        <v>4634</v>
      </c>
      <c r="F15860" s="331">
        <v>0.21</v>
      </c>
      <c r="G15860" s="332">
        <v>137953</v>
      </c>
      <c r="H15860" s="333">
        <v>166924</v>
      </c>
    </row>
    <row r="15861" spans="1:8">
      <c r="A15861" s="317">
        <v>3604229064</v>
      </c>
      <c r="B15861" s="330" t="s">
        <v>60213</v>
      </c>
      <c r="C15861" s="330" t="s">
        <v>32746</v>
      </c>
      <c r="D15861" s="330" t="s">
        <v>8006</v>
      </c>
      <c r="E15861" s="330" t="s">
        <v>4634</v>
      </c>
      <c r="F15861" s="331">
        <v>0.21</v>
      </c>
      <c r="G15861" s="332">
        <v>137953</v>
      </c>
      <c r="H15861" s="333">
        <v>166924</v>
      </c>
    </row>
    <row r="15862" spans="1:8">
      <c r="A15862" s="317">
        <v>3604229082</v>
      </c>
      <c r="B15862" s="330" t="s">
        <v>60214</v>
      </c>
      <c r="C15862" s="330" t="s">
        <v>32747</v>
      </c>
      <c r="D15862" s="330" t="s">
        <v>32748</v>
      </c>
      <c r="E15862" s="330" t="s">
        <v>4634</v>
      </c>
      <c r="F15862" s="331">
        <v>0.21</v>
      </c>
      <c r="G15862" s="332">
        <v>124579</v>
      </c>
      <c r="H15862" s="333">
        <v>150741</v>
      </c>
    </row>
    <row r="15863" spans="1:8">
      <c r="A15863" s="317">
        <v>3604229095</v>
      </c>
      <c r="B15863" s="330" t="s">
        <v>60215</v>
      </c>
      <c r="C15863" s="330" t="s">
        <v>32749</v>
      </c>
      <c r="D15863" s="330" t="s">
        <v>32750</v>
      </c>
      <c r="E15863" s="330" t="s">
        <v>4634</v>
      </c>
      <c r="F15863" s="331">
        <v>0.21</v>
      </c>
      <c r="G15863" s="332">
        <v>151226</v>
      </c>
      <c r="H15863" s="333">
        <v>182984</v>
      </c>
    </row>
    <row r="15864" spans="1:8">
      <c r="A15864" s="317">
        <v>3604229109</v>
      </c>
      <c r="B15864" s="330" t="s">
        <v>60216</v>
      </c>
      <c r="C15864" s="330" t="s">
        <v>32751</v>
      </c>
      <c r="D15864" s="330" t="s">
        <v>32752</v>
      </c>
      <c r="E15864" s="330" t="s">
        <v>4623</v>
      </c>
      <c r="F15864" s="331">
        <v>0.21</v>
      </c>
      <c r="G15864" s="332">
        <v>299998</v>
      </c>
      <c r="H15864" s="333">
        <v>362998</v>
      </c>
    </row>
    <row r="15865" spans="1:8">
      <c r="A15865" s="317">
        <v>3604229110</v>
      </c>
      <c r="B15865" s="330" t="s">
        <v>60217</v>
      </c>
      <c r="C15865" s="330" t="s">
        <v>32753</v>
      </c>
      <c r="D15865" s="330" t="s">
        <v>32754</v>
      </c>
      <c r="E15865" s="330" t="s">
        <v>4634</v>
      </c>
      <c r="F15865" s="331">
        <v>0.21</v>
      </c>
      <c r="G15865" s="332">
        <v>717522</v>
      </c>
      <c r="H15865" s="333">
        <v>868202</v>
      </c>
    </row>
    <row r="15866" spans="1:8">
      <c r="A15866" s="317">
        <v>3604229114</v>
      </c>
      <c r="B15866" s="330" t="s">
        <v>60218</v>
      </c>
      <c r="C15866" s="330" t="s">
        <v>32755</v>
      </c>
      <c r="D15866" s="330" t="s">
        <v>32756</v>
      </c>
      <c r="E15866" s="330" t="s">
        <v>4634</v>
      </c>
      <c r="F15866" s="331">
        <v>0.21</v>
      </c>
      <c r="G15866" s="332">
        <v>15115</v>
      </c>
      <c r="H15866" s="333">
        <v>18290</v>
      </c>
    </row>
    <row r="15867" spans="1:8">
      <c r="A15867" s="317">
        <v>3604321513</v>
      </c>
      <c r="B15867" s="330" t="s">
        <v>60219</v>
      </c>
      <c r="C15867" s="330" t="s">
        <v>32757</v>
      </c>
      <c r="D15867" s="330" t="s">
        <v>32758</v>
      </c>
      <c r="E15867" s="330" t="s">
        <v>4819</v>
      </c>
      <c r="F15867" s="331">
        <v>0.21</v>
      </c>
      <c r="G15867" s="332">
        <v>16141</v>
      </c>
      <c r="H15867" s="333">
        <v>19531</v>
      </c>
    </row>
    <row r="15868" spans="1:8">
      <c r="A15868" s="317">
        <v>3604321514</v>
      </c>
      <c r="B15868" s="330" t="s">
        <v>60220</v>
      </c>
      <c r="C15868" s="330" t="s">
        <v>32759</v>
      </c>
      <c r="D15868" s="330" t="s">
        <v>32760</v>
      </c>
      <c r="E15868" s="330" t="s">
        <v>4634</v>
      </c>
      <c r="F15868" s="331">
        <v>0.21</v>
      </c>
      <c r="G15868" s="332">
        <v>3774</v>
      </c>
      <c r="H15868" s="333">
        <v>4567</v>
      </c>
    </row>
    <row r="15869" spans="1:8">
      <c r="A15869" s="317">
        <v>3604336001</v>
      </c>
      <c r="B15869" s="330" t="s">
        <v>60221</v>
      </c>
      <c r="C15869" s="330" t="s">
        <v>32761</v>
      </c>
      <c r="D15869" s="330" t="s">
        <v>32762</v>
      </c>
      <c r="E15869" s="330" t="s">
        <v>4634</v>
      </c>
      <c r="F15869" s="331">
        <v>0.21</v>
      </c>
      <c r="G15869" s="332">
        <v>3923</v>
      </c>
      <c r="H15869" s="333">
        <v>4747</v>
      </c>
    </row>
    <row r="15870" spans="1:8">
      <c r="A15870" s="317">
        <v>3604336012</v>
      </c>
      <c r="B15870" s="330" t="s">
        <v>60222</v>
      </c>
      <c r="C15870" s="330" t="s">
        <v>32763</v>
      </c>
      <c r="D15870" s="330" t="s">
        <v>32764</v>
      </c>
      <c r="E15870" s="330" t="s">
        <v>4819</v>
      </c>
      <c r="F15870" s="331">
        <v>0.21</v>
      </c>
      <c r="G15870" s="332">
        <v>1920</v>
      </c>
      <c r="H15870" s="333">
        <v>2324</v>
      </c>
    </row>
    <row r="15871" spans="1:8">
      <c r="A15871" s="317">
        <v>3604336507</v>
      </c>
      <c r="B15871" s="330" t="s">
        <v>60223</v>
      </c>
      <c r="C15871" s="330" t="s">
        <v>32765</v>
      </c>
      <c r="D15871" s="330" t="s">
        <v>32766</v>
      </c>
      <c r="E15871" s="330" t="s">
        <v>4634</v>
      </c>
      <c r="F15871" s="331">
        <v>0.21</v>
      </c>
      <c r="G15871" s="332">
        <v>7173</v>
      </c>
      <c r="H15871" s="333">
        <v>8680</v>
      </c>
    </row>
    <row r="15872" spans="1:8">
      <c r="A15872" s="317">
        <v>3604336510</v>
      </c>
      <c r="B15872" s="330" t="s">
        <v>60224</v>
      </c>
      <c r="C15872" s="330" t="s">
        <v>32767</v>
      </c>
      <c r="D15872" s="330" t="s">
        <v>32768</v>
      </c>
      <c r="E15872" s="330" t="s">
        <v>4634</v>
      </c>
      <c r="F15872" s="331">
        <v>0.21</v>
      </c>
      <c r="G15872" s="332">
        <v>6467</v>
      </c>
      <c r="H15872" s="333">
        <v>7826</v>
      </c>
    </row>
    <row r="15873" spans="1:8">
      <c r="A15873" s="317">
        <v>3604422049</v>
      </c>
      <c r="B15873" s="330" t="s">
        <v>60225</v>
      </c>
      <c r="C15873" s="330" t="s">
        <v>32769</v>
      </c>
      <c r="D15873" s="330" t="s">
        <v>32770</v>
      </c>
      <c r="E15873" s="330" t="s">
        <v>4634</v>
      </c>
      <c r="F15873" s="331">
        <v>0.21</v>
      </c>
      <c r="G15873" s="332">
        <v>3935</v>
      </c>
      <c r="H15873" s="333">
        <v>4762</v>
      </c>
    </row>
    <row r="15874" spans="1:8">
      <c r="A15874" s="317">
        <v>3604438020</v>
      </c>
      <c r="B15874" s="330" t="s">
        <v>60226</v>
      </c>
      <c r="C15874" s="330" t="s">
        <v>32771</v>
      </c>
      <c r="D15874" s="330" t="s">
        <v>32772</v>
      </c>
      <c r="E15874" s="330" t="s">
        <v>4634</v>
      </c>
      <c r="F15874" s="331">
        <v>0.21</v>
      </c>
      <c r="G15874" s="332">
        <v>584</v>
      </c>
      <c r="H15874" s="333">
        <v>707</v>
      </c>
    </row>
    <row r="15875" spans="1:8">
      <c r="A15875" s="317">
        <v>3604460117</v>
      </c>
      <c r="B15875" s="330" t="s">
        <v>60227</v>
      </c>
      <c r="C15875" s="330" t="s">
        <v>32773</v>
      </c>
      <c r="D15875" s="330" t="s">
        <v>32774</v>
      </c>
      <c r="E15875" s="330" t="s">
        <v>4634</v>
      </c>
      <c r="F15875" s="331">
        <v>0.21</v>
      </c>
      <c r="G15875" s="332">
        <v>678</v>
      </c>
      <c r="H15875" s="333">
        <v>821</v>
      </c>
    </row>
    <row r="15876" spans="1:8">
      <c r="A15876" s="317">
        <v>3604460132</v>
      </c>
      <c r="B15876" s="330" t="s">
        <v>60228</v>
      </c>
      <c r="C15876" s="330" t="s">
        <v>32775</v>
      </c>
      <c r="D15876" s="330" t="s">
        <v>32776</v>
      </c>
      <c r="E15876" s="330" t="s">
        <v>4634</v>
      </c>
      <c r="F15876" s="331">
        <v>0.21</v>
      </c>
      <c r="G15876" s="332">
        <v>570</v>
      </c>
      <c r="H15876" s="333">
        <v>690</v>
      </c>
    </row>
    <row r="15877" spans="1:8">
      <c r="A15877" s="317">
        <v>3604460526</v>
      </c>
      <c r="B15877" s="330" t="s">
        <v>60229</v>
      </c>
      <c r="C15877" s="330" t="s">
        <v>32777</v>
      </c>
      <c r="D15877" s="330" t="s">
        <v>32778</v>
      </c>
      <c r="E15877" s="330" t="s">
        <v>4634</v>
      </c>
      <c r="F15877" s="331">
        <v>0.21</v>
      </c>
      <c r="G15877" s="332">
        <v>5081</v>
      </c>
      <c r="H15877" s="333">
        <v>6149</v>
      </c>
    </row>
    <row r="15878" spans="1:8">
      <c r="A15878" s="317">
        <v>3604462002</v>
      </c>
      <c r="B15878" s="330" t="s">
        <v>60230</v>
      </c>
      <c r="C15878" s="330" t="s">
        <v>32779</v>
      </c>
      <c r="D15878" s="330" t="s">
        <v>32780</v>
      </c>
      <c r="E15878" s="330" t="s">
        <v>4634</v>
      </c>
      <c r="F15878" s="331">
        <v>0.21</v>
      </c>
      <c r="G15878" s="332">
        <v>10845</v>
      </c>
      <c r="H15878" s="333">
        <v>13123</v>
      </c>
    </row>
    <row r="15879" spans="1:8">
      <c r="A15879" s="317">
        <v>3604462003</v>
      </c>
      <c r="B15879" s="330" t="s">
        <v>60231</v>
      </c>
      <c r="C15879" s="330" t="s">
        <v>32781</v>
      </c>
      <c r="D15879" s="330" t="s">
        <v>32782</v>
      </c>
      <c r="E15879" s="330" t="s">
        <v>4634</v>
      </c>
      <c r="F15879" s="331">
        <v>0.21</v>
      </c>
      <c r="G15879" s="332">
        <v>16764</v>
      </c>
      <c r="H15879" s="333">
        <v>20285</v>
      </c>
    </row>
    <row r="15880" spans="1:8">
      <c r="A15880" s="317">
        <v>3604462004</v>
      </c>
      <c r="B15880" s="330" t="s">
        <v>60232</v>
      </c>
      <c r="C15880" s="330" t="s">
        <v>32783</v>
      </c>
      <c r="D15880" s="330" t="s">
        <v>32784</v>
      </c>
      <c r="E15880" s="330" t="s">
        <v>4634</v>
      </c>
      <c r="F15880" s="331">
        <v>0.21</v>
      </c>
      <c r="G15880" s="332">
        <v>10957</v>
      </c>
      <c r="H15880" s="333">
        <v>13258</v>
      </c>
    </row>
    <row r="15881" spans="1:8">
      <c r="A15881" s="317">
        <v>3604462005</v>
      </c>
      <c r="B15881" s="330" t="s">
        <v>60233</v>
      </c>
      <c r="C15881" s="330" t="s">
        <v>32785</v>
      </c>
      <c r="D15881" s="330" t="s">
        <v>32784</v>
      </c>
      <c r="E15881" s="330" t="s">
        <v>4634</v>
      </c>
      <c r="F15881" s="331">
        <v>0.21</v>
      </c>
      <c r="G15881" s="332">
        <v>10799</v>
      </c>
      <c r="H15881" s="333">
        <v>13067</v>
      </c>
    </row>
    <row r="15882" spans="1:8">
      <c r="A15882" s="317">
        <v>3604462017</v>
      </c>
      <c r="B15882" s="330" t="s">
        <v>60234</v>
      </c>
      <c r="C15882" s="330" t="s">
        <v>32786</v>
      </c>
      <c r="D15882" s="330" t="s">
        <v>32787</v>
      </c>
      <c r="E15882" s="330" t="s">
        <v>4634</v>
      </c>
      <c r="F15882" s="331">
        <v>0.21</v>
      </c>
      <c r="G15882" s="332">
        <v>14143</v>
      </c>
      <c r="H15882" s="333">
        <v>17114</v>
      </c>
    </row>
    <row r="15883" spans="1:8">
      <c r="A15883" s="317">
        <v>3604478004</v>
      </c>
      <c r="B15883" s="330" t="s">
        <v>60235</v>
      </c>
      <c r="C15883" s="330" t="s">
        <v>32788</v>
      </c>
      <c r="D15883" s="330" t="s">
        <v>32789</v>
      </c>
      <c r="E15883" s="330" t="s">
        <v>4634</v>
      </c>
      <c r="F15883" s="331">
        <v>0.21</v>
      </c>
      <c r="G15883" s="332">
        <v>1008</v>
      </c>
      <c r="H15883" s="333">
        <v>1220</v>
      </c>
    </row>
    <row r="15884" spans="1:8">
      <c r="A15884" s="317">
        <v>3604601001</v>
      </c>
      <c r="B15884" s="330" t="s">
        <v>60236</v>
      </c>
      <c r="C15884" s="330" t="s">
        <v>32790</v>
      </c>
      <c r="D15884" s="330" t="s">
        <v>32791</v>
      </c>
      <c r="E15884" s="330" t="s">
        <v>4634</v>
      </c>
      <c r="F15884" s="331">
        <v>0.21</v>
      </c>
      <c r="G15884" s="332">
        <v>412</v>
      </c>
      <c r="H15884" s="333">
        <v>499</v>
      </c>
    </row>
    <row r="15885" spans="1:8">
      <c r="A15885" s="317">
        <v>3604610007</v>
      </c>
      <c r="B15885" s="330" t="s">
        <v>60237</v>
      </c>
      <c r="C15885" s="330" t="s">
        <v>32792</v>
      </c>
      <c r="D15885" s="330" t="s">
        <v>9340</v>
      </c>
      <c r="E15885" s="330" t="s">
        <v>4634</v>
      </c>
      <c r="F15885" s="331">
        <v>0.21</v>
      </c>
      <c r="G15885" s="332">
        <v>372</v>
      </c>
      <c r="H15885" s="333">
        <v>451</v>
      </c>
    </row>
    <row r="15886" spans="1:8">
      <c r="A15886" s="317">
        <v>3604610011</v>
      </c>
      <c r="B15886" s="330" t="s">
        <v>60238</v>
      </c>
      <c r="C15886" s="330" t="s">
        <v>32793</v>
      </c>
      <c r="D15886" s="330" t="s">
        <v>32794</v>
      </c>
      <c r="E15886" s="330" t="s">
        <v>4634</v>
      </c>
      <c r="F15886" s="331">
        <v>0.21</v>
      </c>
      <c r="G15886" s="332">
        <v>1900</v>
      </c>
      <c r="H15886" s="333">
        <v>2299</v>
      </c>
    </row>
    <row r="15887" spans="1:8">
      <c r="A15887" s="317">
        <v>3604610024</v>
      </c>
      <c r="B15887" s="330" t="s">
        <v>60239</v>
      </c>
      <c r="C15887" s="330" t="s">
        <v>32795</v>
      </c>
      <c r="D15887" s="330" t="s">
        <v>23756</v>
      </c>
      <c r="E15887" s="330" t="s">
        <v>4634</v>
      </c>
      <c r="F15887" s="331">
        <v>0.21</v>
      </c>
      <c r="G15887" s="332">
        <v>280</v>
      </c>
      <c r="H15887" s="333">
        <v>339</v>
      </c>
    </row>
    <row r="15888" spans="1:8">
      <c r="A15888" s="317">
        <v>3604610027</v>
      </c>
      <c r="B15888" s="330" t="s">
        <v>60240</v>
      </c>
      <c r="C15888" s="330" t="s">
        <v>32796</v>
      </c>
      <c r="D15888" s="330" t="s">
        <v>32797</v>
      </c>
      <c r="E15888" s="330" t="s">
        <v>4634</v>
      </c>
      <c r="F15888" s="331">
        <v>0.21</v>
      </c>
      <c r="G15888" s="332">
        <v>490</v>
      </c>
      <c r="H15888" s="333">
        <v>593</v>
      </c>
    </row>
    <row r="15889" spans="1:8">
      <c r="A15889" s="317">
        <v>3604610038</v>
      </c>
      <c r="B15889" s="330" t="s">
        <v>60241</v>
      </c>
      <c r="C15889" s="330" t="s">
        <v>32798</v>
      </c>
      <c r="D15889" s="330" t="s">
        <v>32799</v>
      </c>
      <c r="E15889" s="330" t="s">
        <v>4634</v>
      </c>
      <c r="F15889" s="331">
        <v>0.21</v>
      </c>
      <c r="G15889" s="332">
        <v>648</v>
      </c>
      <c r="H15889" s="333">
        <v>785</v>
      </c>
    </row>
    <row r="15890" spans="1:8">
      <c r="A15890" s="317">
        <v>3604610044</v>
      </c>
      <c r="B15890" s="330" t="s">
        <v>60242</v>
      </c>
      <c r="C15890" s="330" t="s">
        <v>32800</v>
      </c>
      <c r="D15890" s="330" t="s">
        <v>32801</v>
      </c>
      <c r="E15890" s="330" t="s">
        <v>4634</v>
      </c>
      <c r="F15890" s="331">
        <v>0.21</v>
      </c>
      <c r="G15890" s="332">
        <v>584</v>
      </c>
      <c r="H15890" s="333">
        <v>707</v>
      </c>
    </row>
    <row r="15891" spans="1:8">
      <c r="A15891" s="317">
        <v>3604610045</v>
      </c>
      <c r="B15891" s="330" t="s">
        <v>60243</v>
      </c>
      <c r="C15891" s="330" t="s">
        <v>32802</v>
      </c>
      <c r="D15891" s="330" t="s">
        <v>32803</v>
      </c>
      <c r="E15891" s="330" t="s">
        <v>4634</v>
      </c>
      <c r="F15891" s="331">
        <v>0.21</v>
      </c>
      <c r="G15891" s="332">
        <v>791</v>
      </c>
      <c r="H15891" s="333">
        <v>958</v>
      </c>
    </row>
    <row r="15892" spans="1:8">
      <c r="A15892" s="317">
        <v>3604610046</v>
      </c>
      <c r="B15892" s="330" t="s">
        <v>60244</v>
      </c>
      <c r="C15892" s="330" t="s">
        <v>32804</v>
      </c>
      <c r="D15892" s="330" t="s">
        <v>32805</v>
      </c>
      <c r="E15892" s="330" t="s">
        <v>4634</v>
      </c>
      <c r="F15892" s="331">
        <v>0.21</v>
      </c>
      <c r="G15892" s="332">
        <v>678</v>
      </c>
      <c r="H15892" s="333">
        <v>821</v>
      </c>
    </row>
    <row r="15893" spans="1:8">
      <c r="A15893" s="317">
        <v>3604610047</v>
      </c>
      <c r="B15893" s="330" t="s">
        <v>60245</v>
      </c>
      <c r="C15893" s="330" t="s">
        <v>32806</v>
      </c>
      <c r="D15893" s="330" t="s">
        <v>32805</v>
      </c>
      <c r="E15893" s="330" t="s">
        <v>4634</v>
      </c>
      <c r="F15893" s="331">
        <v>0.21</v>
      </c>
      <c r="G15893" s="332">
        <v>791</v>
      </c>
      <c r="H15893" s="333">
        <v>958</v>
      </c>
    </row>
    <row r="15894" spans="1:8">
      <c r="A15894" s="317">
        <v>3604610057</v>
      </c>
      <c r="B15894" s="330" t="s">
        <v>60246</v>
      </c>
      <c r="C15894" s="330" t="s">
        <v>32807</v>
      </c>
      <c r="D15894" s="330" t="s">
        <v>32808</v>
      </c>
      <c r="E15894" s="330" t="s">
        <v>4634</v>
      </c>
      <c r="F15894" s="331">
        <v>0.21</v>
      </c>
      <c r="G15894" s="332">
        <v>412</v>
      </c>
      <c r="H15894" s="333">
        <v>499</v>
      </c>
    </row>
    <row r="15895" spans="1:8">
      <c r="A15895" s="317">
        <v>3604611006</v>
      </c>
      <c r="B15895" s="330" t="s">
        <v>60247</v>
      </c>
      <c r="C15895" s="330" t="s">
        <v>32809</v>
      </c>
      <c r="D15895" s="330" t="s">
        <v>32810</v>
      </c>
      <c r="E15895" s="330" t="s">
        <v>4819</v>
      </c>
      <c r="F15895" s="331">
        <v>0.21</v>
      </c>
      <c r="G15895" s="332">
        <v>671</v>
      </c>
      <c r="H15895" s="333">
        <v>812</v>
      </c>
    </row>
    <row r="15896" spans="1:8">
      <c r="A15896" s="317">
        <v>3604611019</v>
      </c>
      <c r="B15896" s="330" t="s">
        <v>60248</v>
      </c>
      <c r="C15896" s="330" t="s">
        <v>32811</v>
      </c>
      <c r="D15896" s="330" t="s">
        <v>32812</v>
      </c>
      <c r="E15896" s="330" t="s">
        <v>4819</v>
      </c>
      <c r="F15896" s="331">
        <v>0.21</v>
      </c>
      <c r="G15896" s="332">
        <v>1025</v>
      </c>
      <c r="H15896" s="333">
        <v>1241</v>
      </c>
    </row>
    <row r="15897" spans="1:8">
      <c r="A15897" s="317">
        <v>3604611020</v>
      </c>
      <c r="B15897" s="330" t="s">
        <v>60249</v>
      </c>
      <c r="C15897" s="330" t="s">
        <v>32813</v>
      </c>
      <c r="D15897" s="330" t="s">
        <v>32814</v>
      </c>
      <c r="E15897" s="330" t="s">
        <v>4634</v>
      </c>
      <c r="F15897" s="331">
        <v>0.21</v>
      </c>
      <c r="G15897" s="332">
        <v>2063</v>
      </c>
      <c r="H15897" s="333">
        <v>2497</v>
      </c>
    </row>
    <row r="15898" spans="1:8">
      <c r="A15898" s="317">
        <v>3604611021</v>
      </c>
      <c r="B15898" s="330" t="s">
        <v>60250</v>
      </c>
      <c r="C15898" s="330" t="s">
        <v>32815</v>
      </c>
      <c r="D15898" s="330" t="s">
        <v>32816</v>
      </c>
      <c r="E15898" s="330" t="s">
        <v>4634</v>
      </c>
      <c r="F15898" s="331">
        <v>0.21</v>
      </c>
      <c r="G15898" s="332">
        <v>678</v>
      </c>
      <c r="H15898" s="333">
        <v>821</v>
      </c>
    </row>
    <row r="15899" spans="1:8">
      <c r="A15899" s="317">
        <v>3604611022</v>
      </c>
      <c r="B15899" s="330" t="s">
        <v>60251</v>
      </c>
      <c r="C15899" s="330" t="s">
        <v>32817</v>
      </c>
      <c r="D15899" s="330" t="s">
        <v>32818</v>
      </c>
      <c r="E15899" s="330" t="s">
        <v>4634</v>
      </c>
      <c r="F15899" s="331">
        <v>0.21</v>
      </c>
      <c r="G15899" s="332">
        <v>648</v>
      </c>
      <c r="H15899" s="333">
        <v>785</v>
      </c>
    </row>
    <row r="15900" spans="1:8">
      <c r="A15900" s="317">
        <v>3604611037</v>
      </c>
      <c r="B15900" s="330" t="s">
        <v>60252</v>
      </c>
      <c r="C15900" s="330" t="s">
        <v>32819</v>
      </c>
      <c r="D15900" s="330" t="s">
        <v>32820</v>
      </c>
      <c r="E15900" s="330" t="s">
        <v>4634</v>
      </c>
      <c r="F15900" s="331">
        <v>0.21</v>
      </c>
      <c r="G15900" s="332">
        <v>927</v>
      </c>
      <c r="H15900" s="333">
        <v>1122</v>
      </c>
    </row>
    <row r="15901" spans="1:8">
      <c r="A15901" s="317">
        <v>3604611039</v>
      </c>
      <c r="B15901" s="330" t="s">
        <v>60253</v>
      </c>
      <c r="C15901" s="330" t="s">
        <v>32821</v>
      </c>
      <c r="D15901" s="330" t="s">
        <v>9354</v>
      </c>
      <c r="E15901" s="330" t="s">
        <v>37248</v>
      </c>
      <c r="F15901" s="331">
        <v>0.21</v>
      </c>
      <c r="G15901" s="332">
        <v>1487</v>
      </c>
      <c r="H15901" s="333">
        <v>1800</v>
      </c>
    </row>
    <row r="15902" spans="1:8">
      <c r="A15902" s="317">
        <v>3604613506</v>
      </c>
      <c r="B15902" s="330" t="s">
        <v>60254</v>
      </c>
      <c r="C15902" s="330" t="s">
        <v>32822</v>
      </c>
      <c r="D15902" s="330" t="s">
        <v>32823</v>
      </c>
      <c r="E15902" s="330" t="s">
        <v>4819</v>
      </c>
      <c r="F15902" s="331">
        <v>0.21</v>
      </c>
      <c r="G15902" s="332">
        <v>2861</v>
      </c>
      <c r="H15902" s="333">
        <v>3462</v>
      </c>
    </row>
    <row r="15903" spans="1:8">
      <c r="A15903" s="317">
        <v>3604613507</v>
      </c>
      <c r="B15903" s="330" t="s">
        <v>60255</v>
      </c>
      <c r="C15903" s="330" t="s">
        <v>32824</v>
      </c>
      <c r="D15903" s="330" t="s">
        <v>32823</v>
      </c>
      <c r="E15903" s="330" t="s">
        <v>4819</v>
      </c>
      <c r="F15903" s="331">
        <v>0.21</v>
      </c>
      <c r="G15903" s="332">
        <v>863</v>
      </c>
      <c r="H15903" s="333">
        <v>1045</v>
      </c>
    </row>
    <row r="15904" spans="1:8">
      <c r="A15904" s="317">
        <v>3604613508</v>
      </c>
      <c r="B15904" s="330" t="s">
        <v>60256</v>
      </c>
      <c r="C15904" s="330" t="s">
        <v>32825</v>
      </c>
      <c r="D15904" s="330" t="s">
        <v>23795</v>
      </c>
      <c r="E15904" s="330" t="s">
        <v>4634</v>
      </c>
      <c r="F15904" s="331">
        <v>0.21</v>
      </c>
      <c r="G15904" s="332">
        <v>584</v>
      </c>
      <c r="H15904" s="333">
        <v>707</v>
      </c>
    </row>
    <row r="15905" spans="1:8">
      <c r="A15905" s="317">
        <v>3604615000</v>
      </c>
      <c r="B15905" s="330" t="s">
        <v>60257</v>
      </c>
      <c r="C15905" s="330" t="s">
        <v>32826</v>
      </c>
      <c r="D15905" s="330" t="s">
        <v>32827</v>
      </c>
      <c r="E15905" s="330" t="s">
        <v>4634</v>
      </c>
      <c r="F15905" s="331">
        <v>0.21</v>
      </c>
      <c r="G15905" s="332">
        <v>42</v>
      </c>
      <c r="H15905" s="333">
        <v>51</v>
      </c>
    </row>
    <row r="15906" spans="1:8">
      <c r="A15906" s="317">
        <v>3604615001</v>
      </c>
      <c r="B15906" s="330" t="s">
        <v>60258</v>
      </c>
      <c r="C15906" s="330" t="s">
        <v>32828</v>
      </c>
      <c r="D15906" s="330" t="s">
        <v>32797</v>
      </c>
      <c r="E15906" s="330" t="s">
        <v>4634</v>
      </c>
      <c r="F15906" s="331">
        <v>0.21</v>
      </c>
      <c r="G15906" s="332">
        <v>490</v>
      </c>
      <c r="H15906" s="333">
        <v>593</v>
      </c>
    </row>
    <row r="15907" spans="1:8">
      <c r="A15907" s="317">
        <v>3604615004</v>
      </c>
      <c r="B15907" s="330" t="s">
        <v>60259</v>
      </c>
      <c r="C15907" s="330" t="s">
        <v>32829</v>
      </c>
      <c r="D15907" s="330" t="s">
        <v>32808</v>
      </c>
      <c r="E15907" s="330" t="s">
        <v>4634</v>
      </c>
      <c r="F15907" s="331">
        <v>0.21</v>
      </c>
      <c r="G15907" s="332">
        <v>309</v>
      </c>
      <c r="H15907" s="333">
        <v>374</v>
      </c>
    </row>
    <row r="15908" spans="1:8">
      <c r="A15908" s="317">
        <v>3604615009</v>
      </c>
      <c r="B15908" s="330" t="s">
        <v>60260</v>
      </c>
      <c r="C15908" s="330" t="s">
        <v>32830</v>
      </c>
      <c r="D15908" s="330" t="s">
        <v>32814</v>
      </c>
      <c r="E15908" s="330" t="s">
        <v>4634</v>
      </c>
      <c r="F15908" s="331">
        <v>0.21</v>
      </c>
      <c r="G15908" s="332">
        <v>455</v>
      </c>
      <c r="H15908" s="333">
        <v>551</v>
      </c>
    </row>
    <row r="15909" spans="1:8">
      <c r="A15909" s="317">
        <v>3604616002</v>
      </c>
      <c r="B15909" s="330" t="s">
        <v>60261</v>
      </c>
      <c r="C15909" s="330" t="s">
        <v>32831</v>
      </c>
      <c r="D15909" s="330" t="s">
        <v>23795</v>
      </c>
      <c r="E15909" s="330" t="s">
        <v>4634</v>
      </c>
      <c r="F15909" s="331">
        <v>0.21</v>
      </c>
      <c r="G15909" s="332">
        <v>412</v>
      </c>
      <c r="H15909" s="333">
        <v>499</v>
      </c>
    </row>
    <row r="15910" spans="1:8">
      <c r="A15910" s="317">
        <v>3604616008</v>
      </c>
      <c r="B15910" s="330" t="s">
        <v>60262</v>
      </c>
      <c r="C15910" s="330" t="s">
        <v>32832</v>
      </c>
      <c r="D15910" s="330" t="s">
        <v>32833</v>
      </c>
      <c r="E15910" s="330" t="s">
        <v>4634</v>
      </c>
      <c r="F15910" s="331">
        <v>0.21</v>
      </c>
      <c r="G15910" s="332">
        <v>309</v>
      </c>
      <c r="H15910" s="333">
        <v>374</v>
      </c>
    </row>
    <row r="15911" spans="1:8">
      <c r="A15911" s="317">
        <v>3604616013</v>
      </c>
      <c r="B15911" s="330" t="s">
        <v>60263</v>
      </c>
      <c r="C15911" s="330" t="s">
        <v>32834</v>
      </c>
      <c r="D15911" s="330" t="s">
        <v>32835</v>
      </c>
      <c r="E15911" s="330" t="s">
        <v>4634</v>
      </c>
      <c r="F15911" s="331">
        <v>0.21</v>
      </c>
      <c r="G15911" s="332">
        <v>702</v>
      </c>
      <c r="H15911" s="333">
        <v>850</v>
      </c>
    </row>
    <row r="15912" spans="1:8">
      <c r="A15912" s="317">
        <v>3604617000</v>
      </c>
      <c r="B15912" s="330" t="s">
        <v>60264</v>
      </c>
      <c r="C15912" s="330" t="s">
        <v>32836</v>
      </c>
      <c r="D15912" s="330" t="s">
        <v>32801</v>
      </c>
      <c r="E15912" s="330" t="s">
        <v>4634</v>
      </c>
      <c r="F15912" s="331">
        <v>0.21</v>
      </c>
      <c r="G15912" s="332">
        <v>309</v>
      </c>
      <c r="H15912" s="333">
        <v>374</v>
      </c>
    </row>
    <row r="15913" spans="1:8">
      <c r="A15913" s="317">
        <v>3604618003</v>
      </c>
      <c r="B15913" s="330" t="s">
        <v>60265</v>
      </c>
      <c r="C15913" s="330" t="s">
        <v>32837</v>
      </c>
      <c r="D15913" s="330" t="s">
        <v>32838</v>
      </c>
      <c r="E15913" s="330" t="s">
        <v>4819</v>
      </c>
      <c r="F15913" s="331">
        <v>0.21</v>
      </c>
      <c r="G15913" s="332">
        <v>3031</v>
      </c>
      <c r="H15913" s="333">
        <v>3668</v>
      </c>
    </row>
    <row r="15914" spans="1:8">
      <c r="A15914" s="317">
        <v>3604618008</v>
      </c>
      <c r="B15914" s="330" t="s">
        <v>60266</v>
      </c>
      <c r="C15914" s="330" t="s">
        <v>32839</v>
      </c>
      <c r="D15914" s="330" t="s">
        <v>32840</v>
      </c>
      <c r="E15914" s="330" t="s">
        <v>4634</v>
      </c>
      <c r="F15914" s="331">
        <v>0.21</v>
      </c>
      <c r="G15914" s="332">
        <v>584</v>
      </c>
      <c r="H15914" s="333">
        <v>707</v>
      </c>
    </row>
    <row r="15915" spans="1:8">
      <c r="A15915" s="317">
        <v>3604619000</v>
      </c>
      <c r="B15915" s="330" t="s">
        <v>60267</v>
      </c>
      <c r="C15915" s="330" t="s">
        <v>32841</v>
      </c>
      <c r="D15915" s="330" t="s">
        <v>32842</v>
      </c>
      <c r="E15915" s="330" t="s">
        <v>4634</v>
      </c>
      <c r="F15915" s="331">
        <v>0.21</v>
      </c>
      <c r="G15915" s="332">
        <v>1411</v>
      </c>
      <c r="H15915" s="333">
        <v>1708</v>
      </c>
    </row>
    <row r="15916" spans="1:8">
      <c r="A15916" s="317">
        <v>3604619003</v>
      </c>
      <c r="B15916" s="330" t="s">
        <v>60268</v>
      </c>
      <c r="C15916" s="330" t="s">
        <v>32843</v>
      </c>
      <c r="D15916" s="330" t="s">
        <v>32844</v>
      </c>
      <c r="E15916" s="330" t="s">
        <v>4634</v>
      </c>
      <c r="F15916" s="331">
        <v>0.21</v>
      </c>
      <c r="G15916" s="332">
        <v>403</v>
      </c>
      <c r="H15916" s="333">
        <v>488</v>
      </c>
    </row>
    <row r="15917" spans="1:8">
      <c r="A15917" s="317">
        <v>3604619004</v>
      </c>
      <c r="B15917" s="330" t="s">
        <v>60269</v>
      </c>
      <c r="C15917" s="330" t="s">
        <v>32845</v>
      </c>
      <c r="D15917" s="330" t="s">
        <v>9384</v>
      </c>
      <c r="E15917" s="330" t="s">
        <v>4634</v>
      </c>
      <c r="F15917" s="331">
        <v>0.21</v>
      </c>
      <c r="G15917" s="332">
        <v>1267</v>
      </c>
      <c r="H15917" s="333">
        <v>1534</v>
      </c>
    </row>
    <row r="15918" spans="1:8">
      <c r="A15918" s="317">
        <v>3604619015</v>
      </c>
      <c r="B15918" s="330" t="s">
        <v>60270</v>
      </c>
      <c r="C15918" s="330" t="s">
        <v>32846</v>
      </c>
      <c r="D15918" s="330" t="s">
        <v>32847</v>
      </c>
      <c r="E15918" s="330" t="s">
        <v>4634</v>
      </c>
      <c r="F15918" s="331">
        <v>0.21</v>
      </c>
      <c r="G15918" s="332">
        <v>1150</v>
      </c>
      <c r="H15918" s="333">
        <v>1392</v>
      </c>
    </row>
    <row r="15919" spans="1:8">
      <c r="A15919" s="317">
        <v>3604619020</v>
      </c>
      <c r="B15919" s="330" t="s">
        <v>60271</v>
      </c>
      <c r="C15919" s="330" t="s">
        <v>32848</v>
      </c>
      <c r="D15919" s="330" t="s">
        <v>32849</v>
      </c>
      <c r="E15919" s="330" t="s">
        <v>4634</v>
      </c>
      <c r="F15919" s="331">
        <v>0.21</v>
      </c>
      <c r="G15919" s="332">
        <v>1115</v>
      </c>
      <c r="H15919" s="333">
        <v>1350</v>
      </c>
    </row>
    <row r="15920" spans="1:8">
      <c r="A15920" s="317">
        <v>3604619500</v>
      </c>
      <c r="B15920" s="330" t="s">
        <v>60272</v>
      </c>
      <c r="C15920" s="330" t="s">
        <v>32850</v>
      </c>
      <c r="D15920" s="330" t="s">
        <v>30485</v>
      </c>
      <c r="E15920" s="330" t="s">
        <v>4634</v>
      </c>
      <c r="F15920" s="331">
        <v>0.21</v>
      </c>
      <c r="G15920" s="332">
        <v>678</v>
      </c>
      <c r="H15920" s="333">
        <v>821</v>
      </c>
    </row>
    <row r="15921" spans="1:8">
      <c r="A15921" s="317">
        <v>3604630000</v>
      </c>
      <c r="B15921" s="330" t="s">
        <v>60273</v>
      </c>
      <c r="C15921" s="330" t="s">
        <v>32851</v>
      </c>
      <c r="D15921" s="330" t="s">
        <v>32852</v>
      </c>
      <c r="E15921" s="330" t="s">
        <v>4634</v>
      </c>
      <c r="F15921" s="331">
        <v>0.21</v>
      </c>
      <c r="G15921" s="332">
        <v>37</v>
      </c>
      <c r="H15921" s="333">
        <v>45</v>
      </c>
    </row>
    <row r="15922" spans="1:8">
      <c r="A15922" s="317">
        <v>3604643002</v>
      </c>
      <c r="B15922" s="330" t="s">
        <v>60274</v>
      </c>
      <c r="C15922" s="330" t="s">
        <v>32853</v>
      </c>
      <c r="D15922" s="330" t="s">
        <v>32854</v>
      </c>
      <c r="E15922" s="330" t="s">
        <v>4634</v>
      </c>
      <c r="F15922" s="331">
        <v>0.21</v>
      </c>
      <c r="G15922" s="332">
        <v>570</v>
      </c>
      <c r="H15922" s="333">
        <v>690</v>
      </c>
    </row>
    <row r="15923" spans="1:8">
      <c r="A15923" s="317">
        <v>3604643010</v>
      </c>
      <c r="B15923" s="330" t="s">
        <v>60275</v>
      </c>
      <c r="C15923" s="330" t="s">
        <v>32855</v>
      </c>
      <c r="D15923" s="330" t="s">
        <v>9384</v>
      </c>
      <c r="E15923" s="330" t="s">
        <v>4634</v>
      </c>
      <c r="F15923" s="331">
        <v>0.21</v>
      </c>
      <c r="G15923" s="332">
        <v>490</v>
      </c>
      <c r="H15923" s="333">
        <v>593</v>
      </c>
    </row>
    <row r="15924" spans="1:8">
      <c r="A15924" s="317">
        <v>3604643012</v>
      </c>
      <c r="B15924" s="330" t="s">
        <v>60276</v>
      </c>
      <c r="C15924" s="330" t="s">
        <v>32856</v>
      </c>
      <c r="D15924" s="330" t="s">
        <v>32857</v>
      </c>
      <c r="E15924" s="330" t="s">
        <v>4634</v>
      </c>
      <c r="F15924" s="331">
        <v>0.21</v>
      </c>
      <c r="G15924" s="332">
        <v>309</v>
      </c>
      <c r="H15924" s="333">
        <v>374</v>
      </c>
    </row>
    <row r="15925" spans="1:8">
      <c r="A15925" s="317">
        <v>3604643013</v>
      </c>
      <c r="B15925" s="330" t="s">
        <v>60277</v>
      </c>
      <c r="C15925" s="330" t="s">
        <v>32858</v>
      </c>
      <c r="D15925" s="330" t="s">
        <v>32797</v>
      </c>
      <c r="E15925" s="330" t="s">
        <v>4634</v>
      </c>
      <c r="F15925" s="331">
        <v>0.21</v>
      </c>
      <c r="G15925" s="332">
        <v>377</v>
      </c>
      <c r="H15925" s="333">
        <v>457</v>
      </c>
    </row>
    <row r="15926" spans="1:8">
      <c r="A15926" s="317">
        <v>3604643016</v>
      </c>
      <c r="B15926" s="330" t="s">
        <v>60278</v>
      </c>
      <c r="C15926" s="330" t="s">
        <v>32859</v>
      </c>
      <c r="D15926" s="330" t="s">
        <v>32801</v>
      </c>
      <c r="E15926" s="330" t="s">
        <v>4634</v>
      </c>
      <c r="F15926" s="331">
        <v>0.21</v>
      </c>
      <c r="G15926" s="332">
        <v>1126</v>
      </c>
      <c r="H15926" s="333">
        <v>1363</v>
      </c>
    </row>
    <row r="15927" spans="1:8">
      <c r="A15927" s="317">
        <v>3604648504</v>
      </c>
      <c r="B15927" s="330" t="s">
        <v>60279</v>
      </c>
      <c r="C15927" s="330" t="s">
        <v>32860</v>
      </c>
      <c r="D15927" s="330" t="s">
        <v>32861</v>
      </c>
      <c r="E15927" s="330" t="s">
        <v>4634</v>
      </c>
      <c r="F15927" s="331">
        <v>0.21</v>
      </c>
      <c r="G15927" s="332">
        <v>678</v>
      </c>
      <c r="H15927" s="333">
        <v>821</v>
      </c>
    </row>
    <row r="15928" spans="1:8">
      <c r="A15928" s="317">
        <v>3604650000</v>
      </c>
      <c r="B15928" s="330" t="s">
        <v>60280</v>
      </c>
      <c r="C15928" s="330" t="s">
        <v>32862</v>
      </c>
      <c r="D15928" s="330" t="s">
        <v>32863</v>
      </c>
      <c r="E15928" s="330" t="s">
        <v>4634</v>
      </c>
      <c r="F15928" s="331">
        <v>0.21</v>
      </c>
      <c r="G15928" s="332">
        <v>2299</v>
      </c>
      <c r="H15928" s="333">
        <v>2782</v>
      </c>
    </row>
    <row r="15929" spans="1:8">
      <c r="A15929" s="317">
        <v>3604651005</v>
      </c>
      <c r="B15929" s="330" t="s">
        <v>60281</v>
      </c>
      <c r="C15929" s="330" t="s">
        <v>32864</v>
      </c>
      <c r="D15929" s="330" t="s">
        <v>32865</v>
      </c>
      <c r="E15929" s="330" t="s">
        <v>4634</v>
      </c>
      <c r="F15929" s="331">
        <v>0.21</v>
      </c>
      <c r="G15929" s="332">
        <v>432</v>
      </c>
      <c r="H15929" s="333">
        <v>523</v>
      </c>
    </row>
    <row r="15930" spans="1:8">
      <c r="A15930" s="317">
        <v>3604651006</v>
      </c>
      <c r="B15930" s="330" t="s">
        <v>60282</v>
      </c>
      <c r="C15930" s="330" t="s">
        <v>32866</v>
      </c>
      <c r="D15930" s="330" t="s">
        <v>32865</v>
      </c>
      <c r="E15930" s="330" t="s">
        <v>4634</v>
      </c>
      <c r="F15930" s="331">
        <v>0.21</v>
      </c>
      <c r="G15930" s="332">
        <v>678</v>
      </c>
      <c r="H15930" s="333">
        <v>821</v>
      </c>
    </row>
    <row r="15931" spans="1:8">
      <c r="A15931" s="317">
        <v>3604651008</v>
      </c>
      <c r="B15931" s="330" t="s">
        <v>60283</v>
      </c>
      <c r="C15931" s="330" t="s">
        <v>32867</v>
      </c>
      <c r="D15931" s="330" t="s">
        <v>32868</v>
      </c>
      <c r="E15931" s="330" t="s">
        <v>4634</v>
      </c>
      <c r="F15931" s="331">
        <v>0.21</v>
      </c>
      <c r="G15931" s="332">
        <v>584</v>
      </c>
      <c r="H15931" s="333">
        <v>707</v>
      </c>
    </row>
    <row r="15932" spans="1:8">
      <c r="A15932" s="317">
        <v>3604651009</v>
      </c>
      <c r="B15932" s="330" t="s">
        <v>60284</v>
      </c>
      <c r="C15932" s="330" t="s">
        <v>32869</v>
      </c>
      <c r="D15932" s="330" t="s">
        <v>32870</v>
      </c>
      <c r="E15932" s="330" t="s">
        <v>4634</v>
      </c>
      <c r="F15932" s="331">
        <v>0.21</v>
      </c>
      <c r="G15932" s="332">
        <v>1170</v>
      </c>
      <c r="H15932" s="333">
        <v>1416</v>
      </c>
    </row>
    <row r="15933" spans="1:8">
      <c r="A15933" s="317">
        <v>3604651010</v>
      </c>
      <c r="B15933" s="330" t="s">
        <v>60285</v>
      </c>
      <c r="C15933" s="330" t="s">
        <v>32871</v>
      </c>
      <c r="D15933" s="330" t="s">
        <v>32872</v>
      </c>
      <c r="E15933" s="330" t="s">
        <v>4634</v>
      </c>
      <c r="F15933" s="331">
        <v>0.21</v>
      </c>
      <c r="G15933" s="332">
        <v>372</v>
      </c>
      <c r="H15933" s="333">
        <v>451</v>
      </c>
    </row>
    <row r="15934" spans="1:8">
      <c r="A15934" s="317">
        <v>3604651011</v>
      </c>
      <c r="B15934" s="330" t="s">
        <v>60286</v>
      </c>
      <c r="C15934" s="330" t="s">
        <v>32873</v>
      </c>
      <c r="D15934" s="330" t="s">
        <v>32874</v>
      </c>
      <c r="E15934" s="330" t="s">
        <v>4634</v>
      </c>
      <c r="F15934" s="331">
        <v>0.21</v>
      </c>
      <c r="G15934" s="332">
        <v>791</v>
      </c>
      <c r="H15934" s="333">
        <v>958</v>
      </c>
    </row>
    <row r="15935" spans="1:8">
      <c r="A15935" s="317">
        <v>3604651012</v>
      </c>
      <c r="B15935" s="330" t="s">
        <v>60287</v>
      </c>
      <c r="C15935" s="330" t="s">
        <v>32875</v>
      </c>
      <c r="D15935" s="330" t="s">
        <v>32874</v>
      </c>
      <c r="E15935" s="330" t="s">
        <v>4634</v>
      </c>
      <c r="F15935" s="331">
        <v>0.21</v>
      </c>
      <c r="G15935" s="332">
        <v>678</v>
      </c>
      <c r="H15935" s="333">
        <v>821</v>
      </c>
    </row>
    <row r="15936" spans="1:8">
      <c r="A15936" s="317">
        <v>3604651016</v>
      </c>
      <c r="B15936" s="330" t="s">
        <v>60288</v>
      </c>
      <c r="C15936" s="330" t="s">
        <v>32876</v>
      </c>
      <c r="D15936" s="330" t="s">
        <v>32877</v>
      </c>
      <c r="E15936" s="330" t="s">
        <v>4634</v>
      </c>
      <c r="F15936" s="331">
        <v>0.21</v>
      </c>
      <c r="G15936" s="332">
        <v>678</v>
      </c>
      <c r="H15936" s="333">
        <v>821</v>
      </c>
    </row>
    <row r="15937" spans="1:8">
      <c r="A15937" s="317">
        <v>3604651502</v>
      </c>
      <c r="B15937" s="330" t="s">
        <v>60289</v>
      </c>
      <c r="C15937" s="330" t="s">
        <v>32878</v>
      </c>
      <c r="D15937" s="330" t="s">
        <v>32879</v>
      </c>
      <c r="E15937" s="330" t="s">
        <v>4819</v>
      </c>
      <c r="F15937" s="331">
        <v>0.21</v>
      </c>
      <c r="G15937" s="332">
        <v>3161</v>
      </c>
      <c r="H15937" s="333">
        <v>3825</v>
      </c>
    </row>
    <row r="15938" spans="1:8">
      <c r="A15938" s="317">
        <v>3604651503</v>
      </c>
      <c r="B15938" s="330" t="s">
        <v>60290</v>
      </c>
      <c r="C15938" s="330" t="s">
        <v>32880</v>
      </c>
      <c r="D15938" s="330" t="s">
        <v>32881</v>
      </c>
      <c r="E15938" s="330" t="s">
        <v>4819</v>
      </c>
      <c r="F15938" s="331">
        <v>0.21</v>
      </c>
      <c r="G15938" s="332">
        <v>3303</v>
      </c>
      <c r="H15938" s="333">
        <v>3997</v>
      </c>
    </row>
    <row r="15939" spans="1:8">
      <c r="A15939" s="317">
        <v>3604652500</v>
      </c>
      <c r="B15939" s="330" t="s">
        <v>60291</v>
      </c>
      <c r="C15939" s="330" t="s">
        <v>32882</v>
      </c>
      <c r="D15939" s="330" t="s">
        <v>9404</v>
      </c>
      <c r="E15939" s="330" t="s">
        <v>4634</v>
      </c>
      <c r="F15939" s="331">
        <v>0.21</v>
      </c>
      <c r="G15939" s="332">
        <v>196</v>
      </c>
      <c r="H15939" s="333">
        <v>238</v>
      </c>
    </row>
    <row r="15940" spans="1:8">
      <c r="A15940" s="317">
        <v>3604652501</v>
      </c>
      <c r="B15940" s="330" t="s">
        <v>60292</v>
      </c>
      <c r="C15940" s="330" t="s">
        <v>32883</v>
      </c>
      <c r="D15940" s="330" t="s">
        <v>32884</v>
      </c>
      <c r="E15940" s="330" t="s">
        <v>4634</v>
      </c>
      <c r="F15940" s="331">
        <v>0.21</v>
      </c>
      <c r="G15940" s="332">
        <v>791</v>
      </c>
      <c r="H15940" s="333">
        <v>958</v>
      </c>
    </row>
    <row r="15941" spans="1:8">
      <c r="A15941" s="317">
        <v>3604680002</v>
      </c>
      <c r="B15941" s="330" t="s">
        <v>60293</v>
      </c>
      <c r="C15941" s="330" t="s">
        <v>32885</v>
      </c>
      <c r="D15941" s="330" t="s">
        <v>32886</v>
      </c>
      <c r="E15941" s="330" t="s">
        <v>4634</v>
      </c>
      <c r="F15941" s="331">
        <v>0.21</v>
      </c>
      <c r="G15941" s="332">
        <v>490</v>
      </c>
      <c r="H15941" s="333">
        <v>593</v>
      </c>
    </row>
    <row r="15942" spans="1:8">
      <c r="A15942" s="317">
        <v>3604680500</v>
      </c>
      <c r="B15942" s="330" t="s">
        <v>60294</v>
      </c>
      <c r="C15942" s="330" t="s">
        <v>32887</v>
      </c>
      <c r="D15942" s="330" t="s">
        <v>32888</v>
      </c>
      <c r="E15942" s="330" t="s">
        <v>4634</v>
      </c>
      <c r="F15942" s="331">
        <v>0.21</v>
      </c>
      <c r="G15942" s="332">
        <v>584</v>
      </c>
      <c r="H15942" s="333">
        <v>707</v>
      </c>
    </row>
    <row r="15943" spans="1:8">
      <c r="A15943" s="317">
        <v>3604682002</v>
      </c>
      <c r="B15943" s="330" t="s">
        <v>60295</v>
      </c>
      <c r="C15943" s="330" t="s">
        <v>32889</v>
      </c>
      <c r="D15943" s="330" t="s">
        <v>32890</v>
      </c>
      <c r="E15943" s="330" t="s">
        <v>4634</v>
      </c>
      <c r="F15943" s="331">
        <v>0.21</v>
      </c>
      <c r="G15943" s="332">
        <v>702</v>
      </c>
      <c r="H15943" s="333">
        <v>850</v>
      </c>
    </row>
    <row r="15944" spans="1:8">
      <c r="A15944" s="317">
        <v>3604710003</v>
      </c>
      <c r="B15944" s="330" t="s">
        <v>60296</v>
      </c>
      <c r="C15944" s="330" t="s">
        <v>32891</v>
      </c>
      <c r="D15944" s="330" t="s">
        <v>32892</v>
      </c>
      <c r="E15944" s="330" t="s">
        <v>4634</v>
      </c>
      <c r="F15944" s="331">
        <v>0.21</v>
      </c>
      <c r="G15944" s="332">
        <v>928</v>
      </c>
      <c r="H15944" s="333">
        <v>1123</v>
      </c>
    </row>
    <row r="15945" spans="1:8">
      <c r="A15945" s="317">
        <v>3604710031</v>
      </c>
      <c r="B15945" s="330" t="s">
        <v>60297</v>
      </c>
      <c r="C15945" s="330" t="s">
        <v>32893</v>
      </c>
      <c r="D15945" s="330" t="s">
        <v>31604</v>
      </c>
      <c r="E15945" s="330" t="s">
        <v>4634</v>
      </c>
      <c r="F15945" s="331">
        <v>0.21</v>
      </c>
      <c r="G15945" s="332">
        <v>1956</v>
      </c>
      <c r="H15945" s="333">
        <v>2367</v>
      </c>
    </row>
    <row r="15946" spans="1:8">
      <c r="A15946" s="317">
        <v>3604710054</v>
      </c>
      <c r="B15946" s="330" t="s">
        <v>60298</v>
      </c>
      <c r="C15946" s="330" t="s">
        <v>32894</v>
      </c>
      <c r="D15946" s="330" t="s">
        <v>32895</v>
      </c>
      <c r="E15946" s="330" t="s">
        <v>4634</v>
      </c>
      <c r="F15946" s="331">
        <v>0.21</v>
      </c>
      <c r="G15946" s="332">
        <v>678</v>
      </c>
      <c r="H15946" s="333">
        <v>821</v>
      </c>
    </row>
    <row r="15947" spans="1:8">
      <c r="A15947" s="317">
        <v>3604710055</v>
      </c>
      <c r="B15947" s="330" t="s">
        <v>60299</v>
      </c>
      <c r="C15947" s="330" t="s">
        <v>32896</v>
      </c>
      <c r="D15947" s="330" t="s">
        <v>32897</v>
      </c>
      <c r="E15947" s="330" t="s">
        <v>4634</v>
      </c>
      <c r="F15947" s="331">
        <v>0.21</v>
      </c>
      <c r="G15947" s="332">
        <v>1547</v>
      </c>
      <c r="H15947" s="333">
        <v>1872</v>
      </c>
    </row>
    <row r="15948" spans="1:8">
      <c r="A15948" s="317">
        <v>3604710057</v>
      </c>
      <c r="B15948" s="330" t="s">
        <v>60300</v>
      </c>
      <c r="C15948" s="330" t="s">
        <v>32898</v>
      </c>
      <c r="D15948" s="330" t="s">
        <v>32473</v>
      </c>
      <c r="E15948" s="330" t="s">
        <v>4634</v>
      </c>
      <c r="F15948" s="331">
        <v>0.21</v>
      </c>
      <c r="G15948" s="332">
        <v>1541</v>
      </c>
      <c r="H15948" s="333">
        <v>1865</v>
      </c>
    </row>
    <row r="15949" spans="1:8">
      <c r="A15949" s="317">
        <v>3604730001</v>
      </c>
      <c r="B15949" s="330" t="s">
        <v>60301</v>
      </c>
      <c r="C15949" s="330" t="s">
        <v>32899</v>
      </c>
      <c r="D15949" s="330" t="s">
        <v>32900</v>
      </c>
      <c r="E15949" s="330" t="s">
        <v>4634</v>
      </c>
      <c r="F15949" s="331">
        <v>0.21</v>
      </c>
      <c r="G15949" s="332">
        <v>657</v>
      </c>
      <c r="H15949" s="333">
        <v>795</v>
      </c>
    </row>
    <row r="15950" spans="1:8">
      <c r="A15950" s="317">
        <v>3604736505</v>
      </c>
      <c r="B15950" s="330" t="s">
        <v>60302</v>
      </c>
      <c r="C15950" s="330" t="s">
        <v>32901</v>
      </c>
      <c r="D15950" s="330" t="s">
        <v>32902</v>
      </c>
      <c r="E15950" s="330" t="s">
        <v>4634</v>
      </c>
      <c r="F15950" s="331">
        <v>0.21</v>
      </c>
      <c r="G15950" s="332">
        <v>3383</v>
      </c>
      <c r="H15950" s="333">
        <v>4094</v>
      </c>
    </row>
    <row r="15951" spans="1:8">
      <c r="A15951" s="317">
        <v>3605102040</v>
      </c>
      <c r="B15951" s="330" t="s">
        <v>60303</v>
      </c>
      <c r="C15951" s="330" t="s">
        <v>32903</v>
      </c>
      <c r="D15951" s="330" t="s">
        <v>32904</v>
      </c>
      <c r="E15951" s="330" t="s">
        <v>4634</v>
      </c>
      <c r="F15951" s="331">
        <v>0.21</v>
      </c>
      <c r="G15951" s="332">
        <v>59985</v>
      </c>
      <c r="H15951" s="333">
        <v>72582</v>
      </c>
    </row>
    <row r="15952" spans="1:8">
      <c r="A15952" s="317">
        <v>3605102076</v>
      </c>
      <c r="B15952" s="330" t="s">
        <v>60304</v>
      </c>
      <c r="C15952" s="330" t="s">
        <v>32905</v>
      </c>
      <c r="D15952" s="330" t="s">
        <v>32906</v>
      </c>
      <c r="E15952" s="330" t="s">
        <v>4634</v>
      </c>
      <c r="F15952" s="331">
        <v>0.21</v>
      </c>
      <c r="G15952" s="332">
        <v>12599</v>
      </c>
      <c r="H15952" s="333">
        <v>15245</v>
      </c>
    </row>
    <row r="15953" spans="1:8">
      <c r="A15953" s="317">
        <v>3605102079</v>
      </c>
      <c r="B15953" s="330" t="s">
        <v>60305</v>
      </c>
      <c r="C15953" s="330" t="s">
        <v>32907</v>
      </c>
      <c r="D15953" s="330" t="s">
        <v>32908</v>
      </c>
      <c r="E15953" s="330" t="s">
        <v>4634</v>
      </c>
      <c r="F15953" s="331">
        <v>0.21</v>
      </c>
      <c r="G15953" s="332">
        <v>48456</v>
      </c>
      <c r="H15953" s="333">
        <v>58632</v>
      </c>
    </row>
    <row r="15954" spans="1:8">
      <c r="A15954" s="317">
        <v>3605105014</v>
      </c>
      <c r="B15954" s="330" t="s">
        <v>60306</v>
      </c>
      <c r="C15954" s="330" t="s">
        <v>32909</v>
      </c>
      <c r="D15954" s="330" t="s">
        <v>32910</v>
      </c>
      <c r="E15954" s="330" t="s">
        <v>4634</v>
      </c>
      <c r="F15954" s="331">
        <v>0.21</v>
      </c>
      <c r="G15954" s="332">
        <v>21286</v>
      </c>
      <c r="H15954" s="333">
        <v>25757</v>
      </c>
    </row>
    <row r="15955" spans="1:8">
      <c r="A15955" s="317">
        <v>3605105015</v>
      </c>
      <c r="B15955" s="330" t="s">
        <v>60307</v>
      </c>
      <c r="C15955" s="330" t="s">
        <v>32911</v>
      </c>
      <c r="D15955" s="330" t="s">
        <v>5822</v>
      </c>
      <c r="E15955" s="330" t="s">
        <v>4634</v>
      </c>
      <c r="F15955" s="331">
        <v>0.21</v>
      </c>
      <c r="G15955" s="332">
        <v>2732</v>
      </c>
      <c r="H15955" s="333">
        <v>3306</v>
      </c>
    </row>
    <row r="15956" spans="1:8">
      <c r="A15956" s="317">
        <v>3605105016</v>
      </c>
      <c r="B15956" s="330" t="s">
        <v>60308</v>
      </c>
      <c r="C15956" s="330" t="s">
        <v>32912</v>
      </c>
      <c r="D15956" s="330" t="s">
        <v>32913</v>
      </c>
      <c r="E15956" s="330" t="s">
        <v>4634</v>
      </c>
      <c r="F15956" s="331">
        <v>0.21</v>
      </c>
      <c r="G15956" s="332">
        <v>15941</v>
      </c>
      <c r="H15956" s="333">
        <v>19289</v>
      </c>
    </row>
    <row r="15957" spans="1:8">
      <c r="A15957" s="317">
        <v>3605105017</v>
      </c>
      <c r="B15957" s="330" t="s">
        <v>60309</v>
      </c>
      <c r="C15957" s="330" t="s">
        <v>32914</v>
      </c>
      <c r="D15957" s="330" t="s">
        <v>32915</v>
      </c>
      <c r="E15957" s="330" t="s">
        <v>4634</v>
      </c>
      <c r="F15957" s="331">
        <v>0.21</v>
      </c>
      <c r="G15957" s="332">
        <v>31861</v>
      </c>
      <c r="H15957" s="333">
        <v>38552</v>
      </c>
    </row>
    <row r="15958" spans="1:8">
      <c r="A15958" s="317">
        <v>3605105019</v>
      </c>
      <c r="B15958" s="330" t="s">
        <v>60310</v>
      </c>
      <c r="C15958" s="330" t="s">
        <v>32916</v>
      </c>
      <c r="D15958" s="330" t="s">
        <v>32917</v>
      </c>
      <c r="E15958" s="330" t="s">
        <v>4623</v>
      </c>
      <c r="F15958" s="331">
        <v>0.21</v>
      </c>
      <c r="G15958" s="332">
        <v>8615</v>
      </c>
      <c r="H15958" s="333">
        <v>10425</v>
      </c>
    </row>
    <row r="15959" spans="1:8">
      <c r="A15959" s="317">
        <v>3605105020</v>
      </c>
      <c r="B15959" s="330" t="s">
        <v>60311</v>
      </c>
      <c r="C15959" s="330" t="s">
        <v>32918</v>
      </c>
      <c r="D15959" s="330" t="s">
        <v>32917</v>
      </c>
      <c r="E15959" s="330" t="s">
        <v>4623</v>
      </c>
      <c r="F15959" s="331">
        <v>0.21</v>
      </c>
      <c r="G15959" s="332">
        <v>8615</v>
      </c>
      <c r="H15959" s="333">
        <v>10425</v>
      </c>
    </row>
    <row r="15960" spans="1:8">
      <c r="A15960" s="317">
        <v>3605105023</v>
      </c>
      <c r="B15960" s="330" t="s">
        <v>60312</v>
      </c>
      <c r="C15960" s="330" t="s">
        <v>32919</v>
      </c>
      <c r="D15960" s="330" t="s">
        <v>32920</v>
      </c>
      <c r="E15960" s="330" t="s">
        <v>4634</v>
      </c>
      <c r="F15960" s="331">
        <v>0.21</v>
      </c>
      <c r="G15960" s="332">
        <v>707</v>
      </c>
      <c r="H15960" s="333">
        <v>856</v>
      </c>
    </row>
    <row r="15961" spans="1:8">
      <c r="A15961" s="317">
        <v>3605105024</v>
      </c>
      <c r="B15961" s="330" t="s">
        <v>60313</v>
      </c>
      <c r="C15961" s="330" t="s">
        <v>32921</v>
      </c>
      <c r="D15961" s="330" t="s">
        <v>32920</v>
      </c>
      <c r="E15961" s="330" t="s">
        <v>4634</v>
      </c>
      <c r="F15961" s="331">
        <v>0.21</v>
      </c>
      <c r="G15961" s="332">
        <v>1956</v>
      </c>
      <c r="H15961" s="333">
        <v>2367</v>
      </c>
    </row>
    <row r="15962" spans="1:8">
      <c r="A15962" s="317">
        <v>3605105025</v>
      </c>
      <c r="B15962" s="330" t="s">
        <v>60314</v>
      </c>
      <c r="C15962" s="330" t="s">
        <v>32922</v>
      </c>
      <c r="D15962" s="330" t="s">
        <v>32923</v>
      </c>
      <c r="E15962" s="330" t="s">
        <v>4819</v>
      </c>
      <c r="F15962" s="331">
        <v>0.21</v>
      </c>
      <c r="G15962" s="332">
        <v>108011</v>
      </c>
      <c r="H15962" s="333">
        <v>130694</v>
      </c>
    </row>
    <row r="15963" spans="1:8">
      <c r="A15963" s="317">
        <v>3605105027</v>
      </c>
      <c r="B15963" s="330" t="s">
        <v>60315</v>
      </c>
      <c r="C15963" s="330" t="s">
        <v>32924</v>
      </c>
      <c r="D15963" s="330" t="s">
        <v>5822</v>
      </c>
      <c r="E15963" s="330" t="s">
        <v>4634</v>
      </c>
      <c r="F15963" s="331">
        <v>0.21</v>
      </c>
      <c r="G15963" s="332">
        <v>3294</v>
      </c>
      <c r="H15963" s="333">
        <v>3986</v>
      </c>
    </row>
    <row r="15964" spans="1:8">
      <c r="A15964" s="317">
        <v>3605105028</v>
      </c>
      <c r="B15964" s="330" t="s">
        <v>60316</v>
      </c>
      <c r="C15964" s="330" t="s">
        <v>32925</v>
      </c>
      <c r="D15964" s="330" t="s">
        <v>5822</v>
      </c>
      <c r="E15964" s="330" t="s">
        <v>4819</v>
      </c>
      <c r="F15964" s="331">
        <v>0.21</v>
      </c>
      <c r="G15964" s="332">
        <v>37117</v>
      </c>
      <c r="H15964" s="333">
        <v>44912</v>
      </c>
    </row>
    <row r="15965" spans="1:8">
      <c r="A15965" s="317">
        <v>3605105029</v>
      </c>
      <c r="B15965" s="330" t="s">
        <v>60317</v>
      </c>
      <c r="C15965" s="330" t="s">
        <v>32926</v>
      </c>
      <c r="D15965" s="330" t="s">
        <v>5822</v>
      </c>
      <c r="E15965" s="330" t="s">
        <v>4634</v>
      </c>
      <c r="F15965" s="331">
        <v>0.21</v>
      </c>
      <c r="G15965" s="332">
        <v>16739</v>
      </c>
      <c r="H15965" s="333">
        <v>20255</v>
      </c>
    </row>
    <row r="15966" spans="1:8">
      <c r="A15966" s="317">
        <v>3605105030</v>
      </c>
      <c r="B15966" s="330" t="s">
        <v>60318</v>
      </c>
      <c r="C15966" s="330" t="s">
        <v>32927</v>
      </c>
      <c r="D15966" s="330" t="s">
        <v>5822</v>
      </c>
      <c r="E15966" s="330" t="s">
        <v>4634</v>
      </c>
      <c r="F15966" s="331">
        <v>0.21</v>
      </c>
      <c r="G15966" s="332">
        <v>2821</v>
      </c>
      <c r="H15966" s="333">
        <v>3414</v>
      </c>
    </row>
    <row r="15967" spans="1:8">
      <c r="A15967" s="317">
        <v>3605105035</v>
      </c>
      <c r="B15967" s="330" t="s">
        <v>60319</v>
      </c>
      <c r="C15967" s="330" t="s">
        <v>32928</v>
      </c>
      <c r="D15967" s="330" t="s">
        <v>32929</v>
      </c>
      <c r="E15967" s="330" t="s">
        <v>4634</v>
      </c>
      <c r="F15967" s="331">
        <v>0.21</v>
      </c>
      <c r="G15967" s="332">
        <v>2732</v>
      </c>
      <c r="H15967" s="333">
        <v>3306</v>
      </c>
    </row>
    <row r="15968" spans="1:8">
      <c r="A15968" s="317">
        <v>3605106071</v>
      </c>
      <c r="B15968" s="330" t="s">
        <v>60320</v>
      </c>
      <c r="C15968" s="330" t="s">
        <v>32930</v>
      </c>
      <c r="D15968" s="330" t="s">
        <v>32931</v>
      </c>
      <c r="E15968" s="330" t="s">
        <v>4634</v>
      </c>
      <c r="F15968" s="331">
        <v>0.21</v>
      </c>
      <c r="G15968" s="332">
        <v>36963</v>
      </c>
      <c r="H15968" s="333">
        <v>44726</v>
      </c>
    </row>
    <row r="15969" spans="1:8">
      <c r="A15969" s="317">
        <v>3605106093</v>
      </c>
      <c r="B15969" s="330" t="s">
        <v>60321</v>
      </c>
      <c r="C15969" s="330" t="s">
        <v>32932</v>
      </c>
      <c r="D15969" s="330" t="s">
        <v>32933</v>
      </c>
      <c r="E15969" s="330" t="s">
        <v>4634</v>
      </c>
      <c r="F15969" s="331">
        <v>0.21</v>
      </c>
      <c r="G15969" s="332">
        <v>137953</v>
      </c>
      <c r="H15969" s="333">
        <v>166924</v>
      </c>
    </row>
    <row r="15970" spans="1:8">
      <c r="A15970" s="317">
        <v>3605106107</v>
      </c>
      <c r="B15970" s="330" t="s">
        <v>60322</v>
      </c>
      <c r="C15970" s="330" t="s">
        <v>32934</v>
      </c>
      <c r="D15970" s="330" t="s">
        <v>32935</v>
      </c>
      <c r="E15970" s="330" t="s">
        <v>37248</v>
      </c>
      <c r="F15970" s="331">
        <v>0.21</v>
      </c>
      <c r="G15970" s="332">
        <v>10348</v>
      </c>
      <c r="H15970" s="333">
        <v>12522</v>
      </c>
    </row>
    <row r="15971" spans="1:8">
      <c r="A15971" s="317">
        <v>3605108040</v>
      </c>
      <c r="B15971" s="330" t="s">
        <v>60323</v>
      </c>
      <c r="C15971" s="330" t="s">
        <v>32936</v>
      </c>
      <c r="D15971" s="330" t="s">
        <v>32937</v>
      </c>
      <c r="E15971" s="330" t="s">
        <v>4634</v>
      </c>
      <c r="F15971" s="331">
        <v>0.21</v>
      </c>
      <c r="G15971" s="332">
        <v>4432</v>
      </c>
      <c r="H15971" s="333">
        <v>5363</v>
      </c>
    </row>
    <row r="15972" spans="1:8">
      <c r="A15972" s="317">
        <v>3605108045</v>
      </c>
      <c r="B15972" s="330" t="s">
        <v>60324</v>
      </c>
      <c r="C15972" s="330" t="s">
        <v>32938</v>
      </c>
      <c r="D15972" s="330" t="s">
        <v>32939</v>
      </c>
      <c r="E15972" s="330" t="s">
        <v>4634</v>
      </c>
      <c r="F15972" s="331">
        <v>0.21</v>
      </c>
      <c r="G15972" s="332">
        <v>2059</v>
      </c>
      <c r="H15972" s="333">
        <v>2492</v>
      </c>
    </row>
    <row r="15973" spans="1:8">
      <c r="A15973" s="317">
        <v>3605108053</v>
      </c>
      <c r="B15973" s="330" t="s">
        <v>60325</v>
      </c>
      <c r="C15973" s="330" t="s">
        <v>32940</v>
      </c>
      <c r="D15973" s="330" t="s">
        <v>32941</v>
      </c>
      <c r="E15973" s="330" t="s">
        <v>4634</v>
      </c>
      <c r="F15973" s="331">
        <v>0.21</v>
      </c>
      <c r="G15973" s="332">
        <v>5123</v>
      </c>
      <c r="H15973" s="333">
        <v>6199</v>
      </c>
    </row>
    <row r="15974" spans="1:8">
      <c r="A15974" s="317">
        <v>3605108056</v>
      </c>
      <c r="B15974" s="330" t="s">
        <v>60326</v>
      </c>
      <c r="C15974" s="330" t="s">
        <v>32942</v>
      </c>
      <c r="D15974" s="330" t="s">
        <v>32943</v>
      </c>
      <c r="E15974" s="330" t="s">
        <v>4634</v>
      </c>
      <c r="F15974" s="331">
        <v>0.21</v>
      </c>
      <c r="G15974" s="332">
        <v>4432</v>
      </c>
      <c r="H15974" s="333">
        <v>5363</v>
      </c>
    </row>
    <row r="15975" spans="1:8">
      <c r="A15975" s="317">
        <v>3605108059</v>
      </c>
      <c r="B15975" s="330" t="s">
        <v>60327</v>
      </c>
      <c r="C15975" s="330" t="s">
        <v>32944</v>
      </c>
      <c r="D15975" s="330" t="s">
        <v>32945</v>
      </c>
      <c r="E15975" s="330" t="s">
        <v>4634</v>
      </c>
      <c r="F15975" s="331">
        <v>0.21</v>
      </c>
      <c r="G15975" s="332">
        <v>6065</v>
      </c>
      <c r="H15975" s="333">
        <v>7339</v>
      </c>
    </row>
    <row r="15976" spans="1:8">
      <c r="A15976" s="317">
        <v>3605108070</v>
      </c>
      <c r="B15976" s="330" t="s">
        <v>60328</v>
      </c>
      <c r="C15976" s="330" t="s">
        <v>32946</v>
      </c>
      <c r="D15976" s="330" t="s">
        <v>32947</v>
      </c>
      <c r="E15976" s="330" t="s">
        <v>4634</v>
      </c>
      <c r="F15976" s="331">
        <v>0.21</v>
      </c>
      <c r="G15976" s="332">
        <v>6542</v>
      </c>
      <c r="H15976" s="333">
        <v>7916</v>
      </c>
    </row>
    <row r="15977" spans="1:8">
      <c r="A15977" s="317">
        <v>3605108072</v>
      </c>
      <c r="B15977" s="330" t="s">
        <v>60329</v>
      </c>
      <c r="C15977" s="330" t="s">
        <v>32948</v>
      </c>
      <c r="D15977" s="330" t="s">
        <v>32949</v>
      </c>
      <c r="E15977" s="330" t="s">
        <v>4634</v>
      </c>
      <c r="F15977" s="331">
        <v>0.21</v>
      </c>
      <c r="G15977" s="332">
        <v>7551</v>
      </c>
      <c r="H15977" s="333">
        <v>9137</v>
      </c>
    </row>
    <row r="15978" spans="1:8">
      <c r="A15978" s="317">
        <v>3605108073</v>
      </c>
      <c r="B15978" s="330" t="s">
        <v>60330</v>
      </c>
      <c r="C15978" s="330" t="s">
        <v>32950</v>
      </c>
      <c r="D15978" s="330" t="s">
        <v>32951</v>
      </c>
      <c r="E15978" s="330" t="s">
        <v>4634</v>
      </c>
      <c r="F15978" s="331">
        <v>0.21</v>
      </c>
      <c r="G15978" s="332">
        <v>9166</v>
      </c>
      <c r="H15978" s="333">
        <v>11091</v>
      </c>
    </row>
    <row r="15979" spans="1:8">
      <c r="A15979" s="317">
        <v>3605108084</v>
      </c>
      <c r="B15979" s="330" t="s">
        <v>60331</v>
      </c>
      <c r="C15979" s="330" t="s">
        <v>32952</v>
      </c>
      <c r="D15979" s="330" t="s">
        <v>32949</v>
      </c>
      <c r="E15979" s="330" t="s">
        <v>4634</v>
      </c>
      <c r="F15979" s="331">
        <v>0.21</v>
      </c>
      <c r="G15979" s="332">
        <v>10598</v>
      </c>
      <c r="H15979" s="333">
        <v>12824</v>
      </c>
    </row>
    <row r="15980" spans="1:8">
      <c r="A15980" s="317">
        <v>3605108091</v>
      </c>
      <c r="B15980" s="330" t="s">
        <v>60332</v>
      </c>
      <c r="C15980" s="330" t="s">
        <v>32953</v>
      </c>
      <c r="D15980" s="330" t="s">
        <v>32954</v>
      </c>
      <c r="E15980" s="330" t="s">
        <v>4634</v>
      </c>
      <c r="F15980" s="331">
        <v>0.21</v>
      </c>
      <c r="G15980" s="332">
        <v>8307</v>
      </c>
      <c r="H15980" s="333">
        <v>10052</v>
      </c>
    </row>
    <row r="15981" spans="1:8">
      <c r="A15981" s="317">
        <v>3605108092</v>
      </c>
      <c r="B15981" s="330" t="s">
        <v>60333</v>
      </c>
      <c r="C15981" s="330" t="s">
        <v>32955</v>
      </c>
      <c r="D15981" s="330" t="s">
        <v>32956</v>
      </c>
      <c r="E15981" s="330" t="s">
        <v>4634</v>
      </c>
      <c r="F15981" s="331">
        <v>0.21</v>
      </c>
      <c r="G15981" s="332">
        <v>7069</v>
      </c>
      <c r="H15981" s="333">
        <v>8554</v>
      </c>
    </row>
    <row r="15982" spans="1:8">
      <c r="A15982" s="317">
        <v>3605108101</v>
      </c>
      <c r="B15982" s="330" t="s">
        <v>60334</v>
      </c>
      <c r="C15982" s="330" t="s">
        <v>32957</v>
      </c>
      <c r="D15982" s="330" t="s">
        <v>32958</v>
      </c>
      <c r="E15982" s="330" t="s">
        <v>4634</v>
      </c>
      <c r="F15982" s="331">
        <v>0.21</v>
      </c>
      <c r="G15982" s="332">
        <v>3894</v>
      </c>
      <c r="H15982" s="333">
        <v>4712</v>
      </c>
    </row>
    <row r="15983" spans="1:8">
      <c r="A15983" s="317">
        <v>3605108109</v>
      </c>
      <c r="B15983" s="330" t="s">
        <v>60335</v>
      </c>
      <c r="C15983" s="330" t="s">
        <v>32959</v>
      </c>
      <c r="D15983" s="330" t="s">
        <v>9487</v>
      </c>
      <c r="E15983" s="330" t="s">
        <v>4819</v>
      </c>
      <c r="F15983" s="331">
        <v>0.21</v>
      </c>
      <c r="G15983" s="332">
        <v>74014</v>
      </c>
      <c r="H15983" s="333">
        <v>89557</v>
      </c>
    </row>
    <row r="15984" spans="1:8">
      <c r="A15984" s="317">
        <v>3605108114</v>
      </c>
      <c r="B15984" s="330" t="s">
        <v>60336</v>
      </c>
      <c r="C15984" s="330" t="s">
        <v>32960</v>
      </c>
      <c r="D15984" s="330" t="s">
        <v>32949</v>
      </c>
      <c r="E15984" s="330" t="s">
        <v>4634</v>
      </c>
      <c r="F15984" s="331">
        <v>0.21</v>
      </c>
      <c r="G15984" s="332">
        <v>140080</v>
      </c>
      <c r="H15984" s="333">
        <v>169497</v>
      </c>
    </row>
    <row r="15985" spans="1:8">
      <c r="A15985" s="317">
        <v>3605108159</v>
      </c>
      <c r="B15985" s="330" t="s">
        <v>60337</v>
      </c>
      <c r="C15985" s="330" t="s">
        <v>32961</v>
      </c>
      <c r="D15985" s="330" t="s">
        <v>32962</v>
      </c>
      <c r="E15985" s="330" t="s">
        <v>4634</v>
      </c>
      <c r="F15985" s="331">
        <v>0.21</v>
      </c>
      <c r="G15985" s="332">
        <v>59985</v>
      </c>
      <c r="H15985" s="333">
        <v>72582</v>
      </c>
    </row>
    <row r="15986" spans="1:8">
      <c r="A15986" s="317">
        <v>3605108160</v>
      </c>
      <c r="B15986" s="330" t="s">
        <v>60338</v>
      </c>
      <c r="C15986" s="330" t="s">
        <v>32963</v>
      </c>
      <c r="D15986" s="330" t="s">
        <v>18924</v>
      </c>
      <c r="E15986" s="330" t="s">
        <v>4634</v>
      </c>
      <c r="F15986" s="331">
        <v>0.21</v>
      </c>
      <c r="G15986" s="332">
        <v>48456</v>
      </c>
      <c r="H15986" s="333">
        <v>58632</v>
      </c>
    </row>
    <row r="15987" spans="1:8">
      <c r="A15987" s="317">
        <v>3605108161</v>
      </c>
      <c r="B15987" s="330" t="s">
        <v>60339</v>
      </c>
      <c r="C15987" s="330" t="s">
        <v>32964</v>
      </c>
      <c r="D15987" s="330" t="s">
        <v>32965</v>
      </c>
      <c r="E15987" s="330" t="s">
        <v>4634</v>
      </c>
      <c r="F15987" s="331">
        <v>0.21</v>
      </c>
      <c r="G15987" s="332">
        <v>47744</v>
      </c>
      <c r="H15987" s="333">
        <v>57771</v>
      </c>
    </row>
    <row r="15988" spans="1:8">
      <c r="A15988" s="317">
        <v>3605108171</v>
      </c>
      <c r="B15988" s="330" t="s">
        <v>60340</v>
      </c>
      <c r="C15988" s="330" t="s">
        <v>32966</v>
      </c>
      <c r="D15988" s="330" t="s">
        <v>32967</v>
      </c>
      <c r="E15988" s="330" t="s">
        <v>4634</v>
      </c>
      <c r="F15988" s="331">
        <v>0.21</v>
      </c>
      <c r="G15988" s="332">
        <v>40838</v>
      </c>
      <c r="H15988" s="333">
        <v>49414</v>
      </c>
    </row>
    <row r="15989" spans="1:8">
      <c r="A15989" s="317">
        <v>3605108181</v>
      </c>
      <c r="B15989" s="330" t="s">
        <v>60341</v>
      </c>
      <c r="C15989" s="330" t="s">
        <v>32968</v>
      </c>
      <c r="D15989" s="330" t="s">
        <v>32969</v>
      </c>
      <c r="E15989" s="330" t="s">
        <v>4634</v>
      </c>
      <c r="F15989" s="331">
        <v>0.21</v>
      </c>
      <c r="G15989" s="332">
        <v>13721</v>
      </c>
      <c r="H15989" s="333">
        <v>16603</v>
      </c>
    </row>
    <row r="15990" spans="1:8">
      <c r="A15990" s="317">
        <v>3605108193</v>
      </c>
      <c r="B15990" s="330" t="s">
        <v>60342</v>
      </c>
      <c r="C15990" s="330" t="s">
        <v>32970</v>
      </c>
      <c r="D15990" s="330" t="s">
        <v>32971</v>
      </c>
      <c r="E15990" s="330" t="s">
        <v>4634</v>
      </c>
      <c r="F15990" s="331">
        <v>0.21</v>
      </c>
      <c r="G15990" s="332">
        <v>9712</v>
      </c>
      <c r="H15990" s="333">
        <v>11752</v>
      </c>
    </row>
    <row r="15991" spans="1:8">
      <c r="A15991" s="317">
        <v>3605108194</v>
      </c>
      <c r="B15991" s="330" t="s">
        <v>60343</v>
      </c>
      <c r="C15991" s="330" t="s">
        <v>32972</v>
      </c>
      <c r="D15991" s="330" t="s">
        <v>32973</v>
      </c>
      <c r="E15991" s="330" t="s">
        <v>4634</v>
      </c>
      <c r="F15991" s="331">
        <v>0.21</v>
      </c>
      <c r="G15991" s="332">
        <v>14687</v>
      </c>
      <c r="H15991" s="333">
        <v>17772</v>
      </c>
    </row>
    <row r="15992" spans="1:8">
      <c r="A15992" s="317">
        <v>3605108557</v>
      </c>
      <c r="B15992" s="330" t="s">
        <v>60344</v>
      </c>
      <c r="C15992" s="330" t="s">
        <v>32974</v>
      </c>
      <c r="D15992" s="330" t="s">
        <v>32975</v>
      </c>
      <c r="E15992" s="330" t="s">
        <v>37248</v>
      </c>
      <c r="F15992" s="331">
        <v>0.21</v>
      </c>
      <c r="G15992" s="332">
        <v>33336</v>
      </c>
      <c r="H15992" s="333">
        <v>40337</v>
      </c>
    </row>
    <row r="15993" spans="1:8">
      <c r="A15993" s="317">
        <v>3605108561</v>
      </c>
      <c r="B15993" s="330" t="s">
        <v>60345</v>
      </c>
      <c r="C15993" s="330" t="s">
        <v>32976</v>
      </c>
      <c r="D15993" s="330" t="s">
        <v>32977</v>
      </c>
      <c r="E15993" s="330" t="s">
        <v>4634</v>
      </c>
      <c r="F15993" s="331">
        <v>0.21</v>
      </c>
      <c r="G15993" s="332">
        <v>21649</v>
      </c>
      <c r="H15993" s="333">
        <v>26196</v>
      </c>
    </row>
    <row r="15994" spans="1:8">
      <c r="A15994" s="317">
        <v>3605108566</v>
      </c>
      <c r="B15994" s="330" t="s">
        <v>60346</v>
      </c>
      <c r="C15994" s="330" t="s">
        <v>32978</v>
      </c>
      <c r="D15994" s="330" t="s">
        <v>32979</v>
      </c>
      <c r="E15994" s="330" t="s">
        <v>4634</v>
      </c>
      <c r="F15994" s="331">
        <v>0.21</v>
      </c>
      <c r="G15994" s="332">
        <v>678</v>
      </c>
      <c r="H15994" s="333">
        <v>821</v>
      </c>
    </row>
    <row r="15995" spans="1:8">
      <c r="A15995" s="317">
        <v>3605108580</v>
      </c>
      <c r="B15995" s="330" t="s">
        <v>60347</v>
      </c>
      <c r="C15995" s="330" t="s">
        <v>32980</v>
      </c>
      <c r="D15995" s="330" t="s">
        <v>32981</v>
      </c>
      <c r="E15995" s="330" t="s">
        <v>4634</v>
      </c>
      <c r="F15995" s="331">
        <v>0.21</v>
      </c>
      <c r="G15995" s="332">
        <v>6960</v>
      </c>
      <c r="H15995" s="333">
        <v>8422</v>
      </c>
    </row>
    <row r="15996" spans="1:8">
      <c r="A15996" s="317">
        <v>3605108584</v>
      </c>
      <c r="B15996" s="330" t="s">
        <v>60348</v>
      </c>
      <c r="C15996" s="330" t="s">
        <v>32982</v>
      </c>
      <c r="D15996" s="330" t="s">
        <v>5822</v>
      </c>
      <c r="E15996" s="330" t="s">
        <v>4819</v>
      </c>
      <c r="F15996" s="331">
        <v>0.21</v>
      </c>
      <c r="G15996" s="332">
        <v>51113</v>
      </c>
      <c r="H15996" s="333">
        <v>61847</v>
      </c>
    </row>
    <row r="15997" spans="1:8">
      <c r="A15997" s="317">
        <v>3605109000</v>
      </c>
      <c r="B15997" s="330" t="s">
        <v>60349</v>
      </c>
      <c r="C15997" s="330" t="s">
        <v>32983</v>
      </c>
      <c r="D15997" s="330" t="s">
        <v>32984</v>
      </c>
      <c r="E15997" s="330" t="s">
        <v>4634</v>
      </c>
      <c r="F15997" s="331">
        <v>0.21</v>
      </c>
      <c r="G15997" s="332">
        <v>1043</v>
      </c>
      <c r="H15997" s="333">
        <v>1263</v>
      </c>
    </row>
    <row r="15998" spans="1:8">
      <c r="A15998" s="317">
        <v>3605110078</v>
      </c>
      <c r="B15998" s="330" t="s">
        <v>60350</v>
      </c>
      <c r="C15998" s="330" t="s">
        <v>32985</v>
      </c>
      <c r="D15998" s="330" t="s">
        <v>32073</v>
      </c>
      <c r="E15998" s="330" t="s">
        <v>4634</v>
      </c>
      <c r="F15998" s="331">
        <v>0.21</v>
      </c>
      <c r="G15998" s="332">
        <v>72241</v>
      </c>
      <c r="H15998" s="333">
        <v>87412</v>
      </c>
    </row>
    <row r="15999" spans="1:8">
      <c r="A15999" s="317">
        <v>3605110079</v>
      </c>
      <c r="B15999" s="330" t="s">
        <v>60351</v>
      </c>
      <c r="C15999" s="330" t="s">
        <v>32986</v>
      </c>
      <c r="D15999" s="330" t="s">
        <v>32073</v>
      </c>
      <c r="E15999" s="330" t="s">
        <v>4634</v>
      </c>
      <c r="F15999" s="331">
        <v>0.21</v>
      </c>
      <c r="G15999" s="332">
        <v>92938</v>
      </c>
      <c r="H15999" s="333">
        <v>112455</v>
      </c>
    </row>
    <row r="16000" spans="1:8">
      <c r="A16000" s="317">
        <v>3605125031</v>
      </c>
      <c r="B16000" s="330" t="s">
        <v>60352</v>
      </c>
      <c r="C16000" s="330" t="s">
        <v>32987</v>
      </c>
      <c r="D16000" s="330" t="s">
        <v>5073</v>
      </c>
      <c r="E16000" s="330" t="s">
        <v>4634</v>
      </c>
      <c r="F16000" s="331">
        <v>0.21</v>
      </c>
      <c r="G16000" s="332">
        <v>11124</v>
      </c>
      <c r="H16000" s="333">
        <v>13461</v>
      </c>
    </row>
    <row r="16001" spans="1:8">
      <c r="A16001" s="317">
        <v>3605125032</v>
      </c>
      <c r="B16001" s="330" t="s">
        <v>60353</v>
      </c>
      <c r="C16001" s="330" t="s">
        <v>32988</v>
      </c>
      <c r="D16001" s="330" t="s">
        <v>32989</v>
      </c>
      <c r="E16001" s="330" t="s">
        <v>4634</v>
      </c>
      <c r="F16001" s="331">
        <v>0.21</v>
      </c>
      <c r="G16001" s="332">
        <v>903</v>
      </c>
      <c r="H16001" s="333">
        <v>1093</v>
      </c>
    </row>
    <row r="16002" spans="1:8">
      <c r="A16002" s="317">
        <v>3605125033</v>
      </c>
      <c r="B16002" s="330" t="s">
        <v>60354</v>
      </c>
      <c r="C16002" s="330" t="s">
        <v>32990</v>
      </c>
      <c r="D16002" s="330" t="s">
        <v>32991</v>
      </c>
      <c r="E16002" s="330" t="s">
        <v>4634</v>
      </c>
      <c r="F16002" s="331">
        <v>0.21</v>
      </c>
      <c r="G16002" s="332">
        <v>5652</v>
      </c>
      <c r="H16002" s="333">
        <v>6839</v>
      </c>
    </row>
    <row r="16003" spans="1:8">
      <c r="A16003" s="317">
        <v>3605125034</v>
      </c>
      <c r="B16003" s="330" t="s">
        <v>60355</v>
      </c>
      <c r="C16003" s="330" t="s">
        <v>32992</v>
      </c>
      <c r="D16003" s="330" t="s">
        <v>32993</v>
      </c>
      <c r="E16003" s="330" t="s">
        <v>4634</v>
      </c>
      <c r="F16003" s="331">
        <v>0.21</v>
      </c>
      <c r="G16003" s="332">
        <v>12447</v>
      </c>
      <c r="H16003" s="333">
        <v>15061</v>
      </c>
    </row>
    <row r="16004" spans="1:8">
      <c r="A16004" s="317">
        <v>3605125049</v>
      </c>
      <c r="B16004" s="330" t="s">
        <v>60356</v>
      </c>
      <c r="C16004" s="330" t="s">
        <v>32994</v>
      </c>
      <c r="D16004" s="330" t="s">
        <v>32995</v>
      </c>
      <c r="E16004" s="330" t="s">
        <v>4634</v>
      </c>
      <c r="F16004" s="331">
        <v>0.21</v>
      </c>
      <c r="G16004" s="332">
        <v>2232</v>
      </c>
      <c r="H16004" s="333">
        <v>2701</v>
      </c>
    </row>
    <row r="16005" spans="1:8">
      <c r="A16005" s="317">
        <v>3605125050</v>
      </c>
      <c r="B16005" s="330" t="s">
        <v>60357</v>
      </c>
      <c r="C16005" s="330" t="s">
        <v>32996</v>
      </c>
      <c r="D16005" s="330" t="s">
        <v>32997</v>
      </c>
      <c r="E16005" s="330" t="s">
        <v>4634</v>
      </c>
      <c r="F16005" s="331">
        <v>0.21</v>
      </c>
      <c r="G16005" s="332">
        <v>21758</v>
      </c>
      <c r="H16005" s="333">
        <v>26328</v>
      </c>
    </row>
    <row r="16006" spans="1:8">
      <c r="A16006" s="317">
        <v>3605125051</v>
      </c>
      <c r="B16006" s="330" t="s">
        <v>60358</v>
      </c>
      <c r="C16006" s="330" t="s">
        <v>32998</v>
      </c>
      <c r="D16006" s="330" t="s">
        <v>32993</v>
      </c>
      <c r="E16006" s="330" t="s">
        <v>4634</v>
      </c>
      <c r="F16006" s="331">
        <v>0.21</v>
      </c>
      <c r="G16006" s="332">
        <v>13721</v>
      </c>
      <c r="H16006" s="333">
        <v>16603</v>
      </c>
    </row>
    <row r="16007" spans="1:8">
      <c r="A16007" s="317">
        <v>3605125062</v>
      </c>
      <c r="B16007" s="330" t="s">
        <v>60359</v>
      </c>
      <c r="C16007" s="330" t="s">
        <v>32999</v>
      </c>
      <c r="D16007" s="330" t="s">
        <v>33000</v>
      </c>
      <c r="E16007" s="330" t="s">
        <v>4634</v>
      </c>
      <c r="F16007" s="331">
        <v>0.21</v>
      </c>
      <c r="G16007" s="332">
        <v>48456</v>
      </c>
      <c r="H16007" s="333">
        <v>58632</v>
      </c>
    </row>
    <row r="16008" spans="1:8">
      <c r="A16008" s="317">
        <v>3605132024</v>
      </c>
      <c r="B16008" s="330" t="s">
        <v>60360</v>
      </c>
      <c r="C16008" s="330" t="s">
        <v>33001</v>
      </c>
      <c r="D16008" s="330" t="s">
        <v>33002</v>
      </c>
      <c r="E16008" s="330" t="s">
        <v>4634</v>
      </c>
      <c r="F16008" s="331">
        <v>0.21</v>
      </c>
      <c r="G16008" s="332">
        <v>6553</v>
      </c>
      <c r="H16008" s="333">
        <v>7930</v>
      </c>
    </row>
    <row r="16009" spans="1:8">
      <c r="A16009" s="317">
        <v>3605132031</v>
      </c>
      <c r="B16009" s="330" t="s">
        <v>60361</v>
      </c>
      <c r="C16009" s="330" t="s">
        <v>33003</v>
      </c>
      <c r="D16009" s="330" t="s">
        <v>33004</v>
      </c>
      <c r="E16009" s="330" t="s">
        <v>4819</v>
      </c>
      <c r="F16009" s="331">
        <v>0.21</v>
      </c>
      <c r="G16009" s="332">
        <v>40796</v>
      </c>
      <c r="H16009" s="333">
        <v>49364</v>
      </c>
    </row>
    <row r="16010" spans="1:8">
      <c r="A16010" s="317">
        <v>3605132042</v>
      </c>
      <c r="B16010" s="330" t="s">
        <v>60362</v>
      </c>
      <c r="C16010" s="330" t="s">
        <v>33005</v>
      </c>
      <c r="D16010" s="330" t="s">
        <v>33006</v>
      </c>
      <c r="E16010" s="330" t="s">
        <v>4634</v>
      </c>
      <c r="F16010" s="331">
        <v>0.21</v>
      </c>
      <c r="G16010" s="332">
        <v>2190</v>
      </c>
      <c r="H16010" s="333">
        <v>2650</v>
      </c>
    </row>
    <row r="16011" spans="1:8">
      <c r="A16011" s="317">
        <v>3605132048</v>
      </c>
      <c r="B16011" s="330" t="s">
        <v>60363</v>
      </c>
      <c r="C16011" s="330" t="s">
        <v>33007</v>
      </c>
      <c r="D16011" s="330" t="s">
        <v>33008</v>
      </c>
      <c r="E16011" s="330" t="s">
        <v>4634</v>
      </c>
      <c r="F16011" s="331">
        <v>0.21</v>
      </c>
      <c r="G16011" s="332">
        <v>16889</v>
      </c>
      <c r="H16011" s="333">
        <v>20436</v>
      </c>
    </row>
    <row r="16012" spans="1:8">
      <c r="A16012" s="317">
        <v>3605132077</v>
      </c>
      <c r="B16012" s="330" t="s">
        <v>60364</v>
      </c>
      <c r="C16012" s="330" t="s">
        <v>33009</v>
      </c>
      <c r="D16012" s="330" t="s">
        <v>9581</v>
      </c>
      <c r="E16012" s="330" t="s">
        <v>4819</v>
      </c>
      <c r="F16012" s="331">
        <v>0.21</v>
      </c>
      <c r="G16012" s="332">
        <v>9313</v>
      </c>
      <c r="H16012" s="333">
        <v>11269</v>
      </c>
    </row>
    <row r="16013" spans="1:8">
      <c r="A16013" s="317">
        <v>3605133012</v>
      </c>
      <c r="B16013" s="330" t="s">
        <v>60365</v>
      </c>
      <c r="C16013" s="330" t="s">
        <v>33010</v>
      </c>
      <c r="D16013" s="330" t="s">
        <v>33011</v>
      </c>
      <c r="E16013" s="330" t="s">
        <v>4634</v>
      </c>
      <c r="F16013" s="331">
        <v>0.21</v>
      </c>
      <c r="G16013" s="332">
        <v>29566</v>
      </c>
      <c r="H16013" s="333">
        <v>35775</v>
      </c>
    </row>
    <row r="16014" spans="1:8">
      <c r="A16014" s="317">
        <v>3605133015</v>
      </c>
      <c r="B16014" s="330" t="s">
        <v>60366</v>
      </c>
      <c r="C16014" s="330" t="s">
        <v>33012</v>
      </c>
      <c r="D16014" s="330" t="s">
        <v>33013</v>
      </c>
      <c r="E16014" s="330" t="s">
        <v>4819</v>
      </c>
      <c r="F16014" s="331">
        <v>0.21</v>
      </c>
      <c r="G16014" s="332">
        <v>28816</v>
      </c>
      <c r="H16014" s="333">
        <v>34868</v>
      </c>
    </row>
    <row r="16015" spans="1:8">
      <c r="A16015" s="317">
        <v>3605133019</v>
      </c>
      <c r="B16015" s="330" t="s">
        <v>60367</v>
      </c>
      <c r="C16015" s="330" t="s">
        <v>33014</v>
      </c>
      <c r="D16015" s="330" t="s">
        <v>33015</v>
      </c>
      <c r="E16015" s="330" t="s">
        <v>4634</v>
      </c>
      <c r="F16015" s="331">
        <v>0.21</v>
      </c>
      <c r="G16015" s="332">
        <v>58852</v>
      </c>
      <c r="H16015" s="333">
        <v>71211</v>
      </c>
    </row>
    <row r="16016" spans="1:8">
      <c r="A16016" s="317">
        <v>3605133521</v>
      </c>
      <c r="B16016" s="330" t="s">
        <v>60368</v>
      </c>
      <c r="C16016" s="330" t="s">
        <v>33016</v>
      </c>
      <c r="D16016" s="330" t="s">
        <v>33017</v>
      </c>
      <c r="E16016" s="330" t="s">
        <v>4819</v>
      </c>
      <c r="F16016" s="331">
        <v>0.21</v>
      </c>
      <c r="G16016" s="332">
        <v>10370</v>
      </c>
      <c r="H16016" s="333">
        <v>12548</v>
      </c>
    </row>
    <row r="16017" spans="1:8">
      <c r="A16017" s="317">
        <v>3605133526</v>
      </c>
      <c r="B16017" s="330" t="s">
        <v>60369</v>
      </c>
      <c r="C16017" s="330" t="s">
        <v>33018</v>
      </c>
      <c r="D16017" s="330" t="s">
        <v>33019</v>
      </c>
      <c r="E16017" s="330" t="s">
        <v>4634</v>
      </c>
      <c r="F16017" s="331">
        <v>0.21</v>
      </c>
      <c r="G16017" s="332">
        <v>2063</v>
      </c>
      <c r="H16017" s="333">
        <v>2497</v>
      </c>
    </row>
    <row r="16018" spans="1:8">
      <c r="A16018" s="317">
        <v>3605133528</v>
      </c>
      <c r="B16018" s="330" t="s">
        <v>60370</v>
      </c>
      <c r="C16018" s="330" t="s">
        <v>33020</v>
      </c>
      <c r="D16018" s="330" t="s">
        <v>33021</v>
      </c>
      <c r="E16018" s="330" t="s">
        <v>4634</v>
      </c>
      <c r="F16018" s="331">
        <v>0.21</v>
      </c>
      <c r="G16018" s="332">
        <v>2063</v>
      </c>
      <c r="H16018" s="333">
        <v>2497</v>
      </c>
    </row>
    <row r="16019" spans="1:8">
      <c r="A16019" s="317">
        <v>3605133530</v>
      </c>
      <c r="B16019" s="330" t="s">
        <v>60371</v>
      </c>
      <c r="C16019" s="330" t="s">
        <v>33022</v>
      </c>
      <c r="D16019" s="330" t="s">
        <v>33023</v>
      </c>
      <c r="E16019" s="330" t="s">
        <v>4634</v>
      </c>
      <c r="F16019" s="331">
        <v>0.21</v>
      </c>
      <c r="G16019" s="332">
        <v>2232</v>
      </c>
      <c r="H16019" s="333">
        <v>2701</v>
      </c>
    </row>
    <row r="16020" spans="1:8">
      <c r="A16020" s="317">
        <v>3605133531</v>
      </c>
      <c r="B16020" s="330" t="s">
        <v>60372</v>
      </c>
      <c r="C16020" s="330" t="s">
        <v>33024</v>
      </c>
      <c r="D16020" s="330" t="s">
        <v>33025</v>
      </c>
      <c r="E16020" s="330" t="s">
        <v>4634</v>
      </c>
      <c r="F16020" s="331">
        <v>0.21</v>
      </c>
      <c r="G16020" s="332">
        <v>2063</v>
      </c>
      <c r="H16020" s="333">
        <v>2497</v>
      </c>
    </row>
    <row r="16021" spans="1:8">
      <c r="A16021" s="317">
        <v>3605190078</v>
      </c>
      <c r="B16021" s="330" t="s">
        <v>60373</v>
      </c>
      <c r="C16021" s="330" t="s">
        <v>33026</v>
      </c>
      <c r="D16021" s="330" t="s">
        <v>33027</v>
      </c>
      <c r="E16021" s="330" t="s">
        <v>4634</v>
      </c>
      <c r="F16021" s="331">
        <v>0.21</v>
      </c>
      <c r="G16021" s="332">
        <v>59985</v>
      </c>
      <c r="H16021" s="333">
        <v>72582</v>
      </c>
    </row>
    <row r="16022" spans="1:8">
      <c r="A16022" s="317">
        <v>3605190104</v>
      </c>
      <c r="B16022" s="330" t="s">
        <v>60374</v>
      </c>
      <c r="C16022" s="330" t="s">
        <v>33028</v>
      </c>
      <c r="D16022" s="330" t="s">
        <v>33029</v>
      </c>
      <c r="E16022" s="330" t="s">
        <v>4634</v>
      </c>
      <c r="F16022" s="331">
        <v>0.21</v>
      </c>
      <c r="G16022" s="332">
        <v>32734</v>
      </c>
      <c r="H16022" s="333">
        <v>39609</v>
      </c>
    </row>
    <row r="16023" spans="1:8">
      <c r="A16023" s="317">
        <v>3605190118</v>
      </c>
      <c r="B16023" s="330" t="s">
        <v>60375</v>
      </c>
      <c r="C16023" s="330" t="s">
        <v>33030</v>
      </c>
      <c r="D16023" s="330" t="s">
        <v>33031</v>
      </c>
      <c r="E16023" s="330" t="s">
        <v>4634</v>
      </c>
      <c r="F16023" s="331">
        <v>0.21</v>
      </c>
      <c r="G16023" s="332">
        <v>56322</v>
      </c>
      <c r="H16023" s="333">
        <v>68150</v>
      </c>
    </row>
    <row r="16024" spans="1:8">
      <c r="A16024" s="317">
        <v>3605190137</v>
      </c>
      <c r="B16024" s="330" t="s">
        <v>60376</v>
      </c>
      <c r="C16024" s="330" t="s">
        <v>33032</v>
      </c>
      <c r="D16024" s="330" t="s">
        <v>33033</v>
      </c>
      <c r="E16024" s="330" t="s">
        <v>4634</v>
      </c>
      <c r="F16024" s="331">
        <v>0.21</v>
      </c>
      <c r="G16024" s="332">
        <v>26847</v>
      </c>
      <c r="H16024" s="333">
        <v>32485</v>
      </c>
    </row>
    <row r="16025" spans="1:8">
      <c r="A16025" s="317">
        <v>3605190163</v>
      </c>
      <c r="B16025" s="330" t="s">
        <v>60377</v>
      </c>
      <c r="C16025" s="330" t="s">
        <v>33034</v>
      </c>
      <c r="D16025" s="330" t="s">
        <v>33035</v>
      </c>
      <c r="E16025" s="330" t="s">
        <v>4634</v>
      </c>
      <c r="F16025" s="331">
        <v>0.21</v>
      </c>
      <c r="G16025" s="332">
        <v>16114</v>
      </c>
      <c r="H16025" s="333">
        <v>19498</v>
      </c>
    </row>
    <row r="16026" spans="1:8">
      <c r="A16026" s="317">
        <v>3605190183</v>
      </c>
      <c r="B16026" s="330" t="s">
        <v>60378</v>
      </c>
      <c r="C16026" s="330" t="s">
        <v>33036</v>
      </c>
      <c r="D16026" s="330" t="s">
        <v>33037</v>
      </c>
      <c r="E16026" s="330" t="s">
        <v>4634</v>
      </c>
      <c r="F16026" s="331">
        <v>0.21</v>
      </c>
      <c r="G16026" s="332">
        <v>15307</v>
      </c>
      <c r="H16026" s="333">
        <v>18522</v>
      </c>
    </row>
    <row r="16027" spans="1:8">
      <c r="A16027" s="317">
        <v>3605190188</v>
      </c>
      <c r="B16027" s="330" t="s">
        <v>60379</v>
      </c>
      <c r="C16027" s="330" t="s">
        <v>33038</v>
      </c>
      <c r="D16027" s="330" t="s">
        <v>10548</v>
      </c>
      <c r="E16027" s="330" t="s">
        <v>4634</v>
      </c>
      <c r="F16027" s="331">
        <v>0.21</v>
      </c>
      <c r="G16027" s="332">
        <v>25067</v>
      </c>
      <c r="H16027" s="333">
        <v>30332</v>
      </c>
    </row>
    <row r="16028" spans="1:8">
      <c r="A16028" s="317">
        <v>3605190195</v>
      </c>
      <c r="B16028" s="330" t="s">
        <v>60380</v>
      </c>
      <c r="C16028" s="330" t="s">
        <v>33039</v>
      </c>
      <c r="D16028" s="330" t="s">
        <v>33040</v>
      </c>
      <c r="E16028" s="330" t="s">
        <v>4634</v>
      </c>
      <c r="F16028" s="331">
        <v>0.21</v>
      </c>
      <c r="G16028" s="332">
        <v>111660</v>
      </c>
      <c r="H16028" s="333">
        <v>135109</v>
      </c>
    </row>
    <row r="16029" spans="1:8">
      <c r="A16029" s="317">
        <v>3605190199</v>
      </c>
      <c r="B16029" s="330" t="s">
        <v>60381</v>
      </c>
      <c r="C16029" s="330" t="s">
        <v>33041</v>
      </c>
      <c r="D16029" s="330" t="s">
        <v>33042</v>
      </c>
      <c r="E16029" s="330" t="s">
        <v>37248</v>
      </c>
      <c r="F16029" s="331">
        <v>0.21</v>
      </c>
      <c r="G16029" s="332">
        <v>35699</v>
      </c>
      <c r="H16029" s="333">
        <v>43196</v>
      </c>
    </row>
    <row r="16030" spans="1:8">
      <c r="A16030" s="317">
        <v>3605190200</v>
      </c>
      <c r="B16030" s="330" t="s">
        <v>60382</v>
      </c>
      <c r="C16030" s="330" t="s">
        <v>33043</v>
      </c>
      <c r="D16030" s="330" t="s">
        <v>17230</v>
      </c>
      <c r="E16030" s="330" t="s">
        <v>4819</v>
      </c>
      <c r="F16030" s="331">
        <v>0.21</v>
      </c>
      <c r="G16030" s="332">
        <v>41101</v>
      </c>
      <c r="H16030" s="333">
        <v>49733</v>
      </c>
    </row>
    <row r="16031" spans="1:8">
      <c r="A16031" s="317">
        <v>3605190512</v>
      </c>
      <c r="B16031" s="330" t="s">
        <v>60383</v>
      </c>
      <c r="C16031" s="330" t="s">
        <v>33044</v>
      </c>
      <c r="D16031" s="330" t="s">
        <v>33045</v>
      </c>
      <c r="E16031" s="330" t="s">
        <v>4634</v>
      </c>
      <c r="F16031" s="331">
        <v>0.21</v>
      </c>
      <c r="G16031" s="332">
        <v>3789</v>
      </c>
      <c r="H16031" s="333">
        <v>4585</v>
      </c>
    </row>
    <row r="16032" spans="1:8">
      <c r="A16032" s="317">
        <v>3605190520</v>
      </c>
      <c r="B16032" s="330" t="s">
        <v>60384</v>
      </c>
      <c r="C16032" s="330" t="s">
        <v>33046</v>
      </c>
      <c r="D16032" s="330" t="s">
        <v>33047</v>
      </c>
      <c r="E16032" s="330" t="s">
        <v>4634</v>
      </c>
      <c r="F16032" s="331">
        <v>0.21</v>
      </c>
      <c r="G16032" s="332">
        <v>5280</v>
      </c>
      <c r="H16032" s="333">
        <v>6389</v>
      </c>
    </row>
    <row r="16033" spans="1:8">
      <c r="A16033" s="317">
        <v>3605190522</v>
      </c>
      <c r="B16033" s="330" t="s">
        <v>60385</v>
      </c>
      <c r="C16033" s="330" t="s">
        <v>33048</v>
      </c>
      <c r="D16033" s="330" t="s">
        <v>33049</v>
      </c>
      <c r="E16033" s="330" t="s">
        <v>37248</v>
      </c>
      <c r="F16033" s="331">
        <v>0.21</v>
      </c>
      <c r="G16033" s="332">
        <v>37644</v>
      </c>
      <c r="H16033" s="333">
        <v>45550</v>
      </c>
    </row>
    <row r="16034" spans="1:8">
      <c r="A16034" s="317">
        <v>3605190526</v>
      </c>
      <c r="B16034" s="330" t="s">
        <v>60386</v>
      </c>
      <c r="C16034" s="330" t="s">
        <v>33050</v>
      </c>
      <c r="D16034" s="330" t="s">
        <v>33051</v>
      </c>
      <c r="E16034" s="330" t="s">
        <v>4634</v>
      </c>
      <c r="F16034" s="331">
        <v>0.21</v>
      </c>
      <c r="G16034" s="332">
        <v>44019</v>
      </c>
      <c r="H16034" s="333">
        <v>53263</v>
      </c>
    </row>
    <row r="16035" spans="1:8">
      <c r="A16035" s="317">
        <v>3605405000</v>
      </c>
      <c r="B16035" s="330" t="s">
        <v>60387</v>
      </c>
      <c r="C16035" s="330" t="s">
        <v>33052</v>
      </c>
      <c r="D16035" s="330" t="s">
        <v>33053</v>
      </c>
      <c r="E16035" s="330" t="s">
        <v>4634</v>
      </c>
      <c r="F16035" s="331">
        <v>0.21</v>
      </c>
      <c r="G16035" s="332">
        <v>437</v>
      </c>
      <c r="H16035" s="333">
        <v>529</v>
      </c>
    </row>
    <row r="16036" spans="1:8">
      <c r="A16036" s="317">
        <v>3605430001</v>
      </c>
      <c r="B16036" s="330" t="s">
        <v>60388</v>
      </c>
      <c r="C16036" s="330" t="s">
        <v>33054</v>
      </c>
      <c r="D16036" s="330" t="s">
        <v>33055</v>
      </c>
      <c r="E16036" s="330" t="s">
        <v>4634</v>
      </c>
      <c r="F16036" s="331">
        <v>0.21</v>
      </c>
      <c r="G16036" s="332">
        <v>7250</v>
      </c>
      <c r="H16036" s="333">
        <v>8773</v>
      </c>
    </row>
    <row r="16037" spans="1:8">
      <c r="A16037" s="317">
        <v>3605430002</v>
      </c>
      <c r="B16037" s="330" t="s">
        <v>60389</v>
      </c>
      <c r="C16037" s="330" t="s">
        <v>33056</v>
      </c>
      <c r="D16037" s="330" t="s">
        <v>33057</v>
      </c>
      <c r="E16037" s="330" t="s">
        <v>37248</v>
      </c>
      <c r="F16037" s="331">
        <v>0.21</v>
      </c>
      <c r="G16037" s="332">
        <v>9759</v>
      </c>
      <c r="H16037" s="333">
        <v>11809</v>
      </c>
    </row>
    <row r="16038" spans="1:8">
      <c r="A16038" s="317">
        <v>3605430003</v>
      </c>
      <c r="B16038" s="330" t="s">
        <v>60390</v>
      </c>
      <c r="C16038" s="330" t="s">
        <v>33058</v>
      </c>
      <c r="D16038" s="330" t="s">
        <v>33059</v>
      </c>
      <c r="E16038" s="330" t="s">
        <v>4819</v>
      </c>
      <c r="F16038" s="331">
        <v>0.21</v>
      </c>
      <c r="G16038" s="332">
        <v>26777</v>
      </c>
      <c r="H16038" s="333">
        <v>32401</v>
      </c>
    </row>
    <row r="16039" spans="1:8">
      <c r="A16039" s="317">
        <v>3605430008</v>
      </c>
      <c r="B16039" s="330" t="s">
        <v>60391</v>
      </c>
      <c r="C16039" s="330" t="s">
        <v>33060</v>
      </c>
      <c r="D16039" s="330" t="s">
        <v>33061</v>
      </c>
      <c r="E16039" s="330" t="s">
        <v>4634</v>
      </c>
      <c r="F16039" s="331">
        <v>0.21</v>
      </c>
      <c r="G16039" s="332">
        <v>5157</v>
      </c>
      <c r="H16039" s="333">
        <v>6240</v>
      </c>
    </row>
    <row r="16040" spans="1:8">
      <c r="A16040" s="317">
        <v>3605430009</v>
      </c>
      <c r="B16040" s="330" t="s">
        <v>60392</v>
      </c>
      <c r="C16040" s="330" t="s">
        <v>33062</v>
      </c>
      <c r="D16040" s="330" t="s">
        <v>33063</v>
      </c>
      <c r="E16040" s="330" t="s">
        <v>4819</v>
      </c>
      <c r="F16040" s="331">
        <v>0.21</v>
      </c>
      <c r="G16040" s="332">
        <v>19691</v>
      </c>
      <c r="H16040" s="333">
        <v>23827</v>
      </c>
    </row>
    <row r="16041" spans="1:8">
      <c r="A16041" s="317">
        <v>3605500017</v>
      </c>
      <c r="B16041" s="330" t="s">
        <v>60393</v>
      </c>
      <c r="C16041" s="330" t="s">
        <v>33064</v>
      </c>
      <c r="D16041" s="330" t="s">
        <v>33065</v>
      </c>
      <c r="E16041" s="330" t="s">
        <v>4634</v>
      </c>
      <c r="F16041" s="331">
        <v>0.21</v>
      </c>
      <c r="G16041" s="332">
        <v>1547</v>
      </c>
      <c r="H16041" s="333">
        <v>1872</v>
      </c>
    </row>
    <row r="16042" spans="1:8">
      <c r="A16042" s="317">
        <v>3605500025</v>
      </c>
      <c r="B16042" s="330" t="s">
        <v>60394</v>
      </c>
      <c r="C16042" s="330" t="s">
        <v>33066</v>
      </c>
      <c r="D16042" s="330" t="s">
        <v>33067</v>
      </c>
      <c r="E16042" s="330" t="s">
        <v>4634</v>
      </c>
      <c r="F16042" s="331">
        <v>0.21</v>
      </c>
      <c r="G16042" s="332">
        <v>564</v>
      </c>
      <c r="H16042" s="333">
        <v>683</v>
      </c>
    </row>
    <row r="16043" spans="1:8">
      <c r="A16043" s="317">
        <v>3605500026</v>
      </c>
      <c r="B16043" s="330" t="s">
        <v>60395</v>
      </c>
      <c r="C16043" s="330" t="s">
        <v>33068</v>
      </c>
      <c r="D16043" s="330" t="s">
        <v>33067</v>
      </c>
      <c r="E16043" s="330" t="s">
        <v>4819</v>
      </c>
      <c r="F16043" s="331">
        <v>0.21</v>
      </c>
      <c r="G16043" s="332">
        <v>3468</v>
      </c>
      <c r="H16043" s="333">
        <v>4197</v>
      </c>
    </row>
    <row r="16044" spans="1:8">
      <c r="A16044" s="317">
        <v>3605500032</v>
      </c>
      <c r="B16044" s="330" t="s">
        <v>60396</v>
      </c>
      <c r="C16044" s="330" t="s">
        <v>33069</v>
      </c>
      <c r="D16044" s="330" t="s">
        <v>33070</v>
      </c>
      <c r="E16044" s="330" t="s">
        <v>4634</v>
      </c>
      <c r="F16044" s="331">
        <v>0.21</v>
      </c>
      <c r="G16044" s="332">
        <v>1692</v>
      </c>
      <c r="H16044" s="333">
        <v>2048</v>
      </c>
    </row>
    <row r="16045" spans="1:8">
      <c r="A16045" s="317">
        <v>3605500043</v>
      </c>
      <c r="B16045" s="330" t="s">
        <v>60397</v>
      </c>
      <c r="C16045" s="330" t="s">
        <v>33071</v>
      </c>
      <c r="D16045" s="330" t="s">
        <v>33072</v>
      </c>
      <c r="E16045" s="330" t="s">
        <v>4634</v>
      </c>
      <c r="F16045" s="331">
        <v>0.21</v>
      </c>
      <c r="G16045" s="332">
        <v>791</v>
      </c>
      <c r="H16045" s="333">
        <v>958</v>
      </c>
    </row>
    <row r="16046" spans="1:8">
      <c r="A16046" s="317">
        <v>3605500046</v>
      </c>
      <c r="B16046" s="330" t="s">
        <v>60398</v>
      </c>
      <c r="C16046" s="330" t="s">
        <v>33073</v>
      </c>
      <c r="D16046" s="330" t="s">
        <v>33074</v>
      </c>
      <c r="E16046" s="330" t="s">
        <v>4634</v>
      </c>
      <c r="F16046" s="331">
        <v>0.21</v>
      </c>
      <c r="G16046" s="332">
        <v>107</v>
      </c>
      <c r="H16046" s="333">
        <v>130</v>
      </c>
    </row>
    <row r="16047" spans="1:8">
      <c r="A16047" s="317">
        <v>3605500058</v>
      </c>
      <c r="B16047" s="330" t="s">
        <v>60399</v>
      </c>
      <c r="C16047" s="330" t="s">
        <v>33075</v>
      </c>
      <c r="D16047" s="330" t="s">
        <v>33076</v>
      </c>
      <c r="E16047" s="330" t="s">
        <v>4819</v>
      </c>
      <c r="F16047" s="331">
        <v>0.21</v>
      </c>
      <c r="G16047" s="332">
        <v>15077</v>
      </c>
      <c r="H16047" s="333">
        <v>18244</v>
      </c>
    </row>
    <row r="16048" spans="1:8">
      <c r="A16048" s="317">
        <v>3605500059</v>
      </c>
      <c r="B16048" s="330" t="s">
        <v>60400</v>
      </c>
      <c r="C16048" s="330" t="s">
        <v>33077</v>
      </c>
      <c r="D16048" s="330" t="s">
        <v>33078</v>
      </c>
      <c r="E16048" s="330" t="s">
        <v>4819</v>
      </c>
      <c r="F16048" s="331">
        <v>0.21</v>
      </c>
      <c r="G16048" s="332">
        <v>18174</v>
      </c>
      <c r="H16048" s="333">
        <v>21991</v>
      </c>
    </row>
    <row r="16049" spans="1:8">
      <c r="A16049" s="317">
        <v>3605500127</v>
      </c>
      <c r="B16049" s="330" t="s">
        <v>60401</v>
      </c>
      <c r="C16049" s="330" t="s">
        <v>33079</v>
      </c>
      <c r="D16049" s="330" t="s">
        <v>33080</v>
      </c>
      <c r="E16049" s="330" t="s">
        <v>4634</v>
      </c>
      <c r="F16049" s="331">
        <v>0.21</v>
      </c>
      <c r="G16049" s="332">
        <v>113090</v>
      </c>
      <c r="H16049" s="333">
        <v>136839</v>
      </c>
    </row>
    <row r="16050" spans="1:8">
      <c r="A16050" s="317">
        <v>3605500147</v>
      </c>
      <c r="B16050" s="330" t="s">
        <v>60402</v>
      </c>
      <c r="C16050" s="330" t="s">
        <v>33081</v>
      </c>
      <c r="D16050" s="330" t="s">
        <v>33082</v>
      </c>
      <c r="E16050" s="330" t="s">
        <v>4634</v>
      </c>
      <c r="F16050" s="331">
        <v>0.21</v>
      </c>
      <c r="G16050" s="332">
        <v>1030</v>
      </c>
      <c r="H16050" s="333">
        <v>1247</v>
      </c>
    </row>
    <row r="16051" spans="1:8">
      <c r="A16051" s="317">
        <v>3605500148</v>
      </c>
      <c r="B16051" s="330" t="s">
        <v>60403</v>
      </c>
      <c r="C16051" s="330" t="s">
        <v>33083</v>
      </c>
      <c r="D16051" s="330" t="s">
        <v>33084</v>
      </c>
      <c r="E16051" s="330" t="s">
        <v>4634</v>
      </c>
      <c r="F16051" s="331">
        <v>0.21</v>
      </c>
      <c r="G16051" s="332">
        <v>2707</v>
      </c>
      <c r="H16051" s="333">
        <v>3276</v>
      </c>
    </row>
    <row r="16052" spans="1:8">
      <c r="A16052" s="317">
        <v>3605500149</v>
      </c>
      <c r="B16052" s="330" t="s">
        <v>60404</v>
      </c>
      <c r="C16052" s="330" t="s">
        <v>33085</v>
      </c>
      <c r="D16052" s="330" t="s">
        <v>33084</v>
      </c>
      <c r="E16052" s="330" t="s">
        <v>4634</v>
      </c>
      <c r="F16052" s="331">
        <v>0.21</v>
      </c>
      <c r="G16052" s="332">
        <v>8160</v>
      </c>
      <c r="H16052" s="333">
        <v>9874</v>
      </c>
    </row>
    <row r="16053" spans="1:8">
      <c r="A16053" s="317">
        <v>3605500153</v>
      </c>
      <c r="B16053" s="330" t="s">
        <v>60405</v>
      </c>
      <c r="C16053" s="330" t="s">
        <v>33086</v>
      </c>
      <c r="D16053" s="330" t="s">
        <v>33087</v>
      </c>
      <c r="E16053" s="330" t="s">
        <v>4634</v>
      </c>
      <c r="F16053" s="331">
        <v>0.21</v>
      </c>
      <c r="G16053" s="332">
        <v>928</v>
      </c>
      <c r="H16053" s="333">
        <v>1123</v>
      </c>
    </row>
    <row r="16054" spans="1:8">
      <c r="A16054" s="317">
        <v>3605500164</v>
      </c>
      <c r="B16054" s="330" t="s">
        <v>60406</v>
      </c>
      <c r="C16054" s="330" t="s">
        <v>33088</v>
      </c>
      <c r="D16054" s="330" t="s">
        <v>33089</v>
      </c>
      <c r="E16054" s="330" t="s">
        <v>4634</v>
      </c>
      <c r="F16054" s="331">
        <v>0.21</v>
      </c>
      <c r="G16054" s="332">
        <v>1664</v>
      </c>
      <c r="H16054" s="333">
        <v>2014</v>
      </c>
    </row>
    <row r="16055" spans="1:8">
      <c r="A16055" s="317">
        <v>3605500171</v>
      </c>
      <c r="B16055" s="330" t="s">
        <v>60407</v>
      </c>
      <c r="C16055" s="330" t="s">
        <v>33090</v>
      </c>
      <c r="D16055" s="330" t="s">
        <v>33091</v>
      </c>
      <c r="E16055" s="330" t="s">
        <v>4634</v>
      </c>
      <c r="F16055" s="331">
        <v>0.21</v>
      </c>
      <c r="G16055" s="332">
        <v>1141</v>
      </c>
      <c r="H16055" s="333">
        <v>1381</v>
      </c>
    </row>
    <row r="16056" spans="1:8">
      <c r="A16056" s="317">
        <v>3605500172</v>
      </c>
      <c r="B16056" s="330" t="s">
        <v>60408</v>
      </c>
      <c r="C16056" s="330" t="s">
        <v>33092</v>
      </c>
      <c r="D16056" s="330" t="s">
        <v>33093</v>
      </c>
      <c r="E16056" s="330" t="s">
        <v>4634</v>
      </c>
      <c r="F16056" s="331">
        <v>0.21</v>
      </c>
      <c r="G16056" s="332">
        <v>1623</v>
      </c>
      <c r="H16056" s="333">
        <v>1964</v>
      </c>
    </row>
    <row r="16057" spans="1:8">
      <c r="A16057" s="317">
        <v>3605500175</v>
      </c>
      <c r="B16057" s="330" t="s">
        <v>60409</v>
      </c>
      <c r="C16057" s="330" t="s">
        <v>33094</v>
      </c>
      <c r="D16057" s="330" t="s">
        <v>33091</v>
      </c>
      <c r="E16057" s="330" t="s">
        <v>4634</v>
      </c>
      <c r="F16057" s="331">
        <v>0.21</v>
      </c>
      <c r="G16057" s="332">
        <v>5956</v>
      </c>
      <c r="H16057" s="333">
        <v>7207</v>
      </c>
    </row>
    <row r="16058" spans="1:8">
      <c r="A16058" s="317">
        <v>3605500187</v>
      </c>
      <c r="B16058" s="330" t="s">
        <v>60410</v>
      </c>
      <c r="C16058" s="330" t="s">
        <v>33095</v>
      </c>
      <c r="D16058" s="330" t="s">
        <v>33096</v>
      </c>
      <c r="E16058" s="330" t="s">
        <v>4634</v>
      </c>
      <c r="F16058" s="331">
        <v>0.21</v>
      </c>
      <c r="G16058" s="332">
        <v>27598</v>
      </c>
      <c r="H16058" s="333">
        <v>33394</v>
      </c>
    </row>
    <row r="16059" spans="1:8">
      <c r="A16059" s="317">
        <v>3605500194</v>
      </c>
      <c r="B16059" s="330" t="s">
        <v>60411</v>
      </c>
      <c r="C16059" s="330" t="s">
        <v>33097</v>
      </c>
      <c r="D16059" s="330" t="s">
        <v>33098</v>
      </c>
      <c r="E16059" s="330" t="s">
        <v>37248</v>
      </c>
      <c r="F16059" s="331">
        <v>0.21</v>
      </c>
      <c r="G16059" s="332">
        <v>11365</v>
      </c>
      <c r="H16059" s="333">
        <v>13752</v>
      </c>
    </row>
    <row r="16060" spans="1:8">
      <c r="A16060" s="317">
        <v>3605500220</v>
      </c>
      <c r="B16060" s="330" t="s">
        <v>60412</v>
      </c>
      <c r="C16060" s="330" t="s">
        <v>33099</v>
      </c>
      <c r="D16060" s="330" t="s">
        <v>33100</v>
      </c>
      <c r="E16060" s="330" t="s">
        <v>4819</v>
      </c>
      <c r="F16060" s="331">
        <v>0.21</v>
      </c>
      <c r="G16060" s="332">
        <v>12686</v>
      </c>
      <c r="H16060" s="333">
        <v>15351</v>
      </c>
    </row>
    <row r="16061" spans="1:8">
      <c r="A16061" s="317">
        <v>3605500222</v>
      </c>
      <c r="B16061" s="330" t="s">
        <v>60413</v>
      </c>
      <c r="C16061" s="330" t="s">
        <v>33101</v>
      </c>
      <c r="D16061" s="330" t="s">
        <v>33102</v>
      </c>
      <c r="E16061" s="330" t="s">
        <v>4819</v>
      </c>
      <c r="F16061" s="331">
        <v>0.21</v>
      </c>
      <c r="G16061" s="332">
        <v>12686</v>
      </c>
      <c r="H16061" s="333">
        <v>15351</v>
      </c>
    </row>
    <row r="16062" spans="1:8">
      <c r="A16062" s="317">
        <v>3605500576</v>
      </c>
      <c r="B16062" s="330" t="s">
        <v>60414</v>
      </c>
      <c r="C16062" s="330" t="s">
        <v>33103</v>
      </c>
      <c r="D16062" s="330" t="s">
        <v>33104</v>
      </c>
      <c r="E16062" s="330" t="s">
        <v>4634</v>
      </c>
      <c r="F16062" s="331">
        <v>0.21</v>
      </c>
      <c r="G16062" s="332">
        <v>1371</v>
      </c>
      <c r="H16062" s="333">
        <v>1659</v>
      </c>
    </row>
    <row r="16063" spans="1:8">
      <c r="A16063" s="317">
        <v>3605500579</v>
      </c>
      <c r="B16063" s="330" t="s">
        <v>60415</v>
      </c>
      <c r="C16063" s="330" t="s">
        <v>33105</v>
      </c>
      <c r="D16063" s="330" t="s">
        <v>33106</v>
      </c>
      <c r="E16063" s="330" t="s">
        <v>4634</v>
      </c>
      <c r="F16063" s="331">
        <v>0.21</v>
      </c>
      <c r="G16063" s="332">
        <v>1411</v>
      </c>
      <c r="H16063" s="333">
        <v>1708</v>
      </c>
    </row>
    <row r="16064" spans="1:8">
      <c r="A16064" s="317">
        <v>3605500593</v>
      </c>
      <c r="B16064" s="330" t="s">
        <v>60416</v>
      </c>
      <c r="C16064" s="330" t="s">
        <v>33107</v>
      </c>
      <c r="D16064" s="330" t="s">
        <v>33108</v>
      </c>
      <c r="E16064" s="330" t="s">
        <v>4634</v>
      </c>
      <c r="F16064" s="331">
        <v>0.21</v>
      </c>
      <c r="G16064" s="332">
        <v>2063</v>
      </c>
      <c r="H16064" s="333">
        <v>2497</v>
      </c>
    </row>
    <row r="16065" spans="1:8">
      <c r="A16065" s="317">
        <v>3605510007</v>
      </c>
      <c r="B16065" s="330" t="s">
        <v>60417</v>
      </c>
      <c r="C16065" s="330" t="s">
        <v>33109</v>
      </c>
      <c r="D16065" s="330" t="s">
        <v>33110</v>
      </c>
      <c r="E16065" s="330" t="s">
        <v>4634</v>
      </c>
      <c r="F16065" s="331">
        <v>0.21</v>
      </c>
      <c r="G16065" s="332">
        <v>2491</v>
      </c>
      <c r="H16065" s="333">
        <v>3015</v>
      </c>
    </row>
    <row r="16066" spans="1:8">
      <c r="A16066" s="317">
        <v>3605510031</v>
      </c>
      <c r="B16066" s="330" t="s">
        <v>60418</v>
      </c>
      <c r="C16066" s="330" t="s">
        <v>33111</v>
      </c>
      <c r="D16066" s="330" t="s">
        <v>33112</v>
      </c>
      <c r="E16066" s="330" t="s">
        <v>4634</v>
      </c>
      <c r="F16066" s="331">
        <v>0.21</v>
      </c>
      <c r="G16066" s="332">
        <v>31859</v>
      </c>
      <c r="H16066" s="333">
        <v>38550</v>
      </c>
    </row>
    <row r="16067" spans="1:8">
      <c r="A16067" s="317">
        <v>3605510032</v>
      </c>
      <c r="B16067" s="330" t="s">
        <v>60419</v>
      </c>
      <c r="C16067" s="330" t="s">
        <v>33113</v>
      </c>
      <c r="D16067" s="330" t="s">
        <v>33114</v>
      </c>
      <c r="E16067" s="330" t="s">
        <v>4634</v>
      </c>
      <c r="F16067" s="331">
        <v>0.21</v>
      </c>
      <c r="G16067" s="332">
        <v>48456</v>
      </c>
      <c r="H16067" s="333">
        <v>58632</v>
      </c>
    </row>
    <row r="16068" spans="1:8">
      <c r="A16068" s="317">
        <v>3605510033</v>
      </c>
      <c r="B16068" s="330" t="s">
        <v>60420</v>
      </c>
      <c r="C16068" s="330" t="s">
        <v>33115</v>
      </c>
      <c r="D16068" s="330" t="s">
        <v>33116</v>
      </c>
      <c r="E16068" s="330" t="s">
        <v>4634</v>
      </c>
      <c r="F16068" s="331">
        <v>0.21</v>
      </c>
      <c r="G16068" s="332">
        <v>15336</v>
      </c>
      <c r="H16068" s="333">
        <v>18557</v>
      </c>
    </row>
    <row r="16069" spans="1:8">
      <c r="A16069" s="317">
        <v>3605510040</v>
      </c>
      <c r="B16069" s="330" t="s">
        <v>60421</v>
      </c>
      <c r="C16069" s="330" t="s">
        <v>33117</v>
      </c>
      <c r="D16069" s="330" t="s">
        <v>33118</v>
      </c>
      <c r="E16069" s="330" t="s">
        <v>4819</v>
      </c>
      <c r="F16069" s="331">
        <v>0.21</v>
      </c>
      <c r="G16069" s="332">
        <v>16404</v>
      </c>
      <c r="H16069" s="333">
        <v>19849</v>
      </c>
    </row>
    <row r="16070" spans="1:8">
      <c r="A16070" s="317">
        <v>3605510505</v>
      </c>
      <c r="B16070" s="330" t="s">
        <v>60422</v>
      </c>
      <c r="C16070" s="330" t="s">
        <v>33119</v>
      </c>
      <c r="D16070" s="330" t="s">
        <v>33120</v>
      </c>
      <c r="E16070" s="330" t="s">
        <v>4634</v>
      </c>
      <c r="F16070" s="331">
        <v>0.21</v>
      </c>
      <c r="G16070" s="332">
        <v>3171</v>
      </c>
      <c r="H16070" s="333">
        <v>3837</v>
      </c>
    </row>
    <row r="16071" spans="1:8">
      <c r="A16071" s="317">
        <v>3605510525</v>
      </c>
      <c r="B16071" s="330" t="s">
        <v>60423</v>
      </c>
      <c r="C16071" s="330" t="s">
        <v>33121</v>
      </c>
      <c r="D16071" s="330" t="s">
        <v>33122</v>
      </c>
      <c r="E16071" s="330" t="s">
        <v>4634</v>
      </c>
      <c r="F16071" s="331">
        <v>0.21</v>
      </c>
      <c r="G16071" s="332">
        <v>2775</v>
      </c>
      <c r="H16071" s="333">
        <v>3358</v>
      </c>
    </row>
    <row r="16072" spans="1:8">
      <c r="A16072" s="317">
        <v>3605510538</v>
      </c>
      <c r="B16072" s="330" t="s">
        <v>60424</v>
      </c>
      <c r="C16072" s="330" t="s">
        <v>33123</v>
      </c>
      <c r="D16072" s="330" t="s">
        <v>33124</v>
      </c>
      <c r="E16072" s="330" t="s">
        <v>4634</v>
      </c>
      <c r="F16072" s="331">
        <v>0.21</v>
      </c>
      <c r="G16072" s="332">
        <v>2583</v>
      </c>
      <c r="H16072" s="333">
        <v>3126</v>
      </c>
    </row>
    <row r="16073" spans="1:8">
      <c r="A16073" s="317">
        <v>3605510547</v>
      </c>
      <c r="B16073" s="330" t="s">
        <v>60425</v>
      </c>
      <c r="C16073" s="330" t="s">
        <v>33125</v>
      </c>
      <c r="D16073" s="330" t="s">
        <v>33126</v>
      </c>
      <c r="E16073" s="330" t="s">
        <v>4634</v>
      </c>
      <c r="F16073" s="331">
        <v>0.21</v>
      </c>
      <c r="G16073" s="332">
        <v>1043</v>
      </c>
      <c r="H16073" s="333">
        <v>1263</v>
      </c>
    </row>
    <row r="16074" spans="1:8">
      <c r="A16074" s="317">
        <v>3605510548</v>
      </c>
      <c r="B16074" s="330" t="s">
        <v>60426</v>
      </c>
      <c r="C16074" s="330" t="s">
        <v>33127</v>
      </c>
      <c r="D16074" s="330" t="s">
        <v>33128</v>
      </c>
      <c r="E16074" s="330" t="s">
        <v>4634</v>
      </c>
      <c r="F16074" s="331">
        <v>0.21</v>
      </c>
      <c r="G16074" s="332">
        <v>1170</v>
      </c>
      <c r="H16074" s="333">
        <v>1416</v>
      </c>
    </row>
    <row r="16075" spans="1:8">
      <c r="A16075" s="317">
        <v>3605700011</v>
      </c>
      <c r="B16075" s="330" t="s">
        <v>60427</v>
      </c>
      <c r="C16075" s="330" t="s">
        <v>33129</v>
      </c>
      <c r="D16075" s="330" t="s">
        <v>32624</v>
      </c>
      <c r="E16075" s="330" t="s">
        <v>4634</v>
      </c>
      <c r="F16075" s="331">
        <v>0.21</v>
      </c>
      <c r="G16075" s="332">
        <v>18435</v>
      </c>
      <c r="H16075" s="333">
        <v>22307</v>
      </c>
    </row>
    <row r="16076" spans="1:8">
      <c r="A16076" s="317">
        <v>3605700012</v>
      </c>
      <c r="B16076" s="330" t="s">
        <v>60428</v>
      </c>
      <c r="C16076" s="330" t="s">
        <v>33130</v>
      </c>
      <c r="D16076" s="330" t="s">
        <v>10245</v>
      </c>
      <c r="E16076" s="330" t="s">
        <v>4634</v>
      </c>
      <c r="F16076" s="331">
        <v>0.21</v>
      </c>
      <c r="G16076" s="332">
        <v>8597</v>
      </c>
      <c r="H16076" s="333">
        <v>10403</v>
      </c>
    </row>
    <row r="16077" spans="1:8">
      <c r="A16077" s="317">
        <v>3605700039</v>
      </c>
      <c r="B16077" s="330" t="s">
        <v>60429</v>
      </c>
      <c r="C16077" s="330" t="s">
        <v>33131</v>
      </c>
      <c r="D16077" s="330" t="s">
        <v>33132</v>
      </c>
      <c r="E16077" s="330" t="s">
        <v>4634</v>
      </c>
      <c r="F16077" s="331">
        <v>0.21</v>
      </c>
      <c r="G16077" s="332">
        <v>329</v>
      </c>
      <c r="H16077" s="333">
        <v>399</v>
      </c>
    </row>
    <row r="16078" spans="1:8">
      <c r="A16078" s="317">
        <v>3605700040</v>
      </c>
      <c r="B16078" s="330" t="s">
        <v>60430</v>
      </c>
      <c r="C16078" s="330" t="s">
        <v>33133</v>
      </c>
      <c r="D16078" s="330" t="s">
        <v>33134</v>
      </c>
      <c r="E16078" s="330" t="s">
        <v>4634</v>
      </c>
      <c r="F16078" s="331">
        <v>0.21</v>
      </c>
      <c r="G16078" s="332">
        <v>309</v>
      </c>
      <c r="H16078" s="333">
        <v>374</v>
      </c>
    </row>
    <row r="16079" spans="1:8">
      <c r="A16079" s="317">
        <v>3605700058</v>
      </c>
      <c r="B16079" s="330" t="s">
        <v>60431</v>
      </c>
      <c r="C16079" s="330" t="s">
        <v>33135</v>
      </c>
      <c r="D16079" s="330" t="s">
        <v>33136</v>
      </c>
      <c r="E16079" s="330" t="s">
        <v>4634</v>
      </c>
      <c r="F16079" s="331">
        <v>0.21</v>
      </c>
      <c r="G16079" s="332">
        <v>1411</v>
      </c>
      <c r="H16079" s="333">
        <v>1708</v>
      </c>
    </row>
    <row r="16080" spans="1:8">
      <c r="A16080" s="317">
        <v>3605700064</v>
      </c>
      <c r="B16080" s="330" t="s">
        <v>60432</v>
      </c>
      <c r="C16080" s="330" t="s">
        <v>33137</v>
      </c>
      <c r="D16080" s="330" t="s">
        <v>10245</v>
      </c>
      <c r="E16080" s="330" t="s">
        <v>4634</v>
      </c>
      <c r="F16080" s="331">
        <v>0.21</v>
      </c>
      <c r="G16080" s="332">
        <v>475</v>
      </c>
      <c r="H16080" s="333">
        <v>575</v>
      </c>
    </row>
    <row r="16081" spans="1:8">
      <c r="A16081" s="317">
        <v>3605700065</v>
      </c>
      <c r="B16081" s="330" t="s">
        <v>60433</v>
      </c>
      <c r="C16081" s="330" t="s">
        <v>33138</v>
      </c>
      <c r="D16081" s="330" t="s">
        <v>33139</v>
      </c>
      <c r="E16081" s="330" t="s">
        <v>4634</v>
      </c>
      <c r="F16081" s="331">
        <v>0.21</v>
      </c>
      <c r="G16081" s="332">
        <v>457</v>
      </c>
      <c r="H16081" s="333">
        <v>553</v>
      </c>
    </row>
    <row r="16082" spans="1:8">
      <c r="A16082" s="317">
        <v>3605700074</v>
      </c>
      <c r="B16082" s="330" t="s">
        <v>60434</v>
      </c>
      <c r="C16082" s="330" t="s">
        <v>33140</v>
      </c>
      <c r="D16082" s="330" t="s">
        <v>33141</v>
      </c>
      <c r="E16082" s="330" t="s">
        <v>4634</v>
      </c>
      <c r="F16082" s="331">
        <v>0.21</v>
      </c>
      <c r="G16082" s="332">
        <v>6553</v>
      </c>
      <c r="H16082" s="333">
        <v>7930</v>
      </c>
    </row>
    <row r="16083" spans="1:8">
      <c r="A16083" s="317">
        <v>3605700076</v>
      </c>
      <c r="B16083" s="330" t="s">
        <v>60435</v>
      </c>
      <c r="C16083" s="330" t="s">
        <v>33142</v>
      </c>
      <c r="D16083" s="330" t="s">
        <v>33143</v>
      </c>
      <c r="E16083" s="330" t="s">
        <v>4634</v>
      </c>
      <c r="F16083" s="331">
        <v>0.21</v>
      </c>
      <c r="G16083" s="332">
        <v>7573</v>
      </c>
      <c r="H16083" s="333">
        <v>9164</v>
      </c>
    </row>
    <row r="16084" spans="1:8">
      <c r="A16084" s="317">
        <v>3605700078</v>
      </c>
      <c r="B16084" s="330" t="s">
        <v>60436</v>
      </c>
      <c r="C16084" s="330" t="s">
        <v>33144</v>
      </c>
      <c r="D16084" s="330" t="s">
        <v>10245</v>
      </c>
      <c r="E16084" s="330" t="s">
        <v>4634</v>
      </c>
      <c r="F16084" s="331">
        <v>0.21</v>
      </c>
      <c r="G16084" s="332">
        <v>1692</v>
      </c>
      <c r="H16084" s="333">
        <v>2048</v>
      </c>
    </row>
    <row r="16085" spans="1:8">
      <c r="A16085" s="317">
        <v>3605700082</v>
      </c>
      <c r="B16085" s="330" t="s">
        <v>60437</v>
      </c>
      <c r="C16085" s="330" t="s">
        <v>33145</v>
      </c>
      <c r="D16085" s="330" t="s">
        <v>33146</v>
      </c>
      <c r="E16085" s="330" t="s">
        <v>4634</v>
      </c>
      <c r="F16085" s="331">
        <v>0.21</v>
      </c>
      <c r="G16085" s="332">
        <v>7662</v>
      </c>
      <c r="H16085" s="333">
        <v>9272</v>
      </c>
    </row>
    <row r="16086" spans="1:8">
      <c r="A16086" s="317">
        <v>3605700119</v>
      </c>
      <c r="B16086" s="330" t="s">
        <v>60438</v>
      </c>
      <c r="C16086" s="330" t="s">
        <v>33147</v>
      </c>
      <c r="D16086" s="330" t="s">
        <v>33148</v>
      </c>
      <c r="E16086" s="330" t="s">
        <v>4634</v>
      </c>
      <c r="F16086" s="331">
        <v>0.21</v>
      </c>
      <c r="G16086" s="332">
        <v>10125</v>
      </c>
      <c r="H16086" s="333">
        <v>12252</v>
      </c>
    </row>
    <row r="16087" spans="1:8">
      <c r="A16087" s="317">
        <v>3605700120</v>
      </c>
      <c r="B16087" s="330" t="s">
        <v>60439</v>
      </c>
      <c r="C16087" s="330" t="s">
        <v>33149</v>
      </c>
      <c r="D16087" s="330" t="s">
        <v>19265</v>
      </c>
      <c r="E16087" s="330" t="s">
        <v>4634</v>
      </c>
      <c r="F16087" s="331">
        <v>0.21</v>
      </c>
      <c r="G16087" s="332">
        <v>6593</v>
      </c>
      <c r="H16087" s="333">
        <v>7978</v>
      </c>
    </row>
    <row r="16088" spans="1:8">
      <c r="A16088" s="317">
        <v>3605700141</v>
      </c>
      <c r="B16088" s="330" t="s">
        <v>60440</v>
      </c>
      <c r="C16088" s="330" t="s">
        <v>33150</v>
      </c>
      <c r="D16088" s="330" t="s">
        <v>33151</v>
      </c>
      <c r="E16088" s="330" t="s">
        <v>4634</v>
      </c>
      <c r="F16088" s="331">
        <v>0.21</v>
      </c>
      <c r="G16088" s="332">
        <v>12447</v>
      </c>
      <c r="H16088" s="333">
        <v>15061</v>
      </c>
    </row>
    <row r="16089" spans="1:8">
      <c r="A16089" s="317">
        <v>3605700158</v>
      </c>
      <c r="B16089" s="330" t="s">
        <v>60441</v>
      </c>
      <c r="C16089" s="330" t="s">
        <v>33152</v>
      </c>
      <c r="D16089" s="330" t="s">
        <v>33153</v>
      </c>
      <c r="E16089" s="330" t="s">
        <v>4634</v>
      </c>
      <c r="F16089" s="331">
        <v>0.21</v>
      </c>
      <c r="G16089" s="332">
        <v>23213</v>
      </c>
      <c r="H16089" s="333">
        <v>28088</v>
      </c>
    </row>
    <row r="16090" spans="1:8">
      <c r="A16090" s="317">
        <v>3605700165</v>
      </c>
      <c r="B16090" s="330" t="s">
        <v>60442</v>
      </c>
      <c r="C16090" s="330" t="s">
        <v>33154</v>
      </c>
      <c r="D16090" s="330" t="s">
        <v>33155</v>
      </c>
      <c r="E16090" s="330" t="s">
        <v>4634</v>
      </c>
      <c r="F16090" s="331">
        <v>0.21</v>
      </c>
      <c r="G16090" s="332">
        <v>13931</v>
      </c>
      <c r="H16090" s="333">
        <v>16857</v>
      </c>
    </row>
    <row r="16091" spans="1:8">
      <c r="A16091" s="317">
        <v>3605700170</v>
      </c>
      <c r="B16091" s="330" t="s">
        <v>60443</v>
      </c>
      <c r="C16091" s="330" t="s">
        <v>33156</v>
      </c>
      <c r="D16091" s="330" t="s">
        <v>33155</v>
      </c>
      <c r="E16091" s="330" t="s">
        <v>4634</v>
      </c>
      <c r="F16091" s="331">
        <v>0.21</v>
      </c>
      <c r="G16091" s="332">
        <v>9349</v>
      </c>
      <c r="H16091" s="333">
        <v>11313</v>
      </c>
    </row>
    <row r="16092" spans="1:8">
      <c r="A16092" s="317">
        <v>3605700173</v>
      </c>
      <c r="B16092" s="330" t="s">
        <v>60444</v>
      </c>
      <c r="C16092" s="330" t="s">
        <v>33157</v>
      </c>
      <c r="D16092" s="330" t="s">
        <v>33158</v>
      </c>
      <c r="E16092" s="330" t="s">
        <v>4634</v>
      </c>
      <c r="F16092" s="331">
        <v>0.21</v>
      </c>
      <c r="G16092" s="332">
        <v>12211</v>
      </c>
      <c r="H16092" s="333">
        <v>14776</v>
      </c>
    </row>
    <row r="16093" spans="1:8">
      <c r="A16093" s="317">
        <v>3605700174</v>
      </c>
      <c r="B16093" s="330" t="s">
        <v>60445</v>
      </c>
      <c r="C16093" s="330" t="s">
        <v>33159</v>
      </c>
      <c r="D16093" s="330" t="s">
        <v>33160</v>
      </c>
      <c r="E16093" s="330" t="s">
        <v>4634</v>
      </c>
      <c r="F16093" s="331">
        <v>0.21</v>
      </c>
      <c r="G16093" s="332">
        <v>10150</v>
      </c>
      <c r="H16093" s="333">
        <v>12282</v>
      </c>
    </row>
    <row r="16094" spans="1:8">
      <c r="A16094" s="317">
        <v>3605700175</v>
      </c>
      <c r="B16094" s="330" t="s">
        <v>60446</v>
      </c>
      <c r="C16094" s="330" t="s">
        <v>33161</v>
      </c>
      <c r="D16094" s="330" t="s">
        <v>33160</v>
      </c>
      <c r="E16094" s="330" t="s">
        <v>4634</v>
      </c>
      <c r="F16094" s="331">
        <v>0.21</v>
      </c>
      <c r="G16094" s="332">
        <v>21758</v>
      </c>
      <c r="H16094" s="333">
        <v>26328</v>
      </c>
    </row>
    <row r="16095" spans="1:8">
      <c r="A16095" s="317">
        <v>3605700176</v>
      </c>
      <c r="B16095" s="330" t="s">
        <v>60447</v>
      </c>
      <c r="C16095" s="330" t="s">
        <v>33162</v>
      </c>
      <c r="D16095" s="330" t="s">
        <v>33160</v>
      </c>
      <c r="E16095" s="330" t="s">
        <v>4634</v>
      </c>
      <c r="F16095" s="331">
        <v>0.21</v>
      </c>
      <c r="G16095" s="332">
        <v>285206</v>
      </c>
      <c r="H16095" s="333">
        <v>345100</v>
      </c>
    </row>
    <row r="16096" spans="1:8">
      <c r="A16096" s="317">
        <v>3605700177</v>
      </c>
      <c r="B16096" s="330" t="s">
        <v>60448</v>
      </c>
      <c r="C16096" s="330" t="s">
        <v>33163</v>
      </c>
      <c r="D16096" s="330" t="s">
        <v>9931</v>
      </c>
      <c r="E16096" s="330" t="s">
        <v>4634</v>
      </c>
      <c r="F16096" s="331">
        <v>0.21</v>
      </c>
      <c r="G16096" s="332">
        <v>12599</v>
      </c>
      <c r="H16096" s="333">
        <v>15245</v>
      </c>
    </row>
    <row r="16097" spans="1:8">
      <c r="A16097" s="317">
        <v>3605700179</v>
      </c>
      <c r="B16097" s="330" t="s">
        <v>60449</v>
      </c>
      <c r="C16097" s="330" t="s">
        <v>33164</v>
      </c>
      <c r="D16097" s="330" t="s">
        <v>33160</v>
      </c>
      <c r="E16097" s="330" t="s">
        <v>4634</v>
      </c>
      <c r="F16097" s="331">
        <v>0.21</v>
      </c>
      <c r="G16097" s="332">
        <v>11425</v>
      </c>
      <c r="H16097" s="333">
        <v>13825</v>
      </c>
    </row>
    <row r="16098" spans="1:8">
      <c r="A16098" s="317">
        <v>3605700180</v>
      </c>
      <c r="B16098" s="330" t="s">
        <v>60450</v>
      </c>
      <c r="C16098" s="330" t="s">
        <v>33165</v>
      </c>
      <c r="D16098" s="330" t="s">
        <v>33160</v>
      </c>
      <c r="E16098" s="330" t="s">
        <v>4634</v>
      </c>
      <c r="F16098" s="331">
        <v>0.21</v>
      </c>
      <c r="G16098" s="332">
        <v>10150</v>
      </c>
      <c r="H16098" s="333">
        <v>12282</v>
      </c>
    </row>
    <row r="16099" spans="1:8">
      <c r="A16099" s="317">
        <v>3605700186</v>
      </c>
      <c r="B16099" s="330" t="s">
        <v>60451</v>
      </c>
      <c r="C16099" s="330" t="s">
        <v>33166</v>
      </c>
      <c r="D16099" s="330" t="s">
        <v>33167</v>
      </c>
      <c r="E16099" s="330" t="s">
        <v>4623</v>
      </c>
      <c r="F16099" s="331">
        <v>0.21</v>
      </c>
      <c r="G16099" s="332">
        <v>54241</v>
      </c>
      <c r="H16099" s="333">
        <v>65632</v>
      </c>
    </row>
    <row r="16100" spans="1:8">
      <c r="A16100" s="317">
        <v>3605700190</v>
      </c>
      <c r="B16100" s="330" t="s">
        <v>60452</v>
      </c>
      <c r="C16100" s="330" t="s">
        <v>33168</v>
      </c>
      <c r="D16100" s="330" t="s">
        <v>33160</v>
      </c>
      <c r="E16100" s="330" t="s">
        <v>4819</v>
      </c>
      <c r="F16100" s="331">
        <v>0.21</v>
      </c>
      <c r="G16100" s="332">
        <v>30871</v>
      </c>
      <c r="H16100" s="333">
        <v>37354</v>
      </c>
    </row>
    <row r="16101" spans="1:8">
      <c r="A16101" s="317">
        <v>3605700191</v>
      </c>
      <c r="B16101" s="330" t="s">
        <v>60453</v>
      </c>
      <c r="C16101" s="330" t="s">
        <v>33169</v>
      </c>
      <c r="D16101" s="330" t="s">
        <v>18942</v>
      </c>
      <c r="E16101" s="330" t="s">
        <v>4819</v>
      </c>
      <c r="F16101" s="331">
        <v>0.21</v>
      </c>
      <c r="G16101" s="332">
        <v>70422</v>
      </c>
      <c r="H16101" s="333">
        <v>85211</v>
      </c>
    </row>
    <row r="16102" spans="1:8">
      <c r="A16102" s="317">
        <v>3605700192</v>
      </c>
      <c r="B16102" s="330" t="s">
        <v>60454</v>
      </c>
      <c r="C16102" s="330" t="s">
        <v>33170</v>
      </c>
      <c r="D16102" s="330" t="s">
        <v>18942</v>
      </c>
      <c r="E16102" s="330" t="s">
        <v>4819</v>
      </c>
      <c r="F16102" s="331">
        <v>0.21</v>
      </c>
      <c r="G16102" s="332">
        <v>45364</v>
      </c>
      <c r="H16102" s="333">
        <v>54891</v>
      </c>
    </row>
    <row r="16103" spans="1:8">
      <c r="A16103" s="317">
        <v>3605700210</v>
      </c>
      <c r="B16103" s="330" t="s">
        <v>60455</v>
      </c>
      <c r="C16103" s="330" t="s">
        <v>33171</v>
      </c>
      <c r="D16103" s="330" t="s">
        <v>33172</v>
      </c>
      <c r="E16103" s="330" t="s">
        <v>4819</v>
      </c>
      <c r="F16103" s="331">
        <v>0.21</v>
      </c>
      <c r="G16103" s="332">
        <v>27824</v>
      </c>
      <c r="H16103" s="333">
        <v>33668</v>
      </c>
    </row>
    <row r="16104" spans="1:8">
      <c r="A16104" s="317">
        <v>3605700211</v>
      </c>
      <c r="B16104" s="330" t="s">
        <v>60456</v>
      </c>
      <c r="C16104" s="330" t="s">
        <v>33173</v>
      </c>
      <c r="D16104" s="330" t="s">
        <v>33172</v>
      </c>
      <c r="E16104" s="330" t="s">
        <v>4819</v>
      </c>
      <c r="F16104" s="331">
        <v>0.21</v>
      </c>
      <c r="G16104" s="332">
        <v>31728</v>
      </c>
      <c r="H16104" s="333">
        <v>38391</v>
      </c>
    </row>
    <row r="16105" spans="1:8">
      <c r="A16105" s="317">
        <v>3605700213</v>
      </c>
      <c r="B16105" s="330" t="s">
        <v>60457</v>
      </c>
      <c r="C16105" s="330" t="s">
        <v>33174</v>
      </c>
      <c r="D16105" s="330" t="s">
        <v>33175</v>
      </c>
      <c r="E16105" s="330" t="s">
        <v>37248</v>
      </c>
      <c r="F16105" s="331">
        <v>0.21</v>
      </c>
      <c r="G16105" s="332">
        <v>515</v>
      </c>
      <c r="H16105" s="333">
        <v>624</v>
      </c>
    </row>
    <row r="16106" spans="1:8">
      <c r="A16106" s="317">
        <v>3605702581</v>
      </c>
      <c r="B16106" s="330" t="s">
        <v>60458</v>
      </c>
      <c r="C16106" s="330" t="s">
        <v>33176</v>
      </c>
      <c r="D16106" s="330" t="s">
        <v>33177</v>
      </c>
      <c r="E16106" s="330" t="s">
        <v>4634</v>
      </c>
      <c r="F16106" s="331">
        <v>0.21</v>
      </c>
      <c r="G16106" s="332">
        <v>77958</v>
      </c>
      <c r="H16106" s="333">
        <v>94330</v>
      </c>
    </row>
    <row r="16107" spans="1:8">
      <c r="A16107" s="317">
        <v>3605702583</v>
      </c>
      <c r="B16107" s="330" t="s">
        <v>60459</v>
      </c>
      <c r="C16107" s="330" t="s">
        <v>33178</v>
      </c>
      <c r="D16107" s="330" t="s">
        <v>33179</v>
      </c>
      <c r="E16107" s="330" t="s">
        <v>4634</v>
      </c>
      <c r="F16107" s="331">
        <v>0.21</v>
      </c>
      <c r="G16107" s="332">
        <v>8691</v>
      </c>
      <c r="H16107" s="333">
        <v>10517</v>
      </c>
    </row>
    <row r="16108" spans="1:8">
      <c r="A16108" s="317">
        <v>3605702588</v>
      </c>
      <c r="B16108" s="330" t="s">
        <v>60460</v>
      </c>
      <c r="C16108" s="330" t="s">
        <v>33180</v>
      </c>
      <c r="D16108" s="330" t="s">
        <v>33181</v>
      </c>
      <c r="E16108" s="330" t="s">
        <v>4634</v>
      </c>
      <c r="F16108" s="331">
        <v>0.21</v>
      </c>
      <c r="G16108" s="332">
        <v>3702</v>
      </c>
      <c r="H16108" s="333">
        <v>4480</v>
      </c>
    </row>
    <row r="16109" spans="1:8">
      <c r="A16109" s="317">
        <v>3605702598</v>
      </c>
      <c r="B16109" s="330" t="s">
        <v>60461</v>
      </c>
      <c r="C16109" s="330" t="s">
        <v>33182</v>
      </c>
      <c r="D16109" s="330" t="s">
        <v>33183</v>
      </c>
      <c r="E16109" s="330" t="s">
        <v>4634</v>
      </c>
      <c r="F16109" s="331">
        <v>0.21</v>
      </c>
      <c r="G16109" s="332">
        <v>20532</v>
      </c>
      <c r="H16109" s="333">
        <v>24844</v>
      </c>
    </row>
    <row r="16110" spans="1:8">
      <c r="A16110" s="317">
        <v>3605703029</v>
      </c>
      <c r="B16110" s="330" t="s">
        <v>60462</v>
      </c>
      <c r="C16110" s="330" t="s">
        <v>33184</v>
      </c>
      <c r="D16110" s="330" t="s">
        <v>33185</v>
      </c>
      <c r="E16110" s="330" t="s">
        <v>4634</v>
      </c>
      <c r="F16110" s="331">
        <v>0.21</v>
      </c>
      <c r="G16110" s="332">
        <v>4389</v>
      </c>
      <c r="H16110" s="333">
        <v>5311</v>
      </c>
    </row>
    <row r="16111" spans="1:8">
      <c r="A16111" s="317">
        <v>3605703065</v>
      </c>
      <c r="B16111" s="330" t="s">
        <v>60463</v>
      </c>
      <c r="C16111" s="330" t="s">
        <v>33186</v>
      </c>
      <c r="D16111" s="330" t="s">
        <v>33187</v>
      </c>
      <c r="E16111" s="330" t="s">
        <v>4634</v>
      </c>
      <c r="F16111" s="331">
        <v>0.21</v>
      </c>
      <c r="G16111" s="332">
        <v>7151</v>
      </c>
      <c r="H16111" s="333">
        <v>8653</v>
      </c>
    </row>
    <row r="16112" spans="1:8">
      <c r="A16112" s="317">
        <v>3605703066</v>
      </c>
      <c r="B16112" s="330" t="s">
        <v>60464</v>
      </c>
      <c r="C16112" s="330" t="s">
        <v>33188</v>
      </c>
      <c r="D16112" s="330" t="s">
        <v>33189</v>
      </c>
      <c r="E16112" s="330" t="s">
        <v>4634</v>
      </c>
      <c r="F16112" s="331">
        <v>0.21</v>
      </c>
      <c r="G16112" s="332">
        <v>6522</v>
      </c>
      <c r="H16112" s="333">
        <v>7892</v>
      </c>
    </row>
    <row r="16113" spans="1:8">
      <c r="A16113" s="317">
        <v>3605703067</v>
      </c>
      <c r="B16113" s="330" t="s">
        <v>60465</v>
      </c>
      <c r="C16113" s="330" t="s">
        <v>33190</v>
      </c>
      <c r="D16113" s="330" t="s">
        <v>33191</v>
      </c>
      <c r="E16113" s="330" t="s">
        <v>4634</v>
      </c>
      <c r="F16113" s="331">
        <v>0.21</v>
      </c>
      <c r="G16113" s="332">
        <v>35090</v>
      </c>
      <c r="H16113" s="333">
        <v>42459</v>
      </c>
    </row>
    <row r="16114" spans="1:8">
      <c r="A16114" s="317">
        <v>3605703068</v>
      </c>
      <c r="B16114" s="330" t="s">
        <v>60466</v>
      </c>
      <c r="C16114" s="330" t="s">
        <v>33192</v>
      </c>
      <c r="D16114" s="330" t="s">
        <v>33193</v>
      </c>
      <c r="E16114" s="330" t="s">
        <v>4634</v>
      </c>
      <c r="F16114" s="331">
        <v>0.21</v>
      </c>
      <c r="G16114" s="332">
        <v>12920</v>
      </c>
      <c r="H16114" s="333">
        <v>15634</v>
      </c>
    </row>
    <row r="16115" spans="1:8">
      <c r="A16115" s="317">
        <v>3605703069</v>
      </c>
      <c r="B16115" s="330" t="s">
        <v>60467</v>
      </c>
      <c r="C16115" s="330" t="s">
        <v>33194</v>
      </c>
      <c r="D16115" s="330" t="s">
        <v>33195</v>
      </c>
      <c r="E16115" s="330" t="s">
        <v>4634</v>
      </c>
      <c r="F16115" s="331">
        <v>0.21</v>
      </c>
      <c r="G16115" s="332">
        <v>14187</v>
      </c>
      <c r="H16115" s="333">
        <v>17167</v>
      </c>
    </row>
    <row r="16116" spans="1:8">
      <c r="A16116" s="317">
        <v>3605703070</v>
      </c>
      <c r="B16116" s="330" t="s">
        <v>60468</v>
      </c>
      <c r="C16116" s="330" t="s">
        <v>33196</v>
      </c>
      <c r="D16116" s="330" t="s">
        <v>33197</v>
      </c>
      <c r="E16116" s="330" t="s">
        <v>4634</v>
      </c>
      <c r="F16116" s="331">
        <v>0.21</v>
      </c>
      <c r="G16116" s="332">
        <v>24968</v>
      </c>
      <c r="H16116" s="333">
        <v>30212</v>
      </c>
    </row>
    <row r="16117" spans="1:8">
      <c r="A16117" s="317">
        <v>3605703074</v>
      </c>
      <c r="B16117" s="330" t="s">
        <v>60469</v>
      </c>
      <c r="C16117" s="330" t="s">
        <v>33198</v>
      </c>
      <c r="D16117" s="330" t="s">
        <v>33199</v>
      </c>
      <c r="E16117" s="330" t="s">
        <v>4634</v>
      </c>
      <c r="F16117" s="331">
        <v>0.21</v>
      </c>
      <c r="G16117" s="332">
        <v>4615</v>
      </c>
      <c r="H16117" s="333">
        <v>5585</v>
      </c>
    </row>
    <row r="16118" spans="1:8">
      <c r="A16118" s="317">
        <v>3605703077</v>
      </c>
      <c r="B16118" s="330" t="s">
        <v>60470</v>
      </c>
      <c r="C16118" s="330" t="s">
        <v>33200</v>
      </c>
      <c r="D16118" s="330" t="s">
        <v>33201</v>
      </c>
      <c r="E16118" s="330" t="s">
        <v>4634</v>
      </c>
      <c r="F16118" s="331">
        <v>0.21</v>
      </c>
      <c r="G16118" s="332">
        <v>9166</v>
      </c>
      <c r="H16118" s="333">
        <v>11091</v>
      </c>
    </row>
    <row r="16119" spans="1:8">
      <c r="A16119" s="317">
        <v>3605703078</v>
      </c>
      <c r="B16119" s="330" t="s">
        <v>60471</v>
      </c>
      <c r="C16119" s="330" t="s">
        <v>33202</v>
      </c>
      <c r="D16119" s="330" t="s">
        <v>33201</v>
      </c>
      <c r="E16119" s="330" t="s">
        <v>4634</v>
      </c>
      <c r="F16119" s="331">
        <v>0.21</v>
      </c>
      <c r="G16119" s="332">
        <v>86172</v>
      </c>
      <c r="H16119" s="333">
        <v>104269</v>
      </c>
    </row>
    <row r="16120" spans="1:8">
      <c r="A16120" s="317">
        <v>3605703089</v>
      </c>
      <c r="B16120" s="330" t="s">
        <v>60472</v>
      </c>
      <c r="C16120" s="330" t="s">
        <v>33203</v>
      </c>
      <c r="D16120" s="330" t="s">
        <v>33204</v>
      </c>
      <c r="E16120" s="330" t="s">
        <v>4819</v>
      </c>
      <c r="F16120" s="331">
        <v>0.21</v>
      </c>
      <c r="G16120" s="332">
        <v>33976</v>
      </c>
      <c r="H16120" s="333">
        <v>41111</v>
      </c>
    </row>
    <row r="16121" spans="1:8">
      <c r="A16121" s="317">
        <v>3605703112</v>
      </c>
      <c r="B16121" s="330" t="s">
        <v>60473</v>
      </c>
      <c r="C16121" s="330" t="s">
        <v>33205</v>
      </c>
      <c r="D16121" s="330" t="s">
        <v>33206</v>
      </c>
      <c r="E16121" s="330" t="s">
        <v>4819</v>
      </c>
      <c r="F16121" s="331">
        <v>0.21</v>
      </c>
      <c r="G16121" s="332">
        <v>20683</v>
      </c>
      <c r="H16121" s="333">
        <v>25027</v>
      </c>
    </row>
    <row r="16122" spans="1:8">
      <c r="A16122" s="317">
        <v>3605801000</v>
      </c>
      <c r="B16122" s="330" t="s">
        <v>60474</v>
      </c>
      <c r="C16122" s="330" t="s">
        <v>33207</v>
      </c>
      <c r="D16122" s="330" t="s">
        <v>33208</v>
      </c>
      <c r="E16122" s="330" t="s">
        <v>4634</v>
      </c>
      <c r="F16122" s="331">
        <v>0.21</v>
      </c>
      <c r="G16122" s="332">
        <v>27572</v>
      </c>
      <c r="H16122" s="333">
        <v>33363</v>
      </c>
    </row>
    <row r="16123" spans="1:8">
      <c r="A16123" s="317">
        <v>3605805009</v>
      </c>
      <c r="B16123" s="330" t="s">
        <v>60475</v>
      </c>
      <c r="C16123" s="330" t="s">
        <v>33209</v>
      </c>
      <c r="D16123" s="330" t="s">
        <v>33210</v>
      </c>
      <c r="E16123" s="330" t="s">
        <v>4634</v>
      </c>
      <c r="F16123" s="331">
        <v>0.21</v>
      </c>
      <c r="G16123" s="332">
        <v>15343</v>
      </c>
      <c r="H16123" s="333">
        <v>18566</v>
      </c>
    </row>
    <row r="16124" spans="1:8">
      <c r="A16124" s="317">
        <v>3605805032</v>
      </c>
      <c r="B16124" s="330" t="s">
        <v>60476</v>
      </c>
      <c r="C16124" s="330" t="s">
        <v>33211</v>
      </c>
      <c r="D16124" s="330" t="s">
        <v>33212</v>
      </c>
      <c r="E16124" s="330" t="s">
        <v>4634</v>
      </c>
      <c r="F16124" s="331">
        <v>0.21</v>
      </c>
      <c r="G16124" s="332">
        <v>13721</v>
      </c>
      <c r="H16124" s="333">
        <v>16603</v>
      </c>
    </row>
    <row r="16125" spans="1:8">
      <c r="A16125" s="317">
        <v>3605805038</v>
      </c>
      <c r="B16125" s="330" t="s">
        <v>60477</v>
      </c>
      <c r="C16125" s="330" t="s">
        <v>33213</v>
      </c>
      <c r="D16125" s="330" t="s">
        <v>33214</v>
      </c>
      <c r="E16125" s="330" t="s">
        <v>4819</v>
      </c>
      <c r="F16125" s="331">
        <v>0.21</v>
      </c>
      <c r="G16125" s="332">
        <v>13239</v>
      </c>
      <c r="H16125" s="333">
        <v>16020</v>
      </c>
    </row>
    <row r="16126" spans="1:8">
      <c r="A16126" s="317">
        <v>3605806050</v>
      </c>
      <c r="B16126" s="330" t="s">
        <v>60478</v>
      </c>
      <c r="C16126" s="330" t="s">
        <v>33215</v>
      </c>
      <c r="D16126" s="330" t="s">
        <v>33216</v>
      </c>
      <c r="E16126" s="330" t="s">
        <v>4634</v>
      </c>
      <c r="F16126" s="331">
        <v>0.21</v>
      </c>
      <c r="G16126" s="332">
        <v>14143</v>
      </c>
      <c r="H16126" s="333">
        <v>17114</v>
      </c>
    </row>
    <row r="16127" spans="1:8">
      <c r="A16127" s="317">
        <v>3605806053</v>
      </c>
      <c r="B16127" s="330" t="s">
        <v>60479</v>
      </c>
      <c r="C16127" s="330" t="s">
        <v>33217</v>
      </c>
      <c r="D16127" s="330" t="s">
        <v>33218</v>
      </c>
      <c r="E16127" s="330" t="s">
        <v>4634</v>
      </c>
      <c r="F16127" s="331">
        <v>0.21</v>
      </c>
      <c r="G16127" s="332">
        <v>2864</v>
      </c>
      <c r="H16127" s="333">
        <v>3466</v>
      </c>
    </row>
    <row r="16128" spans="1:8">
      <c r="A16128" s="317">
        <v>3605806066</v>
      </c>
      <c r="B16128" s="330" t="s">
        <v>60480</v>
      </c>
      <c r="C16128" s="330" t="s">
        <v>33219</v>
      </c>
      <c r="D16128" s="330" t="s">
        <v>33220</v>
      </c>
      <c r="E16128" s="330" t="s">
        <v>4634</v>
      </c>
      <c r="F16128" s="331">
        <v>0.21</v>
      </c>
      <c r="G16128" s="332">
        <v>74168</v>
      </c>
      <c r="H16128" s="333">
        <v>89744</v>
      </c>
    </row>
    <row r="16129" spans="1:8">
      <c r="A16129" s="317">
        <v>3605806067</v>
      </c>
      <c r="B16129" s="330" t="s">
        <v>60481</v>
      </c>
      <c r="C16129" s="330" t="s">
        <v>33221</v>
      </c>
      <c r="D16129" s="330" t="s">
        <v>5073</v>
      </c>
      <c r="E16129" s="330" t="s">
        <v>4634</v>
      </c>
      <c r="F16129" s="331">
        <v>0.21</v>
      </c>
      <c r="G16129" s="332">
        <v>8336</v>
      </c>
      <c r="H16129" s="333">
        <v>10087</v>
      </c>
    </row>
    <row r="16130" spans="1:8">
      <c r="A16130" s="317">
        <v>3605806109</v>
      </c>
      <c r="B16130" s="330" t="s">
        <v>60482</v>
      </c>
      <c r="C16130" s="330" t="s">
        <v>33222</v>
      </c>
      <c r="D16130" s="330" t="s">
        <v>33223</v>
      </c>
      <c r="E16130" s="330" t="s">
        <v>4819</v>
      </c>
      <c r="F16130" s="331">
        <v>0.21</v>
      </c>
      <c r="G16130" s="332">
        <v>105796</v>
      </c>
      <c r="H16130" s="333">
        <v>128014</v>
      </c>
    </row>
    <row r="16131" spans="1:8">
      <c r="A16131" s="317">
        <v>3605806112</v>
      </c>
      <c r="B16131" s="330" t="s">
        <v>60483</v>
      </c>
      <c r="C16131" s="330" t="s">
        <v>33224</v>
      </c>
      <c r="D16131" s="330" t="s">
        <v>33225</v>
      </c>
      <c r="E16131" s="330" t="s">
        <v>4634</v>
      </c>
      <c r="F16131" s="331">
        <v>0.21</v>
      </c>
      <c r="G16131" s="332">
        <v>76135</v>
      </c>
      <c r="H16131" s="333">
        <v>92124</v>
      </c>
    </row>
    <row r="16132" spans="1:8">
      <c r="A16132" s="317">
        <v>3605806114</v>
      </c>
      <c r="B16132" s="330" t="s">
        <v>60484</v>
      </c>
      <c r="C16132" s="330" t="s">
        <v>33226</v>
      </c>
      <c r="D16132" s="330" t="s">
        <v>33227</v>
      </c>
      <c r="E16132" s="330" t="s">
        <v>4634</v>
      </c>
      <c r="F16132" s="331">
        <v>0.21</v>
      </c>
      <c r="G16132" s="332">
        <v>23838</v>
      </c>
      <c r="H16132" s="333">
        <v>28844</v>
      </c>
    </row>
    <row r="16133" spans="1:8">
      <c r="A16133" s="317">
        <v>3605806138</v>
      </c>
      <c r="B16133" s="330" t="s">
        <v>60485</v>
      </c>
      <c r="C16133" s="330" t="s">
        <v>33228</v>
      </c>
      <c r="D16133" s="330" t="s">
        <v>33229</v>
      </c>
      <c r="E16133" s="330" t="s">
        <v>4634</v>
      </c>
      <c r="F16133" s="331">
        <v>0.21</v>
      </c>
      <c r="G16133" s="332">
        <v>188653</v>
      </c>
      <c r="H16133" s="333">
        <v>228271</v>
      </c>
    </row>
    <row r="16134" spans="1:8">
      <c r="A16134" s="317">
        <v>3605806184</v>
      </c>
      <c r="B16134" s="330" t="s">
        <v>60486</v>
      </c>
      <c r="C16134" s="330" t="s">
        <v>33230</v>
      </c>
      <c r="D16134" s="330" t="s">
        <v>33231</v>
      </c>
      <c r="E16134" s="330" t="s">
        <v>4634</v>
      </c>
      <c r="F16134" s="331">
        <v>0.21</v>
      </c>
      <c r="G16134" s="332">
        <v>36138</v>
      </c>
      <c r="H16134" s="333">
        <v>43727</v>
      </c>
    </row>
    <row r="16135" spans="1:8">
      <c r="A16135" s="317">
        <v>3605806188</v>
      </c>
      <c r="B16135" s="330" t="s">
        <v>60487</v>
      </c>
      <c r="C16135" s="330" t="s">
        <v>33232</v>
      </c>
      <c r="D16135" s="330" t="s">
        <v>33233</v>
      </c>
      <c r="E16135" s="330" t="s">
        <v>4634</v>
      </c>
      <c r="F16135" s="331">
        <v>0.21</v>
      </c>
      <c r="G16135" s="332">
        <v>33945</v>
      </c>
      <c r="H16135" s="333">
        <v>41074</v>
      </c>
    </row>
    <row r="16136" spans="1:8">
      <c r="A16136" s="317">
        <v>3605806201</v>
      </c>
      <c r="B16136" s="330" t="s">
        <v>60488</v>
      </c>
      <c r="C16136" s="330" t="s">
        <v>33234</v>
      </c>
      <c r="D16136" s="330" t="s">
        <v>33235</v>
      </c>
      <c r="E16136" s="330" t="s">
        <v>4634</v>
      </c>
      <c r="F16136" s="331">
        <v>0.21</v>
      </c>
      <c r="G16136" s="332">
        <v>90917</v>
      </c>
      <c r="H16136" s="333">
        <v>110010</v>
      </c>
    </row>
    <row r="16137" spans="1:8">
      <c r="A16137" s="317">
        <v>3605806216</v>
      </c>
      <c r="B16137" s="330" t="s">
        <v>60489</v>
      </c>
      <c r="C16137" s="330" t="s">
        <v>33236</v>
      </c>
      <c r="D16137" s="330" t="s">
        <v>32935</v>
      </c>
      <c r="E16137" s="330" t="s">
        <v>4819</v>
      </c>
      <c r="F16137" s="331">
        <v>0.21</v>
      </c>
      <c r="G16137" s="332">
        <v>30324</v>
      </c>
      <c r="H16137" s="333">
        <v>36693</v>
      </c>
    </row>
    <row r="16138" spans="1:8">
      <c r="A16138" s="317">
        <v>3605806508</v>
      </c>
      <c r="B16138" s="330" t="s">
        <v>60490</v>
      </c>
      <c r="C16138" s="330" t="s">
        <v>33237</v>
      </c>
      <c r="D16138" s="330" t="s">
        <v>33238</v>
      </c>
      <c r="E16138" s="330" t="s">
        <v>4634</v>
      </c>
      <c r="F16138" s="331">
        <v>0.21</v>
      </c>
      <c r="G16138" s="332">
        <v>42397</v>
      </c>
      <c r="H16138" s="333">
        <v>51301</v>
      </c>
    </row>
    <row r="16139" spans="1:8">
      <c r="A16139" s="317">
        <v>3605806537</v>
      </c>
      <c r="B16139" s="330" t="s">
        <v>60491</v>
      </c>
      <c r="C16139" s="330" t="s">
        <v>33239</v>
      </c>
      <c r="D16139" s="330" t="s">
        <v>33240</v>
      </c>
      <c r="E16139" s="330" t="s">
        <v>4819</v>
      </c>
      <c r="F16139" s="331">
        <v>0.21</v>
      </c>
      <c r="G16139" s="332">
        <v>34059</v>
      </c>
      <c r="H16139" s="333">
        <v>41212</v>
      </c>
    </row>
    <row r="16140" spans="1:8">
      <c r="A16140" s="317">
        <v>3605806541</v>
      </c>
      <c r="B16140" s="330" t="s">
        <v>60492</v>
      </c>
      <c r="C16140" s="330" t="s">
        <v>33241</v>
      </c>
      <c r="D16140" s="330" t="s">
        <v>33242</v>
      </c>
      <c r="E16140" s="330" t="s">
        <v>4634</v>
      </c>
      <c r="F16140" s="331">
        <v>0.21</v>
      </c>
      <c r="G16140" s="332">
        <v>3673</v>
      </c>
      <c r="H16140" s="333">
        <v>4445</v>
      </c>
    </row>
    <row r="16141" spans="1:8">
      <c r="A16141" s="317">
        <v>3605820002</v>
      </c>
      <c r="B16141" s="330" t="s">
        <v>60493</v>
      </c>
      <c r="C16141" s="330" t="s">
        <v>33243</v>
      </c>
      <c r="D16141" s="330" t="s">
        <v>33244</v>
      </c>
      <c r="E16141" s="330" t="s">
        <v>4634</v>
      </c>
      <c r="F16141" s="331">
        <v>0.21</v>
      </c>
      <c r="G16141" s="332">
        <v>18435</v>
      </c>
      <c r="H16141" s="333">
        <v>22307</v>
      </c>
    </row>
    <row r="16142" spans="1:8">
      <c r="A16142" s="317">
        <v>3605820013</v>
      </c>
      <c r="B16142" s="330" t="s">
        <v>60494</v>
      </c>
      <c r="C16142" s="330" t="s">
        <v>33245</v>
      </c>
      <c r="D16142" s="330" t="s">
        <v>33246</v>
      </c>
      <c r="E16142" s="330" t="s">
        <v>4634</v>
      </c>
      <c r="F16142" s="331">
        <v>0.21</v>
      </c>
      <c r="G16142" s="332">
        <v>40885</v>
      </c>
      <c r="H16142" s="333">
        <v>49471</v>
      </c>
    </row>
    <row r="16143" spans="1:8">
      <c r="A16143" s="317">
        <v>3605820036</v>
      </c>
      <c r="B16143" s="330" t="s">
        <v>60495</v>
      </c>
      <c r="C16143" s="330" t="s">
        <v>33247</v>
      </c>
      <c r="D16143" s="330" t="s">
        <v>33248</v>
      </c>
      <c r="E16143" s="330" t="s">
        <v>4634</v>
      </c>
      <c r="F16143" s="331">
        <v>0.21</v>
      </c>
      <c r="G16143" s="332">
        <v>19733</v>
      </c>
      <c r="H16143" s="333">
        <v>23877</v>
      </c>
    </row>
    <row r="16144" spans="1:8">
      <c r="A16144" s="317">
        <v>3605820037</v>
      </c>
      <c r="B16144" s="330" t="s">
        <v>60496</v>
      </c>
      <c r="C16144" s="330" t="s">
        <v>33249</v>
      </c>
      <c r="D16144" s="330" t="s">
        <v>33250</v>
      </c>
      <c r="E16144" s="330" t="s">
        <v>4634</v>
      </c>
      <c r="F16144" s="331">
        <v>0.21</v>
      </c>
      <c r="G16144" s="332">
        <v>27627</v>
      </c>
      <c r="H16144" s="333">
        <v>33429</v>
      </c>
    </row>
    <row r="16145" spans="1:8">
      <c r="A16145" s="317">
        <v>3605820064</v>
      </c>
      <c r="B16145" s="330" t="s">
        <v>60497</v>
      </c>
      <c r="C16145" s="330" t="s">
        <v>33251</v>
      </c>
      <c r="D16145" s="330" t="s">
        <v>33252</v>
      </c>
      <c r="E16145" s="330" t="s">
        <v>4634</v>
      </c>
      <c r="F16145" s="331">
        <v>0.21</v>
      </c>
      <c r="G16145" s="332">
        <v>18435</v>
      </c>
      <c r="H16145" s="333">
        <v>22307</v>
      </c>
    </row>
    <row r="16146" spans="1:8">
      <c r="A16146" s="317">
        <v>3605820065</v>
      </c>
      <c r="B16146" s="330" t="s">
        <v>60498</v>
      </c>
      <c r="C16146" s="330" t="s">
        <v>33253</v>
      </c>
      <c r="D16146" s="330" t="s">
        <v>33254</v>
      </c>
      <c r="E16146" s="330" t="s">
        <v>4634</v>
      </c>
      <c r="F16146" s="331">
        <v>0.21</v>
      </c>
      <c r="G16146" s="332">
        <v>18435</v>
      </c>
      <c r="H16146" s="333">
        <v>22307</v>
      </c>
    </row>
    <row r="16147" spans="1:8">
      <c r="A16147" s="317">
        <v>3606100005</v>
      </c>
      <c r="B16147" s="330" t="s">
        <v>60499</v>
      </c>
      <c r="C16147" s="330" t="s">
        <v>33255</v>
      </c>
      <c r="D16147" s="330" t="s">
        <v>33256</v>
      </c>
      <c r="E16147" s="330" t="s">
        <v>4634</v>
      </c>
      <c r="F16147" s="331">
        <v>0.21</v>
      </c>
      <c r="G16147" s="332">
        <v>18115</v>
      </c>
      <c r="H16147" s="333">
        <v>21920</v>
      </c>
    </row>
    <row r="16148" spans="1:8">
      <c r="A16148" s="317">
        <v>3606100008</v>
      </c>
      <c r="B16148" s="330" t="s">
        <v>60500</v>
      </c>
      <c r="C16148" s="330" t="s">
        <v>33257</v>
      </c>
      <c r="D16148" s="330" t="s">
        <v>33258</v>
      </c>
      <c r="E16148" s="330" t="s">
        <v>4634</v>
      </c>
      <c r="F16148" s="331">
        <v>0.21</v>
      </c>
      <c r="G16148" s="332">
        <v>66445</v>
      </c>
      <c r="H16148" s="333">
        <v>80399</v>
      </c>
    </row>
    <row r="16149" spans="1:8">
      <c r="A16149" s="317">
        <v>3606100010</v>
      </c>
      <c r="B16149" s="330" t="s">
        <v>60501</v>
      </c>
      <c r="C16149" s="330" t="s">
        <v>33259</v>
      </c>
      <c r="D16149" s="330" t="s">
        <v>33260</v>
      </c>
      <c r="E16149" s="330" t="s">
        <v>4634</v>
      </c>
      <c r="F16149" s="331">
        <v>0.21</v>
      </c>
      <c r="G16149" s="332">
        <v>52601</v>
      </c>
      <c r="H16149" s="333">
        <v>63648</v>
      </c>
    </row>
    <row r="16150" spans="1:8">
      <c r="A16150" s="317">
        <v>3606100101</v>
      </c>
      <c r="B16150" s="330" t="s">
        <v>60502</v>
      </c>
      <c r="C16150" s="330" t="s">
        <v>33261</v>
      </c>
      <c r="D16150" s="330" t="s">
        <v>14017</v>
      </c>
      <c r="E16150" s="330" t="s">
        <v>4819</v>
      </c>
      <c r="F16150" s="331">
        <v>0.21</v>
      </c>
      <c r="G16150" s="332">
        <v>4169</v>
      </c>
      <c r="H16150" s="333">
        <v>5045</v>
      </c>
    </row>
    <row r="16151" spans="1:8">
      <c r="A16151" s="317">
        <v>3606100511</v>
      </c>
      <c r="B16151" s="330" t="s">
        <v>60503</v>
      </c>
      <c r="C16151" s="330" t="s">
        <v>33262</v>
      </c>
      <c r="D16151" s="330" t="s">
        <v>33263</v>
      </c>
      <c r="E16151" s="330" t="s">
        <v>4634</v>
      </c>
      <c r="F16151" s="331">
        <v>0.21</v>
      </c>
      <c r="G16151" s="332">
        <v>8731</v>
      </c>
      <c r="H16151" s="333">
        <v>10565</v>
      </c>
    </row>
    <row r="16152" spans="1:8">
      <c r="A16152" s="317">
        <v>3606110002</v>
      </c>
      <c r="B16152" s="330" t="s">
        <v>60504</v>
      </c>
      <c r="C16152" s="330" t="s">
        <v>33264</v>
      </c>
      <c r="D16152" s="330" t="s">
        <v>33265</v>
      </c>
      <c r="E16152" s="330" t="s">
        <v>4634</v>
      </c>
      <c r="F16152" s="331">
        <v>0.21</v>
      </c>
      <c r="G16152" s="332">
        <v>31864</v>
      </c>
      <c r="H16152" s="333">
        <v>38556</v>
      </c>
    </row>
    <row r="16153" spans="1:8">
      <c r="A16153" s="317">
        <v>3606120005</v>
      </c>
      <c r="B16153" s="330" t="s">
        <v>60505</v>
      </c>
      <c r="C16153" s="330" t="s">
        <v>33266</v>
      </c>
      <c r="D16153" s="330" t="s">
        <v>33267</v>
      </c>
      <c r="E16153" s="330" t="s">
        <v>4623</v>
      </c>
      <c r="F16153" s="331">
        <v>0.21</v>
      </c>
      <c r="G16153" s="332">
        <v>142912</v>
      </c>
      <c r="H16153" s="333">
        <v>172924</v>
      </c>
    </row>
    <row r="16154" spans="1:8">
      <c r="A16154" s="317">
        <v>3606120009</v>
      </c>
      <c r="B16154" s="330" t="s">
        <v>60506</v>
      </c>
      <c r="C16154" s="330" t="s">
        <v>33268</v>
      </c>
      <c r="D16154" s="330" t="s">
        <v>33269</v>
      </c>
      <c r="E16154" s="330" t="s">
        <v>4634</v>
      </c>
      <c r="F16154" s="331">
        <v>0.21</v>
      </c>
      <c r="G16154" s="332">
        <v>59985</v>
      </c>
      <c r="H16154" s="333">
        <v>72582</v>
      </c>
    </row>
    <row r="16155" spans="1:8">
      <c r="A16155" s="317">
        <v>3606120565</v>
      </c>
      <c r="B16155" s="330" t="s">
        <v>60507</v>
      </c>
      <c r="C16155" s="330" t="s">
        <v>33270</v>
      </c>
      <c r="D16155" s="330" t="s">
        <v>33271</v>
      </c>
      <c r="E16155" s="330" t="s">
        <v>4634</v>
      </c>
      <c r="F16155" s="331">
        <v>0.21</v>
      </c>
      <c r="G16155" s="332">
        <v>6065</v>
      </c>
      <c r="H16155" s="333">
        <v>7339</v>
      </c>
    </row>
    <row r="16156" spans="1:8">
      <c r="A16156" s="317">
        <v>3606120567</v>
      </c>
      <c r="B16156" s="330" t="s">
        <v>60508</v>
      </c>
      <c r="C16156" s="330" t="s">
        <v>33272</v>
      </c>
      <c r="D16156" s="330" t="s">
        <v>33273</v>
      </c>
      <c r="E16156" s="330" t="s">
        <v>4634</v>
      </c>
      <c r="F16156" s="331">
        <v>0.21</v>
      </c>
      <c r="G16156" s="332">
        <v>9540</v>
      </c>
      <c r="H16156" s="333">
        <v>11544</v>
      </c>
    </row>
    <row r="16157" spans="1:8">
      <c r="A16157" s="317">
        <v>3606135004</v>
      </c>
      <c r="B16157" s="330" t="s">
        <v>60509</v>
      </c>
      <c r="C16157" s="330" t="s">
        <v>33274</v>
      </c>
      <c r="D16157" s="330" t="s">
        <v>33275</v>
      </c>
      <c r="E16157" s="330" t="s">
        <v>4634</v>
      </c>
      <c r="F16157" s="331">
        <v>0.21</v>
      </c>
      <c r="G16157" s="332">
        <v>32303</v>
      </c>
      <c r="H16157" s="333">
        <v>39087</v>
      </c>
    </row>
    <row r="16158" spans="1:8">
      <c r="A16158" s="317">
        <v>3606135006</v>
      </c>
      <c r="B16158" s="330" t="s">
        <v>60510</v>
      </c>
      <c r="C16158" s="330" t="s">
        <v>33276</v>
      </c>
      <c r="D16158" s="330" t="s">
        <v>33277</v>
      </c>
      <c r="E16158" s="330" t="s">
        <v>4634</v>
      </c>
      <c r="F16158" s="331">
        <v>0.21</v>
      </c>
      <c r="G16158" s="332">
        <v>18631</v>
      </c>
      <c r="H16158" s="333">
        <v>22544</v>
      </c>
    </row>
    <row r="16159" spans="1:8">
      <c r="A16159" s="317">
        <v>3606135009</v>
      </c>
      <c r="B16159" s="330" t="s">
        <v>60511</v>
      </c>
      <c r="C16159" s="330" t="s">
        <v>33278</v>
      </c>
      <c r="D16159" s="330" t="s">
        <v>33279</v>
      </c>
      <c r="E16159" s="330" t="s">
        <v>4819</v>
      </c>
      <c r="F16159" s="331">
        <v>0.21</v>
      </c>
      <c r="G16159" s="332">
        <v>94238</v>
      </c>
      <c r="H16159" s="333">
        <v>114028</v>
      </c>
    </row>
    <row r="16160" spans="1:8">
      <c r="A16160" s="317">
        <v>3606200029</v>
      </c>
      <c r="B16160" s="330" t="s">
        <v>60512</v>
      </c>
      <c r="C16160" s="330" t="s">
        <v>33280</v>
      </c>
      <c r="D16160" s="330" t="s">
        <v>33281</v>
      </c>
      <c r="E16160" s="330" t="s">
        <v>4634</v>
      </c>
      <c r="F16160" s="331">
        <v>0.21</v>
      </c>
      <c r="G16160" s="332">
        <v>165478</v>
      </c>
      <c r="H16160" s="333">
        <v>200229</v>
      </c>
    </row>
    <row r="16161" spans="1:8">
      <c r="A16161" s="317">
        <v>3606300007</v>
      </c>
      <c r="B16161" s="330" t="s">
        <v>60513</v>
      </c>
      <c r="C16161" s="330" t="s">
        <v>33282</v>
      </c>
      <c r="D16161" s="330" t="s">
        <v>33283</v>
      </c>
      <c r="E16161" s="330" t="s">
        <v>4634</v>
      </c>
      <c r="F16161" s="331">
        <v>0.21</v>
      </c>
      <c r="G16161" s="332">
        <v>3582</v>
      </c>
      <c r="H16161" s="333">
        <v>4335</v>
      </c>
    </row>
    <row r="16162" spans="1:8">
      <c r="A16162" s="317">
        <v>3606300050</v>
      </c>
      <c r="B16162" s="330" t="s">
        <v>60514</v>
      </c>
      <c r="C16162" s="330" t="s">
        <v>33284</v>
      </c>
      <c r="D16162" s="330" t="s">
        <v>33285</v>
      </c>
      <c r="E16162" s="330" t="s">
        <v>4634</v>
      </c>
      <c r="F16162" s="331">
        <v>0.21</v>
      </c>
      <c r="G16162" s="332">
        <v>118157</v>
      </c>
      <c r="H16162" s="333">
        <v>142970</v>
      </c>
    </row>
    <row r="16163" spans="1:8">
      <c r="A16163" s="317">
        <v>3606300072</v>
      </c>
      <c r="B16163" s="330" t="s">
        <v>60515</v>
      </c>
      <c r="C16163" s="330" t="s">
        <v>33286</v>
      </c>
      <c r="D16163" s="330" t="s">
        <v>20994</v>
      </c>
      <c r="E16163" s="330" t="s">
        <v>4634</v>
      </c>
      <c r="F16163" s="331">
        <v>0.21</v>
      </c>
      <c r="G16163" s="332">
        <v>12599</v>
      </c>
      <c r="H16163" s="333">
        <v>15245</v>
      </c>
    </row>
    <row r="16164" spans="1:8">
      <c r="A16164" s="317">
        <v>3606300091</v>
      </c>
      <c r="B16164" s="330" t="s">
        <v>60516</v>
      </c>
      <c r="C16164" s="330" t="s">
        <v>33287</v>
      </c>
      <c r="D16164" s="330" t="s">
        <v>33288</v>
      </c>
      <c r="E16164" s="330" t="s">
        <v>4634</v>
      </c>
      <c r="F16164" s="331">
        <v>0.21</v>
      </c>
      <c r="G16164" s="332">
        <v>19753</v>
      </c>
      <c r="H16164" s="333">
        <v>23902</v>
      </c>
    </row>
    <row r="16165" spans="1:8">
      <c r="A16165" s="317">
        <v>3606300092</v>
      </c>
      <c r="B16165" s="330" t="s">
        <v>60517</v>
      </c>
      <c r="C16165" s="330" t="s">
        <v>33289</v>
      </c>
      <c r="D16165" s="330" t="s">
        <v>33288</v>
      </c>
      <c r="E16165" s="330" t="s">
        <v>4634</v>
      </c>
      <c r="F16165" s="331">
        <v>0.21</v>
      </c>
      <c r="G16165" s="332">
        <v>22666</v>
      </c>
      <c r="H16165" s="333">
        <v>27426</v>
      </c>
    </row>
    <row r="16166" spans="1:8">
      <c r="A16166" s="317">
        <v>3606300097</v>
      </c>
      <c r="B16166" s="330" t="s">
        <v>60518</v>
      </c>
      <c r="C16166" s="330" t="s">
        <v>33290</v>
      </c>
      <c r="D16166" s="330" t="s">
        <v>33291</v>
      </c>
      <c r="E16166" s="330" t="s">
        <v>4634</v>
      </c>
      <c r="F16166" s="331">
        <v>0.21</v>
      </c>
      <c r="G16166" s="332">
        <v>36963</v>
      </c>
      <c r="H16166" s="333">
        <v>44726</v>
      </c>
    </row>
    <row r="16167" spans="1:8">
      <c r="A16167" s="317">
        <v>3606300098</v>
      </c>
      <c r="B16167" s="330" t="s">
        <v>60519</v>
      </c>
      <c r="C16167" s="330" t="s">
        <v>33292</v>
      </c>
      <c r="D16167" s="330" t="s">
        <v>33293</v>
      </c>
      <c r="E16167" s="330" t="s">
        <v>4634</v>
      </c>
      <c r="F16167" s="331">
        <v>0.21</v>
      </c>
      <c r="G16167" s="332">
        <v>42770</v>
      </c>
      <c r="H16167" s="333">
        <v>51752</v>
      </c>
    </row>
    <row r="16168" spans="1:8">
      <c r="A16168" s="317">
        <v>3606300103</v>
      </c>
      <c r="B16168" s="330" t="s">
        <v>60520</v>
      </c>
      <c r="C16168" s="330" t="s">
        <v>33294</v>
      </c>
      <c r="D16168" s="330" t="s">
        <v>33295</v>
      </c>
      <c r="E16168" s="330" t="s">
        <v>4634</v>
      </c>
      <c r="F16168" s="331">
        <v>0.21</v>
      </c>
      <c r="G16168" s="332">
        <v>42770</v>
      </c>
      <c r="H16168" s="333">
        <v>51752</v>
      </c>
    </row>
    <row r="16169" spans="1:8">
      <c r="A16169" s="317">
        <v>3606300104</v>
      </c>
      <c r="B16169" s="330" t="s">
        <v>60521</v>
      </c>
      <c r="C16169" s="330" t="s">
        <v>33296</v>
      </c>
      <c r="D16169" s="330" t="s">
        <v>33297</v>
      </c>
      <c r="E16169" s="330" t="s">
        <v>4634</v>
      </c>
      <c r="F16169" s="331">
        <v>0.21</v>
      </c>
      <c r="G16169" s="332">
        <v>36963</v>
      </c>
      <c r="H16169" s="333">
        <v>44726</v>
      </c>
    </row>
    <row r="16170" spans="1:8">
      <c r="A16170" s="317">
        <v>3606300109</v>
      </c>
      <c r="B16170" s="330" t="s">
        <v>60522</v>
      </c>
      <c r="C16170" s="330" t="s">
        <v>33298</v>
      </c>
      <c r="D16170" s="330" t="s">
        <v>33299</v>
      </c>
      <c r="E16170" s="330" t="s">
        <v>4634</v>
      </c>
      <c r="F16170" s="331">
        <v>0.21</v>
      </c>
      <c r="G16170" s="332">
        <v>25067</v>
      </c>
      <c r="H16170" s="333">
        <v>30332</v>
      </c>
    </row>
    <row r="16171" spans="1:8">
      <c r="A16171" s="317">
        <v>3606300110</v>
      </c>
      <c r="B16171" s="330" t="s">
        <v>60523</v>
      </c>
      <c r="C16171" s="330" t="s">
        <v>33300</v>
      </c>
      <c r="D16171" s="330" t="s">
        <v>33301</v>
      </c>
      <c r="E16171" s="330" t="s">
        <v>4634</v>
      </c>
      <c r="F16171" s="331">
        <v>0.21</v>
      </c>
      <c r="G16171" s="332">
        <v>25067</v>
      </c>
      <c r="H16171" s="333">
        <v>30332</v>
      </c>
    </row>
    <row r="16172" spans="1:8">
      <c r="A16172" s="317">
        <v>3606300137</v>
      </c>
      <c r="B16172" s="330" t="s">
        <v>60524</v>
      </c>
      <c r="C16172" s="330" t="s">
        <v>33302</v>
      </c>
      <c r="D16172" s="330" t="s">
        <v>33303</v>
      </c>
      <c r="E16172" s="330" t="s">
        <v>4634</v>
      </c>
      <c r="F16172" s="331">
        <v>0.21</v>
      </c>
      <c r="G16172" s="332">
        <v>12599</v>
      </c>
      <c r="H16172" s="333">
        <v>15245</v>
      </c>
    </row>
    <row r="16173" spans="1:8">
      <c r="A16173" s="317">
        <v>3606300138</v>
      </c>
      <c r="B16173" s="330" t="s">
        <v>60525</v>
      </c>
      <c r="C16173" s="330" t="s">
        <v>33304</v>
      </c>
      <c r="D16173" s="330" t="s">
        <v>33305</v>
      </c>
      <c r="E16173" s="330" t="s">
        <v>4634</v>
      </c>
      <c r="F16173" s="331">
        <v>0.21</v>
      </c>
      <c r="G16173" s="332">
        <v>15343</v>
      </c>
      <c r="H16173" s="333">
        <v>18566</v>
      </c>
    </row>
    <row r="16174" spans="1:8">
      <c r="A16174" s="317">
        <v>3606300139</v>
      </c>
      <c r="B16174" s="330" t="s">
        <v>60526</v>
      </c>
      <c r="C16174" s="330" t="s">
        <v>33306</v>
      </c>
      <c r="D16174" s="330" t="s">
        <v>33307</v>
      </c>
      <c r="E16174" s="330" t="s">
        <v>4634</v>
      </c>
      <c r="F16174" s="331">
        <v>0.21</v>
      </c>
      <c r="G16174" s="332">
        <v>11425</v>
      </c>
      <c r="H16174" s="333">
        <v>13825</v>
      </c>
    </row>
    <row r="16175" spans="1:8">
      <c r="A16175" s="317">
        <v>3606300144</v>
      </c>
      <c r="B16175" s="330" t="s">
        <v>60527</v>
      </c>
      <c r="C16175" s="330" t="s">
        <v>33308</v>
      </c>
      <c r="D16175" s="330" t="s">
        <v>16545</v>
      </c>
      <c r="E16175" s="330" t="s">
        <v>4634</v>
      </c>
      <c r="F16175" s="331">
        <v>0.21</v>
      </c>
      <c r="G16175" s="332">
        <v>24968</v>
      </c>
      <c r="H16175" s="333">
        <v>30212</v>
      </c>
    </row>
    <row r="16176" spans="1:8">
      <c r="A16176" s="317">
        <v>3606300147</v>
      </c>
      <c r="B16176" s="330" t="s">
        <v>60528</v>
      </c>
      <c r="C16176" s="330" t="s">
        <v>33309</v>
      </c>
      <c r="D16176" s="330" t="s">
        <v>33293</v>
      </c>
      <c r="E16176" s="330" t="s">
        <v>4634</v>
      </c>
      <c r="F16176" s="331">
        <v>0.21</v>
      </c>
      <c r="G16176" s="332">
        <v>42770</v>
      </c>
      <c r="H16176" s="333">
        <v>51752</v>
      </c>
    </row>
    <row r="16177" spans="1:8">
      <c r="A16177" s="317">
        <v>3606300156</v>
      </c>
      <c r="B16177" s="330" t="s">
        <v>60529</v>
      </c>
      <c r="C16177" s="330" t="s">
        <v>33310</v>
      </c>
      <c r="D16177" s="330" t="s">
        <v>20994</v>
      </c>
      <c r="E16177" s="330" t="s">
        <v>4819</v>
      </c>
      <c r="F16177" s="331">
        <v>0.21</v>
      </c>
      <c r="G16177" s="332">
        <v>12686</v>
      </c>
      <c r="H16177" s="333">
        <v>15351</v>
      </c>
    </row>
    <row r="16178" spans="1:8">
      <c r="A16178" s="317">
        <v>3606300177</v>
      </c>
      <c r="B16178" s="330" t="s">
        <v>60530</v>
      </c>
      <c r="C16178" s="330" t="s">
        <v>33311</v>
      </c>
      <c r="D16178" s="330" t="s">
        <v>20994</v>
      </c>
      <c r="E16178" s="330" t="s">
        <v>4819</v>
      </c>
      <c r="F16178" s="331">
        <v>0.21</v>
      </c>
      <c r="G16178" s="332">
        <v>16712</v>
      </c>
      <c r="H16178" s="333">
        <v>20222</v>
      </c>
    </row>
    <row r="16179" spans="1:8">
      <c r="A16179" s="317">
        <v>3606302500</v>
      </c>
      <c r="B16179" s="330" t="s">
        <v>60531</v>
      </c>
      <c r="C16179" s="330" t="s">
        <v>33312</v>
      </c>
      <c r="D16179" s="330" t="s">
        <v>16547</v>
      </c>
      <c r="E16179" s="330" t="s">
        <v>4634</v>
      </c>
      <c r="F16179" s="331">
        <v>0.21</v>
      </c>
      <c r="G16179" s="332">
        <v>8476</v>
      </c>
      <c r="H16179" s="333">
        <v>10256</v>
      </c>
    </row>
    <row r="16180" spans="1:8">
      <c r="A16180" s="317">
        <v>3606309015</v>
      </c>
      <c r="B16180" s="330" t="s">
        <v>60532</v>
      </c>
      <c r="C16180" s="330" t="s">
        <v>33313</v>
      </c>
      <c r="D16180" s="330" t="s">
        <v>33314</v>
      </c>
      <c r="E16180" s="330" t="s">
        <v>4634</v>
      </c>
      <c r="F16180" s="331">
        <v>0.21</v>
      </c>
      <c r="G16180" s="332">
        <v>33552</v>
      </c>
      <c r="H16180" s="333">
        <v>40598</v>
      </c>
    </row>
    <row r="16181" spans="1:8">
      <c r="A16181" s="317">
        <v>3606309016</v>
      </c>
      <c r="B16181" s="330" t="s">
        <v>60533</v>
      </c>
      <c r="C16181" s="330" t="s">
        <v>33315</v>
      </c>
      <c r="D16181" s="330" t="s">
        <v>33316</v>
      </c>
      <c r="E16181" s="330" t="s">
        <v>4634</v>
      </c>
      <c r="F16181" s="331">
        <v>0.21</v>
      </c>
      <c r="G16181" s="332">
        <v>22666</v>
      </c>
      <c r="H16181" s="333">
        <v>27426</v>
      </c>
    </row>
    <row r="16182" spans="1:8">
      <c r="A16182" s="317">
        <v>3606309054</v>
      </c>
      <c r="B16182" s="330" t="s">
        <v>60534</v>
      </c>
      <c r="C16182" s="330" t="s">
        <v>33317</v>
      </c>
      <c r="D16182" s="330" t="s">
        <v>33318</v>
      </c>
      <c r="E16182" s="330" t="s">
        <v>4819</v>
      </c>
      <c r="F16182" s="331">
        <v>0.21</v>
      </c>
      <c r="G16182" s="332">
        <v>287809</v>
      </c>
      <c r="H16182" s="333">
        <v>348249</v>
      </c>
    </row>
    <row r="16183" spans="1:8">
      <c r="A16183" s="317">
        <v>3606309058</v>
      </c>
      <c r="B16183" s="330" t="s">
        <v>60535</v>
      </c>
      <c r="C16183" s="330" t="s">
        <v>33319</v>
      </c>
      <c r="D16183" s="330" t="s">
        <v>33320</v>
      </c>
      <c r="E16183" s="330" t="s">
        <v>4819</v>
      </c>
      <c r="F16183" s="331">
        <v>0.21</v>
      </c>
      <c r="G16183" s="332">
        <v>91325</v>
      </c>
      <c r="H16183" s="333">
        <v>110504</v>
      </c>
    </row>
    <row r="16184" spans="1:8">
      <c r="A16184" s="317">
        <v>3606309060</v>
      </c>
      <c r="B16184" s="330" t="s">
        <v>60536</v>
      </c>
      <c r="C16184" s="330" t="s">
        <v>33321</v>
      </c>
      <c r="D16184" s="330" t="s">
        <v>33322</v>
      </c>
      <c r="E16184" s="330" t="s">
        <v>4634</v>
      </c>
      <c r="F16184" s="331">
        <v>0.21</v>
      </c>
      <c r="G16184" s="332">
        <v>5240</v>
      </c>
      <c r="H16184" s="333">
        <v>6341</v>
      </c>
    </row>
    <row r="16185" spans="1:8">
      <c r="A16185" s="317">
        <v>3606309061</v>
      </c>
      <c r="B16185" s="330" t="s">
        <v>60537</v>
      </c>
      <c r="C16185" s="330" t="s">
        <v>33323</v>
      </c>
      <c r="D16185" s="330" t="s">
        <v>33324</v>
      </c>
      <c r="E16185" s="330" t="s">
        <v>4634</v>
      </c>
      <c r="F16185" s="331">
        <v>0.21</v>
      </c>
      <c r="G16185" s="332">
        <v>12599</v>
      </c>
      <c r="H16185" s="333">
        <v>15245</v>
      </c>
    </row>
    <row r="16186" spans="1:8">
      <c r="A16186" s="317">
        <v>3606316000</v>
      </c>
      <c r="B16186" s="330" t="s">
        <v>60538</v>
      </c>
      <c r="C16186" s="330" t="s">
        <v>33325</v>
      </c>
      <c r="D16186" s="330" t="s">
        <v>33326</v>
      </c>
      <c r="E16186" s="330" t="s">
        <v>4634</v>
      </c>
      <c r="F16186" s="331">
        <v>0.21</v>
      </c>
      <c r="G16186" s="332">
        <v>11727</v>
      </c>
      <c r="H16186" s="333">
        <v>14190</v>
      </c>
    </row>
    <row r="16187" spans="1:8">
      <c r="A16187" s="317">
        <v>3606316001</v>
      </c>
      <c r="B16187" s="330" t="s">
        <v>60539</v>
      </c>
      <c r="C16187" s="330" t="s">
        <v>33327</v>
      </c>
      <c r="D16187" s="330" t="s">
        <v>5832</v>
      </c>
      <c r="E16187" s="330" t="s">
        <v>4634</v>
      </c>
      <c r="F16187" s="331">
        <v>0.21</v>
      </c>
      <c r="G16187" s="332">
        <v>8606</v>
      </c>
      <c r="H16187" s="333">
        <v>10414</v>
      </c>
    </row>
    <row r="16188" spans="1:8">
      <c r="A16188" s="317">
        <v>3606316002</v>
      </c>
      <c r="B16188" s="330" t="s">
        <v>60540</v>
      </c>
      <c r="C16188" s="330" t="s">
        <v>33328</v>
      </c>
      <c r="D16188" s="330" t="s">
        <v>5832</v>
      </c>
      <c r="E16188" s="330" t="s">
        <v>4634</v>
      </c>
      <c r="F16188" s="331">
        <v>0.21</v>
      </c>
      <c r="G16188" s="332">
        <v>2491</v>
      </c>
      <c r="H16188" s="333">
        <v>3015</v>
      </c>
    </row>
    <row r="16189" spans="1:8">
      <c r="A16189" s="317">
        <v>3606316004</v>
      </c>
      <c r="B16189" s="330" t="s">
        <v>60541</v>
      </c>
      <c r="C16189" s="330" t="s">
        <v>33329</v>
      </c>
      <c r="D16189" s="330" t="s">
        <v>33330</v>
      </c>
      <c r="E16189" s="330" t="s">
        <v>4634</v>
      </c>
      <c r="F16189" s="331">
        <v>0.21</v>
      </c>
      <c r="G16189" s="332">
        <v>9783</v>
      </c>
      <c r="H16189" s="333">
        <v>11838</v>
      </c>
    </row>
    <row r="16190" spans="1:8">
      <c r="A16190" s="317">
        <v>3606316011</v>
      </c>
      <c r="B16190" s="330" t="s">
        <v>60542</v>
      </c>
      <c r="C16190" s="330" t="s">
        <v>33331</v>
      </c>
      <c r="D16190" s="330" t="s">
        <v>33332</v>
      </c>
      <c r="E16190" s="330" t="s">
        <v>4634</v>
      </c>
      <c r="F16190" s="331">
        <v>0.21</v>
      </c>
      <c r="G16190" s="332">
        <v>1798</v>
      </c>
      <c r="H16190" s="333">
        <v>2176</v>
      </c>
    </row>
    <row r="16191" spans="1:8">
      <c r="A16191" s="317">
        <v>3606316015</v>
      </c>
      <c r="B16191" s="330" t="s">
        <v>60543</v>
      </c>
      <c r="C16191" s="330" t="s">
        <v>33333</v>
      </c>
      <c r="D16191" s="330" t="s">
        <v>33334</v>
      </c>
      <c r="E16191" s="330" t="s">
        <v>4634</v>
      </c>
      <c r="F16191" s="331">
        <v>0.21</v>
      </c>
      <c r="G16191" s="332">
        <v>6542</v>
      </c>
      <c r="H16191" s="333">
        <v>7916</v>
      </c>
    </row>
    <row r="16192" spans="1:8">
      <c r="A16192" s="317">
        <v>3606316057</v>
      </c>
      <c r="B16192" s="330" t="s">
        <v>60544</v>
      </c>
      <c r="C16192" s="330" t="s">
        <v>33335</v>
      </c>
      <c r="D16192" s="330" t="s">
        <v>33336</v>
      </c>
      <c r="E16192" s="330" t="s">
        <v>4819</v>
      </c>
      <c r="F16192" s="331">
        <v>0.21</v>
      </c>
      <c r="G16192" s="332">
        <v>8860</v>
      </c>
      <c r="H16192" s="333">
        <v>10721</v>
      </c>
    </row>
    <row r="16193" spans="1:8">
      <c r="A16193" s="317">
        <v>3606316062</v>
      </c>
      <c r="B16193" s="330" t="s">
        <v>60545</v>
      </c>
      <c r="C16193" s="330" t="s">
        <v>33337</v>
      </c>
      <c r="D16193" s="330" t="s">
        <v>33338</v>
      </c>
      <c r="E16193" s="330" t="s">
        <v>4634</v>
      </c>
      <c r="F16193" s="331">
        <v>0.21</v>
      </c>
      <c r="G16193" s="332">
        <v>899</v>
      </c>
      <c r="H16193" s="333">
        <v>1088</v>
      </c>
    </row>
    <row r="16194" spans="1:8">
      <c r="A16194" s="317">
        <v>3606316073</v>
      </c>
      <c r="B16194" s="330" t="s">
        <v>60546</v>
      </c>
      <c r="C16194" s="330" t="s">
        <v>33339</v>
      </c>
      <c r="D16194" s="330" t="s">
        <v>7114</v>
      </c>
      <c r="E16194" s="330" t="s">
        <v>4634</v>
      </c>
      <c r="F16194" s="331">
        <v>0.21</v>
      </c>
      <c r="G16194" s="332">
        <v>4115</v>
      </c>
      <c r="H16194" s="333">
        <v>4980</v>
      </c>
    </row>
    <row r="16195" spans="1:8">
      <c r="A16195" s="317">
        <v>3606316075</v>
      </c>
      <c r="B16195" s="330" t="s">
        <v>60547</v>
      </c>
      <c r="C16195" s="330" t="s">
        <v>33340</v>
      </c>
      <c r="D16195" s="330" t="s">
        <v>33341</v>
      </c>
      <c r="E16195" s="330" t="s">
        <v>4634</v>
      </c>
      <c r="F16195" s="331">
        <v>0.21</v>
      </c>
      <c r="G16195" s="332">
        <v>693</v>
      </c>
      <c r="H16195" s="333">
        <v>839</v>
      </c>
    </row>
    <row r="16196" spans="1:8">
      <c r="A16196" s="317">
        <v>3606316090</v>
      </c>
      <c r="B16196" s="330" t="s">
        <v>60548</v>
      </c>
      <c r="C16196" s="330" t="s">
        <v>33342</v>
      </c>
      <c r="D16196" s="330" t="s">
        <v>7114</v>
      </c>
      <c r="E16196" s="330" t="s">
        <v>4634</v>
      </c>
      <c r="F16196" s="331">
        <v>0.21</v>
      </c>
      <c r="G16196" s="332">
        <v>584</v>
      </c>
      <c r="H16196" s="333">
        <v>707</v>
      </c>
    </row>
    <row r="16197" spans="1:8">
      <c r="A16197" s="317">
        <v>3606316091</v>
      </c>
      <c r="B16197" s="330" t="s">
        <v>60549</v>
      </c>
      <c r="C16197" s="330" t="s">
        <v>33343</v>
      </c>
      <c r="D16197" s="330" t="s">
        <v>33344</v>
      </c>
      <c r="E16197" s="330" t="s">
        <v>4819</v>
      </c>
      <c r="F16197" s="331">
        <v>0.21</v>
      </c>
      <c r="G16197" s="332">
        <v>1182</v>
      </c>
      <c r="H16197" s="333">
        <v>1431</v>
      </c>
    </row>
    <row r="16198" spans="1:8">
      <c r="A16198" s="317">
        <v>3606316093</v>
      </c>
      <c r="B16198" s="330" t="s">
        <v>60550</v>
      </c>
      <c r="C16198" s="330" t="s">
        <v>33345</v>
      </c>
      <c r="D16198" s="330" t="s">
        <v>7114</v>
      </c>
      <c r="E16198" s="330" t="s">
        <v>4634</v>
      </c>
      <c r="F16198" s="331">
        <v>0.21</v>
      </c>
      <c r="G16198" s="332">
        <v>455</v>
      </c>
      <c r="H16198" s="333">
        <v>551</v>
      </c>
    </row>
    <row r="16199" spans="1:8">
      <c r="A16199" s="317">
        <v>3606316097</v>
      </c>
      <c r="B16199" s="330" t="s">
        <v>60551</v>
      </c>
      <c r="C16199" s="330" t="s">
        <v>33346</v>
      </c>
      <c r="D16199" s="330" t="s">
        <v>33347</v>
      </c>
      <c r="E16199" s="330" t="s">
        <v>37248</v>
      </c>
      <c r="F16199" s="331">
        <v>0.21</v>
      </c>
      <c r="G16199" s="332">
        <v>435</v>
      </c>
      <c r="H16199" s="333">
        <v>527</v>
      </c>
    </row>
    <row r="16200" spans="1:8">
      <c r="A16200" s="317">
        <v>3606316098</v>
      </c>
      <c r="B16200" s="330" t="s">
        <v>60552</v>
      </c>
      <c r="C16200" s="330" t="s">
        <v>33348</v>
      </c>
      <c r="D16200" s="330" t="s">
        <v>33349</v>
      </c>
      <c r="E16200" s="330" t="s">
        <v>4819</v>
      </c>
      <c r="F16200" s="331">
        <v>0.21</v>
      </c>
      <c r="G16200" s="332">
        <v>10816</v>
      </c>
      <c r="H16200" s="333">
        <v>13088</v>
      </c>
    </row>
    <row r="16201" spans="1:8">
      <c r="A16201" s="317">
        <v>3606316099</v>
      </c>
      <c r="B16201" s="330" t="s">
        <v>60553</v>
      </c>
      <c r="C16201" s="330" t="s">
        <v>33350</v>
      </c>
      <c r="D16201" s="330" t="s">
        <v>5832</v>
      </c>
      <c r="E16201" s="330" t="s">
        <v>4819</v>
      </c>
      <c r="F16201" s="331">
        <v>0.21</v>
      </c>
      <c r="G16201" s="332">
        <v>10243</v>
      </c>
      <c r="H16201" s="333">
        <v>12395</v>
      </c>
    </row>
    <row r="16202" spans="1:8">
      <c r="A16202" s="317">
        <v>3606316100</v>
      </c>
      <c r="B16202" s="330" t="s">
        <v>60554</v>
      </c>
      <c r="C16202" s="330" t="s">
        <v>33351</v>
      </c>
      <c r="D16202" s="330" t="s">
        <v>33349</v>
      </c>
      <c r="E16202" s="330" t="s">
        <v>4819</v>
      </c>
      <c r="F16202" s="331">
        <v>0.21</v>
      </c>
      <c r="G16202" s="332">
        <v>7430</v>
      </c>
      <c r="H16202" s="333">
        <v>8991</v>
      </c>
    </row>
    <row r="16203" spans="1:8">
      <c r="A16203" s="317">
        <v>3606316102</v>
      </c>
      <c r="B16203" s="330" t="s">
        <v>60555</v>
      </c>
      <c r="C16203" s="330" t="s">
        <v>33352</v>
      </c>
      <c r="D16203" s="330" t="s">
        <v>33353</v>
      </c>
      <c r="E16203" s="330" t="s">
        <v>4634</v>
      </c>
      <c r="F16203" s="331">
        <v>0.21</v>
      </c>
      <c r="G16203" s="332">
        <v>7662</v>
      </c>
      <c r="H16203" s="333">
        <v>9272</v>
      </c>
    </row>
    <row r="16204" spans="1:8">
      <c r="A16204" s="317">
        <v>3606316108</v>
      </c>
      <c r="B16204" s="330" t="s">
        <v>60556</v>
      </c>
      <c r="C16204" s="330" t="s">
        <v>33354</v>
      </c>
      <c r="D16204" s="330" t="s">
        <v>33355</v>
      </c>
      <c r="E16204" s="330" t="s">
        <v>37248</v>
      </c>
      <c r="F16204" s="331">
        <v>0.21</v>
      </c>
      <c r="G16204" s="332">
        <v>15972</v>
      </c>
      <c r="H16204" s="333">
        <v>19327</v>
      </c>
    </row>
    <row r="16205" spans="1:8">
      <c r="A16205" s="317">
        <v>3606316110</v>
      </c>
      <c r="B16205" s="330" t="s">
        <v>60557</v>
      </c>
      <c r="C16205" s="330" t="s">
        <v>33356</v>
      </c>
      <c r="D16205" s="330" t="s">
        <v>16517</v>
      </c>
      <c r="E16205" s="330" t="s">
        <v>4819</v>
      </c>
      <c r="F16205" s="331">
        <v>0.21</v>
      </c>
      <c r="G16205" s="332">
        <v>5663</v>
      </c>
      <c r="H16205" s="333">
        <v>6853</v>
      </c>
    </row>
    <row r="16206" spans="1:8">
      <c r="A16206" s="317">
        <v>3606316111</v>
      </c>
      <c r="B16206" s="330" t="s">
        <v>60558</v>
      </c>
      <c r="C16206" s="330" t="s">
        <v>33357</v>
      </c>
      <c r="D16206" s="330" t="s">
        <v>33358</v>
      </c>
      <c r="E16206" s="330" t="s">
        <v>37248</v>
      </c>
      <c r="F16206" s="331">
        <v>0.21</v>
      </c>
      <c r="G16206" s="332">
        <v>43386</v>
      </c>
      <c r="H16206" s="333">
        <v>52498</v>
      </c>
    </row>
    <row r="16207" spans="1:8">
      <c r="A16207" s="317">
        <v>3606316116</v>
      </c>
      <c r="B16207" s="330" t="s">
        <v>60559</v>
      </c>
      <c r="C16207" s="330" t="s">
        <v>33359</v>
      </c>
      <c r="D16207" s="330" t="s">
        <v>5832</v>
      </c>
      <c r="E16207" s="330" t="s">
        <v>4819</v>
      </c>
      <c r="F16207" s="331">
        <v>0.21</v>
      </c>
      <c r="G16207" s="332">
        <v>8423</v>
      </c>
      <c r="H16207" s="333">
        <v>10192</v>
      </c>
    </row>
    <row r="16208" spans="1:8">
      <c r="A16208" s="317">
        <v>3606317002</v>
      </c>
      <c r="B16208" s="330" t="s">
        <v>60560</v>
      </c>
      <c r="C16208" s="330" t="s">
        <v>33360</v>
      </c>
      <c r="D16208" s="330" t="s">
        <v>33361</v>
      </c>
      <c r="E16208" s="330" t="s">
        <v>4634</v>
      </c>
      <c r="F16208" s="331">
        <v>0.21</v>
      </c>
      <c r="G16208" s="332">
        <v>3047</v>
      </c>
      <c r="H16208" s="333">
        <v>3687</v>
      </c>
    </row>
    <row r="16209" spans="1:8">
      <c r="A16209" s="317">
        <v>3606317021</v>
      </c>
      <c r="B16209" s="330" t="s">
        <v>60561</v>
      </c>
      <c r="C16209" s="330" t="s">
        <v>33362</v>
      </c>
      <c r="D16209" s="330" t="s">
        <v>33363</v>
      </c>
      <c r="E16209" s="330" t="s">
        <v>4634</v>
      </c>
      <c r="F16209" s="331">
        <v>0.21</v>
      </c>
      <c r="G16209" s="332">
        <v>3673</v>
      </c>
      <c r="H16209" s="333">
        <v>4445</v>
      </c>
    </row>
    <row r="16210" spans="1:8">
      <c r="A16210" s="317">
        <v>3606317031</v>
      </c>
      <c r="B16210" s="330" t="s">
        <v>60562</v>
      </c>
      <c r="C16210" s="330" t="s">
        <v>33364</v>
      </c>
      <c r="D16210" s="330" t="s">
        <v>33365</v>
      </c>
      <c r="E16210" s="330" t="s">
        <v>4634</v>
      </c>
      <c r="F16210" s="331">
        <v>0.21</v>
      </c>
      <c r="G16210" s="332">
        <v>1882</v>
      </c>
      <c r="H16210" s="333">
        <v>2278</v>
      </c>
    </row>
    <row r="16211" spans="1:8">
      <c r="A16211" s="317">
        <v>3606317047</v>
      </c>
      <c r="B16211" s="330" t="s">
        <v>60563</v>
      </c>
      <c r="C16211" s="330" t="s">
        <v>33366</v>
      </c>
      <c r="D16211" s="330" t="s">
        <v>33367</v>
      </c>
      <c r="E16211" s="330" t="s">
        <v>4634</v>
      </c>
      <c r="F16211" s="331">
        <v>0.21</v>
      </c>
      <c r="G16211" s="332">
        <v>15307</v>
      </c>
      <c r="H16211" s="333">
        <v>18522</v>
      </c>
    </row>
    <row r="16212" spans="1:8">
      <c r="A16212" s="317">
        <v>3606317048</v>
      </c>
      <c r="B16212" s="330" t="s">
        <v>60564</v>
      </c>
      <c r="C16212" s="330" t="s">
        <v>33368</v>
      </c>
      <c r="D16212" s="330" t="s">
        <v>33369</v>
      </c>
      <c r="E16212" s="330" t="s">
        <v>4634</v>
      </c>
      <c r="F16212" s="331">
        <v>0.21</v>
      </c>
      <c r="G16212" s="332">
        <v>13721</v>
      </c>
      <c r="H16212" s="333">
        <v>16603</v>
      </c>
    </row>
    <row r="16213" spans="1:8">
      <c r="A16213" s="317">
        <v>3606317055</v>
      </c>
      <c r="B16213" s="330" t="s">
        <v>60565</v>
      </c>
      <c r="C16213" s="330" t="s">
        <v>33370</v>
      </c>
      <c r="D16213" s="330" t="s">
        <v>5832</v>
      </c>
      <c r="E16213" s="330" t="s">
        <v>4819</v>
      </c>
      <c r="F16213" s="331">
        <v>0.21</v>
      </c>
      <c r="G16213" s="332">
        <v>7430</v>
      </c>
      <c r="H16213" s="333">
        <v>8991</v>
      </c>
    </row>
    <row r="16214" spans="1:8">
      <c r="A16214" s="317">
        <v>3606319522</v>
      </c>
      <c r="B16214" s="330" t="s">
        <v>60566</v>
      </c>
      <c r="C16214" s="330" t="s">
        <v>33371</v>
      </c>
      <c r="D16214" s="330" t="s">
        <v>33372</v>
      </c>
      <c r="E16214" s="330" t="s">
        <v>4634</v>
      </c>
      <c r="F16214" s="331">
        <v>0.21</v>
      </c>
      <c r="G16214" s="332">
        <v>6902</v>
      </c>
      <c r="H16214" s="333">
        <v>8352</v>
      </c>
    </row>
    <row r="16215" spans="1:8">
      <c r="A16215" s="317">
        <v>3606319525</v>
      </c>
      <c r="B16215" s="330" t="s">
        <v>60567</v>
      </c>
      <c r="C16215" s="330" t="s">
        <v>33373</v>
      </c>
      <c r="D16215" s="330" t="s">
        <v>33372</v>
      </c>
      <c r="E16215" s="330" t="s">
        <v>4634</v>
      </c>
      <c r="F16215" s="331">
        <v>0.21</v>
      </c>
      <c r="G16215" s="332">
        <v>8731</v>
      </c>
      <c r="H16215" s="333">
        <v>10565</v>
      </c>
    </row>
    <row r="16216" spans="1:8">
      <c r="A16216" s="317">
        <v>3606320012</v>
      </c>
      <c r="B16216" s="330" t="s">
        <v>60568</v>
      </c>
      <c r="C16216" s="330" t="s">
        <v>33374</v>
      </c>
      <c r="D16216" s="330" t="s">
        <v>7114</v>
      </c>
      <c r="E16216" s="330" t="s">
        <v>4634</v>
      </c>
      <c r="F16216" s="331">
        <v>0.21</v>
      </c>
      <c r="G16216" s="332">
        <v>12447</v>
      </c>
      <c r="H16216" s="333">
        <v>15061</v>
      </c>
    </row>
    <row r="16217" spans="1:8">
      <c r="A16217" s="317">
        <v>3606328018</v>
      </c>
      <c r="B16217" s="330" t="s">
        <v>60569</v>
      </c>
      <c r="C16217" s="330" t="s">
        <v>33375</v>
      </c>
      <c r="D16217" s="330" t="s">
        <v>33376</v>
      </c>
      <c r="E16217" s="330" t="s">
        <v>4634</v>
      </c>
      <c r="F16217" s="331">
        <v>0.21</v>
      </c>
      <c r="G16217" s="332">
        <v>329</v>
      </c>
      <c r="H16217" s="333">
        <v>399</v>
      </c>
    </row>
    <row r="16218" spans="1:8">
      <c r="A16218" s="317">
        <v>3606333032</v>
      </c>
      <c r="B16218" s="330" t="s">
        <v>60570</v>
      </c>
      <c r="C16218" s="330" t="s">
        <v>33377</v>
      </c>
      <c r="D16218" s="330" t="s">
        <v>33378</v>
      </c>
      <c r="E16218" s="330" t="s">
        <v>4634</v>
      </c>
      <c r="F16218" s="331">
        <v>0.21</v>
      </c>
      <c r="G16218" s="332">
        <v>8318</v>
      </c>
      <c r="H16218" s="333">
        <v>10065</v>
      </c>
    </row>
    <row r="16219" spans="1:8">
      <c r="A16219" s="317">
        <v>3606333033</v>
      </c>
      <c r="B16219" s="330" t="s">
        <v>60571</v>
      </c>
      <c r="C16219" s="330" t="s">
        <v>33379</v>
      </c>
      <c r="D16219" s="330" t="s">
        <v>33380</v>
      </c>
      <c r="E16219" s="330" t="s">
        <v>4634</v>
      </c>
      <c r="F16219" s="331">
        <v>0.21</v>
      </c>
      <c r="G16219" s="332">
        <v>26847</v>
      </c>
      <c r="H16219" s="333">
        <v>32485</v>
      </c>
    </row>
    <row r="16220" spans="1:8">
      <c r="A16220" s="317">
        <v>3606333045</v>
      </c>
      <c r="B16220" s="330" t="s">
        <v>60572</v>
      </c>
      <c r="C16220" s="330" t="s">
        <v>33381</v>
      </c>
      <c r="D16220" s="330" t="s">
        <v>33382</v>
      </c>
      <c r="E16220" s="330" t="s">
        <v>4634</v>
      </c>
      <c r="F16220" s="331">
        <v>0.21</v>
      </c>
      <c r="G16220" s="332">
        <v>10150</v>
      </c>
      <c r="H16220" s="333">
        <v>12282</v>
      </c>
    </row>
    <row r="16221" spans="1:8">
      <c r="A16221" s="317">
        <v>3606333047</v>
      </c>
      <c r="B16221" s="330" t="s">
        <v>60573</v>
      </c>
      <c r="C16221" s="330" t="s">
        <v>33383</v>
      </c>
      <c r="D16221" s="330" t="s">
        <v>33384</v>
      </c>
      <c r="E16221" s="330" t="s">
        <v>4634</v>
      </c>
      <c r="F16221" s="331">
        <v>0.21</v>
      </c>
      <c r="G16221" s="332">
        <v>18435</v>
      </c>
      <c r="H16221" s="333">
        <v>22307</v>
      </c>
    </row>
    <row r="16222" spans="1:8">
      <c r="A16222" s="317">
        <v>3606333048</v>
      </c>
      <c r="B16222" s="330" t="s">
        <v>60574</v>
      </c>
      <c r="C16222" s="330" t="s">
        <v>33385</v>
      </c>
      <c r="D16222" s="330" t="s">
        <v>33386</v>
      </c>
      <c r="E16222" s="330" t="s">
        <v>4634</v>
      </c>
      <c r="F16222" s="331">
        <v>0.21</v>
      </c>
      <c r="G16222" s="332">
        <v>17497</v>
      </c>
      <c r="H16222" s="333">
        <v>21172</v>
      </c>
    </row>
    <row r="16223" spans="1:8">
      <c r="A16223" s="317">
        <v>3606333057</v>
      </c>
      <c r="B16223" s="330" t="s">
        <v>60575</v>
      </c>
      <c r="C16223" s="330" t="s">
        <v>33387</v>
      </c>
      <c r="D16223" s="330" t="s">
        <v>33388</v>
      </c>
      <c r="E16223" s="330" t="s">
        <v>4634</v>
      </c>
      <c r="F16223" s="331">
        <v>0.21</v>
      </c>
      <c r="G16223" s="332">
        <v>7879</v>
      </c>
      <c r="H16223" s="333">
        <v>9534</v>
      </c>
    </row>
    <row r="16224" spans="1:8">
      <c r="A16224" s="317">
        <v>3606333075</v>
      </c>
      <c r="B16224" s="330" t="s">
        <v>60576</v>
      </c>
      <c r="C16224" s="330" t="s">
        <v>33389</v>
      </c>
      <c r="D16224" s="330" t="s">
        <v>33390</v>
      </c>
      <c r="E16224" s="330" t="s">
        <v>4634</v>
      </c>
      <c r="F16224" s="331">
        <v>0.21</v>
      </c>
      <c r="G16224" s="332">
        <v>303273</v>
      </c>
      <c r="H16224" s="333">
        <v>366961</v>
      </c>
    </row>
    <row r="16225" spans="1:8">
      <c r="A16225" s="317">
        <v>3606333078</v>
      </c>
      <c r="B16225" s="330" t="s">
        <v>60577</v>
      </c>
      <c r="C16225" s="330" t="s">
        <v>33391</v>
      </c>
      <c r="D16225" s="330" t="s">
        <v>33392</v>
      </c>
      <c r="E16225" s="330" t="s">
        <v>4634</v>
      </c>
      <c r="F16225" s="331">
        <v>0.21</v>
      </c>
      <c r="G16225" s="332">
        <v>97357</v>
      </c>
      <c r="H16225" s="333">
        <v>117802</v>
      </c>
    </row>
    <row r="16226" spans="1:8">
      <c r="A16226" s="317">
        <v>3606333079</v>
      </c>
      <c r="B16226" s="330" t="s">
        <v>60578</v>
      </c>
      <c r="C16226" s="330" t="s">
        <v>33393</v>
      </c>
      <c r="D16226" s="330" t="s">
        <v>33394</v>
      </c>
      <c r="E16226" s="330" t="s">
        <v>4634</v>
      </c>
      <c r="F16226" s="331">
        <v>0.21</v>
      </c>
      <c r="G16226" s="332">
        <v>66445</v>
      </c>
      <c r="H16226" s="333">
        <v>80399</v>
      </c>
    </row>
    <row r="16227" spans="1:8">
      <c r="A16227" s="317">
        <v>3606334009</v>
      </c>
      <c r="B16227" s="330" t="s">
        <v>60579</v>
      </c>
      <c r="C16227" s="330" t="s">
        <v>33395</v>
      </c>
      <c r="D16227" s="330" t="s">
        <v>33396</v>
      </c>
      <c r="E16227" s="330" t="s">
        <v>4634</v>
      </c>
      <c r="F16227" s="331">
        <v>0.21</v>
      </c>
      <c r="G16227" s="332">
        <v>31859</v>
      </c>
      <c r="H16227" s="333">
        <v>38550</v>
      </c>
    </row>
    <row r="16228" spans="1:8">
      <c r="A16228" s="317">
        <v>3606334015</v>
      </c>
      <c r="B16228" s="330" t="s">
        <v>60580</v>
      </c>
      <c r="C16228" s="330" t="s">
        <v>33397</v>
      </c>
      <c r="D16228" s="330" t="s">
        <v>33398</v>
      </c>
      <c r="E16228" s="330" t="s">
        <v>4634</v>
      </c>
      <c r="F16228" s="331">
        <v>0.21</v>
      </c>
      <c r="G16228" s="332">
        <v>124579</v>
      </c>
      <c r="H16228" s="333">
        <v>150741</v>
      </c>
    </row>
    <row r="16229" spans="1:8">
      <c r="A16229" s="317">
        <v>3606334018</v>
      </c>
      <c r="B16229" s="330" t="s">
        <v>60581</v>
      </c>
      <c r="C16229" s="330" t="s">
        <v>33399</v>
      </c>
      <c r="D16229" s="330" t="s">
        <v>33400</v>
      </c>
      <c r="E16229" s="330" t="s">
        <v>4634</v>
      </c>
      <c r="F16229" s="331">
        <v>0.21</v>
      </c>
      <c r="G16229" s="332">
        <v>678</v>
      </c>
      <c r="H16229" s="333">
        <v>821</v>
      </c>
    </row>
    <row r="16230" spans="1:8">
      <c r="A16230" s="317">
        <v>3606334021</v>
      </c>
      <c r="B16230" s="330" t="s">
        <v>60582</v>
      </c>
      <c r="C16230" s="330" t="s">
        <v>33401</v>
      </c>
      <c r="D16230" s="330" t="s">
        <v>33332</v>
      </c>
      <c r="E16230" s="330" t="s">
        <v>4819</v>
      </c>
      <c r="F16230" s="331">
        <v>0.21</v>
      </c>
      <c r="G16230" s="332">
        <v>21009</v>
      </c>
      <c r="H16230" s="333">
        <v>25421</v>
      </c>
    </row>
    <row r="16231" spans="1:8">
      <c r="A16231" s="317">
        <v>3606334049</v>
      </c>
      <c r="B16231" s="330" t="s">
        <v>60583</v>
      </c>
      <c r="C16231" s="330" t="s">
        <v>33402</v>
      </c>
      <c r="D16231" s="330" t="s">
        <v>33403</v>
      </c>
      <c r="E16231" s="330" t="s">
        <v>4634</v>
      </c>
      <c r="F16231" s="331">
        <v>0.21</v>
      </c>
      <c r="G16231" s="332">
        <v>12789</v>
      </c>
      <c r="H16231" s="333">
        <v>15475</v>
      </c>
    </row>
    <row r="16232" spans="1:8">
      <c r="A16232" s="317">
        <v>3606334054</v>
      </c>
      <c r="B16232" s="330" t="s">
        <v>60584</v>
      </c>
      <c r="C16232" s="330" t="s">
        <v>33404</v>
      </c>
      <c r="D16232" s="330" t="s">
        <v>33405</v>
      </c>
      <c r="E16232" s="330" t="s">
        <v>4623</v>
      </c>
      <c r="F16232" s="331">
        <v>0.21</v>
      </c>
      <c r="G16232" s="332">
        <v>7406</v>
      </c>
      <c r="H16232" s="333">
        <v>8962</v>
      </c>
    </row>
    <row r="16233" spans="1:8">
      <c r="A16233" s="317">
        <v>3606334056</v>
      </c>
      <c r="B16233" s="330" t="s">
        <v>60585</v>
      </c>
      <c r="C16233" s="330" t="s">
        <v>33406</v>
      </c>
      <c r="D16233" s="330" t="s">
        <v>33407</v>
      </c>
      <c r="E16233" s="330" t="s">
        <v>4634</v>
      </c>
      <c r="F16233" s="331">
        <v>0.21</v>
      </c>
      <c r="G16233" s="332">
        <v>43983</v>
      </c>
      <c r="H16233" s="333">
        <v>53220</v>
      </c>
    </row>
    <row r="16234" spans="1:8">
      <c r="A16234" s="317">
        <v>3606334058</v>
      </c>
      <c r="B16234" s="330" t="s">
        <v>60586</v>
      </c>
      <c r="C16234" s="330" t="s">
        <v>33408</v>
      </c>
      <c r="D16234" s="330" t="s">
        <v>33409</v>
      </c>
      <c r="E16234" s="330" t="s">
        <v>4634</v>
      </c>
      <c r="F16234" s="331">
        <v>0.21</v>
      </c>
      <c r="G16234" s="332">
        <v>28919</v>
      </c>
      <c r="H16234" s="333">
        <v>34992</v>
      </c>
    </row>
    <row r="16235" spans="1:8">
      <c r="A16235" s="317">
        <v>3606334059</v>
      </c>
      <c r="B16235" s="330" t="s">
        <v>60587</v>
      </c>
      <c r="C16235" s="330" t="s">
        <v>33410</v>
      </c>
      <c r="D16235" s="330" t="s">
        <v>33411</v>
      </c>
      <c r="E16235" s="330" t="s">
        <v>4634</v>
      </c>
      <c r="F16235" s="331">
        <v>0.21</v>
      </c>
      <c r="G16235" s="332">
        <v>25031</v>
      </c>
      <c r="H16235" s="333">
        <v>30288</v>
      </c>
    </row>
    <row r="16236" spans="1:8">
      <c r="A16236" s="317">
        <v>3606334061</v>
      </c>
      <c r="B16236" s="330" t="s">
        <v>60588</v>
      </c>
      <c r="C16236" s="330" t="s">
        <v>33412</v>
      </c>
      <c r="D16236" s="330" t="s">
        <v>33413</v>
      </c>
      <c r="E16236" s="330" t="s">
        <v>4634</v>
      </c>
      <c r="F16236" s="331">
        <v>0.21</v>
      </c>
      <c r="G16236" s="332">
        <v>28919</v>
      </c>
      <c r="H16236" s="333">
        <v>34992</v>
      </c>
    </row>
    <row r="16237" spans="1:8">
      <c r="A16237" s="317">
        <v>3606334082</v>
      </c>
      <c r="B16237" s="330" t="s">
        <v>60589</v>
      </c>
      <c r="C16237" s="330" t="s">
        <v>33414</v>
      </c>
      <c r="D16237" s="330" t="s">
        <v>33415</v>
      </c>
      <c r="E16237" s="330" t="s">
        <v>4634</v>
      </c>
      <c r="F16237" s="331">
        <v>0.21</v>
      </c>
      <c r="G16237" s="332">
        <v>5157</v>
      </c>
      <c r="H16237" s="333">
        <v>6240</v>
      </c>
    </row>
    <row r="16238" spans="1:8">
      <c r="A16238" s="317">
        <v>3606334086</v>
      </c>
      <c r="B16238" s="330" t="s">
        <v>60590</v>
      </c>
      <c r="C16238" s="330" t="s">
        <v>33416</v>
      </c>
      <c r="D16238" s="330" t="s">
        <v>33417</v>
      </c>
      <c r="E16238" s="330" t="s">
        <v>4634</v>
      </c>
      <c r="F16238" s="331">
        <v>0.21</v>
      </c>
      <c r="G16238" s="332">
        <v>8572</v>
      </c>
      <c r="H16238" s="333">
        <v>10373</v>
      </c>
    </row>
    <row r="16239" spans="1:8">
      <c r="A16239" s="317">
        <v>3606334095</v>
      </c>
      <c r="B16239" s="330" t="s">
        <v>60591</v>
      </c>
      <c r="C16239" s="330" t="s">
        <v>33418</v>
      </c>
      <c r="D16239" s="330" t="s">
        <v>33419</v>
      </c>
      <c r="E16239" s="330" t="s">
        <v>4634</v>
      </c>
      <c r="F16239" s="331">
        <v>0.21</v>
      </c>
      <c r="G16239" s="332">
        <v>47744</v>
      </c>
      <c r="H16239" s="333">
        <v>57771</v>
      </c>
    </row>
    <row r="16240" spans="1:8">
      <c r="A16240" s="317">
        <v>3606337052</v>
      </c>
      <c r="B16240" s="330" t="s">
        <v>60592</v>
      </c>
      <c r="C16240" s="330" t="s">
        <v>33420</v>
      </c>
      <c r="D16240" s="330" t="s">
        <v>33421</v>
      </c>
      <c r="E16240" s="330" t="s">
        <v>4634</v>
      </c>
      <c r="F16240" s="331">
        <v>0.21</v>
      </c>
      <c r="G16240" s="332">
        <v>27572</v>
      </c>
      <c r="H16240" s="333">
        <v>33363</v>
      </c>
    </row>
    <row r="16241" spans="1:8">
      <c r="A16241" s="317">
        <v>3606337054</v>
      </c>
      <c r="B16241" s="330" t="s">
        <v>60593</v>
      </c>
      <c r="C16241" s="330" t="s">
        <v>33422</v>
      </c>
      <c r="D16241" s="330" t="s">
        <v>33421</v>
      </c>
      <c r="E16241" s="330" t="s">
        <v>4634</v>
      </c>
      <c r="F16241" s="331">
        <v>0.21</v>
      </c>
      <c r="G16241" s="332">
        <v>42770</v>
      </c>
      <c r="H16241" s="333">
        <v>51752</v>
      </c>
    </row>
    <row r="16242" spans="1:8">
      <c r="A16242" s="317">
        <v>3606337056</v>
      </c>
      <c r="B16242" s="330" t="s">
        <v>60594</v>
      </c>
      <c r="C16242" s="330" t="s">
        <v>33423</v>
      </c>
      <c r="D16242" s="330" t="s">
        <v>33424</v>
      </c>
      <c r="E16242" s="330" t="s">
        <v>4634</v>
      </c>
      <c r="F16242" s="331">
        <v>0.21</v>
      </c>
      <c r="G16242" s="332">
        <v>12447</v>
      </c>
      <c r="H16242" s="333">
        <v>15061</v>
      </c>
    </row>
    <row r="16243" spans="1:8">
      <c r="A16243" s="317">
        <v>3606337115</v>
      </c>
      <c r="B16243" s="330" t="s">
        <v>60595</v>
      </c>
      <c r="C16243" s="330" t="s">
        <v>33425</v>
      </c>
      <c r="D16243" s="330" t="s">
        <v>33426</v>
      </c>
      <c r="E16243" s="330" t="s">
        <v>4634</v>
      </c>
      <c r="F16243" s="331">
        <v>0.21</v>
      </c>
      <c r="G16243" s="332">
        <v>7662</v>
      </c>
      <c r="H16243" s="333">
        <v>9272</v>
      </c>
    </row>
    <row r="16244" spans="1:8">
      <c r="A16244" s="317">
        <v>3606337119</v>
      </c>
      <c r="B16244" s="330" t="s">
        <v>60596</v>
      </c>
      <c r="C16244" s="330" t="s">
        <v>33427</v>
      </c>
      <c r="D16244" s="330" t="s">
        <v>33428</v>
      </c>
      <c r="E16244" s="330" t="s">
        <v>4634</v>
      </c>
      <c r="F16244" s="331">
        <v>0.21</v>
      </c>
      <c r="G16244" s="332">
        <v>19269</v>
      </c>
      <c r="H16244" s="333">
        <v>23316</v>
      </c>
    </row>
    <row r="16245" spans="1:8">
      <c r="A16245" s="317">
        <v>3606337143</v>
      </c>
      <c r="B16245" s="330" t="s">
        <v>60597</v>
      </c>
      <c r="C16245" s="330" t="s">
        <v>33429</v>
      </c>
      <c r="D16245" s="330" t="s">
        <v>33428</v>
      </c>
      <c r="E16245" s="330" t="s">
        <v>4634</v>
      </c>
      <c r="F16245" s="331">
        <v>0.21</v>
      </c>
      <c r="G16245" s="332">
        <v>19269</v>
      </c>
      <c r="H16245" s="333">
        <v>23316</v>
      </c>
    </row>
    <row r="16246" spans="1:8">
      <c r="A16246" s="317">
        <v>3606337210</v>
      </c>
      <c r="B16246" s="330" t="s">
        <v>60598</v>
      </c>
      <c r="C16246" s="330" t="s">
        <v>33430</v>
      </c>
      <c r="D16246" s="330" t="s">
        <v>11088</v>
      </c>
      <c r="E16246" s="330" t="s">
        <v>4634</v>
      </c>
      <c r="F16246" s="331">
        <v>0.21</v>
      </c>
      <c r="G16246" s="332">
        <v>5081</v>
      </c>
      <c r="H16246" s="333">
        <v>6149</v>
      </c>
    </row>
    <row r="16247" spans="1:8">
      <c r="A16247" s="317">
        <v>3606337211</v>
      </c>
      <c r="B16247" s="330" t="s">
        <v>60599</v>
      </c>
      <c r="C16247" s="330" t="s">
        <v>33431</v>
      </c>
      <c r="D16247" s="330" t="s">
        <v>33432</v>
      </c>
      <c r="E16247" s="330" t="s">
        <v>4634</v>
      </c>
      <c r="F16247" s="331">
        <v>0.21</v>
      </c>
      <c r="G16247" s="332">
        <v>9166</v>
      </c>
      <c r="H16247" s="333">
        <v>11091</v>
      </c>
    </row>
    <row r="16248" spans="1:8">
      <c r="A16248" s="317">
        <v>3606337213</v>
      </c>
      <c r="B16248" s="330" t="s">
        <v>60600</v>
      </c>
      <c r="C16248" s="330" t="s">
        <v>33433</v>
      </c>
      <c r="D16248" s="330" t="s">
        <v>33432</v>
      </c>
      <c r="E16248" s="330" t="s">
        <v>4634</v>
      </c>
      <c r="F16248" s="331">
        <v>0.21</v>
      </c>
      <c r="G16248" s="332">
        <v>7662</v>
      </c>
      <c r="H16248" s="333">
        <v>9272</v>
      </c>
    </row>
    <row r="16249" spans="1:8">
      <c r="A16249" s="317">
        <v>3606337219</v>
      </c>
      <c r="B16249" s="330" t="s">
        <v>60601</v>
      </c>
      <c r="C16249" s="330" t="s">
        <v>33434</v>
      </c>
      <c r="D16249" s="330" t="s">
        <v>33435</v>
      </c>
      <c r="E16249" s="330" t="s">
        <v>4634</v>
      </c>
      <c r="F16249" s="331">
        <v>0.21</v>
      </c>
      <c r="G16249" s="332">
        <v>66445</v>
      </c>
      <c r="H16249" s="333">
        <v>80399</v>
      </c>
    </row>
    <row r="16250" spans="1:8">
      <c r="A16250" s="317">
        <v>3606337220</v>
      </c>
      <c r="B16250" s="330" t="s">
        <v>60602</v>
      </c>
      <c r="C16250" s="330" t="s">
        <v>33436</v>
      </c>
      <c r="D16250" s="330" t="s">
        <v>33435</v>
      </c>
      <c r="E16250" s="330" t="s">
        <v>4634</v>
      </c>
      <c r="F16250" s="331">
        <v>0.21</v>
      </c>
      <c r="G16250" s="332">
        <v>31859</v>
      </c>
      <c r="H16250" s="333">
        <v>38550</v>
      </c>
    </row>
    <row r="16251" spans="1:8">
      <c r="A16251" s="317">
        <v>3606337226</v>
      </c>
      <c r="B16251" s="330" t="s">
        <v>60603</v>
      </c>
      <c r="C16251" s="330" t="s">
        <v>33437</v>
      </c>
      <c r="D16251" s="330" t="s">
        <v>33435</v>
      </c>
      <c r="E16251" s="330" t="s">
        <v>4634</v>
      </c>
      <c r="F16251" s="331">
        <v>0.21</v>
      </c>
      <c r="G16251" s="332">
        <v>16889</v>
      </c>
      <c r="H16251" s="333">
        <v>20436</v>
      </c>
    </row>
    <row r="16252" spans="1:8">
      <c r="A16252" s="317">
        <v>3606441503</v>
      </c>
      <c r="B16252" s="330" t="s">
        <v>60604</v>
      </c>
      <c r="C16252" s="330" t="s">
        <v>33438</v>
      </c>
      <c r="D16252" s="330" t="s">
        <v>33439</v>
      </c>
      <c r="E16252" s="330" t="s">
        <v>4634</v>
      </c>
      <c r="F16252" s="331">
        <v>0.21</v>
      </c>
      <c r="G16252" s="332">
        <v>21114</v>
      </c>
      <c r="H16252" s="333">
        <v>25548</v>
      </c>
    </row>
    <row r="16253" spans="1:8">
      <c r="A16253" s="317">
        <v>3606445008</v>
      </c>
      <c r="B16253" s="330" t="s">
        <v>60605</v>
      </c>
      <c r="C16253" s="330" t="s">
        <v>33440</v>
      </c>
      <c r="D16253" s="330" t="s">
        <v>33441</v>
      </c>
      <c r="E16253" s="330" t="s">
        <v>4634</v>
      </c>
      <c r="F16253" s="331">
        <v>0.21</v>
      </c>
      <c r="G16253" s="332">
        <v>21758</v>
      </c>
      <c r="H16253" s="333">
        <v>26328</v>
      </c>
    </row>
    <row r="16254" spans="1:8">
      <c r="A16254" s="317">
        <v>3606445028</v>
      </c>
      <c r="B16254" s="330" t="s">
        <v>60606</v>
      </c>
      <c r="C16254" s="330" t="s">
        <v>33442</v>
      </c>
      <c r="D16254" s="330" t="s">
        <v>33443</v>
      </c>
      <c r="E16254" s="330" t="s">
        <v>4634</v>
      </c>
      <c r="F16254" s="331">
        <v>0.21</v>
      </c>
      <c r="G16254" s="332">
        <v>42770</v>
      </c>
      <c r="H16254" s="333">
        <v>51752</v>
      </c>
    </row>
    <row r="16255" spans="1:8">
      <c r="A16255" s="317">
        <v>3606445032</v>
      </c>
      <c r="B16255" s="330" t="s">
        <v>60607</v>
      </c>
      <c r="C16255" s="330" t="s">
        <v>33444</v>
      </c>
      <c r="D16255" s="330" t="s">
        <v>33445</v>
      </c>
      <c r="E16255" s="330" t="s">
        <v>4634</v>
      </c>
      <c r="F16255" s="331">
        <v>0.21</v>
      </c>
      <c r="G16255" s="332">
        <v>31772</v>
      </c>
      <c r="H16255" s="333">
        <v>38445</v>
      </c>
    </row>
    <row r="16256" spans="1:8">
      <c r="A16256" s="317">
        <v>3606445043</v>
      </c>
      <c r="B16256" s="330" t="s">
        <v>60608</v>
      </c>
      <c r="C16256" s="330" t="s">
        <v>33446</v>
      </c>
      <c r="D16256" s="330" t="s">
        <v>33447</v>
      </c>
      <c r="E16256" s="330" t="s">
        <v>4634</v>
      </c>
      <c r="F16256" s="331">
        <v>0.21</v>
      </c>
      <c r="G16256" s="332">
        <v>27572</v>
      </c>
      <c r="H16256" s="333">
        <v>33363</v>
      </c>
    </row>
    <row r="16257" spans="1:8">
      <c r="A16257" s="317">
        <v>3606445044</v>
      </c>
      <c r="B16257" s="330" t="s">
        <v>60609</v>
      </c>
      <c r="C16257" s="330" t="s">
        <v>33448</v>
      </c>
      <c r="D16257" s="330" t="s">
        <v>33449</v>
      </c>
      <c r="E16257" s="330" t="s">
        <v>4634</v>
      </c>
      <c r="F16257" s="331">
        <v>0.21</v>
      </c>
      <c r="G16257" s="332">
        <v>4640</v>
      </c>
      <c r="H16257" s="333">
        <v>5615</v>
      </c>
    </row>
    <row r="16258" spans="1:8">
      <c r="A16258" s="317">
        <v>3606445045</v>
      </c>
      <c r="B16258" s="330" t="s">
        <v>60610</v>
      </c>
      <c r="C16258" s="330" t="s">
        <v>33450</v>
      </c>
      <c r="D16258" s="330" t="s">
        <v>33451</v>
      </c>
      <c r="E16258" s="330" t="s">
        <v>4634</v>
      </c>
      <c r="F16258" s="331">
        <v>0.21</v>
      </c>
      <c r="G16258" s="332">
        <v>19905</v>
      </c>
      <c r="H16258" s="333">
        <v>24086</v>
      </c>
    </row>
    <row r="16259" spans="1:8">
      <c r="A16259" s="317">
        <v>3606455036</v>
      </c>
      <c r="B16259" s="330" t="s">
        <v>60611</v>
      </c>
      <c r="C16259" s="330" t="s">
        <v>33452</v>
      </c>
      <c r="D16259" s="330" t="s">
        <v>33453</v>
      </c>
      <c r="E16259" s="330" t="s">
        <v>4634</v>
      </c>
      <c r="F16259" s="331">
        <v>0.21</v>
      </c>
      <c r="G16259" s="332">
        <v>23838</v>
      </c>
      <c r="H16259" s="333">
        <v>28844</v>
      </c>
    </row>
    <row r="16260" spans="1:8">
      <c r="A16260" s="317">
        <v>3606455037</v>
      </c>
      <c r="B16260" s="330" t="s">
        <v>60612</v>
      </c>
      <c r="C16260" s="330" t="s">
        <v>33454</v>
      </c>
      <c r="D16260" s="330" t="s">
        <v>33455</v>
      </c>
      <c r="E16260" s="330" t="s">
        <v>4634</v>
      </c>
      <c r="F16260" s="331">
        <v>0.21</v>
      </c>
      <c r="G16260" s="332">
        <v>26847</v>
      </c>
      <c r="H16260" s="333">
        <v>32485</v>
      </c>
    </row>
    <row r="16261" spans="1:8">
      <c r="A16261" s="317">
        <v>3606455038</v>
      </c>
      <c r="B16261" s="330" t="s">
        <v>60613</v>
      </c>
      <c r="C16261" s="330" t="s">
        <v>33456</v>
      </c>
      <c r="D16261" s="330" t="s">
        <v>33457</v>
      </c>
      <c r="E16261" s="330" t="s">
        <v>4634</v>
      </c>
      <c r="F16261" s="331">
        <v>0.21</v>
      </c>
      <c r="G16261" s="332">
        <v>2707</v>
      </c>
      <c r="H16261" s="333">
        <v>3276</v>
      </c>
    </row>
    <row r="16262" spans="1:8">
      <c r="A16262" s="317">
        <v>3606455042</v>
      </c>
      <c r="B16262" s="330" t="s">
        <v>60614</v>
      </c>
      <c r="C16262" s="330" t="s">
        <v>33458</v>
      </c>
      <c r="D16262" s="330" t="s">
        <v>33459</v>
      </c>
      <c r="E16262" s="330" t="s">
        <v>37248</v>
      </c>
      <c r="F16262" s="331">
        <v>0.21</v>
      </c>
      <c r="G16262" s="332">
        <v>17228</v>
      </c>
      <c r="H16262" s="333">
        <v>20846</v>
      </c>
    </row>
    <row r="16263" spans="1:8">
      <c r="A16263" s="317">
        <v>3606490000</v>
      </c>
      <c r="B16263" s="330" t="s">
        <v>60615</v>
      </c>
      <c r="C16263" s="330" t="s">
        <v>33460</v>
      </c>
      <c r="D16263" s="330" t="s">
        <v>33461</v>
      </c>
      <c r="E16263" s="330" t="s">
        <v>4634</v>
      </c>
      <c r="F16263" s="331">
        <v>0.21</v>
      </c>
      <c r="G16263" s="332">
        <v>22367</v>
      </c>
      <c r="H16263" s="333">
        <v>27065</v>
      </c>
    </row>
    <row r="16264" spans="1:8">
      <c r="A16264" s="317">
        <v>3606490004</v>
      </c>
      <c r="B16264" s="330" t="s">
        <v>60616</v>
      </c>
      <c r="C16264" s="330" t="s">
        <v>33462</v>
      </c>
      <c r="D16264" s="330" t="s">
        <v>33461</v>
      </c>
      <c r="E16264" s="330" t="s">
        <v>4634</v>
      </c>
      <c r="F16264" s="331">
        <v>0.21</v>
      </c>
      <c r="G16264" s="332">
        <v>19644</v>
      </c>
      <c r="H16264" s="333">
        <v>23770</v>
      </c>
    </row>
    <row r="16265" spans="1:8">
      <c r="A16265" s="317">
        <v>3606490005</v>
      </c>
      <c r="B16265" s="330" t="s">
        <v>60617</v>
      </c>
      <c r="C16265" s="330" t="s">
        <v>33463</v>
      </c>
      <c r="D16265" s="330" t="s">
        <v>33464</v>
      </c>
      <c r="E16265" s="330" t="s">
        <v>4634</v>
      </c>
      <c r="F16265" s="331">
        <v>0.21</v>
      </c>
      <c r="G16265" s="332">
        <v>21758</v>
      </c>
      <c r="H16265" s="333">
        <v>26328</v>
      </c>
    </row>
    <row r="16266" spans="1:8">
      <c r="A16266" s="317">
        <v>3606491000</v>
      </c>
      <c r="B16266" s="330" t="s">
        <v>60618</v>
      </c>
      <c r="C16266" s="330" t="s">
        <v>33465</v>
      </c>
      <c r="D16266" s="330" t="s">
        <v>33466</v>
      </c>
      <c r="E16266" s="330" t="s">
        <v>4634</v>
      </c>
      <c r="F16266" s="331">
        <v>0.21</v>
      </c>
      <c r="G16266" s="332">
        <v>1371</v>
      </c>
      <c r="H16266" s="333">
        <v>1659</v>
      </c>
    </row>
    <row r="16267" spans="1:8">
      <c r="A16267" s="317">
        <v>3606610002</v>
      </c>
      <c r="B16267" s="330" t="s">
        <v>60619</v>
      </c>
      <c r="C16267" s="330" t="s">
        <v>33467</v>
      </c>
      <c r="D16267" s="330" t="s">
        <v>33468</v>
      </c>
      <c r="E16267" s="330" t="s">
        <v>4634</v>
      </c>
      <c r="F16267" s="331">
        <v>0.21</v>
      </c>
      <c r="G16267" s="332">
        <v>584</v>
      </c>
      <c r="H16267" s="333">
        <v>707</v>
      </c>
    </row>
    <row r="16268" spans="1:8">
      <c r="A16268" s="317">
        <v>3606610004</v>
      </c>
      <c r="B16268" s="330" t="s">
        <v>60620</v>
      </c>
      <c r="C16268" s="330" t="s">
        <v>33469</v>
      </c>
      <c r="D16268" s="330" t="s">
        <v>33470</v>
      </c>
      <c r="E16268" s="330" t="s">
        <v>4634</v>
      </c>
      <c r="F16268" s="331">
        <v>0.21</v>
      </c>
      <c r="G16268" s="332">
        <v>9166</v>
      </c>
      <c r="H16268" s="333">
        <v>11091</v>
      </c>
    </row>
    <row r="16269" spans="1:8">
      <c r="A16269" s="317">
        <v>3606610010</v>
      </c>
      <c r="B16269" s="330" t="s">
        <v>60621</v>
      </c>
      <c r="C16269" s="330" t="s">
        <v>33471</v>
      </c>
      <c r="D16269" s="330" t="s">
        <v>33472</v>
      </c>
      <c r="E16269" s="330" t="s">
        <v>4634</v>
      </c>
      <c r="F16269" s="331">
        <v>0.21</v>
      </c>
      <c r="G16269" s="332">
        <v>816</v>
      </c>
      <c r="H16269" s="333">
        <v>988</v>
      </c>
    </row>
    <row r="16270" spans="1:8">
      <c r="A16270" s="317">
        <v>3606625529</v>
      </c>
      <c r="B16270" s="330" t="s">
        <v>60622</v>
      </c>
      <c r="C16270" s="330" t="s">
        <v>33473</v>
      </c>
      <c r="D16270" s="330" t="s">
        <v>33474</v>
      </c>
      <c r="E16270" s="330" t="s">
        <v>4634</v>
      </c>
      <c r="F16270" s="331">
        <v>0.21</v>
      </c>
      <c r="G16270" s="332">
        <v>5344</v>
      </c>
      <c r="H16270" s="333">
        <v>6467</v>
      </c>
    </row>
    <row r="16271" spans="1:8">
      <c r="A16271" s="317">
        <v>3606625531</v>
      </c>
      <c r="B16271" s="330" t="s">
        <v>60623</v>
      </c>
      <c r="C16271" s="330" t="s">
        <v>33475</v>
      </c>
      <c r="D16271" s="330" t="s">
        <v>33476</v>
      </c>
      <c r="E16271" s="330" t="s">
        <v>4634</v>
      </c>
      <c r="F16271" s="331">
        <v>0.21</v>
      </c>
      <c r="G16271" s="332">
        <v>5559</v>
      </c>
      <c r="H16271" s="333">
        <v>6727</v>
      </c>
    </row>
    <row r="16272" spans="1:8">
      <c r="A16272" s="317">
        <v>3606625533</v>
      </c>
      <c r="B16272" s="330" t="s">
        <v>60624</v>
      </c>
      <c r="C16272" s="330" t="s">
        <v>33477</v>
      </c>
      <c r="D16272" s="330" t="s">
        <v>33478</v>
      </c>
      <c r="E16272" s="330" t="s">
        <v>4634</v>
      </c>
      <c r="F16272" s="331">
        <v>0.21</v>
      </c>
      <c r="G16272" s="332">
        <v>10297</v>
      </c>
      <c r="H16272" s="333">
        <v>12460</v>
      </c>
    </row>
    <row r="16273" spans="1:8">
      <c r="A16273" s="317">
        <v>3606625540</v>
      </c>
      <c r="B16273" s="330" t="s">
        <v>60625</v>
      </c>
      <c r="C16273" s="330" t="s">
        <v>33479</v>
      </c>
      <c r="D16273" s="330" t="s">
        <v>33480</v>
      </c>
      <c r="E16273" s="330" t="s">
        <v>4634</v>
      </c>
      <c r="F16273" s="331">
        <v>0.21</v>
      </c>
      <c r="G16273" s="332">
        <v>6593</v>
      </c>
      <c r="H16273" s="333">
        <v>7978</v>
      </c>
    </row>
    <row r="16274" spans="1:8">
      <c r="A16274" s="317">
        <v>3607000000</v>
      </c>
      <c r="B16274" s="330" t="s">
        <v>60626</v>
      </c>
      <c r="C16274" s="330" t="s">
        <v>33481</v>
      </c>
      <c r="D16274" s="330" t="s">
        <v>33482</v>
      </c>
      <c r="E16274" s="330" t="s">
        <v>4634</v>
      </c>
      <c r="F16274" s="331">
        <v>0.21</v>
      </c>
      <c r="G16274" s="332">
        <v>2333</v>
      </c>
      <c r="H16274" s="333">
        <v>2823</v>
      </c>
    </row>
    <row r="16275" spans="1:8">
      <c r="A16275" s="317">
        <v>3607000027</v>
      </c>
      <c r="B16275" s="330" t="s">
        <v>60627</v>
      </c>
      <c r="C16275" s="330" t="s">
        <v>33483</v>
      </c>
      <c r="D16275" s="330" t="s">
        <v>33484</v>
      </c>
      <c r="E16275" s="330" t="s">
        <v>4634</v>
      </c>
      <c r="F16275" s="331">
        <v>0.21</v>
      </c>
      <c r="G16275" s="332">
        <v>5741</v>
      </c>
      <c r="H16275" s="333">
        <v>6947</v>
      </c>
    </row>
    <row r="16276" spans="1:8">
      <c r="A16276" s="317">
        <v>3607000073</v>
      </c>
      <c r="B16276" s="330" t="s">
        <v>60628</v>
      </c>
      <c r="C16276" s="330" t="s">
        <v>33485</v>
      </c>
      <c r="D16276" s="330" t="s">
        <v>33486</v>
      </c>
      <c r="E16276" s="330" t="s">
        <v>4634</v>
      </c>
      <c r="F16276" s="331">
        <v>0.21</v>
      </c>
      <c r="G16276" s="332">
        <v>3696</v>
      </c>
      <c r="H16276" s="333">
        <v>4473</v>
      </c>
    </row>
    <row r="16277" spans="1:8">
      <c r="A16277" s="317">
        <v>3607000509</v>
      </c>
      <c r="B16277" s="330" t="s">
        <v>60629</v>
      </c>
      <c r="C16277" s="330" t="s">
        <v>33487</v>
      </c>
      <c r="D16277" s="330" t="s">
        <v>33488</v>
      </c>
      <c r="E16277" s="330" t="s">
        <v>4634</v>
      </c>
      <c r="F16277" s="331">
        <v>0.21</v>
      </c>
      <c r="G16277" s="332">
        <v>7530</v>
      </c>
      <c r="H16277" s="333">
        <v>9112</v>
      </c>
    </row>
    <row r="16278" spans="1:8">
      <c r="A16278" s="317">
        <v>3607010005</v>
      </c>
      <c r="B16278" s="330" t="s">
        <v>60630</v>
      </c>
      <c r="C16278" s="330" t="s">
        <v>33489</v>
      </c>
      <c r="D16278" s="330" t="s">
        <v>33490</v>
      </c>
      <c r="E16278" s="330" t="s">
        <v>4634</v>
      </c>
      <c r="F16278" s="331">
        <v>0.21</v>
      </c>
      <c r="G16278" s="332">
        <v>1199</v>
      </c>
      <c r="H16278" s="333">
        <v>1451</v>
      </c>
    </row>
    <row r="16279" spans="1:8">
      <c r="A16279" s="317">
        <v>3607010006</v>
      </c>
      <c r="B16279" s="330" t="s">
        <v>60631</v>
      </c>
      <c r="C16279" s="330" t="s">
        <v>33491</v>
      </c>
      <c r="D16279" s="330" t="s">
        <v>33492</v>
      </c>
      <c r="E16279" s="330" t="s">
        <v>4634</v>
      </c>
      <c r="F16279" s="331">
        <v>0.21</v>
      </c>
      <c r="G16279" s="332">
        <v>3528</v>
      </c>
      <c r="H16279" s="333">
        <v>4269</v>
      </c>
    </row>
    <row r="16280" spans="1:8">
      <c r="A16280" s="317">
        <v>3607010007</v>
      </c>
      <c r="B16280" s="330" t="s">
        <v>60632</v>
      </c>
      <c r="C16280" s="330" t="s">
        <v>33493</v>
      </c>
      <c r="D16280" s="330" t="s">
        <v>33494</v>
      </c>
      <c r="E16280" s="330" t="s">
        <v>4634</v>
      </c>
      <c r="F16280" s="331">
        <v>0.21</v>
      </c>
      <c r="G16280" s="332">
        <v>3935</v>
      </c>
      <c r="H16280" s="333">
        <v>4762</v>
      </c>
    </row>
    <row r="16281" spans="1:8">
      <c r="A16281" s="317">
        <v>3607010017</v>
      </c>
      <c r="B16281" s="330" t="s">
        <v>60633</v>
      </c>
      <c r="C16281" s="330" t="s">
        <v>33495</v>
      </c>
      <c r="D16281" s="330" t="s">
        <v>33494</v>
      </c>
      <c r="E16281" s="330" t="s">
        <v>4634</v>
      </c>
      <c r="F16281" s="331">
        <v>0.21</v>
      </c>
      <c r="G16281" s="332">
        <v>3935</v>
      </c>
      <c r="H16281" s="333">
        <v>4762</v>
      </c>
    </row>
    <row r="16282" spans="1:8">
      <c r="A16282" s="317">
        <v>3607010018</v>
      </c>
      <c r="B16282" s="330" t="s">
        <v>60634</v>
      </c>
      <c r="C16282" s="330" t="s">
        <v>33496</v>
      </c>
      <c r="D16282" s="330" t="s">
        <v>33494</v>
      </c>
      <c r="E16282" s="330" t="s">
        <v>4634</v>
      </c>
      <c r="F16282" s="331">
        <v>0.21</v>
      </c>
      <c r="G16282" s="332">
        <v>1956</v>
      </c>
      <c r="H16282" s="333">
        <v>2367</v>
      </c>
    </row>
    <row r="16283" spans="1:8">
      <c r="A16283" s="317">
        <v>3607010026</v>
      </c>
      <c r="B16283" s="330" t="s">
        <v>60635</v>
      </c>
      <c r="C16283" s="330" t="s">
        <v>33497</v>
      </c>
      <c r="D16283" s="330" t="s">
        <v>33498</v>
      </c>
      <c r="E16283" s="330" t="s">
        <v>4634</v>
      </c>
      <c r="F16283" s="331">
        <v>0.21</v>
      </c>
      <c r="G16283" s="332">
        <v>1474</v>
      </c>
      <c r="H16283" s="333">
        <v>1784</v>
      </c>
    </row>
    <row r="16284" spans="1:8">
      <c r="A16284" s="317">
        <v>3607010031</v>
      </c>
      <c r="B16284" s="330" t="s">
        <v>60636</v>
      </c>
      <c r="C16284" s="330" t="s">
        <v>33499</v>
      </c>
      <c r="D16284" s="330" t="s">
        <v>33500</v>
      </c>
      <c r="E16284" s="330" t="s">
        <v>4634</v>
      </c>
      <c r="F16284" s="331">
        <v>0.21</v>
      </c>
      <c r="G16284" s="332">
        <v>5761</v>
      </c>
      <c r="H16284" s="333">
        <v>6971</v>
      </c>
    </row>
    <row r="16285" spans="1:8">
      <c r="A16285" s="317">
        <v>3607014000</v>
      </c>
      <c r="B16285" s="330" t="s">
        <v>60637</v>
      </c>
      <c r="C16285" s="330" t="s">
        <v>33501</v>
      </c>
      <c r="D16285" s="330" t="s">
        <v>33502</v>
      </c>
      <c r="E16285" s="330" t="s">
        <v>4634</v>
      </c>
      <c r="F16285" s="331">
        <v>0.21</v>
      </c>
      <c r="G16285" s="332">
        <v>8</v>
      </c>
      <c r="H16285" s="333">
        <v>10</v>
      </c>
    </row>
    <row r="16286" spans="1:8">
      <c r="A16286" s="317">
        <v>3607014003</v>
      </c>
      <c r="B16286" s="330" t="s">
        <v>60638</v>
      </c>
      <c r="C16286" s="330" t="s">
        <v>33503</v>
      </c>
      <c r="D16286" s="330" t="s">
        <v>33504</v>
      </c>
      <c r="E16286" s="330" t="s">
        <v>4623</v>
      </c>
      <c r="F16286" s="331">
        <v>0.21</v>
      </c>
      <c r="G16286" s="332">
        <v>42723</v>
      </c>
      <c r="H16286" s="333">
        <v>51695</v>
      </c>
    </row>
    <row r="16287" spans="1:8">
      <c r="A16287" s="317">
        <v>3607014010</v>
      </c>
      <c r="B16287" s="330" t="s">
        <v>60639</v>
      </c>
      <c r="C16287" s="330" t="s">
        <v>33505</v>
      </c>
      <c r="D16287" s="330" t="s">
        <v>33506</v>
      </c>
      <c r="E16287" s="330" t="s">
        <v>4819</v>
      </c>
      <c r="F16287" s="331">
        <v>0.21</v>
      </c>
      <c r="G16287" s="332">
        <v>20531</v>
      </c>
      <c r="H16287" s="333">
        <v>24843</v>
      </c>
    </row>
    <row r="16288" spans="1:8">
      <c r="A16288" s="317">
        <v>3607014012</v>
      </c>
      <c r="B16288" s="330" t="s">
        <v>60640</v>
      </c>
      <c r="C16288" s="330" t="s">
        <v>33507</v>
      </c>
      <c r="D16288" s="330" t="s">
        <v>33508</v>
      </c>
      <c r="E16288" s="330" t="s">
        <v>37248</v>
      </c>
      <c r="F16288" s="331">
        <v>0.21</v>
      </c>
      <c r="G16288" s="332">
        <v>26106</v>
      </c>
      <c r="H16288" s="333">
        <v>31589</v>
      </c>
    </row>
    <row r="16289" spans="1:8">
      <c r="A16289" s="317">
        <v>3607014507</v>
      </c>
      <c r="B16289" s="330" t="s">
        <v>60641</v>
      </c>
      <c r="C16289" s="330" t="s">
        <v>33509</v>
      </c>
      <c r="D16289" s="330" t="s">
        <v>33510</v>
      </c>
      <c r="E16289" s="330" t="s">
        <v>4634</v>
      </c>
      <c r="F16289" s="331">
        <v>0.21</v>
      </c>
      <c r="G16289" s="332">
        <v>3810</v>
      </c>
      <c r="H16289" s="333">
        <v>4611</v>
      </c>
    </row>
    <row r="16290" spans="1:8">
      <c r="A16290" s="317">
        <v>3607020033</v>
      </c>
      <c r="B16290" s="330" t="s">
        <v>60642</v>
      </c>
      <c r="C16290" s="330" t="s">
        <v>33511</v>
      </c>
      <c r="D16290" s="330" t="s">
        <v>33512</v>
      </c>
      <c r="E16290" s="330" t="s">
        <v>4634</v>
      </c>
      <c r="F16290" s="331">
        <v>0.21</v>
      </c>
      <c r="G16290" s="332">
        <v>2194811</v>
      </c>
      <c r="H16290" s="333">
        <v>2655722</v>
      </c>
    </row>
    <row r="16291" spans="1:8">
      <c r="A16291" s="317">
        <v>3607020041</v>
      </c>
      <c r="B16291" s="330" t="s">
        <v>60643</v>
      </c>
      <c r="C16291" s="330" t="s">
        <v>33513</v>
      </c>
      <c r="D16291" s="330" t="s">
        <v>33514</v>
      </c>
      <c r="E16291" s="330" t="s">
        <v>4634</v>
      </c>
      <c r="F16291" s="331">
        <v>0.21</v>
      </c>
      <c r="G16291" s="332">
        <v>89879</v>
      </c>
      <c r="H16291" s="333">
        <v>108754</v>
      </c>
    </row>
    <row r="16292" spans="1:8">
      <c r="A16292" s="317">
        <v>3607020075</v>
      </c>
      <c r="B16292" s="330" t="s">
        <v>60644</v>
      </c>
      <c r="C16292" s="330" t="s">
        <v>33515</v>
      </c>
      <c r="D16292" s="330" t="s">
        <v>33516</v>
      </c>
      <c r="E16292" s="330" t="s">
        <v>4623</v>
      </c>
      <c r="F16292" s="331">
        <v>0.21</v>
      </c>
      <c r="G16292" s="332">
        <v>25452</v>
      </c>
      <c r="H16292" s="333">
        <v>30797</v>
      </c>
    </row>
    <row r="16293" spans="1:8">
      <c r="A16293" s="317">
        <v>3607020161</v>
      </c>
      <c r="B16293" s="330" t="s">
        <v>60645</v>
      </c>
      <c r="C16293" s="330" t="s">
        <v>33517</v>
      </c>
      <c r="D16293" s="330" t="s">
        <v>33518</v>
      </c>
      <c r="E16293" s="330" t="s">
        <v>4623</v>
      </c>
      <c r="F16293" s="331">
        <v>0.21</v>
      </c>
      <c r="G16293" s="332">
        <v>127024</v>
      </c>
      <c r="H16293" s="333">
        <v>153700</v>
      </c>
    </row>
    <row r="16294" spans="1:8">
      <c r="A16294" s="317">
        <v>3607020163</v>
      </c>
      <c r="B16294" s="330" t="s">
        <v>60646</v>
      </c>
      <c r="C16294" s="330" t="s">
        <v>33519</v>
      </c>
      <c r="D16294" s="330" t="s">
        <v>33518</v>
      </c>
      <c r="E16294" s="330" t="s">
        <v>4819</v>
      </c>
      <c r="F16294" s="331">
        <v>0.21</v>
      </c>
      <c r="G16294" s="332">
        <v>239368</v>
      </c>
      <c r="H16294" s="333">
        <v>289636</v>
      </c>
    </row>
    <row r="16295" spans="1:8">
      <c r="A16295" s="317">
        <v>3607020165</v>
      </c>
      <c r="B16295" s="330" t="s">
        <v>60647</v>
      </c>
      <c r="C16295" s="330" t="s">
        <v>33520</v>
      </c>
      <c r="D16295" s="330" t="s">
        <v>33514</v>
      </c>
      <c r="E16295" s="330" t="s">
        <v>4623</v>
      </c>
      <c r="F16295" s="331">
        <v>0.21</v>
      </c>
      <c r="G16295" s="332">
        <v>213933</v>
      </c>
      <c r="H16295" s="333">
        <v>258859</v>
      </c>
    </row>
    <row r="16296" spans="1:8">
      <c r="A16296" s="317">
        <v>3607020192</v>
      </c>
      <c r="B16296" s="330" t="s">
        <v>60648</v>
      </c>
      <c r="C16296" s="330" t="s">
        <v>33521</v>
      </c>
      <c r="D16296" s="330" t="s">
        <v>33522</v>
      </c>
      <c r="E16296" s="330" t="s">
        <v>4634</v>
      </c>
      <c r="F16296" s="331">
        <v>0.21</v>
      </c>
      <c r="G16296" s="332">
        <v>460078</v>
      </c>
      <c r="H16296" s="333">
        <v>556695</v>
      </c>
    </row>
    <row r="16297" spans="1:8">
      <c r="A16297" s="317">
        <v>3607020263</v>
      </c>
      <c r="B16297" s="330" t="s">
        <v>60649</v>
      </c>
      <c r="C16297" s="330" t="s">
        <v>33523</v>
      </c>
      <c r="D16297" s="330" t="s">
        <v>33524</v>
      </c>
      <c r="E16297" s="330" t="s">
        <v>4634</v>
      </c>
      <c r="F16297" s="331">
        <v>0.21</v>
      </c>
      <c r="G16297" s="332">
        <v>13931</v>
      </c>
      <c r="H16297" s="333">
        <v>16857</v>
      </c>
    </row>
    <row r="16298" spans="1:8">
      <c r="A16298" s="317">
        <v>3607020314</v>
      </c>
      <c r="B16298" s="330" t="s">
        <v>60650</v>
      </c>
      <c r="C16298" s="330" t="s">
        <v>33525</v>
      </c>
      <c r="D16298" s="330" t="s">
        <v>33526</v>
      </c>
      <c r="E16298" s="330" t="s">
        <v>37248</v>
      </c>
      <c r="F16298" s="331">
        <v>0.21</v>
      </c>
      <c r="G16298" s="332">
        <v>754831</v>
      </c>
      <c r="H16298" s="333">
        <v>913346</v>
      </c>
    </row>
    <row r="16299" spans="1:8">
      <c r="A16299" s="317">
        <v>3607020315</v>
      </c>
      <c r="B16299" s="330" t="s">
        <v>60651</v>
      </c>
      <c r="C16299" s="330" t="s">
        <v>33527</v>
      </c>
      <c r="D16299" s="330" t="s">
        <v>33528</v>
      </c>
      <c r="E16299" s="330" t="s">
        <v>37248</v>
      </c>
      <c r="F16299" s="331">
        <v>0.21</v>
      </c>
      <c r="G16299" s="332">
        <v>754831</v>
      </c>
      <c r="H16299" s="333">
        <v>913346</v>
      </c>
    </row>
    <row r="16300" spans="1:8">
      <c r="A16300" s="317">
        <v>3607021012</v>
      </c>
      <c r="B16300" s="330" t="s">
        <v>60652</v>
      </c>
      <c r="C16300" s="330" t="s">
        <v>33529</v>
      </c>
      <c r="D16300" s="330" t="s">
        <v>33530</v>
      </c>
      <c r="E16300" s="330" t="s">
        <v>4634</v>
      </c>
      <c r="F16300" s="331">
        <v>0.21</v>
      </c>
      <c r="G16300" s="332">
        <v>10257</v>
      </c>
      <c r="H16300" s="333">
        <v>12411</v>
      </c>
    </row>
    <row r="16301" spans="1:8">
      <c r="A16301" s="317">
        <v>3607030030</v>
      </c>
      <c r="B16301" s="330" t="s">
        <v>60653</v>
      </c>
      <c r="C16301" s="330" t="s">
        <v>33531</v>
      </c>
      <c r="D16301" s="330" t="s">
        <v>33532</v>
      </c>
      <c r="E16301" s="330" t="s">
        <v>4819</v>
      </c>
      <c r="F16301" s="331">
        <v>0.21</v>
      </c>
      <c r="G16301" s="332">
        <v>24462</v>
      </c>
      <c r="H16301" s="333">
        <v>29600</v>
      </c>
    </row>
    <row r="16302" spans="1:8">
      <c r="A16302" s="317">
        <v>3607030033</v>
      </c>
      <c r="B16302" s="330" t="s">
        <v>60654</v>
      </c>
      <c r="C16302" s="330" t="s">
        <v>33533</v>
      </c>
      <c r="D16302" s="330" t="s">
        <v>33534</v>
      </c>
      <c r="E16302" s="330" t="s">
        <v>4634</v>
      </c>
      <c r="F16302" s="331">
        <v>0.21</v>
      </c>
      <c r="G16302" s="332">
        <v>3490</v>
      </c>
      <c r="H16302" s="333">
        <v>4223</v>
      </c>
    </row>
    <row r="16303" spans="1:8">
      <c r="A16303" s="317">
        <v>3607030059</v>
      </c>
      <c r="B16303" s="330" t="s">
        <v>60655</v>
      </c>
      <c r="C16303" s="330" t="s">
        <v>33535</v>
      </c>
      <c r="D16303" s="330" t="s">
        <v>33536</v>
      </c>
      <c r="E16303" s="330" t="s">
        <v>4634</v>
      </c>
      <c r="F16303" s="331">
        <v>0.21</v>
      </c>
      <c r="G16303" s="332">
        <v>4432</v>
      </c>
      <c r="H16303" s="333">
        <v>5363</v>
      </c>
    </row>
    <row r="16304" spans="1:8">
      <c r="A16304" s="317">
        <v>3607030064</v>
      </c>
      <c r="B16304" s="330" t="s">
        <v>60656</v>
      </c>
      <c r="C16304" s="330" t="s">
        <v>33537</v>
      </c>
      <c r="D16304" s="330" t="s">
        <v>33538</v>
      </c>
      <c r="E16304" s="330" t="s">
        <v>4634</v>
      </c>
      <c r="F16304" s="331">
        <v>0.21</v>
      </c>
      <c r="G16304" s="332">
        <v>2712</v>
      </c>
      <c r="H16304" s="333">
        <v>3282</v>
      </c>
    </row>
    <row r="16305" spans="1:8">
      <c r="A16305" s="317">
        <v>3607030093</v>
      </c>
      <c r="B16305" s="330" t="s">
        <v>60657</v>
      </c>
      <c r="C16305" s="330" t="s">
        <v>33539</v>
      </c>
      <c r="D16305" s="330" t="s">
        <v>31990</v>
      </c>
      <c r="E16305" s="330" t="s">
        <v>4634</v>
      </c>
      <c r="F16305" s="331">
        <v>0.21</v>
      </c>
      <c r="G16305" s="332">
        <v>12599</v>
      </c>
      <c r="H16305" s="333">
        <v>15245</v>
      </c>
    </row>
    <row r="16306" spans="1:8">
      <c r="A16306" s="317">
        <v>3607030095</v>
      </c>
      <c r="B16306" s="330" t="s">
        <v>60658</v>
      </c>
      <c r="C16306" s="330" t="s">
        <v>33540</v>
      </c>
      <c r="D16306" s="330" t="s">
        <v>32724</v>
      </c>
      <c r="E16306" s="330" t="s">
        <v>4634</v>
      </c>
      <c r="F16306" s="331">
        <v>0.21</v>
      </c>
      <c r="G16306" s="332">
        <v>88365</v>
      </c>
      <c r="H16306" s="333">
        <v>106922</v>
      </c>
    </row>
    <row r="16307" spans="1:8">
      <c r="A16307" s="317">
        <v>3607030109</v>
      </c>
      <c r="B16307" s="330" t="s">
        <v>60659</v>
      </c>
      <c r="C16307" s="330" t="s">
        <v>33541</v>
      </c>
      <c r="D16307" s="330" t="s">
        <v>33542</v>
      </c>
      <c r="E16307" s="330" t="s">
        <v>4634</v>
      </c>
      <c r="F16307" s="331">
        <v>0.21</v>
      </c>
      <c r="G16307" s="332">
        <v>5652</v>
      </c>
      <c r="H16307" s="333">
        <v>6839</v>
      </c>
    </row>
    <row r="16308" spans="1:8">
      <c r="A16308" s="317">
        <v>3607030131</v>
      </c>
      <c r="B16308" s="330" t="s">
        <v>60660</v>
      </c>
      <c r="C16308" s="330" t="s">
        <v>33543</v>
      </c>
      <c r="D16308" s="330" t="s">
        <v>33544</v>
      </c>
      <c r="E16308" s="330" t="s">
        <v>4634</v>
      </c>
      <c r="F16308" s="331">
        <v>0.21</v>
      </c>
      <c r="G16308" s="332">
        <v>5819</v>
      </c>
      <c r="H16308" s="333">
        <v>7041</v>
      </c>
    </row>
    <row r="16309" spans="1:8">
      <c r="A16309" s="317">
        <v>3607030149</v>
      </c>
      <c r="B16309" s="330" t="s">
        <v>60661</v>
      </c>
      <c r="C16309" s="330" t="s">
        <v>33545</v>
      </c>
      <c r="D16309" s="330" t="s">
        <v>10134</v>
      </c>
      <c r="E16309" s="330" t="s">
        <v>4819</v>
      </c>
      <c r="F16309" s="331">
        <v>0.21</v>
      </c>
      <c r="G16309" s="332">
        <v>153113</v>
      </c>
      <c r="H16309" s="333">
        <v>185267</v>
      </c>
    </row>
    <row r="16310" spans="1:8">
      <c r="A16310" s="317">
        <v>3607030233</v>
      </c>
      <c r="B16310" s="330" t="s">
        <v>60662</v>
      </c>
      <c r="C16310" s="330" t="s">
        <v>33546</v>
      </c>
      <c r="D16310" s="330" t="s">
        <v>33547</v>
      </c>
      <c r="E16310" s="330" t="s">
        <v>4634</v>
      </c>
      <c r="F16310" s="331">
        <v>0.21</v>
      </c>
      <c r="G16310" s="332">
        <v>72261</v>
      </c>
      <c r="H16310" s="333">
        <v>87436</v>
      </c>
    </row>
    <row r="16311" spans="1:8">
      <c r="A16311" s="317">
        <v>3607030239</v>
      </c>
      <c r="B16311" s="330" t="s">
        <v>60663</v>
      </c>
      <c r="C16311" s="330" t="s">
        <v>33548</v>
      </c>
      <c r="D16311" s="330" t="s">
        <v>33549</v>
      </c>
      <c r="E16311" s="330" t="s">
        <v>4634</v>
      </c>
      <c r="F16311" s="331">
        <v>0.21</v>
      </c>
      <c r="G16311" s="332">
        <v>18435</v>
      </c>
      <c r="H16311" s="333">
        <v>22307</v>
      </c>
    </row>
    <row r="16312" spans="1:8">
      <c r="A16312" s="317">
        <v>3607030244</v>
      </c>
      <c r="B16312" s="330" t="s">
        <v>60664</v>
      </c>
      <c r="C16312" s="330" t="s">
        <v>33550</v>
      </c>
      <c r="D16312" s="330" t="s">
        <v>33551</v>
      </c>
      <c r="E16312" s="330" t="s">
        <v>4634</v>
      </c>
      <c r="F16312" s="331">
        <v>0.21</v>
      </c>
      <c r="G16312" s="332">
        <v>5344</v>
      </c>
      <c r="H16312" s="333">
        <v>6467</v>
      </c>
    </row>
    <row r="16313" spans="1:8">
      <c r="A16313" s="317">
        <v>3607030251</v>
      </c>
      <c r="B16313" s="330" t="s">
        <v>60665</v>
      </c>
      <c r="C16313" s="330" t="s">
        <v>33552</v>
      </c>
      <c r="D16313" s="330" t="s">
        <v>33553</v>
      </c>
      <c r="E16313" s="330" t="s">
        <v>4634</v>
      </c>
      <c r="F16313" s="331">
        <v>0.21</v>
      </c>
      <c r="G16313" s="332">
        <v>22367</v>
      </c>
      <c r="H16313" s="333">
        <v>27065</v>
      </c>
    </row>
    <row r="16314" spans="1:8">
      <c r="A16314" s="317">
        <v>3607030252</v>
      </c>
      <c r="B16314" s="330" t="s">
        <v>60666</v>
      </c>
      <c r="C16314" s="330" t="s">
        <v>33554</v>
      </c>
      <c r="D16314" s="330" t="s">
        <v>33555</v>
      </c>
      <c r="E16314" s="330" t="s">
        <v>4634</v>
      </c>
      <c r="F16314" s="331">
        <v>0.21</v>
      </c>
      <c r="G16314" s="332">
        <v>23838</v>
      </c>
      <c r="H16314" s="333">
        <v>28844</v>
      </c>
    </row>
    <row r="16315" spans="1:8">
      <c r="A16315" s="317">
        <v>3607030254</v>
      </c>
      <c r="B16315" s="330" t="s">
        <v>60667</v>
      </c>
      <c r="C16315" s="330" t="s">
        <v>33556</v>
      </c>
      <c r="D16315" s="330" t="s">
        <v>33557</v>
      </c>
      <c r="E16315" s="330" t="s">
        <v>4634</v>
      </c>
      <c r="F16315" s="331">
        <v>0.21</v>
      </c>
      <c r="G16315" s="332">
        <v>6946</v>
      </c>
      <c r="H16315" s="333">
        <v>8405</v>
      </c>
    </row>
    <row r="16316" spans="1:8">
      <c r="A16316" s="317">
        <v>3607030260</v>
      </c>
      <c r="B16316" s="330" t="s">
        <v>60668</v>
      </c>
      <c r="C16316" s="330" t="s">
        <v>33558</v>
      </c>
      <c r="D16316" s="330" t="s">
        <v>33559</v>
      </c>
      <c r="E16316" s="330" t="s">
        <v>4634</v>
      </c>
      <c r="F16316" s="331">
        <v>0.21</v>
      </c>
      <c r="G16316" s="332">
        <v>5819</v>
      </c>
      <c r="H16316" s="333">
        <v>7041</v>
      </c>
    </row>
    <row r="16317" spans="1:8">
      <c r="A16317" s="317">
        <v>3607030289</v>
      </c>
      <c r="B16317" s="330" t="s">
        <v>60669</v>
      </c>
      <c r="C16317" s="330" t="s">
        <v>33560</v>
      </c>
      <c r="D16317" s="330" t="s">
        <v>33561</v>
      </c>
      <c r="E16317" s="330" t="s">
        <v>4634</v>
      </c>
      <c r="F16317" s="331">
        <v>0.21</v>
      </c>
      <c r="G16317" s="332">
        <v>2270</v>
      </c>
      <c r="H16317" s="333">
        <v>2747</v>
      </c>
    </row>
    <row r="16318" spans="1:8">
      <c r="A16318" s="317">
        <v>3607030290</v>
      </c>
      <c r="B16318" s="330" t="s">
        <v>60670</v>
      </c>
      <c r="C16318" s="330" t="s">
        <v>33562</v>
      </c>
      <c r="D16318" s="330" t="s">
        <v>33563</v>
      </c>
      <c r="E16318" s="330" t="s">
        <v>4634</v>
      </c>
      <c r="F16318" s="331">
        <v>0.21</v>
      </c>
      <c r="G16318" s="332">
        <v>2520</v>
      </c>
      <c r="H16318" s="333">
        <v>3050</v>
      </c>
    </row>
    <row r="16319" spans="1:8">
      <c r="A16319" s="317">
        <v>3607030292</v>
      </c>
      <c r="B16319" s="330" t="s">
        <v>60671</v>
      </c>
      <c r="C16319" s="330" t="s">
        <v>33564</v>
      </c>
      <c r="D16319" s="330" t="s">
        <v>33565</v>
      </c>
      <c r="E16319" s="330" t="s">
        <v>4634</v>
      </c>
      <c r="F16319" s="331">
        <v>0.21</v>
      </c>
      <c r="G16319" s="332">
        <v>4737</v>
      </c>
      <c r="H16319" s="333">
        <v>5732</v>
      </c>
    </row>
    <row r="16320" spans="1:8">
      <c r="A16320" s="317">
        <v>3607030293</v>
      </c>
      <c r="B16320" s="330" t="s">
        <v>60672</v>
      </c>
      <c r="C16320" s="330" t="s">
        <v>33566</v>
      </c>
      <c r="D16320" s="330" t="s">
        <v>33567</v>
      </c>
      <c r="E16320" s="330" t="s">
        <v>4634</v>
      </c>
      <c r="F16320" s="331">
        <v>0.21</v>
      </c>
      <c r="G16320" s="332">
        <v>5081</v>
      </c>
      <c r="H16320" s="333">
        <v>6149</v>
      </c>
    </row>
    <row r="16321" spans="1:8">
      <c r="A16321" s="317">
        <v>3607030294</v>
      </c>
      <c r="B16321" s="330" t="s">
        <v>60673</v>
      </c>
      <c r="C16321" s="330" t="s">
        <v>33568</v>
      </c>
      <c r="D16321" s="330" t="s">
        <v>33569</v>
      </c>
      <c r="E16321" s="330" t="s">
        <v>4634</v>
      </c>
      <c r="F16321" s="331">
        <v>0.21</v>
      </c>
      <c r="G16321" s="332">
        <v>10598</v>
      </c>
      <c r="H16321" s="333">
        <v>12824</v>
      </c>
    </row>
    <row r="16322" spans="1:8">
      <c r="A16322" s="317">
        <v>3607030300</v>
      </c>
      <c r="B16322" s="330" t="s">
        <v>60674</v>
      </c>
      <c r="C16322" s="330" t="s">
        <v>33570</v>
      </c>
      <c r="D16322" s="330" t="s">
        <v>33571</v>
      </c>
      <c r="E16322" s="330" t="s">
        <v>4634</v>
      </c>
      <c r="F16322" s="331">
        <v>0.21</v>
      </c>
      <c r="G16322" s="332">
        <v>13721</v>
      </c>
      <c r="H16322" s="333">
        <v>16603</v>
      </c>
    </row>
    <row r="16323" spans="1:8">
      <c r="A16323" s="317">
        <v>3607030320</v>
      </c>
      <c r="B16323" s="330" t="s">
        <v>60675</v>
      </c>
      <c r="C16323" s="330" t="s">
        <v>33572</v>
      </c>
      <c r="D16323" s="330" t="s">
        <v>33573</v>
      </c>
      <c r="E16323" s="330" t="s">
        <v>4634</v>
      </c>
      <c r="F16323" s="331">
        <v>0.21</v>
      </c>
      <c r="G16323" s="332">
        <v>1882</v>
      </c>
      <c r="H16323" s="333">
        <v>2278</v>
      </c>
    </row>
    <row r="16324" spans="1:8">
      <c r="A16324" s="317">
        <v>3607030321</v>
      </c>
      <c r="B16324" s="330" t="s">
        <v>60676</v>
      </c>
      <c r="C16324" s="330" t="s">
        <v>33574</v>
      </c>
      <c r="D16324" s="330" t="s">
        <v>33575</v>
      </c>
      <c r="E16324" s="330" t="s">
        <v>4634</v>
      </c>
      <c r="F16324" s="331">
        <v>0.21</v>
      </c>
      <c r="G16324" s="332">
        <v>76135</v>
      </c>
      <c r="H16324" s="333">
        <v>92124</v>
      </c>
    </row>
    <row r="16325" spans="1:8">
      <c r="A16325" s="317">
        <v>3607030322</v>
      </c>
      <c r="B16325" s="330" t="s">
        <v>60677</v>
      </c>
      <c r="C16325" s="330" t="s">
        <v>33576</v>
      </c>
      <c r="D16325" s="330" t="s">
        <v>33577</v>
      </c>
      <c r="E16325" s="330" t="s">
        <v>4634</v>
      </c>
      <c r="F16325" s="331">
        <v>0.21</v>
      </c>
      <c r="G16325" s="332">
        <v>5819</v>
      </c>
      <c r="H16325" s="333">
        <v>7041</v>
      </c>
    </row>
    <row r="16326" spans="1:8">
      <c r="A16326" s="317">
        <v>3607030331</v>
      </c>
      <c r="B16326" s="330" t="s">
        <v>60678</v>
      </c>
      <c r="C16326" s="330" t="s">
        <v>33578</v>
      </c>
      <c r="D16326" s="330" t="s">
        <v>33579</v>
      </c>
      <c r="E16326" s="330" t="s">
        <v>4634</v>
      </c>
      <c r="F16326" s="331">
        <v>0.21</v>
      </c>
      <c r="G16326" s="332">
        <v>13721</v>
      </c>
      <c r="H16326" s="333">
        <v>16603</v>
      </c>
    </row>
    <row r="16327" spans="1:8">
      <c r="A16327" s="317">
        <v>3607030332</v>
      </c>
      <c r="B16327" s="330" t="s">
        <v>60679</v>
      </c>
      <c r="C16327" s="330" t="s">
        <v>33580</v>
      </c>
      <c r="D16327" s="330" t="s">
        <v>33581</v>
      </c>
      <c r="E16327" s="330" t="s">
        <v>4634</v>
      </c>
      <c r="F16327" s="331">
        <v>0.21</v>
      </c>
      <c r="G16327" s="332">
        <v>7551</v>
      </c>
      <c r="H16327" s="333">
        <v>9137</v>
      </c>
    </row>
    <row r="16328" spans="1:8">
      <c r="A16328" s="317">
        <v>3607030333</v>
      </c>
      <c r="B16328" s="330" t="s">
        <v>60680</v>
      </c>
      <c r="C16328" s="330" t="s">
        <v>33582</v>
      </c>
      <c r="D16328" s="330" t="s">
        <v>33581</v>
      </c>
      <c r="E16328" s="330" t="s">
        <v>4634</v>
      </c>
      <c r="F16328" s="331">
        <v>0.21</v>
      </c>
      <c r="G16328" s="332">
        <v>4432</v>
      </c>
      <c r="H16328" s="333">
        <v>5363</v>
      </c>
    </row>
    <row r="16329" spans="1:8">
      <c r="A16329" s="317">
        <v>3607030334</v>
      </c>
      <c r="B16329" s="330" t="s">
        <v>60681</v>
      </c>
      <c r="C16329" s="330" t="s">
        <v>33583</v>
      </c>
      <c r="D16329" s="330" t="s">
        <v>33584</v>
      </c>
      <c r="E16329" s="330" t="s">
        <v>4634</v>
      </c>
      <c r="F16329" s="331">
        <v>0.21</v>
      </c>
      <c r="G16329" s="332">
        <v>4914</v>
      </c>
      <c r="H16329" s="333">
        <v>5946</v>
      </c>
    </row>
    <row r="16330" spans="1:8">
      <c r="A16330" s="317">
        <v>3607030335</v>
      </c>
      <c r="B16330" s="330" t="s">
        <v>60682</v>
      </c>
      <c r="C16330" s="330" t="s">
        <v>33585</v>
      </c>
      <c r="D16330" s="330" t="s">
        <v>33586</v>
      </c>
      <c r="E16330" s="330" t="s">
        <v>4634</v>
      </c>
      <c r="F16330" s="331">
        <v>0.21</v>
      </c>
      <c r="G16330" s="332">
        <v>162678</v>
      </c>
      <c r="H16330" s="333">
        <v>196841</v>
      </c>
    </row>
    <row r="16331" spans="1:8">
      <c r="A16331" s="317">
        <v>3607030347</v>
      </c>
      <c r="B16331" s="330" t="s">
        <v>60683</v>
      </c>
      <c r="C16331" s="330" t="s">
        <v>33587</v>
      </c>
      <c r="D16331" s="330" t="s">
        <v>33581</v>
      </c>
      <c r="E16331" s="330" t="s">
        <v>4634</v>
      </c>
      <c r="F16331" s="331">
        <v>0.21</v>
      </c>
      <c r="G16331" s="332">
        <v>172904</v>
      </c>
      <c r="H16331" s="333">
        <v>209214</v>
      </c>
    </row>
    <row r="16332" spans="1:8">
      <c r="A16332" s="317">
        <v>3607030351</v>
      </c>
      <c r="B16332" s="330" t="s">
        <v>60684</v>
      </c>
      <c r="C16332" s="330" t="s">
        <v>33588</v>
      </c>
      <c r="D16332" s="330" t="s">
        <v>33581</v>
      </c>
      <c r="E16332" s="330" t="s">
        <v>4634</v>
      </c>
      <c r="F16332" s="331">
        <v>0.21</v>
      </c>
      <c r="G16332" s="332">
        <v>250579</v>
      </c>
      <c r="H16332" s="333">
        <v>303201</v>
      </c>
    </row>
    <row r="16333" spans="1:8">
      <c r="A16333" s="317">
        <v>3607030352</v>
      </c>
      <c r="B16333" s="330" t="s">
        <v>60685</v>
      </c>
      <c r="C16333" s="330" t="s">
        <v>33589</v>
      </c>
      <c r="D16333" s="330" t="s">
        <v>33581</v>
      </c>
      <c r="E16333" s="330" t="s">
        <v>4634</v>
      </c>
      <c r="F16333" s="331">
        <v>0.21</v>
      </c>
      <c r="G16333" s="332">
        <v>1798</v>
      </c>
      <c r="H16333" s="333">
        <v>2176</v>
      </c>
    </row>
    <row r="16334" spans="1:8">
      <c r="A16334" s="317">
        <v>3607030354</v>
      </c>
      <c r="B16334" s="330" t="s">
        <v>60686</v>
      </c>
      <c r="C16334" s="330" t="s">
        <v>33590</v>
      </c>
      <c r="D16334" s="330" t="s">
        <v>33591</v>
      </c>
      <c r="E16334" s="330" t="s">
        <v>4634</v>
      </c>
      <c r="F16334" s="331">
        <v>0.21</v>
      </c>
      <c r="G16334" s="332">
        <v>2766</v>
      </c>
      <c r="H16334" s="333">
        <v>3347</v>
      </c>
    </row>
    <row r="16335" spans="1:8">
      <c r="A16335" s="317">
        <v>3607030360</v>
      </c>
      <c r="B16335" s="330" t="s">
        <v>60687</v>
      </c>
      <c r="C16335" s="330" t="s">
        <v>33592</v>
      </c>
      <c r="D16335" s="330" t="s">
        <v>33581</v>
      </c>
      <c r="E16335" s="330" t="s">
        <v>4634</v>
      </c>
      <c r="F16335" s="331">
        <v>0.21</v>
      </c>
      <c r="G16335" s="332">
        <v>2837</v>
      </c>
      <c r="H16335" s="333">
        <v>3433</v>
      </c>
    </row>
    <row r="16336" spans="1:8">
      <c r="A16336" s="317">
        <v>3607030374</v>
      </c>
      <c r="B16336" s="330" t="s">
        <v>60688</v>
      </c>
      <c r="C16336" s="330" t="s">
        <v>33593</v>
      </c>
      <c r="D16336" s="330" t="s">
        <v>33594</v>
      </c>
      <c r="E16336" s="330" t="s">
        <v>4634</v>
      </c>
      <c r="F16336" s="331">
        <v>0.21</v>
      </c>
      <c r="G16336" s="332">
        <v>5239</v>
      </c>
      <c r="H16336" s="333">
        <v>6340</v>
      </c>
    </row>
    <row r="16337" spans="1:8">
      <c r="A16337" s="317">
        <v>3607030375</v>
      </c>
      <c r="B16337" s="330" t="s">
        <v>60689</v>
      </c>
      <c r="C16337" s="330" t="s">
        <v>33595</v>
      </c>
      <c r="D16337" s="330" t="s">
        <v>33596</v>
      </c>
      <c r="E16337" s="330" t="s">
        <v>4634</v>
      </c>
      <c r="F16337" s="331">
        <v>0.21</v>
      </c>
      <c r="G16337" s="332">
        <v>52601</v>
      </c>
      <c r="H16337" s="333">
        <v>63648</v>
      </c>
    </row>
    <row r="16338" spans="1:8">
      <c r="A16338" s="317">
        <v>3607030377</v>
      </c>
      <c r="B16338" s="330" t="s">
        <v>60690</v>
      </c>
      <c r="C16338" s="330" t="s">
        <v>33597</v>
      </c>
      <c r="D16338" s="330" t="s">
        <v>33598</v>
      </c>
      <c r="E16338" s="330" t="s">
        <v>4634</v>
      </c>
      <c r="F16338" s="331">
        <v>0.21</v>
      </c>
      <c r="G16338" s="332">
        <v>13616</v>
      </c>
      <c r="H16338" s="333">
        <v>16476</v>
      </c>
    </row>
    <row r="16339" spans="1:8">
      <c r="A16339" s="317">
        <v>3607030408</v>
      </c>
      <c r="B16339" s="330" t="s">
        <v>60691</v>
      </c>
      <c r="C16339" s="330" t="s">
        <v>33599</v>
      </c>
      <c r="D16339" s="330" t="s">
        <v>33600</v>
      </c>
      <c r="E16339" s="330" t="s">
        <v>4634</v>
      </c>
      <c r="F16339" s="331">
        <v>0.21</v>
      </c>
      <c r="G16339" s="332">
        <v>24362</v>
      </c>
      <c r="H16339" s="333">
        <v>29479</v>
      </c>
    </row>
    <row r="16340" spans="1:8">
      <c r="A16340" s="317">
        <v>3607030409</v>
      </c>
      <c r="B16340" s="330" t="s">
        <v>60692</v>
      </c>
      <c r="C16340" s="330" t="s">
        <v>33601</v>
      </c>
      <c r="D16340" s="330" t="s">
        <v>33602</v>
      </c>
      <c r="E16340" s="330" t="s">
        <v>4634</v>
      </c>
      <c r="F16340" s="331">
        <v>0.21</v>
      </c>
      <c r="G16340" s="332">
        <v>43555</v>
      </c>
      <c r="H16340" s="333">
        <v>52702</v>
      </c>
    </row>
    <row r="16341" spans="1:8">
      <c r="A16341" s="317">
        <v>3607030414</v>
      </c>
      <c r="B16341" s="330" t="s">
        <v>60693</v>
      </c>
      <c r="C16341" s="330" t="s">
        <v>33603</v>
      </c>
      <c r="D16341" s="330" t="s">
        <v>33604</v>
      </c>
      <c r="E16341" s="330" t="s">
        <v>4634</v>
      </c>
      <c r="F16341" s="331">
        <v>0.21</v>
      </c>
      <c r="G16341" s="332">
        <v>69227</v>
      </c>
      <c r="H16341" s="333">
        <v>83765</v>
      </c>
    </row>
    <row r="16342" spans="1:8">
      <c r="A16342" s="317">
        <v>3607030418</v>
      </c>
      <c r="B16342" s="330" t="s">
        <v>60694</v>
      </c>
      <c r="C16342" s="330" t="s">
        <v>33605</v>
      </c>
      <c r="D16342" s="330" t="s">
        <v>33606</v>
      </c>
      <c r="E16342" s="330" t="s">
        <v>4623</v>
      </c>
      <c r="F16342" s="331">
        <v>0.21</v>
      </c>
      <c r="G16342" s="332">
        <v>77411</v>
      </c>
      <c r="H16342" s="333">
        <v>93668</v>
      </c>
    </row>
    <row r="16343" spans="1:8">
      <c r="A16343" s="317">
        <v>3607030424</v>
      </c>
      <c r="B16343" s="330" t="s">
        <v>60695</v>
      </c>
      <c r="C16343" s="330" t="s">
        <v>33607</v>
      </c>
      <c r="D16343" s="330" t="s">
        <v>17442</v>
      </c>
      <c r="E16343" s="330" t="s">
        <v>4819</v>
      </c>
      <c r="F16343" s="331">
        <v>0.21</v>
      </c>
      <c r="G16343" s="332">
        <v>203753</v>
      </c>
      <c r="H16343" s="333">
        <v>246542</v>
      </c>
    </row>
    <row r="16344" spans="1:8">
      <c r="A16344" s="317">
        <v>3607030426</v>
      </c>
      <c r="B16344" s="330" t="s">
        <v>60696</v>
      </c>
      <c r="C16344" s="330" t="s">
        <v>33608</v>
      </c>
      <c r="D16344" s="330" t="s">
        <v>33609</v>
      </c>
      <c r="E16344" s="330" t="s">
        <v>4634</v>
      </c>
      <c r="F16344" s="331">
        <v>0.21</v>
      </c>
      <c r="G16344" s="332">
        <v>60304</v>
      </c>
      <c r="H16344" s="333">
        <v>72968</v>
      </c>
    </row>
    <row r="16345" spans="1:8">
      <c r="A16345" s="317">
        <v>3607030427</v>
      </c>
      <c r="B16345" s="330" t="s">
        <v>60697</v>
      </c>
      <c r="C16345" s="330" t="s">
        <v>33610</v>
      </c>
      <c r="D16345" s="330" t="s">
        <v>21250</v>
      </c>
      <c r="E16345" s="330" t="s">
        <v>4634</v>
      </c>
      <c r="F16345" s="331">
        <v>0.21</v>
      </c>
      <c r="G16345" s="332">
        <v>25734</v>
      </c>
      <c r="H16345" s="333">
        <v>31139</v>
      </c>
    </row>
    <row r="16346" spans="1:8">
      <c r="A16346" s="317">
        <v>3607030429</v>
      </c>
      <c r="B16346" s="330" t="s">
        <v>60698</v>
      </c>
      <c r="C16346" s="330" t="s">
        <v>33611</v>
      </c>
      <c r="D16346" s="330" t="s">
        <v>33612</v>
      </c>
      <c r="E16346" s="330" t="s">
        <v>4634</v>
      </c>
      <c r="F16346" s="331">
        <v>0.21</v>
      </c>
      <c r="G16346" s="332">
        <v>97357</v>
      </c>
      <c r="H16346" s="333">
        <v>117802</v>
      </c>
    </row>
    <row r="16347" spans="1:8">
      <c r="A16347" s="317">
        <v>3607030436</v>
      </c>
      <c r="B16347" s="330" t="s">
        <v>60699</v>
      </c>
      <c r="C16347" s="330" t="s">
        <v>33613</v>
      </c>
      <c r="D16347" s="330" t="s">
        <v>33614</v>
      </c>
      <c r="E16347" s="330" t="s">
        <v>4819</v>
      </c>
      <c r="F16347" s="331">
        <v>0.21</v>
      </c>
      <c r="G16347" s="332">
        <v>163457</v>
      </c>
      <c r="H16347" s="333">
        <v>197783</v>
      </c>
    </row>
    <row r="16348" spans="1:8">
      <c r="A16348" s="317">
        <v>3607030438</v>
      </c>
      <c r="B16348" s="330" t="s">
        <v>60700</v>
      </c>
      <c r="C16348" s="330" t="s">
        <v>33615</v>
      </c>
      <c r="D16348" s="330" t="s">
        <v>33616</v>
      </c>
      <c r="E16348" s="330" t="s">
        <v>37248</v>
      </c>
      <c r="F16348" s="331">
        <v>0.21</v>
      </c>
      <c r="G16348" s="332">
        <v>237414</v>
      </c>
      <c r="H16348" s="333">
        <v>287271</v>
      </c>
    </row>
    <row r="16349" spans="1:8">
      <c r="A16349" s="317">
        <v>3607030440</v>
      </c>
      <c r="B16349" s="330" t="s">
        <v>60701</v>
      </c>
      <c r="C16349" s="330" t="s">
        <v>33617</v>
      </c>
      <c r="D16349" s="330" t="s">
        <v>33618</v>
      </c>
      <c r="E16349" s="330" t="s">
        <v>4634</v>
      </c>
      <c r="F16349" s="331">
        <v>0.21</v>
      </c>
      <c r="G16349" s="332">
        <v>161547</v>
      </c>
      <c r="H16349" s="333">
        <v>195472</v>
      </c>
    </row>
    <row r="16350" spans="1:8">
      <c r="A16350" s="317">
        <v>3607030441</v>
      </c>
      <c r="B16350" s="330" t="s">
        <v>60702</v>
      </c>
      <c r="C16350" s="330" t="s">
        <v>33619</v>
      </c>
      <c r="D16350" s="330" t="s">
        <v>33620</v>
      </c>
      <c r="E16350" s="330" t="s">
        <v>4634</v>
      </c>
      <c r="F16350" s="331">
        <v>0.21</v>
      </c>
      <c r="G16350" s="332">
        <v>161547</v>
      </c>
      <c r="H16350" s="333">
        <v>195472</v>
      </c>
    </row>
    <row r="16351" spans="1:8">
      <c r="A16351" s="317">
        <v>3607030442</v>
      </c>
      <c r="B16351" s="330" t="s">
        <v>60703</v>
      </c>
      <c r="C16351" s="330" t="s">
        <v>33621</v>
      </c>
      <c r="D16351" s="330" t="s">
        <v>33622</v>
      </c>
      <c r="E16351" s="330" t="s">
        <v>4634</v>
      </c>
      <c r="F16351" s="331">
        <v>0.21</v>
      </c>
      <c r="G16351" s="332">
        <v>260337</v>
      </c>
      <c r="H16351" s="333">
        <v>315008</v>
      </c>
    </row>
    <row r="16352" spans="1:8">
      <c r="A16352" s="317">
        <v>3607030443</v>
      </c>
      <c r="B16352" s="330" t="s">
        <v>60704</v>
      </c>
      <c r="C16352" s="330" t="s">
        <v>33623</v>
      </c>
      <c r="D16352" s="330" t="s">
        <v>33624</v>
      </c>
      <c r="E16352" s="330" t="s">
        <v>4634</v>
      </c>
      <c r="F16352" s="331">
        <v>0.21</v>
      </c>
      <c r="G16352" s="332">
        <v>972</v>
      </c>
      <c r="H16352" s="333">
        <v>1177</v>
      </c>
    </row>
    <row r="16353" spans="1:8">
      <c r="A16353" s="317">
        <v>3607030467</v>
      </c>
      <c r="B16353" s="330" t="s">
        <v>60705</v>
      </c>
      <c r="C16353" s="330" t="s">
        <v>33625</v>
      </c>
      <c r="D16353" s="330" t="s">
        <v>33626</v>
      </c>
      <c r="E16353" s="330" t="s">
        <v>4634</v>
      </c>
      <c r="F16353" s="331">
        <v>0.21</v>
      </c>
      <c r="G16353" s="332">
        <v>4615</v>
      </c>
      <c r="H16353" s="333">
        <v>5585</v>
      </c>
    </row>
    <row r="16354" spans="1:8">
      <c r="A16354" s="317">
        <v>3607030469</v>
      </c>
      <c r="B16354" s="330" t="s">
        <v>60706</v>
      </c>
      <c r="C16354" s="330" t="s">
        <v>33627</v>
      </c>
      <c r="D16354" s="330" t="s">
        <v>33628</v>
      </c>
      <c r="E16354" s="330" t="s">
        <v>4623</v>
      </c>
      <c r="F16354" s="331">
        <v>0.21</v>
      </c>
      <c r="G16354" s="332">
        <v>71295</v>
      </c>
      <c r="H16354" s="333">
        <v>86267</v>
      </c>
    </row>
    <row r="16355" spans="1:8">
      <c r="A16355" s="317">
        <v>3607030471</v>
      </c>
      <c r="B16355" s="330" t="s">
        <v>60707</v>
      </c>
      <c r="C16355" s="330" t="s">
        <v>33629</v>
      </c>
      <c r="D16355" s="330" t="s">
        <v>33630</v>
      </c>
      <c r="E16355" s="330" t="s">
        <v>4634</v>
      </c>
      <c r="F16355" s="331">
        <v>0.21</v>
      </c>
      <c r="G16355" s="332">
        <v>47744</v>
      </c>
      <c r="H16355" s="333">
        <v>57771</v>
      </c>
    </row>
    <row r="16356" spans="1:8">
      <c r="A16356" s="317">
        <v>3607030472</v>
      </c>
      <c r="B16356" s="330" t="s">
        <v>60708</v>
      </c>
      <c r="C16356" s="330" t="s">
        <v>33631</v>
      </c>
      <c r="D16356" s="330" t="s">
        <v>33632</v>
      </c>
      <c r="E16356" s="330" t="s">
        <v>4634</v>
      </c>
      <c r="F16356" s="331">
        <v>0.21</v>
      </c>
      <c r="G16356" s="332">
        <v>13351</v>
      </c>
      <c r="H16356" s="333">
        <v>16155</v>
      </c>
    </row>
    <row r="16357" spans="1:8">
      <c r="A16357" s="317">
        <v>3607030474</v>
      </c>
      <c r="B16357" s="330" t="s">
        <v>60709</v>
      </c>
      <c r="C16357" s="330" t="s">
        <v>33633</v>
      </c>
      <c r="D16357" s="330" t="s">
        <v>33634</v>
      </c>
      <c r="E16357" s="330" t="s">
        <v>37248</v>
      </c>
      <c r="F16357" s="331">
        <v>0.21</v>
      </c>
      <c r="G16357" s="332">
        <v>25211</v>
      </c>
      <c r="H16357" s="333">
        <v>30506</v>
      </c>
    </row>
    <row r="16358" spans="1:8">
      <c r="A16358" s="317">
        <v>3607030475</v>
      </c>
      <c r="B16358" s="330" t="s">
        <v>60710</v>
      </c>
      <c r="C16358" s="330" t="s">
        <v>33635</v>
      </c>
      <c r="D16358" s="330" t="s">
        <v>33636</v>
      </c>
      <c r="E16358" s="330" t="s">
        <v>37248</v>
      </c>
      <c r="F16358" s="331">
        <v>0.21</v>
      </c>
      <c r="G16358" s="332">
        <v>68167</v>
      </c>
      <c r="H16358" s="333">
        <v>82483</v>
      </c>
    </row>
    <row r="16359" spans="1:8">
      <c r="A16359" s="317">
        <v>3607030488</v>
      </c>
      <c r="B16359" s="330" t="s">
        <v>60711</v>
      </c>
      <c r="C16359" s="330" t="s">
        <v>33637</v>
      </c>
      <c r="D16359" s="330" t="s">
        <v>33638</v>
      </c>
      <c r="E16359" s="330" t="s">
        <v>4634</v>
      </c>
      <c r="F16359" s="331">
        <v>0.21</v>
      </c>
      <c r="G16359" s="332">
        <v>8327</v>
      </c>
      <c r="H16359" s="333">
        <v>10076</v>
      </c>
    </row>
    <row r="16360" spans="1:8">
      <c r="A16360" s="317">
        <v>3607030490</v>
      </c>
      <c r="B16360" s="330" t="s">
        <v>60712</v>
      </c>
      <c r="C16360" s="330" t="s">
        <v>33639</v>
      </c>
      <c r="D16360" s="330" t="s">
        <v>33640</v>
      </c>
      <c r="E16360" s="330" t="s">
        <v>4634</v>
      </c>
      <c r="F16360" s="331">
        <v>0.21</v>
      </c>
      <c r="G16360" s="332">
        <v>11439</v>
      </c>
      <c r="H16360" s="333">
        <v>13842</v>
      </c>
    </row>
    <row r="16361" spans="1:8">
      <c r="A16361" s="317">
        <v>3607030492</v>
      </c>
      <c r="B16361" s="330" t="s">
        <v>60713</v>
      </c>
      <c r="C16361" s="330" t="s">
        <v>33641</v>
      </c>
      <c r="D16361" s="330" t="s">
        <v>33642</v>
      </c>
      <c r="E16361" s="330" t="s">
        <v>4634</v>
      </c>
      <c r="F16361" s="331">
        <v>0.21</v>
      </c>
      <c r="G16361" s="332">
        <v>51562</v>
      </c>
      <c r="H16361" s="333">
        <v>62391</v>
      </c>
    </row>
    <row r="16362" spans="1:8">
      <c r="A16362" s="317">
        <v>3607030494</v>
      </c>
      <c r="B16362" s="330" t="s">
        <v>60714</v>
      </c>
      <c r="C16362" s="330" t="s">
        <v>33643</v>
      </c>
      <c r="D16362" s="330" t="s">
        <v>33644</v>
      </c>
      <c r="E16362" s="330" t="s">
        <v>4819</v>
      </c>
      <c r="F16362" s="331">
        <v>0.21</v>
      </c>
      <c r="G16362" s="332">
        <v>6562</v>
      </c>
      <c r="H16362" s="333">
        <v>7941</v>
      </c>
    </row>
    <row r="16363" spans="1:8">
      <c r="A16363" s="317">
        <v>3607031142</v>
      </c>
      <c r="B16363" s="330" t="s">
        <v>60715</v>
      </c>
      <c r="C16363" s="330" t="s">
        <v>33645</v>
      </c>
      <c r="D16363" s="330" t="s">
        <v>33646</v>
      </c>
      <c r="E16363" s="330" t="s">
        <v>4634</v>
      </c>
      <c r="F16363" s="331">
        <v>0.21</v>
      </c>
      <c r="G16363" s="332">
        <v>97357</v>
      </c>
      <c r="H16363" s="333">
        <v>117802</v>
      </c>
    </row>
    <row r="16364" spans="1:8">
      <c r="A16364" s="317">
        <v>3607031143</v>
      </c>
      <c r="B16364" s="330" t="s">
        <v>60716</v>
      </c>
      <c r="C16364" s="330" t="s">
        <v>33647</v>
      </c>
      <c r="D16364" s="330" t="s">
        <v>33648</v>
      </c>
      <c r="E16364" s="330" t="s">
        <v>4634</v>
      </c>
      <c r="F16364" s="331">
        <v>0.21</v>
      </c>
      <c r="G16364" s="332">
        <v>83975</v>
      </c>
      <c r="H16364" s="333">
        <v>101610</v>
      </c>
    </row>
    <row r="16365" spans="1:8">
      <c r="A16365" s="317">
        <v>3607031146</v>
      </c>
      <c r="B16365" s="330" t="s">
        <v>60717</v>
      </c>
      <c r="C16365" s="330" t="s">
        <v>33649</v>
      </c>
      <c r="D16365" s="330" t="s">
        <v>33650</v>
      </c>
      <c r="E16365" s="330" t="s">
        <v>4634</v>
      </c>
      <c r="F16365" s="331">
        <v>0.21</v>
      </c>
      <c r="G16365" s="332">
        <v>26168</v>
      </c>
      <c r="H16365" s="333">
        <v>31664</v>
      </c>
    </row>
    <row r="16366" spans="1:8">
      <c r="A16366" s="317">
        <v>3607031147</v>
      </c>
      <c r="B16366" s="330" t="s">
        <v>60718</v>
      </c>
      <c r="C16366" s="330" t="s">
        <v>33651</v>
      </c>
      <c r="D16366" s="330" t="s">
        <v>33567</v>
      </c>
      <c r="E16366" s="330" t="s">
        <v>4634</v>
      </c>
      <c r="F16366" s="331">
        <v>0.21</v>
      </c>
      <c r="G16366" s="332">
        <v>8336</v>
      </c>
      <c r="H16366" s="333">
        <v>10087</v>
      </c>
    </row>
    <row r="16367" spans="1:8">
      <c r="A16367" s="317">
        <v>3607031159</v>
      </c>
      <c r="B16367" s="330" t="s">
        <v>60719</v>
      </c>
      <c r="C16367" s="330" t="s">
        <v>33652</v>
      </c>
      <c r="D16367" s="330" t="s">
        <v>33653</v>
      </c>
      <c r="E16367" s="330" t="s">
        <v>4634</v>
      </c>
      <c r="F16367" s="331">
        <v>0.21</v>
      </c>
      <c r="G16367" s="332">
        <v>52601</v>
      </c>
      <c r="H16367" s="333">
        <v>63648</v>
      </c>
    </row>
    <row r="16368" spans="1:8">
      <c r="A16368" s="317">
        <v>3607031168</v>
      </c>
      <c r="B16368" s="330" t="s">
        <v>60720</v>
      </c>
      <c r="C16368" s="330" t="s">
        <v>33654</v>
      </c>
      <c r="D16368" s="330" t="s">
        <v>33655</v>
      </c>
      <c r="E16368" s="330" t="s">
        <v>4634</v>
      </c>
      <c r="F16368" s="331">
        <v>0.21</v>
      </c>
      <c r="G16368" s="332">
        <v>59985</v>
      </c>
      <c r="H16368" s="333">
        <v>72582</v>
      </c>
    </row>
    <row r="16369" spans="1:8">
      <c r="A16369" s="317">
        <v>3607031182</v>
      </c>
      <c r="B16369" s="330" t="s">
        <v>60721</v>
      </c>
      <c r="C16369" s="330" t="s">
        <v>33656</v>
      </c>
      <c r="D16369" s="330" t="s">
        <v>33657</v>
      </c>
      <c r="E16369" s="330" t="s">
        <v>4634</v>
      </c>
      <c r="F16369" s="331">
        <v>0.21</v>
      </c>
      <c r="G16369" s="332">
        <v>37838</v>
      </c>
      <c r="H16369" s="333">
        <v>45784</v>
      </c>
    </row>
    <row r="16370" spans="1:8">
      <c r="A16370" s="317">
        <v>3607031199</v>
      </c>
      <c r="B16370" s="330" t="s">
        <v>60722</v>
      </c>
      <c r="C16370" s="330" t="s">
        <v>33658</v>
      </c>
      <c r="D16370" s="330" t="s">
        <v>33659</v>
      </c>
      <c r="E16370" s="330" t="s">
        <v>4634</v>
      </c>
      <c r="F16370" s="331">
        <v>0.21</v>
      </c>
      <c r="G16370" s="332">
        <v>9676</v>
      </c>
      <c r="H16370" s="333">
        <v>11708</v>
      </c>
    </row>
    <row r="16371" spans="1:8">
      <c r="A16371" s="317">
        <v>3607031201</v>
      </c>
      <c r="B16371" s="330" t="s">
        <v>60723</v>
      </c>
      <c r="C16371" s="330" t="s">
        <v>33660</v>
      </c>
      <c r="D16371" s="330" t="s">
        <v>33661</v>
      </c>
      <c r="E16371" s="330" t="s">
        <v>4634</v>
      </c>
      <c r="F16371" s="331">
        <v>0.21</v>
      </c>
      <c r="G16371" s="332">
        <v>6219</v>
      </c>
      <c r="H16371" s="333">
        <v>7525</v>
      </c>
    </row>
    <row r="16372" spans="1:8">
      <c r="A16372" s="317">
        <v>3607031206</v>
      </c>
      <c r="B16372" s="330" t="s">
        <v>60724</v>
      </c>
      <c r="C16372" s="330" t="s">
        <v>33662</v>
      </c>
      <c r="D16372" s="330" t="s">
        <v>33663</v>
      </c>
      <c r="E16372" s="330" t="s">
        <v>4634</v>
      </c>
      <c r="F16372" s="331">
        <v>0.21</v>
      </c>
      <c r="G16372" s="332">
        <v>9128</v>
      </c>
      <c r="H16372" s="333">
        <v>11045</v>
      </c>
    </row>
    <row r="16373" spans="1:8">
      <c r="A16373" s="317">
        <v>3607031207</v>
      </c>
      <c r="B16373" s="330" t="s">
        <v>60725</v>
      </c>
      <c r="C16373" s="330" t="s">
        <v>33664</v>
      </c>
      <c r="D16373" s="330" t="s">
        <v>33665</v>
      </c>
      <c r="E16373" s="330" t="s">
        <v>4634</v>
      </c>
      <c r="F16373" s="331">
        <v>0.21</v>
      </c>
      <c r="G16373" s="332">
        <v>5344</v>
      </c>
      <c r="H16373" s="333">
        <v>6467</v>
      </c>
    </row>
    <row r="16374" spans="1:8">
      <c r="A16374" s="317">
        <v>3607031208</v>
      </c>
      <c r="B16374" s="330" t="s">
        <v>60726</v>
      </c>
      <c r="C16374" s="330" t="s">
        <v>33666</v>
      </c>
      <c r="D16374" s="330" t="s">
        <v>33667</v>
      </c>
      <c r="E16374" s="330" t="s">
        <v>4634</v>
      </c>
      <c r="F16374" s="331">
        <v>0.21</v>
      </c>
      <c r="G16374" s="332">
        <v>4432</v>
      </c>
      <c r="H16374" s="333">
        <v>5363</v>
      </c>
    </row>
    <row r="16375" spans="1:8">
      <c r="A16375" s="317">
        <v>3607031288</v>
      </c>
      <c r="B16375" s="330" t="s">
        <v>60727</v>
      </c>
      <c r="C16375" s="330" t="s">
        <v>33668</v>
      </c>
      <c r="D16375" s="330" t="s">
        <v>33669</v>
      </c>
      <c r="E16375" s="330" t="s">
        <v>4634</v>
      </c>
      <c r="F16375" s="331">
        <v>0.21</v>
      </c>
      <c r="G16375" s="332">
        <v>31859</v>
      </c>
      <c r="H16375" s="333">
        <v>38550</v>
      </c>
    </row>
    <row r="16376" spans="1:8">
      <c r="A16376" s="317">
        <v>3607031289</v>
      </c>
      <c r="B16376" s="330" t="s">
        <v>60728</v>
      </c>
      <c r="C16376" s="330" t="s">
        <v>33670</v>
      </c>
      <c r="D16376" s="330" t="s">
        <v>33671</v>
      </c>
      <c r="E16376" s="330" t="s">
        <v>4634</v>
      </c>
      <c r="F16376" s="331">
        <v>0.21</v>
      </c>
      <c r="G16376" s="332">
        <v>124579</v>
      </c>
      <c r="H16376" s="333">
        <v>150741</v>
      </c>
    </row>
    <row r="16377" spans="1:8">
      <c r="A16377" s="317">
        <v>3607031290</v>
      </c>
      <c r="B16377" s="330" t="s">
        <v>60729</v>
      </c>
      <c r="C16377" s="330" t="s">
        <v>33672</v>
      </c>
      <c r="D16377" s="330" t="s">
        <v>33673</v>
      </c>
      <c r="E16377" s="330" t="s">
        <v>4634</v>
      </c>
      <c r="F16377" s="331">
        <v>0.21</v>
      </c>
      <c r="G16377" s="332">
        <v>31859</v>
      </c>
      <c r="H16377" s="333">
        <v>38550</v>
      </c>
    </row>
    <row r="16378" spans="1:8">
      <c r="A16378" s="317">
        <v>3607031291</v>
      </c>
      <c r="B16378" s="330" t="s">
        <v>60730</v>
      </c>
      <c r="C16378" s="330" t="s">
        <v>33674</v>
      </c>
      <c r="D16378" s="330" t="s">
        <v>33675</v>
      </c>
      <c r="E16378" s="330" t="s">
        <v>4634</v>
      </c>
      <c r="F16378" s="331">
        <v>0.21</v>
      </c>
      <c r="G16378" s="332">
        <v>97357</v>
      </c>
      <c r="H16378" s="333">
        <v>117802</v>
      </c>
    </row>
    <row r="16379" spans="1:8">
      <c r="A16379" s="317">
        <v>3607031292</v>
      </c>
      <c r="B16379" s="330" t="s">
        <v>60731</v>
      </c>
      <c r="C16379" s="330" t="s">
        <v>33676</v>
      </c>
      <c r="D16379" s="330" t="s">
        <v>33677</v>
      </c>
      <c r="E16379" s="330" t="s">
        <v>4634</v>
      </c>
      <c r="F16379" s="331">
        <v>0.21</v>
      </c>
      <c r="G16379" s="332">
        <v>42770</v>
      </c>
      <c r="H16379" s="333">
        <v>51752</v>
      </c>
    </row>
    <row r="16380" spans="1:8">
      <c r="A16380" s="317">
        <v>3607031296</v>
      </c>
      <c r="B16380" s="330" t="s">
        <v>60732</v>
      </c>
      <c r="C16380" s="330" t="s">
        <v>33678</v>
      </c>
      <c r="D16380" s="330" t="s">
        <v>33679</v>
      </c>
      <c r="E16380" s="330" t="s">
        <v>4634</v>
      </c>
      <c r="F16380" s="331">
        <v>0.21</v>
      </c>
      <c r="G16380" s="332">
        <v>3421</v>
      </c>
      <c r="H16380" s="333">
        <v>4140</v>
      </c>
    </row>
    <row r="16381" spans="1:8">
      <c r="A16381" s="317">
        <v>3607031297</v>
      </c>
      <c r="B16381" s="330" t="s">
        <v>60733</v>
      </c>
      <c r="C16381" s="330" t="s">
        <v>33680</v>
      </c>
      <c r="D16381" s="330" t="s">
        <v>33681</v>
      </c>
      <c r="E16381" s="330" t="s">
        <v>4634</v>
      </c>
      <c r="F16381" s="331">
        <v>0.21</v>
      </c>
      <c r="G16381" s="332">
        <v>9166</v>
      </c>
      <c r="H16381" s="333">
        <v>11091</v>
      </c>
    </row>
    <row r="16382" spans="1:8">
      <c r="A16382" s="317">
        <v>3607031298</v>
      </c>
      <c r="B16382" s="330" t="s">
        <v>60734</v>
      </c>
      <c r="C16382" s="330" t="s">
        <v>33682</v>
      </c>
      <c r="D16382" s="330" t="s">
        <v>33683</v>
      </c>
      <c r="E16382" s="330" t="s">
        <v>4819</v>
      </c>
      <c r="F16382" s="331">
        <v>0.21</v>
      </c>
      <c r="G16382" s="332">
        <v>94134</v>
      </c>
      <c r="H16382" s="333">
        <v>113903</v>
      </c>
    </row>
    <row r="16383" spans="1:8">
      <c r="A16383" s="317">
        <v>3607031299</v>
      </c>
      <c r="B16383" s="330" t="s">
        <v>60735</v>
      </c>
      <c r="C16383" s="330" t="s">
        <v>33684</v>
      </c>
      <c r="D16383" s="330" t="s">
        <v>33685</v>
      </c>
      <c r="E16383" s="330" t="s">
        <v>4634</v>
      </c>
      <c r="F16383" s="331">
        <v>0.21</v>
      </c>
      <c r="G16383" s="332">
        <v>1692</v>
      </c>
      <c r="H16383" s="333">
        <v>2048</v>
      </c>
    </row>
    <row r="16384" spans="1:8">
      <c r="A16384" s="317">
        <v>3607031322</v>
      </c>
      <c r="B16384" s="330" t="s">
        <v>60736</v>
      </c>
      <c r="C16384" s="330" t="s">
        <v>33686</v>
      </c>
      <c r="D16384" s="330" t="s">
        <v>33687</v>
      </c>
      <c r="E16384" s="330" t="s">
        <v>4634</v>
      </c>
      <c r="F16384" s="331">
        <v>0.21</v>
      </c>
      <c r="G16384" s="332">
        <v>16114</v>
      </c>
      <c r="H16384" s="333">
        <v>19498</v>
      </c>
    </row>
    <row r="16385" spans="1:8">
      <c r="A16385" s="317">
        <v>3607031335</v>
      </c>
      <c r="B16385" s="330" t="s">
        <v>60737</v>
      </c>
      <c r="C16385" s="330" t="s">
        <v>33688</v>
      </c>
      <c r="D16385" s="330" t="s">
        <v>33689</v>
      </c>
      <c r="E16385" s="330" t="s">
        <v>4634</v>
      </c>
      <c r="F16385" s="331">
        <v>0.21</v>
      </c>
      <c r="G16385" s="332">
        <v>26847</v>
      </c>
      <c r="H16385" s="333">
        <v>32485</v>
      </c>
    </row>
    <row r="16386" spans="1:8">
      <c r="A16386" s="317">
        <v>3607031336</v>
      </c>
      <c r="B16386" s="330" t="s">
        <v>60738</v>
      </c>
      <c r="C16386" s="330" t="s">
        <v>33690</v>
      </c>
      <c r="D16386" s="330" t="s">
        <v>33691</v>
      </c>
      <c r="E16386" s="330" t="s">
        <v>4634</v>
      </c>
      <c r="F16386" s="331">
        <v>0.21</v>
      </c>
      <c r="G16386" s="332">
        <v>9331</v>
      </c>
      <c r="H16386" s="333">
        <v>11291</v>
      </c>
    </row>
    <row r="16387" spans="1:8">
      <c r="A16387" s="317">
        <v>3607031342</v>
      </c>
      <c r="B16387" s="330" t="s">
        <v>60739</v>
      </c>
      <c r="C16387" s="330" t="s">
        <v>33692</v>
      </c>
      <c r="D16387" s="330" t="s">
        <v>33693</v>
      </c>
      <c r="E16387" s="330" t="s">
        <v>4819</v>
      </c>
      <c r="F16387" s="331">
        <v>0.21</v>
      </c>
      <c r="G16387" s="332">
        <v>66414</v>
      </c>
      <c r="H16387" s="333">
        <v>80361</v>
      </c>
    </row>
    <row r="16388" spans="1:8">
      <c r="A16388" s="317">
        <v>3607031343</v>
      </c>
      <c r="B16388" s="330" t="s">
        <v>60740</v>
      </c>
      <c r="C16388" s="330" t="s">
        <v>33694</v>
      </c>
      <c r="D16388" s="330" t="s">
        <v>33229</v>
      </c>
      <c r="E16388" s="330" t="s">
        <v>4634</v>
      </c>
      <c r="F16388" s="331">
        <v>0.21</v>
      </c>
      <c r="G16388" s="332">
        <v>11439</v>
      </c>
      <c r="H16388" s="333">
        <v>13842</v>
      </c>
    </row>
    <row r="16389" spans="1:8">
      <c r="A16389" s="317">
        <v>3607031344</v>
      </c>
      <c r="B16389" s="330" t="s">
        <v>60741</v>
      </c>
      <c r="C16389" s="330" t="s">
        <v>33695</v>
      </c>
      <c r="D16389" s="330" t="s">
        <v>33696</v>
      </c>
      <c r="E16389" s="330" t="s">
        <v>4634</v>
      </c>
      <c r="F16389" s="331">
        <v>0.21</v>
      </c>
      <c r="G16389" s="332">
        <v>17245</v>
      </c>
      <c r="H16389" s="333">
        <v>20867</v>
      </c>
    </row>
    <row r="16390" spans="1:8">
      <c r="A16390" s="317">
        <v>3607031346</v>
      </c>
      <c r="B16390" s="330" t="s">
        <v>60742</v>
      </c>
      <c r="C16390" s="330" t="s">
        <v>33697</v>
      </c>
      <c r="D16390" s="330" t="s">
        <v>33698</v>
      </c>
      <c r="E16390" s="330" t="s">
        <v>4623</v>
      </c>
      <c r="F16390" s="331">
        <v>0.21</v>
      </c>
      <c r="G16390" s="332">
        <v>54709</v>
      </c>
      <c r="H16390" s="333">
        <v>66198</v>
      </c>
    </row>
    <row r="16391" spans="1:8">
      <c r="A16391" s="317">
        <v>3607031534</v>
      </c>
      <c r="B16391" s="330" t="s">
        <v>60743</v>
      </c>
      <c r="C16391" s="330" t="s">
        <v>33699</v>
      </c>
      <c r="D16391" s="330" t="s">
        <v>33700</v>
      </c>
      <c r="E16391" s="330" t="s">
        <v>4634</v>
      </c>
      <c r="F16391" s="331">
        <v>0.21</v>
      </c>
      <c r="G16391" s="332">
        <v>83749</v>
      </c>
      <c r="H16391" s="333">
        <v>101337</v>
      </c>
    </row>
    <row r="16392" spans="1:8">
      <c r="A16392" s="317">
        <v>3607031535</v>
      </c>
      <c r="B16392" s="330" t="s">
        <v>60744</v>
      </c>
      <c r="C16392" s="330" t="s">
        <v>33701</v>
      </c>
      <c r="D16392" s="330" t="s">
        <v>33702</v>
      </c>
      <c r="E16392" s="330" t="s">
        <v>4634</v>
      </c>
      <c r="F16392" s="331">
        <v>0.21</v>
      </c>
      <c r="G16392" s="332">
        <v>125277</v>
      </c>
      <c r="H16392" s="333">
        <v>151586</v>
      </c>
    </row>
    <row r="16393" spans="1:8">
      <c r="A16393" s="317">
        <v>3607031537</v>
      </c>
      <c r="B16393" s="330" t="s">
        <v>60745</v>
      </c>
      <c r="C16393" s="330" t="s">
        <v>33703</v>
      </c>
      <c r="D16393" s="330" t="s">
        <v>33704</v>
      </c>
      <c r="E16393" s="330" t="s">
        <v>4634</v>
      </c>
      <c r="F16393" s="331">
        <v>0.21</v>
      </c>
      <c r="G16393" s="332">
        <v>3464</v>
      </c>
      <c r="H16393" s="333">
        <v>4192</v>
      </c>
    </row>
    <row r="16394" spans="1:8">
      <c r="A16394" s="317">
        <v>3607031538</v>
      </c>
      <c r="B16394" s="330" t="s">
        <v>60746</v>
      </c>
      <c r="C16394" s="330" t="s">
        <v>33705</v>
      </c>
      <c r="D16394" s="330" t="s">
        <v>33706</v>
      </c>
      <c r="E16394" s="330" t="s">
        <v>4634</v>
      </c>
      <c r="F16394" s="331">
        <v>0.21</v>
      </c>
      <c r="G16394" s="332">
        <v>15343</v>
      </c>
      <c r="H16394" s="333">
        <v>18566</v>
      </c>
    </row>
    <row r="16395" spans="1:8">
      <c r="A16395" s="317">
        <v>3607031545</v>
      </c>
      <c r="B16395" s="330" t="s">
        <v>60747</v>
      </c>
      <c r="C16395" s="330" t="s">
        <v>33707</v>
      </c>
      <c r="D16395" s="330" t="s">
        <v>33665</v>
      </c>
      <c r="E16395" s="330" t="s">
        <v>4634</v>
      </c>
      <c r="F16395" s="331">
        <v>0.21</v>
      </c>
      <c r="G16395" s="332">
        <v>15233</v>
      </c>
      <c r="H16395" s="333">
        <v>18432</v>
      </c>
    </row>
    <row r="16396" spans="1:8">
      <c r="A16396" s="317">
        <v>3607031546</v>
      </c>
      <c r="B16396" s="330" t="s">
        <v>60748</v>
      </c>
      <c r="C16396" s="330" t="s">
        <v>33708</v>
      </c>
      <c r="D16396" s="330" t="s">
        <v>33709</v>
      </c>
      <c r="E16396" s="330" t="s">
        <v>4634</v>
      </c>
      <c r="F16396" s="331">
        <v>0.21</v>
      </c>
      <c r="G16396" s="332">
        <v>28587</v>
      </c>
      <c r="H16396" s="333">
        <v>34591</v>
      </c>
    </row>
    <row r="16397" spans="1:8">
      <c r="A16397" s="317">
        <v>3607031547</v>
      </c>
      <c r="B16397" s="330" t="s">
        <v>60749</v>
      </c>
      <c r="C16397" s="330" t="s">
        <v>33710</v>
      </c>
      <c r="D16397" s="330" t="s">
        <v>33711</v>
      </c>
      <c r="E16397" s="330" t="s">
        <v>4634</v>
      </c>
      <c r="F16397" s="331">
        <v>0.21</v>
      </c>
      <c r="G16397" s="332">
        <v>1371</v>
      </c>
      <c r="H16397" s="333">
        <v>1659</v>
      </c>
    </row>
    <row r="16398" spans="1:8">
      <c r="A16398" s="317">
        <v>3607031550</v>
      </c>
      <c r="B16398" s="330" t="s">
        <v>60750</v>
      </c>
      <c r="C16398" s="330" t="s">
        <v>33712</v>
      </c>
      <c r="D16398" s="330" t="s">
        <v>33713</v>
      </c>
      <c r="E16398" s="330" t="s">
        <v>4819</v>
      </c>
      <c r="F16398" s="331">
        <v>0.21</v>
      </c>
      <c r="G16398" s="332">
        <v>12072</v>
      </c>
      <c r="H16398" s="333">
        <v>14608</v>
      </c>
    </row>
    <row r="16399" spans="1:8">
      <c r="A16399" s="317">
        <v>3607031551</v>
      </c>
      <c r="B16399" s="330" t="s">
        <v>60751</v>
      </c>
      <c r="C16399" s="330" t="s">
        <v>33714</v>
      </c>
      <c r="D16399" s="330" t="s">
        <v>33715</v>
      </c>
      <c r="E16399" s="330" t="s">
        <v>4634</v>
      </c>
      <c r="F16399" s="331">
        <v>0.21</v>
      </c>
      <c r="G16399" s="332">
        <v>8336</v>
      </c>
      <c r="H16399" s="333">
        <v>10087</v>
      </c>
    </row>
    <row r="16400" spans="1:8">
      <c r="A16400" s="317">
        <v>3607031552</v>
      </c>
      <c r="B16400" s="330" t="s">
        <v>60752</v>
      </c>
      <c r="C16400" s="330" t="s">
        <v>33716</v>
      </c>
      <c r="D16400" s="330" t="s">
        <v>33717</v>
      </c>
      <c r="E16400" s="330" t="s">
        <v>4634</v>
      </c>
      <c r="F16400" s="331">
        <v>0.21</v>
      </c>
      <c r="G16400" s="332">
        <v>18435</v>
      </c>
      <c r="H16400" s="333">
        <v>22307</v>
      </c>
    </row>
    <row r="16401" spans="1:8">
      <c r="A16401" s="317">
        <v>3607031553</v>
      </c>
      <c r="B16401" s="330" t="s">
        <v>60753</v>
      </c>
      <c r="C16401" s="330" t="s">
        <v>33718</v>
      </c>
      <c r="D16401" s="330" t="s">
        <v>33719</v>
      </c>
      <c r="E16401" s="330" t="s">
        <v>4634</v>
      </c>
      <c r="F16401" s="331">
        <v>0.21</v>
      </c>
      <c r="G16401" s="332">
        <v>9143</v>
      </c>
      <c r="H16401" s="333">
        <v>11064</v>
      </c>
    </row>
    <row r="16402" spans="1:8">
      <c r="A16402" s="317">
        <v>3607031555</v>
      </c>
      <c r="B16402" s="330" t="s">
        <v>60754</v>
      </c>
      <c r="C16402" s="330" t="s">
        <v>33720</v>
      </c>
      <c r="D16402" s="330" t="s">
        <v>33721</v>
      </c>
      <c r="E16402" s="330" t="s">
        <v>4634</v>
      </c>
      <c r="F16402" s="331">
        <v>0.21</v>
      </c>
      <c r="G16402" s="332">
        <v>9166</v>
      </c>
      <c r="H16402" s="333">
        <v>11091</v>
      </c>
    </row>
    <row r="16403" spans="1:8">
      <c r="A16403" s="317">
        <v>3607031564</v>
      </c>
      <c r="B16403" s="330" t="s">
        <v>60755</v>
      </c>
      <c r="C16403" s="330" t="s">
        <v>33722</v>
      </c>
      <c r="D16403" s="330" t="s">
        <v>33723</v>
      </c>
      <c r="E16403" s="330" t="s">
        <v>4634</v>
      </c>
      <c r="F16403" s="331">
        <v>0.21</v>
      </c>
      <c r="G16403" s="332">
        <v>19561</v>
      </c>
      <c r="H16403" s="333">
        <v>23669</v>
      </c>
    </row>
    <row r="16404" spans="1:8">
      <c r="A16404" s="317">
        <v>3607031566</v>
      </c>
      <c r="B16404" s="330" t="s">
        <v>60756</v>
      </c>
      <c r="C16404" s="330" t="s">
        <v>33724</v>
      </c>
      <c r="D16404" s="330" t="s">
        <v>33725</v>
      </c>
      <c r="E16404" s="330" t="s">
        <v>4634</v>
      </c>
      <c r="F16404" s="331">
        <v>0.21</v>
      </c>
      <c r="G16404" s="332">
        <v>9215</v>
      </c>
      <c r="H16404" s="333">
        <v>11151</v>
      </c>
    </row>
    <row r="16405" spans="1:8">
      <c r="A16405" s="317">
        <v>3607031567</v>
      </c>
      <c r="B16405" s="330" t="s">
        <v>60757</v>
      </c>
      <c r="C16405" s="330" t="s">
        <v>33726</v>
      </c>
      <c r="D16405" s="330" t="s">
        <v>33727</v>
      </c>
      <c r="E16405" s="330" t="s">
        <v>4623</v>
      </c>
      <c r="F16405" s="331">
        <v>0.21</v>
      </c>
      <c r="G16405" s="332">
        <v>231843</v>
      </c>
      <c r="H16405" s="333">
        <v>280531</v>
      </c>
    </row>
    <row r="16406" spans="1:8">
      <c r="A16406" s="317">
        <v>3607031568</v>
      </c>
      <c r="B16406" s="330" t="s">
        <v>60758</v>
      </c>
      <c r="C16406" s="330" t="s">
        <v>33728</v>
      </c>
      <c r="D16406" s="330" t="s">
        <v>33709</v>
      </c>
      <c r="E16406" s="330" t="s">
        <v>4634</v>
      </c>
      <c r="F16406" s="331">
        <v>0.21</v>
      </c>
      <c r="G16406" s="332">
        <v>66313</v>
      </c>
      <c r="H16406" s="333">
        <v>80239</v>
      </c>
    </row>
    <row r="16407" spans="1:8">
      <c r="A16407" s="317">
        <v>3607031570</v>
      </c>
      <c r="B16407" s="330" t="s">
        <v>60759</v>
      </c>
      <c r="C16407" s="330" t="s">
        <v>33729</v>
      </c>
      <c r="D16407" s="330" t="s">
        <v>33730</v>
      </c>
      <c r="E16407" s="330" t="s">
        <v>4634</v>
      </c>
      <c r="F16407" s="331">
        <v>0.21</v>
      </c>
      <c r="G16407" s="332">
        <v>25675</v>
      </c>
      <c r="H16407" s="333">
        <v>31067</v>
      </c>
    </row>
    <row r="16408" spans="1:8">
      <c r="A16408" s="317">
        <v>3607031571</v>
      </c>
      <c r="B16408" s="330" t="s">
        <v>60760</v>
      </c>
      <c r="C16408" s="330" t="s">
        <v>33731</v>
      </c>
      <c r="D16408" s="330" t="s">
        <v>33732</v>
      </c>
      <c r="E16408" s="330" t="s">
        <v>4634</v>
      </c>
      <c r="F16408" s="331">
        <v>0.21</v>
      </c>
      <c r="G16408" s="332">
        <v>52601</v>
      </c>
      <c r="H16408" s="333">
        <v>63648</v>
      </c>
    </row>
    <row r="16409" spans="1:8">
      <c r="A16409" s="317">
        <v>3607031576</v>
      </c>
      <c r="B16409" s="330" t="s">
        <v>60761</v>
      </c>
      <c r="C16409" s="330" t="s">
        <v>33733</v>
      </c>
      <c r="D16409" s="330" t="s">
        <v>33709</v>
      </c>
      <c r="E16409" s="330" t="s">
        <v>4623</v>
      </c>
      <c r="F16409" s="331">
        <v>0.21</v>
      </c>
      <c r="G16409" s="332">
        <v>96551</v>
      </c>
      <c r="H16409" s="333">
        <v>116827</v>
      </c>
    </row>
    <row r="16410" spans="1:8">
      <c r="A16410" s="317">
        <v>3607031578</v>
      </c>
      <c r="B16410" s="330" t="s">
        <v>60762</v>
      </c>
      <c r="C16410" s="330" t="s">
        <v>33734</v>
      </c>
      <c r="D16410" s="330" t="s">
        <v>33735</v>
      </c>
      <c r="E16410" s="330" t="s">
        <v>4819</v>
      </c>
      <c r="F16410" s="331">
        <v>0.21</v>
      </c>
      <c r="G16410" s="332">
        <v>168877</v>
      </c>
      <c r="H16410" s="333">
        <v>204342</v>
      </c>
    </row>
    <row r="16411" spans="1:8">
      <c r="A16411" s="317">
        <v>3607031579</v>
      </c>
      <c r="B16411" s="330" t="s">
        <v>60763</v>
      </c>
      <c r="C16411" s="330" t="s">
        <v>33736</v>
      </c>
      <c r="D16411" s="330" t="s">
        <v>33737</v>
      </c>
      <c r="E16411" s="330" t="s">
        <v>4634</v>
      </c>
      <c r="F16411" s="331">
        <v>0.21</v>
      </c>
      <c r="G16411" s="332">
        <v>11582</v>
      </c>
      <c r="H16411" s="333">
        <v>14015</v>
      </c>
    </row>
    <row r="16412" spans="1:8">
      <c r="A16412" s="317">
        <v>3607031585</v>
      </c>
      <c r="B16412" s="330" t="s">
        <v>60764</v>
      </c>
      <c r="C16412" s="330" t="s">
        <v>33738</v>
      </c>
      <c r="D16412" s="330" t="s">
        <v>33709</v>
      </c>
      <c r="E16412" s="330" t="s">
        <v>4634</v>
      </c>
      <c r="F16412" s="331">
        <v>0.21</v>
      </c>
      <c r="G16412" s="332">
        <v>32673</v>
      </c>
      <c r="H16412" s="333">
        <v>39535</v>
      </c>
    </row>
    <row r="16413" spans="1:8">
      <c r="A16413" s="317">
        <v>3607031587</v>
      </c>
      <c r="B16413" s="330" t="s">
        <v>60765</v>
      </c>
      <c r="C16413" s="330" t="s">
        <v>33739</v>
      </c>
      <c r="D16413" s="330" t="s">
        <v>33740</v>
      </c>
      <c r="E16413" s="330" t="s">
        <v>4634</v>
      </c>
      <c r="F16413" s="331">
        <v>0.21</v>
      </c>
      <c r="G16413" s="332">
        <v>8091</v>
      </c>
      <c r="H16413" s="333">
        <v>9791</v>
      </c>
    </row>
    <row r="16414" spans="1:8">
      <c r="A16414" s="317">
        <v>3607031592</v>
      </c>
      <c r="B16414" s="330" t="s">
        <v>60766</v>
      </c>
      <c r="C16414" s="330" t="s">
        <v>33741</v>
      </c>
      <c r="D16414" s="330" t="s">
        <v>33742</v>
      </c>
      <c r="E16414" s="330" t="s">
        <v>4634</v>
      </c>
      <c r="F16414" s="331">
        <v>0.21</v>
      </c>
      <c r="G16414" s="332">
        <v>6076</v>
      </c>
      <c r="H16414" s="333">
        <v>7352</v>
      </c>
    </row>
    <row r="16415" spans="1:8">
      <c r="A16415" s="317">
        <v>3607031605</v>
      </c>
      <c r="B16415" s="330" t="s">
        <v>60767</v>
      </c>
      <c r="C16415" s="330" t="s">
        <v>33743</v>
      </c>
      <c r="D16415" s="330" t="s">
        <v>33742</v>
      </c>
      <c r="E16415" s="330" t="s">
        <v>4634</v>
      </c>
      <c r="F16415" s="331">
        <v>0.21</v>
      </c>
      <c r="G16415" s="332">
        <v>6076</v>
      </c>
      <c r="H16415" s="333">
        <v>7352</v>
      </c>
    </row>
    <row r="16416" spans="1:8">
      <c r="A16416" s="317">
        <v>3607031608</v>
      </c>
      <c r="B16416" s="330" t="s">
        <v>60768</v>
      </c>
      <c r="C16416" s="330" t="s">
        <v>33744</v>
      </c>
      <c r="D16416" s="330" t="s">
        <v>33742</v>
      </c>
      <c r="E16416" s="330" t="s">
        <v>4819</v>
      </c>
      <c r="F16416" s="331">
        <v>0.21</v>
      </c>
      <c r="G16416" s="332">
        <v>97471</v>
      </c>
      <c r="H16416" s="333">
        <v>117940</v>
      </c>
    </row>
    <row r="16417" spans="1:8">
      <c r="A16417" s="317">
        <v>3607031609</v>
      </c>
      <c r="B16417" s="330" t="s">
        <v>60769</v>
      </c>
      <c r="C16417" s="330" t="s">
        <v>33745</v>
      </c>
      <c r="D16417" s="330" t="s">
        <v>33742</v>
      </c>
      <c r="E16417" s="330" t="s">
        <v>4819</v>
      </c>
      <c r="F16417" s="331">
        <v>0.21</v>
      </c>
      <c r="G16417" s="332">
        <v>55445</v>
      </c>
      <c r="H16417" s="333">
        <v>67089</v>
      </c>
    </row>
    <row r="16418" spans="1:8">
      <c r="A16418" s="317">
        <v>3607031616</v>
      </c>
      <c r="B16418" s="330" t="s">
        <v>60770</v>
      </c>
      <c r="C16418" s="330" t="s">
        <v>33746</v>
      </c>
      <c r="D16418" s="330" t="s">
        <v>33747</v>
      </c>
      <c r="E16418" s="330" t="s">
        <v>4634</v>
      </c>
      <c r="F16418" s="331">
        <v>0.21</v>
      </c>
      <c r="G16418" s="332">
        <v>16900</v>
      </c>
      <c r="H16418" s="333">
        <v>20449</v>
      </c>
    </row>
    <row r="16419" spans="1:8">
      <c r="A16419" s="317">
        <v>3607031620</v>
      </c>
      <c r="B16419" s="330" t="s">
        <v>60771</v>
      </c>
      <c r="C16419" s="330" t="s">
        <v>33748</v>
      </c>
      <c r="D16419" s="330" t="s">
        <v>33749</v>
      </c>
      <c r="E16419" s="330" t="s">
        <v>4634</v>
      </c>
      <c r="F16419" s="331">
        <v>0.21</v>
      </c>
      <c r="G16419" s="332">
        <v>48456</v>
      </c>
      <c r="H16419" s="333">
        <v>58632</v>
      </c>
    </row>
    <row r="16420" spans="1:8">
      <c r="A16420" s="317">
        <v>3607031624</v>
      </c>
      <c r="B16420" s="330" t="s">
        <v>60772</v>
      </c>
      <c r="C16420" s="330" t="s">
        <v>33750</v>
      </c>
      <c r="D16420" s="330" t="s">
        <v>10213</v>
      </c>
      <c r="E16420" s="330" t="s">
        <v>4623</v>
      </c>
      <c r="F16420" s="331">
        <v>0.21</v>
      </c>
      <c r="G16420" s="332">
        <v>121753</v>
      </c>
      <c r="H16420" s="333">
        <v>147322</v>
      </c>
    </row>
    <row r="16421" spans="1:8">
      <c r="A16421" s="317">
        <v>3607031625</v>
      </c>
      <c r="B16421" s="330" t="s">
        <v>60773</v>
      </c>
      <c r="C16421" s="330" t="s">
        <v>33751</v>
      </c>
      <c r="D16421" s="330" t="s">
        <v>33752</v>
      </c>
      <c r="E16421" s="330" t="s">
        <v>4634</v>
      </c>
      <c r="F16421" s="331">
        <v>0.21</v>
      </c>
      <c r="G16421" s="332">
        <v>31625</v>
      </c>
      <c r="H16421" s="333">
        <v>38267</v>
      </c>
    </row>
    <row r="16422" spans="1:8">
      <c r="A16422" s="317">
        <v>3607031626</v>
      </c>
      <c r="B16422" s="330" t="s">
        <v>60774</v>
      </c>
      <c r="C16422" s="330" t="s">
        <v>33753</v>
      </c>
      <c r="D16422" s="330" t="s">
        <v>33754</v>
      </c>
      <c r="E16422" s="330" t="s">
        <v>4634</v>
      </c>
      <c r="F16422" s="331">
        <v>0.21</v>
      </c>
      <c r="G16422" s="332">
        <v>121231</v>
      </c>
      <c r="H16422" s="333">
        <v>146690</v>
      </c>
    </row>
    <row r="16423" spans="1:8">
      <c r="A16423" s="317">
        <v>3607031627</v>
      </c>
      <c r="B16423" s="330" t="s">
        <v>60775</v>
      </c>
      <c r="C16423" s="330" t="s">
        <v>33755</v>
      </c>
      <c r="D16423" s="330" t="s">
        <v>33756</v>
      </c>
      <c r="E16423" s="330" t="s">
        <v>4634</v>
      </c>
      <c r="F16423" s="331">
        <v>0.21</v>
      </c>
      <c r="G16423" s="332">
        <v>52601</v>
      </c>
      <c r="H16423" s="333">
        <v>63648</v>
      </c>
    </row>
    <row r="16424" spans="1:8">
      <c r="A16424" s="317">
        <v>3607031632</v>
      </c>
      <c r="B16424" s="330" t="s">
        <v>60776</v>
      </c>
      <c r="C16424" s="330" t="s">
        <v>33757</v>
      </c>
      <c r="D16424" s="330" t="s">
        <v>33758</v>
      </c>
      <c r="E16424" s="330" t="s">
        <v>4634</v>
      </c>
      <c r="F16424" s="331">
        <v>0.21</v>
      </c>
      <c r="G16424" s="332">
        <v>25165</v>
      </c>
      <c r="H16424" s="333">
        <v>30450</v>
      </c>
    </row>
    <row r="16425" spans="1:8">
      <c r="A16425" s="317">
        <v>3607031633</v>
      </c>
      <c r="B16425" s="330" t="s">
        <v>60777</v>
      </c>
      <c r="C16425" s="330" t="s">
        <v>33759</v>
      </c>
      <c r="D16425" s="330" t="s">
        <v>33760</v>
      </c>
      <c r="E16425" s="330" t="s">
        <v>4634</v>
      </c>
      <c r="F16425" s="331">
        <v>0.21</v>
      </c>
      <c r="G16425" s="332">
        <v>25165</v>
      </c>
      <c r="H16425" s="333">
        <v>30450</v>
      </c>
    </row>
    <row r="16426" spans="1:8">
      <c r="A16426" s="317">
        <v>3607031645</v>
      </c>
      <c r="B16426" s="330" t="s">
        <v>60778</v>
      </c>
      <c r="C16426" s="330" t="s">
        <v>33761</v>
      </c>
      <c r="D16426" s="330" t="s">
        <v>33762</v>
      </c>
      <c r="E16426" s="330" t="s">
        <v>4634</v>
      </c>
      <c r="F16426" s="331">
        <v>0.21</v>
      </c>
      <c r="G16426" s="332">
        <v>2226</v>
      </c>
      <c r="H16426" s="333">
        <v>2694</v>
      </c>
    </row>
    <row r="16427" spans="1:8">
      <c r="A16427" s="317">
        <v>3607031651</v>
      </c>
      <c r="B16427" s="330" t="s">
        <v>60779</v>
      </c>
      <c r="C16427" s="330" t="s">
        <v>33763</v>
      </c>
      <c r="D16427" s="330" t="s">
        <v>33764</v>
      </c>
      <c r="E16427" s="330" t="s">
        <v>4634</v>
      </c>
      <c r="F16427" s="331">
        <v>0.21</v>
      </c>
      <c r="G16427" s="332">
        <v>14143</v>
      </c>
      <c r="H16427" s="333">
        <v>17114</v>
      </c>
    </row>
    <row r="16428" spans="1:8">
      <c r="A16428" s="317">
        <v>3607031652</v>
      </c>
      <c r="B16428" s="330" t="s">
        <v>60780</v>
      </c>
      <c r="C16428" s="330" t="s">
        <v>33765</v>
      </c>
      <c r="D16428" s="330" t="s">
        <v>33766</v>
      </c>
      <c r="E16428" s="330" t="s">
        <v>4634</v>
      </c>
      <c r="F16428" s="331">
        <v>0.21</v>
      </c>
      <c r="G16428" s="332">
        <v>76135</v>
      </c>
      <c r="H16428" s="333">
        <v>92124</v>
      </c>
    </row>
    <row r="16429" spans="1:8">
      <c r="A16429" s="317">
        <v>3607031654</v>
      </c>
      <c r="B16429" s="330" t="s">
        <v>60781</v>
      </c>
      <c r="C16429" s="330" t="s">
        <v>33767</v>
      </c>
      <c r="D16429" s="330" t="s">
        <v>10213</v>
      </c>
      <c r="E16429" s="330" t="s">
        <v>4623</v>
      </c>
      <c r="F16429" s="331">
        <v>0.21</v>
      </c>
      <c r="G16429" s="332">
        <v>109591</v>
      </c>
      <c r="H16429" s="333">
        <v>132606</v>
      </c>
    </row>
    <row r="16430" spans="1:8">
      <c r="A16430" s="317">
        <v>3607031655</v>
      </c>
      <c r="B16430" s="330" t="s">
        <v>60782</v>
      </c>
      <c r="C16430" s="330" t="s">
        <v>33768</v>
      </c>
      <c r="D16430" s="330" t="s">
        <v>33769</v>
      </c>
      <c r="E16430" s="330" t="s">
        <v>4634</v>
      </c>
      <c r="F16430" s="331">
        <v>0.21</v>
      </c>
      <c r="G16430" s="332">
        <v>66445</v>
      </c>
      <c r="H16430" s="333">
        <v>80399</v>
      </c>
    </row>
    <row r="16431" spans="1:8">
      <c r="A16431" s="317">
        <v>3607031658</v>
      </c>
      <c r="B16431" s="330" t="s">
        <v>60783</v>
      </c>
      <c r="C16431" s="330" t="s">
        <v>33770</v>
      </c>
      <c r="D16431" s="330" t="s">
        <v>33771</v>
      </c>
      <c r="E16431" s="330" t="s">
        <v>4623</v>
      </c>
      <c r="F16431" s="331">
        <v>0.21</v>
      </c>
      <c r="G16431" s="332">
        <v>27590</v>
      </c>
      <c r="H16431" s="333">
        <v>33384</v>
      </c>
    </row>
    <row r="16432" spans="1:8">
      <c r="A16432" s="317">
        <v>3607031667</v>
      </c>
      <c r="B16432" s="330" t="s">
        <v>60784</v>
      </c>
      <c r="C16432" s="330" t="s">
        <v>33772</v>
      </c>
      <c r="D16432" s="330" t="s">
        <v>33773</v>
      </c>
      <c r="E16432" s="330" t="s">
        <v>37248</v>
      </c>
      <c r="F16432" s="331">
        <v>0.21</v>
      </c>
      <c r="G16432" s="332">
        <v>126440</v>
      </c>
      <c r="H16432" s="333">
        <v>152993</v>
      </c>
    </row>
    <row r="16433" spans="1:8">
      <c r="A16433" s="317">
        <v>3607031756</v>
      </c>
      <c r="B16433" s="330" t="s">
        <v>60785</v>
      </c>
      <c r="C16433" s="330" t="s">
        <v>33774</v>
      </c>
      <c r="D16433" s="330" t="s">
        <v>33775</v>
      </c>
      <c r="E16433" s="330" t="s">
        <v>4634</v>
      </c>
      <c r="F16433" s="331">
        <v>0.21</v>
      </c>
      <c r="G16433" s="332">
        <v>7020</v>
      </c>
      <c r="H16433" s="333">
        <v>8495</v>
      </c>
    </row>
    <row r="16434" spans="1:8">
      <c r="A16434" s="317">
        <v>3607031757</v>
      </c>
      <c r="B16434" s="330" t="s">
        <v>60786</v>
      </c>
      <c r="C16434" s="330" t="s">
        <v>33776</v>
      </c>
      <c r="D16434" s="330" t="s">
        <v>33777</v>
      </c>
      <c r="E16434" s="330" t="s">
        <v>4634</v>
      </c>
      <c r="F16434" s="331">
        <v>0.21</v>
      </c>
      <c r="G16434" s="332">
        <v>773931</v>
      </c>
      <c r="H16434" s="333">
        <v>936457</v>
      </c>
    </row>
    <row r="16435" spans="1:8">
      <c r="A16435" s="317">
        <v>3607031758</v>
      </c>
      <c r="B16435" s="330" t="s">
        <v>60787</v>
      </c>
      <c r="C16435" s="330" t="s">
        <v>33778</v>
      </c>
      <c r="D16435" s="330" t="s">
        <v>33779</v>
      </c>
      <c r="E16435" s="330" t="s">
        <v>4634</v>
      </c>
      <c r="F16435" s="331">
        <v>0.21</v>
      </c>
      <c r="G16435" s="332">
        <v>9166</v>
      </c>
      <c r="H16435" s="333">
        <v>11091</v>
      </c>
    </row>
    <row r="16436" spans="1:8">
      <c r="A16436" s="317">
        <v>3607031759</v>
      </c>
      <c r="B16436" s="330" t="s">
        <v>60788</v>
      </c>
      <c r="C16436" s="330" t="s">
        <v>33780</v>
      </c>
      <c r="D16436" s="330" t="s">
        <v>21296</v>
      </c>
      <c r="E16436" s="330" t="s">
        <v>4623</v>
      </c>
      <c r="F16436" s="331">
        <v>0.21</v>
      </c>
      <c r="G16436" s="332">
        <v>20667</v>
      </c>
      <c r="H16436" s="333">
        <v>25008</v>
      </c>
    </row>
    <row r="16437" spans="1:8">
      <c r="A16437" s="317" t="s">
        <v>42950</v>
      </c>
      <c r="B16437" s="330" t="s">
        <v>60789</v>
      </c>
      <c r="C16437" s="330" t="s">
        <v>33781</v>
      </c>
      <c r="D16437" s="330" t="s">
        <v>33782</v>
      </c>
      <c r="E16437" s="330" t="s">
        <v>4634</v>
      </c>
      <c r="F16437" s="331">
        <v>0.21</v>
      </c>
      <c r="G16437" s="332">
        <v>15327</v>
      </c>
      <c r="H16437" s="333">
        <v>18546</v>
      </c>
    </row>
    <row r="16438" spans="1:8">
      <c r="A16438" s="317">
        <v>3607031760</v>
      </c>
      <c r="B16438" s="330" t="s">
        <v>60790</v>
      </c>
      <c r="C16438" s="330" t="s">
        <v>33783</v>
      </c>
      <c r="D16438" s="330" t="s">
        <v>10919</v>
      </c>
      <c r="E16438" s="330" t="s">
        <v>4634</v>
      </c>
      <c r="F16438" s="331">
        <v>0.21</v>
      </c>
      <c r="G16438" s="332">
        <v>264553</v>
      </c>
      <c r="H16438" s="333">
        <v>320110</v>
      </c>
    </row>
    <row r="16439" spans="1:8">
      <c r="A16439" s="317">
        <v>3607031761</v>
      </c>
      <c r="B16439" s="330" t="s">
        <v>60791</v>
      </c>
      <c r="C16439" s="330" t="s">
        <v>33784</v>
      </c>
      <c r="D16439" s="330" t="s">
        <v>33785</v>
      </c>
      <c r="E16439" s="330" t="s">
        <v>4634</v>
      </c>
      <c r="F16439" s="331">
        <v>0.21</v>
      </c>
      <c r="G16439" s="332">
        <v>282272</v>
      </c>
      <c r="H16439" s="333">
        <v>341550</v>
      </c>
    </row>
    <row r="16440" spans="1:8">
      <c r="A16440" s="317">
        <v>3607031762</v>
      </c>
      <c r="B16440" s="330" t="s">
        <v>60792</v>
      </c>
      <c r="C16440" s="330" t="s">
        <v>33786</v>
      </c>
      <c r="D16440" s="330" t="s">
        <v>11008</v>
      </c>
      <c r="E16440" s="330" t="s">
        <v>4634</v>
      </c>
      <c r="F16440" s="331">
        <v>0.21</v>
      </c>
      <c r="G16440" s="332">
        <v>8862</v>
      </c>
      <c r="H16440" s="333">
        <v>10724</v>
      </c>
    </row>
    <row r="16441" spans="1:8">
      <c r="A16441" s="317">
        <v>3607031765</v>
      </c>
      <c r="B16441" s="330" t="s">
        <v>60793</v>
      </c>
      <c r="C16441" s="330" t="s">
        <v>33787</v>
      </c>
      <c r="D16441" s="330" t="s">
        <v>33788</v>
      </c>
      <c r="E16441" s="330" t="s">
        <v>4634</v>
      </c>
      <c r="F16441" s="331">
        <v>0.21</v>
      </c>
      <c r="G16441" s="332">
        <v>124579</v>
      </c>
      <c r="H16441" s="333">
        <v>150741</v>
      </c>
    </row>
    <row r="16442" spans="1:8">
      <c r="A16442" s="317">
        <v>3607031766</v>
      </c>
      <c r="B16442" s="330" t="s">
        <v>60794</v>
      </c>
      <c r="C16442" s="330" t="s">
        <v>33789</v>
      </c>
      <c r="D16442" s="330" t="s">
        <v>10919</v>
      </c>
      <c r="E16442" s="330" t="s">
        <v>4634</v>
      </c>
      <c r="F16442" s="331">
        <v>0.21</v>
      </c>
      <c r="G16442" s="332">
        <v>292935</v>
      </c>
      <c r="H16442" s="333">
        <v>354452</v>
      </c>
    </row>
    <row r="16443" spans="1:8">
      <c r="A16443" s="317">
        <v>3607031767</v>
      </c>
      <c r="B16443" s="330" t="s">
        <v>60795</v>
      </c>
      <c r="C16443" s="330" t="s">
        <v>33790</v>
      </c>
      <c r="D16443" s="330" t="s">
        <v>33791</v>
      </c>
      <c r="E16443" s="330" t="s">
        <v>4634</v>
      </c>
      <c r="F16443" s="331">
        <v>0.21</v>
      </c>
      <c r="G16443" s="332">
        <v>289950</v>
      </c>
      <c r="H16443" s="333">
        <v>350840</v>
      </c>
    </row>
    <row r="16444" spans="1:8">
      <c r="A16444" s="317">
        <v>3607031768</v>
      </c>
      <c r="B16444" s="330" t="s">
        <v>60796</v>
      </c>
      <c r="C16444" s="330" t="s">
        <v>33792</v>
      </c>
      <c r="D16444" s="330" t="s">
        <v>33793</v>
      </c>
      <c r="E16444" s="330" t="s">
        <v>4634</v>
      </c>
      <c r="F16444" s="331">
        <v>0.21</v>
      </c>
      <c r="G16444" s="332">
        <v>48456</v>
      </c>
      <c r="H16444" s="333">
        <v>58632</v>
      </c>
    </row>
    <row r="16445" spans="1:8">
      <c r="A16445" s="317">
        <v>3607031770</v>
      </c>
      <c r="B16445" s="330" t="s">
        <v>60797</v>
      </c>
      <c r="C16445" s="330" t="s">
        <v>33794</v>
      </c>
      <c r="D16445" s="330" t="s">
        <v>33795</v>
      </c>
      <c r="E16445" s="330" t="s">
        <v>4634</v>
      </c>
      <c r="F16445" s="331">
        <v>0.21</v>
      </c>
      <c r="G16445" s="332">
        <v>371527</v>
      </c>
      <c r="H16445" s="333">
        <v>449548</v>
      </c>
    </row>
    <row r="16446" spans="1:8">
      <c r="A16446" s="317">
        <v>3607031771</v>
      </c>
      <c r="B16446" s="330" t="s">
        <v>60798</v>
      </c>
      <c r="C16446" s="330" t="s">
        <v>33796</v>
      </c>
      <c r="D16446" s="330" t="s">
        <v>10919</v>
      </c>
      <c r="E16446" s="330" t="s">
        <v>4634</v>
      </c>
      <c r="F16446" s="331">
        <v>0.21</v>
      </c>
      <c r="G16446" s="332">
        <v>59985</v>
      </c>
      <c r="H16446" s="333">
        <v>72582</v>
      </c>
    </row>
    <row r="16447" spans="1:8">
      <c r="A16447" s="317">
        <v>3607031772</v>
      </c>
      <c r="B16447" s="330" t="s">
        <v>60799</v>
      </c>
      <c r="C16447" s="330" t="s">
        <v>33797</v>
      </c>
      <c r="D16447" s="330" t="s">
        <v>33798</v>
      </c>
      <c r="E16447" s="330" t="s">
        <v>4634</v>
      </c>
      <c r="F16447" s="331">
        <v>0.21</v>
      </c>
      <c r="G16447" s="332">
        <v>283127</v>
      </c>
      <c r="H16447" s="333">
        <v>342584</v>
      </c>
    </row>
    <row r="16448" spans="1:8">
      <c r="A16448" s="317">
        <v>3607031774</v>
      </c>
      <c r="B16448" s="330" t="s">
        <v>60800</v>
      </c>
      <c r="C16448" s="330" t="s">
        <v>33799</v>
      </c>
      <c r="D16448" s="330" t="s">
        <v>33800</v>
      </c>
      <c r="E16448" s="330" t="s">
        <v>4634</v>
      </c>
      <c r="F16448" s="331">
        <v>0.21</v>
      </c>
      <c r="G16448" s="332">
        <v>19753</v>
      </c>
      <c r="H16448" s="333">
        <v>23902</v>
      </c>
    </row>
    <row r="16449" spans="1:8">
      <c r="A16449" s="317">
        <v>3607031775</v>
      </c>
      <c r="B16449" s="330" t="s">
        <v>60801</v>
      </c>
      <c r="C16449" s="330" t="s">
        <v>33801</v>
      </c>
      <c r="D16449" s="330" t="s">
        <v>33802</v>
      </c>
      <c r="E16449" s="330" t="s">
        <v>4634</v>
      </c>
      <c r="F16449" s="331">
        <v>0.21</v>
      </c>
      <c r="G16449" s="332">
        <v>97357</v>
      </c>
      <c r="H16449" s="333">
        <v>117802</v>
      </c>
    </row>
    <row r="16450" spans="1:8">
      <c r="A16450" s="317">
        <v>3607031776</v>
      </c>
      <c r="B16450" s="330" t="s">
        <v>60802</v>
      </c>
      <c r="C16450" s="330" t="s">
        <v>33803</v>
      </c>
      <c r="D16450" s="330" t="s">
        <v>10919</v>
      </c>
      <c r="E16450" s="330" t="s">
        <v>4634</v>
      </c>
      <c r="F16450" s="331">
        <v>0.21</v>
      </c>
      <c r="G16450" s="332">
        <v>442482</v>
      </c>
      <c r="H16450" s="333">
        <v>535404</v>
      </c>
    </row>
    <row r="16451" spans="1:8">
      <c r="A16451" s="317">
        <v>3607031777</v>
      </c>
      <c r="B16451" s="330" t="s">
        <v>60803</v>
      </c>
      <c r="C16451" s="330" t="s">
        <v>33804</v>
      </c>
      <c r="D16451" s="330" t="s">
        <v>33805</v>
      </c>
      <c r="E16451" s="330" t="s">
        <v>4634</v>
      </c>
      <c r="F16451" s="331">
        <v>0.21</v>
      </c>
      <c r="G16451" s="332">
        <v>250421</v>
      </c>
      <c r="H16451" s="333">
        <v>303010</v>
      </c>
    </row>
    <row r="16452" spans="1:8">
      <c r="A16452" s="317">
        <v>3607031779</v>
      </c>
      <c r="B16452" s="330" t="s">
        <v>60804</v>
      </c>
      <c r="C16452" s="330" t="s">
        <v>33806</v>
      </c>
      <c r="D16452" s="330" t="s">
        <v>33807</v>
      </c>
      <c r="E16452" s="330" t="s">
        <v>4634</v>
      </c>
      <c r="F16452" s="331">
        <v>0.21</v>
      </c>
      <c r="G16452" s="332">
        <v>1172438</v>
      </c>
      <c r="H16452" s="333">
        <v>1418650</v>
      </c>
    </row>
    <row r="16453" spans="1:8">
      <c r="A16453" s="317">
        <v>3607031780</v>
      </c>
      <c r="B16453" s="330" t="s">
        <v>60805</v>
      </c>
      <c r="C16453" s="330" t="s">
        <v>33808</v>
      </c>
      <c r="D16453" s="330" t="s">
        <v>10919</v>
      </c>
      <c r="E16453" s="330" t="s">
        <v>4634</v>
      </c>
      <c r="F16453" s="331">
        <v>0.21</v>
      </c>
      <c r="G16453" s="332">
        <v>442482</v>
      </c>
      <c r="H16453" s="333">
        <v>535404</v>
      </c>
    </row>
    <row r="16454" spans="1:8">
      <c r="A16454" s="317">
        <v>3607031781</v>
      </c>
      <c r="B16454" s="330" t="s">
        <v>60806</v>
      </c>
      <c r="C16454" s="330" t="s">
        <v>33809</v>
      </c>
      <c r="D16454" s="330" t="s">
        <v>33810</v>
      </c>
      <c r="E16454" s="330" t="s">
        <v>4634</v>
      </c>
      <c r="F16454" s="331">
        <v>0.21</v>
      </c>
      <c r="G16454" s="332">
        <v>218080</v>
      </c>
      <c r="H16454" s="333">
        <v>263877</v>
      </c>
    </row>
    <row r="16455" spans="1:8">
      <c r="A16455" s="317">
        <v>3607031790</v>
      </c>
      <c r="B16455" s="330" t="s">
        <v>60807</v>
      </c>
      <c r="C16455" s="330" t="s">
        <v>33811</v>
      </c>
      <c r="D16455" s="330" t="s">
        <v>33812</v>
      </c>
      <c r="E16455" s="330" t="s">
        <v>4634</v>
      </c>
      <c r="F16455" s="331">
        <v>0.21</v>
      </c>
      <c r="G16455" s="332">
        <v>111660</v>
      </c>
      <c r="H16455" s="333">
        <v>135109</v>
      </c>
    </row>
    <row r="16456" spans="1:8">
      <c r="A16456" s="317">
        <v>3607031791</v>
      </c>
      <c r="B16456" s="330" t="s">
        <v>60808</v>
      </c>
      <c r="C16456" s="330" t="s">
        <v>33813</v>
      </c>
      <c r="D16456" s="330" t="s">
        <v>33814</v>
      </c>
      <c r="E16456" s="330" t="s">
        <v>4634</v>
      </c>
      <c r="F16456" s="331">
        <v>0.21</v>
      </c>
      <c r="G16456" s="332">
        <v>442482</v>
      </c>
      <c r="H16456" s="333">
        <v>535404</v>
      </c>
    </row>
    <row r="16457" spans="1:8">
      <c r="A16457" s="317">
        <v>3607031792</v>
      </c>
      <c r="B16457" s="330" t="s">
        <v>60809</v>
      </c>
      <c r="C16457" s="330" t="s">
        <v>33815</v>
      </c>
      <c r="D16457" s="330" t="s">
        <v>11008</v>
      </c>
      <c r="E16457" s="330" t="s">
        <v>4634</v>
      </c>
      <c r="F16457" s="331">
        <v>0.21</v>
      </c>
      <c r="G16457" s="332">
        <v>1007076</v>
      </c>
      <c r="H16457" s="333">
        <v>1218562</v>
      </c>
    </row>
    <row r="16458" spans="1:8">
      <c r="A16458" s="317">
        <v>3607031794</v>
      </c>
      <c r="B16458" s="330" t="s">
        <v>60810</v>
      </c>
      <c r="C16458" s="330" t="s">
        <v>33816</v>
      </c>
      <c r="D16458" s="330" t="s">
        <v>33817</v>
      </c>
      <c r="E16458" s="330" t="s">
        <v>4634</v>
      </c>
      <c r="F16458" s="331">
        <v>0.21</v>
      </c>
      <c r="G16458" s="332">
        <v>40523</v>
      </c>
      <c r="H16458" s="333">
        <v>49033</v>
      </c>
    </row>
    <row r="16459" spans="1:8">
      <c r="A16459" s="317">
        <v>3607031827</v>
      </c>
      <c r="B16459" s="330" t="s">
        <v>60811</v>
      </c>
      <c r="C16459" s="330" t="s">
        <v>33818</v>
      </c>
      <c r="D16459" s="330" t="s">
        <v>33819</v>
      </c>
      <c r="E16459" s="330" t="s">
        <v>4634</v>
      </c>
      <c r="F16459" s="331">
        <v>0.21</v>
      </c>
      <c r="G16459" s="332">
        <v>97357</v>
      </c>
      <c r="H16459" s="333">
        <v>117802</v>
      </c>
    </row>
    <row r="16460" spans="1:8">
      <c r="A16460" s="317">
        <v>3607031860</v>
      </c>
      <c r="B16460" s="330" t="s">
        <v>60812</v>
      </c>
      <c r="C16460" s="330" t="s">
        <v>33820</v>
      </c>
      <c r="D16460" s="330" t="s">
        <v>33821</v>
      </c>
      <c r="E16460" s="330" t="s">
        <v>37248</v>
      </c>
      <c r="F16460" s="331">
        <v>0.21</v>
      </c>
      <c r="G16460" s="332">
        <v>22149</v>
      </c>
      <c r="H16460" s="333">
        <v>26801</v>
      </c>
    </row>
    <row r="16461" spans="1:8">
      <c r="A16461" s="317">
        <v>3607031879</v>
      </c>
      <c r="B16461" s="330" t="s">
        <v>60813</v>
      </c>
      <c r="C16461" s="330" t="s">
        <v>33822</v>
      </c>
      <c r="D16461" s="330" t="s">
        <v>10402</v>
      </c>
      <c r="E16461" s="330" t="s">
        <v>37248</v>
      </c>
      <c r="F16461" s="331">
        <v>0.21</v>
      </c>
      <c r="G16461" s="332">
        <v>41193</v>
      </c>
      <c r="H16461" s="333">
        <v>49844</v>
      </c>
    </row>
    <row r="16462" spans="1:8">
      <c r="A16462" s="317">
        <v>3607031890</v>
      </c>
      <c r="B16462" s="330" t="s">
        <v>60814</v>
      </c>
      <c r="C16462" s="330" t="s">
        <v>33823</v>
      </c>
      <c r="D16462" s="330" t="s">
        <v>33824</v>
      </c>
      <c r="E16462" s="330" t="s">
        <v>37248</v>
      </c>
      <c r="F16462" s="331">
        <v>0.21</v>
      </c>
      <c r="G16462" s="332">
        <v>79493</v>
      </c>
      <c r="H16462" s="333">
        <v>96187</v>
      </c>
    </row>
    <row r="16463" spans="1:8">
      <c r="A16463" s="317">
        <v>3607031891</v>
      </c>
      <c r="B16463" s="330" t="s">
        <v>60815</v>
      </c>
      <c r="C16463" s="330" t="s">
        <v>33825</v>
      </c>
      <c r="D16463" s="330" t="s">
        <v>33826</v>
      </c>
      <c r="E16463" s="330" t="s">
        <v>37248</v>
      </c>
      <c r="F16463" s="331">
        <v>0.21</v>
      </c>
      <c r="G16463" s="332">
        <v>159723</v>
      </c>
      <c r="H16463" s="333">
        <v>193265</v>
      </c>
    </row>
    <row r="16464" spans="1:8">
      <c r="A16464" s="317">
        <v>3607031892</v>
      </c>
      <c r="B16464" s="330" t="s">
        <v>60816</v>
      </c>
      <c r="C16464" s="330" t="s">
        <v>33827</v>
      </c>
      <c r="D16464" s="330" t="s">
        <v>33828</v>
      </c>
      <c r="E16464" s="330" t="s">
        <v>4819</v>
      </c>
      <c r="F16464" s="331">
        <v>0.21</v>
      </c>
      <c r="G16464" s="332">
        <v>23496</v>
      </c>
      <c r="H16464" s="333">
        <v>28431</v>
      </c>
    </row>
    <row r="16465" spans="1:8">
      <c r="A16465" s="317">
        <v>3607031893</v>
      </c>
      <c r="B16465" s="330" t="s">
        <v>60817</v>
      </c>
      <c r="C16465" s="330" t="s">
        <v>33829</v>
      </c>
      <c r="D16465" s="330" t="s">
        <v>33830</v>
      </c>
      <c r="E16465" s="330" t="s">
        <v>4819</v>
      </c>
      <c r="F16465" s="331">
        <v>0.21</v>
      </c>
      <c r="G16465" s="332">
        <v>53420</v>
      </c>
      <c r="H16465" s="333">
        <v>64639</v>
      </c>
    </row>
    <row r="16466" spans="1:8">
      <c r="A16466" s="317">
        <v>3607031894</v>
      </c>
      <c r="B16466" s="330" t="s">
        <v>60818</v>
      </c>
      <c r="C16466" s="330" t="s">
        <v>33831</v>
      </c>
      <c r="D16466" s="330" t="s">
        <v>33832</v>
      </c>
      <c r="E16466" s="330" t="s">
        <v>37248</v>
      </c>
      <c r="F16466" s="331">
        <v>0.21</v>
      </c>
      <c r="G16466" s="332">
        <v>70173</v>
      </c>
      <c r="H16466" s="333">
        <v>84910</v>
      </c>
    </row>
    <row r="16467" spans="1:8">
      <c r="A16467" s="317">
        <v>3607031895</v>
      </c>
      <c r="B16467" s="330" t="s">
        <v>60819</v>
      </c>
      <c r="C16467" s="330" t="s">
        <v>33833</v>
      </c>
      <c r="D16467" s="330" t="s">
        <v>33810</v>
      </c>
      <c r="E16467" s="330" t="s">
        <v>37248</v>
      </c>
      <c r="F16467" s="331">
        <v>0.21</v>
      </c>
      <c r="G16467" s="332">
        <v>137765</v>
      </c>
      <c r="H16467" s="333">
        <v>166696</v>
      </c>
    </row>
    <row r="16468" spans="1:8">
      <c r="A16468" s="317">
        <v>3607031908</v>
      </c>
      <c r="B16468" s="330" t="s">
        <v>60820</v>
      </c>
      <c r="C16468" s="330" t="s">
        <v>33834</v>
      </c>
      <c r="D16468" s="330" t="s">
        <v>33835</v>
      </c>
      <c r="E16468" s="330" t="s">
        <v>37248</v>
      </c>
      <c r="F16468" s="331">
        <v>0.21</v>
      </c>
      <c r="G16468" s="332">
        <v>109011</v>
      </c>
      <c r="H16468" s="333">
        <v>131904</v>
      </c>
    </row>
    <row r="16469" spans="1:8">
      <c r="A16469" s="317">
        <v>3607031909</v>
      </c>
      <c r="B16469" s="330" t="s">
        <v>60821</v>
      </c>
      <c r="C16469" s="330" t="s">
        <v>33836</v>
      </c>
      <c r="D16469" s="330" t="s">
        <v>33837</v>
      </c>
      <c r="E16469" s="330" t="s">
        <v>37248</v>
      </c>
      <c r="F16469" s="331">
        <v>0.21</v>
      </c>
      <c r="G16469" s="332">
        <v>137765</v>
      </c>
      <c r="H16469" s="333">
        <v>166696</v>
      </c>
    </row>
    <row r="16470" spans="1:8">
      <c r="A16470" s="317">
        <v>3607031912</v>
      </c>
      <c r="B16470" s="330" t="s">
        <v>60822</v>
      </c>
      <c r="C16470" s="330" t="s">
        <v>33838</v>
      </c>
      <c r="D16470" s="330" t="s">
        <v>33839</v>
      </c>
      <c r="E16470" s="330" t="s">
        <v>37248</v>
      </c>
      <c r="F16470" s="331">
        <v>0.21</v>
      </c>
      <c r="G16470" s="332">
        <v>98408</v>
      </c>
      <c r="H16470" s="333">
        <v>119074</v>
      </c>
    </row>
    <row r="16471" spans="1:8">
      <c r="A16471" s="317">
        <v>3607031913</v>
      </c>
      <c r="B16471" s="330" t="s">
        <v>60823</v>
      </c>
      <c r="C16471" s="330" t="s">
        <v>33840</v>
      </c>
      <c r="D16471" s="330" t="s">
        <v>33841</v>
      </c>
      <c r="E16471" s="330" t="s">
        <v>37248</v>
      </c>
      <c r="F16471" s="331">
        <v>0.21</v>
      </c>
      <c r="G16471" s="332">
        <v>159723</v>
      </c>
      <c r="H16471" s="333">
        <v>193265</v>
      </c>
    </row>
    <row r="16472" spans="1:8">
      <c r="A16472" s="317">
        <v>3607031916</v>
      </c>
      <c r="B16472" s="330" t="s">
        <v>60824</v>
      </c>
      <c r="C16472" s="330" t="s">
        <v>33842</v>
      </c>
      <c r="D16472" s="330" t="s">
        <v>33843</v>
      </c>
      <c r="E16472" s="330" t="s">
        <v>4819</v>
      </c>
      <c r="F16472" s="331">
        <v>0.21</v>
      </c>
      <c r="G16472" s="332">
        <v>32928</v>
      </c>
      <c r="H16472" s="333">
        <v>39843</v>
      </c>
    </row>
    <row r="16473" spans="1:8">
      <c r="A16473" s="317">
        <v>3607031917</v>
      </c>
      <c r="B16473" s="330" t="s">
        <v>60825</v>
      </c>
      <c r="C16473" s="330" t="s">
        <v>33844</v>
      </c>
      <c r="D16473" s="330" t="s">
        <v>33845</v>
      </c>
      <c r="E16473" s="330" t="s">
        <v>37248</v>
      </c>
      <c r="F16473" s="331">
        <v>0.21</v>
      </c>
      <c r="G16473" s="332">
        <v>159723</v>
      </c>
      <c r="H16473" s="333">
        <v>193265</v>
      </c>
    </row>
    <row r="16474" spans="1:8">
      <c r="A16474" s="317">
        <v>3607200000</v>
      </c>
      <c r="B16474" s="330" t="s">
        <v>60826</v>
      </c>
      <c r="C16474" s="330" t="s">
        <v>33846</v>
      </c>
      <c r="D16474" s="330" t="s">
        <v>33847</v>
      </c>
      <c r="E16474" s="330" t="s">
        <v>4634</v>
      </c>
      <c r="F16474" s="331">
        <v>0.21</v>
      </c>
      <c r="G16474" s="332">
        <v>25756</v>
      </c>
      <c r="H16474" s="333">
        <v>31165</v>
      </c>
    </row>
    <row r="16475" spans="1:8">
      <c r="A16475" s="317">
        <v>3607200001</v>
      </c>
      <c r="B16475" s="330" t="s">
        <v>60827</v>
      </c>
      <c r="C16475" s="330" t="s">
        <v>33848</v>
      </c>
      <c r="D16475" s="330" t="s">
        <v>10727</v>
      </c>
      <c r="E16475" s="330" t="s">
        <v>4634</v>
      </c>
      <c r="F16475" s="331">
        <v>0.21</v>
      </c>
      <c r="G16475" s="332">
        <v>18435</v>
      </c>
      <c r="H16475" s="333">
        <v>22307</v>
      </c>
    </row>
    <row r="16476" spans="1:8">
      <c r="A16476" s="317">
        <v>3607200024</v>
      </c>
      <c r="B16476" s="330" t="s">
        <v>60828</v>
      </c>
      <c r="C16476" s="330" t="s">
        <v>33849</v>
      </c>
      <c r="D16476" s="330" t="s">
        <v>33850</v>
      </c>
      <c r="E16476" s="330" t="s">
        <v>4634</v>
      </c>
      <c r="F16476" s="331">
        <v>0.21</v>
      </c>
      <c r="G16476" s="332">
        <v>4233</v>
      </c>
      <c r="H16476" s="333">
        <v>5122</v>
      </c>
    </row>
    <row r="16477" spans="1:8">
      <c r="A16477" s="317">
        <v>3607200063</v>
      </c>
      <c r="B16477" s="330" t="s">
        <v>60829</v>
      </c>
      <c r="C16477" s="330" t="s">
        <v>33851</v>
      </c>
      <c r="D16477" s="330" t="s">
        <v>33852</v>
      </c>
      <c r="E16477" s="330" t="s">
        <v>4634</v>
      </c>
      <c r="F16477" s="331">
        <v>0.21</v>
      </c>
      <c r="G16477" s="332">
        <v>678</v>
      </c>
      <c r="H16477" s="333">
        <v>821</v>
      </c>
    </row>
    <row r="16478" spans="1:8">
      <c r="A16478" s="317">
        <v>3607200064</v>
      </c>
      <c r="B16478" s="330" t="s">
        <v>60830</v>
      </c>
      <c r="C16478" s="330" t="s">
        <v>33853</v>
      </c>
      <c r="D16478" s="330" t="s">
        <v>33854</v>
      </c>
      <c r="E16478" s="330" t="s">
        <v>4819</v>
      </c>
      <c r="F16478" s="331">
        <v>0.21</v>
      </c>
      <c r="G16478" s="332">
        <v>38351</v>
      </c>
      <c r="H16478" s="333">
        <v>46405</v>
      </c>
    </row>
    <row r="16479" spans="1:8">
      <c r="A16479" s="317">
        <v>3607200074</v>
      </c>
      <c r="B16479" s="330" t="s">
        <v>60831</v>
      </c>
      <c r="C16479" s="330" t="s">
        <v>33855</v>
      </c>
      <c r="D16479" s="330" t="s">
        <v>33856</v>
      </c>
      <c r="E16479" s="330" t="s">
        <v>4819</v>
      </c>
      <c r="F16479" s="331">
        <v>0.21</v>
      </c>
      <c r="G16479" s="332">
        <v>35469</v>
      </c>
      <c r="H16479" s="333">
        <v>42918</v>
      </c>
    </row>
    <row r="16480" spans="1:8">
      <c r="A16480" s="317">
        <v>3607200083</v>
      </c>
      <c r="B16480" s="330" t="s">
        <v>60832</v>
      </c>
      <c r="C16480" s="330" t="s">
        <v>33857</v>
      </c>
      <c r="D16480" s="330" t="s">
        <v>33858</v>
      </c>
      <c r="E16480" s="330" t="s">
        <v>4634</v>
      </c>
      <c r="F16480" s="331">
        <v>0.21</v>
      </c>
      <c r="G16480" s="332">
        <v>5882</v>
      </c>
      <c r="H16480" s="333">
        <v>7118</v>
      </c>
    </row>
    <row r="16481" spans="1:8">
      <c r="A16481" s="317">
        <v>3607200085</v>
      </c>
      <c r="B16481" s="330" t="s">
        <v>60833</v>
      </c>
      <c r="C16481" s="330" t="s">
        <v>33859</v>
      </c>
      <c r="D16481" s="330" t="s">
        <v>33860</v>
      </c>
      <c r="E16481" s="330" t="s">
        <v>4634</v>
      </c>
      <c r="F16481" s="331">
        <v>0.21</v>
      </c>
      <c r="G16481" s="332">
        <v>260524</v>
      </c>
      <c r="H16481" s="333">
        <v>315235</v>
      </c>
    </row>
    <row r="16482" spans="1:8">
      <c r="A16482" s="317">
        <v>3607200086</v>
      </c>
      <c r="B16482" s="330" t="s">
        <v>60834</v>
      </c>
      <c r="C16482" s="330" t="s">
        <v>33861</v>
      </c>
      <c r="D16482" s="330" t="s">
        <v>33862</v>
      </c>
      <c r="E16482" s="330" t="s">
        <v>4634</v>
      </c>
      <c r="F16482" s="331">
        <v>0.21</v>
      </c>
      <c r="G16482" s="332">
        <v>36836</v>
      </c>
      <c r="H16482" s="333">
        <v>44572</v>
      </c>
    </row>
    <row r="16483" spans="1:8">
      <c r="A16483" s="317">
        <v>3607200092</v>
      </c>
      <c r="B16483" s="330" t="s">
        <v>60835</v>
      </c>
      <c r="C16483" s="330" t="s">
        <v>33863</v>
      </c>
      <c r="D16483" s="330" t="s">
        <v>33864</v>
      </c>
      <c r="E16483" s="330" t="s">
        <v>4634</v>
      </c>
      <c r="F16483" s="331">
        <v>0.21</v>
      </c>
      <c r="G16483" s="332">
        <v>22883</v>
      </c>
      <c r="H16483" s="333">
        <v>27689</v>
      </c>
    </row>
    <row r="16484" spans="1:8">
      <c r="A16484" s="317">
        <v>3607200093</v>
      </c>
      <c r="B16484" s="330" t="s">
        <v>60836</v>
      </c>
      <c r="C16484" s="330" t="s">
        <v>33865</v>
      </c>
      <c r="D16484" s="330" t="s">
        <v>33866</v>
      </c>
      <c r="E16484" s="330" t="s">
        <v>4634</v>
      </c>
      <c r="F16484" s="331">
        <v>0.21</v>
      </c>
      <c r="G16484" s="332">
        <v>31625</v>
      </c>
      <c r="H16484" s="333">
        <v>38267</v>
      </c>
    </row>
    <row r="16485" spans="1:8">
      <c r="A16485" s="317">
        <v>3607200094</v>
      </c>
      <c r="B16485" s="330" t="s">
        <v>60837</v>
      </c>
      <c r="C16485" s="330" t="s">
        <v>33867</v>
      </c>
      <c r="D16485" s="330" t="s">
        <v>33866</v>
      </c>
      <c r="E16485" s="330" t="s">
        <v>4634</v>
      </c>
      <c r="F16485" s="331">
        <v>0.21</v>
      </c>
      <c r="G16485" s="332">
        <v>35025</v>
      </c>
      <c r="H16485" s="333">
        <v>42381</v>
      </c>
    </row>
    <row r="16486" spans="1:8">
      <c r="A16486" s="317">
        <v>3607200095</v>
      </c>
      <c r="B16486" s="330" t="s">
        <v>60838</v>
      </c>
      <c r="C16486" s="330" t="s">
        <v>33868</v>
      </c>
      <c r="D16486" s="330" t="s">
        <v>33866</v>
      </c>
      <c r="E16486" s="330" t="s">
        <v>4623</v>
      </c>
      <c r="F16486" s="331">
        <v>0.21</v>
      </c>
      <c r="G16486" s="332">
        <v>58970</v>
      </c>
      <c r="H16486" s="333">
        <v>71354</v>
      </c>
    </row>
    <row r="16487" spans="1:8">
      <c r="A16487" s="317">
        <v>3607200096</v>
      </c>
      <c r="B16487" s="330" t="s">
        <v>60839</v>
      </c>
      <c r="C16487" s="330" t="s">
        <v>33869</v>
      </c>
      <c r="D16487" s="330" t="s">
        <v>33866</v>
      </c>
      <c r="E16487" s="330" t="s">
        <v>4634</v>
      </c>
      <c r="F16487" s="331">
        <v>0.21</v>
      </c>
      <c r="G16487" s="332">
        <v>124579</v>
      </c>
      <c r="H16487" s="333">
        <v>150741</v>
      </c>
    </row>
    <row r="16488" spans="1:8">
      <c r="A16488" s="317">
        <v>3607200097</v>
      </c>
      <c r="B16488" s="330" t="s">
        <v>60840</v>
      </c>
      <c r="C16488" s="330" t="s">
        <v>33870</v>
      </c>
      <c r="D16488" s="330" t="s">
        <v>33871</v>
      </c>
      <c r="E16488" s="330" t="s">
        <v>4634</v>
      </c>
      <c r="F16488" s="331">
        <v>0.21</v>
      </c>
      <c r="G16488" s="332">
        <v>15978</v>
      </c>
      <c r="H16488" s="333">
        <v>19334</v>
      </c>
    </row>
    <row r="16489" spans="1:8">
      <c r="A16489" s="317">
        <v>3607200098</v>
      </c>
      <c r="B16489" s="330" t="s">
        <v>60841</v>
      </c>
      <c r="C16489" s="330" t="s">
        <v>33872</v>
      </c>
      <c r="D16489" s="330" t="s">
        <v>33873</v>
      </c>
      <c r="E16489" s="330" t="s">
        <v>4634</v>
      </c>
      <c r="F16489" s="331">
        <v>0.21</v>
      </c>
      <c r="G16489" s="332">
        <v>17806</v>
      </c>
      <c r="H16489" s="333">
        <v>21546</v>
      </c>
    </row>
    <row r="16490" spans="1:8">
      <c r="A16490" s="317">
        <v>3607200099</v>
      </c>
      <c r="B16490" s="330" t="s">
        <v>60842</v>
      </c>
      <c r="C16490" s="330" t="s">
        <v>33874</v>
      </c>
      <c r="D16490" s="330" t="s">
        <v>33875</v>
      </c>
      <c r="E16490" s="330" t="s">
        <v>4634</v>
      </c>
      <c r="F16490" s="331">
        <v>0.21</v>
      </c>
      <c r="G16490" s="332">
        <v>26738</v>
      </c>
      <c r="H16490" s="333">
        <v>32353</v>
      </c>
    </row>
    <row r="16491" spans="1:8">
      <c r="A16491" s="317">
        <v>3607200106</v>
      </c>
      <c r="B16491" s="330" t="s">
        <v>60843</v>
      </c>
      <c r="C16491" s="330" t="s">
        <v>33876</v>
      </c>
      <c r="D16491" s="330" t="s">
        <v>33877</v>
      </c>
      <c r="E16491" s="330" t="s">
        <v>4634</v>
      </c>
      <c r="F16491" s="331">
        <v>0.21</v>
      </c>
      <c r="G16491" s="332">
        <v>172146</v>
      </c>
      <c r="H16491" s="333">
        <v>208297</v>
      </c>
    </row>
    <row r="16492" spans="1:8">
      <c r="A16492" s="317">
        <v>3607200107</v>
      </c>
      <c r="B16492" s="330" t="s">
        <v>60844</v>
      </c>
      <c r="C16492" s="330" t="s">
        <v>33878</v>
      </c>
      <c r="D16492" s="330" t="s">
        <v>33879</v>
      </c>
      <c r="E16492" s="330" t="s">
        <v>4634</v>
      </c>
      <c r="F16492" s="331">
        <v>0.21</v>
      </c>
      <c r="G16492" s="332">
        <v>32673</v>
      </c>
      <c r="H16492" s="333">
        <v>39535</v>
      </c>
    </row>
    <row r="16493" spans="1:8">
      <c r="A16493" s="317">
        <v>3607200108</v>
      </c>
      <c r="B16493" s="330" t="s">
        <v>60845</v>
      </c>
      <c r="C16493" s="330" t="s">
        <v>33880</v>
      </c>
      <c r="D16493" s="330" t="s">
        <v>33881</v>
      </c>
      <c r="E16493" s="330" t="s">
        <v>4634</v>
      </c>
      <c r="F16493" s="331">
        <v>0.21</v>
      </c>
      <c r="G16493" s="332">
        <v>160474</v>
      </c>
      <c r="H16493" s="333">
        <v>194174</v>
      </c>
    </row>
    <row r="16494" spans="1:8">
      <c r="A16494" s="317">
        <v>3607200109</v>
      </c>
      <c r="B16494" s="330" t="s">
        <v>60846</v>
      </c>
      <c r="C16494" s="330" t="s">
        <v>33882</v>
      </c>
      <c r="D16494" s="330" t="s">
        <v>33883</v>
      </c>
      <c r="E16494" s="330" t="s">
        <v>4623</v>
      </c>
      <c r="F16494" s="331">
        <v>0.21</v>
      </c>
      <c r="G16494" s="332">
        <v>431557</v>
      </c>
      <c r="H16494" s="333">
        <v>522184</v>
      </c>
    </row>
    <row r="16495" spans="1:8">
      <c r="A16495" s="317">
        <v>3607200112</v>
      </c>
      <c r="B16495" s="330" t="s">
        <v>60847</v>
      </c>
      <c r="C16495" s="330" t="s">
        <v>33884</v>
      </c>
      <c r="D16495" s="330" t="s">
        <v>33885</v>
      </c>
      <c r="E16495" s="330" t="s">
        <v>4634</v>
      </c>
      <c r="F16495" s="331">
        <v>0.21</v>
      </c>
      <c r="G16495" s="332">
        <v>388490</v>
      </c>
      <c r="H16495" s="333">
        <v>470073</v>
      </c>
    </row>
    <row r="16496" spans="1:8">
      <c r="A16496" s="317">
        <v>3607200113</v>
      </c>
      <c r="B16496" s="330" t="s">
        <v>60848</v>
      </c>
      <c r="C16496" s="330" t="s">
        <v>33886</v>
      </c>
      <c r="D16496" s="330" t="s">
        <v>33887</v>
      </c>
      <c r="E16496" s="330" t="s">
        <v>4634</v>
      </c>
      <c r="F16496" s="331">
        <v>0.21</v>
      </c>
      <c r="G16496" s="332">
        <v>52331</v>
      </c>
      <c r="H16496" s="333">
        <v>63321</v>
      </c>
    </row>
    <row r="16497" spans="1:8">
      <c r="A16497" s="317">
        <v>3607200114</v>
      </c>
      <c r="B16497" s="330" t="s">
        <v>60849</v>
      </c>
      <c r="C16497" s="330" t="s">
        <v>33888</v>
      </c>
      <c r="D16497" s="330" t="s">
        <v>33889</v>
      </c>
      <c r="E16497" s="330" t="s">
        <v>4634</v>
      </c>
      <c r="F16497" s="331">
        <v>0.21</v>
      </c>
      <c r="G16497" s="332">
        <v>63313</v>
      </c>
      <c r="H16497" s="333">
        <v>76609</v>
      </c>
    </row>
    <row r="16498" spans="1:8">
      <c r="A16498" s="317">
        <v>3607200120</v>
      </c>
      <c r="B16498" s="330" t="s">
        <v>60850</v>
      </c>
      <c r="C16498" s="330" t="s">
        <v>33890</v>
      </c>
      <c r="D16498" s="330" t="s">
        <v>33891</v>
      </c>
      <c r="E16498" s="330" t="s">
        <v>4634</v>
      </c>
      <c r="F16498" s="331">
        <v>0.21</v>
      </c>
      <c r="G16498" s="332">
        <v>52331</v>
      </c>
      <c r="H16498" s="333">
        <v>63321</v>
      </c>
    </row>
    <row r="16499" spans="1:8">
      <c r="A16499" s="317">
        <v>3607200507</v>
      </c>
      <c r="B16499" s="330" t="s">
        <v>60851</v>
      </c>
      <c r="C16499" s="330" t="s">
        <v>33892</v>
      </c>
      <c r="D16499" s="330" t="s">
        <v>33893</v>
      </c>
      <c r="E16499" s="330" t="s">
        <v>4634</v>
      </c>
      <c r="F16499" s="331">
        <v>0.21</v>
      </c>
      <c r="G16499" s="332">
        <v>25399</v>
      </c>
      <c r="H16499" s="333">
        <v>30733</v>
      </c>
    </row>
    <row r="16500" spans="1:8">
      <c r="A16500" s="317">
        <v>3607218000</v>
      </c>
      <c r="B16500" s="330" t="s">
        <v>60852</v>
      </c>
      <c r="C16500" s="330" t="s">
        <v>33894</v>
      </c>
      <c r="D16500" s="330" t="s">
        <v>33895</v>
      </c>
      <c r="E16500" s="330" t="s">
        <v>4634</v>
      </c>
      <c r="F16500" s="331">
        <v>0.21</v>
      </c>
      <c r="G16500" s="332">
        <v>177693</v>
      </c>
      <c r="H16500" s="333">
        <v>215009</v>
      </c>
    </row>
    <row r="16501" spans="1:8">
      <c r="A16501" s="317">
        <v>3607218009</v>
      </c>
      <c r="B16501" s="330" t="s">
        <v>60853</v>
      </c>
      <c r="C16501" s="330" t="s">
        <v>33896</v>
      </c>
      <c r="D16501" s="330" t="s">
        <v>33897</v>
      </c>
      <c r="E16501" s="330" t="s">
        <v>4634</v>
      </c>
      <c r="F16501" s="331">
        <v>0.21</v>
      </c>
      <c r="G16501" s="332">
        <v>16802</v>
      </c>
      <c r="H16501" s="333">
        <v>20331</v>
      </c>
    </row>
    <row r="16502" spans="1:8">
      <c r="A16502" s="317">
        <v>3607230500</v>
      </c>
      <c r="B16502" s="330" t="s">
        <v>60854</v>
      </c>
      <c r="C16502" s="330" t="s">
        <v>33898</v>
      </c>
      <c r="D16502" s="330" t="s">
        <v>33899</v>
      </c>
      <c r="E16502" s="330" t="s">
        <v>4634</v>
      </c>
      <c r="F16502" s="331">
        <v>0.21</v>
      </c>
      <c r="G16502" s="332">
        <v>12447</v>
      </c>
      <c r="H16502" s="333">
        <v>15061</v>
      </c>
    </row>
    <row r="16503" spans="1:8">
      <c r="A16503" s="317">
        <v>3607233026</v>
      </c>
      <c r="B16503" s="330" t="s">
        <v>60855</v>
      </c>
      <c r="C16503" s="330" t="s">
        <v>33900</v>
      </c>
      <c r="D16503" s="330" t="s">
        <v>10443</v>
      </c>
      <c r="E16503" s="330" t="s">
        <v>37248</v>
      </c>
      <c r="F16503" s="331">
        <v>0.21</v>
      </c>
      <c r="G16503" s="332">
        <v>3131</v>
      </c>
      <c r="H16503" s="333">
        <v>3789</v>
      </c>
    </row>
    <row r="16504" spans="1:8">
      <c r="A16504" s="317">
        <v>3607950005</v>
      </c>
      <c r="B16504" s="330" t="s">
        <v>60856</v>
      </c>
      <c r="C16504" s="330" t="s">
        <v>33901</v>
      </c>
      <c r="D16504" s="330" t="s">
        <v>33902</v>
      </c>
      <c r="E16504" s="330" t="s">
        <v>4634</v>
      </c>
      <c r="F16504" s="331">
        <v>0.21</v>
      </c>
      <c r="G16504" s="332">
        <v>10283</v>
      </c>
      <c r="H16504" s="333">
        <v>12443</v>
      </c>
    </row>
    <row r="16505" spans="1:8">
      <c r="A16505" s="317">
        <v>3607950010</v>
      </c>
      <c r="B16505" s="330" t="s">
        <v>60857</v>
      </c>
      <c r="C16505" s="330" t="s">
        <v>33903</v>
      </c>
      <c r="D16505" s="330" t="s">
        <v>33904</v>
      </c>
      <c r="E16505" s="330" t="s">
        <v>4634</v>
      </c>
      <c r="F16505" s="331">
        <v>0.21</v>
      </c>
      <c r="G16505" s="332">
        <v>6553</v>
      </c>
      <c r="H16505" s="333">
        <v>7930</v>
      </c>
    </row>
    <row r="16506" spans="1:8">
      <c r="A16506" s="317">
        <v>3607950020</v>
      </c>
      <c r="B16506" s="330" t="s">
        <v>60858</v>
      </c>
      <c r="C16506" s="330" t="s">
        <v>33905</v>
      </c>
      <c r="D16506" s="330" t="s">
        <v>33906</v>
      </c>
      <c r="E16506" s="330" t="s">
        <v>4634</v>
      </c>
      <c r="F16506" s="331">
        <v>0.21</v>
      </c>
      <c r="G16506" s="332">
        <v>4994</v>
      </c>
      <c r="H16506" s="333">
        <v>6043</v>
      </c>
    </row>
    <row r="16507" spans="1:8">
      <c r="A16507" s="317">
        <v>3607950024</v>
      </c>
      <c r="B16507" s="330" t="s">
        <v>60859</v>
      </c>
      <c r="C16507" s="330" t="s">
        <v>33907</v>
      </c>
      <c r="D16507" s="330" t="s">
        <v>33908</v>
      </c>
      <c r="E16507" s="330" t="s">
        <v>37248</v>
      </c>
      <c r="F16507" s="331">
        <v>0.21</v>
      </c>
      <c r="G16507" s="332">
        <v>5840</v>
      </c>
      <c r="H16507" s="333">
        <v>7067</v>
      </c>
    </row>
    <row r="16508" spans="1:8">
      <c r="A16508" s="317">
        <v>3607950025</v>
      </c>
      <c r="B16508" s="330" t="s">
        <v>60860</v>
      </c>
      <c r="C16508" s="330" t="s">
        <v>33909</v>
      </c>
      <c r="D16508" s="330" t="s">
        <v>33910</v>
      </c>
      <c r="E16508" s="330" t="s">
        <v>37248</v>
      </c>
      <c r="F16508" s="331">
        <v>0.21</v>
      </c>
      <c r="G16508" s="332">
        <v>5143</v>
      </c>
      <c r="H16508" s="333">
        <v>6224</v>
      </c>
    </row>
    <row r="16509" spans="1:8">
      <c r="A16509" s="317">
        <v>3607950027</v>
      </c>
      <c r="B16509" s="330" t="s">
        <v>60861</v>
      </c>
      <c r="C16509" s="330" t="s">
        <v>33911</v>
      </c>
      <c r="D16509" s="330" t="s">
        <v>33912</v>
      </c>
      <c r="E16509" s="330" t="s">
        <v>4634</v>
      </c>
      <c r="F16509" s="331">
        <v>0.21</v>
      </c>
      <c r="G16509" s="332">
        <v>5715</v>
      </c>
      <c r="H16509" s="333">
        <v>6916</v>
      </c>
    </row>
    <row r="16510" spans="1:8">
      <c r="A16510" s="317">
        <v>3608000000</v>
      </c>
      <c r="B16510" s="330" t="s">
        <v>60862</v>
      </c>
      <c r="C16510" s="330" t="s">
        <v>33913</v>
      </c>
      <c r="D16510" s="330" t="s">
        <v>33914</v>
      </c>
      <c r="E16510" s="330" t="s">
        <v>4634</v>
      </c>
      <c r="F16510" s="331">
        <v>0.21</v>
      </c>
      <c r="G16510" s="332">
        <v>1581</v>
      </c>
      <c r="H16510" s="333">
        <v>1914</v>
      </c>
    </row>
    <row r="16511" spans="1:8">
      <c r="A16511" s="317">
        <v>3608042002</v>
      </c>
      <c r="B16511" s="330" t="s">
        <v>60863</v>
      </c>
      <c r="C16511" s="330" t="s">
        <v>33915</v>
      </c>
      <c r="D16511" s="330" t="s">
        <v>33916</v>
      </c>
      <c r="E16511" s="330" t="s">
        <v>4634</v>
      </c>
      <c r="F16511" s="331">
        <v>0.21</v>
      </c>
      <c r="G16511" s="332">
        <v>97357</v>
      </c>
      <c r="H16511" s="333">
        <v>117802</v>
      </c>
    </row>
    <row r="16512" spans="1:8">
      <c r="A16512" s="317">
        <v>3608300177</v>
      </c>
      <c r="B16512" s="330" t="s">
        <v>60864</v>
      </c>
      <c r="C16512" s="330" t="s">
        <v>33917</v>
      </c>
      <c r="D16512" s="330" t="s">
        <v>33918</v>
      </c>
      <c r="E16512" s="330" t="s">
        <v>4634</v>
      </c>
      <c r="F16512" s="331">
        <v>0.21</v>
      </c>
      <c r="G16512" s="332">
        <v>112272</v>
      </c>
      <c r="H16512" s="333">
        <v>135850</v>
      </c>
    </row>
    <row r="16513" spans="1:8">
      <c r="A16513" s="317">
        <v>3608300178</v>
      </c>
      <c r="B16513" s="330" t="s">
        <v>60865</v>
      </c>
      <c r="C16513" s="330" t="s">
        <v>33919</v>
      </c>
      <c r="D16513" s="330" t="s">
        <v>33918</v>
      </c>
      <c r="E16513" s="330" t="s">
        <v>4634</v>
      </c>
      <c r="F16513" s="331">
        <v>0.21</v>
      </c>
      <c r="G16513" s="332">
        <v>64573</v>
      </c>
      <c r="H16513" s="333">
        <v>78134</v>
      </c>
    </row>
    <row r="16514" spans="1:8">
      <c r="A16514" s="317">
        <v>3608571003</v>
      </c>
      <c r="B16514" s="330" t="s">
        <v>60866</v>
      </c>
      <c r="C16514" s="330" t="s">
        <v>33920</v>
      </c>
      <c r="D16514" s="330" t="s">
        <v>33921</v>
      </c>
      <c r="E16514" s="330" t="s">
        <v>4819</v>
      </c>
      <c r="F16514" s="331">
        <v>0.21</v>
      </c>
      <c r="G16514" s="332">
        <v>109294</v>
      </c>
      <c r="H16514" s="333">
        <v>132246</v>
      </c>
    </row>
    <row r="16515" spans="1:8">
      <c r="A16515" s="317">
        <v>3608635009</v>
      </c>
      <c r="B16515" s="330" t="s">
        <v>60867</v>
      </c>
      <c r="C16515" s="330" t="s">
        <v>33922</v>
      </c>
      <c r="D16515" s="330" t="s">
        <v>33923</v>
      </c>
      <c r="E16515" s="330" t="s">
        <v>37248</v>
      </c>
      <c r="F16515" s="331">
        <v>0.21</v>
      </c>
      <c r="G16515" s="332">
        <v>8171</v>
      </c>
      <c r="H16515" s="333">
        <v>9887</v>
      </c>
    </row>
    <row r="16516" spans="1:8">
      <c r="A16516" s="317">
        <v>3608639026</v>
      </c>
      <c r="B16516" s="330" t="s">
        <v>60868</v>
      </c>
      <c r="C16516" s="330" t="s">
        <v>33924</v>
      </c>
      <c r="D16516" s="330" t="s">
        <v>33925</v>
      </c>
      <c r="E16516" s="330" t="s">
        <v>4819</v>
      </c>
      <c r="F16516" s="331">
        <v>0.21</v>
      </c>
      <c r="G16516" s="332">
        <v>9282</v>
      </c>
      <c r="H16516" s="333">
        <v>11232</v>
      </c>
    </row>
    <row r="16517" spans="1:8">
      <c r="A16517" s="317">
        <v>3608750017</v>
      </c>
      <c r="B16517" s="330" t="s">
        <v>60869</v>
      </c>
      <c r="C16517" s="330" t="s">
        <v>33926</v>
      </c>
      <c r="D16517" s="330" t="s">
        <v>33927</v>
      </c>
      <c r="E16517" s="330" t="s">
        <v>4634</v>
      </c>
      <c r="F16517" s="331">
        <v>0.21</v>
      </c>
      <c r="G16517" s="332">
        <v>412</v>
      </c>
      <c r="H16517" s="333">
        <v>499</v>
      </c>
    </row>
    <row r="16518" spans="1:8">
      <c r="A16518" s="317">
        <v>3608750023</v>
      </c>
      <c r="B16518" s="330" t="s">
        <v>60870</v>
      </c>
      <c r="C16518" s="330" t="s">
        <v>33928</v>
      </c>
      <c r="D16518" s="330" t="s">
        <v>33929</v>
      </c>
      <c r="E16518" s="330" t="s">
        <v>4634</v>
      </c>
      <c r="F16518" s="331">
        <v>0.21</v>
      </c>
      <c r="G16518" s="332">
        <v>9128</v>
      </c>
      <c r="H16518" s="333">
        <v>11045</v>
      </c>
    </row>
    <row r="16519" spans="1:8">
      <c r="A16519" s="317">
        <v>3608750024</v>
      </c>
      <c r="B16519" s="330" t="s">
        <v>60871</v>
      </c>
      <c r="C16519" s="330" t="s">
        <v>33930</v>
      </c>
      <c r="D16519" s="330" t="s">
        <v>33931</v>
      </c>
      <c r="E16519" s="330" t="s">
        <v>4634</v>
      </c>
      <c r="F16519" s="331">
        <v>0.21</v>
      </c>
      <c r="G16519" s="332">
        <v>816</v>
      </c>
      <c r="H16519" s="333">
        <v>988</v>
      </c>
    </row>
    <row r="16520" spans="1:8">
      <c r="A16520" s="317">
        <v>3608750025</v>
      </c>
      <c r="B16520" s="330" t="s">
        <v>60872</v>
      </c>
      <c r="C16520" s="330" t="s">
        <v>33932</v>
      </c>
      <c r="D16520" s="330" t="s">
        <v>33933</v>
      </c>
      <c r="E16520" s="330" t="s">
        <v>4634</v>
      </c>
      <c r="F16520" s="331">
        <v>0.21</v>
      </c>
      <c r="G16520" s="332">
        <v>15336</v>
      </c>
      <c r="H16520" s="333">
        <v>18557</v>
      </c>
    </row>
    <row r="16521" spans="1:8">
      <c r="A16521" s="317">
        <v>3608750028</v>
      </c>
      <c r="B16521" s="330" t="s">
        <v>60873</v>
      </c>
      <c r="C16521" s="330" t="s">
        <v>33934</v>
      </c>
      <c r="D16521" s="330" t="s">
        <v>33935</v>
      </c>
      <c r="E16521" s="330" t="s">
        <v>4634</v>
      </c>
      <c r="F16521" s="331">
        <v>0.21</v>
      </c>
      <c r="G16521" s="332">
        <v>1170</v>
      </c>
      <c r="H16521" s="333">
        <v>1416</v>
      </c>
    </row>
    <row r="16522" spans="1:8">
      <c r="A16522" s="317">
        <v>3608750030</v>
      </c>
      <c r="B16522" s="330" t="s">
        <v>60874</v>
      </c>
      <c r="C16522" s="330" t="s">
        <v>33936</v>
      </c>
      <c r="D16522" s="330" t="s">
        <v>33937</v>
      </c>
      <c r="E16522" s="330" t="s">
        <v>4634</v>
      </c>
      <c r="F16522" s="331">
        <v>0.21</v>
      </c>
      <c r="G16522" s="332">
        <v>5819</v>
      </c>
      <c r="H16522" s="333">
        <v>7041</v>
      </c>
    </row>
    <row r="16523" spans="1:8">
      <c r="A16523" s="317">
        <v>3608750031</v>
      </c>
      <c r="B16523" s="330" t="s">
        <v>60875</v>
      </c>
      <c r="C16523" s="330" t="s">
        <v>33938</v>
      </c>
      <c r="D16523" s="330" t="s">
        <v>33937</v>
      </c>
      <c r="E16523" s="330" t="s">
        <v>4634</v>
      </c>
      <c r="F16523" s="331">
        <v>0.21</v>
      </c>
      <c r="G16523" s="332">
        <v>3383</v>
      </c>
      <c r="H16523" s="333">
        <v>4094</v>
      </c>
    </row>
    <row r="16524" spans="1:8">
      <c r="A16524" s="317">
        <v>3608750036</v>
      </c>
      <c r="B16524" s="330" t="s">
        <v>60876</v>
      </c>
      <c r="C16524" s="330" t="s">
        <v>33939</v>
      </c>
      <c r="D16524" s="330" t="s">
        <v>33940</v>
      </c>
      <c r="E16524" s="330" t="s">
        <v>4634</v>
      </c>
      <c r="F16524" s="331">
        <v>0.21</v>
      </c>
      <c r="G16524" s="332">
        <v>791</v>
      </c>
      <c r="H16524" s="333">
        <v>958</v>
      </c>
    </row>
    <row r="16525" spans="1:8">
      <c r="A16525" s="317">
        <v>3608750037</v>
      </c>
      <c r="B16525" s="330" t="s">
        <v>60877</v>
      </c>
      <c r="C16525" s="330" t="s">
        <v>33941</v>
      </c>
      <c r="D16525" s="330" t="s">
        <v>33942</v>
      </c>
      <c r="E16525" s="330" t="s">
        <v>4634</v>
      </c>
      <c r="F16525" s="331">
        <v>0.21</v>
      </c>
      <c r="G16525" s="332">
        <v>678</v>
      </c>
      <c r="H16525" s="333">
        <v>821</v>
      </c>
    </row>
    <row r="16526" spans="1:8">
      <c r="A16526" s="317">
        <v>3608750040</v>
      </c>
      <c r="B16526" s="330" t="s">
        <v>60878</v>
      </c>
      <c r="C16526" s="330" t="s">
        <v>33943</v>
      </c>
      <c r="D16526" s="330" t="s">
        <v>32486</v>
      </c>
      <c r="E16526" s="330" t="s">
        <v>4634</v>
      </c>
      <c r="F16526" s="331">
        <v>0.21</v>
      </c>
      <c r="G16526" s="332">
        <v>711</v>
      </c>
      <c r="H16526" s="333">
        <v>861</v>
      </c>
    </row>
    <row r="16527" spans="1:8">
      <c r="A16527" s="317">
        <v>3608750041</v>
      </c>
      <c r="B16527" s="330" t="s">
        <v>60879</v>
      </c>
      <c r="C16527" s="330" t="s">
        <v>33944</v>
      </c>
      <c r="D16527" s="330" t="s">
        <v>32073</v>
      </c>
      <c r="E16527" s="330" t="s">
        <v>4634</v>
      </c>
      <c r="F16527" s="331">
        <v>0.21</v>
      </c>
      <c r="G16527" s="332">
        <v>928</v>
      </c>
      <c r="H16527" s="333">
        <v>1123</v>
      </c>
    </row>
    <row r="16528" spans="1:8">
      <c r="A16528" s="317">
        <v>3608750042</v>
      </c>
      <c r="B16528" s="330" t="s">
        <v>60880</v>
      </c>
      <c r="C16528" s="330" t="s">
        <v>33945</v>
      </c>
      <c r="D16528" s="330" t="s">
        <v>33946</v>
      </c>
      <c r="E16528" s="330" t="s">
        <v>4634</v>
      </c>
      <c r="F16528" s="331">
        <v>0.21</v>
      </c>
      <c r="G16528" s="332">
        <v>927</v>
      </c>
      <c r="H16528" s="333">
        <v>1122</v>
      </c>
    </row>
    <row r="16529" spans="1:8">
      <c r="A16529" s="317">
        <v>3608750043</v>
      </c>
      <c r="B16529" s="330" t="s">
        <v>60881</v>
      </c>
      <c r="C16529" s="330" t="s">
        <v>33947</v>
      </c>
      <c r="D16529" s="330" t="s">
        <v>33948</v>
      </c>
      <c r="E16529" s="330" t="s">
        <v>4634</v>
      </c>
      <c r="F16529" s="331">
        <v>0.21</v>
      </c>
      <c r="G16529" s="332">
        <v>16802</v>
      </c>
      <c r="H16529" s="333">
        <v>20331</v>
      </c>
    </row>
    <row r="16530" spans="1:8">
      <c r="A16530" s="317">
        <v>3608750044</v>
      </c>
      <c r="B16530" s="330" t="s">
        <v>60882</v>
      </c>
      <c r="C16530" s="330" t="s">
        <v>33949</v>
      </c>
      <c r="D16530" s="330" t="s">
        <v>33948</v>
      </c>
      <c r="E16530" s="330" t="s">
        <v>4634</v>
      </c>
      <c r="F16530" s="331">
        <v>0.21</v>
      </c>
      <c r="G16530" s="332">
        <v>2768</v>
      </c>
      <c r="H16530" s="333">
        <v>3350</v>
      </c>
    </row>
    <row r="16531" spans="1:8">
      <c r="A16531" s="317">
        <v>3608750046</v>
      </c>
      <c r="B16531" s="330" t="s">
        <v>60883</v>
      </c>
      <c r="C16531" s="330" t="s">
        <v>33950</v>
      </c>
      <c r="D16531" s="330" t="s">
        <v>33948</v>
      </c>
      <c r="E16531" s="330" t="s">
        <v>4634</v>
      </c>
      <c r="F16531" s="331">
        <v>0.21</v>
      </c>
      <c r="G16531" s="332">
        <v>36138</v>
      </c>
      <c r="H16531" s="333">
        <v>43727</v>
      </c>
    </row>
    <row r="16532" spans="1:8">
      <c r="A16532" s="317">
        <v>3608750047</v>
      </c>
      <c r="B16532" s="330" t="s">
        <v>60884</v>
      </c>
      <c r="C16532" s="330" t="s">
        <v>33951</v>
      </c>
      <c r="D16532" s="330" t="s">
        <v>33948</v>
      </c>
      <c r="E16532" s="330" t="s">
        <v>4634</v>
      </c>
      <c r="F16532" s="331">
        <v>0.21</v>
      </c>
      <c r="G16532" s="332">
        <v>23838</v>
      </c>
      <c r="H16532" s="333">
        <v>28844</v>
      </c>
    </row>
    <row r="16533" spans="1:8">
      <c r="A16533" s="317">
        <v>3608870327</v>
      </c>
      <c r="B16533" s="330" t="s">
        <v>60885</v>
      </c>
      <c r="C16533" s="330" t="s">
        <v>33952</v>
      </c>
      <c r="D16533" s="330" t="s">
        <v>32209</v>
      </c>
      <c r="E16533" s="330" t="s">
        <v>4634</v>
      </c>
      <c r="F16533" s="331">
        <v>0.21</v>
      </c>
      <c r="G16533" s="332">
        <v>2059</v>
      </c>
      <c r="H16533" s="333">
        <v>2492</v>
      </c>
    </row>
    <row r="16534" spans="1:8">
      <c r="A16534" s="317">
        <v>3608870382</v>
      </c>
      <c r="B16534" s="330" t="s">
        <v>60886</v>
      </c>
      <c r="C16534" s="330" t="s">
        <v>33953</v>
      </c>
      <c r="D16534" s="330" t="s">
        <v>21563</v>
      </c>
      <c r="E16534" s="330" t="s">
        <v>37248</v>
      </c>
      <c r="F16534" s="331">
        <v>0.21</v>
      </c>
      <c r="G16534" s="332">
        <v>15490</v>
      </c>
      <c r="H16534" s="333">
        <v>18743</v>
      </c>
    </row>
    <row r="16535" spans="1:8">
      <c r="A16535" s="317">
        <v>3608871840</v>
      </c>
      <c r="B16535" s="330" t="s">
        <v>60887</v>
      </c>
      <c r="C16535" s="330" t="s">
        <v>33954</v>
      </c>
      <c r="D16535" s="330" t="s">
        <v>33955</v>
      </c>
      <c r="E16535" s="330" t="s">
        <v>4634</v>
      </c>
      <c r="F16535" s="331">
        <v>0.21</v>
      </c>
      <c r="G16535" s="332">
        <v>41864</v>
      </c>
      <c r="H16535" s="333">
        <v>50656</v>
      </c>
    </row>
    <row r="16536" spans="1:8">
      <c r="A16536" s="317">
        <v>3608872913</v>
      </c>
      <c r="B16536" s="330" t="s">
        <v>60888</v>
      </c>
      <c r="C16536" s="330" t="s">
        <v>33956</v>
      </c>
      <c r="D16536" s="330" t="s">
        <v>33957</v>
      </c>
      <c r="E16536" s="330" t="s">
        <v>37248</v>
      </c>
      <c r="F16536" s="331">
        <v>0.21</v>
      </c>
      <c r="G16536" s="332">
        <v>3306</v>
      </c>
      <c r="H16536" s="333">
        <v>4001</v>
      </c>
    </row>
    <row r="16537" spans="1:8">
      <c r="A16537" s="317">
        <v>3608873782</v>
      </c>
      <c r="B16537" s="330" t="s">
        <v>60889</v>
      </c>
      <c r="C16537" s="330" t="s">
        <v>33958</v>
      </c>
      <c r="D16537" s="330" t="s">
        <v>33959</v>
      </c>
      <c r="E16537" s="330" t="s">
        <v>4634</v>
      </c>
      <c r="F16537" s="331">
        <v>0.21</v>
      </c>
      <c r="G16537" s="332">
        <v>52601</v>
      </c>
      <c r="H16537" s="333">
        <v>63648</v>
      </c>
    </row>
    <row r="16538" spans="1:8">
      <c r="A16538" s="317">
        <v>3608874669</v>
      </c>
      <c r="B16538" s="330" t="s">
        <v>60890</v>
      </c>
      <c r="C16538" s="330" t="s">
        <v>33960</v>
      </c>
      <c r="D16538" s="330" t="s">
        <v>32259</v>
      </c>
      <c r="E16538" s="330" t="s">
        <v>4634</v>
      </c>
      <c r="F16538" s="331">
        <v>0.21</v>
      </c>
      <c r="G16538" s="332">
        <v>2768</v>
      </c>
      <c r="H16538" s="333">
        <v>3350</v>
      </c>
    </row>
    <row r="16539" spans="1:8">
      <c r="A16539" s="317">
        <v>3608874921</v>
      </c>
      <c r="B16539" s="330" t="s">
        <v>60891</v>
      </c>
      <c r="C16539" s="330" t="s">
        <v>33961</v>
      </c>
      <c r="D16539" s="330" t="s">
        <v>33962</v>
      </c>
      <c r="E16539" s="330" t="s">
        <v>4634</v>
      </c>
      <c r="F16539" s="331">
        <v>0.21</v>
      </c>
      <c r="G16539" s="332">
        <v>3935</v>
      </c>
      <c r="H16539" s="333">
        <v>4762</v>
      </c>
    </row>
    <row r="16540" spans="1:8">
      <c r="A16540" s="317">
        <v>3608874923</v>
      </c>
      <c r="B16540" s="330" t="s">
        <v>60892</v>
      </c>
      <c r="C16540" s="330" t="s">
        <v>33963</v>
      </c>
      <c r="D16540" s="330" t="s">
        <v>33964</v>
      </c>
      <c r="E16540" s="330" t="s">
        <v>4634</v>
      </c>
      <c r="F16540" s="331">
        <v>0.21</v>
      </c>
      <c r="G16540" s="332">
        <v>2766</v>
      </c>
      <c r="H16540" s="333">
        <v>3347</v>
      </c>
    </row>
    <row r="16541" spans="1:8">
      <c r="A16541" s="317">
        <v>3608874924</v>
      </c>
      <c r="B16541" s="330" t="s">
        <v>60893</v>
      </c>
      <c r="C16541" s="330" t="s">
        <v>33965</v>
      </c>
      <c r="D16541" s="330" t="s">
        <v>33964</v>
      </c>
      <c r="E16541" s="330" t="s">
        <v>4634</v>
      </c>
      <c r="F16541" s="331">
        <v>0.21</v>
      </c>
      <c r="G16541" s="332">
        <v>3421</v>
      </c>
      <c r="H16541" s="333">
        <v>4140</v>
      </c>
    </row>
    <row r="16542" spans="1:8">
      <c r="A16542" s="317">
        <v>3608875340</v>
      </c>
      <c r="B16542" s="330" t="s">
        <v>60894</v>
      </c>
      <c r="C16542" s="330" t="s">
        <v>33966</v>
      </c>
      <c r="D16542" s="330" t="s">
        <v>33967</v>
      </c>
      <c r="E16542" s="330" t="s">
        <v>37248</v>
      </c>
      <c r="F16542" s="331">
        <v>0.21</v>
      </c>
      <c r="G16542" s="332">
        <v>1247</v>
      </c>
      <c r="H16542" s="333">
        <v>1509</v>
      </c>
    </row>
    <row r="16543" spans="1:8">
      <c r="A16543" s="317">
        <v>3609200255</v>
      </c>
      <c r="B16543" s="330" t="s">
        <v>60895</v>
      </c>
      <c r="C16543" s="330" t="s">
        <v>33968</v>
      </c>
      <c r="D16543" s="330" t="s">
        <v>33969</v>
      </c>
      <c r="E16543" s="330" t="s">
        <v>4634</v>
      </c>
      <c r="F16543" s="331">
        <v>0.21</v>
      </c>
      <c r="G16543" s="332">
        <v>1925</v>
      </c>
      <c r="H16543" s="333">
        <v>2330</v>
      </c>
    </row>
    <row r="16544" spans="1:8">
      <c r="A16544" s="317">
        <v>3609200268</v>
      </c>
      <c r="B16544" s="330" t="s">
        <v>60896</v>
      </c>
      <c r="C16544" s="330" t="s">
        <v>33970</v>
      </c>
      <c r="D16544" s="330" t="s">
        <v>33971</v>
      </c>
      <c r="E16544" s="330" t="s">
        <v>4634</v>
      </c>
      <c r="F16544" s="331">
        <v>0.21</v>
      </c>
      <c r="G16544" s="332">
        <v>18435</v>
      </c>
      <c r="H16544" s="333">
        <v>22307</v>
      </c>
    </row>
    <row r="16545" spans="1:8">
      <c r="A16545" s="317">
        <v>3609200269</v>
      </c>
      <c r="B16545" s="330" t="s">
        <v>60897</v>
      </c>
      <c r="C16545" s="330" t="s">
        <v>33972</v>
      </c>
      <c r="D16545" s="330" t="s">
        <v>33973</v>
      </c>
      <c r="E16545" s="330" t="s">
        <v>4634</v>
      </c>
      <c r="F16545" s="331">
        <v>0.21</v>
      </c>
      <c r="G16545" s="332">
        <v>9166</v>
      </c>
      <c r="H16545" s="333">
        <v>11091</v>
      </c>
    </row>
    <row r="16546" spans="1:8">
      <c r="A16546" s="317">
        <v>3609200270</v>
      </c>
      <c r="B16546" s="330" t="s">
        <v>60898</v>
      </c>
      <c r="C16546" s="330" t="s">
        <v>33974</v>
      </c>
      <c r="D16546" s="330" t="s">
        <v>33975</v>
      </c>
      <c r="E16546" s="330" t="s">
        <v>4634</v>
      </c>
      <c r="F16546" s="331">
        <v>0.21</v>
      </c>
      <c r="G16546" s="332">
        <v>2094</v>
      </c>
      <c r="H16546" s="333">
        <v>2534</v>
      </c>
    </row>
    <row r="16547" spans="1:8">
      <c r="A16547" s="317">
        <v>3609200271</v>
      </c>
      <c r="B16547" s="330" t="s">
        <v>60899</v>
      </c>
      <c r="C16547" s="330" t="s">
        <v>33976</v>
      </c>
      <c r="D16547" s="330" t="s">
        <v>33977</v>
      </c>
      <c r="E16547" s="330" t="s">
        <v>4634</v>
      </c>
      <c r="F16547" s="331">
        <v>0.21</v>
      </c>
      <c r="G16547" s="332">
        <v>4389</v>
      </c>
      <c r="H16547" s="333">
        <v>5311</v>
      </c>
    </row>
    <row r="16548" spans="1:8">
      <c r="A16548" s="317">
        <v>3609200272</v>
      </c>
      <c r="B16548" s="330" t="s">
        <v>60900</v>
      </c>
      <c r="C16548" s="330" t="s">
        <v>33978</v>
      </c>
      <c r="D16548" s="330" t="s">
        <v>33979</v>
      </c>
      <c r="E16548" s="330" t="s">
        <v>4634</v>
      </c>
      <c r="F16548" s="331">
        <v>0.21</v>
      </c>
      <c r="G16548" s="332">
        <v>1798</v>
      </c>
      <c r="H16548" s="333">
        <v>2176</v>
      </c>
    </row>
    <row r="16549" spans="1:8">
      <c r="A16549" s="317">
        <v>3609200273</v>
      </c>
      <c r="B16549" s="330" t="s">
        <v>60901</v>
      </c>
      <c r="C16549" s="330" t="s">
        <v>33980</v>
      </c>
      <c r="D16549" s="330" t="s">
        <v>33981</v>
      </c>
      <c r="E16549" s="330" t="s">
        <v>4634</v>
      </c>
      <c r="F16549" s="331">
        <v>0.21</v>
      </c>
      <c r="G16549" s="332">
        <v>1267</v>
      </c>
      <c r="H16549" s="333">
        <v>1534</v>
      </c>
    </row>
    <row r="16550" spans="1:8">
      <c r="A16550" s="317">
        <v>3609200274</v>
      </c>
      <c r="B16550" s="330" t="s">
        <v>60902</v>
      </c>
      <c r="C16550" s="330" t="s">
        <v>33982</v>
      </c>
      <c r="D16550" s="330" t="s">
        <v>33983</v>
      </c>
      <c r="E16550" s="330" t="s">
        <v>4634</v>
      </c>
      <c r="F16550" s="331">
        <v>0.21</v>
      </c>
      <c r="G16550" s="332">
        <v>309</v>
      </c>
      <c r="H16550" s="333">
        <v>374</v>
      </c>
    </row>
    <row r="16551" spans="1:8">
      <c r="A16551" s="317">
        <v>3609200275</v>
      </c>
      <c r="B16551" s="330" t="s">
        <v>60903</v>
      </c>
      <c r="C16551" s="330" t="s">
        <v>33984</v>
      </c>
      <c r="D16551" s="330" t="s">
        <v>33983</v>
      </c>
      <c r="E16551" s="330" t="s">
        <v>4634</v>
      </c>
      <c r="F16551" s="331">
        <v>0.21</v>
      </c>
      <c r="G16551" s="332">
        <v>1692</v>
      </c>
      <c r="H16551" s="333">
        <v>2048</v>
      </c>
    </row>
    <row r="16552" spans="1:8">
      <c r="A16552" s="317">
        <v>3609200276</v>
      </c>
      <c r="B16552" s="330" t="s">
        <v>60904</v>
      </c>
      <c r="C16552" s="330" t="s">
        <v>33985</v>
      </c>
      <c r="D16552" s="330" t="s">
        <v>33986</v>
      </c>
      <c r="E16552" s="330" t="s">
        <v>4634</v>
      </c>
      <c r="F16552" s="331">
        <v>0.21</v>
      </c>
      <c r="G16552" s="332">
        <v>3080</v>
      </c>
      <c r="H16552" s="333">
        <v>3727</v>
      </c>
    </row>
    <row r="16553" spans="1:8">
      <c r="A16553" s="317">
        <v>3609200278</v>
      </c>
      <c r="B16553" s="330" t="s">
        <v>60905</v>
      </c>
      <c r="C16553" s="330" t="s">
        <v>33987</v>
      </c>
      <c r="D16553" s="330" t="s">
        <v>33988</v>
      </c>
      <c r="E16553" s="330" t="s">
        <v>4634</v>
      </c>
      <c r="F16553" s="331">
        <v>0.21</v>
      </c>
      <c r="G16553" s="332">
        <v>21286</v>
      </c>
      <c r="H16553" s="333">
        <v>25757</v>
      </c>
    </row>
    <row r="16554" spans="1:8">
      <c r="A16554" s="317">
        <v>3609200279</v>
      </c>
      <c r="B16554" s="330" t="s">
        <v>60906</v>
      </c>
      <c r="C16554" s="330" t="s">
        <v>33989</v>
      </c>
      <c r="D16554" s="330" t="s">
        <v>33990</v>
      </c>
      <c r="E16554" s="330" t="s">
        <v>4634</v>
      </c>
      <c r="F16554" s="331">
        <v>0.21</v>
      </c>
      <c r="G16554" s="332">
        <v>9402</v>
      </c>
      <c r="H16554" s="333">
        <v>11377</v>
      </c>
    </row>
    <row r="16555" spans="1:8">
      <c r="A16555" s="317">
        <v>3609200289</v>
      </c>
      <c r="B16555" s="330" t="s">
        <v>60907</v>
      </c>
      <c r="C16555" s="330" t="s">
        <v>33991</v>
      </c>
      <c r="D16555" s="330" t="s">
        <v>33992</v>
      </c>
      <c r="E16555" s="330" t="s">
        <v>4634</v>
      </c>
      <c r="F16555" s="331">
        <v>0.21</v>
      </c>
      <c r="G16555" s="332">
        <v>10544</v>
      </c>
      <c r="H16555" s="333">
        <v>12759</v>
      </c>
    </row>
    <row r="16556" spans="1:8">
      <c r="A16556" s="317">
        <v>3609200290</v>
      </c>
      <c r="B16556" s="330" t="s">
        <v>60908</v>
      </c>
      <c r="C16556" s="330" t="s">
        <v>33993</v>
      </c>
      <c r="D16556" s="330" t="s">
        <v>33994</v>
      </c>
      <c r="E16556" s="330" t="s">
        <v>4634</v>
      </c>
      <c r="F16556" s="331">
        <v>0.21</v>
      </c>
      <c r="G16556" s="332">
        <v>928</v>
      </c>
      <c r="H16556" s="333">
        <v>1123</v>
      </c>
    </row>
    <row r="16557" spans="1:8">
      <c r="A16557" s="317">
        <v>3609200291</v>
      </c>
      <c r="B16557" s="330" t="s">
        <v>60909</v>
      </c>
      <c r="C16557" s="330" t="s">
        <v>33995</v>
      </c>
      <c r="D16557" s="330" t="s">
        <v>33996</v>
      </c>
      <c r="E16557" s="330" t="s">
        <v>4634</v>
      </c>
      <c r="F16557" s="331">
        <v>0.21</v>
      </c>
      <c r="G16557" s="332">
        <v>1601</v>
      </c>
      <c r="H16557" s="333">
        <v>1938</v>
      </c>
    </row>
    <row r="16558" spans="1:8">
      <c r="A16558" s="317">
        <v>3609200292</v>
      </c>
      <c r="B16558" s="330" t="s">
        <v>60910</v>
      </c>
      <c r="C16558" s="330" t="s">
        <v>33997</v>
      </c>
      <c r="D16558" s="330" t="s">
        <v>33998</v>
      </c>
      <c r="E16558" s="330" t="s">
        <v>4634</v>
      </c>
      <c r="F16558" s="331">
        <v>0.21</v>
      </c>
      <c r="G16558" s="332">
        <v>5239</v>
      </c>
      <c r="H16558" s="333">
        <v>6340</v>
      </c>
    </row>
    <row r="16559" spans="1:8">
      <c r="A16559" s="317">
        <v>3609200296</v>
      </c>
      <c r="B16559" s="330" t="s">
        <v>60911</v>
      </c>
      <c r="C16559" s="330" t="s">
        <v>33999</v>
      </c>
      <c r="D16559" s="330" t="s">
        <v>34000</v>
      </c>
      <c r="E16559" s="330" t="s">
        <v>4634</v>
      </c>
      <c r="F16559" s="331">
        <v>0.21</v>
      </c>
      <c r="G16559" s="332">
        <v>4004</v>
      </c>
      <c r="H16559" s="333">
        <v>4845</v>
      </c>
    </row>
    <row r="16560" spans="1:8">
      <c r="A16560" s="317">
        <v>3609200297</v>
      </c>
      <c r="B16560" s="330" t="s">
        <v>60912</v>
      </c>
      <c r="C16560" s="330" t="s">
        <v>34001</v>
      </c>
      <c r="D16560" s="330" t="s">
        <v>34002</v>
      </c>
      <c r="E16560" s="330" t="s">
        <v>4634</v>
      </c>
      <c r="F16560" s="331">
        <v>0.21</v>
      </c>
      <c r="G16560" s="332">
        <v>1008</v>
      </c>
      <c r="H16560" s="333">
        <v>1220</v>
      </c>
    </row>
    <row r="16561" spans="1:8">
      <c r="A16561" s="317">
        <v>3609200299</v>
      </c>
      <c r="B16561" s="330" t="s">
        <v>60913</v>
      </c>
      <c r="C16561" s="330" t="s">
        <v>34003</v>
      </c>
      <c r="D16561" s="330" t="s">
        <v>34004</v>
      </c>
      <c r="E16561" s="330" t="s">
        <v>4634</v>
      </c>
      <c r="F16561" s="331">
        <v>0.21</v>
      </c>
      <c r="G16561" s="332">
        <v>678</v>
      </c>
      <c r="H16561" s="333">
        <v>821</v>
      </c>
    </row>
    <row r="16562" spans="1:8">
      <c r="A16562" s="317">
        <v>3609200300</v>
      </c>
      <c r="B16562" s="330" t="s">
        <v>60914</v>
      </c>
      <c r="C16562" s="330" t="s">
        <v>34005</v>
      </c>
      <c r="D16562" s="330" t="s">
        <v>34006</v>
      </c>
      <c r="E16562" s="330" t="s">
        <v>4634</v>
      </c>
      <c r="F16562" s="331">
        <v>0.21</v>
      </c>
      <c r="G16562" s="332">
        <v>702</v>
      </c>
      <c r="H16562" s="333">
        <v>850</v>
      </c>
    </row>
    <row r="16563" spans="1:8">
      <c r="A16563" s="317">
        <v>3609200303</v>
      </c>
      <c r="B16563" s="330" t="s">
        <v>60915</v>
      </c>
      <c r="C16563" s="330" t="s">
        <v>34007</v>
      </c>
      <c r="D16563" s="330" t="s">
        <v>34006</v>
      </c>
      <c r="E16563" s="330" t="s">
        <v>4634</v>
      </c>
      <c r="F16563" s="331">
        <v>0.21</v>
      </c>
      <c r="G16563" s="332">
        <v>678</v>
      </c>
      <c r="H16563" s="333">
        <v>821</v>
      </c>
    </row>
    <row r="16564" spans="1:8">
      <c r="A16564" s="317">
        <v>3609200320</v>
      </c>
      <c r="B16564" s="330" t="s">
        <v>60916</v>
      </c>
      <c r="C16564" s="330" t="s">
        <v>34008</v>
      </c>
      <c r="D16564" s="330" t="s">
        <v>34009</v>
      </c>
      <c r="E16564" s="330" t="s">
        <v>4634</v>
      </c>
      <c r="F16564" s="331">
        <v>0.21</v>
      </c>
      <c r="G16564" s="332">
        <v>20052</v>
      </c>
      <c r="H16564" s="333">
        <v>24263</v>
      </c>
    </row>
    <row r="16565" spans="1:8">
      <c r="A16565" s="317">
        <v>3609200325</v>
      </c>
      <c r="B16565" s="330" t="s">
        <v>60917</v>
      </c>
      <c r="C16565" s="330" t="s">
        <v>34010</v>
      </c>
      <c r="D16565" s="330" t="s">
        <v>34011</v>
      </c>
      <c r="E16565" s="330" t="s">
        <v>4634</v>
      </c>
      <c r="F16565" s="331">
        <v>0.21</v>
      </c>
      <c r="G16565" s="332">
        <v>14172</v>
      </c>
      <c r="H16565" s="333">
        <v>17149</v>
      </c>
    </row>
    <row r="16566" spans="1:8">
      <c r="A16566" s="317">
        <v>3609201041</v>
      </c>
      <c r="B16566" s="330" t="s">
        <v>60918</v>
      </c>
      <c r="C16566" s="330" t="s">
        <v>34012</v>
      </c>
      <c r="D16566" s="330" t="s">
        <v>34013</v>
      </c>
      <c r="E16566" s="330" t="s">
        <v>4634</v>
      </c>
      <c r="F16566" s="331">
        <v>0.21</v>
      </c>
      <c r="G16566" s="332">
        <v>12028</v>
      </c>
      <c r="H16566" s="333">
        <v>14554</v>
      </c>
    </row>
    <row r="16567" spans="1:8">
      <c r="A16567" s="317">
        <v>3609201042</v>
      </c>
      <c r="B16567" s="330" t="s">
        <v>60919</v>
      </c>
      <c r="C16567" s="330" t="s">
        <v>34014</v>
      </c>
      <c r="D16567" s="330" t="s">
        <v>34015</v>
      </c>
      <c r="E16567" s="330" t="s">
        <v>4634</v>
      </c>
      <c r="F16567" s="331">
        <v>0.21</v>
      </c>
      <c r="G16567" s="332">
        <v>2063</v>
      </c>
      <c r="H16567" s="333">
        <v>2497</v>
      </c>
    </row>
    <row r="16568" spans="1:8">
      <c r="A16568" s="317">
        <v>3609201043</v>
      </c>
      <c r="B16568" s="330" t="s">
        <v>60920</v>
      </c>
      <c r="C16568" s="330" t="s">
        <v>34016</v>
      </c>
      <c r="D16568" s="330" t="s">
        <v>34017</v>
      </c>
      <c r="E16568" s="330" t="s">
        <v>4634</v>
      </c>
      <c r="F16568" s="331">
        <v>0.21</v>
      </c>
      <c r="G16568" s="332">
        <v>2059</v>
      </c>
      <c r="H16568" s="333">
        <v>2492</v>
      </c>
    </row>
    <row r="16569" spans="1:8">
      <c r="A16569" s="317">
        <v>3609201044</v>
      </c>
      <c r="B16569" s="330" t="s">
        <v>60921</v>
      </c>
      <c r="C16569" s="330" t="s">
        <v>34018</v>
      </c>
      <c r="D16569" s="330" t="s">
        <v>34019</v>
      </c>
      <c r="E16569" s="330" t="s">
        <v>4634</v>
      </c>
      <c r="F16569" s="331">
        <v>0.21</v>
      </c>
      <c r="G16569" s="332">
        <v>3490</v>
      </c>
      <c r="H16569" s="333">
        <v>4223</v>
      </c>
    </row>
    <row r="16570" spans="1:8">
      <c r="A16570" s="317">
        <v>3609201045</v>
      </c>
      <c r="B16570" s="330" t="s">
        <v>60922</v>
      </c>
      <c r="C16570" s="330" t="s">
        <v>34020</v>
      </c>
      <c r="D16570" s="330" t="s">
        <v>34021</v>
      </c>
      <c r="E16570" s="330" t="s">
        <v>4634</v>
      </c>
      <c r="F16570" s="331">
        <v>0.21</v>
      </c>
      <c r="G16570" s="332">
        <v>1547</v>
      </c>
      <c r="H16570" s="333">
        <v>1872</v>
      </c>
    </row>
    <row r="16571" spans="1:8">
      <c r="A16571" s="317">
        <v>3609201046</v>
      </c>
      <c r="B16571" s="330" t="s">
        <v>60923</v>
      </c>
      <c r="C16571" s="330" t="s">
        <v>34022</v>
      </c>
      <c r="D16571" s="330" t="s">
        <v>34023</v>
      </c>
      <c r="E16571" s="330" t="s">
        <v>4634</v>
      </c>
      <c r="F16571" s="331">
        <v>0.21</v>
      </c>
      <c r="G16571" s="332">
        <v>791</v>
      </c>
      <c r="H16571" s="333">
        <v>958</v>
      </c>
    </row>
    <row r="16572" spans="1:8">
      <c r="A16572" s="317">
        <v>3609201047</v>
      </c>
      <c r="B16572" s="330" t="s">
        <v>60924</v>
      </c>
      <c r="C16572" s="330" t="s">
        <v>34024</v>
      </c>
      <c r="D16572" s="330" t="s">
        <v>34023</v>
      </c>
      <c r="E16572" s="330" t="s">
        <v>4634</v>
      </c>
      <c r="F16572" s="331">
        <v>0.21</v>
      </c>
      <c r="G16572" s="332">
        <v>791</v>
      </c>
      <c r="H16572" s="333">
        <v>958</v>
      </c>
    </row>
    <row r="16573" spans="1:8">
      <c r="A16573" s="317">
        <v>3609201048</v>
      </c>
      <c r="B16573" s="330" t="s">
        <v>60925</v>
      </c>
      <c r="C16573" s="330" t="s">
        <v>34025</v>
      </c>
      <c r="D16573" s="330" t="s">
        <v>34026</v>
      </c>
      <c r="E16573" s="330" t="s">
        <v>4634</v>
      </c>
      <c r="F16573" s="331">
        <v>0.21</v>
      </c>
      <c r="G16573" s="332">
        <v>972</v>
      </c>
      <c r="H16573" s="333">
        <v>1177</v>
      </c>
    </row>
    <row r="16574" spans="1:8">
      <c r="A16574" s="317">
        <v>3609201049</v>
      </c>
      <c r="B16574" s="330" t="s">
        <v>60926</v>
      </c>
      <c r="C16574" s="330" t="s">
        <v>34027</v>
      </c>
      <c r="D16574" s="330" t="s">
        <v>34023</v>
      </c>
      <c r="E16574" s="330" t="s">
        <v>4634</v>
      </c>
      <c r="F16574" s="331">
        <v>0.21</v>
      </c>
      <c r="G16574" s="332">
        <v>791</v>
      </c>
      <c r="H16574" s="333">
        <v>958</v>
      </c>
    </row>
    <row r="16575" spans="1:8">
      <c r="A16575" s="317">
        <v>3609201050</v>
      </c>
      <c r="B16575" s="330" t="s">
        <v>60927</v>
      </c>
      <c r="C16575" s="330" t="s">
        <v>34028</v>
      </c>
      <c r="D16575" s="330" t="s">
        <v>34023</v>
      </c>
      <c r="E16575" s="330" t="s">
        <v>4634</v>
      </c>
      <c r="F16575" s="331">
        <v>0.21</v>
      </c>
      <c r="G16575" s="332">
        <v>2837</v>
      </c>
      <c r="H16575" s="333">
        <v>3433</v>
      </c>
    </row>
    <row r="16576" spans="1:8">
      <c r="A16576" s="317">
        <v>3609201053</v>
      </c>
      <c r="B16576" s="330" t="s">
        <v>60928</v>
      </c>
      <c r="C16576" s="330" t="s">
        <v>34029</v>
      </c>
      <c r="D16576" s="330" t="s">
        <v>34030</v>
      </c>
      <c r="E16576" s="330" t="s">
        <v>4634</v>
      </c>
      <c r="F16576" s="331">
        <v>0.21</v>
      </c>
      <c r="G16576" s="332">
        <v>1411</v>
      </c>
      <c r="H16576" s="333">
        <v>1708</v>
      </c>
    </row>
    <row r="16577" spans="1:8">
      <c r="A16577" s="317">
        <v>3609201054</v>
      </c>
      <c r="B16577" s="330" t="s">
        <v>60929</v>
      </c>
      <c r="C16577" s="330" t="s">
        <v>34031</v>
      </c>
      <c r="D16577" s="330" t="s">
        <v>34032</v>
      </c>
      <c r="E16577" s="330" t="s">
        <v>4634</v>
      </c>
      <c r="F16577" s="331">
        <v>0.21</v>
      </c>
      <c r="G16577" s="332">
        <v>648</v>
      </c>
      <c r="H16577" s="333">
        <v>785</v>
      </c>
    </row>
    <row r="16578" spans="1:8">
      <c r="A16578" s="317">
        <v>3609201055</v>
      </c>
      <c r="B16578" s="330" t="s">
        <v>60930</v>
      </c>
      <c r="C16578" s="330" t="s">
        <v>34033</v>
      </c>
      <c r="D16578" s="330" t="s">
        <v>34015</v>
      </c>
      <c r="E16578" s="330" t="s">
        <v>4634</v>
      </c>
      <c r="F16578" s="331">
        <v>0.21</v>
      </c>
      <c r="G16578" s="332">
        <v>791</v>
      </c>
      <c r="H16578" s="333">
        <v>958</v>
      </c>
    </row>
    <row r="16579" spans="1:8">
      <c r="A16579" s="317">
        <v>3609201056</v>
      </c>
      <c r="B16579" s="330" t="s">
        <v>60931</v>
      </c>
      <c r="C16579" s="330" t="s">
        <v>34034</v>
      </c>
      <c r="D16579" s="330" t="s">
        <v>34035</v>
      </c>
      <c r="E16579" s="330" t="s">
        <v>4634</v>
      </c>
      <c r="F16579" s="331">
        <v>0.21</v>
      </c>
      <c r="G16579" s="332">
        <v>711</v>
      </c>
      <c r="H16579" s="333">
        <v>861</v>
      </c>
    </row>
    <row r="16580" spans="1:8">
      <c r="A16580" s="317">
        <v>3609201057</v>
      </c>
      <c r="B16580" s="330" t="s">
        <v>60932</v>
      </c>
      <c r="C16580" s="330" t="s">
        <v>34036</v>
      </c>
      <c r="D16580" s="330" t="s">
        <v>34015</v>
      </c>
      <c r="E16580" s="330" t="s">
        <v>4634</v>
      </c>
      <c r="F16580" s="331">
        <v>0.21</v>
      </c>
      <c r="G16580" s="332">
        <v>6734</v>
      </c>
      <c r="H16580" s="333">
        <v>8149</v>
      </c>
    </row>
    <row r="16581" spans="1:8">
      <c r="A16581" s="317">
        <v>3609201058</v>
      </c>
      <c r="B16581" s="330" t="s">
        <v>60933</v>
      </c>
      <c r="C16581" s="330" t="s">
        <v>34037</v>
      </c>
      <c r="D16581" s="330" t="s">
        <v>34038</v>
      </c>
      <c r="E16581" s="330" t="s">
        <v>4634</v>
      </c>
      <c r="F16581" s="331">
        <v>0.21</v>
      </c>
      <c r="G16581" s="332">
        <v>6902</v>
      </c>
      <c r="H16581" s="333">
        <v>8352</v>
      </c>
    </row>
    <row r="16582" spans="1:8">
      <c r="A16582" s="317">
        <v>3609201059</v>
      </c>
      <c r="B16582" s="330" t="s">
        <v>60934</v>
      </c>
      <c r="C16582" s="330" t="s">
        <v>34039</v>
      </c>
      <c r="D16582" s="330" t="s">
        <v>34040</v>
      </c>
      <c r="E16582" s="330" t="s">
        <v>4634</v>
      </c>
      <c r="F16582" s="331">
        <v>0.21</v>
      </c>
      <c r="G16582" s="332">
        <v>3528</v>
      </c>
      <c r="H16582" s="333">
        <v>4269</v>
      </c>
    </row>
    <row r="16583" spans="1:8">
      <c r="A16583" s="317">
        <v>3609201060</v>
      </c>
      <c r="B16583" s="330" t="s">
        <v>60935</v>
      </c>
      <c r="C16583" s="330" t="s">
        <v>34041</v>
      </c>
      <c r="D16583" s="330" t="s">
        <v>34042</v>
      </c>
      <c r="E16583" s="330" t="s">
        <v>4634</v>
      </c>
      <c r="F16583" s="331">
        <v>0.21</v>
      </c>
      <c r="G16583" s="332">
        <v>3490</v>
      </c>
      <c r="H16583" s="333">
        <v>4223</v>
      </c>
    </row>
    <row r="16584" spans="1:8">
      <c r="A16584" s="317">
        <v>3609201061</v>
      </c>
      <c r="B16584" s="330" t="s">
        <v>60936</v>
      </c>
      <c r="C16584" s="330" t="s">
        <v>34043</v>
      </c>
      <c r="D16584" s="330" t="s">
        <v>34044</v>
      </c>
      <c r="E16584" s="330" t="s">
        <v>4634</v>
      </c>
      <c r="F16584" s="331">
        <v>0.21</v>
      </c>
      <c r="G16584" s="332">
        <v>711</v>
      </c>
      <c r="H16584" s="333">
        <v>861</v>
      </c>
    </row>
    <row r="16585" spans="1:8">
      <c r="A16585" s="317">
        <v>3609201062</v>
      </c>
      <c r="B16585" s="330" t="s">
        <v>60937</v>
      </c>
      <c r="C16585" s="330" t="s">
        <v>34045</v>
      </c>
      <c r="D16585" s="330" t="s">
        <v>34046</v>
      </c>
      <c r="E16585" s="330" t="s">
        <v>4634</v>
      </c>
      <c r="F16585" s="331">
        <v>0.21</v>
      </c>
      <c r="G16585" s="332">
        <v>791</v>
      </c>
      <c r="H16585" s="333">
        <v>958</v>
      </c>
    </row>
    <row r="16586" spans="1:8">
      <c r="A16586" s="317">
        <v>3609201063</v>
      </c>
      <c r="B16586" s="330" t="s">
        <v>60938</v>
      </c>
      <c r="C16586" s="330" t="s">
        <v>34047</v>
      </c>
      <c r="D16586" s="330" t="s">
        <v>34048</v>
      </c>
      <c r="E16586" s="330" t="s">
        <v>4634</v>
      </c>
      <c r="F16586" s="331">
        <v>0.21</v>
      </c>
      <c r="G16586" s="332">
        <v>7551</v>
      </c>
      <c r="H16586" s="333">
        <v>9137</v>
      </c>
    </row>
    <row r="16587" spans="1:8">
      <c r="A16587" s="317">
        <v>3609201065</v>
      </c>
      <c r="B16587" s="330" t="s">
        <v>60939</v>
      </c>
      <c r="C16587" s="330" t="s">
        <v>34049</v>
      </c>
      <c r="D16587" s="330" t="s">
        <v>25353</v>
      </c>
      <c r="E16587" s="330" t="s">
        <v>4634</v>
      </c>
      <c r="F16587" s="331">
        <v>0.21</v>
      </c>
      <c r="G16587" s="332">
        <v>816</v>
      </c>
      <c r="H16587" s="333">
        <v>988</v>
      </c>
    </row>
    <row r="16588" spans="1:8">
      <c r="A16588" s="317">
        <v>3609201067</v>
      </c>
      <c r="B16588" s="330" t="s">
        <v>60940</v>
      </c>
      <c r="C16588" s="330" t="s">
        <v>34050</v>
      </c>
      <c r="D16588" s="330" t="s">
        <v>34051</v>
      </c>
      <c r="E16588" s="330" t="s">
        <v>4634</v>
      </c>
      <c r="F16588" s="331">
        <v>0.21</v>
      </c>
      <c r="G16588" s="332">
        <v>4472</v>
      </c>
      <c r="H16588" s="333">
        <v>5412</v>
      </c>
    </row>
    <row r="16589" spans="1:8">
      <c r="A16589" s="317">
        <v>3609201068</v>
      </c>
      <c r="B16589" s="330" t="s">
        <v>60941</v>
      </c>
      <c r="C16589" s="330" t="s">
        <v>34052</v>
      </c>
      <c r="D16589" s="330" t="s">
        <v>34053</v>
      </c>
      <c r="E16589" s="330" t="s">
        <v>4634</v>
      </c>
      <c r="F16589" s="331">
        <v>0.21</v>
      </c>
      <c r="G16589" s="332">
        <v>1798</v>
      </c>
      <c r="H16589" s="333">
        <v>2176</v>
      </c>
    </row>
    <row r="16590" spans="1:8">
      <c r="A16590" s="317">
        <v>3609201071</v>
      </c>
      <c r="B16590" s="330" t="s">
        <v>60942</v>
      </c>
      <c r="C16590" s="330" t="s">
        <v>34054</v>
      </c>
      <c r="D16590" s="330" t="s">
        <v>34055</v>
      </c>
      <c r="E16590" s="330" t="s">
        <v>4634</v>
      </c>
      <c r="F16590" s="331">
        <v>0.21</v>
      </c>
      <c r="G16590" s="332">
        <v>4432</v>
      </c>
      <c r="H16590" s="333">
        <v>5363</v>
      </c>
    </row>
    <row r="16591" spans="1:8">
      <c r="A16591" s="317">
        <v>3609201072</v>
      </c>
      <c r="B16591" s="330" t="s">
        <v>60943</v>
      </c>
      <c r="C16591" s="330" t="s">
        <v>34056</v>
      </c>
      <c r="D16591" s="330" t="s">
        <v>34057</v>
      </c>
      <c r="E16591" s="330" t="s">
        <v>4634</v>
      </c>
      <c r="F16591" s="331">
        <v>0.21</v>
      </c>
      <c r="G16591" s="332">
        <v>3528</v>
      </c>
      <c r="H16591" s="333">
        <v>4269</v>
      </c>
    </row>
    <row r="16592" spans="1:8">
      <c r="A16592" s="317">
        <v>3609201073</v>
      </c>
      <c r="B16592" s="330" t="s">
        <v>60944</v>
      </c>
      <c r="C16592" s="330" t="s">
        <v>34058</v>
      </c>
      <c r="D16592" s="330" t="s">
        <v>34059</v>
      </c>
      <c r="E16592" s="330" t="s">
        <v>4634</v>
      </c>
      <c r="F16592" s="331">
        <v>0.21</v>
      </c>
      <c r="G16592" s="332">
        <v>81612</v>
      </c>
      <c r="H16592" s="333">
        <v>98751</v>
      </c>
    </row>
    <row r="16593" spans="1:8">
      <c r="A16593" s="317">
        <v>3609201074</v>
      </c>
      <c r="B16593" s="330" t="s">
        <v>60945</v>
      </c>
      <c r="C16593" s="330" t="s">
        <v>34060</v>
      </c>
      <c r="D16593" s="330" t="s">
        <v>34061</v>
      </c>
      <c r="E16593" s="330" t="s">
        <v>4634</v>
      </c>
      <c r="F16593" s="331">
        <v>0.21</v>
      </c>
      <c r="G16593" s="332">
        <v>8307</v>
      </c>
      <c r="H16593" s="333">
        <v>10052</v>
      </c>
    </row>
    <row r="16594" spans="1:8">
      <c r="A16594" s="317">
        <v>3609201075</v>
      </c>
      <c r="B16594" s="330" t="s">
        <v>60946</v>
      </c>
      <c r="C16594" s="330" t="s">
        <v>34062</v>
      </c>
      <c r="D16594" s="330" t="s">
        <v>34063</v>
      </c>
      <c r="E16594" s="330" t="s">
        <v>4634</v>
      </c>
      <c r="F16594" s="331">
        <v>0.21</v>
      </c>
      <c r="G16594" s="332">
        <v>36138</v>
      </c>
      <c r="H16594" s="333">
        <v>43727</v>
      </c>
    </row>
    <row r="16595" spans="1:8">
      <c r="A16595" s="317">
        <v>3609201079</v>
      </c>
      <c r="B16595" s="330" t="s">
        <v>60947</v>
      </c>
      <c r="C16595" s="330" t="s">
        <v>34064</v>
      </c>
      <c r="D16595" s="330" t="s">
        <v>34065</v>
      </c>
      <c r="E16595" s="330" t="s">
        <v>4634</v>
      </c>
      <c r="F16595" s="331">
        <v>0.21</v>
      </c>
      <c r="G16595" s="332">
        <v>27598</v>
      </c>
      <c r="H16595" s="333">
        <v>33394</v>
      </c>
    </row>
    <row r="16596" spans="1:8">
      <c r="A16596" s="317">
        <v>3609201081</v>
      </c>
      <c r="B16596" s="330" t="s">
        <v>60948</v>
      </c>
      <c r="C16596" s="330" t="s">
        <v>34066</v>
      </c>
      <c r="D16596" s="330" t="s">
        <v>34067</v>
      </c>
      <c r="E16596" s="330" t="s">
        <v>4634</v>
      </c>
      <c r="F16596" s="331">
        <v>0.21</v>
      </c>
      <c r="G16596" s="332">
        <v>59311</v>
      </c>
      <c r="H16596" s="333">
        <v>71767</v>
      </c>
    </row>
    <row r="16597" spans="1:8">
      <c r="A16597" s="317">
        <v>3609201082</v>
      </c>
      <c r="B16597" s="330" t="s">
        <v>60949</v>
      </c>
      <c r="C16597" s="330" t="s">
        <v>34068</v>
      </c>
      <c r="D16597" s="330" t="s">
        <v>34069</v>
      </c>
      <c r="E16597" s="330" t="s">
        <v>4634</v>
      </c>
      <c r="F16597" s="331">
        <v>0.21</v>
      </c>
      <c r="G16597" s="332">
        <v>47174</v>
      </c>
      <c r="H16597" s="333">
        <v>57081</v>
      </c>
    </row>
    <row r="16598" spans="1:8">
      <c r="A16598" s="317">
        <v>3609201083</v>
      </c>
      <c r="B16598" s="330" t="s">
        <v>60950</v>
      </c>
      <c r="C16598" s="330" t="s">
        <v>34070</v>
      </c>
      <c r="D16598" s="330" t="s">
        <v>34065</v>
      </c>
      <c r="E16598" s="330" t="s">
        <v>4634</v>
      </c>
      <c r="F16598" s="331">
        <v>0.21</v>
      </c>
      <c r="G16598" s="332">
        <v>21787</v>
      </c>
      <c r="H16598" s="333">
        <v>26363</v>
      </c>
    </row>
    <row r="16599" spans="1:8">
      <c r="A16599" s="317">
        <v>3609201084</v>
      </c>
      <c r="B16599" s="330" t="s">
        <v>60951</v>
      </c>
      <c r="C16599" s="330" t="s">
        <v>34071</v>
      </c>
      <c r="D16599" s="330" t="s">
        <v>34040</v>
      </c>
      <c r="E16599" s="330" t="s">
        <v>4634</v>
      </c>
      <c r="F16599" s="331">
        <v>0.21</v>
      </c>
      <c r="G16599" s="332">
        <v>3696</v>
      </c>
      <c r="H16599" s="333">
        <v>4473</v>
      </c>
    </row>
    <row r="16600" spans="1:8">
      <c r="A16600" s="317">
        <v>3609201085</v>
      </c>
      <c r="B16600" s="330" t="s">
        <v>60952</v>
      </c>
      <c r="C16600" s="330" t="s">
        <v>34072</v>
      </c>
      <c r="D16600" s="330" t="s">
        <v>34073</v>
      </c>
      <c r="E16600" s="330" t="s">
        <v>4634</v>
      </c>
      <c r="F16600" s="331">
        <v>0.21</v>
      </c>
      <c r="G16600" s="332">
        <v>12789</v>
      </c>
      <c r="H16600" s="333">
        <v>15475</v>
      </c>
    </row>
    <row r="16601" spans="1:8">
      <c r="A16601" s="317">
        <v>3609201090</v>
      </c>
      <c r="B16601" s="330" t="s">
        <v>60953</v>
      </c>
      <c r="C16601" s="330" t="s">
        <v>34074</v>
      </c>
      <c r="D16601" s="330" t="s">
        <v>34075</v>
      </c>
      <c r="E16601" s="330" t="s">
        <v>4634</v>
      </c>
      <c r="F16601" s="331">
        <v>0.21</v>
      </c>
      <c r="G16601" s="332">
        <v>5081</v>
      </c>
      <c r="H16601" s="333">
        <v>6149</v>
      </c>
    </row>
    <row r="16602" spans="1:8">
      <c r="A16602" s="317">
        <v>3609201091</v>
      </c>
      <c r="B16602" s="330" t="s">
        <v>60954</v>
      </c>
      <c r="C16602" s="330" t="s">
        <v>34076</v>
      </c>
      <c r="D16602" s="330" t="s">
        <v>34077</v>
      </c>
      <c r="E16602" s="330" t="s">
        <v>4634</v>
      </c>
      <c r="F16602" s="331">
        <v>0.21</v>
      </c>
      <c r="G16602" s="332">
        <v>4650</v>
      </c>
      <c r="H16602" s="333">
        <v>5627</v>
      </c>
    </row>
    <row r="16603" spans="1:8">
      <c r="A16603" s="317">
        <v>3609201092</v>
      </c>
      <c r="B16603" s="330" t="s">
        <v>60955</v>
      </c>
      <c r="C16603" s="330" t="s">
        <v>34078</v>
      </c>
      <c r="D16603" s="330" t="s">
        <v>34079</v>
      </c>
      <c r="E16603" s="330" t="s">
        <v>4634</v>
      </c>
      <c r="F16603" s="331">
        <v>0.21</v>
      </c>
      <c r="G16603" s="332">
        <v>12447</v>
      </c>
      <c r="H16603" s="333">
        <v>15061</v>
      </c>
    </row>
    <row r="16604" spans="1:8">
      <c r="A16604" s="317">
        <v>3609201093</v>
      </c>
      <c r="B16604" s="330" t="s">
        <v>60956</v>
      </c>
      <c r="C16604" s="330" t="s">
        <v>34080</v>
      </c>
      <c r="D16604" s="330" t="s">
        <v>34081</v>
      </c>
      <c r="E16604" s="330" t="s">
        <v>4634</v>
      </c>
      <c r="F16604" s="331">
        <v>0.21</v>
      </c>
      <c r="G16604" s="332">
        <v>6065</v>
      </c>
      <c r="H16604" s="333">
        <v>7339</v>
      </c>
    </row>
    <row r="16605" spans="1:8">
      <c r="A16605" s="317">
        <v>3609201096</v>
      </c>
      <c r="B16605" s="330" t="s">
        <v>60957</v>
      </c>
      <c r="C16605" s="330" t="s">
        <v>34082</v>
      </c>
      <c r="D16605" s="330" t="s">
        <v>34083</v>
      </c>
      <c r="E16605" s="330" t="s">
        <v>4634</v>
      </c>
      <c r="F16605" s="331">
        <v>0.21</v>
      </c>
      <c r="G16605" s="332">
        <v>19188</v>
      </c>
      <c r="H16605" s="333">
        <v>23218</v>
      </c>
    </row>
    <row r="16606" spans="1:8">
      <c r="A16606" s="317">
        <v>3609201097</v>
      </c>
      <c r="B16606" s="330" t="s">
        <v>60958</v>
      </c>
      <c r="C16606" s="330" t="s">
        <v>34084</v>
      </c>
      <c r="D16606" s="330" t="s">
        <v>34085</v>
      </c>
      <c r="E16606" s="330" t="s">
        <v>4634</v>
      </c>
      <c r="F16606" s="331">
        <v>0.21</v>
      </c>
      <c r="G16606" s="332">
        <v>3935</v>
      </c>
      <c r="H16606" s="333">
        <v>4762</v>
      </c>
    </row>
    <row r="16607" spans="1:8">
      <c r="A16607" s="317">
        <v>3609201098</v>
      </c>
      <c r="B16607" s="330" t="s">
        <v>60959</v>
      </c>
      <c r="C16607" s="330" t="s">
        <v>34086</v>
      </c>
      <c r="D16607" s="330" t="s">
        <v>34087</v>
      </c>
      <c r="E16607" s="330" t="s">
        <v>4634</v>
      </c>
      <c r="F16607" s="331">
        <v>0.21</v>
      </c>
      <c r="G16607" s="332">
        <v>2299</v>
      </c>
      <c r="H16607" s="333">
        <v>2782</v>
      </c>
    </row>
    <row r="16608" spans="1:8">
      <c r="A16608" s="317">
        <v>3609201099</v>
      </c>
      <c r="B16608" s="330" t="s">
        <v>60960</v>
      </c>
      <c r="C16608" s="330" t="s">
        <v>34088</v>
      </c>
      <c r="D16608" s="330" t="s">
        <v>11970</v>
      </c>
      <c r="E16608" s="330" t="s">
        <v>4634</v>
      </c>
      <c r="F16608" s="331">
        <v>0.21</v>
      </c>
      <c r="G16608" s="332">
        <v>1126</v>
      </c>
      <c r="H16608" s="333">
        <v>1363</v>
      </c>
    </row>
    <row r="16609" spans="1:8">
      <c r="A16609" s="317">
        <v>3609201101</v>
      </c>
      <c r="B16609" s="330" t="s">
        <v>60961</v>
      </c>
      <c r="C16609" s="330" t="s">
        <v>34089</v>
      </c>
      <c r="D16609" s="330" t="s">
        <v>31948</v>
      </c>
      <c r="E16609" s="330" t="s">
        <v>4634</v>
      </c>
      <c r="F16609" s="331">
        <v>0.21</v>
      </c>
      <c r="G16609" s="332">
        <v>678</v>
      </c>
      <c r="H16609" s="333">
        <v>821</v>
      </c>
    </row>
    <row r="16610" spans="1:8">
      <c r="A16610" s="317">
        <v>3609201103</v>
      </c>
      <c r="B16610" s="330" t="s">
        <v>60962</v>
      </c>
      <c r="C16610" s="330" t="s">
        <v>34090</v>
      </c>
      <c r="D16610" s="330" t="s">
        <v>34035</v>
      </c>
      <c r="E16610" s="330" t="s">
        <v>4634</v>
      </c>
      <c r="F16610" s="331">
        <v>0.21</v>
      </c>
      <c r="G16610" s="332">
        <v>702</v>
      </c>
      <c r="H16610" s="333">
        <v>850</v>
      </c>
    </row>
    <row r="16611" spans="1:8">
      <c r="A16611" s="317">
        <v>3609201104</v>
      </c>
      <c r="B16611" s="330" t="s">
        <v>60963</v>
      </c>
      <c r="C16611" s="330" t="s">
        <v>34091</v>
      </c>
      <c r="D16611" s="330" t="s">
        <v>29837</v>
      </c>
      <c r="E16611" s="330" t="s">
        <v>4634</v>
      </c>
      <c r="F16611" s="331">
        <v>0.21</v>
      </c>
      <c r="G16611" s="332">
        <v>2511</v>
      </c>
      <c r="H16611" s="333">
        <v>3039</v>
      </c>
    </row>
    <row r="16612" spans="1:8">
      <c r="A16612" s="317">
        <v>3609201105</v>
      </c>
      <c r="B16612" s="330" t="s">
        <v>60964</v>
      </c>
      <c r="C16612" s="330" t="s">
        <v>34092</v>
      </c>
      <c r="D16612" s="330" t="s">
        <v>34093</v>
      </c>
      <c r="E16612" s="330" t="s">
        <v>4634</v>
      </c>
      <c r="F16612" s="331">
        <v>0.21</v>
      </c>
      <c r="G16612" s="332">
        <v>3673</v>
      </c>
      <c r="H16612" s="333">
        <v>4445</v>
      </c>
    </row>
    <row r="16613" spans="1:8">
      <c r="A16613" s="317">
        <v>3609201106</v>
      </c>
      <c r="B16613" s="330" t="s">
        <v>60965</v>
      </c>
      <c r="C16613" s="330" t="s">
        <v>34094</v>
      </c>
      <c r="D16613" s="330" t="s">
        <v>34095</v>
      </c>
      <c r="E16613" s="330" t="s">
        <v>4634</v>
      </c>
      <c r="F16613" s="331">
        <v>0.21</v>
      </c>
      <c r="G16613" s="332">
        <v>678</v>
      </c>
      <c r="H16613" s="333">
        <v>821</v>
      </c>
    </row>
    <row r="16614" spans="1:8">
      <c r="A16614" s="317">
        <v>3609201107</v>
      </c>
      <c r="B16614" s="330" t="s">
        <v>60966</v>
      </c>
      <c r="C16614" s="330" t="s">
        <v>34096</v>
      </c>
      <c r="D16614" s="330" t="s">
        <v>25353</v>
      </c>
      <c r="E16614" s="330" t="s">
        <v>4634</v>
      </c>
      <c r="F16614" s="331">
        <v>0.21</v>
      </c>
      <c r="G16614" s="332">
        <v>570</v>
      </c>
      <c r="H16614" s="333">
        <v>690</v>
      </c>
    </row>
    <row r="16615" spans="1:8">
      <c r="A16615" s="317">
        <v>3609201110</v>
      </c>
      <c r="B16615" s="330" t="s">
        <v>60967</v>
      </c>
      <c r="C16615" s="330" t="s">
        <v>34097</v>
      </c>
      <c r="D16615" s="330" t="s">
        <v>34098</v>
      </c>
      <c r="E16615" s="330" t="s">
        <v>4634</v>
      </c>
      <c r="F16615" s="331">
        <v>0.21</v>
      </c>
      <c r="G16615" s="332">
        <v>1479</v>
      </c>
      <c r="H16615" s="333">
        <v>1790</v>
      </c>
    </row>
    <row r="16616" spans="1:8">
      <c r="A16616" s="317">
        <v>3609201111</v>
      </c>
      <c r="B16616" s="330" t="s">
        <v>60968</v>
      </c>
      <c r="C16616" s="330" t="s">
        <v>34099</v>
      </c>
      <c r="D16616" s="330" t="s">
        <v>34100</v>
      </c>
      <c r="E16616" s="330" t="s">
        <v>4634</v>
      </c>
      <c r="F16616" s="331">
        <v>0.21</v>
      </c>
      <c r="G16616" s="332">
        <v>1956</v>
      </c>
      <c r="H16616" s="333">
        <v>2367</v>
      </c>
    </row>
    <row r="16617" spans="1:8">
      <c r="A16617" s="317">
        <v>3609201112</v>
      </c>
      <c r="B16617" s="330" t="s">
        <v>60969</v>
      </c>
      <c r="C16617" s="330" t="s">
        <v>34101</v>
      </c>
      <c r="D16617" s="330" t="s">
        <v>34102</v>
      </c>
      <c r="E16617" s="330" t="s">
        <v>4634</v>
      </c>
      <c r="F16617" s="331">
        <v>0.21</v>
      </c>
      <c r="G16617" s="332">
        <v>18631</v>
      </c>
      <c r="H16617" s="333">
        <v>22544</v>
      </c>
    </row>
    <row r="16618" spans="1:8">
      <c r="A16618" s="317">
        <v>3609201113</v>
      </c>
      <c r="B16618" s="330" t="s">
        <v>60970</v>
      </c>
      <c r="C16618" s="330" t="s">
        <v>34103</v>
      </c>
      <c r="D16618" s="330" t="s">
        <v>34104</v>
      </c>
      <c r="E16618" s="330" t="s">
        <v>4634</v>
      </c>
      <c r="F16618" s="331">
        <v>0.21</v>
      </c>
      <c r="G16618" s="332">
        <v>36758</v>
      </c>
      <c r="H16618" s="333">
        <v>44478</v>
      </c>
    </row>
    <row r="16619" spans="1:8">
      <c r="A16619" s="317">
        <v>3609201115</v>
      </c>
      <c r="B16619" s="330" t="s">
        <v>60971</v>
      </c>
      <c r="C16619" s="330" t="s">
        <v>34105</v>
      </c>
      <c r="D16619" s="330" t="s">
        <v>34106</v>
      </c>
      <c r="E16619" s="330" t="s">
        <v>4634</v>
      </c>
      <c r="F16619" s="331">
        <v>0.21</v>
      </c>
      <c r="G16619" s="332">
        <v>2186</v>
      </c>
      <c r="H16619" s="333">
        <v>2646</v>
      </c>
    </row>
    <row r="16620" spans="1:8">
      <c r="A16620" s="317">
        <v>3609201116</v>
      </c>
      <c r="B16620" s="330" t="s">
        <v>60972</v>
      </c>
      <c r="C16620" s="330" t="s">
        <v>34107</v>
      </c>
      <c r="D16620" s="330" t="s">
        <v>34108</v>
      </c>
      <c r="E16620" s="330" t="s">
        <v>4634</v>
      </c>
      <c r="F16620" s="331">
        <v>0.21</v>
      </c>
      <c r="G16620" s="332">
        <v>9821</v>
      </c>
      <c r="H16620" s="333">
        <v>11884</v>
      </c>
    </row>
    <row r="16621" spans="1:8">
      <c r="A16621" s="317">
        <v>3609201117</v>
      </c>
      <c r="B16621" s="330" t="s">
        <v>60973</v>
      </c>
      <c r="C16621" s="330" t="s">
        <v>34109</v>
      </c>
      <c r="D16621" s="330" t="s">
        <v>31948</v>
      </c>
      <c r="E16621" s="330" t="s">
        <v>4634</v>
      </c>
      <c r="F16621" s="331">
        <v>0.21</v>
      </c>
      <c r="G16621" s="332">
        <v>816</v>
      </c>
      <c r="H16621" s="333">
        <v>988</v>
      </c>
    </row>
    <row r="16622" spans="1:8">
      <c r="A16622" s="317">
        <v>3609201118</v>
      </c>
      <c r="B16622" s="330" t="s">
        <v>60974</v>
      </c>
      <c r="C16622" s="330" t="s">
        <v>34110</v>
      </c>
      <c r="D16622" s="330" t="s">
        <v>34111</v>
      </c>
      <c r="E16622" s="330" t="s">
        <v>4634</v>
      </c>
      <c r="F16622" s="331">
        <v>0.21</v>
      </c>
      <c r="G16622" s="332">
        <v>13431</v>
      </c>
      <c r="H16622" s="333">
        <v>16252</v>
      </c>
    </row>
    <row r="16623" spans="1:8">
      <c r="A16623" s="317">
        <v>3609201119</v>
      </c>
      <c r="B16623" s="330" t="s">
        <v>60975</v>
      </c>
      <c r="C16623" s="330" t="s">
        <v>34112</v>
      </c>
      <c r="D16623" s="330" t="s">
        <v>34113</v>
      </c>
      <c r="E16623" s="330" t="s">
        <v>4634</v>
      </c>
      <c r="F16623" s="331">
        <v>0.21</v>
      </c>
      <c r="G16623" s="332">
        <v>16889</v>
      </c>
      <c r="H16623" s="333">
        <v>20436</v>
      </c>
    </row>
    <row r="16624" spans="1:8">
      <c r="A16624" s="317">
        <v>3609201121</v>
      </c>
      <c r="B16624" s="330" t="s">
        <v>60976</v>
      </c>
      <c r="C16624" s="330" t="s">
        <v>34114</v>
      </c>
      <c r="D16624" s="330" t="s">
        <v>34115</v>
      </c>
      <c r="E16624" s="330" t="s">
        <v>4634</v>
      </c>
      <c r="F16624" s="331">
        <v>0.21</v>
      </c>
      <c r="G16624" s="332">
        <v>3966</v>
      </c>
      <c r="H16624" s="333">
        <v>4799</v>
      </c>
    </row>
    <row r="16625" spans="1:8">
      <c r="A16625" s="317">
        <v>3609201123</v>
      </c>
      <c r="B16625" s="330" t="s">
        <v>60977</v>
      </c>
      <c r="C16625" s="330" t="s">
        <v>34116</v>
      </c>
      <c r="D16625" s="330" t="s">
        <v>34115</v>
      </c>
      <c r="E16625" s="330" t="s">
        <v>4634</v>
      </c>
      <c r="F16625" s="331">
        <v>0.21</v>
      </c>
      <c r="G16625" s="332">
        <v>2059</v>
      </c>
      <c r="H16625" s="333">
        <v>2492</v>
      </c>
    </row>
    <row r="16626" spans="1:8">
      <c r="A16626" s="317">
        <v>3609201124</v>
      </c>
      <c r="B16626" s="330" t="s">
        <v>60978</v>
      </c>
      <c r="C16626" s="330" t="s">
        <v>34117</v>
      </c>
      <c r="D16626" s="330" t="s">
        <v>34118</v>
      </c>
      <c r="E16626" s="330" t="s">
        <v>4634</v>
      </c>
      <c r="F16626" s="331">
        <v>0.21</v>
      </c>
      <c r="G16626" s="332">
        <v>711</v>
      </c>
      <c r="H16626" s="333">
        <v>861</v>
      </c>
    </row>
    <row r="16627" spans="1:8">
      <c r="A16627" s="317">
        <v>3609201125</v>
      </c>
      <c r="B16627" s="330" t="s">
        <v>60979</v>
      </c>
      <c r="C16627" s="330" t="s">
        <v>34119</v>
      </c>
      <c r="D16627" s="330" t="s">
        <v>34035</v>
      </c>
      <c r="E16627" s="330" t="s">
        <v>4634</v>
      </c>
      <c r="F16627" s="331">
        <v>0.21</v>
      </c>
      <c r="G16627" s="332">
        <v>816</v>
      </c>
      <c r="H16627" s="333">
        <v>988</v>
      </c>
    </row>
    <row r="16628" spans="1:8">
      <c r="A16628" s="317">
        <v>3609201127</v>
      </c>
      <c r="B16628" s="330" t="s">
        <v>60980</v>
      </c>
      <c r="C16628" s="330" t="s">
        <v>34120</v>
      </c>
      <c r="D16628" s="330" t="s">
        <v>34121</v>
      </c>
      <c r="E16628" s="330" t="s">
        <v>4634</v>
      </c>
      <c r="F16628" s="331">
        <v>0.21</v>
      </c>
      <c r="G16628" s="332">
        <v>1474</v>
      </c>
      <c r="H16628" s="333">
        <v>1784</v>
      </c>
    </row>
    <row r="16629" spans="1:8">
      <c r="A16629" s="317">
        <v>3609201128</v>
      </c>
      <c r="B16629" s="330" t="s">
        <v>60981</v>
      </c>
      <c r="C16629" s="330" t="s">
        <v>34122</v>
      </c>
      <c r="D16629" s="330" t="s">
        <v>34123</v>
      </c>
      <c r="E16629" s="330" t="s">
        <v>4634</v>
      </c>
      <c r="F16629" s="331">
        <v>0.21</v>
      </c>
      <c r="G16629" s="332">
        <v>2707</v>
      </c>
      <c r="H16629" s="333">
        <v>3276</v>
      </c>
    </row>
    <row r="16630" spans="1:8">
      <c r="A16630" s="317">
        <v>3609201133</v>
      </c>
      <c r="B16630" s="330" t="s">
        <v>60982</v>
      </c>
      <c r="C16630" s="330" t="s">
        <v>34124</v>
      </c>
      <c r="D16630" s="330" t="s">
        <v>34125</v>
      </c>
      <c r="E16630" s="330" t="s">
        <v>4634</v>
      </c>
      <c r="F16630" s="331">
        <v>0.21</v>
      </c>
      <c r="G16630" s="332">
        <v>570</v>
      </c>
      <c r="H16630" s="333">
        <v>690</v>
      </c>
    </row>
    <row r="16631" spans="1:8">
      <c r="A16631" s="317">
        <v>3609201135</v>
      </c>
      <c r="B16631" s="330" t="s">
        <v>60983</v>
      </c>
      <c r="C16631" s="330" t="s">
        <v>34126</v>
      </c>
      <c r="D16631" s="330" t="s">
        <v>34118</v>
      </c>
      <c r="E16631" s="330" t="s">
        <v>4634</v>
      </c>
      <c r="F16631" s="331">
        <v>0.21</v>
      </c>
      <c r="G16631" s="332">
        <v>1692</v>
      </c>
      <c r="H16631" s="333">
        <v>2048</v>
      </c>
    </row>
    <row r="16632" spans="1:8">
      <c r="A16632" s="317">
        <v>3609201137</v>
      </c>
      <c r="B16632" s="330" t="s">
        <v>60984</v>
      </c>
      <c r="C16632" s="330" t="s">
        <v>34127</v>
      </c>
      <c r="D16632" s="330" t="s">
        <v>25353</v>
      </c>
      <c r="E16632" s="330" t="s">
        <v>4634</v>
      </c>
      <c r="F16632" s="331">
        <v>0.21</v>
      </c>
      <c r="G16632" s="332">
        <v>570</v>
      </c>
      <c r="H16632" s="333">
        <v>690</v>
      </c>
    </row>
    <row r="16633" spans="1:8">
      <c r="A16633" s="317">
        <v>3609201138</v>
      </c>
      <c r="B16633" s="330" t="s">
        <v>60985</v>
      </c>
      <c r="C16633" s="330" t="s">
        <v>34128</v>
      </c>
      <c r="D16633" s="330" t="s">
        <v>34129</v>
      </c>
      <c r="E16633" s="330" t="s">
        <v>4634</v>
      </c>
      <c r="F16633" s="331">
        <v>0.21</v>
      </c>
      <c r="G16633" s="332">
        <v>1030</v>
      </c>
      <c r="H16633" s="333">
        <v>1247</v>
      </c>
    </row>
    <row r="16634" spans="1:8">
      <c r="A16634" s="317">
        <v>3609201139</v>
      </c>
      <c r="B16634" s="330" t="s">
        <v>60986</v>
      </c>
      <c r="C16634" s="330" t="s">
        <v>34130</v>
      </c>
      <c r="D16634" s="330" t="s">
        <v>34129</v>
      </c>
      <c r="E16634" s="330" t="s">
        <v>4634</v>
      </c>
      <c r="F16634" s="331">
        <v>0.21</v>
      </c>
      <c r="G16634" s="332">
        <v>1030</v>
      </c>
      <c r="H16634" s="333">
        <v>1247</v>
      </c>
    </row>
    <row r="16635" spans="1:8">
      <c r="A16635" s="317">
        <v>3609201140</v>
      </c>
      <c r="B16635" s="330" t="s">
        <v>60987</v>
      </c>
      <c r="C16635" s="330" t="s">
        <v>34131</v>
      </c>
      <c r="D16635" s="330" t="s">
        <v>34035</v>
      </c>
      <c r="E16635" s="330" t="s">
        <v>4634</v>
      </c>
      <c r="F16635" s="331">
        <v>0.21</v>
      </c>
      <c r="G16635" s="332">
        <v>678</v>
      </c>
      <c r="H16635" s="333">
        <v>821</v>
      </c>
    </row>
    <row r="16636" spans="1:8">
      <c r="A16636" s="317">
        <v>3609201142</v>
      </c>
      <c r="B16636" s="330" t="s">
        <v>60988</v>
      </c>
      <c r="C16636" s="330" t="s">
        <v>34132</v>
      </c>
      <c r="D16636" s="330" t="s">
        <v>34133</v>
      </c>
      <c r="E16636" s="330" t="s">
        <v>4634</v>
      </c>
      <c r="F16636" s="331">
        <v>0.21</v>
      </c>
      <c r="G16636" s="332">
        <v>820</v>
      </c>
      <c r="H16636" s="333">
        <v>993</v>
      </c>
    </row>
    <row r="16637" spans="1:8">
      <c r="A16637" s="317">
        <v>3609201143</v>
      </c>
      <c r="B16637" s="330" t="s">
        <v>60989</v>
      </c>
      <c r="C16637" s="330" t="s">
        <v>34134</v>
      </c>
      <c r="D16637" s="330" t="s">
        <v>34135</v>
      </c>
      <c r="E16637" s="330" t="s">
        <v>4634</v>
      </c>
      <c r="F16637" s="331">
        <v>0.21</v>
      </c>
      <c r="G16637" s="332">
        <v>2330</v>
      </c>
      <c r="H16637" s="333">
        <v>2820</v>
      </c>
    </row>
    <row r="16638" spans="1:8">
      <c r="A16638" s="317">
        <v>3609201144</v>
      </c>
      <c r="B16638" s="330" t="s">
        <v>60990</v>
      </c>
      <c r="C16638" s="330" t="s">
        <v>34136</v>
      </c>
      <c r="D16638" s="330" t="s">
        <v>34137</v>
      </c>
      <c r="E16638" s="330" t="s">
        <v>4634</v>
      </c>
      <c r="F16638" s="331">
        <v>0.21</v>
      </c>
      <c r="G16638" s="332">
        <v>702</v>
      </c>
      <c r="H16638" s="333">
        <v>850</v>
      </c>
    </row>
    <row r="16639" spans="1:8">
      <c r="A16639" s="317">
        <v>3609201145</v>
      </c>
      <c r="B16639" s="330" t="s">
        <v>60991</v>
      </c>
      <c r="C16639" s="330" t="s">
        <v>34138</v>
      </c>
      <c r="D16639" s="330" t="s">
        <v>34139</v>
      </c>
      <c r="E16639" s="330" t="s">
        <v>4634</v>
      </c>
      <c r="F16639" s="331">
        <v>0.21</v>
      </c>
      <c r="G16639" s="332">
        <v>963</v>
      </c>
      <c r="H16639" s="333">
        <v>1166</v>
      </c>
    </row>
    <row r="16640" spans="1:8">
      <c r="A16640" s="317">
        <v>3609201146</v>
      </c>
      <c r="B16640" s="330" t="s">
        <v>60992</v>
      </c>
      <c r="C16640" s="330" t="s">
        <v>34140</v>
      </c>
      <c r="D16640" s="330" t="s">
        <v>34141</v>
      </c>
      <c r="E16640" s="330" t="s">
        <v>4634</v>
      </c>
      <c r="F16640" s="331">
        <v>0.21</v>
      </c>
      <c r="G16640" s="332">
        <v>570</v>
      </c>
      <c r="H16640" s="333">
        <v>690</v>
      </c>
    </row>
    <row r="16641" spans="1:8">
      <c r="A16641" s="317">
        <v>3609201147</v>
      </c>
      <c r="B16641" s="330" t="s">
        <v>60993</v>
      </c>
      <c r="C16641" s="330" t="s">
        <v>34142</v>
      </c>
      <c r="D16641" s="330" t="s">
        <v>31948</v>
      </c>
      <c r="E16641" s="330" t="s">
        <v>4634</v>
      </c>
      <c r="F16641" s="331">
        <v>0.21</v>
      </c>
      <c r="G16641" s="332">
        <v>678</v>
      </c>
      <c r="H16641" s="333">
        <v>821</v>
      </c>
    </row>
    <row r="16642" spans="1:8">
      <c r="A16642" s="317">
        <v>3609201150</v>
      </c>
      <c r="B16642" s="330" t="s">
        <v>60994</v>
      </c>
      <c r="C16642" s="330" t="s">
        <v>34143</v>
      </c>
      <c r="D16642" s="330" t="s">
        <v>34144</v>
      </c>
      <c r="E16642" s="330" t="s">
        <v>4634</v>
      </c>
      <c r="F16642" s="331">
        <v>0.21</v>
      </c>
      <c r="G16642" s="332">
        <v>10339</v>
      </c>
      <c r="H16642" s="333">
        <v>12511</v>
      </c>
    </row>
    <row r="16643" spans="1:8">
      <c r="A16643" s="317">
        <v>3609201151</v>
      </c>
      <c r="B16643" s="330" t="s">
        <v>60995</v>
      </c>
      <c r="C16643" s="330" t="s">
        <v>34145</v>
      </c>
      <c r="D16643" s="330" t="s">
        <v>34144</v>
      </c>
      <c r="E16643" s="330" t="s">
        <v>4634</v>
      </c>
      <c r="F16643" s="331">
        <v>0.21</v>
      </c>
      <c r="G16643" s="332">
        <v>59985</v>
      </c>
      <c r="H16643" s="333">
        <v>72582</v>
      </c>
    </row>
    <row r="16644" spans="1:8">
      <c r="A16644" s="317">
        <v>3609201152</v>
      </c>
      <c r="B16644" s="330" t="s">
        <v>60996</v>
      </c>
      <c r="C16644" s="330" t="s">
        <v>34146</v>
      </c>
      <c r="D16644" s="330" t="s">
        <v>34144</v>
      </c>
      <c r="E16644" s="330" t="s">
        <v>4634</v>
      </c>
      <c r="F16644" s="331">
        <v>0.21</v>
      </c>
      <c r="G16644" s="332">
        <v>37186</v>
      </c>
      <c r="H16644" s="333">
        <v>44996</v>
      </c>
    </row>
    <row r="16645" spans="1:8">
      <c r="A16645" s="317">
        <v>3609201153</v>
      </c>
      <c r="B16645" s="330" t="s">
        <v>60997</v>
      </c>
      <c r="C16645" s="330" t="s">
        <v>34147</v>
      </c>
      <c r="D16645" s="330" t="s">
        <v>34144</v>
      </c>
      <c r="E16645" s="330" t="s">
        <v>4634</v>
      </c>
      <c r="F16645" s="331">
        <v>0.21</v>
      </c>
      <c r="G16645" s="332">
        <v>15126</v>
      </c>
      <c r="H16645" s="333">
        <v>18303</v>
      </c>
    </row>
    <row r="16646" spans="1:8">
      <c r="A16646" s="317">
        <v>3609201154</v>
      </c>
      <c r="B16646" s="330" t="s">
        <v>60998</v>
      </c>
      <c r="C16646" s="330" t="s">
        <v>34148</v>
      </c>
      <c r="D16646" s="330" t="s">
        <v>34149</v>
      </c>
      <c r="E16646" s="330" t="s">
        <v>4634</v>
      </c>
      <c r="F16646" s="331">
        <v>0.21</v>
      </c>
      <c r="G16646" s="332">
        <v>9402</v>
      </c>
      <c r="H16646" s="333">
        <v>11377</v>
      </c>
    </row>
    <row r="16647" spans="1:8">
      <c r="A16647" s="317">
        <v>3609201155</v>
      </c>
      <c r="B16647" s="330" t="s">
        <v>60999</v>
      </c>
      <c r="C16647" s="330" t="s">
        <v>34150</v>
      </c>
      <c r="D16647" s="330" t="s">
        <v>34151</v>
      </c>
      <c r="E16647" s="330" t="s">
        <v>4634</v>
      </c>
      <c r="F16647" s="331">
        <v>0.21</v>
      </c>
      <c r="G16647" s="332">
        <v>3673</v>
      </c>
      <c r="H16647" s="333">
        <v>4445</v>
      </c>
    </row>
    <row r="16648" spans="1:8">
      <c r="A16648" s="317">
        <v>3609201179</v>
      </c>
      <c r="B16648" s="330" t="s">
        <v>61000</v>
      </c>
      <c r="C16648" s="330" t="s">
        <v>34152</v>
      </c>
      <c r="D16648" s="330" t="s">
        <v>34144</v>
      </c>
      <c r="E16648" s="330" t="s">
        <v>4634</v>
      </c>
      <c r="F16648" s="331">
        <v>0.21</v>
      </c>
      <c r="G16648" s="332">
        <v>27598</v>
      </c>
      <c r="H16648" s="333">
        <v>33394</v>
      </c>
    </row>
    <row r="16649" spans="1:8">
      <c r="A16649" s="317">
        <v>3609201181</v>
      </c>
      <c r="B16649" s="330" t="s">
        <v>61001</v>
      </c>
      <c r="C16649" s="330" t="s">
        <v>34153</v>
      </c>
      <c r="D16649" s="330" t="s">
        <v>34154</v>
      </c>
      <c r="E16649" s="330" t="s">
        <v>4634</v>
      </c>
      <c r="F16649" s="331">
        <v>0.21</v>
      </c>
      <c r="G16649" s="332">
        <v>2491</v>
      </c>
      <c r="H16649" s="333">
        <v>3015</v>
      </c>
    </row>
    <row r="16650" spans="1:8">
      <c r="A16650" s="317">
        <v>3609201215</v>
      </c>
      <c r="B16650" s="330" t="s">
        <v>61002</v>
      </c>
      <c r="C16650" s="330" t="s">
        <v>34155</v>
      </c>
      <c r="D16650" s="330" t="s">
        <v>34156</v>
      </c>
      <c r="E16650" s="330" t="s">
        <v>4634</v>
      </c>
      <c r="F16650" s="331">
        <v>0.21</v>
      </c>
      <c r="G16650" s="332">
        <v>81612</v>
      </c>
      <c r="H16650" s="333">
        <v>98751</v>
      </c>
    </row>
    <row r="16651" spans="1:8">
      <c r="A16651" s="317">
        <v>3609201216</v>
      </c>
      <c r="B16651" s="330" t="s">
        <v>61003</v>
      </c>
      <c r="C16651" s="330" t="s">
        <v>34157</v>
      </c>
      <c r="D16651" s="330" t="s">
        <v>34158</v>
      </c>
      <c r="E16651" s="330" t="s">
        <v>4634</v>
      </c>
      <c r="F16651" s="331">
        <v>0.21</v>
      </c>
      <c r="G16651" s="332">
        <v>13721</v>
      </c>
      <c r="H16651" s="333">
        <v>16603</v>
      </c>
    </row>
    <row r="16652" spans="1:8">
      <c r="A16652" s="317">
        <v>3609201295</v>
      </c>
      <c r="B16652" s="330" t="s">
        <v>61004</v>
      </c>
      <c r="C16652" s="330" t="s">
        <v>34159</v>
      </c>
      <c r="D16652" s="330" t="s">
        <v>25353</v>
      </c>
      <c r="E16652" s="330" t="s">
        <v>4634</v>
      </c>
      <c r="F16652" s="331">
        <v>0.21</v>
      </c>
      <c r="G16652" s="332">
        <v>2491</v>
      </c>
      <c r="H16652" s="333">
        <v>3015</v>
      </c>
    </row>
    <row r="16653" spans="1:8">
      <c r="A16653" s="317">
        <v>3609201297</v>
      </c>
      <c r="B16653" s="330" t="s">
        <v>61005</v>
      </c>
      <c r="C16653" s="330" t="s">
        <v>34160</v>
      </c>
      <c r="D16653" s="330" t="s">
        <v>34161</v>
      </c>
      <c r="E16653" s="330" t="s">
        <v>4634</v>
      </c>
      <c r="F16653" s="331">
        <v>0.21</v>
      </c>
      <c r="G16653" s="332">
        <v>19188</v>
      </c>
      <c r="H16653" s="333">
        <v>23218</v>
      </c>
    </row>
    <row r="16654" spans="1:8">
      <c r="A16654" s="317">
        <v>3609201298</v>
      </c>
      <c r="B16654" s="330" t="s">
        <v>61006</v>
      </c>
      <c r="C16654" s="330" t="s">
        <v>34162</v>
      </c>
      <c r="D16654" s="330" t="s">
        <v>34163</v>
      </c>
      <c r="E16654" s="330" t="s">
        <v>4634</v>
      </c>
      <c r="F16654" s="331">
        <v>0.21</v>
      </c>
      <c r="G16654" s="332">
        <v>1479</v>
      </c>
      <c r="H16654" s="333">
        <v>1790</v>
      </c>
    </row>
    <row r="16655" spans="1:8">
      <c r="A16655" s="317">
        <v>3609201419</v>
      </c>
      <c r="B16655" s="330" t="s">
        <v>61007</v>
      </c>
      <c r="C16655" s="330" t="s">
        <v>34164</v>
      </c>
      <c r="D16655" s="330" t="s">
        <v>34165</v>
      </c>
      <c r="E16655" s="330" t="s">
        <v>4634</v>
      </c>
      <c r="F16655" s="331">
        <v>0.21</v>
      </c>
      <c r="G16655" s="332">
        <v>1008</v>
      </c>
      <c r="H16655" s="333">
        <v>1220</v>
      </c>
    </row>
    <row r="16656" spans="1:8">
      <c r="A16656" s="317">
        <v>3609201420</v>
      </c>
      <c r="B16656" s="330" t="s">
        <v>61008</v>
      </c>
      <c r="C16656" s="330" t="s">
        <v>34166</v>
      </c>
      <c r="D16656" s="330" t="s">
        <v>34167</v>
      </c>
      <c r="E16656" s="330" t="s">
        <v>4634</v>
      </c>
      <c r="F16656" s="331">
        <v>0.21</v>
      </c>
      <c r="G16656" s="332">
        <v>1692</v>
      </c>
      <c r="H16656" s="333">
        <v>2048</v>
      </c>
    </row>
    <row r="16657" spans="1:8">
      <c r="A16657" s="317">
        <v>3609201421</v>
      </c>
      <c r="B16657" s="330" t="s">
        <v>61009</v>
      </c>
      <c r="C16657" s="330" t="s">
        <v>34168</v>
      </c>
      <c r="D16657" s="330" t="s">
        <v>34169</v>
      </c>
      <c r="E16657" s="330" t="s">
        <v>4634</v>
      </c>
      <c r="F16657" s="331">
        <v>0.21</v>
      </c>
      <c r="G16657" s="332">
        <v>16889</v>
      </c>
      <c r="H16657" s="333">
        <v>20436</v>
      </c>
    </row>
    <row r="16658" spans="1:8">
      <c r="A16658" s="317">
        <v>3609201422</v>
      </c>
      <c r="B16658" s="330" t="s">
        <v>61010</v>
      </c>
      <c r="C16658" s="330" t="s">
        <v>34170</v>
      </c>
      <c r="D16658" s="330" t="s">
        <v>34171</v>
      </c>
      <c r="E16658" s="330" t="s">
        <v>4634</v>
      </c>
      <c r="F16658" s="331">
        <v>0.21</v>
      </c>
      <c r="G16658" s="332">
        <v>3421</v>
      </c>
      <c r="H16658" s="333">
        <v>4140</v>
      </c>
    </row>
    <row r="16659" spans="1:8">
      <c r="A16659" s="317">
        <v>3609201423</v>
      </c>
      <c r="B16659" s="330" t="s">
        <v>61011</v>
      </c>
      <c r="C16659" s="330" t="s">
        <v>34172</v>
      </c>
      <c r="D16659" s="330" t="s">
        <v>34173</v>
      </c>
      <c r="E16659" s="330" t="s">
        <v>4634</v>
      </c>
      <c r="F16659" s="331">
        <v>0.21</v>
      </c>
      <c r="G16659" s="332">
        <v>791</v>
      </c>
      <c r="H16659" s="333">
        <v>958</v>
      </c>
    </row>
    <row r="16660" spans="1:8">
      <c r="A16660" s="317">
        <v>3609201424</v>
      </c>
      <c r="B16660" s="330" t="s">
        <v>61012</v>
      </c>
      <c r="C16660" s="330" t="s">
        <v>34174</v>
      </c>
      <c r="D16660" s="330" t="s">
        <v>34175</v>
      </c>
      <c r="E16660" s="330" t="s">
        <v>4634</v>
      </c>
      <c r="F16660" s="331">
        <v>0.21</v>
      </c>
      <c r="G16660" s="332">
        <v>12064</v>
      </c>
      <c r="H16660" s="333">
        <v>14598</v>
      </c>
    </row>
    <row r="16661" spans="1:8">
      <c r="A16661" s="317">
        <v>3609201425</v>
      </c>
      <c r="B16661" s="330" t="s">
        <v>61013</v>
      </c>
      <c r="C16661" s="330" t="s">
        <v>34176</v>
      </c>
      <c r="D16661" s="330" t="s">
        <v>34177</v>
      </c>
      <c r="E16661" s="330" t="s">
        <v>4634</v>
      </c>
      <c r="F16661" s="331">
        <v>0.21</v>
      </c>
      <c r="G16661" s="332">
        <v>2806</v>
      </c>
      <c r="H16661" s="333">
        <v>3396</v>
      </c>
    </row>
    <row r="16662" spans="1:8">
      <c r="A16662" s="317">
        <v>3609201426</v>
      </c>
      <c r="B16662" s="330" t="s">
        <v>61014</v>
      </c>
      <c r="C16662" s="330" t="s">
        <v>34178</v>
      </c>
      <c r="D16662" s="330" t="s">
        <v>34179</v>
      </c>
      <c r="E16662" s="330" t="s">
        <v>4634</v>
      </c>
      <c r="F16662" s="331">
        <v>0.21</v>
      </c>
      <c r="G16662" s="332">
        <v>1692</v>
      </c>
      <c r="H16662" s="333">
        <v>2048</v>
      </c>
    </row>
    <row r="16663" spans="1:8">
      <c r="A16663" s="317">
        <v>3609201428</v>
      </c>
      <c r="B16663" s="330" t="s">
        <v>61015</v>
      </c>
      <c r="C16663" s="330" t="s">
        <v>34180</v>
      </c>
      <c r="D16663" s="330" t="s">
        <v>34181</v>
      </c>
      <c r="E16663" s="330" t="s">
        <v>4634</v>
      </c>
      <c r="F16663" s="331">
        <v>0.21</v>
      </c>
      <c r="G16663" s="332">
        <v>3935</v>
      </c>
      <c r="H16663" s="333">
        <v>4762</v>
      </c>
    </row>
    <row r="16664" spans="1:8">
      <c r="A16664" s="317">
        <v>3609201429</v>
      </c>
      <c r="B16664" s="330" t="s">
        <v>61016</v>
      </c>
      <c r="C16664" s="330" t="s">
        <v>34182</v>
      </c>
      <c r="D16664" s="330" t="s">
        <v>34165</v>
      </c>
      <c r="E16664" s="330" t="s">
        <v>4634</v>
      </c>
      <c r="F16664" s="331">
        <v>0.21</v>
      </c>
      <c r="G16664" s="332">
        <v>1479</v>
      </c>
      <c r="H16664" s="333">
        <v>1790</v>
      </c>
    </row>
    <row r="16665" spans="1:8">
      <c r="A16665" s="317">
        <v>3609201431</v>
      </c>
      <c r="B16665" s="330" t="s">
        <v>61017</v>
      </c>
      <c r="C16665" s="330" t="s">
        <v>34183</v>
      </c>
      <c r="D16665" s="330" t="s">
        <v>34184</v>
      </c>
      <c r="E16665" s="330" t="s">
        <v>4634</v>
      </c>
      <c r="F16665" s="331">
        <v>0.21</v>
      </c>
      <c r="G16665" s="332">
        <v>5081</v>
      </c>
      <c r="H16665" s="333">
        <v>6149</v>
      </c>
    </row>
    <row r="16666" spans="1:8">
      <c r="A16666" s="317">
        <v>3609201434</v>
      </c>
      <c r="B16666" s="330" t="s">
        <v>61018</v>
      </c>
      <c r="C16666" s="330" t="s">
        <v>34185</v>
      </c>
      <c r="D16666" s="330" t="s">
        <v>34167</v>
      </c>
      <c r="E16666" s="330" t="s">
        <v>4634</v>
      </c>
      <c r="F16666" s="331">
        <v>0.21</v>
      </c>
      <c r="G16666" s="332">
        <v>2491</v>
      </c>
      <c r="H16666" s="333">
        <v>3015</v>
      </c>
    </row>
    <row r="16667" spans="1:8">
      <c r="A16667" s="317">
        <v>3609201435</v>
      </c>
      <c r="B16667" s="330" t="s">
        <v>61019</v>
      </c>
      <c r="C16667" s="330" t="s">
        <v>34186</v>
      </c>
      <c r="D16667" s="330" t="s">
        <v>34187</v>
      </c>
      <c r="E16667" s="330" t="s">
        <v>4634</v>
      </c>
      <c r="F16667" s="331">
        <v>0.21</v>
      </c>
      <c r="G16667" s="332">
        <v>27598</v>
      </c>
      <c r="H16667" s="333">
        <v>33394</v>
      </c>
    </row>
    <row r="16668" spans="1:8">
      <c r="A16668" s="317">
        <v>3609201579</v>
      </c>
      <c r="B16668" s="330" t="s">
        <v>61020</v>
      </c>
      <c r="C16668" s="330" t="s">
        <v>34188</v>
      </c>
      <c r="D16668" s="330" t="s">
        <v>31589</v>
      </c>
      <c r="E16668" s="330" t="s">
        <v>4634</v>
      </c>
      <c r="F16668" s="331">
        <v>0.21</v>
      </c>
      <c r="G16668" s="332">
        <v>412</v>
      </c>
      <c r="H16668" s="333">
        <v>499</v>
      </c>
    </row>
    <row r="16669" spans="1:8">
      <c r="A16669" s="317">
        <v>3609202033</v>
      </c>
      <c r="B16669" s="330" t="s">
        <v>61021</v>
      </c>
      <c r="C16669" s="330" t="s">
        <v>34189</v>
      </c>
      <c r="D16669" s="330" t="s">
        <v>34190</v>
      </c>
      <c r="E16669" s="330" t="s">
        <v>4634</v>
      </c>
      <c r="F16669" s="331">
        <v>0.21</v>
      </c>
      <c r="G16669" s="332">
        <v>18158</v>
      </c>
      <c r="H16669" s="333">
        <v>21972</v>
      </c>
    </row>
    <row r="16670" spans="1:8">
      <c r="A16670" s="317">
        <v>3609202037</v>
      </c>
      <c r="B16670" s="330" t="s">
        <v>61022</v>
      </c>
      <c r="C16670" s="330" t="s">
        <v>34191</v>
      </c>
      <c r="D16670" s="330" t="s">
        <v>34192</v>
      </c>
      <c r="E16670" s="330" t="s">
        <v>4634</v>
      </c>
      <c r="F16670" s="331">
        <v>0.21</v>
      </c>
      <c r="G16670" s="332">
        <v>6232</v>
      </c>
      <c r="H16670" s="333">
        <v>7541</v>
      </c>
    </row>
    <row r="16671" spans="1:8">
      <c r="A16671" s="317">
        <v>3609202038</v>
      </c>
      <c r="B16671" s="330" t="s">
        <v>61023</v>
      </c>
      <c r="C16671" s="330" t="s">
        <v>34193</v>
      </c>
      <c r="D16671" s="330" t="s">
        <v>34194</v>
      </c>
      <c r="E16671" s="330" t="s">
        <v>4634</v>
      </c>
      <c r="F16671" s="331">
        <v>0.21</v>
      </c>
      <c r="G16671" s="332">
        <v>4833</v>
      </c>
      <c r="H16671" s="333">
        <v>5848</v>
      </c>
    </row>
    <row r="16672" spans="1:8">
      <c r="A16672" s="317">
        <v>3609202039</v>
      </c>
      <c r="B16672" s="330" t="s">
        <v>61024</v>
      </c>
      <c r="C16672" s="330" t="s">
        <v>34195</v>
      </c>
      <c r="D16672" s="330" t="s">
        <v>34196</v>
      </c>
      <c r="E16672" s="330" t="s">
        <v>4634</v>
      </c>
      <c r="F16672" s="331">
        <v>0.21</v>
      </c>
      <c r="G16672" s="332">
        <v>5123</v>
      </c>
      <c r="H16672" s="333">
        <v>6199</v>
      </c>
    </row>
    <row r="16673" spans="1:8">
      <c r="A16673" s="317">
        <v>3609202040</v>
      </c>
      <c r="B16673" s="330" t="s">
        <v>61025</v>
      </c>
      <c r="C16673" s="330" t="s">
        <v>34197</v>
      </c>
      <c r="D16673" s="330" t="s">
        <v>34198</v>
      </c>
      <c r="E16673" s="330" t="s">
        <v>4634</v>
      </c>
      <c r="F16673" s="331">
        <v>0.21</v>
      </c>
      <c r="G16673" s="332">
        <v>12982</v>
      </c>
      <c r="H16673" s="333">
        <v>15709</v>
      </c>
    </row>
    <row r="16674" spans="1:8">
      <c r="A16674" s="317">
        <v>3609202041</v>
      </c>
      <c r="B16674" s="330" t="s">
        <v>61026</v>
      </c>
      <c r="C16674" s="330" t="s">
        <v>34199</v>
      </c>
      <c r="D16674" s="330" t="s">
        <v>34200</v>
      </c>
      <c r="E16674" s="330" t="s">
        <v>4634</v>
      </c>
      <c r="F16674" s="331">
        <v>0.21</v>
      </c>
      <c r="G16674" s="332">
        <v>791</v>
      </c>
      <c r="H16674" s="333">
        <v>958</v>
      </c>
    </row>
    <row r="16675" spans="1:8">
      <c r="A16675" s="317">
        <v>3609202042</v>
      </c>
      <c r="B16675" s="330" t="s">
        <v>61027</v>
      </c>
      <c r="C16675" s="330" t="s">
        <v>34201</v>
      </c>
      <c r="D16675" s="330" t="s">
        <v>34202</v>
      </c>
      <c r="E16675" s="330" t="s">
        <v>4634</v>
      </c>
      <c r="F16675" s="331">
        <v>0.21</v>
      </c>
      <c r="G16675" s="332">
        <v>791</v>
      </c>
      <c r="H16675" s="333">
        <v>958</v>
      </c>
    </row>
    <row r="16676" spans="1:8">
      <c r="A16676" s="317">
        <v>3609202043</v>
      </c>
      <c r="B16676" s="330" t="s">
        <v>61028</v>
      </c>
      <c r="C16676" s="330" t="s">
        <v>34203</v>
      </c>
      <c r="D16676" s="330" t="s">
        <v>34204</v>
      </c>
      <c r="E16676" s="330" t="s">
        <v>4634</v>
      </c>
      <c r="F16676" s="331">
        <v>0.21</v>
      </c>
      <c r="G16676" s="332">
        <v>15686</v>
      </c>
      <c r="H16676" s="333">
        <v>18981</v>
      </c>
    </row>
    <row r="16677" spans="1:8">
      <c r="A16677" s="317">
        <v>3609202308</v>
      </c>
      <c r="B16677" s="330" t="s">
        <v>61029</v>
      </c>
      <c r="C16677" s="330" t="s">
        <v>34205</v>
      </c>
      <c r="D16677" s="330" t="s">
        <v>34206</v>
      </c>
      <c r="E16677" s="330" t="s">
        <v>4634</v>
      </c>
      <c r="F16677" s="331">
        <v>0.21</v>
      </c>
      <c r="G16677" s="332">
        <v>4004</v>
      </c>
      <c r="H16677" s="333">
        <v>4845</v>
      </c>
    </row>
    <row r="16678" spans="1:8">
      <c r="A16678" s="317">
        <v>3609202309</v>
      </c>
      <c r="B16678" s="330" t="s">
        <v>61030</v>
      </c>
      <c r="C16678" s="330" t="s">
        <v>34207</v>
      </c>
      <c r="D16678" s="330" t="s">
        <v>34208</v>
      </c>
      <c r="E16678" s="330" t="s">
        <v>4634</v>
      </c>
      <c r="F16678" s="331">
        <v>0.21</v>
      </c>
      <c r="G16678" s="332">
        <v>18631</v>
      </c>
      <c r="H16678" s="333">
        <v>22544</v>
      </c>
    </row>
    <row r="16679" spans="1:8">
      <c r="A16679" s="317">
        <v>3609202313</v>
      </c>
      <c r="B16679" s="330" t="s">
        <v>61031</v>
      </c>
      <c r="C16679" s="330" t="s">
        <v>34209</v>
      </c>
      <c r="D16679" s="330" t="s">
        <v>34210</v>
      </c>
      <c r="E16679" s="330" t="s">
        <v>4634</v>
      </c>
      <c r="F16679" s="331">
        <v>0.21</v>
      </c>
      <c r="G16679" s="332">
        <v>10125</v>
      </c>
      <c r="H16679" s="333">
        <v>12252</v>
      </c>
    </row>
    <row r="16680" spans="1:8">
      <c r="A16680" s="317">
        <v>3609202314</v>
      </c>
      <c r="B16680" s="330" t="s">
        <v>61032</v>
      </c>
      <c r="C16680" s="330" t="s">
        <v>34211</v>
      </c>
      <c r="D16680" s="330" t="s">
        <v>34212</v>
      </c>
      <c r="E16680" s="330" t="s">
        <v>4634</v>
      </c>
      <c r="F16680" s="331">
        <v>0.21</v>
      </c>
      <c r="G16680" s="332">
        <v>2712</v>
      </c>
      <c r="H16680" s="333">
        <v>3282</v>
      </c>
    </row>
    <row r="16681" spans="1:8">
      <c r="A16681" s="317">
        <v>3609202317</v>
      </c>
      <c r="B16681" s="330" t="s">
        <v>61033</v>
      </c>
      <c r="C16681" s="330" t="s">
        <v>34213</v>
      </c>
      <c r="D16681" s="330" t="s">
        <v>34214</v>
      </c>
      <c r="E16681" s="330" t="s">
        <v>4634</v>
      </c>
      <c r="F16681" s="331">
        <v>0.21</v>
      </c>
      <c r="G16681" s="332">
        <v>6542</v>
      </c>
      <c r="H16681" s="333">
        <v>7916</v>
      </c>
    </row>
    <row r="16682" spans="1:8">
      <c r="A16682" s="317">
        <v>3609202318</v>
      </c>
      <c r="B16682" s="330" t="s">
        <v>61034</v>
      </c>
      <c r="C16682" s="330" t="s">
        <v>34215</v>
      </c>
      <c r="D16682" s="330" t="s">
        <v>34216</v>
      </c>
      <c r="E16682" s="330" t="s">
        <v>4634</v>
      </c>
      <c r="F16682" s="331">
        <v>0.21</v>
      </c>
      <c r="G16682" s="332">
        <v>7551</v>
      </c>
      <c r="H16682" s="333">
        <v>9137</v>
      </c>
    </row>
    <row r="16683" spans="1:8">
      <c r="A16683" s="317">
        <v>3609202319</v>
      </c>
      <c r="B16683" s="330" t="s">
        <v>61035</v>
      </c>
      <c r="C16683" s="330" t="s">
        <v>34217</v>
      </c>
      <c r="D16683" s="330" t="s">
        <v>34218</v>
      </c>
      <c r="E16683" s="330" t="s">
        <v>4634</v>
      </c>
      <c r="F16683" s="331">
        <v>0.21</v>
      </c>
      <c r="G16683" s="332">
        <v>928</v>
      </c>
      <c r="H16683" s="333">
        <v>1123</v>
      </c>
    </row>
    <row r="16684" spans="1:8">
      <c r="A16684" s="317">
        <v>3609202320</v>
      </c>
      <c r="B16684" s="330" t="s">
        <v>61036</v>
      </c>
      <c r="C16684" s="330" t="s">
        <v>34219</v>
      </c>
      <c r="D16684" s="330" t="s">
        <v>34220</v>
      </c>
      <c r="E16684" s="330" t="s">
        <v>4634</v>
      </c>
      <c r="F16684" s="331">
        <v>0.21</v>
      </c>
      <c r="G16684" s="332">
        <v>18631</v>
      </c>
      <c r="H16684" s="333">
        <v>22544</v>
      </c>
    </row>
    <row r="16685" spans="1:8">
      <c r="A16685" s="317">
        <v>3609202321</v>
      </c>
      <c r="B16685" s="330" t="s">
        <v>61037</v>
      </c>
      <c r="C16685" s="330" t="s">
        <v>34221</v>
      </c>
      <c r="D16685" s="330" t="s">
        <v>34222</v>
      </c>
      <c r="E16685" s="330" t="s">
        <v>4634</v>
      </c>
      <c r="F16685" s="331">
        <v>0.21</v>
      </c>
      <c r="G16685" s="332">
        <v>3154</v>
      </c>
      <c r="H16685" s="333">
        <v>3817</v>
      </c>
    </row>
    <row r="16686" spans="1:8">
      <c r="A16686" s="317">
        <v>3609202403</v>
      </c>
      <c r="B16686" s="330" t="s">
        <v>61038</v>
      </c>
      <c r="C16686" s="330" t="s">
        <v>34223</v>
      </c>
      <c r="D16686" s="330" t="s">
        <v>34165</v>
      </c>
      <c r="E16686" s="330" t="s">
        <v>4634</v>
      </c>
      <c r="F16686" s="331">
        <v>0.21</v>
      </c>
      <c r="G16686" s="332">
        <v>711</v>
      </c>
      <c r="H16686" s="333">
        <v>861</v>
      </c>
    </row>
    <row r="16687" spans="1:8">
      <c r="A16687" s="317">
        <v>3609202406</v>
      </c>
      <c r="B16687" s="330" t="s">
        <v>61039</v>
      </c>
      <c r="C16687" s="330" t="s">
        <v>34224</v>
      </c>
      <c r="D16687" s="330" t="s">
        <v>34225</v>
      </c>
      <c r="E16687" s="330" t="s">
        <v>4634</v>
      </c>
      <c r="F16687" s="331">
        <v>0.21</v>
      </c>
      <c r="G16687" s="332">
        <v>927</v>
      </c>
      <c r="H16687" s="333">
        <v>1122</v>
      </c>
    </row>
    <row r="16688" spans="1:8">
      <c r="A16688" s="317">
        <v>3609202407</v>
      </c>
      <c r="B16688" s="330" t="s">
        <v>61040</v>
      </c>
      <c r="C16688" s="330" t="s">
        <v>34226</v>
      </c>
      <c r="D16688" s="330" t="s">
        <v>34227</v>
      </c>
      <c r="E16688" s="330" t="s">
        <v>4634</v>
      </c>
      <c r="F16688" s="331">
        <v>0.21</v>
      </c>
      <c r="G16688" s="332">
        <v>4472</v>
      </c>
      <c r="H16688" s="333">
        <v>5412</v>
      </c>
    </row>
    <row r="16689" spans="1:8">
      <c r="A16689" s="317">
        <v>3609202408</v>
      </c>
      <c r="B16689" s="330" t="s">
        <v>61041</v>
      </c>
      <c r="C16689" s="330" t="s">
        <v>34228</v>
      </c>
      <c r="D16689" s="330" t="s">
        <v>34165</v>
      </c>
      <c r="E16689" s="330" t="s">
        <v>4634</v>
      </c>
      <c r="F16689" s="331">
        <v>0.21</v>
      </c>
      <c r="G16689" s="332">
        <v>1008</v>
      </c>
      <c r="H16689" s="333">
        <v>1220</v>
      </c>
    </row>
    <row r="16690" spans="1:8">
      <c r="A16690" s="317">
        <v>3609202409</v>
      </c>
      <c r="B16690" s="330" t="s">
        <v>61042</v>
      </c>
      <c r="C16690" s="330" t="s">
        <v>34229</v>
      </c>
      <c r="D16690" s="330" t="s">
        <v>34225</v>
      </c>
      <c r="E16690" s="330" t="s">
        <v>4634</v>
      </c>
      <c r="F16690" s="331">
        <v>0.21</v>
      </c>
      <c r="G16690" s="332">
        <v>2491</v>
      </c>
      <c r="H16690" s="333">
        <v>3015</v>
      </c>
    </row>
    <row r="16691" spans="1:8">
      <c r="A16691" s="317">
        <v>3609202410</v>
      </c>
      <c r="B16691" s="330" t="s">
        <v>61043</v>
      </c>
      <c r="C16691" s="330" t="s">
        <v>34230</v>
      </c>
      <c r="D16691" s="330" t="s">
        <v>34231</v>
      </c>
      <c r="E16691" s="330" t="s">
        <v>4634</v>
      </c>
      <c r="F16691" s="331">
        <v>0.21</v>
      </c>
      <c r="G16691" s="332">
        <v>1008</v>
      </c>
      <c r="H16691" s="333">
        <v>1220</v>
      </c>
    </row>
    <row r="16692" spans="1:8">
      <c r="A16692" s="317">
        <v>3609202411</v>
      </c>
      <c r="B16692" s="330" t="s">
        <v>61044</v>
      </c>
      <c r="C16692" s="330" t="s">
        <v>34232</v>
      </c>
      <c r="D16692" s="330" t="s">
        <v>34233</v>
      </c>
      <c r="E16692" s="330" t="s">
        <v>4634</v>
      </c>
      <c r="F16692" s="331">
        <v>0.21</v>
      </c>
      <c r="G16692" s="332">
        <v>1008</v>
      </c>
      <c r="H16692" s="333">
        <v>1220</v>
      </c>
    </row>
    <row r="16693" spans="1:8">
      <c r="A16693" s="317">
        <v>3609202412</v>
      </c>
      <c r="B16693" s="330" t="s">
        <v>61045</v>
      </c>
      <c r="C16693" s="330" t="s">
        <v>34234</v>
      </c>
      <c r="D16693" s="330" t="s">
        <v>34235</v>
      </c>
      <c r="E16693" s="330" t="s">
        <v>4634</v>
      </c>
      <c r="F16693" s="331">
        <v>0.21</v>
      </c>
      <c r="G16693" s="332">
        <v>1008</v>
      </c>
      <c r="H16693" s="333">
        <v>1220</v>
      </c>
    </row>
    <row r="16694" spans="1:8">
      <c r="A16694" s="317">
        <v>3609202413</v>
      </c>
      <c r="B16694" s="330" t="s">
        <v>61046</v>
      </c>
      <c r="C16694" s="330" t="s">
        <v>34236</v>
      </c>
      <c r="D16694" s="330" t="s">
        <v>34237</v>
      </c>
      <c r="E16694" s="330" t="s">
        <v>4634</v>
      </c>
      <c r="F16694" s="331">
        <v>0.21</v>
      </c>
      <c r="G16694" s="332">
        <v>4472</v>
      </c>
      <c r="H16694" s="333">
        <v>5412</v>
      </c>
    </row>
    <row r="16695" spans="1:8">
      <c r="A16695" s="317">
        <v>3609202414</v>
      </c>
      <c r="B16695" s="330" t="s">
        <v>61047</v>
      </c>
      <c r="C16695" s="330" t="s">
        <v>34238</v>
      </c>
      <c r="D16695" s="330" t="s">
        <v>34239</v>
      </c>
      <c r="E16695" s="330" t="s">
        <v>4634</v>
      </c>
      <c r="F16695" s="331">
        <v>0.21</v>
      </c>
      <c r="G16695" s="332">
        <v>6553</v>
      </c>
      <c r="H16695" s="333">
        <v>7930</v>
      </c>
    </row>
    <row r="16696" spans="1:8">
      <c r="A16696" s="317">
        <v>3609202415</v>
      </c>
      <c r="B16696" s="330" t="s">
        <v>61048</v>
      </c>
      <c r="C16696" s="330" t="s">
        <v>34240</v>
      </c>
      <c r="D16696" s="330" t="s">
        <v>34241</v>
      </c>
      <c r="E16696" s="330" t="s">
        <v>4634</v>
      </c>
      <c r="F16696" s="331">
        <v>0.21</v>
      </c>
      <c r="G16696" s="332">
        <v>711</v>
      </c>
      <c r="H16696" s="333">
        <v>861</v>
      </c>
    </row>
    <row r="16697" spans="1:8">
      <c r="A16697" s="317">
        <v>3609202417</v>
      </c>
      <c r="B16697" s="330" t="s">
        <v>61049</v>
      </c>
      <c r="C16697" s="330" t="s">
        <v>34242</v>
      </c>
      <c r="D16697" s="330" t="s">
        <v>34237</v>
      </c>
      <c r="E16697" s="330" t="s">
        <v>4634</v>
      </c>
      <c r="F16697" s="331">
        <v>0.21</v>
      </c>
      <c r="G16697" s="332">
        <v>5652</v>
      </c>
      <c r="H16697" s="333">
        <v>6839</v>
      </c>
    </row>
    <row r="16698" spans="1:8">
      <c r="A16698" s="317">
        <v>3609202419</v>
      </c>
      <c r="B16698" s="330" t="s">
        <v>61050</v>
      </c>
      <c r="C16698" s="330" t="s">
        <v>34243</v>
      </c>
      <c r="D16698" s="330" t="s">
        <v>34244</v>
      </c>
      <c r="E16698" s="330" t="s">
        <v>4634</v>
      </c>
      <c r="F16698" s="331">
        <v>0.21</v>
      </c>
      <c r="G16698" s="332">
        <v>791</v>
      </c>
      <c r="H16698" s="333">
        <v>958</v>
      </c>
    </row>
    <row r="16699" spans="1:8">
      <c r="A16699" s="317">
        <v>3609202420</v>
      </c>
      <c r="B16699" s="330" t="s">
        <v>61051</v>
      </c>
      <c r="C16699" s="330" t="s">
        <v>34245</v>
      </c>
      <c r="D16699" s="330" t="s">
        <v>34237</v>
      </c>
      <c r="E16699" s="330" t="s">
        <v>4634</v>
      </c>
      <c r="F16699" s="331">
        <v>0.21</v>
      </c>
      <c r="G16699" s="332">
        <v>8336</v>
      </c>
      <c r="H16699" s="333">
        <v>10087</v>
      </c>
    </row>
    <row r="16700" spans="1:8">
      <c r="A16700" s="317">
        <v>3609202421</v>
      </c>
      <c r="B16700" s="330" t="s">
        <v>61052</v>
      </c>
      <c r="C16700" s="330" t="s">
        <v>34246</v>
      </c>
      <c r="D16700" s="330" t="s">
        <v>34247</v>
      </c>
      <c r="E16700" s="330" t="s">
        <v>4634</v>
      </c>
      <c r="F16700" s="331">
        <v>0.21</v>
      </c>
      <c r="G16700" s="332">
        <v>18504</v>
      </c>
      <c r="H16700" s="333">
        <v>22390</v>
      </c>
    </row>
    <row r="16701" spans="1:8">
      <c r="A16701" s="317">
        <v>3609202424</v>
      </c>
      <c r="B16701" s="330" t="s">
        <v>61053</v>
      </c>
      <c r="C16701" s="330" t="s">
        <v>34248</v>
      </c>
      <c r="D16701" s="330" t="s">
        <v>34165</v>
      </c>
      <c r="E16701" s="330" t="s">
        <v>4634</v>
      </c>
      <c r="F16701" s="331">
        <v>0.21</v>
      </c>
      <c r="G16701" s="332">
        <v>1956</v>
      </c>
      <c r="H16701" s="333">
        <v>2367</v>
      </c>
    </row>
    <row r="16702" spans="1:8">
      <c r="A16702" s="317">
        <v>3609202426</v>
      </c>
      <c r="B16702" s="330" t="s">
        <v>61054</v>
      </c>
      <c r="C16702" s="330" t="s">
        <v>34249</v>
      </c>
      <c r="D16702" s="330" t="s">
        <v>34250</v>
      </c>
      <c r="E16702" s="330" t="s">
        <v>4634</v>
      </c>
      <c r="F16702" s="331">
        <v>0.21</v>
      </c>
      <c r="G16702" s="332">
        <v>711</v>
      </c>
      <c r="H16702" s="333">
        <v>861</v>
      </c>
    </row>
    <row r="16703" spans="1:8">
      <c r="A16703" s="317">
        <v>3609202433</v>
      </c>
      <c r="B16703" s="330" t="s">
        <v>61055</v>
      </c>
      <c r="C16703" s="330" t="s">
        <v>34251</v>
      </c>
      <c r="D16703" s="330" t="s">
        <v>34252</v>
      </c>
      <c r="E16703" s="330" t="s">
        <v>4634</v>
      </c>
      <c r="F16703" s="331">
        <v>0.21</v>
      </c>
      <c r="G16703" s="332">
        <v>15343</v>
      </c>
      <c r="H16703" s="333">
        <v>18566</v>
      </c>
    </row>
    <row r="16704" spans="1:8">
      <c r="A16704" s="317">
        <v>3609202438</v>
      </c>
      <c r="B16704" s="330" t="s">
        <v>61056</v>
      </c>
      <c r="C16704" s="330" t="s">
        <v>34253</v>
      </c>
      <c r="D16704" s="330" t="s">
        <v>34254</v>
      </c>
      <c r="E16704" s="330" t="s">
        <v>4634</v>
      </c>
      <c r="F16704" s="331">
        <v>0.21</v>
      </c>
      <c r="G16704" s="332">
        <v>2212</v>
      </c>
      <c r="H16704" s="333">
        <v>2677</v>
      </c>
    </row>
    <row r="16705" spans="1:8">
      <c r="A16705" s="317">
        <v>3609202439</v>
      </c>
      <c r="B16705" s="330" t="s">
        <v>61057</v>
      </c>
      <c r="C16705" s="330" t="s">
        <v>34255</v>
      </c>
      <c r="D16705" s="330" t="s">
        <v>34256</v>
      </c>
      <c r="E16705" s="330" t="s">
        <v>4634</v>
      </c>
      <c r="F16705" s="331">
        <v>0.21</v>
      </c>
      <c r="G16705" s="332">
        <v>1956</v>
      </c>
      <c r="H16705" s="333">
        <v>2367</v>
      </c>
    </row>
    <row r="16706" spans="1:8">
      <c r="A16706" s="317">
        <v>3609202440</v>
      </c>
      <c r="B16706" s="330" t="s">
        <v>61058</v>
      </c>
      <c r="C16706" s="330" t="s">
        <v>34257</v>
      </c>
      <c r="D16706" s="330" t="s">
        <v>34258</v>
      </c>
      <c r="E16706" s="330" t="s">
        <v>4634</v>
      </c>
      <c r="F16706" s="331">
        <v>0.21</v>
      </c>
      <c r="G16706" s="332">
        <v>1692</v>
      </c>
      <c r="H16706" s="333">
        <v>2048</v>
      </c>
    </row>
    <row r="16707" spans="1:8">
      <c r="A16707" s="317">
        <v>3609202441</v>
      </c>
      <c r="B16707" s="330" t="s">
        <v>61059</v>
      </c>
      <c r="C16707" s="330" t="s">
        <v>34259</v>
      </c>
      <c r="D16707" s="330" t="s">
        <v>34260</v>
      </c>
      <c r="E16707" s="330" t="s">
        <v>4634</v>
      </c>
      <c r="F16707" s="331">
        <v>0.21</v>
      </c>
      <c r="G16707" s="332">
        <v>490</v>
      </c>
      <c r="H16707" s="333">
        <v>593</v>
      </c>
    </row>
    <row r="16708" spans="1:8">
      <c r="A16708" s="317">
        <v>3609202443</v>
      </c>
      <c r="B16708" s="330" t="s">
        <v>61060</v>
      </c>
      <c r="C16708" s="330" t="s">
        <v>34261</v>
      </c>
      <c r="D16708" s="330" t="s">
        <v>34260</v>
      </c>
      <c r="E16708" s="330" t="s">
        <v>4634</v>
      </c>
      <c r="F16708" s="331">
        <v>0.21</v>
      </c>
      <c r="G16708" s="332">
        <v>490</v>
      </c>
      <c r="H16708" s="333">
        <v>593</v>
      </c>
    </row>
    <row r="16709" spans="1:8">
      <c r="A16709" s="317">
        <v>3609202444</v>
      </c>
      <c r="B16709" s="330" t="s">
        <v>61061</v>
      </c>
      <c r="C16709" s="330" t="s">
        <v>34262</v>
      </c>
      <c r="D16709" s="330" t="s">
        <v>34263</v>
      </c>
      <c r="E16709" s="330" t="s">
        <v>4634</v>
      </c>
      <c r="F16709" s="331">
        <v>0.21</v>
      </c>
      <c r="G16709" s="332">
        <v>1479</v>
      </c>
      <c r="H16709" s="333">
        <v>1790</v>
      </c>
    </row>
    <row r="16710" spans="1:8">
      <c r="A16710" s="317">
        <v>3609202445</v>
      </c>
      <c r="B16710" s="330" t="s">
        <v>61062</v>
      </c>
      <c r="C16710" s="330" t="s">
        <v>34264</v>
      </c>
      <c r="D16710" s="330" t="s">
        <v>34260</v>
      </c>
      <c r="E16710" s="330" t="s">
        <v>4634</v>
      </c>
      <c r="F16710" s="331">
        <v>0.21</v>
      </c>
      <c r="G16710" s="332">
        <v>570</v>
      </c>
      <c r="H16710" s="333">
        <v>690</v>
      </c>
    </row>
    <row r="16711" spans="1:8">
      <c r="A16711" s="317">
        <v>3609202446</v>
      </c>
      <c r="B16711" s="330" t="s">
        <v>61063</v>
      </c>
      <c r="C16711" s="330" t="s">
        <v>34265</v>
      </c>
      <c r="D16711" s="330" t="s">
        <v>34266</v>
      </c>
      <c r="E16711" s="330" t="s">
        <v>4634</v>
      </c>
      <c r="F16711" s="331">
        <v>0.21</v>
      </c>
      <c r="G16711" s="332">
        <v>711</v>
      </c>
      <c r="H16711" s="333">
        <v>861</v>
      </c>
    </row>
    <row r="16712" spans="1:8">
      <c r="A16712" s="317">
        <v>3609202448</v>
      </c>
      <c r="B16712" s="330" t="s">
        <v>61064</v>
      </c>
      <c r="C16712" s="330" t="s">
        <v>34267</v>
      </c>
      <c r="D16712" s="330" t="s">
        <v>34268</v>
      </c>
      <c r="E16712" s="330" t="s">
        <v>4634</v>
      </c>
      <c r="F16712" s="331">
        <v>0.21</v>
      </c>
      <c r="G16712" s="332">
        <v>4472</v>
      </c>
      <c r="H16712" s="333">
        <v>5412</v>
      </c>
    </row>
    <row r="16713" spans="1:8">
      <c r="A16713" s="317">
        <v>3609202449</v>
      </c>
      <c r="B16713" s="330" t="s">
        <v>61065</v>
      </c>
      <c r="C16713" s="330" t="s">
        <v>34269</v>
      </c>
      <c r="D16713" s="330" t="s">
        <v>34270</v>
      </c>
      <c r="E16713" s="330" t="s">
        <v>4634</v>
      </c>
      <c r="F16713" s="331">
        <v>0.21</v>
      </c>
      <c r="G16713" s="332">
        <v>7069</v>
      </c>
      <c r="H16713" s="333">
        <v>8554</v>
      </c>
    </row>
    <row r="16714" spans="1:8">
      <c r="A16714" s="317">
        <v>3609202450</v>
      </c>
      <c r="B16714" s="330" t="s">
        <v>61066</v>
      </c>
      <c r="C16714" s="330" t="s">
        <v>34271</v>
      </c>
      <c r="D16714" s="330" t="s">
        <v>34272</v>
      </c>
      <c r="E16714" s="330" t="s">
        <v>4634</v>
      </c>
      <c r="F16714" s="331">
        <v>0.21</v>
      </c>
      <c r="G16714" s="332">
        <v>928</v>
      </c>
      <c r="H16714" s="333">
        <v>1123</v>
      </c>
    </row>
    <row r="16715" spans="1:8">
      <c r="A16715" s="317">
        <v>3609202452</v>
      </c>
      <c r="B16715" s="330" t="s">
        <v>61067</v>
      </c>
      <c r="C16715" s="330" t="s">
        <v>34273</v>
      </c>
      <c r="D16715" s="330" t="s">
        <v>34274</v>
      </c>
      <c r="E16715" s="330" t="s">
        <v>4634</v>
      </c>
      <c r="F16715" s="331">
        <v>0.21</v>
      </c>
      <c r="G16715" s="332">
        <v>10150</v>
      </c>
      <c r="H16715" s="333">
        <v>12282</v>
      </c>
    </row>
    <row r="16716" spans="1:8">
      <c r="A16716" s="317">
        <v>3609202453</v>
      </c>
      <c r="B16716" s="330" t="s">
        <v>61068</v>
      </c>
      <c r="C16716" s="330" t="s">
        <v>34275</v>
      </c>
      <c r="D16716" s="330" t="s">
        <v>34276</v>
      </c>
      <c r="E16716" s="330" t="s">
        <v>4634</v>
      </c>
      <c r="F16716" s="331">
        <v>0.21</v>
      </c>
      <c r="G16716" s="332">
        <v>816</v>
      </c>
      <c r="H16716" s="333">
        <v>988</v>
      </c>
    </row>
    <row r="16717" spans="1:8">
      <c r="A16717" s="317">
        <v>3609202454</v>
      </c>
      <c r="B16717" s="330" t="s">
        <v>61069</v>
      </c>
      <c r="C16717" s="330" t="s">
        <v>34277</v>
      </c>
      <c r="D16717" s="330" t="s">
        <v>34278</v>
      </c>
      <c r="E16717" s="330" t="s">
        <v>4634</v>
      </c>
      <c r="F16717" s="331">
        <v>0.21</v>
      </c>
      <c r="G16717" s="332">
        <v>12599</v>
      </c>
      <c r="H16717" s="333">
        <v>15245</v>
      </c>
    </row>
    <row r="16718" spans="1:8">
      <c r="A16718" s="317">
        <v>3609202456</v>
      </c>
      <c r="B16718" s="330" t="s">
        <v>61070</v>
      </c>
      <c r="C16718" s="330" t="s">
        <v>34279</v>
      </c>
      <c r="D16718" s="330" t="s">
        <v>34280</v>
      </c>
      <c r="E16718" s="330" t="s">
        <v>4634</v>
      </c>
      <c r="F16718" s="331">
        <v>0.21</v>
      </c>
      <c r="G16718" s="332">
        <v>1008</v>
      </c>
      <c r="H16718" s="333">
        <v>1220</v>
      </c>
    </row>
    <row r="16719" spans="1:8">
      <c r="A16719" s="317">
        <v>3609202457</v>
      </c>
      <c r="B16719" s="330" t="s">
        <v>61071</v>
      </c>
      <c r="C16719" s="330" t="s">
        <v>34281</v>
      </c>
      <c r="D16719" s="330" t="s">
        <v>34282</v>
      </c>
      <c r="E16719" s="330" t="s">
        <v>4634</v>
      </c>
      <c r="F16719" s="331">
        <v>0.21</v>
      </c>
      <c r="G16719" s="332">
        <v>1692</v>
      </c>
      <c r="H16719" s="333">
        <v>2048</v>
      </c>
    </row>
    <row r="16720" spans="1:8">
      <c r="A16720" s="317">
        <v>3609202459</v>
      </c>
      <c r="B16720" s="330" t="s">
        <v>61072</v>
      </c>
      <c r="C16720" s="330" t="s">
        <v>34283</v>
      </c>
      <c r="D16720" s="330" t="s">
        <v>34284</v>
      </c>
      <c r="E16720" s="330" t="s">
        <v>4634</v>
      </c>
      <c r="F16720" s="331">
        <v>0.21</v>
      </c>
      <c r="G16720" s="332">
        <v>1115</v>
      </c>
      <c r="H16720" s="333">
        <v>1350</v>
      </c>
    </row>
    <row r="16721" spans="1:8">
      <c r="A16721" s="317">
        <v>3609202462</v>
      </c>
      <c r="B16721" s="330" t="s">
        <v>61073</v>
      </c>
      <c r="C16721" s="330" t="s">
        <v>34285</v>
      </c>
      <c r="D16721" s="330" t="s">
        <v>34260</v>
      </c>
      <c r="E16721" s="330" t="s">
        <v>4634</v>
      </c>
      <c r="F16721" s="331">
        <v>0.21</v>
      </c>
      <c r="G16721" s="332">
        <v>570</v>
      </c>
      <c r="H16721" s="333">
        <v>690</v>
      </c>
    </row>
    <row r="16722" spans="1:8">
      <c r="A16722" s="317">
        <v>3609202464</v>
      </c>
      <c r="B16722" s="330" t="s">
        <v>61074</v>
      </c>
      <c r="C16722" s="330" t="s">
        <v>34286</v>
      </c>
      <c r="D16722" s="330" t="s">
        <v>34260</v>
      </c>
      <c r="E16722" s="330" t="s">
        <v>4634</v>
      </c>
      <c r="F16722" s="331">
        <v>0.21</v>
      </c>
      <c r="G16722" s="332">
        <v>711</v>
      </c>
      <c r="H16722" s="333">
        <v>861</v>
      </c>
    </row>
    <row r="16723" spans="1:8">
      <c r="A16723" s="317">
        <v>3609202465</v>
      </c>
      <c r="B16723" s="330" t="s">
        <v>61075</v>
      </c>
      <c r="C16723" s="330" t="s">
        <v>34287</v>
      </c>
      <c r="D16723" s="330" t="s">
        <v>34282</v>
      </c>
      <c r="E16723" s="330" t="s">
        <v>4634</v>
      </c>
      <c r="F16723" s="331">
        <v>0.21</v>
      </c>
      <c r="G16723" s="332">
        <v>2212</v>
      </c>
      <c r="H16723" s="333">
        <v>2677</v>
      </c>
    </row>
    <row r="16724" spans="1:8">
      <c r="A16724" s="317">
        <v>3609202466</v>
      </c>
      <c r="B16724" s="330" t="s">
        <v>61076</v>
      </c>
      <c r="C16724" s="330" t="s">
        <v>34288</v>
      </c>
      <c r="D16724" s="330" t="s">
        <v>34289</v>
      </c>
      <c r="E16724" s="330" t="s">
        <v>4634</v>
      </c>
      <c r="F16724" s="331">
        <v>0.21</v>
      </c>
      <c r="G16724" s="332">
        <v>5652</v>
      </c>
      <c r="H16724" s="333">
        <v>6839</v>
      </c>
    </row>
    <row r="16725" spans="1:8">
      <c r="A16725" s="317">
        <v>3609202467</v>
      </c>
      <c r="B16725" s="330" t="s">
        <v>61077</v>
      </c>
      <c r="C16725" s="330" t="s">
        <v>34290</v>
      </c>
      <c r="D16725" s="330" t="s">
        <v>34291</v>
      </c>
      <c r="E16725" s="330" t="s">
        <v>4634</v>
      </c>
      <c r="F16725" s="331">
        <v>0.21</v>
      </c>
      <c r="G16725" s="332">
        <v>3421</v>
      </c>
      <c r="H16725" s="333">
        <v>4140</v>
      </c>
    </row>
    <row r="16726" spans="1:8">
      <c r="A16726" s="317">
        <v>3609202469</v>
      </c>
      <c r="B16726" s="330" t="s">
        <v>61078</v>
      </c>
      <c r="C16726" s="330" t="s">
        <v>34292</v>
      </c>
      <c r="D16726" s="330" t="s">
        <v>34293</v>
      </c>
      <c r="E16726" s="330" t="s">
        <v>4634</v>
      </c>
      <c r="F16726" s="331">
        <v>0.21</v>
      </c>
      <c r="G16726" s="332">
        <v>1008</v>
      </c>
      <c r="H16726" s="333">
        <v>1220</v>
      </c>
    </row>
    <row r="16727" spans="1:8">
      <c r="A16727" s="317">
        <v>3609202471</v>
      </c>
      <c r="B16727" s="330" t="s">
        <v>61079</v>
      </c>
      <c r="C16727" s="330" t="s">
        <v>34294</v>
      </c>
      <c r="D16727" s="330" t="s">
        <v>34278</v>
      </c>
      <c r="E16727" s="330" t="s">
        <v>4634</v>
      </c>
      <c r="F16727" s="331">
        <v>0.21</v>
      </c>
      <c r="G16727" s="332">
        <v>10150</v>
      </c>
      <c r="H16727" s="333">
        <v>12282</v>
      </c>
    </row>
    <row r="16728" spans="1:8">
      <c r="A16728" s="317">
        <v>3609202475</v>
      </c>
      <c r="B16728" s="330" t="s">
        <v>61080</v>
      </c>
      <c r="C16728" s="330" t="s">
        <v>34295</v>
      </c>
      <c r="D16728" s="330" t="s">
        <v>34296</v>
      </c>
      <c r="E16728" s="330" t="s">
        <v>4634</v>
      </c>
      <c r="F16728" s="331">
        <v>0.21</v>
      </c>
      <c r="G16728" s="332">
        <v>24968</v>
      </c>
      <c r="H16728" s="333">
        <v>30212</v>
      </c>
    </row>
    <row r="16729" spans="1:8">
      <c r="A16729" s="317">
        <v>3609202480</v>
      </c>
      <c r="B16729" s="330" t="s">
        <v>61081</v>
      </c>
      <c r="C16729" s="330" t="s">
        <v>34297</v>
      </c>
      <c r="D16729" s="330" t="s">
        <v>34298</v>
      </c>
      <c r="E16729" s="330" t="s">
        <v>4634</v>
      </c>
      <c r="F16729" s="331">
        <v>0.21</v>
      </c>
      <c r="G16729" s="332">
        <v>3047</v>
      </c>
      <c r="H16729" s="333">
        <v>3687</v>
      </c>
    </row>
    <row r="16730" spans="1:8">
      <c r="A16730" s="317">
        <v>3609202485</v>
      </c>
      <c r="B16730" s="330" t="s">
        <v>61082</v>
      </c>
      <c r="C16730" s="330" t="s">
        <v>34299</v>
      </c>
      <c r="D16730" s="330" t="s">
        <v>34260</v>
      </c>
      <c r="E16730" s="330" t="s">
        <v>4634</v>
      </c>
      <c r="F16730" s="331">
        <v>0.21</v>
      </c>
      <c r="G16730" s="332">
        <v>570</v>
      </c>
      <c r="H16730" s="333">
        <v>690</v>
      </c>
    </row>
    <row r="16731" spans="1:8">
      <c r="A16731" s="317">
        <v>3609202489</v>
      </c>
      <c r="B16731" s="330" t="s">
        <v>61083</v>
      </c>
      <c r="C16731" s="330" t="s">
        <v>34300</v>
      </c>
      <c r="D16731" s="330" t="s">
        <v>34301</v>
      </c>
      <c r="E16731" s="330" t="s">
        <v>4634</v>
      </c>
      <c r="F16731" s="331">
        <v>0.21</v>
      </c>
      <c r="G16731" s="332">
        <v>1267</v>
      </c>
      <c r="H16731" s="333">
        <v>1534</v>
      </c>
    </row>
    <row r="16732" spans="1:8">
      <c r="A16732" s="317">
        <v>3609202502</v>
      </c>
      <c r="B16732" s="330" t="s">
        <v>61084</v>
      </c>
      <c r="C16732" s="330" t="s">
        <v>34302</v>
      </c>
      <c r="D16732" s="330" t="s">
        <v>34303</v>
      </c>
      <c r="E16732" s="330" t="s">
        <v>4634</v>
      </c>
      <c r="F16732" s="331">
        <v>0.21</v>
      </c>
      <c r="G16732" s="332">
        <v>1956</v>
      </c>
      <c r="H16732" s="333">
        <v>2367</v>
      </c>
    </row>
    <row r="16733" spans="1:8">
      <c r="A16733" s="317">
        <v>3609202510</v>
      </c>
      <c r="B16733" s="330" t="s">
        <v>61085</v>
      </c>
      <c r="C16733" s="330" t="s">
        <v>34304</v>
      </c>
      <c r="D16733" s="330" t="s">
        <v>34305</v>
      </c>
      <c r="E16733" s="330" t="s">
        <v>4634</v>
      </c>
      <c r="F16733" s="331">
        <v>0.21</v>
      </c>
      <c r="G16733" s="332">
        <v>2059</v>
      </c>
      <c r="H16733" s="333">
        <v>2492</v>
      </c>
    </row>
    <row r="16734" spans="1:8">
      <c r="A16734" s="317">
        <v>3609202590</v>
      </c>
      <c r="B16734" s="330" t="s">
        <v>61086</v>
      </c>
      <c r="C16734" s="330" t="s">
        <v>34306</v>
      </c>
      <c r="D16734" s="330" t="s">
        <v>34187</v>
      </c>
      <c r="E16734" s="330" t="s">
        <v>4634</v>
      </c>
      <c r="F16734" s="331">
        <v>0.21</v>
      </c>
      <c r="G16734" s="332">
        <v>16802</v>
      </c>
      <c r="H16734" s="333">
        <v>20331</v>
      </c>
    </row>
    <row r="16735" spans="1:8">
      <c r="A16735" s="317">
        <v>3609202656</v>
      </c>
      <c r="B16735" s="330" t="s">
        <v>61087</v>
      </c>
      <c r="C16735" s="330" t="s">
        <v>34307</v>
      </c>
      <c r="D16735" s="330" t="s">
        <v>34308</v>
      </c>
      <c r="E16735" s="330" t="s">
        <v>4634</v>
      </c>
      <c r="F16735" s="331">
        <v>0.21</v>
      </c>
      <c r="G16735" s="332">
        <v>2768</v>
      </c>
      <c r="H16735" s="333">
        <v>3350</v>
      </c>
    </row>
    <row r="16736" spans="1:8">
      <c r="A16736" s="317">
        <v>3609202735</v>
      </c>
      <c r="B16736" s="330" t="s">
        <v>61088</v>
      </c>
      <c r="C16736" s="330" t="s">
        <v>34309</v>
      </c>
      <c r="D16736" s="330" t="s">
        <v>34310</v>
      </c>
      <c r="E16736" s="330" t="s">
        <v>4634</v>
      </c>
      <c r="F16736" s="331">
        <v>0.21</v>
      </c>
      <c r="G16736" s="332">
        <v>7069</v>
      </c>
      <c r="H16736" s="333">
        <v>8554</v>
      </c>
    </row>
    <row r="16737" spans="1:8">
      <c r="A16737" s="317">
        <v>3609202746</v>
      </c>
      <c r="B16737" s="330" t="s">
        <v>61089</v>
      </c>
      <c r="C16737" s="330" t="s">
        <v>34311</v>
      </c>
      <c r="D16737" s="330" t="s">
        <v>32031</v>
      </c>
      <c r="E16737" s="330" t="s">
        <v>4634</v>
      </c>
      <c r="F16737" s="331">
        <v>0.21</v>
      </c>
      <c r="G16737" s="332">
        <v>14078</v>
      </c>
      <c r="H16737" s="333">
        <v>17035</v>
      </c>
    </row>
    <row r="16738" spans="1:8">
      <c r="A16738" s="317">
        <v>3609202752</v>
      </c>
      <c r="B16738" s="330" t="s">
        <v>61090</v>
      </c>
      <c r="C16738" s="330" t="s">
        <v>34312</v>
      </c>
      <c r="D16738" s="330" t="s">
        <v>34313</v>
      </c>
      <c r="E16738" s="330" t="s">
        <v>4634</v>
      </c>
      <c r="F16738" s="331">
        <v>0.21</v>
      </c>
      <c r="G16738" s="332">
        <v>1115</v>
      </c>
      <c r="H16738" s="333">
        <v>1350</v>
      </c>
    </row>
    <row r="16739" spans="1:8">
      <c r="A16739" s="317">
        <v>3609202753</v>
      </c>
      <c r="B16739" s="330" t="s">
        <v>61091</v>
      </c>
      <c r="C16739" s="330" t="s">
        <v>34314</v>
      </c>
      <c r="D16739" s="330" t="s">
        <v>34315</v>
      </c>
      <c r="E16739" s="330" t="s">
        <v>4634</v>
      </c>
      <c r="F16739" s="331">
        <v>0.21</v>
      </c>
      <c r="G16739" s="332">
        <v>3935</v>
      </c>
      <c r="H16739" s="333">
        <v>4762</v>
      </c>
    </row>
    <row r="16740" spans="1:8">
      <c r="A16740" s="317">
        <v>3609202754</v>
      </c>
      <c r="B16740" s="330" t="s">
        <v>61092</v>
      </c>
      <c r="C16740" s="330" t="s">
        <v>34316</v>
      </c>
      <c r="D16740" s="330" t="s">
        <v>34317</v>
      </c>
      <c r="E16740" s="330" t="s">
        <v>4634</v>
      </c>
      <c r="F16740" s="331">
        <v>0.21</v>
      </c>
      <c r="G16740" s="332">
        <v>11425</v>
      </c>
      <c r="H16740" s="333">
        <v>13825</v>
      </c>
    </row>
    <row r="16741" spans="1:8">
      <c r="A16741" s="317">
        <v>3609202755</v>
      </c>
      <c r="B16741" s="330" t="s">
        <v>61093</v>
      </c>
      <c r="C16741" s="330" t="s">
        <v>34318</v>
      </c>
      <c r="D16741" s="330" t="s">
        <v>34319</v>
      </c>
      <c r="E16741" s="330" t="s">
        <v>4634</v>
      </c>
      <c r="F16741" s="331">
        <v>0.21</v>
      </c>
      <c r="G16741" s="332">
        <v>1371</v>
      </c>
      <c r="H16741" s="333">
        <v>1659</v>
      </c>
    </row>
    <row r="16742" spans="1:8">
      <c r="A16742" s="317">
        <v>3609202756</v>
      </c>
      <c r="B16742" s="330" t="s">
        <v>61094</v>
      </c>
      <c r="C16742" s="330" t="s">
        <v>34320</v>
      </c>
      <c r="D16742" s="330" t="s">
        <v>34321</v>
      </c>
      <c r="E16742" s="330" t="s">
        <v>4634</v>
      </c>
      <c r="F16742" s="331">
        <v>0.21</v>
      </c>
      <c r="G16742" s="332">
        <v>15343</v>
      </c>
      <c r="H16742" s="333">
        <v>18566</v>
      </c>
    </row>
    <row r="16743" spans="1:8">
      <c r="A16743" s="317">
        <v>3609202762</v>
      </c>
      <c r="B16743" s="330" t="s">
        <v>61095</v>
      </c>
      <c r="C16743" s="330" t="s">
        <v>34322</v>
      </c>
      <c r="D16743" s="330" t="s">
        <v>34323</v>
      </c>
      <c r="E16743" s="330" t="s">
        <v>4634</v>
      </c>
      <c r="F16743" s="331">
        <v>0.21</v>
      </c>
      <c r="G16743" s="332">
        <v>2355</v>
      </c>
      <c r="H16743" s="333">
        <v>2850</v>
      </c>
    </row>
    <row r="16744" spans="1:8">
      <c r="A16744" s="317">
        <v>3609202764</v>
      </c>
      <c r="B16744" s="330" t="s">
        <v>61096</v>
      </c>
      <c r="C16744" s="330" t="s">
        <v>34324</v>
      </c>
      <c r="D16744" s="330" t="s">
        <v>34325</v>
      </c>
      <c r="E16744" s="330" t="s">
        <v>4634</v>
      </c>
      <c r="F16744" s="331">
        <v>0.21</v>
      </c>
      <c r="G16744" s="332">
        <v>4066</v>
      </c>
      <c r="H16744" s="333">
        <v>4920</v>
      </c>
    </row>
    <row r="16745" spans="1:8">
      <c r="A16745" s="317">
        <v>3609202766</v>
      </c>
      <c r="B16745" s="330" t="s">
        <v>61097</v>
      </c>
      <c r="C16745" s="330" t="s">
        <v>34326</v>
      </c>
      <c r="D16745" s="330" t="s">
        <v>34327</v>
      </c>
      <c r="E16745" s="330" t="s">
        <v>4634</v>
      </c>
      <c r="F16745" s="331">
        <v>0.21</v>
      </c>
      <c r="G16745" s="332">
        <v>510</v>
      </c>
      <c r="H16745" s="333">
        <v>618</v>
      </c>
    </row>
    <row r="16746" spans="1:8">
      <c r="A16746" s="317">
        <v>3609202799</v>
      </c>
      <c r="B16746" s="330" t="s">
        <v>61098</v>
      </c>
      <c r="C16746" s="330" t="s">
        <v>34328</v>
      </c>
      <c r="D16746" s="330" t="s">
        <v>34329</v>
      </c>
      <c r="E16746" s="330" t="s">
        <v>4634</v>
      </c>
      <c r="F16746" s="331">
        <v>0.21</v>
      </c>
      <c r="G16746" s="332">
        <v>4796</v>
      </c>
      <c r="H16746" s="333">
        <v>5804</v>
      </c>
    </row>
    <row r="16747" spans="1:8">
      <c r="A16747" s="317">
        <v>3609202805</v>
      </c>
      <c r="B16747" s="330" t="s">
        <v>61099</v>
      </c>
      <c r="C16747" s="330" t="s">
        <v>34330</v>
      </c>
      <c r="D16747" s="330" t="s">
        <v>33975</v>
      </c>
      <c r="E16747" s="330" t="s">
        <v>4634</v>
      </c>
      <c r="F16747" s="331">
        <v>0.21</v>
      </c>
      <c r="G16747" s="332">
        <v>15343</v>
      </c>
      <c r="H16747" s="333">
        <v>18566</v>
      </c>
    </row>
    <row r="16748" spans="1:8">
      <c r="A16748" s="317">
        <v>3609202979</v>
      </c>
      <c r="B16748" s="330" t="s">
        <v>61100</v>
      </c>
      <c r="C16748" s="330" t="s">
        <v>34331</v>
      </c>
      <c r="D16748" s="330" t="s">
        <v>34332</v>
      </c>
      <c r="E16748" s="330" t="s">
        <v>4634</v>
      </c>
      <c r="F16748" s="331">
        <v>0.21</v>
      </c>
      <c r="G16748" s="332">
        <v>4066</v>
      </c>
      <c r="H16748" s="333">
        <v>4920</v>
      </c>
    </row>
    <row r="16749" spans="1:8">
      <c r="A16749" s="317">
        <v>3609202980</v>
      </c>
      <c r="B16749" s="330" t="s">
        <v>61101</v>
      </c>
      <c r="C16749" s="330" t="s">
        <v>34333</v>
      </c>
      <c r="D16749" s="330" t="s">
        <v>34332</v>
      </c>
      <c r="E16749" s="330" t="s">
        <v>4634</v>
      </c>
      <c r="F16749" s="331">
        <v>0.21</v>
      </c>
      <c r="G16749" s="332">
        <v>5081</v>
      </c>
      <c r="H16749" s="333">
        <v>6149</v>
      </c>
    </row>
    <row r="16750" spans="1:8">
      <c r="A16750" s="317">
        <v>3609202982</v>
      </c>
      <c r="B16750" s="330" t="s">
        <v>61102</v>
      </c>
      <c r="C16750" s="330" t="s">
        <v>34334</v>
      </c>
      <c r="D16750" s="330" t="s">
        <v>34335</v>
      </c>
      <c r="E16750" s="330" t="s">
        <v>4634</v>
      </c>
      <c r="F16750" s="331">
        <v>0.21</v>
      </c>
      <c r="G16750" s="332">
        <v>97357</v>
      </c>
      <c r="H16750" s="333">
        <v>117802</v>
      </c>
    </row>
    <row r="16751" spans="1:8">
      <c r="A16751" s="317">
        <v>3609202986</v>
      </c>
      <c r="B16751" s="330" t="s">
        <v>61103</v>
      </c>
      <c r="C16751" s="330" t="s">
        <v>34336</v>
      </c>
      <c r="D16751" s="330" t="s">
        <v>34335</v>
      </c>
      <c r="E16751" s="330" t="s">
        <v>4634</v>
      </c>
      <c r="F16751" s="331">
        <v>0.21</v>
      </c>
      <c r="G16751" s="332">
        <v>212168</v>
      </c>
      <c r="H16751" s="333">
        <v>256724</v>
      </c>
    </row>
    <row r="16752" spans="1:8">
      <c r="A16752" s="317">
        <v>3609202988</v>
      </c>
      <c r="B16752" s="330" t="s">
        <v>61104</v>
      </c>
      <c r="C16752" s="330" t="s">
        <v>34337</v>
      </c>
      <c r="D16752" s="330" t="s">
        <v>34335</v>
      </c>
      <c r="E16752" s="330" t="s">
        <v>4634</v>
      </c>
      <c r="F16752" s="331">
        <v>0.21</v>
      </c>
      <c r="G16752" s="332">
        <v>3421</v>
      </c>
      <c r="H16752" s="333">
        <v>4140</v>
      </c>
    </row>
    <row r="16753" spans="1:8">
      <c r="A16753" s="317">
        <v>3609202989</v>
      </c>
      <c r="B16753" s="330" t="s">
        <v>61105</v>
      </c>
      <c r="C16753" s="330" t="s">
        <v>34338</v>
      </c>
      <c r="D16753" s="330" t="s">
        <v>34335</v>
      </c>
      <c r="E16753" s="330" t="s">
        <v>4634</v>
      </c>
      <c r="F16753" s="331">
        <v>0.21</v>
      </c>
      <c r="G16753" s="332">
        <v>29865</v>
      </c>
      <c r="H16753" s="333">
        <v>36137</v>
      </c>
    </row>
    <row r="16754" spans="1:8">
      <c r="A16754" s="317" t="s">
        <v>42951</v>
      </c>
      <c r="B16754" s="330" t="s">
        <v>61106</v>
      </c>
      <c r="C16754" s="330" t="s">
        <v>34339</v>
      </c>
      <c r="D16754" s="330" t="s">
        <v>33964</v>
      </c>
      <c r="E16754" s="330" t="s">
        <v>4634</v>
      </c>
      <c r="F16754" s="331">
        <v>0.21</v>
      </c>
      <c r="G16754" s="332">
        <v>2212</v>
      </c>
      <c r="H16754" s="333">
        <v>2677</v>
      </c>
    </row>
    <row r="16755" spans="1:8">
      <c r="A16755" s="317" t="s">
        <v>42952</v>
      </c>
      <c r="B16755" s="330" t="s">
        <v>61107</v>
      </c>
      <c r="C16755" s="330" t="s">
        <v>34340</v>
      </c>
      <c r="D16755" s="330" t="s">
        <v>34341</v>
      </c>
      <c r="E16755" s="330" t="s">
        <v>4634</v>
      </c>
      <c r="F16755" s="331">
        <v>0.21</v>
      </c>
      <c r="G16755" s="332">
        <v>27572</v>
      </c>
      <c r="H16755" s="333">
        <v>33363</v>
      </c>
    </row>
    <row r="16756" spans="1:8">
      <c r="A16756" s="317" t="s">
        <v>42953</v>
      </c>
      <c r="B16756" s="330" t="s">
        <v>61108</v>
      </c>
      <c r="C16756" s="330" t="s">
        <v>34342</v>
      </c>
      <c r="D16756" s="330" t="s">
        <v>34343</v>
      </c>
      <c r="E16756" s="330" t="s">
        <v>4634</v>
      </c>
      <c r="F16756" s="331">
        <v>0.21</v>
      </c>
      <c r="G16756" s="332">
        <v>238288</v>
      </c>
      <c r="H16756" s="333">
        <v>288329</v>
      </c>
    </row>
    <row r="16757" spans="1:8">
      <c r="A16757" s="317" t="s">
        <v>42954</v>
      </c>
      <c r="B16757" s="330" t="s">
        <v>61109</v>
      </c>
      <c r="C16757" s="330" t="s">
        <v>34344</v>
      </c>
      <c r="D16757" s="330" t="s">
        <v>33091</v>
      </c>
      <c r="E16757" s="330" t="s">
        <v>4634</v>
      </c>
      <c r="F16757" s="331">
        <v>0.21</v>
      </c>
      <c r="G16757" s="332">
        <v>11216</v>
      </c>
      <c r="H16757" s="333">
        <v>13572</v>
      </c>
    </row>
    <row r="16758" spans="1:8">
      <c r="A16758" s="317" t="s">
        <v>42955</v>
      </c>
      <c r="B16758" s="330" t="s">
        <v>61110</v>
      </c>
      <c r="C16758" s="330" t="s">
        <v>34345</v>
      </c>
      <c r="D16758" s="330" t="s">
        <v>34346</v>
      </c>
      <c r="E16758" s="330" t="s">
        <v>4634</v>
      </c>
      <c r="F16758" s="331">
        <v>0.21</v>
      </c>
      <c r="G16758" s="332">
        <v>14143</v>
      </c>
      <c r="H16758" s="333">
        <v>17114</v>
      </c>
    </row>
    <row r="16759" spans="1:8">
      <c r="A16759" s="317" t="s">
        <v>42956</v>
      </c>
      <c r="B16759" s="330" t="s">
        <v>61111</v>
      </c>
      <c r="C16759" s="330" t="s">
        <v>34347</v>
      </c>
      <c r="D16759" s="330" t="s">
        <v>34348</v>
      </c>
      <c r="E16759" s="330" t="s">
        <v>4634</v>
      </c>
      <c r="F16759" s="331">
        <v>0.21</v>
      </c>
      <c r="G16759" s="332">
        <v>15702</v>
      </c>
      <c r="H16759" s="333">
        <v>19000</v>
      </c>
    </row>
    <row r="16760" spans="1:8">
      <c r="A16760" s="317" t="s">
        <v>42957</v>
      </c>
      <c r="B16760" s="330" t="s">
        <v>61112</v>
      </c>
      <c r="C16760" s="330" t="s">
        <v>34349</v>
      </c>
      <c r="D16760" s="330" t="s">
        <v>34348</v>
      </c>
      <c r="E16760" s="330" t="s">
        <v>4634</v>
      </c>
      <c r="F16760" s="331">
        <v>0.21</v>
      </c>
      <c r="G16760" s="332">
        <v>6379</v>
      </c>
      <c r="H16760" s="333">
        <v>7719</v>
      </c>
    </row>
    <row r="16761" spans="1:8">
      <c r="A16761" s="317" t="s">
        <v>42958</v>
      </c>
      <c r="B16761" s="330" t="s">
        <v>61113</v>
      </c>
      <c r="C16761" s="330" t="s">
        <v>34350</v>
      </c>
      <c r="D16761" s="330" t="s">
        <v>34351</v>
      </c>
      <c r="E16761" s="330" t="s">
        <v>4634</v>
      </c>
      <c r="F16761" s="331">
        <v>0.21</v>
      </c>
      <c r="G16761" s="332">
        <v>12599</v>
      </c>
      <c r="H16761" s="333">
        <v>15245</v>
      </c>
    </row>
    <row r="16762" spans="1:8">
      <c r="A16762" s="317" t="s">
        <v>42959</v>
      </c>
      <c r="B16762" s="330" t="s">
        <v>61114</v>
      </c>
      <c r="C16762" s="330" t="s">
        <v>34352</v>
      </c>
      <c r="D16762" s="330" t="s">
        <v>34353</v>
      </c>
      <c r="E16762" s="330" t="s">
        <v>4634</v>
      </c>
      <c r="F16762" s="331">
        <v>0.21</v>
      </c>
      <c r="G16762" s="332">
        <v>1264</v>
      </c>
      <c r="H16762" s="333">
        <v>1530</v>
      </c>
    </row>
    <row r="16763" spans="1:8">
      <c r="A16763" s="317" t="s">
        <v>42960</v>
      </c>
      <c r="B16763" s="330" t="s">
        <v>61115</v>
      </c>
      <c r="C16763" s="330" t="s">
        <v>34354</v>
      </c>
      <c r="D16763" s="330" t="s">
        <v>34355</v>
      </c>
      <c r="E16763" s="330" t="s">
        <v>4634</v>
      </c>
      <c r="F16763" s="331">
        <v>0.21</v>
      </c>
      <c r="G16763" s="332">
        <v>8055</v>
      </c>
      <c r="H16763" s="333">
        <v>9747</v>
      </c>
    </row>
    <row r="16764" spans="1:8">
      <c r="A16764" s="317" t="s">
        <v>42961</v>
      </c>
      <c r="B16764" s="330" t="s">
        <v>61116</v>
      </c>
      <c r="C16764" s="330" t="s">
        <v>34356</v>
      </c>
      <c r="D16764" s="330" t="s">
        <v>34355</v>
      </c>
      <c r="E16764" s="330" t="s">
        <v>4634</v>
      </c>
      <c r="F16764" s="331">
        <v>0.21</v>
      </c>
      <c r="G16764" s="332">
        <v>3935</v>
      </c>
      <c r="H16764" s="333">
        <v>4762</v>
      </c>
    </row>
    <row r="16765" spans="1:8">
      <c r="A16765" s="317" t="s">
        <v>42962</v>
      </c>
      <c r="B16765" s="330" t="s">
        <v>61117</v>
      </c>
      <c r="C16765" s="330" t="s">
        <v>34357</v>
      </c>
      <c r="D16765" s="330" t="s">
        <v>34358</v>
      </c>
      <c r="E16765" s="330" t="s">
        <v>4634</v>
      </c>
      <c r="F16765" s="331">
        <v>0.21</v>
      </c>
      <c r="G16765" s="332">
        <v>124588</v>
      </c>
      <c r="H16765" s="333">
        <v>150752</v>
      </c>
    </row>
    <row r="16766" spans="1:8">
      <c r="A16766" s="317" t="s">
        <v>42963</v>
      </c>
      <c r="B16766" s="330" t="s">
        <v>61118</v>
      </c>
      <c r="C16766" s="330" t="s">
        <v>34359</v>
      </c>
      <c r="D16766" s="330" t="s">
        <v>34360</v>
      </c>
      <c r="E16766" s="330" t="s">
        <v>4634</v>
      </c>
      <c r="F16766" s="331">
        <v>0.21</v>
      </c>
      <c r="G16766" s="332">
        <v>6379</v>
      </c>
      <c r="H16766" s="333">
        <v>7719</v>
      </c>
    </row>
    <row r="16767" spans="1:8">
      <c r="A16767" s="317" t="s">
        <v>42964</v>
      </c>
      <c r="B16767" s="330" t="s">
        <v>61119</v>
      </c>
      <c r="C16767" s="330" t="s">
        <v>34361</v>
      </c>
      <c r="D16767" s="330" t="s">
        <v>34362</v>
      </c>
      <c r="E16767" s="330" t="s">
        <v>4634</v>
      </c>
      <c r="F16767" s="331">
        <v>0.21</v>
      </c>
      <c r="G16767" s="332">
        <v>52601</v>
      </c>
      <c r="H16767" s="333">
        <v>63648</v>
      </c>
    </row>
    <row r="16768" spans="1:8">
      <c r="A16768" s="317" t="s">
        <v>42965</v>
      </c>
      <c r="B16768" s="330" t="s">
        <v>61120</v>
      </c>
      <c r="C16768" s="330" t="s">
        <v>34363</v>
      </c>
      <c r="D16768" s="330" t="s">
        <v>34364</v>
      </c>
      <c r="E16768" s="330" t="s">
        <v>4634</v>
      </c>
      <c r="F16768" s="331">
        <v>0.21</v>
      </c>
      <c r="G16768" s="332">
        <v>319</v>
      </c>
      <c r="H16768" s="333">
        <v>386</v>
      </c>
    </row>
    <row r="16769" spans="1:8">
      <c r="A16769" s="317" t="s">
        <v>42966</v>
      </c>
      <c r="B16769" s="330" t="s">
        <v>61121</v>
      </c>
      <c r="C16769" s="330" t="s">
        <v>34365</v>
      </c>
      <c r="D16769" s="330" t="s">
        <v>34366</v>
      </c>
      <c r="E16769" s="330" t="s">
        <v>4634</v>
      </c>
      <c r="F16769" s="331">
        <v>0.21</v>
      </c>
      <c r="G16769" s="332">
        <v>5081</v>
      </c>
      <c r="H16769" s="333">
        <v>6149</v>
      </c>
    </row>
    <row r="16770" spans="1:8">
      <c r="A16770" s="317" t="s">
        <v>42967</v>
      </c>
      <c r="B16770" s="330" t="s">
        <v>61122</v>
      </c>
      <c r="C16770" s="330" t="s">
        <v>34367</v>
      </c>
      <c r="D16770" s="330" t="s">
        <v>34368</v>
      </c>
      <c r="E16770" s="330" t="s">
        <v>4634</v>
      </c>
      <c r="F16770" s="331">
        <v>0.21</v>
      </c>
      <c r="G16770" s="332">
        <v>711</v>
      </c>
      <c r="H16770" s="333">
        <v>861</v>
      </c>
    </row>
    <row r="16771" spans="1:8">
      <c r="A16771" s="317" t="s">
        <v>42968</v>
      </c>
      <c r="B16771" s="330" t="s">
        <v>61123</v>
      </c>
      <c r="C16771" s="330" t="s">
        <v>34369</v>
      </c>
      <c r="D16771" s="330" t="s">
        <v>34368</v>
      </c>
      <c r="E16771" s="330" t="s">
        <v>4634</v>
      </c>
      <c r="F16771" s="331">
        <v>0.21</v>
      </c>
      <c r="G16771" s="332">
        <v>309</v>
      </c>
      <c r="H16771" s="333">
        <v>374</v>
      </c>
    </row>
    <row r="16772" spans="1:8">
      <c r="A16772" s="317" t="s">
        <v>42969</v>
      </c>
      <c r="B16772" s="330" t="s">
        <v>61124</v>
      </c>
      <c r="C16772" s="330" t="s">
        <v>34370</v>
      </c>
      <c r="D16772" s="330" t="s">
        <v>34371</v>
      </c>
      <c r="E16772" s="330" t="s">
        <v>4634</v>
      </c>
      <c r="F16772" s="331">
        <v>0.21</v>
      </c>
      <c r="G16772" s="332">
        <v>3047</v>
      </c>
      <c r="H16772" s="333">
        <v>3687</v>
      </c>
    </row>
    <row r="16773" spans="1:8">
      <c r="A16773" s="317" t="s">
        <v>42970</v>
      </c>
      <c r="B16773" s="330" t="s">
        <v>61125</v>
      </c>
      <c r="C16773" s="330" t="s">
        <v>34372</v>
      </c>
      <c r="D16773" s="330" t="s">
        <v>34371</v>
      </c>
      <c r="E16773" s="330" t="s">
        <v>4634</v>
      </c>
      <c r="F16773" s="331">
        <v>0.21</v>
      </c>
      <c r="G16773" s="332">
        <v>2545</v>
      </c>
      <c r="H16773" s="333">
        <v>3080</v>
      </c>
    </row>
    <row r="16774" spans="1:8">
      <c r="A16774" s="317" t="s">
        <v>42971</v>
      </c>
      <c r="B16774" s="330" t="s">
        <v>61126</v>
      </c>
      <c r="C16774" s="330" t="s">
        <v>34373</v>
      </c>
      <c r="D16774" s="330" t="s">
        <v>34374</v>
      </c>
      <c r="E16774" s="330" t="s">
        <v>4634</v>
      </c>
      <c r="F16774" s="331">
        <v>0.21</v>
      </c>
      <c r="G16774" s="332">
        <v>14143</v>
      </c>
      <c r="H16774" s="333">
        <v>17114</v>
      </c>
    </row>
    <row r="16775" spans="1:8">
      <c r="A16775" s="317" t="s">
        <v>42972</v>
      </c>
      <c r="B16775" s="330" t="s">
        <v>61127</v>
      </c>
      <c r="C16775" s="330" t="s">
        <v>34375</v>
      </c>
      <c r="D16775" s="330" t="s">
        <v>34376</v>
      </c>
      <c r="E16775" s="330" t="s">
        <v>4634</v>
      </c>
      <c r="F16775" s="331">
        <v>0.21</v>
      </c>
      <c r="G16775" s="332">
        <v>412643</v>
      </c>
      <c r="H16775" s="333">
        <v>499299</v>
      </c>
    </row>
    <row r="16776" spans="1:8">
      <c r="A16776" s="317" t="s">
        <v>42973</v>
      </c>
      <c r="B16776" s="330" t="s">
        <v>61128</v>
      </c>
      <c r="C16776" s="330" t="s">
        <v>34377</v>
      </c>
      <c r="D16776" s="330" t="s">
        <v>34378</v>
      </c>
      <c r="E16776" s="330" t="s">
        <v>4634</v>
      </c>
      <c r="F16776" s="331">
        <v>0.21</v>
      </c>
      <c r="G16776" s="332">
        <v>95980</v>
      </c>
      <c r="H16776" s="333">
        <v>116136</v>
      </c>
    </row>
    <row r="16777" spans="1:8">
      <c r="A16777" s="317" t="s">
        <v>42974</v>
      </c>
      <c r="B16777" s="330" t="s">
        <v>61129</v>
      </c>
      <c r="C16777" s="330" t="s">
        <v>34379</v>
      </c>
      <c r="D16777" s="330" t="s">
        <v>34380</v>
      </c>
      <c r="E16777" s="330" t="s">
        <v>4634</v>
      </c>
      <c r="F16777" s="331">
        <v>0.21</v>
      </c>
      <c r="G16777" s="332">
        <v>24357</v>
      </c>
      <c r="H16777" s="333">
        <v>29472</v>
      </c>
    </row>
    <row r="16778" spans="1:8">
      <c r="A16778" s="317" t="s">
        <v>42975</v>
      </c>
      <c r="B16778" s="330" t="s">
        <v>61130</v>
      </c>
      <c r="C16778" s="330" t="s">
        <v>34381</v>
      </c>
      <c r="D16778" s="330" t="s">
        <v>34380</v>
      </c>
      <c r="E16778" s="330" t="s">
        <v>4634</v>
      </c>
      <c r="F16778" s="331">
        <v>0.21</v>
      </c>
      <c r="G16778" s="332">
        <v>2241</v>
      </c>
      <c r="H16778" s="333">
        <v>2712</v>
      </c>
    </row>
    <row r="16779" spans="1:8">
      <c r="A16779" s="317" t="s">
        <v>42976</v>
      </c>
      <c r="B16779" s="330" t="s">
        <v>61131</v>
      </c>
      <c r="C16779" s="330" t="s">
        <v>34382</v>
      </c>
      <c r="D16779" s="330" t="s">
        <v>33793</v>
      </c>
      <c r="E16779" s="330" t="s">
        <v>4634</v>
      </c>
      <c r="F16779" s="331">
        <v>0.21</v>
      </c>
      <c r="G16779" s="332">
        <v>31859</v>
      </c>
      <c r="H16779" s="333">
        <v>38550</v>
      </c>
    </row>
    <row r="16780" spans="1:8">
      <c r="A16780" s="317" t="s">
        <v>42977</v>
      </c>
      <c r="B16780" s="330" t="s">
        <v>61132</v>
      </c>
      <c r="C16780" s="330" t="s">
        <v>34383</v>
      </c>
      <c r="D16780" s="330" t="s">
        <v>7235</v>
      </c>
      <c r="E16780" s="330" t="s">
        <v>4634</v>
      </c>
      <c r="F16780" s="331">
        <v>0.21</v>
      </c>
      <c r="G16780" s="332">
        <v>309</v>
      </c>
      <c r="H16780" s="333">
        <v>374</v>
      </c>
    </row>
    <row r="16781" spans="1:8">
      <c r="A16781" s="317">
        <v>3610501500</v>
      </c>
      <c r="B16781" s="330" t="s">
        <v>61133</v>
      </c>
      <c r="C16781" s="330" t="s">
        <v>34384</v>
      </c>
      <c r="D16781" s="330" t="s">
        <v>34385</v>
      </c>
      <c r="E16781" s="330" t="s">
        <v>37248</v>
      </c>
      <c r="F16781" s="331">
        <v>0.21</v>
      </c>
      <c r="G16781" s="332">
        <v>27964</v>
      </c>
      <c r="H16781" s="333">
        <v>33837</v>
      </c>
    </row>
    <row r="16782" spans="1:8">
      <c r="A16782" s="317">
        <v>3613101500</v>
      </c>
      <c r="B16782" s="330" t="s">
        <v>61134</v>
      </c>
      <c r="C16782" s="330" t="s">
        <v>34386</v>
      </c>
      <c r="D16782" s="330" t="s">
        <v>34387</v>
      </c>
      <c r="E16782" s="330" t="s">
        <v>37248</v>
      </c>
      <c r="F16782" s="331">
        <v>0.21</v>
      </c>
      <c r="G16782" s="332">
        <v>12789</v>
      </c>
      <c r="H16782" s="333">
        <v>15475</v>
      </c>
    </row>
    <row r="16783" spans="1:8">
      <c r="A16783" s="317">
        <v>3613313500</v>
      </c>
      <c r="B16783" s="330" t="s">
        <v>61135</v>
      </c>
      <c r="C16783" s="330" t="s">
        <v>34388</v>
      </c>
      <c r="D16783" s="330" t="s">
        <v>4654</v>
      </c>
      <c r="E16783" s="330" t="s">
        <v>4819</v>
      </c>
      <c r="F16783" s="331">
        <v>0.21</v>
      </c>
      <c r="G16783" s="332">
        <v>3934</v>
      </c>
      <c r="H16783" s="333">
        <v>4761</v>
      </c>
    </row>
    <row r="16784" spans="1:8">
      <c r="A16784" s="317">
        <v>3613344500</v>
      </c>
      <c r="B16784" s="330" t="s">
        <v>61136</v>
      </c>
      <c r="C16784" s="330" t="s">
        <v>34389</v>
      </c>
      <c r="D16784" s="330" t="s">
        <v>34390</v>
      </c>
      <c r="E16784" s="330" t="s">
        <v>37248</v>
      </c>
      <c r="F16784" s="331">
        <v>0.21</v>
      </c>
      <c r="G16784" s="332">
        <v>27231</v>
      </c>
      <c r="H16784" s="333">
        <v>32950</v>
      </c>
    </row>
    <row r="16785" spans="1:8">
      <c r="A16785" s="317">
        <v>3613461500</v>
      </c>
      <c r="B16785" s="330" t="s">
        <v>61137</v>
      </c>
      <c r="C16785" s="330" t="s">
        <v>34391</v>
      </c>
      <c r="D16785" s="330" t="s">
        <v>34392</v>
      </c>
      <c r="E16785" s="330" t="s">
        <v>37248</v>
      </c>
      <c r="F16785" s="331">
        <v>0.21</v>
      </c>
      <c r="G16785" s="332">
        <v>15769</v>
      </c>
      <c r="H16785" s="333">
        <v>19081</v>
      </c>
    </row>
    <row r="16786" spans="1:8">
      <c r="A16786" s="317">
        <v>3614012503</v>
      </c>
      <c r="B16786" s="330" t="s">
        <v>61138</v>
      </c>
      <c r="C16786" s="330" t="s">
        <v>34393</v>
      </c>
      <c r="D16786" s="330" t="s">
        <v>34394</v>
      </c>
      <c r="E16786" s="330" t="s">
        <v>4634</v>
      </c>
      <c r="F16786" s="331">
        <v>0.21</v>
      </c>
      <c r="G16786" s="332">
        <v>20112</v>
      </c>
      <c r="H16786" s="333">
        <v>24336</v>
      </c>
    </row>
    <row r="16787" spans="1:8">
      <c r="A16787" s="317">
        <v>3614640501</v>
      </c>
      <c r="B16787" s="330" t="s">
        <v>61139</v>
      </c>
      <c r="C16787" s="330" t="s">
        <v>34395</v>
      </c>
      <c r="D16787" s="330" t="s">
        <v>34396</v>
      </c>
      <c r="E16787" s="330" t="s">
        <v>37248</v>
      </c>
      <c r="F16787" s="331">
        <v>0.21</v>
      </c>
      <c r="G16787" s="332">
        <v>12472</v>
      </c>
      <c r="H16787" s="333">
        <v>15092</v>
      </c>
    </row>
    <row r="16788" spans="1:8">
      <c r="A16788" s="317">
        <v>3615102507</v>
      </c>
      <c r="B16788" s="330" t="s">
        <v>61140</v>
      </c>
      <c r="C16788" s="330" t="s">
        <v>34397</v>
      </c>
      <c r="D16788" s="330" t="s">
        <v>34398</v>
      </c>
      <c r="E16788" s="330" t="s">
        <v>4634</v>
      </c>
      <c r="F16788" s="331">
        <v>0.21</v>
      </c>
      <c r="G16788" s="332">
        <v>8307</v>
      </c>
      <c r="H16788" s="333">
        <v>10052</v>
      </c>
    </row>
    <row r="16789" spans="1:8">
      <c r="A16789" s="317">
        <v>3615808500</v>
      </c>
      <c r="B16789" s="330" t="s">
        <v>61141</v>
      </c>
      <c r="C16789" s="330" t="s">
        <v>34399</v>
      </c>
      <c r="D16789" s="330" t="s">
        <v>34400</v>
      </c>
      <c r="E16789" s="330" t="s">
        <v>4634</v>
      </c>
      <c r="F16789" s="331">
        <v>0.21</v>
      </c>
      <c r="G16789" s="332">
        <v>5500</v>
      </c>
      <c r="H16789" s="333">
        <v>6655</v>
      </c>
    </row>
    <row r="16790" spans="1:8">
      <c r="A16790" s="317">
        <v>6035970929</v>
      </c>
      <c r="B16790" s="330" t="s">
        <v>61142</v>
      </c>
      <c r="C16790" s="330" t="s">
        <v>34401</v>
      </c>
      <c r="D16790" s="330" t="s">
        <v>34402</v>
      </c>
      <c r="E16790" s="330" t="s">
        <v>4634</v>
      </c>
      <c r="F16790" s="331">
        <v>0.21</v>
      </c>
      <c r="G16790" s="332">
        <v>16951</v>
      </c>
      <c r="H16790" s="333">
        <v>20511</v>
      </c>
    </row>
    <row r="16791" spans="1:8">
      <c r="A16791" s="317" t="s">
        <v>42978</v>
      </c>
      <c r="B16791" s="330" t="s">
        <v>61143</v>
      </c>
      <c r="C16791" s="330" t="s">
        <v>34403</v>
      </c>
      <c r="D16791" s="330" t="s">
        <v>34404</v>
      </c>
      <c r="E16791" s="330" t="s">
        <v>37248</v>
      </c>
      <c r="F16791" s="331">
        <v>0.21</v>
      </c>
      <c r="G16791" s="332">
        <v>2529</v>
      </c>
      <c r="H16791" s="333">
        <v>3061</v>
      </c>
    </row>
    <row r="16792" spans="1:8">
      <c r="A16792" s="317" t="s">
        <v>42979</v>
      </c>
      <c r="B16792" s="330" t="s">
        <v>61144</v>
      </c>
      <c r="C16792" s="330" t="s">
        <v>34405</v>
      </c>
      <c r="D16792" s="330" t="s">
        <v>7508</v>
      </c>
      <c r="E16792" s="330" t="s">
        <v>4819</v>
      </c>
      <c r="F16792" s="331">
        <v>0.21</v>
      </c>
      <c r="G16792" s="332">
        <v>807</v>
      </c>
      <c r="H16792" s="333">
        <v>977</v>
      </c>
    </row>
    <row r="16793" spans="1:8">
      <c r="A16793" s="317">
        <v>8905407017</v>
      </c>
      <c r="B16793" s="330" t="s">
        <v>61145</v>
      </c>
      <c r="C16793" s="330" t="s">
        <v>34406</v>
      </c>
      <c r="D16793" s="330" t="s">
        <v>34407</v>
      </c>
      <c r="E16793" s="330" t="s">
        <v>4634</v>
      </c>
      <c r="F16793" s="331">
        <v>0.21</v>
      </c>
      <c r="G16793" s="332">
        <v>348</v>
      </c>
      <c r="H16793" s="333">
        <v>422</v>
      </c>
    </row>
    <row r="16794" spans="1:8">
      <c r="A16794" s="317">
        <v>9001140359</v>
      </c>
      <c r="B16794" s="330" t="s">
        <v>61146</v>
      </c>
      <c r="C16794" s="330" t="s">
        <v>34408</v>
      </c>
      <c r="D16794" s="330" t="s">
        <v>34409</v>
      </c>
      <c r="E16794" s="330" t="s">
        <v>4819</v>
      </c>
      <c r="F16794" s="331">
        <v>0.21</v>
      </c>
      <c r="G16794" s="332">
        <v>3961</v>
      </c>
      <c r="H16794" s="333">
        <v>4793</v>
      </c>
    </row>
    <row r="16795" spans="1:8">
      <c r="A16795" s="317">
        <v>9617081833</v>
      </c>
      <c r="B16795" s="330" t="s">
        <v>61147</v>
      </c>
      <c r="C16795" s="330" t="s">
        <v>34410</v>
      </c>
      <c r="D16795" s="330" t="s">
        <v>34411</v>
      </c>
      <c r="E16795" s="330" t="s">
        <v>4819</v>
      </c>
      <c r="F16795" s="331">
        <v>0.21</v>
      </c>
      <c r="G16795" s="332">
        <v>12938</v>
      </c>
      <c r="H16795" s="333">
        <v>15655</v>
      </c>
    </row>
    <row r="16796" spans="1:8">
      <c r="A16796" s="317">
        <v>9617082301</v>
      </c>
      <c r="B16796" s="330" t="s">
        <v>61148</v>
      </c>
      <c r="C16796" s="330" t="s">
        <v>34412</v>
      </c>
      <c r="D16796" s="330" t="s">
        <v>34413</v>
      </c>
      <c r="E16796" s="330" t="s">
        <v>4634</v>
      </c>
      <c r="F16796" s="331">
        <v>0.21</v>
      </c>
      <c r="G16796" s="332">
        <v>7270</v>
      </c>
      <c r="H16796" s="333">
        <v>8797</v>
      </c>
    </row>
    <row r="16797" spans="1:8">
      <c r="A16797" s="317">
        <v>9617085009</v>
      </c>
      <c r="B16797" s="330" t="s">
        <v>61149</v>
      </c>
      <c r="C16797" s="330" t="s">
        <v>34414</v>
      </c>
      <c r="D16797" s="330" t="s">
        <v>34415</v>
      </c>
      <c r="E16797" s="330" t="s">
        <v>37248</v>
      </c>
      <c r="F16797" s="331">
        <v>0.21</v>
      </c>
      <c r="G16797" s="332">
        <v>3201</v>
      </c>
      <c r="H16797" s="333">
        <v>3874</v>
      </c>
    </row>
    <row r="16798" spans="1:8">
      <c r="A16798" s="317">
        <v>9617089023</v>
      </c>
      <c r="B16798" s="330" t="s">
        <v>61150</v>
      </c>
      <c r="C16798" s="330" t="s">
        <v>34416</v>
      </c>
      <c r="D16798" s="330" t="s">
        <v>34417</v>
      </c>
      <c r="E16798" s="330" t="s">
        <v>4634</v>
      </c>
      <c r="F16798" s="331">
        <v>0.21</v>
      </c>
      <c r="G16798" s="332">
        <v>17600</v>
      </c>
      <c r="H16798" s="333">
        <v>21296</v>
      </c>
    </row>
    <row r="16799" spans="1:8">
      <c r="A16799" s="317">
        <v>9618081152</v>
      </c>
      <c r="B16799" s="330" t="s">
        <v>61151</v>
      </c>
      <c r="C16799" s="330" t="s">
        <v>34418</v>
      </c>
      <c r="D16799" s="330" t="s">
        <v>34419</v>
      </c>
      <c r="E16799" s="330" t="s">
        <v>4634</v>
      </c>
      <c r="F16799" s="331">
        <v>0.21</v>
      </c>
      <c r="G16799" s="332">
        <v>153</v>
      </c>
      <c r="H16799" s="333">
        <v>186</v>
      </c>
    </row>
    <row r="16800" spans="1:8">
      <c r="A16800" s="317">
        <v>9618081153</v>
      </c>
      <c r="B16800" s="330" t="s">
        <v>61152</v>
      </c>
      <c r="C16800" s="330" t="s">
        <v>34420</v>
      </c>
      <c r="D16800" s="330" t="s">
        <v>5015</v>
      </c>
      <c r="E16800" s="330" t="s">
        <v>4634</v>
      </c>
      <c r="F16800" s="331">
        <v>0.21</v>
      </c>
      <c r="G16800" s="332">
        <v>153</v>
      </c>
      <c r="H16800" s="333">
        <v>186</v>
      </c>
    </row>
    <row r="16801" spans="1:8">
      <c r="A16801" s="317">
        <v>9618081154</v>
      </c>
      <c r="B16801" s="330" t="s">
        <v>61153</v>
      </c>
      <c r="C16801" s="330" t="s">
        <v>34421</v>
      </c>
      <c r="D16801" s="330" t="s">
        <v>34419</v>
      </c>
      <c r="E16801" s="330" t="s">
        <v>4634</v>
      </c>
      <c r="F16801" s="331">
        <v>0.21</v>
      </c>
      <c r="G16801" s="332">
        <v>153</v>
      </c>
      <c r="H16801" s="333">
        <v>186</v>
      </c>
    </row>
    <row r="16802" spans="1:8">
      <c r="A16802" s="317">
        <v>9618081155</v>
      </c>
      <c r="B16802" s="330" t="s">
        <v>61154</v>
      </c>
      <c r="C16802" s="330" t="s">
        <v>34422</v>
      </c>
      <c r="D16802" s="330" t="s">
        <v>34419</v>
      </c>
      <c r="E16802" s="330" t="s">
        <v>4634</v>
      </c>
      <c r="F16802" s="331">
        <v>0.21</v>
      </c>
      <c r="G16802" s="332">
        <v>153</v>
      </c>
      <c r="H16802" s="333">
        <v>186</v>
      </c>
    </row>
    <row r="16803" spans="1:8">
      <c r="A16803" s="317">
        <v>9618081156</v>
      </c>
      <c r="B16803" s="330" t="s">
        <v>61155</v>
      </c>
      <c r="C16803" s="330" t="s">
        <v>34423</v>
      </c>
      <c r="D16803" s="330" t="s">
        <v>6189</v>
      </c>
      <c r="E16803" s="330" t="s">
        <v>4634</v>
      </c>
      <c r="F16803" s="331">
        <v>0.21</v>
      </c>
      <c r="G16803" s="332">
        <v>22</v>
      </c>
      <c r="H16803" s="333">
        <v>27</v>
      </c>
    </row>
    <row r="16804" spans="1:8">
      <c r="A16804" s="317">
        <v>9618081157</v>
      </c>
      <c r="B16804" s="330" t="s">
        <v>61156</v>
      </c>
      <c r="C16804" s="330" t="s">
        <v>34424</v>
      </c>
      <c r="D16804" s="330" t="s">
        <v>34425</v>
      </c>
      <c r="E16804" s="330" t="s">
        <v>4634</v>
      </c>
      <c r="F16804" s="331">
        <v>0.21</v>
      </c>
      <c r="G16804" s="332">
        <v>22</v>
      </c>
      <c r="H16804" s="333">
        <v>27</v>
      </c>
    </row>
    <row r="16805" spans="1:8">
      <c r="A16805" s="317">
        <v>9618081435</v>
      </c>
      <c r="B16805" s="330" t="s">
        <v>61157</v>
      </c>
      <c r="C16805" s="330" t="s">
        <v>34426</v>
      </c>
      <c r="D16805" s="330" t="s">
        <v>34427</v>
      </c>
      <c r="E16805" s="330" t="s">
        <v>4634</v>
      </c>
      <c r="F16805" s="331">
        <v>0.21</v>
      </c>
      <c r="G16805" s="332">
        <v>6467</v>
      </c>
      <c r="H16805" s="333">
        <v>7826</v>
      </c>
    </row>
    <row r="16806" spans="1:8">
      <c r="A16806" s="317">
        <v>9618081438</v>
      </c>
      <c r="B16806" s="330" t="s">
        <v>61158</v>
      </c>
      <c r="C16806" s="330" t="s">
        <v>34428</v>
      </c>
      <c r="D16806" s="330" t="s">
        <v>34429</v>
      </c>
      <c r="E16806" s="330" t="s">
        <v>4634</v>
      </c>
      <c r="F16806" s="331">
        <v>0.21</v>
      </c>
      <c r="G16806" s="332">
        <v>555</v>
      </c>
      <c r="H16806" s="333">
        <v>672</v>
      </c>
    </row>
    <row r="16807" spans="1:8">
      <c r="A16807" s="317">
        <v>9618081493</v>
      </c>
      <c r="B16807" s="330" t="s">
        <v>61159</v>
      </c>
      <c r="C16807" s="330" t="s">
        <v>34430</v>
      </c>
      <c r="D16807" s="330" t="s">
        <v>34431</v>
      </c>
      <c r="E16807" s="330" t="s">
        <v>4634</v>
      </c>
      <c r="F16807" s="331">
        <v>0.21</v>
      </c>
      <c r="G16807" s="332">
        <v>5993</v>
      </c>
      <c r="H16807" s="333">
        <v>7252</v>
      </c>
    </row>
    <row r="16808" spans="1:8">
      <c r="A16808" s="317">
        <v>9618081500</v>
      </c>
      <c r="B16808" s="330" t="s">
        <v>61160</v>
      </c>
      <c r="C16808" s="330" t="s">
        <v>34432</v>
      </c>
      <c r="D16808" s="330" t="s">
        <v>4710</v>
      </c>
      <c r="E16808" s="330" t="s">
        <v>4634</v>
      </c>
      <c r="F16808" s="331">
        <v>0.21</v>
      </c>
      <c r="G16808" s="332">
        <v>1150</v>
      </c>
      <c r="H16808" s="333">
        <v>1392</v>
      </c>
    </row>
    <row r="16809" spans="1:8">
      <c r="A16809" s="317">
        <v>9618081548</v>
      </c>
      <c r="B16809" s="330" t="s">
        <v>61161</v>
      </c>
      <c r="C16809" s="330" t="s">
        <v>34433</v>
      </c>
      <c r="D16809" s="330" t="s">
        <v>34434</v>
      </c>
      <c r="E16809" s="330" t="s">
        <v>4634</v>
      </c>
      <c r="F16809" s="331">
        <v>0.21</v>
      </c>
      <c r="G16809" s="332">
        <v>754</v>
      </c>
      <c r="H16809" s="333">
        <v>913</v>
      </c>
    </row>
    <row r="16810" spans="1:8">
      <c r="A16810" s="317">
        <v>9618081601</v>
      </c>
      <c r="B16810" s="330" t="s">
        <v>61162</v>
      </c>
      <c r="C16810" s="330" t="s">
        <v>34435</v>
      </c>
      <c r="D16810" s="330" t="s">
        <v>34436</v>
      </c>
      <c r="E16810" s="330" t="s">
        <v>4634</v>
      </c>
      <c r="F16810" s="331">
        <v>0.21</v>
      </c>
      <c r="G16810" s="332">
        <v>6212</v>
      </c>
      <c r="H16810" s="333">
        <v>7517</v>
      </c>
    </row>
    <row r="16811" spans="1:8">
      <c r="A16811" s="317">
        <v>9618081606</v>
      </c>
      <c r="B16811" s="330" t="s">
        <v>61163</v>
      </c>
      <c r="C16811" s="330" t="s">
        <v>34437</v>
      </c>
      <c r="D16811" s="330" t="s">
        <v>34438</v>
      </c>
      <c r="E16811" s="330" t="s">
        <v>4634</v>
      </c>
      <c r="F16811" s="331">
        <v>0.21</v>
      </c>
      <c r="G16811" s="332">
        <v>1686</v>
      </c>
      <c r="H16811" s="333">
        <v>2041</v>
      </c>
    </row>
    <row r="16812" spans="1:8">
      <c r="A16812" s="317">
        <v>9618081609</v>
      </c>
      <c r="B16812" s="330" t="s">
        <v>61164</v>
      </c>
      <c r="C16812" s="330" t="s">
        <v>34439</v>
      </c>
      <c r="D16812" s="330" t="s">
        <v>34440</v>
      </c>
      <c r="E16812" s="330" t="s">
        <v>4634</v>
      </c>
      <c r="F16812" s="331">
        <v>0.21</v>
      </c>
      <c r="G16812" s="332">
        <v>1055</v>
      </c>
      <c r="H16812" s="333">
        <v>1277</v>
      </c>
    </row>
    <row r="16813" spans="1:8">
      <c r="A16813" s="317">
        <v>9618081678</v>
      </c>
      <c r="B16813" s="330" t="s">
        <v>61165</v>
      </c>
      <c r="C16813" s="330" t="s">
        <v>34441</v>
      </c>
      <c r="D16813" s="330" t="s">
        <v>34442</v>
      </c>
      <c r="E16813" s="330" t="s">
        <v>4634</v>
      </c>
      <c r="F16813" s="331">
        <v>0.21</v>
      </c>
      <c r="G16813" s="332">
        <v>5235</v>
      </c>
      <c r="H16813" s="333">
        <v>6335</v>
      </c>
    </row>
    <row r="16814" spans="1:8">
      <c r="A16814" s="317">
        <v>9618081679</v>
      </c>
      <c r="B16814" s="330" t="s">
        <v>61166</v>
      </c>
      <c r="C16814" s="330" t="s">
        <v>34443</v>
      </c>
      <c r="D16814" s="330" t="s">
        <v>34444</v>
      </c>
      <c r="E16814" s="330" t="s">
        <v>4634</v>
      </c>
      <c r="F16814" s="331">
        <v>0.21</v>
      </c>
      <c r="G16814" s="332">
        <v>2775</v>
      </c>
      <c r="H16814" s="333">
        <v>3358</v>
      </c>
    </row>
    <row r="16815" spans="1:8">
      <c r="A16815" s="317">
        <v>9618081680</v>
      </c>
      <c r="B16815" s="330" t="s">
        <v>61167</v>
      </c>
      <c r="C16815" s="330" t="s">
        <v>34445</v>
      </c>
      <c r="D16815" s="330" t="s">
        <v>6109</v>
      </c>
      <c r="E16815" s="330" t="s">
        <v>4634</v>
      </c>
      <c r="F16815" s="331">
        <v>0.21</v>
      </c>
      <c r="G16815" s="332">
        <v>5701</v>
      </c>
      <c r="H16815" s="333">
        <v>6899</v>
      </c>
    </row>
    <row r="16816" spans="1:8">
      <c r="A16816" s="317">
        <v>9618081681</v>
      </c>
      <c r="B16816" s="330" t="s">
        <v>61168</v>
      </c>
      <c r="C16816" s="330" t="s">
        <v>34446</v>
      </c>
      <c r="D16816" s="330" t="s">
        <v>34447</v>
      </c>
      <c r="E16816" s="330" t="s">
        <v>4634</v>
      </c>
      <c r="F16816" s="331">
        <v>0.21</v>
      </c>
      <c r="G16816" s="332">
        <v>3673</v>
      </c>
      <c r="H16816" s="333">
        <v>4445</v>
      </c>
    </row>
    <row r="16817" spans="1:8">
      <c r="A16817" s="317">
        <v>9618081682</v>
      </c>
      <c r="B16817" s="330" t="s">
        <v>61169</v>
      </c>
      <c r="C16817" s="330" t="s">
        <v>34448</v>
      </c>
      <c r="D16817" s="330" t="s">
        <v>34449</v>
      </c>
      <c r="E16817" s="330" t="s">
        <v>4634</v>
      </c>
      <c r="F16817" s="331">
        <v>0.21</v>
      </c>
      <c r="G16817" s="332">
        <v>3673</v>
      </c>
      <c r="H16817" s="333">
        <v>4445</v>
      </c>
    </row>
    <row r="16818" spans="1:8">
      <c r="A16818" s="317">
        <v>9618081702</v>
      </c>
      <c r="B16818" s="330" t="s">
        <v>61170</v>
      </c>
      <c r="C16818" s="330" t="s">
        <v>34450</v>
      </c>
      <c r="D16818" s="330" t="s">
        <v>34451</v>
      </c>
      <c r="E16818" s="330" t="s">
        <v>4634</v>
      </c>
      <c r="F16818" s="331">
        <v>0.21</v>
      </c>
      <c r="G16818" s="332">
        <v>18086</v>
      </c>
      <c r="H16818" s="333">
        <v>21885</v>
      </c>
    </row>
    <row r="16819" spans="1:8">
      <c r="A16819" s="317">
        <v>9618081777</v>
      </c>
      <c r="B16819" s="330" t="s">
        <v>61171</v>
      </c>
      <c r="C16819" s="330" t="s">
        <v>34452</v>
      </c>
      <c r="D16819" s="330" t="s">
        <v>34453</v>
      </c>
      <c r="E16819" s="330" t="s">
        <v>4634</v>
      </c>
      <c r="F16819" s="331">
        <v>0.21</v>
      </c>
      <c r="G16819" s="332">
        <v>274</v>
      </c>
      <c r="H16819" s="333">
        <v>332</v>
      </c>
    </row>
    <row r="16820" spans="1:8">
      <c r="A16820" s="317">
        <v>9618081841</v>
      </c>
      <c r="B16820" s="330" t="s">
        <v>61172</v>
      </c>
      <c r="C16820" s="330" t="s">
        <v>34454</v>
      </c>
      <c r="D16820" s="330" t="s">
        <v>34455</v>
      </c>
      <c r="E16820" s="330" t="s">
        <v>4634</v>
      </c>
      <c r="F16820" s="331">
        <v>0.21</v>
      </c>
      <c r="G16820" s="332">
        <v>254</v>
      </c>
      <c r="H16820" s="333">
        <v>308</v>
      </c>
    </row>
    <row r="16821" spans="1:8">
      <c r="A16821" s="317">
        <v>9618081842</v>
      </c>
      <c r="B16821" s="330" t="s">
        <v>61173</v>
      </c>
      <c r="C16821" s="330" t="s">
        <v>34456</v>
      </c>
      <c r="D16821" s="330" t="s">
        <v>34457</v>
      </c>
      <c r="E16821" s="330" t="s">
        <v>4634</v>
      </c>
      <c r="F16821" s="331">
        <v>0.21</v>
      </c>
      <c r="G16821" s="332">
        <v>1566</v>
      </c>
      <c r="H16821" s="333">
        <v>1895</v>
      </c>
    </row>
    <row r="16822" spans="1:8">
      <c r="A16822" s="317">
        <v>9618081910</v>
      </c>
      <c r="B16822" s="330" t="s">
        <v>61174</v>
      </c>
      <c r="C16822" s="330" t="s">
        <v>34458</v>
      </c>
      <c r="D16822" s="330" t="s">
        <v>34459</v>
      </c>
      <c r="E16822" s="330" t="s">
        <v>4634</v>
      </c>
      <c r="F16822" s="331">
        <v>0.21</v>
      </c>
      <c r="G16822" s="332">
        <v>9309</v>
      </c>
      <c r="H16822" s="333">
        <v>11264</v>
      </c>
    </row>
    <row r="16823" spans="1:8">
      <c r="A16823" s="317">
        <v>9618081947</v>
      </c>
      <c r="B16823" s="330" t="s">
        <v>61175</v>
      </c>
      <c r="C16823" s="330" t="s">
        <v>34460</v>
      </c>
      <c r="D16823" s="330" t="s">
        <v>34461</v>
      </c>
      <c r="E16823" s="330" t="s">
        <v>4634</v>
      </c>
      <c r="F16823" s="331">
        <v>0.21</v>
      </c>
      <c r="G16823" s="332">
        <v>6440</v>
      </c>
      <c r="H16823" s="333">
        <v>7793</v>
      </c>
    </row>
    <row r="16824" spans="1:8">
      <c r="A16824" s="317">
        <v>9618081955</v>
      </c>
      <c r="B16824" s="330" t="s">
        <v>61176</v>
      </c>
      <c r="C16824" s="330" t="s">
        <v>34462</v>
      </c>
      <c r="D16824" s="330" t="s">
        <v>34463</v>
      </c>
      <c r="E16824" s="330" t="s">
        <v>4634</v>
      </c>
      <c r="F16824" s="331">
        <v>0.21</v>
      </c>
      <c r="G16824" s="332">
        <v>367</v>
      </c>
      <c r="H16824" s="333">
        <v>445</v>
      </c>
    </row>
    <row r="16825" spans="1:8">
      <c r="A16825" s="317">
        <v>9618082081</v>
      </c>
      <c r="B16825" s="330" t="s">
        <v>61177</v>
      </c>
      <c r="C16825" s="330" t="s">
        <v>34464</v>
      </c>
      <c r="D16825" s="330" t="s">
        <v>34465</v>
      </c>
      <c r="E16825" s="330" t="s">
        <v>4634</v>
      </c>
      <c r="F16825" s="331">
        <v>0.21</v>
      </c>
      <c r="G16825" s="332">
        <v>2775</v>
      </c>
      <c r="H16825" s="333">
        <v>3358</v>
      </c>
    </row>
    <row r="16826" spans="1:8">
      <c r="A16826" s="317">
        <v>9618082084</v>
      </c>
      <c r="B16826" s="330" t="s">
        <v>61178</v>
      </c>
      <c r="C16826" s="330" t="s">
        <v>34466</v>
      </c>
      <c r="D16826" s="330" t="s">
        <v>34467</v>
      </c>
      <c r="E16826" s="330" t="s">
        <v>4634</v>
      </c>
      <c r="F16826" s="331">
        <v>0.21</v>
      </c>
      <c r="G16826" s="332">
        <v>8008</v>
      </c>
      <c r="H16826" s="333">
        <v>9690</v>
      </c>
    </row>
    <row r="16827" spans="1:8">
      <c r="A16827" s="317">
        <v>9618082090</v>
      </c>
      <c r="B16827" s="330" t="s">
        <v>61179</v>
      </c>
      <c r="C16827" s="330" t="s">
        <v>34468</v>
      </c>
      <c r="D16827" s="330" t="s">
        <v>34469</v>
      </c>
      <c r="E16827" s="330" t="s">
        <v>4634</v>
      </c>
      <c r="F16827" s="331">
        <v>0.21</v>
      </c>
      <c r="G16827" s="332">
        <v>1882</v>
      </c>
      <c r="H16827" s="333">
        <v>2278</v>
      </c>
    </row>
    <row r="16828" spans="1:8">
      <c r="A16828" s="317">
        <v>9618082091</v>
      </c>
      <c r="B16828" s="330" t="s">
        <v>61180</v>
      </c>
      <c r="C16828" s="330" t="s">
        <v>34470</v>
      </c>
      <c r="D16828" s="330" t="s">
        <v>34471</v>
      </c>
      <c r="E16828" s="330" t="s">
        <v>4634</v>
      </c>
      <c r="F16828" s="331">
        <v>0.21</v>
      </c>
      <c r="G16828" s="332">
        <v>274</v>
      </c>
      <c r="H16828" s="333">
        <v>332</v>
      </c>
    </row>
    <row r="16829" spans="1:8">
      <c r="A16829" s="317">
        <v>9618082112</v>
      </c>
      <c r="B16829" s="330" t="s">
        <v>61181</v>
      </c>
      <c r="C16829" s="330" t="s">
        <v>34472</v>
      </c>
      <c r="D16829" s="330" t="s">
        <v>34473</v>
      </c>
      <c r="E16829" s="330" t="s">
        <v>4634</v>
      </c>
      <c r="F16829" s="331">
        <v>0.21</v>
      </c>
      <c r="G16829" s="332">
        <v>820</v>
      </c>
      <c r="H16829" s="333">
        <v>993</v>
      </c>
    </row>
    <row r="16830" spans="1:8">
      <c r="A16830" s="317">
        <v>9618082114</v>
      </c>
      <c r="B16830" s="330" t="s">
        <v>61182</v>
      </c>
      <c r="C16830" s="330" t="s">
        <v>34474</v>
      </c>
      <c r="D16830" s="330" t="s">
        <v>34475</v>
      </c>
      <c r="E16830" s="330" t="s">
        <v>4634</v>
      </c>
      <c r="F16830" s="331">
        <v>0.21</v>
      </c>
      <c r="G16830" s="332">
        <v>455</v>
      </c>
      <c r="H16830" s="333">
        <v>551</v>
      </c>
    </row>
    <row r="16831" spans="1:8">
      <c r="A16831" s="317">
        <v>9618082115</v>
      </c>
      <c r="B16831" s="330" t="s">
        <v>61183</v>
      </c>
      <c r="C16831" s="330" t="s">
        <v>34476</v>
      </c>
      <c r="D16831" s="330" t="s">
        <v>34477</v>
      </c>
      <c r="E16831" s="330" t="s">
        <v>4634</v>
      </c>
      <c r="F16831" s="331">
        <v>0.21</v>
      </c>
      <c r="G16831" s="332">
        <v>367</v>
      </c>
      <c r="H16831" s="333">
        <v>445</v>
      </c>
    </row>
    <row r="16832" spans="1:8">
      <c r="A16832" s="317">
        <v>9618082139</v>
      </c>
      <c r="B16832" s="330" t="s">
        <v>61184</v>
      </c>
      <c r="C16832" s="330" t="s">
        <v>34478</v>
      </c>
      <c r="D16832" s="330" t="s">
        <v>34479</v>
      </c>
      <c r="E16832" s="330" t="s">
        <v>4634</v>
      </c>
      <c r="F16832" s="331">
        <v>0.21</v>
      </c>
      <c r="G16832" s="332">
        <v>2456</v>
      </c>
      <c r="H16832" s="333">
        <v>2972</v>
      </c>
    </row>
    <row r="16833" spans="1:8">
      <c r="A16833" s="317">
        <v>9618082142</v>
      </c>
      <c r="B16833" s="330" t="s">
        <v>61185</v>
      </c>
      <c r="C16833" s="330" t="s">
        <v>34480</v>
      </c>
      <c r="D16833" s="330" t="s">
        <v>34481</v>
      </c>
      <c r="E16833" s="330" t="s">
        <v>4634</v>
      </c>
      <c r="F16833" s="331">
        <v>0.21</v>
      </c>
      <c r="G16833" s="332">
        <v>2775</v>
      </c>
      <c r="H16833" s="333">
        <v>3358</v>
      </c>
    </row>
    <row r="16834" spans="1:8">
      <c r="A16834" s="317">
        <v>9618082154</v>
      </c>
      <c r="B16834" s="330" t="s">
        <v>61186</v>
      </c>
      <c r="C16834" s="330" t="s">
        <v>34482</v>
      </c>
      <c r="D16834" s="330" t="s">
        <v>34483</v>
      </c>
      <c r="E16834" s="330" t="s">
        <v>4634</v>
      </c>
      <c r="F16834" s="331">
        <v>0.21</v>
      </c>
      <c r="G16834" s="332">
        <v>820</v>
      </c>
      <c r="H16834" s="333">
        <v>993</v>
      </c>
    </row>
    <row r="16835" spans="1:8">
      <c r="A16835" s="317">
        <v>9618082170</v>
      </c>
      <c r="B16835" s="330" t="s">
        <v>61187</v>
      </c>
      <c r="C16835" s="330" t="s">
        <v>34484</v>
      </c>
      <c r="D16835" s="330" t="s">
        <v>34485</v>
      </c>
      <c r="E16835" s="330" t="s">
        <v>4634</v>
      </c>
      <c r="F16835" s="331">
        <v>0.21</v>
      </c>
      <c r="G16835" s="332">
        <v>2063</v>
      </c>
      <c r="H16835" s="333">
        <v>2497</v>
      </c>
    </row>
    <row r="16836" spans="1:8">
      <c r="A16836" s="317">
        <v>9618082243</v>
      </c>
      <c r="B16836" s="330" t="s">
        <v>61188</v>
      </c>
      <c r="C16836" s="330" t="s">
        <v>34486</v>
      </c>
      <c r="D16836" s="330" t="s">
        <v>34487</v>
      </c>
      <c r="E16836" s="330" t="s">
        <v>4634</v>
      </c>
      <c r="F16836" s="331">
        <v>0.21</v>
      </c>
      <c r="G16836" s="332">
        <v>153</v>
      </c>
      <c r="H16836" s="333">
        <v>186</v>
      </c>
    </row>
    <row r="16837" spans="1:8">
      <c r="A16837" s="317">
        <v>9618082244</v>
      </c>
      <c r="B16837" s="330" t="s">
        <v>61189</v>
      </c>
      <c r="C16837" s="330" t="s">
        <v>34488</v>
      </c>
      <c r="D16837" s="330" t="s">
        <v>34489</v>
      </c>
      <c r="E16837" s="330" t="s">
        <v>4634</v>
      </c>
      <c r="F16837" s="331">
        <v>0.21</v>
      </c>
      <c r="G16837" s="332">
        <v>153</v>
      </c>
      <c r="H16837" s="333">
        <v>186</v>
      </c>
    </row>
    <row r="16838" spans="1:8">
      <c r="A16838" s="317">
        <v>9618082254</v>
      </c>
      <c r="B16838" s="330" t="s">
        <v>61190</v>
      </c>
      <c r="C16838" s="330" t="s">
        <v>34490</v>
      </c>
      <c r="D16838" s="330" t="s">
        <v>34491</v>
      </c>
      <c r="E16838" s="330" t="s">
        <v>4634</v>
      </c>
      <c r="F16838" s="331">
        <v>0.21</v>
      </c>
      <c r="G16838" s="332">
        <v>4260</v>
      </c>
      <c r="H16838" s="333">
        <v>5155</v>
      </c>
    </row>
    <row r="16839" spans="1:8">
      <c r="A16839" s="317">
        <v>9618082256</v>
      </c>
      <c r="B16839" s="330" t="s">
        <v>61191</v>
      </c>
      <c r="C16839" s="330" t="s">
        <v>34492</v>
      </c>
      <c r="D16839" s="330" t="s">
        <v>34493</v>
      </c>
      <c r="E16839" s="330" t="s">
        <v>4634</v>
      </c>
      <c r="F16839" s="331">
        <v>0.21</v>
      </c>
      <c r="G16839" s="332">
        <v>1581</v>
      </c>
      <c r="H16839" s="333">
        <v>1914</v>
      </c>
    </row>
    <row r="16840" spans="1:8">
      <c r="A16840" s="317">
        <v>9618082260</v>
      </c>
      <c r="B16840" s="330" t="s">
        <v>61192</v>
      </c>
      <c r="C16840" s="330" t="s">
        <v>34494</v>
      </c>
      <c r="D16840" s="330" t="s">
        <v>34495</v>
      </c>
      <c r="E16840" s="330" t="s">
        <v>4634</v>
      </c>
      <c r="F16840" s="331">
        <v>0.21</v>
      </c>
      <c r="G16840" s="332">
        <v>608</v>
      </c>
      <c r="H16840" s="333">
        <v>736</v>
      </c>
    </row>
    <row r="16841" spans="1:8">
      <c r="A16841" s="317">
        <v>9618082261</v>
      </c>
      <c r="B16841" s="330" t="s">
        <v>61193</v>
      </c>
      <c r="C16841" s="330" t="s">
        <v>34496</v>
      </c>
      <c r="D16841" s="330" t="s">
        <v>34497</v>
      </c>
      <c r="E16841" s="330" t="s">
        <v>4634</v>
      </c>
      <c r="F16841" s="331">
        <v>0.21</v>
      </c>
      <c r="G16841" s="332">
        <v>564</v>
      </c>
      <c r="H16841" s="333">
        <v>683</v>
      </c>
    </row>
    <row r="16842" spans="1:8">
      <c r="A16842" s="317">
        <v>9618082268</v>
      </c>
      <c r="B16842" s="330" t="s">
        <v>61194</v>
      </c>
      <c r="C16842" s="330" t="s">
        <v>34498</v>
      </c>
      <c r="D16842" s="330" t="s">
        <v>34499</v>
      </c>
      <c r="E16842" s="330" t="s">
        <v>4634</v>
      </c>
      <c r="F16842" s="331">
        <v>0.21</v>
      </c>
      <c r="G16842" s="332">
        <v>2436</v>
      </c>
      <c r="H16842" s="333">
        <v>2948</v>
      </c>
    </row>
    <row r="16843" spans="1:8">
      <c r="A16843" s="317">
        <v>9618082269</v>
      </c>
      <c r="B16843" s="330" t="s">
        <v>61195</v>
      </c>
      <c r="C16843" s="330" t="s">
        <v>34500</v>
      </c>
      <c r="D16843" s="330" t="s">
        <v>34501</v>
      </c>
      <c r="E16843" s="330" t="s">
        <v>4634</v>
      </c>
      <c r="F16843" s="331">
        <v>0.21</v>
      </c>
      <c r="G16843" s="332">
        <v>28</v>
      </c>
      <c r="H16843" s="333">
        <v>34</v>
      </c>
    </row>
    <row r="16844" spans="1:8">
      <c r="A16844" s="317">
        <v>9618082270</v>
      </c>
      <c r="B16844" s="330" t="s">
        <v>61196</v>
      </c>
      <c r="C16844" s="330" t="s">
        <v>34502</v>
      </c>
      <c r="D16844" s="330" t="s">
        <v>34503</v>
      </c>
      <c r="E16844" s="330" t="s">
        <v>4634</v>
      </c>
      <c r="F16844" s="331">
        <v>0.21</v>
      </c>
      <c r="G16844" s="332">
        <v>153</v>
      </c>
      <c r="H16844" s="333">
        <v>186</v>
      </c>
    </row>
    <row r="16845" spans="1:8">
      <c r="A16845" s="317">
        <v>9618082278</v>
      </c>
      <c r="B16845" s="330" t="s">
        <v>61197</v>
      </c>
      <c r="C16845" s="330" t="s">
        <v>34504</v>
      </c>
      <c r="D16845" s="330" t="s">
        <v>34505</v>
      </c>
      <c r="E16845" s="330" t="s">
        <v>4634</v>
      </c>
      <c r="F16845" s="331">
        <v>0.21</v>
      </c>
      <c r="G16845" s="332">
        <v>6542</v>
      </c>
      <c r="H16845" s="333">
        <v>7916</v>
      </c>
    </row>
    <row r="16846" spans="1:8">
      <c r="A16846" s="317">
        <v>9618082285</v>
      </c>
      <c r="B16846" s="330" t="s">
        <v>61198</v>
      </c>
      <c r="C16846" s="330" t="s">
        <v>34506</v>
      </c>
      <c r="D16846" s="330" t="s">
        <v>34507</v>
      </c>
      <c r="E16846" s="330" t="s">
        <v>4634</v>
      </c>
      <c r="F16846" s="331">
        <v>0.21</v>
      </c>
      <c r="G16846" s="332">
        <v>2462</v>
      </c>
      <c r="H16846" s="333">
        <v>2980</v>
      </c>
    </row>
    <row r="16847" spans="1:8">
      <c r="A16847" s="317">
        <v>9618082287</v>
      </c>
      <c r="B16847" s="330" t="s">
        <v>61199</v>
      </c>
      <c r="C16847" s="330" t="s">
        <v>34508</v>
      </c>
      <c r="D16847" s="330" t="s">
        <v>34509</v>
      </c>
      <c r="E16847" s="330" t="s">
        <v>4634</v>
      </c>
      <c r="F16847" s="331">
        <v>0.21</v>
      </c>
      <c r="G16847" s="332">
        <v>10290</v>
      </c>
      <c r="H16847" s="333">
        <v>12451</v>
      </c>
    </row>
    <row r="16848" spans="1:8">
      <c r="A16848" s="317">
        <v>9618082288</v>
      </c>
      <c r="B16848" s="330" t="s">
        <v>61200</v>
      </c>
      <c r="C16848" s="330" t="s">
        <v>34510</v>
      </c>
      <c r="D16848" s="330" t="s">
        <v>34511</v>
      </c>
      <c r="E16848" s="330" t="s">
        <v>4634</v>
      </c>
      <c r="F16848" s="331">
        <v>0.21</v>
      </c>
      <c r="G16848" s="332">
        <v>153</v>
      </c>
      <c r="H16848" s="333">
        <v>186</v>
      </c>
    </row>
    <row r="16849" spans="1:8">
      <c r="A16849" s="317">
        <v>9618082289</v>
      </c>
      <c r="B16849" s="330" t="s">
        <v>61201</v>
      </c>
      <c r="C16849" s="330" t="s">
        <v>34512</v>
      </c>
      <c r="D16849" s="330" t="s">
        <v>34513</v>
      </c>
      <c r="E16849" s="330" t="s">
        <v>4634</v>
      </c>
      <c r="F16849" s="331">
        <v>0.21</v>
      </c>
      <c r="G16849" s="332">
        <v>13219</v>
      </c>
      <c r="H16849" s="333">
        <v>15995</v>
      </c>
    </row>
    <row r="16850" spans="1:8">
      <c r="A16850" s="317">
        <v>9618082290</v>
      </c>
      <c r="B16850" s="330" t="s">
        <v>61202</v>
      </c>
      <c r="C16850" s="330" t="s">
        <v>34514</v>
      </c>
      <c r="D16850" s="330" t="s">
        <v>34515</v>
      </c>
      <c r="E16850" s="330" t="s">
        <v>4634</v>
      </c>
      <c r="F16850" s="331">
        <v>0.21</v>
      </c>
      <c r="G16850" s="332">
        <v>1882</v>
      </c>
      <c r="H16850" s="333">
        <v>2278</v>
      </c>
    </row>
    <row r="16851" spans="1:8">
      <c r="A16851" s="317">
        <v>9618082296</v>
      </c>
      <c r="B16851" s="330" t="s">
        <v>61203</v>
      </c>
      <c r="C16851" s="330" t="s">
        <v>34516</v>
      </c>
      <c r="D16851" s="330" t="s">
        <v>34517</v>
      </c>
      <c r="E16851" s="330" t="s">
        <v>4634</v>
      </c>
      <c r="F16851" s="331">
        <v>0.21</v>
      </c>
      <c r="G16851" s="332">
        <v>2241</v>
      </c>
      <c r="H16851" s="333">
        <v>2712</v>
      </c>
    </row>
    <row r="16852" spans="1:8">
      <c r="A16852" s="317">
        <v>9618082305</v>
      </c>
      <c r="B16852" s="330" t="s">
        <v>61204</v>
      </c>
      <c r="C16852" s="330" t="s">
        <v>34518</v>
      </c>
      <c r="D16852" s="330" t="s">
        <v>34519</v>
      </c>
      <c r="E16852" s="330" t="s">
        <v>4634</v>
      </c>
      <c r="F16852" s="331">
        <v>0.21</v>
      </c>
      <c r="G16852" s="332">
        <v>702</v>
      </c>
      <c r="H16852" s="333">
        <v>850</v>
      </c>
    </row>
    <row r="16853" spans="1:8">
      <c r="A16853" s="317">
        <v>9618082456</v>
      </c>
      <c r="B16853" s="330" t="s">
        <v>61205</v>
      </c>
      <c r="C16853" s="330" t="s">
        <v>34520</v>
      </c>
      <c r="D16853" s="330" t="s">
        <v>34521</v>
      </c>
      <c r="E16853" s="330" t="s">
        <v>4634</v>
      </c>
      <c r="F16853" s="331">
        <v>0.21</v>
      </c>
      <c r="G16853" s="332">
        <v>6834</v>
      </c>
      <c r="H16853" s="333">
        <v>8270</v>
      </c>
    </row>
    <row r="16854" spans="1:8">
      <c r="A16854" s="317">
        <v>9618082765</v>
      </c>
      <c r="B16854" s="330" t="s">
        <v>61206</v>
      </c>
      <c r="C16854" s="330" t="s">
        <v>34522</v>
      </c>
      <c r="D16854" s="330" t="s">
        <v>34523</v>
      </c>
      <c r="E16854" s="330" t="s">
        <v>37248</v>
      </c>
      <c r="F16854" s="331">
        <v>0.21</v>
      </c>
      <c r="G16854" s="332">
        <v>10783</v>
      </c>
      <c r="H16854" s="333">
        <v>13048</v>
      </c>
    </row>
    <row r="16855" spans="1:8">
      <c r="A16855" s="317">
        <v>9618082810</v>
      </c>
      <c r="B16855" s="330" t="s">
        <v>61207</v>
      </c>
      <c r="C16855" s="330" t="s">
        <v>34524</v>
      </c>
      <c r="D16855" s="330" t="s">
        <v>34525</v>
      </c>
      <c r="E16855" s="330" t="s">
        <v>4634</v>
      </c>
      <c r="F16855" s="331">
        <v>0.21</v>
      </c>
      <c r="G16855" s="332">
        <v>37159</v>
      </c>
      <c r="H16855" s="333">
        <v>44963</v>
      </c>
    </row>
    <row r="16856" spans="1:8">
      <c r="A16856" s="317">
        <v>9618082970</v>
      </c>
      <c r="B16856" s="330" t="s">
        <v>61208</v>
      </c>
      <c r="C16856" s="330" t="s">
        <v>34526</v>
      </c>
      <c r="D16856" s="330" t="s">
        <v>34527</v>
      </c>
      <c r="E16856" s="330" t="s">
        <v>4634</v>
      </c>
      <c r="F16856" s="331">
        <v>0.21</v>
      </c>
      <c r="G16856" s="332">
        <v>367</v>
      </c>
      <c r="H16856" s="333">
        <v>445</v>
      </c>
    </row>
    <row r="16857" spans="1:8">
      <c r="A16857" s="317">
        <v>9618083026</v>
      </c>
      <c r="B16857" s="330" t="s">
        <v>61209</v>
      </c>
      <c r="C16857" s="330" t="s">
        <v>34528</v>
      </c>
      <c r="D16857" s="330" t="s">
        <v>34529</v>
      </c>
      <c r="E16857" s="330" t="s">
        <v>4634</v>
      </c>
      <c r="F16857" s="331">
        <v>0.21</v>
      </c>
      <c r="G16857" s="332">
        <v>16791</v>
      </c>
      <c r="H16857" s="333">
        <v>20318</v>
      </c>
    </row>
    <row r="16858" spans="1:8">
      <c r="A16858" s="317">
        <v>9618083146</v>
      </c>
      <c r="B16858" s="330" t="s">
        <v>61210</v>
      </c>
      <c r="C16858" s="330" t="s">
        <v>34530</v>
      </c>
      <c r="D16858" s="330" t="s">
        <v>34531</v>
      </c>
      <c r="E16858" s="330" t="s">
        <v>4634</v>
      </c>
      <c r="F16858" s="331">
        <v>0.21</v>
      </c>
      <c r="G16858" s="332">
        <v>455</v>
      </c>
      <c r="H16858" s="333">
        <v>551</v>
      </c>
    </row>
    <row r="16859" spans="1:8">
      <c r="A16859" s="317">
        <v>9618083154</v>
      </c>
      <c r="B16859" s="330" t="s">
        <v>61211</v>
      </c>
      <c r="C16859" s="330" t="s">
        <v>34532</v>
      </c>
      <c r="D16859" s="330" t="s">
        <v>34533</v>
      </c>
      <c r="E16859" s="330" t="s">
        <v>4634</v>
      </c>
      <c r="F16859" s="331">
        <v>0.21</v>
      </c>
      <c r="G16859" s="332">
        <v>10598</v>
      </c>
      <c r="H16859" s="333">
        <v>12824</v>
      </c>
    </row>
    <row r="16860" spans="1:8">
      <c r="A16860" s="317">
        <v>9618083176</v>
      </c>
      <c r="B16860" s="330" t="s">
        <v>61212</v>
      </c>
      <c r="C16860" s="330" t="s">
        <v>34534</v>
      </c>
      <c r="D16860" s="330" t="s">
        <v>5133</v>
      </c>
      <c r="E16860" s="330" t="s">
        <v>4634</v>
      </c>
      <c r="F16860" s="331">
        <v>0.21</v>
      </c>
      <c r="G16860" s="332">
        <v>274</v>
      </c>
      <c r="H16860" s="333">
        <v>332</v>
      </c>
    </row>
    <row r="16861" spans="1:8">
      <c r="A16861" s="317">
        <v>9618083182</v>
      </c>
      <c r="B16861" s="330" t="s">
        <v>61213</v>
      </c>
      <c r="C16861" s="330" t="s">
        <v>34535</v>
      </c>
      <c r="D16861" s="330" t="s">
        <v>34536</v>
      </c>
      <c r="E16861" s="330" t="s">
        <v>4634</v>
      </c>
      <c r="F16861" s="331">
        <v>0.21</v>
      </c>
      <c r="G16861" s="332">
        <v>153</v>
      </c>
      <c r="H16861" s="333">
        <v>186</v>
      </c>
    </row>
    <row r="16862" spans="1:8">
      <c r="A16862" s="317">
        <v>9618083183</v>
      </c>
      <c r="B16862" s="330" t="s">
        <v>61214</v>
      </c>
      <c r="C16862" s="330" t="s">
        <v>34537</v>
      </c>
      <c r="D16862" s="330" t="s">
        <v>34538</v>
      </c>
      <c r="E16862" s="330" t="s">
        <v>4634</v>
      </c>
      <c r="F16862" s="331">
        <v>0.21</v>
      </c>
      <c r="G16862" s="332">
        <v>372</v>
      </c>
      <c r="H16862" s="333">
        <v>451</v>
      </c>
    </row>
    <row r="16863" spans="1:8">
      <c r="A16863" s="317">
        <v>9618083184</v>
      </c>
      <c r="B16863" s="330" t="s">
        <v>61215</v>
      </c>
      <c r="C16863" s="330" t="s">
        <v>34539</v>
      </c>
      <c r="D16863" s="330" t="s">
        <v>34540</v>
      </c>
      <c r="E16863" s="330" t="s">
        <v>4634</v>
      </c>
      <c r="F16863" s="331">
        <v>0.21</v>
      </c>
      <c r="G16863" s="332">
        <v>372</v>
      </c>
      <c r="H16863" s="333">
        <v>451</v>
      </c>
    </row>
    <row r="16864" spans="1:8">
      <c r="A16864" s="317">
        <v>9618083185</v>
      </c>
      <c r="B16864" s="330" t="s">
        <v>61216</v>
      </c>
      <c r="C16864" s="330" t="s">
        <v>34541</v>
      </c>
      <c r="D16864" s="330" t="s">
        <v>34542</v>
      </c>
      <c r="E16864" s="330" t="s">
        <v>4634</v>
      </c>
      <c r="F16864" s="331">
        <v>0.21</v>
      </c>
      <c r="G16864" s="332">
        <v>372</v>
      </c>
      <c r="H16864" s="333">
        <v>451</v>
      </c>
    </row>
    <row r="16865" spans="1:8">
      <c r="A16865" s="317">
        <v>9618083190</v>
      </c>
      <c r="B16865" s="330" t="s">
        <v>61217</v>
      </c>
      <c r="C16865" s="330" t="s">
        <v>34543</v>
      </c>
      <c r="D16865" s="330" t="s">
        <v>34544</v>
      </c>
      <c r="E16865" s="330" t="s">
        <v>4634</v>
      </c>
      <c r="F16865" s="331">
        <v>0.21</v>
      </c>
      <c r="G16865" s="332">
        <v>678</v>
      </c>
      <c r="H16865" s="333">
        <v>821</v>
      </c>
    </row>
    <row r="16866" spans="1:8">
      <c r="A16866" s="317">
        <v>9618083206</v>
      </c>
      <c r="B16866" s="330" t="s">
        <v>61218</v>
      </c>
      <c r="C16866" s="330" t="s">
        <v>34545</v>
      </c>
      <c r="D16866" s="330" t="s">
        <v>34546</v>
      </c>
      <c r="E16866" s="330" t="s">
        <v>4634</v>
      </c>
      <c r="F16866" s="331">
        <v>0.21</v>
      </c>
      <c r="G16866" s="332">
        <v>5239</v>
      </c>
      <c r="H16866" s="333">
        <v>6340</v>
      </c>
    </row>
    <row r="16867" spans="1:8">
      <c r="A16867" s="317">
        <v>9618083209</v>
      </c>
      <c r="B16867" s="330" t="s">
        <v>61219</v>
      </c>
      <c r="C16867" s="330" t="s">
        <v>34547</v>
      </c>
      <c r="D16867" s="330" t="s">
        <v>34548</v>
      </c>
      <c r="E16867" s="330" t="s">
        <v>4634</v>
      </c>
      <c r="F16867" s="331">
        <v>0.21</v>
      </c>
      <c r="G16867" s="332">
        <v>1882</v>
      </c>
      <c r="H16867" s="333">
        <v>2278</v>
      </c>
    </row>
    <row r="16868" spans="1:8">
      <c r="A16868" s="317">
        <v>9618083212</v>
      </c>
      <c r="B16868" s="330" t="s">
        <v>61220</v>
      </c>
      <c r="C16868" s="330" t="s">
        <v>34549</v>
      </c>
      <c r="D16868" s="330" t="s">
        <v>34550</v>
      </c>
      <c r="E16868" s="330" t="s">
        <v>4634</v>
      </c>
      <c r="F16868" s="331">
        <v>0.21</v>
      </c>
      <c r="G16868" s="332">
        <v>3277</v>
      </c>
      <c r="H16868" s="333">
        <v>3966</v>
      </c>
    </row>
    <row r="16869" spans="1:8">
      <c r="A16869" s="317">
        <v>9618083219</v>
      </c>
      <c r="B16869" s="330" t="s">
        <v>61221</v>
      </c>
      <c r="C16869" s="330" t="s">
        <v>34551</v>
      </c>
      <c r="D16869" s="330" t="s">
        <v>34552</v>
      </c>
      <c r="E16869" s="330" t="s">
        <v>4634</v>
      </c>
      <c r="F16869" s="331">
        <v>0.21</v>
      </c>
      <c r="G16869" s="332">
        <v>6047</v>
      </c>
      <c r="H16869" s="333">
        <v>7317</v>
      </c>
    </row>
    <row r="16870" spans="1:8">
      <c r="A16870" s="317">
        <v>9618083349</v>
      </c>
      <c r="B16870" s="330" t="s">
        <v>61222</v>
      </c>
      <c r="C16870" s="330" t="s">
        <v>34553</v>
      </c>
      <c r="D16870" s="330" t="s">
        <v>34554</v>
      </c>
      <c r="E16870" s="330" t="s">
        <v>4623</v>
      </c>
      <c r="F16870" s="331">
        <v>0.21</v>
      </c>
      <c r="G16870" s="332">
        <v>1235</v>
      </c>
      <c r="H16870" s="333">
        <v>1495</v>
      </c>
    </row>
    <row r="16871" spans="1:8">
      <c r="A16871" s="317">
        <v>9618083350</v>
      </c>
      <c r="B16871" s="330" t="s">
        <v>61223</v>
      </c>
      <c r="C16871" s="330" t="s">
        <v>34555</v>
      </c>
      <c r="D16871" s="330" t="s">
        <v>34556</v>
      </c>
      <c r="E16871" s="330" t="s">
        <v>4634</v>
      </c>
      <c r="F16871" s="331">
        <v>0.21</v>
      </c>
      <c r="G16871" s="332">
        <v>455</v>
      </c>
      <c r="H16871" s="333">
        <v>551</v>
      </c>
    </row>
    <row r="16872" spans="1:8">
      <c r="A16872" s="317">
        <v>9618083417</v>
      </c>
      <c r="B16872" s="330" t="s">
        <v>61224</v>
      </c>
      <c r="C16872" s="330" t="s">
        <v>34557</v>
      </c>
      <c r="D16872" s="330" t="s">
        <v>34558</v>
      </c>
      <c r="E16872" s="330" t="s">
        <v>4634</v>
      </c>
      <c r="F16872" s="331">
        <v>0.21</v>
      </c>
      <c r="G16872" s="332">
        <v>3189</v>
      </c>
      <c r="H16872" s="333">
        <v>3859</v>
      </c>
    </row>
    <row r="16873" spans="1:8">
      <c r="A16873" s="317">
        <v>9618083430</v>
      </c>
      <c r="B16873" s="330" t="s">
        <v>61225</v>
      </c>
      <c r="C16873" s="330" t="s">
        <v>34559</v>
      </c>
      <c r="D16873" s="330" t="s">
        <v>34560</v>
      </c>
      <c r="E16873" s="330" t="s">
        <v>4634</v>
      </c>
      <c r="F16873" s="331">
        <v>0.21</v>
      </c>
      <c r="G16873" s="332">
        <v>561</v>
      </c>
      <c r="H16873" s="333">
        <v>679</v>
      </c>
    </row>
    <row r="16874" spans="1:8">
      <c r="A16874" s="317">
        <v>9618083437</v>
      </c>
      <c r="B16874" s="330" t="s">
        <v>61226</v>
      </c>
      <c r="C16874" s="330" t="s">
        <v>34561</v>
      </c>
      <c r="D16874" s="330" t="s">
        <v>34562</v>
      </c>
      <c r="E16874" s="330" t="s">
        <v>4634</v>
      </c>
      <c r="F16874" s="331">
        <v>0.21</v>
      </c>
      <c r="G16874" s="332">
        <v>3395</v>
      </c>
      <c r="H16874" s="333">
        <v>4108</v>
      </c>
    </row>
    <row r="16875" spans="1:8">
      <c r="A16875" s="317">
        <v>9618083506</v>
      </c>
      <c r="B16875" s="330" t="s">
        <v>61227</v>
      </c>
      <c r="C16875" s="330" t="s">
        <v>34563</v>
      </c>
      <c r="D16875" s="330" t="s">
        <v>34564</v>
      </c>
      <c r="E16875" s="330" t="s">
        <v>4634</v>
      </c>
      <c r="F16875" s="331">
        <v>0.21</v>
      </c>
      <c r="G16875" s="332">
        <v>938</v>
      </c>
      <c r="H16875" s="333">
        <v>1135</v>
      </c>
    </row>
    <row r="16876" spans="1:8">
      <c r="A16876" s="317">
        <v>9618083525</v>
      </c>
      <c r="B16876" s="330" t="s">
        <v>61228</v>
      </c>
      <c r="C16876" s="330" t="s">
        <v>34565</v>
      </c>
      <c r="D16876" s="330" t="s">
        <v>23851</v>
      </c>
      <c r="E16876" s="330" t="s">
        <v>4634</v>
      </c>
      <c r="F16876" s="331">
        <v>0.21</v>
      </c>
      <c r="G16876" s="332">
        <v>2712</v>
      </c>
      <c r="H16876" s="333">
        <v>3282</v>
      </c>
    </row>
    <row r="16877" spans="1:8">
      <c r="A16877" s="317">
        <v>9618083581</v>
      </c>
      <c r="B16877" s="330" t="s">
        <v>61229</v>
      </c>
      <c r="C16877" s="330" t="s">
        <v>34566</v>
      </c>
      <c r="D16877" s="330" t="s">
        <v>34558</v>
      </c>
      <c r="E16877" s="330" t="s">
        <v>4634</v>
      </c>
      <c r="F16877" s="331">
        <v>0.21</v>
      </c>
      <c r="G16877" s="332">
        <v>5819</v>
      </c>
      <c r="H16877" s="333">
        <v>7041</v>
      </c>
    </row>
    <row r="16878" spans="1:8">
      <c r="A16878" s="317">
        <v>9618083593</v>
      </c>
      <c r="B16878" s="330" t="s">
        <v>61230</v>
      </c>
      <c r="C16878" s="330" t="s">
        <v>34567</v>
      </c>
      <c r="D16878" s="330" t="s">
        <v>34568</v>
      </c>
      <c r="E16878" s="330" t="s">
        <v>4634</v>
      </c>
      <c r="F16878" s="331">
        <v>0.21</v>
      </c>
      <c r="G16878" s="332">
        <v>4432</v>
      </c>
      <c r="H16878" s="333">
        <v>5363</v>
      </c>
    </row>
    <row r="16879" spans="1:8">
      <c r="A16879" s="317">
        <v>9618083600</v>
      </c>
      <c r="B16879" s="330" t="s">
        <v>61231</v>
      </c>
      <c r="C16879" s="330" t="s">
        <v>34569</v>
      </c>
      <c r="D16879" s="330" t="s">
        <v>34570</v>
      </c>
      <c r="E16879" s="330" t="s">
        <v>4634</v>
      </c>
      <c r="F16879" s="331">
        <v>0.21</v>
      </c>
      <c r="G16879" s="332">
        <v>367</v>
      </c>
      <c r="H16879" s="333">
        <v>445</v>
      </c>
    </row>
    <row r="16880" spans="1:8">
      <c r="A16880" s="317">
        <v>9618083800</v>
      </c>
      <c r="B16880" s="330" t="s">
        <v>61232</v>
      </c>
      <c r="C16880" s="330" t="s">
        <v>34571</v>
      </c>
      <c r="D16880" s="330" t="s">
        <v>34572</v>
      </c>
      <c r="E16880" s="330" t="s">
        <v>4634</v>
      </c>
      <c r="F16880" s="331">
        <v>0.21</v>
      </c>
      <c r="G16880" s="332">
        <v>153</v>
      </c>
      <c r="H16880" s="333">
        <v>186</v>
      </c>
    </row>
    <row r="16881" spans="1:8">
      <c r="A16881" s="317">
        <v>9618083808</v>
      </c>
      <c r="B16881" s="330" t="s">
        <v>61233</v>
      </c>
      <c r="C16881" s="330" t="s">
        <v>34573</v>
      </c>
      <c r="D16881" s="330" t="s">
        <v>34574</v>
      </c>
      <c r="E16881" s="330" t="s">
        <v>4634</v>
      </c>
      <c r="F16881" s="331">
        <v>0.21</v>
      </c>
      <c r="G16881" s="332">
        <v>280</v>
      </c>
      <c r="H16881" s="333">
        <v>339</v>
      </c>
    </row>
    <row r="16882" spans="1:8">
      <c r="A16882" s="317">
        <v>9618083869</v>
      </c>
      <c r="B16882" s="330" t="s">
        <v>61234</v>
      </c>
      <c r="C16882" s="330" t="s">
        <v>34575</v>
      </c>
      <c r="D16882" s="330" t="s">
        <v>34576</v>
      </c>
      <c r="E16882" s="330" t="s">
        <v>4634</v>
      </c>
      <c r="F16882" s="331">
        <v>0.21</v>
      </c>
      <c r="G16882" s="332">
        <v>367</v>
      </c>
      <c r="H16882" s="333">
        <v>445</v>
      </c>
    </row>
    <row r="16883" spans="1:8">
      <c r="A16883" s="317">
        <v>9618083899</v>
      </c>
      <c r="B16883" s="330" t="s">
        <v>61235</v>
      </c>
      <c r="C16883" s="330" t="s">
        <v>34577</v>
      </c>
      <c r="D16883" s="330" t="s">
        <v>34578</v>
      </c>
      <c r="E16883" s="330" t="s">
        <v>4634</v>
      </c>
      <c r="F16883" s="331">
        <v>0.21</v>
      </c>
      <c r="G16883" s="332">
        <v>236</v>
      </c>
      <c r="H16883" s="333">
        <v>286</v>
      </c>
    </row>
    <row r="16884" spans="1:8">
      <c r="A16884" s="317">
        <v>9618084341</v>
      </c>
      <c r="B16884" s="330" t="s">
        <v>61236</v>
      </c>
      <c r="C16884" s="330" t="s">
        <v>34579</v>
      </c>
      <c r="D16884" s="330" t="s">
        <v>34580</v>
      </c>
      <c r="E16884" s="330" t="s">
        <v>4634</v>
      </c>
      <c r="F16884" s="331">
        <v>0.21</v>
      </c>
      <c r="G16884" s="332">
        <v>457</v>
      </c>
      <c r="H16884" s="333">
        <v>553</v>
      </c>
    </row>
    <row r="16885" spans="1:8">
      <c r="A16885" s="317">
        <v>9618084376</v>
      </c>
      <c r="B16885" s="330" t="s">
        <v>61237</v>
      </c>
      <c r="C16885" s="330" t="s">
        <v>34581</v>
      </c>
      <c r="D16885" s="330" t="s">
        <v>34582</v>
      </c>
      <c r="E16885" s="330" t="s">
        <v>4634</v>
      </c>
      <c r="F16885" s="331">
        <v>0.21</v>
      </c>
      <c r="G16885" s="332">
        <v>6834</v>
      </c>
      <c r="H16885" s="333">
        <v>8270</v>
      </c>
    </row>
    <row r="16886" spans="1:8">
      <c r="A16886" s="317">
        <v>9618084983</v>
      </c>
      <c r="B16886" s="330" t="s">
        <v>61238</v>
      </c>
      <c r="C16886" s="330" t="s">
        <v>34583</v>
      </c>
      <c r="D16886" s="330" t="s">
        <v>7235</v>
      </c>
      <c r="E16886" s="330" t="s">
        <v>4634</v>
      </c>
      <c r="F16886" s="331">
        <v>0.21</v>
      </c>
      <c r="G16886" s="332">
        <v>153</v>
      </c>
      <c r="H16886" s="333">
        <v>186</v>
      </c>
    </row>
    <row r="16887" spans="1:8">
      <c r="A16887" s="317">
        <v>9618085010</v>
      </c>
      <c r="B16887" s="330" t="s">
        <v>61239</v>
      </c>
      <c r="C16887" s="330" t="s">
        <v>34584</v>
      </c>
      <c r="D16887" s="330" t="s">
        <v>34585</v>
      </c>
      <c r="E16887" s="330" t="s">
        <v>4634</v>
      </c>
      <c r="F16887" s="331">
        <v>0.21</v>
      </c>
      <c r="G16887" s="332">
        <v>3702</v>
      </c>
      <c r="H16887" s="333">
        <v>4480</v>
      </c>
    </row>
    <row r="16888" spans="1:8">
      <c r="A16888" s="317">
        <v>9618085220</v>
      </c>
      <c r="B16888" s="330" t="s">
        <v>61240</v>
      </c>
      <c r="C16888" s="330" t="s">
        <v>34586</v>
      </c>
      <c r="D16888" s="330" t="s">
        <v>34587</v>
      </c>
      <c r="E16888" s="330" t="s">
        <v>4634</v>
      </c>
      <c r="F16888" s="331">
        <v>0.21</v>
      </c>
      <c r="G16888" s="332">
        <v>4294</v>
      </c>
      <c r="H16888" s="333">
        <v>5196</v>
      </c>
    </row>
    <row r="16889" spans="1:8">
      <c r="A16889" s="317">
        <v>9618085228</v>
      </c>
      <c r="B16889" s="330" t="s">
        <v>61241</v>
      </c>
      <c r="C16889" s="330" t="s">
        <v>34588</v>
      </c>
      <c r="D16889" s="330" t="s">
        <v>9919</v>
      </c>
      <c r="E16889" s="330" t="s">
        <v>4634</v>
      </c>
      <c r="F16889" s="331">
        <v>0.21</v>
      </c>
      <c r="G16889" s="332">
        <v>8008</v>
      </c>
      <c r="H16889" s="333">
        <v>9690</v>
      </c>
    </row>
    <row r="16890" spans="1:8">
      <c r="A16890" s="317">
        <v>9618085250</v>
      </c>
      <c r="B16890" s="330" t="s">
        <v>61242</v>
      </c>
      <c r="C16890" s="330" t="s">
        <v>34589</v>
      </c>
      <c r="D16890" s="330" t="s">
        <v>34590</v>
      </c>
      <c r="E16890" s="330" t="s">
        <v>4634</v>
      </c>
      <c r="F16890" s="331">
        <v>0.21</v>
      </c>
      <c r="G16890" s="332">
        <v>2748</v>
      </c>
      <c r="H16890" s="333">
        <v>3326</v>
      </c>
    </row>
    <row r="16891" spans="1:8">
      <c r="A16891" s="317">
        <v>9618085451</v>
      </c>
      <c r="B16891" s="330" t="s">
        <v>61243</v>
      </c>
      <c r="C16891" s="330" t="s">
        <v>34591</v>
      </c>
      <c r="D16891" s="330" t="s">
        <v>34592</v>
      </c>
      <c r="E16891" s="330" t="s">
        <v>4634</v>
      </c>
      <c r="F16891" s="331">
        <v>0.21</v>
      </c>
      <c r="G16891" s="332">
        <v>13292</v>
      </c>
      <c r="H16891" s="333">
        <v>16084</v>
      </c>
    </row>
    <row r="16892" spans="1:8">
      <c r="A16892" s="317">
        <v>9618085475</v>
      </c>
      <c r="B16892" s="330" t="s">
        <v>61244</v>
      </c>
      <c r="C16892" s="330" t="s">
        <v>34593</v>
      </c>
      <c r="D16892" s="330" t="s">
        <v>34594</v>
      </c>
      <c r="E16892" s="330" t="s">
        <v>4634</v>
      </c>
      <c r="F16892" s="331">
        <v>0.21</v>
      </c>
      <c r="G16892" s="332">
        <v>1030</v>
      </c>
      <c r="H16892" s="333">
        <v>1247</v>
      </c>
    </row>
    <row r="16893" spans="1:8">
      <c r="A16893" s="317">
        <v>9618085479</v>
      </c>
      <c r="B16893" s="330" t="s">
        <v>61245</v>
      </c>
      <c r="C16893" s="330" t="s">
        <v>34595</v>
      </c>
      <c r="D16893" s="330" t="s">
        <v>34596</v>
      </c>
      <c r="E16893" s="330" t="s">
        <v>4634</v>
      </c>
      <c r="F16893" s="331">
        <v>0.21</v>
      </c>
      <c r="G16893" s="332">
        <v>1126</v>
      </c>
      <c r="H16893" s="333">
        <v>1363</v>
      </c>
    </row>
    <row r="16894" spans="1:8">
      <c r="A16894" s="317">
        <v>9618085617</v>
      </c>
      <c r="B16894" s="330" t="s">
        <v>61246</v>
      </c>
      <c r="C16894" s="330" t="s">
        <v>34597</v>
      </c>
      <c r="D16894" s="330" t="s">
        <v>34598</v>
      </c>
      <c r="E16894" s="330" t="s">
        <v>4634</v>
      </c>
      <c r="F16894" s="331">
        <v>0.21</v>
      </c>
      <c r="G16894" s="332">
        <v>437</v>
      </c>
      <c r="H16894" s="333">
        <v>529</v>
      </c>
    </row>
    <row r="16895" spans="1:8">
      <c r="A16895" s="317">
        <v>9618085665</v>
      </c>
      <c r="B16895" s="330" t="s">
        <v>61247</v>
      </c>
      <c r="C16895" s="330" t="s">
        <v>34599</v>
      </c>
      <c r="D16895" s="330" t="s">
        <v>34600</v>
      </c>
      <c r="E16895" s="330" t="s">
        <v>4634</v>
      </c>
      <c r="F16895" s="331">
        <v>0.21</v>
      </c>
      <c r="G16895" s="332">
        <v>19345</v>
      </c>
      <c r="H16895" s="333">
        <v>23408</v>
      </c>
    </row>
    <row r="16896" spans="1:8">
      <c r="A16896" s="317">
        <v>9618085672</v>
      </c>
      <c r="B16896" s="330" t="s">
        <v>61248</v>
      </c>
      <c r="C16896" s="330" t="s">
        <v>34601</v>
      </c>
      <c r="D16896" s="330" t="s">
        <v>34602</v>
      </c>
      <c r="E16896" s="330" t="s">
        <v>37248</v>
      </c>
      <c r="F16896" s="331">
        <v>0.21</v>
      </c>
      <c r="G16896" s="332">
        <v>10972</v>
      </c>
      <c r="H16896" s="333">
        <v>13277</v>
      </c>
    </row>
    <row r="16897" spans="1:8">
      <c r="A16897" s="317">
        <v>9618085689</v>
      </c>
      <c r="B16897" s="330" t="s">
        <v>61249</v>
      </c>
      <c r="C16897" s="330" t="s">
        <v>34603</v>
      </c>
      <c r="D16897" s="330" t="s">
        <v>34604</v>
      </c>
      <c r="E16897" s="330" t="s">
        <v>4634</v>
      </c>
      <c r="F16897" s="331">
        <v>0.21</v>
      </c>
      <c r="G16897" s="332">
        <v>196</v>
      </c>
      <c r="H16897" s="333">
        <v>238</v>
      </c>
    </row>
    <row r="16898" spans="1:8">
      <c r="A16898" s="317">
        <v>9618085745</v>
      </c>
      <c r="B16898" s="330" t="s">
        <v>61250</v>
      </c>
      <c r="C16898" s="330" t="s">
        <v>34605</v>
      </c>
      <c r="D16898" s="330" t="s">
        <v>34606</v>
      </c>
      <c r="E16898" s="330" t="s">
        <v>4634</v>
      </c>
      <c r="F16898" s="331">
        <v>0.21</v>
      </c>
      <c r="G16898" s="332">
        <v>3966</v>
      </c>
      <c r="H16898" s="333">
        <v>4799</v>
      </c>
    </row>
    <row r="16899" spans="1:8">
      <c r="A16899" s="317">
        <v>9618085748</v>
      </c>
      <c r="B16899" s="330" t="s">
        <v>61251</v>
      </c>
      <c r="C16899" s="330" t="s">
        <v>34607</v>
      </c>
      <c r="D16899" s="330" t="s">
        <v>34608</v>
      </c>
      <c r="E16899" s="330" t="s">
        <v>4634</v>
      </c>
      <c r="F16899" s="331">
        <v>0.21</v>
      </c>
      <c r="G16899" s="332">
        <v>2775</v>
      </c>
      <c r="H16899" s="333">
        <v>3358</v>
      </c>
    </row>
    <row r="16900" spans="1:8">
      <c r="A16900" s="317">
        <v>9618085758</v>
      </c>
      <c r="B16900" s="330" t="s">
        <v>61252</v>
      </c>
      <c r="C16900" s="330" t="s">
        <v>34609</v>
      </c>
      <c r="D16900" s="330" t="s">
        <v>34610</v>
      </c>
      <c r="E16900" s="330" t="s">
        <v>4634</v>
      </c>
      <c r="F16900" s="331">
        <v>0.21</v>
      </c>
      <c r="G16900" s="332">
        <v>2206</v>
      </c>
      <c r="H16900" s="333">
        <v>2670</v>
      </c>
    </row>
    <row r="16901" spans="1:8">
      <c r="A16901" s="317">
        <v>9618085763</v>
      </c>
      <c r="B16901" s="330" t="s">
        <v>61253</v>
      </c>
      <c r="C16901" s="330" t="s">
        <v>34611</v>
      </c>
      <c r="D16901" s="330" t="s">
        <v>34612</v>
      </c>
      <c r="E16901" s="330" t="s">
        <v>4634</v>
      </c>
      <c r="F16901" s="331">
        <v>0.21</v>
      </c>
      <c r="G16901" s="332">
        <v>167</v>
      </c>
      <c r="H16901" s="333">
        <v>203</v>
      </c>
    </row>
    <row r="16902" spans="1:8">
      <c r="A16902" s="317">
        <v>9618085796</v>
      </c>
      <c r="B16902" s="330" t="s">
        <v>61254</v>
      </c>
      <c r="C16902" s="330" t="s">
        <v>34613</v>
      </c>
      <c r="D16902" s="330" t="s">
        <v>34614</v>
      </c>
      <c r="E16902" s="330" t="s">
        <v>4634</v>
      </c>
      <c r="F16902" s="331">
        <v>0.21</v>
      </c>
      <c r="G16902" s="332">
        <v>892</v>
      </c>
      <c r="H16902" s="333">
        <v>1080</v>
      </c>
    </row>
    <row r="16903" spans="1:8">
      <c r="A16903" s="317">
        <v>9618085800</v>
      </c>
      <c r="B16903" s="330" t="s">
        <v>61255</v>
      </c>
      <c r="C16903" s="330" t="s">
        <v>34615</v>
      </c>
      <c r="D16903" s="330" t="s">
        <v>34616</v>
      </c>
      <c r="E16903" s="330" t="s">
        <v>4634</v>
      </c>
      <c r="F16903" s="331">
        <v>0.21</v>
      </c>
      <c r="G16903" s="332">
        <v>3923</v>
      </c>
      <c r="H16903" s="333">
        <v>4747</v>
      </c>
    </row>
    <row r="16904" spans="1:8">
      <c r="A16904" s="317">
        <v>9618085825</v>
      </c>
      <c r="B16904" s="330" t="s">
        <v>61256</v>
      </c>
      <c r="C16904" s="330" t="s">
        <v>34617</v>
      </c>
      <c r="D16904" s="330" t="s">
        <v>34618</v>
      </c>
      <c r="E16904" s="330" t="s">
        <v>4634</v>
      </c>
      <c r="F16904" s="331">
        <v>0.21</v>
      </c>
      <c r="G16904" s="332">
        <v>84</v>
      </c>
      <c r="H16904" s="333">
        <v>102</v>
      </c>
    </row>
    <row r="16905" spans="1:8">
      <c r="A16905" s="317">
        <v>9618085850</v>
      </c>
      <c r="B16905" s="330" t="s">
        <v>61257</v>
      </c>
      <c r="C16905" s="330" t="s">
        <v>34619</v>
      </c>
      <c r="D16905" s="330" t="s">
        <v>34620</v>
      </c>
      <c r="E16905" s="330" t="s">
        <v>4634</v>
      </c>
      <c r="F16905" s="331">
        <v>0.21</v>
      </c>
      <c r="G16905" s="332">
        <v>437</v>
      </c>
      <c r="H16905" s="333">
        <v>529</v>
      </c>
    </row>
    <row r="16906" spans="1:8">
      <c r="A16906" s="317">
        <v>9618085859</v>
      </c>
      <c r="B16906" s="330" t="s">
        <v>61258</v>
      </c>
      <c r="C16906" s="330" t="s">
        <v>34621</v>
      </c>
      <c r="D16906" s="330" t="s">
        <v>34622</v>
      </c>
      <c r="E16906" s="330" t="s">
        <v>4634</v>
      </c>
      <c r="F16906" s="331">
        <v>0.21</v>
      </c>
      <c r="G16906" s="332">
        <v>319</v>
      </c>
      <c r="H16906" s="333">
        <v>386</v>
      </c>
    </row>
    <row r="16907" spans="1:8">
      <c r="A16907" s="317">
        <v>9618085861</v>
      </c>
      <c r="B16907" s="330" t="s">
        <v>61259</v>
      </c>
      <c r="C16907" s="330" t="s">
        <v>34623</v>
      </c>
      <c r="D16907" s="330" t="s">
        <v>34624</v>
      </c>
      <c r="E16907" s="330" t="s">
        <v>4634</v>
      </c>
      <c r="F16907" s="331">
        <v>0.21</v>
      </c>
      <c r="G16907" s="332">
        <v>7406</v>
      </c>
      <c r="H16907" s="333">
        <v>8962</v>
      </c>
    </row>
    <row r="16908" spans="1:8">
      <c r="A16908" s="317">
        <v>9618085863</v>
      </c>
      <c r="B16908" s="330" t="s">
        <v>61260</v>
      </c>
      <c r="C16908" s="330" t="s">
        <v>34625</v>
      </c>
      <c r="D16908" s="330" t="s">
        <v>34626</v>
      </c>
      <c r="E16908" s="330" t="s">
        <v>4634</v>
      </c>
      <c r="F16908" s="331">
        <v>0.21</v>
      </c>
      <c r="G16908" s="332">
        <v>7618</v>
      </c>
      <c r="H16908" s="333">
        <v>9218</v>
      </c>
    </row>
    <row r="16909" spans="1:8">
      <c r="A16909" s="317">
        <v>9618085950</v>
      </c>
      <c r="B16909" s="330" t="s">
        <v>61261</v>
      </c>
      <c r="C16909" s="330" t="s">
        <v>34627</v>
      </c>
      <c r="D16909" s="330" t="s">
        <v>21933</v>
      </c>
      <c r="E16909" s="330" t="s">
        <v>4634</v>
      </c>
      <c r="F16909" s="331">
        <v>0.21</v>
      </c>
      <c r="G16909" s="332">
        <v>166830</v>
      </c>
      <c r="H16909" s="333">
        <v>201865</v>
      </c>
    </row>
    <row r="16910" spans="1:8">
      <c r="A16910" s="317">
        <v>9618086104</v>
      </c>
      <c r="B16910" s="330" t="s">
        <v>61262</v>
      </c>
      <c r="C16910" s="330" t="s">
        <v>34628</v>
      </c>
      <c r="D16910" s="330" t="s">
        <v>34629</v>
      </c>
      <c r="E16910" s="330" t="s">
        <v>4634</v>
      </c>
      <c r="F16910" s="331">
        <v>0.21</v>
      </c>
      <c r="G16910" s="332">
        <v>3696</v>
      </c>
      <c r="H16910" s="333">
        <v>4473</v>
      </c>
    </row>
    <row r="16911" spans="1:8">
      <c r="A16911" s="317">
        <v>9618086121</v>
      </c>
      <c r="B16911" s="330" t="s">
        <v>61263</v>
      </c>
      <c r="C16911" s="330" t="s">
        <v>34630</v>
      </c>
      <c r="D16911" s="330" t="s">
        <v>34631</v>
      </c>
      <c r="E16911" s="330" t="s">
        <v>4634</v>
      </c>
      <c r="F16911" s="331">
        <v>0.21</v>
      </c>
      <c r="G16911" s="332">
        <v>274</v>
      </c>
      <c r="H16911" s="333">
        <v>332</v>
      </c>
    </row>
    <row r="16912" spans="1:8">
      <c r="A16912" s="317">
        <v>9618086125</v>
      </c>
      <c r="B16912" s="330" t="s">
        <v>61264</v>
      </c>
      <c r="C16912" s="330" t="s">
        <v>34632</v>
      </c>
      <c r="D16912" s="330" t="s">
        <v>34633</v>
      </c>
      <c r="E16912" s="330" t="s">
        <v>4634</v>
      </c>
      <c r="F16912" s="331">
        <v>0.21</v>
      </c>
      <c r="G16912" s="332">
        <v>153</v>
      </c>
      <c r="H16912" s="333">
        <v>186</v>
      </c>
    </row>
    <row r="16913" spans="1:8">
      <c r="A16913" s="317">
        <v>9618086131</v>
      </c>
      <c r="B16913" s="330" t="s">
        <v>61265</v>
      </c>
      <c r="C16913" s="330" t="s">
        <v>34634</v>
      </c>
      <c r="D16913" s="330" t="s">
        <v>34635</v>
      </c>
      <c r="E16913" s="330" t="s">
        <v>4634</v>
      </c>
      <c r="F16913" s="331">
        <v>0.21</v>
      </c>
      <c r="G16913" s="332">
        <v>1170</v>
      </c>
      <c r="H16913" s="333">
        <v>1416</v>
      </c>
    </row>
    <row r="16914" spans="1:8">
      <c r="A16914" s="317">
        <v>9618086222</v>
      </c>
      <c r="B16914" s="330" t="s">
        <v>61266</v>
      </c>
      <c r="C16914" s="330" t="s">
        <v>34636</v>
      </c>
      <c r="D16914" s="330" t="s">
        <v>34637</v>
      </c>
      <c r="E16914" s="330" t="s">
        <v>4634</v>
      </c>
      <c r="F16914" s="331">
        <v>0.21</v>
      </c>
      <c r="G16914" s="332">
        <v>1581</v>
      </c>
      <c r="H16914" s="333">
        <v>1914</v>
      </c>
    </row>
    <row r="16915" spans="1:8">
      <c r="A16915" s="317">
        <v>9618086363</v>
      </c>
      <c r="B16915" s="330" t="s">
        <v>61267</v>
      </c>
      <c r="C16915" s="330" t="s">
        <v>34638</v>
      </c>
      <c r="D16915" s="330" t="s">
        <v>34639</v>
      </c>
      <c r="E16915" s="330" t="s">
        <v>4634</v>
      </c>
      <c r="F16915" s="331">
        <v>0.21</v>
      </c>
      <c r="G16915" s="332">
        <v>8918</v>
      </c>
      <c r="H16915" s="333">
        <v>10791</v>
      </c>
    </row>
    <row r="16916" spans="1:8">
      <c r="A16916" s="317">
        <v>9618086512</v>
      </c>
      <c r="B16916" s="330" t="s">
        <v>61268</v>
      </c>
      <c r="C16916" s="330" t="s">
        <v>34640</v>
      </c>
      <c r="D16916" s="330" t="s">
        <v>34641</v>
      </c>
      <c r="E16916" s="330" t="s">
        <v>4634</v>
      </c>
      <c r="F16916" s="331">
        <v>0.21</v>
      </c>
      <c r="G16916" s="332">
        <v>8922</v>
      </c>
      <c r="H16916" s="333">
        <v>10796</v>
      </c>
    </row>
    <row r="16917" spans="1:8">
      <c r="A16917" s="317">
        <v>9618086521</v>
      </c>
      <c r="B16917" s="330" t="s">
        <v>61269</v>
      </c>
      <c r="C16917" s="330" t="s">
        <v>34642</v>
      </c>
      <c r="D16917" s="330" t="s">
        <v>8281</v>
      </c>
      <c r="E16917" s="330" t="s">
        <v>4634</v>
      </c>
      <c r="F16917" s="331">
        <v>0.21</v>
      </c>
      <c r="G16917" s="332">
        <v>372</v>
      </c>
      <c r="H16917" s="333">
        <v>451</v>
      </c>
    </row>
    <row r="16918" spans="1:8">
      <c r="A16918" s="317">
        <v>9618086561</v>
      </c>
      <c r="B16918" s="330" t="s">
        <v>61270</v>
      </c>
      <c r="C16918" s="330" t="s">
        <v>34643</v>
      </c>
      <c r="D16918" s="330" t="s">
        <v>34644</v>
      </c>
      <c r="E16918" s="330" t="s">
        <v>4634</v>
      </c>
      <c r="F16918" s="331">
        <v>0.21</v>
      </c>
      <c r="G16918" s="332">
        <v>1150</v>
      </c>
      <c r="H16918" s="333">
        <v>1392</v>
      </c>
    </row>
    <row r="16919" spans="1:8">
      <c r="A16919" s="317">
        <v>9618086565</v>
      </c>
      <c r="B16919" s="330" t="s">
        <v>61271</v>
      </c>
      <c r="C16919" s="330" t="s">
        <v>34645</v>
      </c>
      <c r="D16919" s="330" t="s">
        <v>34646</v>
      </c>
      <c r="E16919" s="330" t="s">
        <v>4634</v>
      </c>
      <c r="F16919" s="331">
        <v>0.21</v>
      </c>
      <c r="G16919" s="332">
        <v>4432</v>
      </c>
      <c r="H16919" s="333">
        <v>5363</v>
      </c>
    </row>
    <row r="16920" spans="1:8">
      <c r="A16920" s="317">
        <v>9618086570</v>
      </c>
      <c r="B16920" s="330" t="s">
        <v>61272</v>
      </c>
      <c r="C16920" s="330" t="s">
        <v>34647</v>
      </c>
      <c r="D16920" s="330" t="s">
        <v>34648</v>
      </c>
      <c r="E16920" s="330" t="s">
        <v>4634</v>
      </c>
      <c r="F16920" s="331">
        <v>0.21</v>
      </c>
      <c r="G16920" s="332">
        <v>7069</v>
      </c>
      <c r="H16920" s="333">
        <v>8554</v>
      </c>
    </row>
    <row r="16921" spans="1:8">
      <c r="A16921" s="317">
        <v>9618086575</v>
      </c>
      <c r="B16921" s="330" t="s">
        <v>61273</v>
      </c>
      <c r="C16921" s="330" t="s">
        <v>34649</v>
      </c>
      <c r="D16921" s="330" t="s">
        <v>34650</v>
      </c>
      <c r="E16921" s="330" t="s">
        <v>4634</v>
      </c>
      <c r="F16921" s="331">
        <v>0.21</v>
      </c>
      <c r="G16921" s="332">
        <v>3966</v>
      </c>
      <c r="H16921" s="333">
        <v>4799</v>
      </c>
    </row>
    <row r="16922" spans="1:8">
      <c r="A16922" s="317">
        <v>9618086597</v>
      </c>
      <c r="B16922" s="330" t="s">
        <v>61274</v>
      </c>
      <c r="C16922" s="330" t="s">
        <v>34651</v>
      </c>
      <c r="D16922" s="330" t="s">
        <v>34652</v>
      </c>
      <c r="E16922" s="330" t="s">
        <v>4634</v>
      </c>
      <c r="F16922" s="331">
        <v>0.21</v>
      </c>
      <c r="G16922" s="332">
        <v>1581</v>
      </c>
      <c r="H16922" s="333">
        <v>1914</v>
      </c>
    </row>
    <row r="16923" spans="1:8">
      <c r="A16923" s="317">
        <v>9618086600</v>
      </c>
      <c r="B16923" s="330" t="s">
        <v>61275</v>
      </c>
      <c r="C16923" s="330" t="s">
        <v>34653</v>
      </c>
      <c r="D16923" s="330" t="s">
        <v>34654</v>
      </c>
      <c r="E16923" s="330" t="s">
        <v>4634</v>
      </c>
      <c r="F16923" s="331">
        <v>0.21</v>
      </c>
      <c r="G16923" s="332">
        <v>2775</v>
      </c>
      <c r="H16923" s="333">
        <v>3358</v>
      </c>
    </row>
    <row r="16924" spans="1:8">
      <c r="A16924" s="317">
        <v>9618086601</v>
      </c>
      <c r="B16924" s="330" t="s">
        <v>61276</v>
      </c>
      <c r="C16924" s="330" t="s">
        <v>34655</v>
      </c>
      <c r="D16924" s="330" t="s">
        <v>34656</v>
      </c>
      <c r="E16924" s="330" t="s">
        <v>4634</v>
      </c>
      <c r="F16924" s="331">
        <v>0.21</v>
      </c>
      <c r="G16924" s="332">
        <v>1199</v>
      </c>
      <c r="H16924" s="333">
        <v>1451</v>
      </c>
    </row>
    <row r="16925" spans="1:8">
      <c r="A16925" s="317">
        <v>9618086603</v>
      </c>
      <c r="B16925" s="330" t="s">
        <v>61277</v>
      </c>
      <c r="C16925" s="330" t="s">
        <v>34657</v>
      </c>
      <c r="D16925" s="330" t="s">
        <v>34658</v>
      </c>
      <c r="E16925" s="330" t="s">
        <v>4634</v>
      </c>
      <c r="F16925" s="331">
        <v>0.21</v>
      </c>
      <c r="G16925" s="332">
        <v>437</v>
      </c>
      <c r="H16925" s="333">
        <v>529</v>
      </c>
    </row>
    <row r="16926" spans="1:8">
      <c r="A16926" s="317">
        <v>9618086615</v>
      </c>
      <c r="B16926" s="330" t="s">
        <v>61278</v>
      </c>
      <c r="C16926" s="330" t="s">
        <v>34659</v>
      </c>
      <c r="D16926" s="330" t="s">
        <v>34660</v>
      </c>
      <c r="E16926" s="330" t="s">
        <v>4819</v>
      </c>
      <c r="F16926" s="331">
        <v>0.21</v>
      </c>
      <c r="G16926" s="332">
        <v>1238</v>
      </c>
      <c r="H16926" s="333">
        <v>1498</v>
      </c>
    </row>
    <row r="16927" spans="1:8">
      <c r="A16927" s="317">
        <v>9618086616</v>
      </c>
      <c r="B16927" s="330" t="s">
        <v>61279</v>
      </c>
      <c r="C16927" s="330" t="s">
        <v>34661</v>
      </c>
      <c r="D16927" s="330" t="s">
        <v>7235</v>
      </c>
      <c r="E16927" s="330" t="s">
        <v>4634</v>
      </c>
      <c r="F16927" s="331">
        <v>0.21</v>
      </c>
      <c r="G16927" s="332">
        <v>254</v>
      </c>
      <c r="H16927" s="333">
        <v>308</v>
      </c>
    </row>
    <row r="16928" spans="1:8">
      <c r="A16928" s="317">
        <v>9618086632</v>
      </c>
      <c r="B16928" s="330" t="s">
        <v>61280</v>
      </c>
      <c r="C16928" s="330" t="s">
        <v>34662</v>
      </c>
      <c r="D16928" s="330" t="s">
        <v>34663</v>
      </c>
      <c r="E16928" s="330" t="s">
        <v>4634</v>
      </c>
      <c r="F16928" s="331">
        <v>0.21</v>
      </c>
      <c r="G16928" s="332">
        <v>5761</v>
      </c>
      <c r="H16928" s="333">
        <v>6971</v>
      </c>
    </row>
    <row r="16929" spans="1:8">
      <c r="A16929" s="317">
        <v>9618086638</v>
      </c>
      <c r="B16929" s="330" t="s">
        <v>61281</v>
      </c>
      <c r="C16929" s="330" t="s">
        <v>34664</v>
      </c>
      <c r="D16929" s="330" t="s">
        <v>34665</v>
      </c>
      <c r="E16929" s="330" t="s">
        <v>4819</v>
      </c>
      <c r="F16929" s="331">
        <v>0.21</v>
      </c>
      <c r="G16929" s="332">
        <v>1242</v>
      </c>
      <c r="H16929" s="333">
        <v>1503</v>
      </c>
    </row>
    <row r="16930" spans="1:8">
      <c r="A16930" s="317">
        <v>9618086661</v>
      </c>
      <c r="B16930" s="330" t="s">
        <v>61282</v>
      </c>
      <c r="C16930" s="330" t="s">
        <v>34666</v>
      </c>
      <c r="D16930" s="330" t="s">
        <v>34667</v>
      </c>
      <c r="E16930" s="330" t="s">
        <v>4634</v>
      </c>
      <c r="F16930" s="331">
        <v>0.21</v>
      </c>
      <c r="G16930" s="332">
        <v>5068</v>
      </c>
      <c r="H16930" s="333">
        <v>6133</v>
      </c>
    </row>
    <row r="16931" spans="1:8">
      <c r="A16931" s="317">
        <v>9618086677</v>
      </c>
      <c r="B16931" s="330" t="s">
        <v>61283</v>
      </c>
      <c r="C16931" s="330" t="s">
        <v>34668</v>
      </c>
      <c r="D16931" s="330" t="s">
        <v>34669</v>
      </c>
      <c r="E16931" s="330" t="s">
        <v>4634</v>
      </c>
      <c r="F16931" s="331">
        <v>0.21</v>
      </c>
      <c r="G16931" s="332">
        <v>564</v>
      </c>
      <c r="H16931" s="333">
        <v>683</v>
      </c>
    </row>
    <row r="16932" spans="1:8">
      <c r="A16932" s="317">
        <v>9618086678</v>
      </c>
      <c r="B16932" s="330" t="s">
        <v>61284</v>
      </c>
      <c r="C16932" s="330" t="s">
        <v>34670</v>
      </c>
      <c r="D16932" s="330" t="s">
        <v>34671</v>
      </c>
      <c r="E16932" s="330" t="s">
        <v>4819</v>
      </c>
      <c r="F16932" s="331">
        <v>0.21</v>
      </c>
      <c r="G16932" s="332">
        <v>10225</v>
      </c>
      <c r="H16932" s="333">
        <v>12373</v>
      </c>
    </row>
    <row r="16933" spans="1:8">
      <c r="A16933" s="317">
        <v>9618086679</v>
      </c>
      <c r="B16933" s="330" t="s">
        <v>61285</v>
      </c>
      <c r="C16933" s="330" t="s">
        <v>34672</v>
      </c>
      <c r="D16933" s="330" t="s">
        <v>34673</v>
      </c>
      <c r="E16933" s="330" t="s">
        <v>4634</v>
      </c>
      <c r="F16933" s="331">
        <v>0.21</v>
      </c>
      <c r="G16933" s="332">
        <v>111</v>
      </c>
      <c r="H16933" s="333">
        <v>135</v>
      </c>
    </row>
    <row r="16934" spans="1:8">
      <c r="A16934" s="317">
        <v>9618086680</v>
      </c>
      <c r="B16934" s="330" t="s">
        <v>61286</v>
      </c>
      <c r="C16934" s="330" t="s">
        <v>34674</v>
      </c>
      <c r="D16934" s="330" t="s">
        <v>34675</v>
      </c>
      <c r="E16934" s="330" t="s">
        <v>4634</v>
      </c>
      <c r="F16934" s="331">
        <v>0.21</v>
      </c>
      <c r="G16934" s="332">
        <v>1565</v>
      </c>
      <c r="H16934" s="333">
        <v>1894</v>
      </c>
    </row>
    <row r="16935" spans="1:8">
      <c r="A16935" s="317">
        <v>9618086692</v>
      </c>
      <c r="B16935" s="330" t="s">
        <v>61287</v>
      </c>
      <c r="C16935" s="330" t="s">
        <v>34676</v>
      </c>
      <c r="D16935" s="330" t="s">
        <v>34677</v>
      </c>
      <c r="E16935" s="330" t="s">
        <v>4634</v>
      </c>
      <c r="F16935" s="331">
        <v>0.21</v>
      </c>
      <c r="G16935" s="332">
        <v>702</v>
      </c>
      <c r="H16935" s="333">
        <v>850</v>
      </c>
    </row>
    <row r="16936" spans="1:8">
      <c r="A16936" s="317">
        <v>9618086693</v>
      </c>
      <c r="B16936" s="330" t="s">
        <v>61288</v>
      </c>
      <c r="C16936" s="330" t="s">
        <v>34678</v>
      </c>
      <c r="D16936" s="330" t="s">
        <v>34679</v>
      </c>
      <c r="E16936" s="330" t="s">
        <v>4634</v>
      </c>
      <c r="F16936" s="331">
        <v>0.21</v>
      </c>
      <c r="G16936" s="332">
        <v>280</v>
      </c>
      <c r="H16936" s="333">
        <v>339</v>
      </c>
    </row>
    <row r="16937" spans="1:8">
      <c r="A16937" s="317">
        <v>9618086695</v>
      </c>
      <c r="B16937" s="330" t="s">
        <v>61289</v>
      </c>
      <c r="C16937" s="330" t="s">
        <v>34680</v>
      </c>
      <c r="D16937" s="330" t="s">
        <v>5912</v>
      </c>
      <c r="E16937" s="330" t="s">
        <v>4634</v>
      </c>
      <c r="F16937" s="331">
        <v>0.21</v>
      </c>
      <c r="G16937" s="332">
        <v>706</v>
      </c>
      <c r="H16937" s="333">
        <v>855</v>
      </c>
    </row>
    <row r="16938" spans="1:8">
      <c r="A16938" s="317">
        <v>9618086704</v>
      </c>
      <c r="B16938" s="330" t="s">
        <v>61290</v>
      </c>
      <c r="C16938" s="330" t="s">
        <v>34681</v>
      </c>
      <c r="D16938" s="330" t="s">
        <v>34682</v>
      </c>
      <c r="E16938" s="330" t="s">
        <v>4634</v>
      </c>
      <c r="F16938" s="331">
        <v>0.21</v>
      </c>
      <c r="G16938" s="332">
        <v>1581</v>
      </c>
      <c r="H16938" s="333">
        <v>1914</v>
      </c>
    </row>
    <row r="16939" spans="1:8">
      <c r="A16939" s="317">
        <v>9618086705</v>
      </c>
      <c r="B16939" s="330" t="s">
        <v>61291</v>
      </c>
      <c r="C16939" s="330" t="s">
        <v>34683</v>
      </c>
      <c r="D16939" s="330" t="s">
        <v>34684</v>
      </c>
      <c r="E16939" s="330" t="s">
        <v>4634</v>
      </c>
      <c r="F16939" s="331">
        <v>0.21</v>
      </c>
      <c r="G16939" s="332">
        <v>236</v>
      </c>
      <c r="H16939" s="333">
        <v>286</v>
      </c>
    </row>
    <row r="16940" spans="1:8">
      <c r="A16940" s="317">
        <v>9618086713</v>
      </c>
      <c r="B16940" s="330" t="s">
        <v>61292</v>
      </c>
      <c r="C16940" s="330" t="s">
        <v>34685</v>
      </c>
      <c r="D16940" s="330" t="s">
        <v>34686</v>
      </c>
      <c r="E16940" s="330" t="s">
        <v>4634</v>
      </c>
      <c r="F16940" s="331">
        <v>0.21</v>
      </c>
      <c r="G16940" s="332">
        <v>12309</v>
      </c>
      <c r="H16940" s="333">
        <v>14894</v>
      </c>
    </row>
    <row r="16941" spans="1:8">
      <c r="A16941" s="317">
        <v>9618086718</v>
      </c>
      <c r="B16941" s="330" t="s">
        <v>61293</v>
      </c>
      <c r="C16941" s="330" t="s">
        <v>34687</v>
      </c>
      <c r="D16941" s="330" t="s">
        <v>34688</v>
      </c>
      <c r="E16941" s="330" t="s">
        <v>37248</v>
      </c>
      <c r="F16941" s="331">
        <v>0.21</v>
      </c>
      <c r="G16941" s="332">
        <v>17141</v>
      </c>
      <c r="H16941" s="333">
        <v>20741</v>
      </c>
    </row>
    <row r="16942" spans="1:8">
      <c r="A16942" s="317">
        <v>9618086773</v>
      </c>
      <c r="B16942" s="330" t="s">
        <v>61294</v>
      </c>
      <c r="C16942" s="330" t="s">
        <v>34689</v>
      </c>
      <c r="D16942" s="330" t="s">
        <v>34690</v>
      </c>
      <c r="E16942" s="330" t="s">
        <v>4819</v>
      </c>
      <c r="F16942" s="331">
        <v>0.21</v>
      </c>
      <c r="G16942" s="332">
        <v>10562</v>
      </c>
      <c r="H16942" s="333">
        <v>12781</v>
      </c>
    </row>
    <row r="16943" spans="1:8">
      <c r="A16943" s="317">
        <v>9618086775</v>
      </c>
      <c r="B16943" s="330" t="s">
        <v>61295</v>
      </c>
      <c r="C16943" s="330" t="s">
        <v>34691</v>
      </c>
      <c r="D16943" s="330" t="s">
        <v>34692</v>
      </c>
      <c r="E16943" s="330" t="s">
        <v>4634</v>
      </c>
      <c r="F16943" s="331">
        <v>0.21</v>
      </c>
      <c r="G16943" s="332">
        <v>2712</v>
      </c>
      <c r="H16943" s="333">
        <v>3282</v>
      </c>
    </row>
    <row r="16944" spans="1:8">
      <c r="A16944" s="317">
        <v>9618086782</v>
      </c>
      <c r="B16944" s="330" t="s">
        <v>61296</v>
      </c>
      <c r="C16944" s="330" t="s">
        <v>34693</v>
      </c>
      <c r="D16944" s="330" t="s">
        <v>34694</v>
      </c>
      <c r="E16944" s="330" t="s">
        <v>4634</v>
      </c>
      <c r="F16944" s="331">
        <v>0.21</v>
      </c>
      <c r="G16944" s="332">
        <v>8766</v>
      </c>
      <c r="H16944" s="333">
        <v>10607</v>
      </c>
    </row>
    <row r="16945" spans="1:8">
      <c r="A16945" s="317">
        <v>9618086790</v>
      </c>
      <c r="B16945" s="330" t="s">
        <v>61297</v>
      </c>
      <c r="C16945" s="330" t="s">
        <v>34695</v>
      </c>
      <c r="D16945" s="330" t="s">
        <v>34696</v>
      </c>
      <c r="E16945" s="330" t="s">
        <v>4634</v>
      </c>
      <c r="F16945" s="331">
        <v>0.21</v>
      </c>
      <c r="G16945" s="332">
        <v>4802</v>
      </c>
      <c r="H16945" s="333">
        <v>5811</v>
      </c>
    </row>
    <row r="16946" spans="1:8">
      <c r="A16946" s="317">
        <v>9618086793</v>
      </c>
      <c r="B16946" s="330" t="s">
        <v>61298</v>
      </c>
      <c r="C16946" s="330" t="s">
        <v>34697</v>
      </c>
      <c r="D16946" s="330" t="s">
        <v>34698</v>
      </c>
      <c r="E16946" s="330" t="s">
        <v>4634</v>
      </c>
      <c r="F16946" s="331">
        <v>0.21</v>
      </c>
      <c r="G16946" s="332">
        <v>2881</v>
      </c>
      <c r="H16946" s="333">
        <v>3487</v>
      </c>
    </row>
    <row r="16947" spans="1:8">
      <c r="A16947" s="317">
        <v>9618086800</v>
      </c>
      <c r="B16947" s="330" t="s">
        <v>61299</v>
      </c>
      <c r="C16947" s="330" t="s">
        <v>34699</v>
      </c>
      <c r="D16947" s="330" t="s">
        <v>34700</v>
      </c>
      <c r="E16947" s="330" t="s">
        <v>4634</v>
      </c>
      <c r="F16947" s="331">
        <v>0.21</v>
      </c>
      <c r="G16947" s="332">
        <v>12148</v>
      </c>
      <c r="H16947" s="333">
        <v>14700</v>
      </c>
    </row>
    <row r="16948" spans="1:8">
      <c r="A16948" s="317">
        <v>9618086801</v>
      </c>
      <c r="B16948" s="330" t="s">
        <v>61300</v>
      </c>
      <c r="C16948" s="330" t="s">
        <v>34701</v>
      </c>
      <c r="D16948" s="330" t="s">
        <v>34702</v>
      </c>
      <c r="E16948" s="330" t="s">
        <v>4634</v>
      </c>
      <c r="F16948" s="331">
        <v>0.21</v>
      </c>
      <c r="G16948" s="332">
        <v>3283</v>
      </c>
      <c r="H16948" s="333">
        <v>3973</v>
      </c>
    </row>
    <row r="16949" spans="1:8">
      <c r="A16949" s="317">
        <v>9618086807</v>
      </c>
      <c r="B16949" s="330" t="s">
        <v>61301</v>
      </c>
      <c r="C16949" s="330" t="s">
        <v>34703</v>
      </c>
      <c r="D16949" s="330" t="s">
        <v>34704</v>
      </c>
      <c r="E16949" s="330" t="s">
        <v>4634</v>
      </c>
      <c r="F16949" s="331">
        <v>0.21</v>
      </c>
      <c r="G16949" s="332">
        <v>15775</v>
      </c>
      <c r="H16949" s="333">
        <v>19088</v>
      </c>
    </row>
    <row r="16950" spans="1:8">
      <c r="A16950" s="317">
        <v>9618086810</v>
      </c>
      <c r="B16950" s="330" t="s">
        <v>61302</v>
      </c>
      <c r="C16950" s="330" t="s">
        <v>34705</v>
      </c>
      <c r="D16950" s="330" t="s">
        <v>23889</v>
      </c>
      <c r="E16950" s="330" t="s">
        <v>4634</v>
      </c>
      <c r="F16950" s="331">
        <v>0.21</v>
      </c>
      <c r="G16950" s="332">
        <v>4233</v>
      </c>
      <c r="H16950" s="333">
        <v>5122</v>
      </c>
    </row>
    <row r="16951" spans="1:8">
      <c r="A16951" s="317">
        <v>9618086818</v>
      </c>
      <c r="B16951" s="330" t="s">
        <v>61303</v>
      </c>
      <c r="C16951" s="330" t="s">
        <v>34706</v>
      </c>
      <c r="D16951" s="330" t="s">
        <v>34707</v>
      </c>
      <c r="E16951" s="330" t="s">
        <v>37248</v>
      </c>
      <c r="F16951" s="331">
        <v>0.21</v>
      </c>
      <c r="G16951" s="332">
        <v>21120</v>
      </c>
      <c r="H16951" s="333">
        <v>25556</v>
      </c>
    </row>
    <row r="16952" spans="1:8">
      <c r="A16952" s="317">
        <v>9618086819</v>
      </c>
      <c r="B16952" s="330" t="s">
        <v>61304</v>
      </c>
      <c r="C16952" s="330" t="s">
        <v>34708</v>
      </c>
      <c r="D16952" s="330" t="s">
        <v>34709</v>
      </c>
      <c r="E16952" s="330" t="s">
        <v>37248</v>
      </c>
      <c r="F16952" s="331">
        <v>0.21</v>
      </c>
      <c r="G16952" s="332">
        <v>43604</v>
      </c>
      <c r="H16952" s="333">
        <v>52761</v>
      </c>
    </row>
    <row r="16953" spans="1:8">
      <c r="A16953" s="317">
        <v>9618086821</v>
      </c>
      <c r="B16953" s="330" t="s">
        <v>61305</v>
      </c>
      <c r="C16953" s="330" t="s">
        <v>34710</v>
      </c>
      <c r="D16953" s="330" t="s">
        <v>34711</v>
      </c>
      <c r="E16953" s="330" t="s">
        <v>4634</v>
      </c>
      <c r="F16953" s="331">
        <v>0.21</v>
      </c>
      <c r="G16953" s="332">
        <v>47628</v>
      </c>
      <c r="H16953" s="333">
        <v>57630</v>
      </c>
    </row>
    <row r="16954" spans="1:8">
      <c r="A16954" s="317">
        <v>9618086823</v>
      </c>
      <c r="B16954" s="330" t="s">
        <v>61306</v>
      </c>
      <c r="C16954" s="330" t="s">
        <v>34712</v>
      </c>
      <c r="D16954" s="330" t="s">
        <v>34713</v>
      </c>
      <c r="E16954" s="330" t="s">
        <v>37248</v>
      </c>
      <c r="F16954" s="331">
        <v>0.21</v>
      </c>
      <c r="G16954" s="332">
        <v>29606</v>
      </c>
      <c r="H16954" s="333">
        <v>35824</v>
      </c>
    </row>
    <row r="16955" spans="1:8">
      <c r="A16955" s="317">
        <v>9618086828</v>
      </c>
      <c r="B16955" s="330" t="s">
        <v>61307</v>
      </c>
      <c r="C16955" s="330" t="s">
        <v>34714</v>
      </c>
      <c r="D16955" s="330" t="s">
        <v>34715</v>
      </c>
      <c r="E16955" s="330" t="s">
        <v>4819</v>
      </c>
      <c r="F16955" s="331">
        <v>0.21</v>
      </c>
      <c r="G16955" s="332">
        <v>21107</v>
      </c>
      <c r="H16955" s="333">
        <v>25540</v>
      </c>
    </row>
    <row r="16956" spans="1:8">
      <c r="A16956" s="317">
        <v>9618086830</v>
      </c>
      <c r="B16956" s="330" t="s">
        <v>61308</v>
      </c>
      <c r="C16956" s="330" t="s">
        <v>34716</v>
      </c>
      <c r="D16956" s="330" t="s">
        <v>34717</v>
      </c>
      <c r="E16956" s="330" t="s">
        <v>4634</v>
      </c>
      <c r="F16956" s="331">
        <v>0.21</v>
      </c>
      <c r="G16956" s="332">
        <v>28571</v>
      </c>
      <c r="H16956" s="333">
        <v>34571</v>
      </c>
    </row>
    <row r="16957" spans="1:8">
      <c r="A16957" s="317">
        <v>9618086831</v>
      </c>
      <c r="B16957" s="330" t="s">
        <v>61309</v>
      </c>
      <c r="C16957" s="330" t="s">
        <v>34718</v>
      </c>
      <c r="D16957" s="330" t="s">
        <v>34719</v>
      </c>
      <c r="E16957" s="330" t="s">
        <v>4634</v>
      </c>
      <c r="F16957" s="331">
        <v>0.21</v>
      </c>
      <c r="G16957" s="332">
        <v>35061</v>
      </c>
      <c r="H16957" s="333">
        <v>42424</v>
      </c>
    </row>
    <row r="16958" spans="1:8">
      <c r="A16958" s="317">
        <v>9618086832</v>
      </c>
      <c r="B16958" s="330" t="s">
        <v>61310</v>
      </c>
      <c r="C16958" s="330" t="s">
        <v>34720</v>
      </c>
      <c r="D16958" s="330" t="s">
        <v>34721</v>
      </c>
      <c r="E16958" s="330" t="s">
        <v>4634</v>
      </c>
      <c r="F16958" s="331">
        <v>0.21</v>
      </c>
      <c r="G16958" s="332">
        <v>27859</v>
      </c>
      <c r="H16958" s="333">
        <v>33710</v>
      </c>
    </row>
    <row r="16959" spans="1:8">
      <c r="A16959" s="317">
        <v>9618086833</v>
      </c>
      <c r="B16959" s="330" t="s">
        <v>61311</v>
      </c>
      <c r="C16959" s="330" t="s">
        <v>34722</v>
      </c>
      <c r="D16959" s="330" t="s">
        <v>34723</v>
      </c>
      <c r="E16959" s="330" t="s">
        <v>4634</v>
      </c>
      <c r="F16959" s="331">
        <v>0.21</v>
      </c>
      <c r="G16959" s="332">
        <v>32729</v>
      </c>
      <c r="H16959" s="333">
        <v>39603</v>
      </c>
    </row>
    <row r="16960" spans="1:8">
      <c r="A16960" s="317">
        <v>9618086836</v>
      </c>
      <c r="B16960" s="330" t="s">
        <v>61312</v>
      </c>
      <c r="C16960" s="330" t="s">
        <v>34724</v>
      </c>
      <c r="D16960" s="330" t="s">
        <v>34725</v>
      </c>
      <c r="E16960" s="330" t="s">
        <v>4634</v>
      </c>
      <c r="F16960" s="331">
        <v>0.21</v>
      </c>
      <c r="G16960" s="332">
        <v>4374</v>
      </c>
      <c r="H16960" s="333">
        <v>5293</v>
      </c>
    </row>
    <row r="16961" spans="1:8">
      <c r="A16961" s="317">
        <v>9618086844</v>
      </c>
      <c r="B16961" s="330" t="s">
        <v>61313</v>
      </c>
      <c r="C16961" s="330" t="s">
        <v>34726</v>
      </c>
      <c r="D16961" s="330" t="s">
        <v>34727</v>
      </c>
      <c r="E16961" s="330" t="s">
        <v>4634</v>
      </c>
      <c r="F16961" s="331">
        <v>0.21</v>
      </c>
      <c r="G16961" s="332">
        <v>7551</v>
      </c>
      <c r="H16961" s="333">
        <v>9137</v>
      </c>
    </row>
    <row r="16962" spans="1:8">
      <c r="A16962" s="317">
        <v>9618086845</v>
      </c>
      <c r="B16962" s="330" t="s">
        <v>61314</v>
      </c>
      <c r="C16962" s="330" t="s">
        <v>34728</v>
      </c>
      <c r="D16962" s="330" t="s">
        <v>34729</v>
      </c>
      <c r="E16962" s="330" t="s">
        <v>4634</v>
      </c>
      <c r="F16962" s="331">
        <v>0.21</v>
      </c>
      <c r="G16962" s="332">
        <v>60654</v>
      </c>
      <c r="H16962" s="333">
        <v>73392</v>
      </c>
    </row>
    <row r="16963" spans="1:8">
      <c r="A16963" s="317">
        <v>9618086852</v>
      </c>
      <c r="B16963" s="330" t="s">
        <v>61315</v>
      </c>
      <c r="C16963" s="330" t="s">
        <v>34730</v>
      </c>
      <c r="D16963" s="330" t="s">
        <v>34731</v>
      </c>
      <c r="E16963" s="330" t="s">
        <v>4634</v>
      </c>
      <c r="F16963" s="331">
        <v>0.21</v>
      </c>
      <c r="G16963" s="332">
        <v>3740</v>
      </c>
      <c r="H16963" s="333">
        <v>4526</v>
      </c>
    </row>
    <row r="16964" spans="1:8">
      <c r="A16964" s="317">
        <v>9618086853</v>
      </c>
      <c r="B16964" s="330" t="s">
        <v>61316</v>
      </c>
      <c r="C16964" s="330" t="s">
        <v>34732</v>
      </c>
      <c r="D16964" s="330" t="s">
        <v>34733</v>
      </c>
      <c r="E16964" s="330" t="s">
        <v>4634</v>
      </c>
      <c r="F16964" s="331">
        <v>0.21</v>
      </c>
      <c r="G16964" s="332">
        <v>6774</v>
      </c>
      <c r="H16964" s="333">
        <v>8197</v>
      </c>
    </row>
    <row r="16965" spans="1:8">
      <c r="A16965" s="317">
        <v>9618086854</v>
      </c>
      <c r="B16965" s="330" t="s">
        <v>61317</v>
      </c>
      <c r="C16965" s="330" t="s">
        <v>34734</v>
      </c>
      <c r="D16965" s="330" t="s">
        <v>34735</v>
      </c>
      <c r="E16965" s="330" t="s">
        <v>4634</v>
      </c>
      <c r="F16965" s="331">
        <v>0.21</v>
      </c>
      <c r="G16965" s="332">
        <v>2797</v>
      </c>
      <c r="H16965" s="333">
        <v>3385</v>
      </c>
    </row>
    <row r="16966" spans="1:8">
      <c r="A16966" s="317">
        <v>9618086855</v>
      </c>
      <c r="B16966" s="330" t="s">
        <v>61318</v>
      </c>
      <c r="C16966" s="330" t="s">
        <v>34736</v>
      </c>
      <c r="D16966" s="330" t="s">
        <v>34737</v>
      </c>
      <c r="E16966" s="330" t="s">
        <v>4634</v>
      </c>
      <c r="F16966" s="331">
        <v>0.21</v>
      </c>
      <c r="G16966" s="332">
        <v>298612</v>
      </c>
      <c r="H16966" s="333">
        <v>361321</v>
      </c>
    </row>
    <row r="16967" spans="1:8">
      <c r="A16967" s="317">
        <v>9618086856</v>
      </c>
      <c r="B16967" s="330" t="s">
        <v>61319</v>
      </c>
      <c r="C16967" s="330" t="s">
        <v>34738</v>
      </c>
      <c r="D16967" s="330" t="s">
        <v>34739</v>
      </c>
      <c r="E16967" s="330" t="s">
        <v>4634</v>
      </c>
      <c r="F16967" s="331">
        <v>0.21</v>
      </c>
      <c r="G16967" s="332">
        <v>486</v>
      </c>
      <c r="H16967" s="333">
        <v>589</v>
      </c>
    </row>
    <row r="16968" spans="1:8">
      <c r="A16968" s="317">
        <v>9618086857</v>
      </c>
      <c r="B16968" s="330" t="s">
        <v>61320</v>
      </c>
      <c r="C16968" s="330" t="s">
        <v>34740</v>
      </c>
      <c r="D16968" s="330" t="s">
        <v>34741</v>
      </c>
      <c r="E16968" s="330" t="s">
        <v>4634</v>
      </c>
      <c r="F16968" s="331">
        <v>0.21</v>
      </c>
      <c r="G16968" s="332">
        <v>416</v>
      </c>
      <c r="H16968" s="333">
        <v>504</v>
      </c>
    </row>
    <row r="16969" spans="1:8">
      <c r="A16969" s="317">
        <v>9618086865</v>
      </c>
      <c r="B16969" s="330" t="s">
        <v>61321</v>
      </c>
      <c r="C16969" s="330" t="s">
        <v>34742</v>
      </c>
      <c r="D16969" s="330" t="s">
        <v>34743</v>
      </c>
      <c r="E16969" s="330" t="s">
        <v>4634</v>
      </c>
      <c r="F16969" s="331">
        <v>0.21</v>
      </c>
      <c r="G16969" s="332">
        <v>107</v>
      </c>
      <c r="H16969" s="333">
        <v>130</v>
      </c>
    </row>
    <row r="16970" spans="1:8">
      <c r="A16970" s="317">
        <v>9618086872</v>
      </c>
      <c r="B16970" s="330" t="s">
        <v>61322</v>
      </c>
      <c r="C16970" s="330" t="s">
        <v>34744</v>
      </c>
      <c r="D16970" s="330" t="s">
        <v>34745</v>
      </c>
      <c r="E16970" s="330" t="s">
        <v>37248</v>
      </c>
      <c r="F16970" s="331">
        <v>0.21</v>
      </c>
      <c r="G16970" s="332">
        <v>1802</v>
      </c>
      <c r="H16970" s="333">
        <v>2181</v>
      </c>
    </row>
    <row r="16971" spans="1:8">
      <c r="A16971" s="317">
        <v>9618086873</v>
      </c>
      <c r="B16971" s="330" t="s">
        <v>61323</v>
      </c>
      <c r="C16971" s="330" t="s">
        <v>34746</v>
      </c>
      <c r="D16971" s="330" t="s">
        <v>34747</v>
      </c>
      <c r="E16971" s="330" t="s">
        <v>4634</v>
      </c>
      <c r="F16971" s="331">
        <v>0.21</v>
      </c>
      <c r="G16971" s="332">
        <v>2870</v>
      </c>
      <c r="H16971" s="333">
        <v>3473</v>
      </c>
    </row>
    <row r="16972" spans="1:8">
      <c r="A16972" s="317">
        <v>9618086876</v>
      </c>
      <c r="B16972" s="330" t="s">
        <v>61324</v>
      </c>
      <c r="C16972" s="330" t="s">
        <v>34748</v>
      </c>
      <c r="D16972" s="330" t="s">
        <v>34749</v>
      </c>
      <c r="E16972" s="330" t="s">
        <v>4634</v>
      </c>
      <c r="F16972" s="331">
        <v>0.21</v>
      </c>
      <c r="G16972" s="332">
        <v>12835</v>
      </c>
      <c r="H16972" s="333">
        <v>15531</v>
      </c>
    </row>
    <row r="16973" spans="1:8">
      <c r="A16973" s="317">
        <v>9618086877</v>
      </c>
      <c r="B16973" s="330" t="s">
        <v>61325</v>
      </c>
      <c r="C16973" s="330" t="s">
        <v>34750</v>
      </c>
      <c r="D16973" s="330" t="s">
        <v>34751</v>
      </c>
      <c r="E16973" s="330" t="s">
        <v>4634</v>
      </c>
      <c r="F16973" s="331">
        <v>0.21</v>
      </c>
      <c r="G16973" s="332">
        <v>3622</v>
      </c>
      <c r="H16973" s="333">
        <v>4383</v>
      </c>
    </row>
    <row r="16974" spans="1:8">
      <c r="A16974" s="317">
        <v>9618086959</v>
      </c>
      <c r="B16974" s="330" t="s">
        <v>61326</v>
      </c>
      <c r="C16974" s="330" t="s">
        <v>34752</v>
      </c>
      <c r="D16974" s="330" t="s">
        <v>34753</v>
      </c>
      <c r="E16974" s="330" t="s">
        <v>4634</v>
      </c>
      <c r="F16974" s="331">
        <v>0.21</v>
      </c>
      <c r="G16974" s="332">
        <v>1202</v>
      </c>
      <c r="H16974" s="333">
        <v>1455</v>
      </c>
    </row>
    <row r="16975" spans="1:8">
      <c r="A16975" s="317">
        <v>9618086968</v>
      </c>
      <c r="B16975" s="330" t="s">
        <v>61327</v>
      </c>
      <c r="C16975" s="330" t="s">
        <v>34754</v>
      </c>
      <c r="D16975" s="330" t="s">
        <v>34755</v>
      </c>
      <c r="E16975" s="330" t="s">
        <v>4634</v>
      </c>
      <c r="F16975" s="331">
        <v>0.21</v>
      </c>
      <c r="G16975" s="332">
        <v>2775</v>
      </c>
      <c r="H16975" s="333">
        <v>3358</v>
      </c>
    </row>
    <row r="16976" spans="1:8">
      <c r="A16976" s="317">
        <v>9618086981</v>
      </c>
      <c r="B16976" s="330" t="s">
        <v>61328</v>
      </c>
      <c r="C16976" s="330" t="s">
        <v>34756</v>
      </c>
      <c r="D16976" s="330" t="s">
        <v>34757</v>
      </c>
      <c r="E16976" s="330" t="s">
        <v>4634</v>
      </c>
      <c r="F16976" s="331">
        <v>0.21</v>
      </c>
      <c r="G16976" s="332">
        <v>1798</v>
      </c>
      <c r="H16976" s="333">
        <v>2176</v>
      </c>
    </row>
    <row r="16977" spans="1:8">
      <c r="A16977" s="317">
        <v>9618086993</v>
      </c>
      <c r="B16977" s="330" t="s">
        <v>61329</v>
      </c>
      <c r="C16977" s="330" t="s">
        <v>34758</v>
      </c>
      <c r="D16977" s="330" t="s">
        <v>34759</v>
      </c>
      <c r="E16977" s="330" t="s">
        <v>4634</v>
      </c>
      <c r="F16977" s="331">
        <v>0.21</v>
      </c>
      <c r="G16977" s="332">
        <v>573</v>
      </c>
      <c r="H16977" s="333">
        <v>694</v>
      </c>
    </row>
    <row r="16978" spans="1:8">
      <c r="A16978" s="317">
        <v>9618086994</v>
      </c>
      <c r="B16978" s="330" t="s">
        <v>61330</v>
      </c>
      <c r="C16978" s="330" t="s">
        <v>34760</v>
      </c>
      <c r="D16978" s="330" t="s">
        <v>34761</v>
      </c>
      <c r="E16978" s="330" t="s">
        <v>4634</v>
      </c>
      <c r="F16978" s="331">
        <v>0.21</v>
      </c>
      <c r="G16978" s="332">
        <v>8331</v>
      </c>
      <c r="H16978" s="333">
        <v>10081</v>
      </c>
    </row>
    <row r="16979" spans="1:8">
      <c r="A16979" s="317">
        <v>9618086996</v>
      </c>
      <c r="B16979" s="330" t="s">
        <v>61331</v>
      </c>
      <c r="C16979" s="330" t="s">
        <v>34762</v>
      </c>
      <c r="D16979" s="330" t="s">
        <v>34763</v>
      </c>
      <c r="E16979" s="330" t="s">
        <v>4634</v>
      </c>
      <c r="F16979" s="331">
        <v>0.21</v>
      </c>
      <c r="G16979" s="332">
        <v>6426</v>
      </c>
      <c r="H16979" s="333">
        <v>7776</v>
      </c>
    </row>
    <row r="16980" spans="1:8">
      <c r="A16980" s="317">
        <v>9618086999</v>
      </c>
      <c r="B16980" s="330" t="s">
        <v>61332</v>
      </c>
      <c r="C16980" s="330" t="s">
        <v>34764</v>
      </c>
      <c r="D16980" s="330" t="s">
        <v>34765</v>
      </c>
      <c r="E16980" s="330" t="s">
        <v>4634</v>
      </c>
      <c r="F16980" s="331">
        <v>0.21</v>
      </c>
      <c r="G16980" s="332">
        <v>8367</v>
      </c>
      <c r="H16980" s="333">
        <v>10125</v>
      </c>
    </row>
    <row r="16981" spans="1:8">
      <c r="A16981" s="317">
        <v>9618087096</v>
      </c>
      <c r="B16981" s="330" t="s">
        <v>61333</v>
      </c>
      <c r="C16981" s="330" t="s">
        <v>34766</v>
      </c>
      <c r="D16981" s="330" t="s">
        <v>34767</v>
      </c>
      <c r="E16981" s="330" t="s">
        <v>4634</v>
      </c>
      <c r="F16981" s="331">
        <v>0.21</v>
      </c>
      <c r="G16981" s="332">
        <v>236</v>
      </c>
      <c r="H16981" s="333">
        <v>286</v>
      </c>
    </row>
    <row r="16982" spans="1:8">
      <c r="A16982" s="317">
        <v>9618087099</v>
      </c>
      <c r="B16982" s="330" t="s">
        <v>61334</v>
      </c>
      <c r="C16982" s="330" t="s">
        <v>34768</v>
      </c>
      <c r="D16982" s="330" t="s">
        <v>12616</v>
      </c>
      <c r="E16982" s="330" t="s">
        <v>4819</v>
      </c>
      <c r="F16982" s="331">
        <v>0.21</v>
      </c>
      <c r="G16982" s="332">
        <v>1331</v>
      </c>
      <c r="H16982" s="333">
        <v>1611</v>
      </c>
    </row>
    <row r="16983" spans="1:8">
      <c r="A16983" s="317">
        <v>9618087100</v>
      </c>
      <c r="B16983" s="330" t="s">
        <v>61335</v>
      </c>
      <c r="C16983" s="330" t="s">
        <v>34769</v>
      </c>
      <c r="D16983" s="330" t="s">
        <v>34770</v>
      </c>
      <c r="E16983" s="330" t="s">
        <v>4819</v>
      </c>
      <c r="F16983" s="331">
        <v>0.21</v>
      </c>
      <c r="G16983" s="332">
        <v>867</v>
      </c>
      <c r="H16983" s="333">
        <v>1050</v>
      </c>
    </row>
    <row r="16984" spans="1:8">
      <c r="A16984" s="317">
        <v>9618087101</v>
      </c>
      <c r="B16984" s="330" t="s">
        <v>61336</v>
      </c>
      <c r="C16984" s="330" t="s">
        <v>34771</v>
      </c>
      <c r="D16984" s="330" t="s">
        <v>8777</v>
      </c>
      <c r="E16984" s="330" t="s">
        <v>37248</v>
      </c>
      <c r="F16984" s="331">
        <v>0.21</v>
      </c>
      <c r="G16984" s="332">
        <v>968</v>
      </c>
      <c r="H16984" s="333">
        <v>1172</v>
      </c>
    </row>
    <row r="16985" spans="1:8">
      <c r="A16985" s="317">
        <v>9618087122</v>
      </c>
      <c r="B16985" s="330" t="s">
        <v>61337</v>
      </c>
      <c r="C16985" s="330" t="s">
        <v>34772</v>
      </c>
      <c r="D16985" s="330" t="s">
        <v>34773</v>
      </c>
      <c r="E16985" s="330" t="s">
        <v>4634</v>
      </c>
      <c r="F16985" s="331">
        <v>0.21</v>
      </c>
      <c r="G16985" s="332">
        <v>1882</v>
      </c>
      <c r="H16985" s="333">
        <v>2278</v>
      </c>
    </row>
    <row r="16986" spans="1:8">
      <c r="A16986" s="317">
        <v>9618087123</v>
      </c>
      <c r="B16986" s="330" t="s">
        <v>61338</v>
      </c>
      <c r="C16986" s="330" t="s">
        <v>34774</v>
      </c>
      <c r="D16986" s="330" t="s">
        <v>34775</v>
      </c>
      <c r="E16986" s="330" t="s">
        <v>4634</v>
      </c>
      <c r="F16986" s="331">
        <v>0.21</v>
      </c>
      <c r="G16986" s="332">
        <v>1150</v>
      </c>
      <c r="H16986" s="333">
        <v>1392</v>
      </c>
    </row>
    <row r="16987" spans="1:8">
      <c r="A16987" s="317">
        <v>9618087127</v>
      </c>
      <c r="B16987" s="330" t="s">
        <v>61339</v>
      </c>
      <c r="C16987" s="330" t="s">
        <v>34776</v>
      </c>
      <c r="D16987" s="330" t="s">
        <v>34777</v>
      </c>
      <c r="E16987" s="330" t="s">
        <v>4634</v>
      </c>
      <c r="F16987" s="331">
        <v>0.21</v>
      </c>
      <c r="G16987" s="332">
        <v>5288</v>
      </c>
      <c r="H16987" s="333">
        <v>6399</v>
      </c>
    </row>
    <row r="16988" spans="1:8">
      <c r="A16988" s="317">
        <v>9618087131</v>
      </c>
      <c r="B16988" s="330" t="s">
        <v>61340</v>
      </c>
      <c r="C16988" s="330" t="s">
        <v>34778</v>
      </c>
      <c r="D16988" s="330" t="s">
        <v>34779</v>
      </c>
      <c r="E16988" s="330" t="s">
        <v>4634</v>
      </c>
      <c r="F16988" s="331">
        <v>0.21</v>
      </c>
      <c r="G16988" s="332">
        <v>39</v>
      </c>
      <c r="H16988" s="333">
        <v>48</v>
      </c>
    </row>
    <row r="16989" spans="1:8">
      <c r="A16989" s="317">
        <v>9618087135</v>
      </c>
      <c r="B16989" s="330" t="s">
        <v>61341</v>
      </c>
      <c r="C16989" s="330" t="s">
        <v>34780</v>
      </c>
      <c r="D16989" s="330" t="s">
        <v>34781</v>
      </c>
      <c r="E16989" s="330" t="s">
        <v>4634</v>
      </c>
      <c r="F16989" s="331">
        <v>0.21</v>
      </c>
      <c r="G16989" s="332">
        <v>2261</v>
      </c>
      <c r="H16989" s="333">
        <v>2736</v>
      </c>
    </row>
    <row r="16990" spans="1:8">
      <c r="A16990" s="317">
        <v>9618087141</v>
      </c>
      <c r="B16990" s="330" t="s">
        <v>61342</v>
      </c>
      <c r="C16990" s="330" t="s">
        <v>34782</v>
      </c>
      <c r="D16990" s="330" t="s">
        <v>34783</v>
      </c>
      <c r="E16990" s="330" t="s">
        <v>4634</v>
      </c>
      <c r="F16990" s="331">
        <v>0.21</v>
      </c>
      <c r="G16990" s="332">
        <v>32769</v>
      </c>
      <c r="H16990" s="333">
        <v>39651</v>
      </c>
    </row>
    <row r="16991" spans="1:8">
      <c r="A16991" s="317">
        <v>9618087160</v>
      </c>
      <c r="B16991" s="330" t="s">
        <v>61343</v>
      </c>
      <c r="C16991" s="330" t="s">
        <v>34784</v>
      </c>
      <c r="D16991" s="330" t="s">
        <v>34785</v>
      </c>
      <c r="E16991" s="330" t="s">
        <v>4634</v>
      </c>
      <c r="F16991" s="331">
        <v>0.21</v>
      </c>
      <c r="G16991" s="332">
        <v>17707</v>
      </c>
      <c r="H16991" s="333">
        <v>21426</v>
      </c>
    </row>
    <row r="16992" spans="1:8">
      <c r="A16992" s="317">
        <v>9618087166</v>
      </c>
      <c r="B16992" s="330" t="s">
        <v>61344</v>
      </c>
      <c r="C16992" s="330" t="s">
        <v>34786</v>
      </c>
      <c r="D16992" s="330" t="s">
        <v>34787</v>
      </c>
      <c r="E16992" s="330" t="s">
        <v>4634</v>
      </c>
      <c r="F16992" s="331">
        <v>0.21</v>
      </c>
      <c r="G16992" s="332">
        <v>648</v>
      </c>
      <c r="H16992" s="333">
        <v>785</v>
      </c>
    </row>
    <row r="16993" spans="1:8">
      <c r="A16993" s="317">
        <v>9618087172</v>
      </c>
      <c r="B16993" s="330" t="s">
        <v>61345</v>
      </c>
      <c r="C16993" s="330" t="s">
        <v>34788</v>
      </c>
      <c r="D16993" s="330" t="s">
        <v>34789</v>
      </c>
      <c r="E16993" s="330" t="s">
        <v>4634</v>
      </c>
      <c r="F16993" s="331">
        <v>0.21</v>
      </c>
      <c r="G16993" s="332">
        <v>245</v>
      </c>
      <c r="H16993" s="333">
        <v>297</v>
      </c>
    </row>
    <row r="16994" spans="1:8">
      <c r="A16994" s="317">
        <v>9618087174</v>
      </c>
      <c r="B16994" s="330" t="s">
        <v>61346</v>
      </c>
      <c r="C16994" s="330" t="s">
        <v>34790</v>
      </c>
      <c r="D16994" s="330" t="s">
        <v>23346</v>
      </c>
      <c r="E16994" s="330" t="s">
        <v>4634</v>
      </c>
      <c r="F16994" s="331">
        <v>0.21</v>
      </c>
      <c r="G16994" s="332">
        <v>1170</v>
      </c>
      <c r="H16994" s="333">
        <v>1416</v>
      </c>
    </row>
    <row r="16995" spans="1:8">
      <c r="A16995" s="317">
        <v>9618087177</v>
      </c>
      <c r="B16995" s="330" t="s">
        <v>61347</v>
      </c>
      <c r="C16995" s="330" t="s">
        <v>34791</v>
      </c>
      <c r="D16995" s="330" t="s">
        <v>34792</v>
      </c>
      <c r="E16995" s="330" t="s">
        <v>4634</v>
      </c>
      <c r="F16995" s="331">
        <v>0.21</v>
      </c>
      <c r="G16995" s="332">
        <v>4041</v>
      </c>
      <c r="H16995" s="333">
        <v>4890</v>
      </c>
    </row>
    <row r="16996" spans="1:8">
      <c r="A16996" s="317">
        <v>9618087183</v>
      </c>
      <c r="B16996" s="330" t="s">
        <v>61348</v>
      </c>
      <c r="C16996" s="330" t="s">
        <v>34793</v>
      </c>
      <c r="D16996" s="330" t="s">
        <v>34794</v>
      </c>
      <c r="E16996" s="330" t="s">
        <v>4634</v>
      </c>
      <c r="F16996" s="331">
        <v>0.21</v>
      </c>
      <c r="G16996" s="332">
        <v>1006</v>
      </c>
      <c r="H16996" s="333">
        <v>1218</v>
      </c>
    </row>
    <row r="16997" spans="1:8">
      <c r="A16997" s="317">
        <v>9618087187</v>
      </c>
      <c r="B16997" s="330" t="s">
        <v>61349</v>
      </c>
      <c r="C16997" s="330" t="s">
        <v>34795</v>
      </c>
      <c r="D16997" s="330" t="s">
        <v>34796</v>
      </c>
      <c r="E16997" s="330" t="s">
        <v>4634</v>
      </c>
      <c r="F16997" s="331">
        <v>0.21</v>
      </c>
      <c r="G16997" s="332">
        <v>1871</v>
      </c>
      <c r="H16997" s="333">
        <v>2264</v>
      </c>
    </row>
    <row r="16998" spans="1:8">
      <c r="A16998" s="317">
        <v>9618087192</v>
      </c>
      <c r="B16998" s="330" t="s">
        <v>61350</v>
      </c>
      <c r="C16998" s="330" t="s">
        <v>34797</v>
      </c>
      <c r="D16998" s="330" t="s">
        <v>34798</v>
      </c>
      <c r="E16998" s="330" t="s">
        <v>4634</v>
      </c>
      <c r="F16998" s="331">
        <v>0.21</v>
      </c>
      <c r="G16998" s="332">
        <v>4073</v>
      </c>
      <c r="H16998" s="333">
        <v>4929</v>
      </c>
    </row>
    <row r="16999" spans="1:8">
      <c r="A16999" s="317">
        <v>9618087601</v>
      </c>
      <c r="B16999" s="330" t="s">
        <v>61351</v>
      </c>
      <c r="C16999" s="330" t="s">
        <v>34799</v>
      </c>
      <c r="D16999" s="330" t="s">
        <v>34800</v>
      </c>
      <c r="E16999" s="330" t="s">
        <v>4634</v>
      </c>
      <c r="F16999" s="331">
        <v>0.21</v>
      </c>
      <c r="G16999" s="332">
        <v>8898</v>
      </c>
      <c r="H16999" s="333">
        <v>10767</v>
      </c>
    </row>
    <row r="17000" spans="1:8">
      <c r="A17000" s="317">
        <v>9618087622</v>
      </c>
      <c r="B17000" s="330" t="s">
        <v>61352</v>
      </c>
      <c r="C17000" s="330" t="s">
        <v>34801</v>
      </c>
      <c r="D17000" s="330" t="s">
        <v>34802</v>
      </c>
      <c r="E17000" s="330" t="s">
        <v>4634</v>
      </c>
      <c r="F17000" s="331">
        <v>0.21</v>
      </c>
      <c r="G17000" s="332">
        <v>3171</v>
      </c>
      <c r="H17000" s="333">
        <v>3837</v>
      </c>
    </row>
    <row r="17001" spans="1:8">
      <c r="A17001" s="317">
        <v>9618088946</v>
      </c>
      <c r="B17001" s="330" t="s">
        <v>61353</v>
      </c>
      <c r="C17001" s="330" t="s">
        <v>34803</v>
      </c>
      <c r="D17001" s="330" t="s">
        <v>34804</v>
      </c>
      <c r="E17001" s="330" t="s">
        <v>4634</v>
      </c>
      <c r="F17001" s="331">
        <v>0.21</v>
      </c>
      <c r="G17001" s="332">
        <v>648</v>
      </c>
      <c r="H17001" s="333">
        <v>785</v>
      </c>
    </row>
    <row r="17002" spans="1:8">
      <c r="A17002" s="317">
        <v>9618088953</v>
      </c>
      <c r="B17002" s="330" t="s">
        <v>61354</v>
      </c>
      <c r="C17002" s="330" t="s">
        <v>34805</v>
      </c>
      <c r="D17002" s="330" t="s">
        <v>34806</v>
      </c>
      <c r="E17002" s="330" t="s">
        <v>4634</v>
      </c>
      <c r="F17002" s="331">
        <v>0.21</v>
      </c>
      <c r="G17002" s="332">
        <v>5123</v>
      </c>
      <c r="H17002" s="333">
        <v>6199</v>
      </c>
    </row>
    <row r="17003" spans="1:8">
      <c r="A17003" s="317">
        <v>9618088954</v>
      </c>
      <c r="B17003" s="330" t="s">
        <v>61355</v>
      </c>
      <c r="C17003" s="330" t="s">
        <v>34807</v>
      </c>
      <c r="D17003" s="330" t="s">
        <v>34808</v>
      </c>
      <c r="E17003" s="330" t="s">
        <v>4634</v>
      </c>
      <c r="F17003" s="331">
        <v>0.21</v>
      </c>
      <c r="G17003" s="332">
        <v>7250</v>
      </c>
      <c r="H17003" s="333">
        <v>8773</v>
      </c>
    </row>
    <row r="17004" spans="1:8">
      <c r="A17004" s="317">
        <v>9618088955</v>
      </c>
      <c r="B17004" s="330" t="s">
        <v>61356</v>
      </c>
      <c r="C17004" s="330" t="s">
        <v>34809</v>
      </c>
      <c r="D17004" s="330" t="s">
        <v>34810</v>
      </c>
      <c r="E17004" s="330" t="s">
        <v>4634</v>
      </c>
      <c r="F17004" s="331">
        <v>0.21</v>
      </c>
      <c r="G17004" s="332">
        <v>3528</v>
      </c>
      <c r="H17004" s="333">
        <v>4269</v>
      </c>
    </row>
    <row r="17005" spans="1:8">
      <c r="A17005" s="317">
        <v>9618089010</v>
      </c>
      <c r="B17005" s="330" t="s">
        <v>61357</v>
      </c>
      <c r="C17005" s="330" t="s">
        <v>34811</v>
      </c>
      <c r="D17005" s="330" t="s">
        <v>34812</v>
      </c>
      <c r="E17005" s="330" t="s">
        <v>4634</v>
      </c>
      <c r="F17005" s="331">
        <v>0.21</v>
      </c>
      <c r="G17005" s="332">
        <v>2491</v>
      </c>
      <c r="H17005" s="333">
        <v>3015</v>
      </c>
    </row>
    <row r="17006" spans="1:8">
      <c r="A17006" s="317">
        <v>9618089017</v>
      </c>
      <c r="B17006" s="330" t="s">
        <v>61358</v>
      </c>
      <c r="C17006" s="330" t="s">
        <v>34813</v>
      </c>
      <c r="D17006" s="330" t="s">
        <v>34814</v>
      </c>
      <c r="E17006" s="330" t="s">
        <v>4634</v>
      </c>
      <c r="F17006" s="331">
        <v>0.21</v>
      </c>
      <c r="G17006" s="332">
        <v>160</v>
      </c>
      <c r="H17006" s="333">
        <v>194</v>
      </c>
    </row>
    <row r="17007" spans="1:8">
      <c r="A17007" s="317">
        <v>9618089058</v>
      </c>
      <c r="B17007" s="330" t="s">
        <v>61359</v>
      </c>
      <c r="C17007" s="330" t="s">
        <v>34815</v>
      </c>
      <c r="D17007" s="330" t="s">
        <v>34816</v>
      </c>
      <c r="E17007" s="330" t="s">
        <v>4634</v>
      </c>
      <c r="F17007" s="331">
        <v>0.21</v>
      </c>
      <c r="G17007" s="332">
        <v>11278</v>
      </c>
      <c r="H17007" s="333">
        <v>13647</v>
      </c>
    </row>
    <row r="17008" spans="1:8">
      <c r="A17008" s="317">
        <v>9618089083</v>
      </c>
      <c r="B17008" s="330" t="s">
        <v>61360</v>
      </c>
      <c r="C17008" s="330" t="s">
        <v>34817</v>
      </c>
      <c r="D17008" s="330" t="s">
        <v>34818</v>
      </c>
      <c r="E17008" s="330" t="s">
        <v>4634</v>
      </c>
      <c r="F17008" s="331">
        <v>0.21</v>
      </c>
      <c r="G17008" s="332">
        <v>5909</v>
      </c>
      <c r="H17008" s="333">
        <v>7150</v>
      </c>
    </row>
    <row r="17009" spans="1:8">
      <c r="A17009" s="317">
        <v>9618089085</v>
      </c>
      <c r="B17009" s="330" t="s">
        <v>61361</v>
      </c>
      <c r="C17009" s="330" t="s">
        <v>34819</v>
      </c>
      <c r="D17009" s="330" t="s">
        <v>34820</v>
      </c>
      <c r="E17009" s="330" t="s">
        <v>4634</v>
      </c>
      <c r="F17009" s="331">
        <v>0.21</v>
      </c>
      <c r="G17009" s="332">
        <v>903</v>
      </c>
      <c r="H17009" s="333">
        <v>1093</v>
      </c>
    </row>
    <row r="17010" spans="1:8">
      <c r="A17010" s="317">
        <v>9618089087</v>
      </c>
      <c r="B17010" s="330" t="s">
        <v>61362</v>
      </c>
      <c r="C17010" s="330" t="s">
        <v>34821</v>
      </c>
      <c r="D17010" s="330" t="s">
        <v>34822</v>
      </c>
      <c r="E17010" s="330" t="s">
        <v>4634</v>
      </c>
      <c r="F17010" s="331">
        <v>0.21</v>
      </c>
      <c r="G17010" s="332">
        <v>8405</v>
      </c>
      <c r="H17010" s="333">
        <v>10171</v>
      </c>
    </row>
    <row r="17011" spans="1:8">
      <c r="A17011" s="317">
        <v>9618089090</v>
      </c>
      <c r="B17011" s="330" t="s">
        <v>61363</v>
      </c>
      <c r="C17011" s="330" t="s">
        <v>34823</v>
      </c>
      <c r="D17011" s="330" t="s">
        <v>34824</v>
      </c>
      <c r="E17011" s="330" t="s">
        <v>4634</v>
      </c>
      <c r="F17011" s="331">
        <v>0.21</v>
      </c>
      <c r="G17011" s="332">
        <v>14916</v>
      </c>
      <c r="H17011" s="333">
        <v>18049</v>
      </c>
    </row>
    <row r="17012" spans="1:8">
      <c r="A17012" s="317">
        <v>9618089095</v>
      </c>
      <c r="B17012" s="330" t="s">
        <v>61364</v>
      </c>
      <c r="C17012" s="330" t="s">
        <v>34825</v>
      </c>
      <c r="D17012" s="330" t="s">
        <v>34826</v>
      </c>
      <c r="E17012" s="330" t="s">
        <v>4634</v>
      </c>
      <c r="F17012" s="331">
        <v>0.21</v>
      </c>
      <c r="G17012" s="332">
        <v>11939</v>
      </c>
      <c r="H17012" s="333">
        <v>14447</v>
      </c>
    </row>
    <row r="17013" spans="1:8">
      <c r="A17013" s="317">
        <v>9618089096</v>
      </c>
      <c r="B17013" s="330" t="s">
        <v>61365</v>
      </c>
      <c r="C17013" s="330" t="s">
        <v>34827</v>
      </c>
      <c r="D17013" s="330" t="s">
        <v>34828</v>
      </c>
      <c r="E17013" s="330" t="s">
        <v>4634</v>
      </c>
      <c r="F17013" s="331">
        <v>0.21</v>
      </c>
      <c r="G17013" s="332">
        <v>23576</v>
      </c>
      <c r="H17013" s="333">
        <v>28527</v>
      </c>
    </row>
    <row r="17014" spans="1:8">
      <c r="A17014" s="317">
        <v>9618089195</v>
      </c>
      <c r="B17014" s="330" t="s">
        <v>61366</v>
      </c>
      <c r="C17014" s="330" t="s">
        <v>34829</v>
      </c>
      <c r="D17014" s="330" t="s">
        <v>34830</v>
      </c>
      <c r="E17014" s="330" t="s">
        <v>4634</v>
      </c>
      <c r="F17014" s="331">
        <v>0.21</v>
      </c>
      <c r="G17014" s="332">
        <v>495</v>
      </c>
      <c r="H17014" s="333">
        <v>599</v>
      </c>
    </row>
    <row r="17015" spans="1:8">
      <c r="A17015" s="317">
        <v>9618089207</v>
      </c>
      <c r="B17015" s="330" t="s">
        <v>61367</v>
      </c>
      <c r="C17015" s="330" t="s">
        <v>34831</v>
      </c>
      <c r="D17015" s="330" t="s">
        <v>34832</v>
      </c>
      <c r="E17015" s="330" t="s">
        <v>4819</v>
      </c>
      <c r="F17015" s="331">
        <v>0.21</v>
      </c>
      <c r="G17015" s="332">
        <v>1505</v>
      </c>
      <c r="H17015" s="333">
        <v>1822</v>
      </c>
    </row>
    <row r="17016" spans="1:8">
      <c r="A17016" s="317">
        <v>9618089269</v>
      </c>
      <c r="B17016" s="330" t="s">
        <v>61368</v>
      </c>
      <c r="C17016" s="330" t="s">
        <v>34833</v>
      </c>
      <c r="D17016" s="330" t="s">
        <v>34834</v>
      </c>
      <c r="E17016" s="330" t="s">
        <v>4634</v>
      </c>
      <c r="F17016" s="331">
        <v>0.21</v>
      </c>
      <c r="G17016" s="332">
        <v>285</v>
      </c>
      <c r="H17016" s="333">
        <v>345</v>
      </c>
    </row>
    <row r="17017" spans="1:8">
      <c r="A17017" s="317">
        <v>9618089281</v>
      </c>
      <c r="B17017" s="330" t="s">
        <v>61369</v>
      </c>
      <c r="C17017" s="330" t="s">
        <v>34835</v>
      </c>
      <c r="D17017" s="330" t="s">
        <v>34836</v>
      </c>
      <c r="E17017" s="330" t="s">
        <v>4634</v>
      </c>
      <c r="F17017" s="331">
        <v>0.21</v>
      </c>
      <c r="G17017" s="332">
        <v>1258</v>
      </c>
      <c r="H17017" s="333">
        <v>1523</v>
      </c>
    </row>
    <row r="17018" spans="1:8">
      <c r="A17018" s="317">
        <v>9618089284</v>
      </c>
      <c r="B17018" s="330" t="s">
        <v>61370</v>
      </c>
      <c r="C17018" s="330" t="s">
        <v>34837</v>
      </c>
      <c r="D17018" s="330" t="s">
        <v>34838</v>
      </c>
      <c r="E17018" s="330" t="s">
        <v>4634</v>
      </c>
      <c r="F17018" s="331">
        <v>0.21</v>
      </c>
      <c r="G17018" s="332">
        <v>791</v>
      </c>
      <c r="H17018" s="333">
        <v>958</v>
      </c>
    </row>
    <row r="17019" spans="1:8">
      <c r="A17019" s="317">
        <v>9618089289</v>
      </c>
      <c r="B17019" s="330" t="s">
        <v>61371</v>
      </c>
      <c r="C17019" s="330" t="s">
        <v>34839</v>
      </c>
      <c r="D17019" s="330" t="s">
        <v>34840</v>
      </c>
      <c r="E17019" s="330" t="s">
        <v>4634</v>
      </c>
      <c r="F17019" s="331">
        <v>0.21</v>
      </c>
      <c r="G17019" s="332">
        <v>1160</v>
      </c>
      <c r="H17019" s="333">
        <v>1404</v>
      </c>
    </row>
    <row r="17020" spans="1:8">
      <c r="A17020" s="317">
        <v>9618089302</v>
      </c>
      <c r="B17020" s="330" t="s">
        <v>61372</v>
      </c>
      <c r="C17020" s="330" t="s">
        <v>34841</v>
      </c>
      <c r="D17020" s="330" t="s">
        <v>34842</v>
      </c>
      <c r="E17020" s="330" t="s">
        <v>4634</v>
      </c>
      <c r="F17020" s="331">
        <v>0.21</v>
      </c>
      <c r="G17020" s="332">
        <v>3702</v>
      </c>
      <c r="H17020" s="333">
        <v>4480</v>
      </c>
    </row>
    <row r="17021" spans="1:8">
      <c r="A17021" s="317">
        <v>9618089307</v>
      </c>
      <c r="B17021" s="330" t="s">
        <v>61373</v>
      </c>
      <c r="C17021" s="330" t="s">
        <v>34843</v>
      </c>
      <c r="D17021" s="330" t="s">
        <v>34844</v>
      </c>
      <c r="E17021" s="330" t="s">
        <v>4634</v>
      </c>
      <c r="F17021" s="331">
        <v>0.21</v>
      </c>
      <c r="G17021" s="332">
        <v>28642</v>
      </c>
      <c r="H17021" s="333">
        <v>34657</v>
      </c>
    </row>
    <row r="17022" spans="1:8">
      <c r="A17022" s="317">
        <v>9618089308</v>
      </c>
      <c r="B17022" s="330" t="s">
        <v>61374</v>
      </c>
      <c r="C17022" s="330" t="s">
        <v>34845</v>
      </c>
      <c r="D17022" s="330" t="s">
        <v>34846</v>
      </c>
      <c r="E17022" s="330" t="s">
        <v>4634</v>
      </c>
      <c r="F17022" s="331">
        <v>0.21</v>
      </c>
      <c r="G17022" s="332">
        <v>220</v>
      </c>
      <c r="H17022" s="333">
        <v>267</v>
      </c>
    </row>
    <row r="17023" spans="1:8">
      <c r="A17023" s="317">
        <v>9618089316</v>
      </c>
      <c r="B17023" s="330" t="s">
        <v>61375</v>
      </c>
      <c r="C17023" s="330" t="s">
        <v>34847</v>
      </c>
      <c r="D17023" s="330" t="s">
        <v>34848</v>
      </c>
      <c r="E17023" s="330" t="s">
        <v>4819</v>
      </c>
      <c r="F17023" s="331">
        <v>0.21</v>
      </c>
      <c r="G17023" s="332">
        <v>14404</v>
      </c>
      <c r="H17023" s="333">
        <v>17429</v>
      </c>
    </row>
    <row r="17024" spans="1:8">
      <c r="A17024" s="317">
        <v>9618089362</v>
      </c>
      <c r="B17024" s="330" t="s">
        <v>61376</v>
      </c>
      <c r="C17024" s="330" t="s">
        <v>34849</v>
      </c>
      <c r="D17024" s="330" t="s">
        <v>7916</v>
      </c>
      <c r="E17024" s="330" t="s">
        <v>4634</v>
      </c>
      <c r="F17024" s="331">
        <v>0.21</v>
      </c>
      <c r="G17024" s="332">
        <v>3731</v>
      </c>
      <c r="H17024" s="333">
        <v>4515</v>
      </c>
    </row>
    <row r="17025" spans="1:8">
      <c r="A17025" s="317">
        <v>9618089364</v>
      </c>
      <c r="B17025" s="330" t="s">
        <v>61377</v>
      </c>
      <c r="C17025" s="330" t="s">
        <v>34850</v>
      </c>
      <c r="D17025" s="330" t="s">
        <v>32514</v>
      </c>
      <c r="E17025" s="330" t="s">
        <v>4634</v>
      </c>
      <c r="F17025" s="331">
        <v>0.21</v>
      </c>
      <c r="G17025" s="332">
        <v>49</v>
      </c>
      <c r="H17025" s="333">
        <v>60</v>
      </c>
    </row>
    <row r="17026" spans="1:8">
      <c r="A17026" s="317">
        <v>9618089367</v>
      </c>
      <c r="B17026" s="330" t="s">
        <v>61378</v>
      </c>
      <c r="C17026" s="330" t="s">
        <v>34851</v>
      </c>
      <c r="D17026" s="330" t="s">
        <v>34852</v>
      </c>
      <c r="E17026" s="330" t="s">
        <v>4634</v>
      </c>
      <c r="F17026" s="331">
        <v>0.21</v>
      </c>
      <c r="G17026" s="332">
        <v>6455</v>
      </c>
      <c r="H17026" s="333">
        <v>7811</v>
      </c>
    </row>
    <row r="17027" spans="1:8">
      <c r="A17027" s="317">
        <v>9618089405</v>
      </c>
      <c r="B17027" s="330" t="s">
        <v>61379</v>
      </c>
      <c r="C17027" s="330" t="s">
        <v>34853</v>
      </c>
      <c r="D17027" s="330" t="s">
        <v>34854</v>
      </c>
      <c r="E17027" s="330" t="s">
        <v>4634</v>
      </c>
      <c r="F17027" s="331">
        <v>0.21</v>
      </c>
      <c r="G17027" s="332">
        <v>8918</v>
      </c>
      <c r="H17027" s="333">
        <v>10791</v>
      </c>
    </row>
    <row r="17028" spans="1:8">
      <c r="A17028" s="317">
        <v>9618089448</v>
      </c>
      <c r="B17028" s="330" t="s">
        <v>61380</v>
      </c>
      <c r="C17028" s="330" t="s">
        <v>34855</v>
      </c>
      <c r="D17028" s="330" t="s">
        <v>33185</v>
      </c>
      <c r="E17028" s="330" t="s">
        <v>4634</v>
      </c>
      <c r="F17028" s="331">
        <v>0.21</v>
      </c>
      <c r="G17028" s="332">
        <v>39</v>
      </c>
      <c r="H17028" s="333">
        <v>48</v>
      </c>
    </row>
    <row r="17029" spans="1:8">
      <c r="A17029" s="317">
        <v>9618089453</v>
      </c>
      <c r="B17029" s="330" t="s">
        <v>61381</v>
      </c>
      <c r="C17029" s="330" t="s">
        <v>34856</v>
      </c>
      <c r="D17029" s="330" t="s">
        <v>34857</v>
      </c>
      <c r="E17029" s="330" t="s">
        <v>4634</v>
      </c>
      <c r="F17029" s="331">
        <v>0.21</v>
      </c>
      <c r="G17029" s="332">
        <v>13292</v>
      </c>
      <c r="H17029" s="333">
        <v>16084</v>
      </c>
    </row>
    <row r="17030" spans="1:8">
      <c r="A17030" s="317">
        <v>9618089467</v>
      </c>
      <c r="B17030" s="330" t="s">
        <v>61382</v>
      </c>
      <c r="C17030" s="330" t="s">
        <v>34858</v>
      </c>
      <c r="D17030" s="330" t="s">
        <v>34859</v>
      </c>
      <c r="E17030" s="330" t="s">
        <v>4634</v>
      </c>
      <c r="F17030" s="331">
        <v>0.21</v>
      </c>
      <c r="G17030" s="332">
        <v>2707</v>
      </c>
      <c r="H17030" s="333">
        <v>3276</v>
      </c>
    </row>
    <row r="17031" spans="1:8">
      <c r="A17031" s="317">
        <v>9618089469</v>
      </c>
      <c r="B17031" s="330" t="s">
        <v>61383</v>
      </c>
      <c r="C17031" s="330" t="s">
        <v>34860</v>
      </c>
      <c r="D17031" s="330" t="s">
        <v>34861</v>
      </c>
      <c r="E17031" s="330" t="s">
        <v>4634</v>
      </c>
      <c r="F17031" s="331">
        <v>0.21</v>
      </c>
      <c r="G17031" s="332">
        <v>5175</v>
      </c>
      <c r="H17031" s="333">
        <v>6262</v>
      </c>
    </row>
    <row r="17032" spans="1:8">
      <c r="A17032" s="317">
        <v>9618089470</v>
      </c>
      <c r="B17032" s="330" t="s">
        <v>61384</v>
      </c>
      <c r="C17032" s="330" t="s">
        <v>34862</v>
      </c>
      <c r="D17032" s="330" t="s">
        <v>6109</v>
      </c>
      <c r="E17032" s="330" t="s">
        <v>4634</v>
      </c>
      <c r="F17032" s="331">
        <v>0.21</v>
      </c>
      <c r="G17032" s="332">
        <v>1170</v>
      </c>
      <c r="H17032" s="333">
        <v>1416</v>
      </c>
    </row>
    <row r="17033" spans="1:8">
      <c r="A17033" s="317">
        <v>9618089480</v>
      </c>
      <c r="B17033" s="330" t="s">
        <v>61385</v>
      </c>
      <c r="C17033" s="330" t="s">
        <v>34863</v>
      </c>
      <c r="D17033" s="330" t="s">
        <v>34864</v>
      </c>
      <c r="E17033" s="330" t="s">
        <v>37248</v>
      </c>
      <c r="F17033" s="331">
        <v>0.21</v>
      </c>
      <c r="G17033" s="332">
        <v>14720</v>
      </c>
      <c r="H17033" s="333">
        <v>17812</v>
      </c>
    </row>
    <row r="17034" spans="1:8">
      <c r="A17034" s="317">
        <v>9618089498</v>
      </c>
      <c r="B17034" s="330" t="s">
        <v>61386</v>
      </c>
      <c r="C17034" s="330" t="s">
        <v>34865</v>
      </c>
      <c r="D17034" s="330" t="s">
        <v>34866</v>
      </c>
      <c r="E17034" s="330" t="s">
        <v>4634</v>
      </c>
      <c r="F17034" s="331">
        <v>0.21</v>
      </c>
      <c r="G17034" s="332">
        <v>1411</v>
      </c>
      <c r="H17034" s="333">
        <v>1708</v>
      </c>
    </row>
    <row r="17035" spans="1:8">
      <c r="A17035" s="317">
        <v>9618089504</v>
      </c>
      <c r="B17035" s="330" t="s">
        <v>61387</v>
      </c>
      <c r="C17035" s="330" t="s">
        <v>34867</v>
      </c>
      <c r="D17035" s="330" t="s">
        <v>34868</v>
      </c>
      <c r="E17035" s="330" t="s">
        <v>4634</v>
      </c>
      <c r="F17035" s="331">
        <v>0.21</v>
      </c>
      <c r="G17035" s="332">
        <v>33095</v>
      </c>
      <c r="H17035" s="333">
        <v>40045</v>
      </c>
    </row>
    <row r="17036" spans="1:8">
      <c r="A17036" s="317">
        <v>9618089508</v>
      </c>
      <c r="B17036" s="330" t="s">
        <v>61388</v>
      </c>
      <c r="C17036" s="330" t="s">
        <v>34869</v>
      </c>
      <c r="D17036" s="330" t="s">
        <v>34870</v>
      </c>
      <c r="E17036" s="330" t="s">
        <v>4634</v>
      </c>
      <c r="F17036" s="331">
        <v>0.21</v>
      </c>
      <c r="G17036" s="332">
        <v>8336</v>
      </c>
      <c r="H17036" s="333">
        <v>10087</v>
      </c>
    </row>
    <row r="17037" spans="1:8">
      <c r="A17037" s="317">
        <v>9618089509</v>
      </c>
      <c r="B17037" s="330" t="s">
        <v>61389</v>
      </c>
      <c r="C17037" s="330" t="s">
        <v>34871</v>
      </c>
      <c r="D17037" s="330" t="s">
        <v>34872</v>
      </c>
      <c r="E17037" s="330" t="s">
        <v>4634</v>
      </c>
      <c r="F17037" s="331">
        <v>0.21</v>
      </c>
      <c r="G17037" s="332">
        <v>3395</v>
      </c>
      <c r="H17037" s="333">
        <v>4108</v>
      </c>
    </row>
    <row r="17038" spans="1:8">
      <c r="A17038" s="317">
        <v>9618089517</v>
      </c>
      <c r="B17038" s="330" t="s">
        <v>61390</v>
      </c>
      <c r="C17038" s="330" t="s">
        <v>34873</v>
      </c>
      <c r="D17038" s="330" t="s">
        <v>34874</v>
      </c>
      <c r="E17038" s="330" t="s">
        <v>4634</v>
      </c>
      <c r="F17038" s="331">
        <v>0.21</v>
      </c>
      <c r="G17038" s="332">
        <v>760</v>
      </c>
      <c r="H17038" s="333">
        <v>920</v>
      </c>
    </row>
    <row r="17039" spans="1:8">
      <c r="A17039" s="317">
        <v>9618089522</v>
      </c>
      <c r="B17039" s="330" t="s">
        <v>61391</v>
      </c>
      <c r="C17039" s="330" t="s">
        <v>34875</v>
      </c>
      <c r="D17039" s="330" t="s">
        <v>34876</v>
      </c>
      <c r="E17039" s="330" t="s">
        <v>4634</v>
      </c>
      <c r="F17039" s="331">
        <v>0.21</v>
      </c>
      <c r="G17039" s="332">
        <v>1411</v>
      </c>
      <c r="H17039" s="333">
        <v>1708</v>
      </c>
    </row>
    <row r="17040" spans="1:8">
      <c r="A17040" s="317">
        <v>9618089532</v>
      </c>
      <c r="B17040" s="330" t="s">
        <v>61392</v>
      </c>
      <c r="C17040" s="330" t="s">
        <v>34877</v>
      </c>
      <c r="D17040" s="330" t="s">
        <v>34878</v>
      </c>
      <c r="E17040" s="330" t="s">
        <v>4634</v>
      </c>
      <c r="F17040" s="331">
        <v>0.21</v>
      </c>
      <c r="G17040" s="332">
        <v>1641</v>
      </c>
      <c r="H17040" s="333">
        <v>1986</v>
      </c>
    </row>
    <row r="17041" spans="1:8">
      <c r="A17041" s="317">
        <v>9618089539</v>
      </c>
      <c r="B17041" s="330" t="s">
        <v>61393</v>
      </c>
      <c r="C17041" s="330" t="s">
        <v>34879</v>
      </c>
      <c r="D17041" s="330" t="s">
        <v>34880</v>
      </c>
      <c r="E17041" s="330" t="s">
        <v>4634</v>
      </c>
      <c r="F17041" s="331">
        <v>0.21</v>
      </c>
      <c r="G17041" s="332">
        <v>4833</v>
      </c>
      <c r="H17041" s="333">
        <v>5848</v>
      </c>
    </row>
    <row r="17042" spans="1:8">
      <c r="A17042" s="317">
        <v>9618089540</v>
      </c>
      <c r="B17042" s="330" t="s">
        <v>61394</v>
      </c>
      <c r="C17042" s="330" t="s">
        <v>34881</v>
      </c>
      <c r="D17042" s="330" t="s">
        <v>34882</v>
      </c>
      <c r="E17042" s="330" t="s">
        <v>4634</v>
      </c>
      <c r="F17042" s="331">
        <v>0.21</v>
      </c>
      <c r="G17042" s="332">
        <v>2775</v>
      </c>
      <c r="H17042" s="333">
        <v>3358</v>
      </c>
    </row>
    <row r="17043" spans="1:8">
      <c r="A17043" s="317">
        <v>9618089542</v>
      </c>
      <c r="B17043" s="330" t="s">
        <v>61395</v>
      </c>
      <c r="C17043" s="330" t="s">
        <v>34883</v>
      </c>
      <c r="D17043" s="330" t="s">
        <v>34884</v>
      </c>
      <c r="E17043" s="330" t="s">
        <v>4634</v>
      </c>
      <c r="F17043" s="331">
        <v>0.21</v>
      </c>
      <c r="G17043" s="332">
        <v>5344</v>
      </c>
      <c r="H17043" s="333">
        <v>6467</v>
      </c>
    </row>
    <row r="17044" spans="1:8">
      <c r="A17044" s="317">
        <v>9618089544</v>
      </c>
      <c r="B17044" s="330" t="s">
        <v>61396</v>
      </c>
      <c r="C17044" s="330" t="s">
        <v>34885</v>
      </c>
      <c r="D17044" s="330" t="s">
        <v>34886</v>
      </c>
      <c r="E17044" s="330" t="s">
        <v>4634</v>
      </c>
      <c r="F17044" s="331">
        <v>0.21</v>
      </c>
      <c r="G17044" s="332">
        <v>579</v>
      </c>
      <c r="H17044" s="333">
        <v>701</v>
      </c>
    </row>
    <row r="17045" spans="1:8">
      <c r="A17045" s="317">
        <v>9618089547</v>
      </c>
      <c r="B17045" s="330" t="s">
        <v>61397</v>
      </c>
      <c r="C17045" s="330" t="s">
        <v>34887</v>
      </c>
      <c r="D17045" s="330" t="s">
        <v>34888</v>
      </c>
      <c r="E17045" s="330" t="s">
        <v>4634</v>
      </c>
      <c r="F17045" s="331">
        <v>0.21</v>
      </c>
      <c r="G17045" s="332">
        <v>5257</v>
      </c>
      <c r="H17045" s="333">
        <v>6361</v>
      </c>
    </row>
    <row r="17046" spans="1:8">
      <c r="A17046" s="317">
        <v>9618089552</v>
      </c>
      <c r="B17046" s="330" t="s">
        <v>61398</v>
      </c>
      <c r="C17046" s="330" t="s">
        <v>34889</v>
      </c>
      <c r="D17046" s="330" t="s">
        <v>34890</v>
      </c>
      <c r="E17046" s="330" t="s">
        <v>4634</v>
      </c>
      <c r="F17046" s="331">
        <v>0.21</v>
      </c>
      <c r="G17046" s="332">
        <v>16487</v>
      </c>
      <c r="H17046" s="333">
        <v>19950</v>
      </c>
    </row>
    <row r="17047" spans="1:8">
      <c r="A17047" s="317">
        <v>9618089553</v>
      </c>
      <c r="B17047" s="330" t="s">
        <v>61399</v>
      </c>
      <c r="C17047" s="330" t="s">
        <v>34891</v>
      </c>
      <c r="D17047" s="330" t="s">
        <v>34892</v>
      </c>
      <c r="E17047" s="330" t="s">
        <v>4634</v>
      </c>
      <c r="F17047" s="331">
        <v>0.21</v>
      </c>
      <c r="G17047" s="332">
        <v>5177</v>
      </c>
      <c r="H17047" s="333">
        <v>6265</v>
      </c>
    </row>
    <row r="17048" spans="1:8">
      <c r="A17048" s="317">
        <v>9618089563</v>
      </c>
      <c r="B17048" s="330" t="s">
        <v>61400</v>
      </c>
      <c r="C17048" s="330" t="s">
        <v>34893</v>
      </c>
      <c r="D17048" s="330" t="s">
        <v>34894</v>
      </c>
      <c r="E17048" s="330" t="s">
        <v>4634</v>
      </c>
      <c r="F17048" s="331">
        <v>0.21</v>
      </c>
      <c r="G17048" s="332">
        <v>423</v>
      </c>
      <c r="H17048" s="333">
        <v>512</v>
      </c>
    </row>
    <row r="17049" spans="1:8">
      <c r="A17049" s="317">
        <v>9618089567</v>
      </c>
      <c r="B17049" s="330" t="s">
        <v>61401</v>
      </c>
      <c r="C17049" s="330" t="s">
        <v>34895</v>
      </c>
      <c r="D17049" s="330" t="s">
        <v>34896</v>
      </c>
      <c r="E17049" s="330" t="s">
        <v>4634</v>
      </c>
      <c r="F17049" s="331">
        <v>0.21</v>
      </c>
      <c r="G17049" s="332">
        <v>3673</v>
      </c>
      <c r="H17049" s="333">
        <v>4445</v>
      </c>
    </row>
    <row r="17050" spans="1:8">
      <c r="A17050" s="317">
        <v>9618089568</v>
      </c>
      <c r="B17050" s="330" t="s">
        <v>61402</v>
      </c>
      <c r="C17050" s="330" t="s">
        <v>34897</v>
      </c>
      <c r="D17050" s="330" t="s">
        <v>34898</v>
      </c>
      <c r="E17050" s="330" t="s">
        <v>4634</v>
      </c>
      <c r="F17050" s="331">
        <v>0.21</v>
      </c>
      <c r="G17050" s="332">
        <v>5953</v>
      </c>
      <c r="H17050" s="333">
        <v>7204</v>
      </c>
    </row>
    <row r="17051" spans="1:8">
      <c r="A17051" s="317">
        <v>9618089569</v>
      </c>
      <c r="B17051" s="330" t="s">
        <v>61403</v>
      </c>
      <c r="C17051" s="330" t="s">
        <v>34899</v>
      </c>
      <c r="D17051" s="330" t="s">
        <v>34900</v>
      </c>
      <c r="E17051" s="330" t="s">
        <v>4634</v>
      </c>
      <c r="F17051" s="331">
        <v>0.21</v>
      </c>
      <c r="G17051" s="332">
        <v>3189</v>
      </c>
      <c r="H17051" s="333">
        <v>3859</v>
      </c>
    </row>
    <row r="17052" spans="1:8">
      <c r="A17052" s="317">
        <v>9618089570</v>
      </c>
      <c r="B17052" s="330" t="s">
        <v>61404</v>
      </c>
      <c r="C17052" s="330" t="s">
        <v>34901</v>
      </c>
      <c r="D17052" s="330" t="s">
        <v>34902</v>
      </c>
      <c r="E17052" s="330" t="s">
        <v>37248</v>
      </c>
      <c r="F17052" s="331">
        <v>0.21</v>
      </c>
      <c r="G17052" s="332">
        <v>20168</v>
      </c>
      <c r="H17052" s="333">
        <v>24404</v>
      </c>
    </row>
    <row r="17053" spans="1:8">
      <c r="A17053" s="317">
        <v>9618089586</v>
      </c>
      <c r="B17053" s="330" t="s">
        <v>61405</v>
      </c>
      <c r="C17053" s="330" t="s">
        <v>34903</v>
      </c>
      <c r="D17053" s="330" t="s">
        <v>34629</v>
      </c>
      <c r="E17053" s="330" t="s">
        <v>4634</v>
      </c>
      <c r="F17053" s="331">
        <v>0.21</v>
      </c>
      <c r="G17053" s="332">
        <v>3056</v>
      </c>
      <c r="H17053" s="333">
        <v>3698</v>
      </c>
    </row>
    <row r="17054" spans="1:8">
      <c r="A17054" s="317">
        <v>9618089589</v>
      </c>
      <c r="B17054" s="330" t="s">
        <v>61406</v>
      </c>
      <c r="C17054" s="330" t="s">
        <v>34904</v>
      </c>
      <c r="D17054" s="330" t="s">
        <v>34905</v>
      </c>
      <c r="E17054" s="330" t="s">
        <v>4634</v>
      </c>
      <c r="F17054" s="331">
        <v>0.21</v>
      </c>
      <c r="G17054" s="332">
        <v>46337</v>
      </c>
      <c r="H17054" s="333">
        <v>56068</v>
      </c>
    </row>
    <row r="17055" spans="1:8">
      <c r="A17055" s="317">
        <v>9618089590</v>
      </c>
      <c r="B17055" s="330" t="s">
        <v>61407</v>
      </c>
      <c r="C17055" s="330" t="s">
        <v>34906</v>
      </c>
      <c r="D17055" s="330" t="s">
        <v>34907</v>
      </c>
      <c r="E17055" s="330" t="s">
        <v>4634</v>
      </c>
      <c r="F17055" s="331">
        <v>0.21</v>
      </c>
      <c r="G17055" s="332">
        <v>9648</v>
      </c>
      <c r="H17055" s="333">
        <v>11675</v>
      </c>
    </row>
    <row r="17056" spans="1:8">
      <c r="A17056" s="317">
        <v>9618089593</v>
      </c>
      <c r="B17056" s="330" t="s">
        <v>61408</v>
      </c>
      <c r="C17056" s="330" t="s">
        <v>34908</v>
      </c>
      <c r="D17056" s="330" t="s">
        <v>34909</v>
      </c>
      <c r="E17056" s="330" t="s">
        <v>4634</v>
      </c>
      <c r="F17056" s="331">
        <v>0.21</v>
      </c>
      <c r="G17056" s="332">
        <v>21767</v>
      </c>
      <c r="H17056" s="333">
        <v>26339</v>
      </c>
    </row>
    <row r="17057" spans="1:8">
      <c r="A17057" s="317">
        <v>9618089596</v>
      </c>
      <c r="B17057" s="330" t="s">
        <v>61409</v>
      </c>
      <c r="C17057" s="330" t="s">
        <v>34910</v>
      </c>
      <c r="D17057" s="330" t="s">
        <v>34911</v>
      </c>
      <c r="E17057" s="330" t="s">
        <v>4634</v>
      </c>
      <c r="F17057" s="331">
        <v>0.21</v>
      </c>
      <c r="G17057" s="332">
        <v>9866</v>
      </c>
      <c r="H17057" s="333">
        <v>11938</v>
      </c>
    </row>
    <row r="17058" spans="1:8">
      <c r="A17058" s="317">
        <v>9618089601</v>
      </c>
      <c r="B17058" s="330" t="s">
        <v>61410</v>
      </c>
      <c r="C17058" s="330" t="s">
        <v>34912</v>
      </c>
      <c r="D17058" s="330" t="s">
        <v>34913</v>
      </c>
      <c r="E17058" s="330" t="s">
        <v>4634</v>
      </c>
      <c r="F17058" s="331">
        <v>0.21</v>
      </c>
      <c r="G17058" s="332">
        <v>5181</v>
      </c>
      <c r="H17058" s="333">
        <v>6270</v>
      </c>
    </row>
    <row r="17059" spans="1:8">
      <c r="A17059" s="317">
        <v>9618089606</v>
      </c>
      <c r="B17059" s="330" t="s">
        <v>61411</v>
      </c>
      <c r="C17059" s="330" t="s">
        <v>34914</v>
      </c>
      <c r="D17059" s="330" t="s">
        <v>34915</v>
      </c>
      <c r="E17059" s="330" t="s">
        <v>4634</v>
      </c>
      <c r="F17059" s="331">
        <v>0.21</v>
      </c>
      <c r="G17059" s="332">
        <v>14635</v>
      </c>
      <c r="H17059" s="333">
        <v>17709</v>
      </c>
    </row>
    <row r="17060" spans="1:8">
      <c r="A17060" s="317">
        <v>9618089616</v>
      </c>
      <c r="B17060" s="330" t="s">
        <v>61412</v>
      </c>
      <c r="C17060" s="330" t="s">
        <v>34916</v>
      </c>
      <c r="D17060" s="330" t="s">
        <v>34917</v>
      </c>
      <c r="E17060" s="330" t="s">
        <v>4634</v>
      </c>
      <c r="F17060" s="331">
        <v>0.21</v>
      </c>
      <c r="G17060" s="332">
        <v>17669</v>
      </c>
      <c r="H17060" s="333">
        <v>21380</v>
      </c>
    </row>
    <row r="17061" spans="1:8">
      <c r="A17061" s="317">
        <v>9618089621</v>
      </c>
      <c r="B17061" s="330" t="s">
        <v>61413</v>
      </c>
      <c r="C17061" s="330" t="s">
        <v>34918</v>
      </c>
      <c r="D17061" s="330" t="s">
        <v>34919</v>
      </c>
      <c r="E17061" s="330" t="s">
        <v>4634</v>
      </c>
      <c r="F17061" s="331">
        <v>0.21</v>
      </c>
      <c r="G17061" s="332">
        <v>4389</v>
      </c>
      <c r="H17061" s="333">
        <v>5311</v>
      </c>
    </row>
    <row r="17062" spans="1:8">
      <c r="A17062" s="317">
        <v>9618089623</v>
      </c>
      <c r="B17062" s="330" t="s">
        <v>61414</v>
      </c>
      <c r="C17062" s="330" t="s">
        <v>34920</v>
      </c>
      <c r="D17062" s="330" t="s">
        <v>34921</v>
      </c>
      <c r="E17062" s="330" t="s">
        <v>4634</v>
      </c>
      <c r="F17062" s="331">
        <v>0.21</v>
      </c>
      <c r="G17062" s="332">
        <v>1882</v>
      </c>
      <c r="H17062" s="333">
        <v>2278</v>
      </c>
    </row>
    <row r="17063" spans="1:8">
      <c r="A17063" s="317">
        <v>9618089630</v>
      </c>
      <c r="B17063" s="330" t="s">
        <v>61415</v>
      </c>
      <c r="C17063" s="330" t="s">
        <v>34922</v>
      </c>
      <c r="D17063" s="330" t="s">
        <v>34923</v>
      </c>
      <c r="E17063" s="330" t="s">
        <v>4634</v>
      </c>
      <c r="F17063" s="331">
        <v>0.21</v>
      </c>
      <c r="G17063" s="332">
        <v>2059</v>
      </c>
      <c r="H17063" s="333">
        <v>2492</v>
      </c>
    </row>
    <row r="17064" spans="1:8">
      <c r="A17064" s="317">
        <v>9618089637</v>
      </c>
      <c r="B17064" s="330" t="s">
        <v>61416</v>
      </c>
      <c r="C17064" s="330" t="s">
        <v>34924</v>
      </c>
      <c r="D17064" s="330" t="s">
        <v>34925</v>
      </c>
      <c r="E17064" s="330" t="s">
        <v>4634</v>
      </c>
      <c r="F17064" s="331">
        <v>0.21</v>
      </c>
      <c r="G17064" s="332">
        <v>4432</v>
      </c>
      <c r="H17064" s="333">
        <v>5363</v>
      </c>
    </row>
    <row r="17065" spans="1:8">
      <c r="A17065" s="317">
        <v>9618089644</v>
      </c>
      <c r="B17065" s="330" t="s">
        <v>61417</v>
      </c>
      <c r="C17065" s="330" t="s">
        <v>34926</v>
      </c>
      <c r="D17065" s="330" t="s">
        <v>34927</v>
      </c>
      <c r="E17065" s="330" t="s">
        <v>4623</v>
      </c>
      <c r="F17065" s="331">
        <v>0.21</v>
      </c>
      <c r="G17065" s="332">
        <v>21210</v>
      </c>
      <c r="H17065" s="333">
        <v>25665</v>
      </c>
    </row>
    <row r="17066" spans="1:8">
      <c r="A17066" s="317">
        <v>9618089650</v>
      </c>
      <c r="B17066" s="330" t="s">
        <v>61418</v>
      </c>
      <c r="C17066" s="330" t="s">
        <v>34928</v>
      </c>
      <c r="D17066" s="330" t="s">
        <v>34929</v>
      </c>
      <c r="E17066" s="330" t="s">
        <v>4634</v>
      </c>
      <c r="F17066" s="331">
        <v>0.21</v>
      </c>
      <c r="G17066" s="332">
        <v>4423</v>
      </c>
      <c r="H17066" s="333">
        <v>5352</v>
      </c>
    </row>
    <row r="17067" spans="1:8">
      <c r="A17067" s="317">
        <v>9618089651</v>
      </c>
      <c r="B17067" s="330" t="s">
        <v>61419</v>
      </c>
      <c r="C17067" s="330" t="s">
        <v>34930</v>
      </c>
      <c r="D17067" s="330" t="s">
        <v>34931</v>
      </c>
      <c r="E17067" s="330" t="s">
        <v>4634</v>
      </c>
      <c r="F17067" s="331">
        <v>0.21</v>
      </c>
      <c r="G17067" s="332">
        <v>6902</v>
      </c>
      <c r="H17067" s="333">
        <v>8352</v>
      </c>
    </row>
    <row r="17068" spans="1:8">
      <c r="A17068" s="317">
        <v>9618089662</v>
      </c>
      <c r="B17068" s="330" t="s">
        <v>61420</v>
      </c>
      <c r="C17068" s="330" t="s">
        <v>34932</v>
      </c>
      <c r="D17068" s="330" t="s">
        <v>8006</v>
      </c>
      <c r="E17068" s="330" t="s">
        <v>4634</v>
      </c>
      <c r="F17068" s="331">
        <v>0.21</v>
      </c>
      <c r="G17068" s="332">
        <v>20940</v>
      </c>
      <c r="H17068" s="333">
        <v>25338</v>
      </c>
    </row>
    <row r="17069" spans="1:8">
      <c r="A17069" s="317">
        <v>9618089663</v>
      </c>
      <c r="B17069" s="330" t="s">
        <v>61421</v>
      </c>
      <c r="C17069" s="330" t="s">
        <v>34933</v>
      </c>
      <c r="D17069" s="330" t="s">
        <v>34934</v>
      </c>
      <c r="E17069" s="330" t="s">
        <v>4634</v>
      </c>
      <c r="F17069" s="331">
        <v>0.21</v>
      </c>
      <c r="G17069" s="332">
        <v>6185</v>
      </c>
      <c r="H17069" s="333">
        <v>7484</v>
      </c>
    </row>
    <row r="17070" spans="1:8">
      <c r="A17070" s="317">
        <v>9618089665</v>
      </c>
      <c r="B17070" s="330" t="s">
        <v>61422</v>
      </c>
      <c r="C17070" s="330" t="s">
        <v>34935</v>
      </c>
      <c r="D17070" s="330" t="s">
        <v>34936</v>
      </c>
      <c r="E17070" s="330" t="s">
        <v>4634</v>
      </c>
      <c r="F17070" s="331">
        <v>0.21</v>
      </c>
      <c r="G17070" s="332">
        <v>3395</v>
      </c>
      <c r="H17070" s="333">
        <v>4108</v>
      </c>
    </row>
    <row r="17071" spans="1:8">
      <c r="A17071" s="317">
        <v>9618089686</v>
      </c>
      <c r="B17071" s="330" t="s">
        <v>61423</v>
      </c>
      <c r="C17071" s="330" t="s">
        <v>34937</v>
      </c>
      <c r="D17071" s="330" t="s">
        <v>34938</v>
      </c>
      <c r="E17071" s="330" t="s">
        <v>4634</v>
      </c>
      <c r="F17071" s="331">
        <v>0.21</v>
      </c>
      <c r="G17071" s="332">
        <v>32346</v>
      </c>
      <c r="H17071" s="333">
        <v>39139</v>
      </c>
    </row>
    <row r="17072" spans="1:8">
      <c r="A17072" s="317">
        <v>9618089687</v>
      </c>
      <c r="B17072" s="330" t="s">
        <v>61424</v>
      </c>
      <c r="C17072" s="330" t="s">
        <v>34939</v>
      </c>
      <c r="D17072" s="330" t="s">
        <v>34940</v>
      </c>
      <c r="E17072" s="330" t="s">
        <v>4634</v>
      </c>
      <c r="F17072" s="331">
        <v>0.21</v>
      </c>
      <c r="G17072" s="332">
        <v>19615</v>
      </c>
      <c r="H17072" s="333">
        <v>23735</v>
      </c>
    </row>
    <row r="17073" spans="1:8">
      <c r="A17073" s="317">
        <v>9618089688</v>
      </c>
      <c r="B17073" s="330" t="s">
        <v>61425</v>
      </c>
      <c r="C17073" s="330" t="s">
        <v>34941</v>
      </c>
      <c r="D17073" s="330" t="s">
        <v>34942</v>
      </c>
      <c r="E17073" s="330" t="s">
        <v>4634</v>
      </c>
      <c r="F17073" s="331">
        <v>0.21</v>
      </c>
      <c r="G17073" s="332">
        <v>15042</v>
      </c>
      <c r="H17073" s="333">
        <v>18201</v>
      </c>
    </row>
    <row r="17074" spans="1:8">
      <c r="A17074" s="317">
        <v>9618089699</v>
      </c>
      <c r="B17074" s="330" t="s">
        <v>61426</v>
      </c>
      <c r="C17074" s="330" t="s">
        <v>34943</v>
      </c>
      <c r="D17074" s="330" t="s">
        <v>34944</v>
      </c>
      <c r="E17074" s="330" t="s">
        <v>4634</v>
      </c>
      <c r="F17074" s="331">
        <v>0.21</v>
      </c>
      <c r="G17074" s="332">
        <v>29649</v>
      </c>
      <c r="H17074" s="333">
        <v>35876</v>
      </c>
    </row>
    <row r="17075" spans="1:8">
      <c r="A17075" s="317">
        <v>9618089700</v>
      </c>
      <c r="B17075" s="330" t="s">
        <v>61427</v>
      </c>
      <c r="C17075" s="330" t="s">
        <v>34945</v>
      </c>
      <c r="D17075" s="330" t="s">
        <v>34946</v>
      </c>
      <c r="E17075" s="330" t="s">
        <v>4634</v>
      </c>
      <c r="F17075" s="331">
        <v>0.21</v>
      </c>
      <c r="G17075" s="332">
        <v>18232</v>
      </c>
      <c r="H17075" s="333">
        <v>22061</v>
      </c>
    </row>
    <row r="17076" spans="1:8">
      <c r="A17076" s="317">
        <v>9618089756</v>
      </c>
      <c r="B17076" s="330" t="s">
        <v>61428</v>
      </c>
      <c r="C17076" s="330" t="s">
        <v>34947</v>
      </c>
      <c r="D17076" s="330" t="s">
        <v>34948</v>
      </c>
      <c r="E17076" s="330" t="s">
        <v>4634</v>
      </c>
      <c r="F17076" s="331">
        <v>0.21</v>
      </c>
      <c r="G17076" s="332">
        <v>1581</v>
      </c>
      <c r="H17076" s="333">
        <v>1914</v>
      </c>
    </row>
    <row r="17077" spans="1:8">
      <c r="A17077" s="317">
        <v>9618089760</v>
      </c>
      <c r="B17077" s="330" t="s">
        <v>61429</v>
      </c>
      <c r="C17077" s="330" t="s">
        <v>34949</v>
      </c>
      <c r="D17077" s="330" t="s">
        <v>34950</v>
      </c>
      <c r="E17077" s="330" t="s">
        <v>4634</v>
      </c>
      <c r="F17077" s="331">
        <v>0.21</v>
      </c>
      <c r="G17077" s="332">
        <v>4073</v>
      </c>
      <c r="H17077" s="333">
        <v>4929</v>
      </c>
    </row>
    <row r="17078" spans="1:8">
      <c r="A17078" s="317">
        <v>9618089766</v>
      </c>
      <c r="B17078" s="330" t="s">
        <v>61430</v>
      </c>
      <c r="C17078" s="330" t="s">
        <v>34951</v>
      </c>
      <c r="D17078" s="330" t="s">
        <v>34952</v>
      </c>
      <c r="E17078" s="330" t="s">
        <v>4634</v>
      </c>
      <c r="F17078" s="331">
        <v>0.21</v>
      </c>
      <c r="G17078" s="332">
        <v>68247</v>
      </c>
      <c r="H17078" s="333">
        <v>82579</v>
      </c>
    </row>
    <row r="17079" spans="1:8">
      <c r="A17079" s="317">
        <v>9618089770</v>
      </c>
      <c r="B17079" s="330" t="s">
        <v>61431</v>
      </c>
      <c r="C17079" s="330" t="s">
        <v>34953</v>
      </c>
      <c r="D17079" s="330" t="s">
        <v>34954</v>
      </c>
      <c r="E17079" s="330" t="s">
        <v>4634</v>
      </c>
      <c r="F17079" s="331">
        <v>0.21</v>
      </c>
      <c r="G17079" s="332">
        <v>3665</v>
      </c>
      <c r="H17079" s="333">
        <v>4435</v>
      </c>
    </row>
    <row r="17080" spans="1:8">
      <c r="A17080" s="317">
        <v>9618089875</v>
      </c>
      <c r="B17080" s="330" t="s">
        <v>61432</v>
      </c>
      <c r="C17080" s="330" t="s">
        <v>34955</v>
      </c>
      <c r="D17080" s="330" t="s">
        <v>34956</v>
      </c>
      <c r="E17080" s="330" t="s">
        <v>4634</v>
      </c>
      <c r="F17080" s="331">
        <v>0.21</v>
      </c>
      <c r="G17080" s="332">
        <v>564</v>
      </c>
      <c r="H17080" s="333">
        <v>683</v>
      </c>
    </row>
    <row r="17081" spans="1:8">
      <c r="A17081" s="317">
        <v>9618089880</v>
      </c>
      <c r="B17081" s="330" t="s">
        <v>61433</v>
      </c>
      <c r="C17081" s="330" t="s">
        <v>34957</v>
      </c>
      <c r="D17081" s="330" t="s">
        <v>34958</v>
      </c>
      <c r="E17081" s="330" t="s">
        <v>4634</v>
      </c>
      <c r="F17081" s="331">
        <v>0.21</v>
      </c>
      <c r="G17081" s="332">
        <v>236</v>
      </c>
      <c r="H17081" s="333">
        <v>286</v>
      </c>
    </row>
    <row r="17082" spans="1:8">
      <c r="A17082" s="317">
        <v>9618089881</v>
      </c>
      <c r="B17082" s="330" t="s">
        <v>61434</v>
      </c>
      <c r="C17082" s="330" t="s">
        <v>34959</v>
      </c>
      <c r="D17082" s="330" t="s">
        <v>34629</v>
      </c>
      <c r="E17082" s="330" t="s">
        <v>4634</v>
      </c>
      <c r="F17082" s="331">
        <v>0.21</v>
      </c>
      <c r="G17082" s="332">
        <v>3622</v>
      </c>
      <c r="H17082" s="333">
        <v>4383</v>
      </c>
    </row>
    <row r="17083" spans="1:8">
      <c r="A17083" s="317">
        <v>9618089885</v>
      </c>
      <c r="B17083" s="330" t="s">
        <v>61435</v>
      </c>
      <c r="C17083" s="330" t="s">
        <v>34960</v>
      </c>
      <c r="D17083" s="330" t="s">
        <v>34961</v>
      </c>
      <c r="E17083" s="330" t="s">
        <v>4819</v>
      </c>
      <c r="F17083" s="331">
        <v>0.21</v>
      </c>
      <c r="G17083" s="332">
        <v>919</v>
      </c>
      <c r="H17083" s="333">
        <v>1112</v>
      </c>
    </row>
    <row r="17084" spans="1:8">
      <c r="A17084" s="317">
        <v>9618089890</v>
      </c>
      <c r="B17084" s="330" t="s">
        <v>61436</v>
      </c>
      <c r="C17084" s="330" t="s">
        <v>34962</v>
      </c>
      <c r="D17084" s="330" t="s">
        <v>34963</v>
      </c>
      <c r="E17084" s="330" t="s">
        <v>4634</v>
      </c>
      <c r="F17084" s="331">
        <v>0.21</v>
      </c>
      <c r="G17084" s="332">
        <v>2197</v>
      </c>
      <c r="H17084" s="333">
        <v>2659</v>
      </c>
    </row>
    <row r="17085" spans="1:8">
      <c r="A17085" s="317">
        <v>9618089903</v>
      </c>
      <c r="B17085" s="330" t="s">
        <v>61437</v>
      </c>
      <c r="C17085" s="330" t="s">
        <v>34964</v>
      </c>
      <c r="D17085" s="330" t="s">
        <v>34965</v>
      </c>
      <c r="E17085" s="330" t="s">
        <v>4634</v>
      </c>
      <c r="F17085" s="331">
        <v>0.21</v>
      </c>
      <c r="G17085" s="332">
        <v>27583</v>
      </c>
      <c r="H17085" s="333">
        <v>33376</v>
      </c>
    </row>
    <row r="17086" spans="1:8">
      <c r="A17086" s="317">
        <v>9618089904</v>
      </c>
      <c r="B17086" s="330" t="s">
        <v>61438</v>
      </c>
      <c r="C17086" s="330" t="s">
        <v>34966</v>
      </c>
      <c r="D17086" s="330" t="s">
        <v>34967</v>
      </c>
      <c r="E17086" s="330" t="s">
        <v>4634</v>
      </c>
      <c r="F17086" s="331">
        <v>0.21</v>
      </c>
      <c r="G17086" s="332">
        <v>23877</v>
      </c>
      <c r="H17086" s="333">
        <v>28892</v>
      </c>
    </row>
    <row r="17087" spans="1:8">
      <c r="A17087" s="317">
        <v>9618089908</v>
      </c>
      <c r="B17087" s="330" t="s">
        <v>61439</v>
      </c>
      <c r="C17087" s="330" t="s">
        <v>34968</v>
      </c>
      <c r="D17087" s="330" t="s">
        <v>34969</v>
      </c>
      <c r="E17087" s="330" t="s">
        <v>4634</v>
      </c>
      <c r="F17087" s="331">
        <v>0.21</v>
      </c>
      <c r="G17087" s="332">
        <v>455</v>
      </c>
      <c r="H17087" s="333">
        <v>551</v>
      </c>
    </row>
    <row r="17088" spans="1:8">
      <c r="A17088" s="317">
        <v>9618089939</v>
      </c>
      <c r="B17088" s="330" t="s">
        <v>61440</v>
      </c>
      <c r="C17088" s="330" t="s">
        <v>34970</v>
      </c>
      <c r="D17088" s="330" t="s">
        <v>34971</v>
      </c>
      <c r="E17088" s="330" t="s">
        <v>4634</v>
      </c>
      <c r="F17088" s="331">
        <v>0.21</v>
      </c>
      <c r="G17088" s="332">
        <v>300</v>
      </c>
      <c r="H17088" s="333">
        <v>363</v>
      </c>
    </row>
    <row r="17089" spans="1:8">
      <c r="A17089" s="317">
        <v>9618089968</v>
      </c>
      <c r="B17089" s="330" t="s">
        <v>61441</v>
      </c>
      <c r="C17089" s="330" t="s">
        <v>34972</v>
      </c>
      <c r="D17089" s="330" t="s">
        <v>34973</v>
      </c>
      <c r="E17089" s="330" t="s">
        <v>4634</v>
      </c>
      <c r="F17089" s="331">
        <v>0.21</v>
      </c>
      <c r="G17089" s="332">
        <v>2270</v>
      </c>
      <c r="H17089" s="333">
        <v>2747</v>
      </c>
    </row>
    <row r="17090" spans="1:8">
      <c r="A17090" s="317">
        <v>9618089973</v>
      </c>
      <c r="B17090" s="330" t="s">
        <v>61442</v>
      </c>
      <c r="C17090" s="330" t="s">
        <v>34974</v>
      </c>
      <c r="D17090" s="330" t="s">
        <v>34975</v>
      </c>
      <c r="E17090" s="330" t="s">
        <v>4634</v>
      </c>
      <c r="F17090" s="331">
        <v>0.21</v>
      </c>
      <c r="G17090" s="332">
        <v>2712</v>
      </c>
      <c r="H17090" s="333">
        <v>3282</v>
      </c>
    </row>
    <row r="17091" spans="1:8">
      <c r="A17091" s="317">
        <v>9618089982</v>
      </c>
      <c r="B17091" s="330" t="s">
        <v>61443</v>
      </c>
      <c r="C17091" s="330" t="s">
        <v>34976</v>
      </c>
      <c r="D17091" s="330" t="s">
        <v>34977</v>
      </c>
      <c r="E17091" s="330" t="s">
        <v>37248</v>
      </c>
      <c r="F17091" s="331">
        <v>0.21</v>
      </c>
      <c r="G17091" s="332">
        <v>5976</v>
      </c>
      <c r="H17091" s="333">
        <v>7231</v>
      </c>
    </row>
    <row r="17092" spans="1:8">
      <c r="A17092" s="317">
        <v>9618089985</v>
      </c>
      <c r="B17092" s="330" t="s">
        <v>61444</v>
      </c>
      <c r="C17092" s="330" t="s">
        <v>34978</v>
      </c>
      <c r="D17092" s="330" t="s">
        <v>34979</v>
      </c>
      <c r="E17092" s="330" t="s">
        <v>4634</v>
      </c>
      <c r="F17092" s="331">
        <v>0.21</v>
      </c>
      <c r="G17092" s="332">
        <v>6177</v>
      </c>
      <c r="H17092" s="333">
        <v>7475</v>
      </c>
    </row>
    <row r="17093" spans="1:8">
      <c r="A17093" s="317">
        <v>9618089999</v>
      </c>
      <c r="B17093" s="330" t="s">
        <v>61445</v>
      </c>
      <c r="C17093" s="330" t="s">
        <v>34980</v>
      </c>
      <c r="D17093" s="330" t="s">
        <v>34981</v>
      </c>
      <c r="E17093" s="330" t="s">
        <v>4634</v>
      </c>
      <c r="F17093" s="331">
        <v>0.21</v>
      </c>
      <c r="G17093" s="332">
        <v>3966</v>
      </c>
      <c r="H17093" s="333">
        <v>4799</v>
      </c>
    </row>
    <row r="17094" spans="1:8">
      <c r="A17094" s="317">
        <v>9903082004</v>
      </c>
      <c r="B17094" s="330" t="s">
        <v>61446</v>
      </c>
      <c r="C17094" s="330" t="s">
        <v>34982</v>
      </c>
      <c r="D17094" s="330" t="s">
        <v>34983</v>
      </c>
      <c r="E17094" s="330" t="s">
        <v>4634</v>
      </c>
      <c r="F17094" s="331">
        <v>0.21</v>
      </c>
      <c r="G17094" s="332">
        <v>8</v>
      </c>
      <c r="H17094" s="333">
        <v>10</v>
      </c>
    </row>
    <row r="17095" spans="1:8">
      <c r="A17095" s="317">
        <v>9903083004</v>
      </c>
      <c r="B17095" s="330" t="s">
        <v>61447</v>
      </c>
      <c r="C17095" s="330" t="s">
        <v>34984</v>
      </c>
      <c r="D17095" s="330" t="s">
        <v>34985</v>
      </c>
      <c r="E17095" s="330" t="s">
        <v>4634</v>
      </c>
      <c r="F17095" s="331">
        <v>0.21</v>
      </c>
      <c r="G17095" s="332">
        <v>153</v>
      </c>
      <c r="H17095" s="333">
        <v>186</v>
      </c>
    </row>
    <row r="17096" spans="1:8">
      <c r="A17096" s="317" t="s">
        <v>42980</v>
      </c>
      <c r="B17096" s="330" t="s">
        <v>61448</v>
      </c>
      <c r="C17096" s="330" t="s">
        <v>34986</v>
      </c>
      <c r="D17096" s="330" t="s">
        <v>34987</v>
      </c>
      <c r="E17096" s="330" t="s">
        <v>4634</v>
      </c>
      <c r="F17096" s="331">
        <v>0.21</v>
      </c>
      <c r="G17096" s="332">
        <v>1030</v>
      </c>
      <c r="H17096" s="333">
        <v>1247</v>
      </c>
    </row>
    <row r="17097" spans="1:8">
      <c r="A17097" s="317" t="s">
        <v>42981</v>
      </c>
      <c r="B17097" s="330" t="s">
        <v>61449</v>
      </c>
      <c r="C17097" s="330" t="s">
        <v>34988</v>
      </c>
      <c r="D17097" s="330" t="s">
        <v>34989</v>
      </c>
      <c r="E17097" s="330" t="s">
        <v>4634</v>
      </c>
      <c r="F17097" s="331">
        <v>0.21</v>
      </c>
      <c r="G17097" s="332">
        <v>4896</v>
      </c>
      <c r="H17097" s="333">
        <v>5925</v>
      </c>
    </row>
    <row r="17098" spans="1:8">
      <c r="A17098" s="317" t="s">
        <v>42982</v>
      </c>
      <c r="B17098" s="330" t="s">
        <v>61450</v>
      </c>
      <c r="C17098" s="330" t="s">
        <v>34990</v>
      </c>
      <c r="D17098" s="330" t="s">
        <v>34991</v>
      </c>
      <c r="E17098" s="330" t="s">
        <v>4634</v>
      </c>
      <c r="F17098" s="331">
        <v>0.21</v>
      </c>
      <c r="G17098" s="332">
        <v>19806</v>
      </c>
      <c r="H17098" s="333">
        <v>23966</v>
      </c>
    </row>
    <row r="17099" spans="1:8">
      <c r="A17099" s="317" t="s">
        <v>42983</v>
      </c>
      <c r="B17099" s="330" t="s">
        <v>61451</v>
      </c>
      <c r="C17099" s="330" t="s">
        <v>34992</v>
      </c>
      <c r="D17099" s="330" t="s">
        <v>34993</v>
      </c>
      <c r="E17099" s="330" t="s">
        <v>4634</v>
      </c>
      <c r="F17099" s="331">
        <v>0.21</v>
      </c>
      <c r="G17099" s="332">
        <v>8439</v>
      </c>
      <c r="H17099" s="333">
        <v>10212</v>
      </c>
    </row>
    <row r="17100" spans="1:8">
      <c r="A17100" s="317" t="s">
        <v>42984</v>
      </c>
      <c r="B17100" s="330" t="s">
        <v>61452</v>
      </c>
      <c r="C17100" s="330" t="s">
        <v>34994</v>
      </c>
      <c r="D17100" s="330" t="s">
        <v>34995</v>
      </c>
      <c r="E17100" s="330" t="s">
        <v>4634</v>
      </c>
      <c r="F17100" s="331">
        <v>0.21</v>
      </c>
      <c r="G17100" s="332">
        <v>437</v>
      </c>
      <c r="H17100" s="333">
        <v>529</v>
      </c>
    </row>
    <row r="17101" spans="1:8">
      <c r="A17101" s="317" t="s">
        <v>42985</v>
      </c>
      <c r="B17101" s="330" t="s">
        <v>61453</v>
      </c>
      <c r="C17101" s="330" t="s">
        <v>34996</v>
      </c>
      <c r="D17101" s="330" t="s">
        <v>34997</v>
      </c>
      <c r="E17101" s="330" t="s">
        <v>4634</v>
      </c>
      <c r="F17101" s="331">
        <v>0.21</v>
      </c>
      <c r="G17101" s="332">
        <v>1046</v>
      </c>
      <c r="H17101" s="333">
        <v>1266</v>
      </c>
    </row>
    <row r="17102" spans="1:8">
      <c r="A17102" s="317" t="s">
        <v>42986</v>
      </c>
      <c r="B17102" s="330" t="s">
        <v>61454</v>
      </c>
      <c r="C17102" s="330" t="s">
        <v>34998</v>
      </c>
      <c r="D17102" s="330" t="s">
        <v>34999</v>
      </c>
      <c r="E17102" s="330" t="s">
        <v>4634</v>
      </c>
      <c r="F17102" s="331">
        <v>0.21</v>
      </c>
      <c r="G17102" s="332">
        <v>903</v>
      </c>
      <c r="H17102" s="333">
        <v>1093</v>
      </c>
    </row>
    <row r="17103" spans="1:8">
      <c r="A17103" s="317" t="s">
        <v>42987</v>
      </c>
      <c r="B17103" s="330" t="s">
        <v>61455</v>
      </c>
      <c r="C17103" s="330" t="s">
        <v>35000</v>
      </c>
      <c r="D17103" s="330" t="s">
        <v>35001</v>
      </c>
      <c r="E17103" s="330" t="s">
        <v>4634</v>
      </c>
      <c r="F17103" s="331">
        <v>0.21</v>
      </c>
      <c r="G17103" s="332">
        <v>3272</v>
      </c>
      <c r="H17103" s="333">
        <v>3960</v>
      </c>
    </row>
    <row r="17104" spans="1:8">
      <c r="A17104" s="317" t="s">
        <v>42988</v>
      </c>
      <c r="B17104" s="330" t="s">
        <v>61456</v>
      </c>
      <c r="C17104" s="330" t="s">
        <v>35002</v>
      </c>
      <c r="D17104" s="330" t="s">
        <v>35003</v>
      </c>
      <c r="E17104" s="330" t="s">
        <v>4634</v>
      </c>
      <c r="F17104" s="331">
        <v>0.21</v>
      </c>
      <c r="G17104" s="332">
        <v>1126</v>
      </c>
      <c r="H17104" s="333">
        <v>1363</v>
      </c>
    </row>
    <row r="17105" spans="1:8">
      <c r="A17105" s="317" t="s">
        <v>42989</v>
      </c>
      <c r="B17105" s="330" t="s">
        <v>61457</v>
      </c>
      <c r="C17105" s="330" t="s">
        <v>35004</v>
      </c>
      <c r="D17105" s="330" t="s">
        <v>22517</v>
      </c>
      <c r="E17105" s="330" t="s">
        <v>4634</v>
      </c>
      <c r="F17105" s="331">
        <v>0.21</v>
      </c>
      <c r="G17105" s="332">
        <v>254</v>
      </c>
      <c r="H17105" s="333">
        <v>308</v>
      </c>
    </row>
    <row r="17106" spans="1:8">
      <c r="A17106" s="317" t="s">
        <v>42990</v>
      </c>
      <c r="B17106" s="330" t="s">
        <v>61458</v>
      </c>
      <c r="C17106" s="330" t="s">
        <v>35005</v>
      </c>
      <c r="D17106" s="330" t="s">
        <v>35006</v>
      </c>
      <c r="E17106" s="330" t="s">
        <v>4634</v>
      </c>
      <c r="F17106" s="331">
        <v>0.21</v>
      </c>
      <c r="G17106" s="332">
        <v>1222</v>
      </c>
      <c r="H17106" s="333">
        <v>1479</v>
      </c>
    </row>
    <row r="17107" spans="1:8">
      <c r="A17107" s="317" t="s">
        <v>42991</v>
      </c>
      <c r="B17107" s="330" t="s">
        <v>61459</v>
      </c>
      <c r="C17107" s="330" t="s">
        <v>35007</v>
      </c>
      <c r="D17107" s="330" t="s">
        <v>35008</v>
      </c>
      <c r="E17107" s="330" t="s">
        <v>4634</v>
      </c>
      <c r="F17107" s="331">
        <v>0.21</v>
      </c>
      <c r="G17107" s="332">
        <v>14308</v>
      </c>
      <c r="H17107" s="333">
        <v>17313</v>
      </c>
    </row>
    <row r="17108" spans="1:8">
      <c r="A17108" s="317" t="s">
        <v>42992</v>
      </c>
      <c r="B17108" s="330" t="s">
        <v>61460</v>
      </c>
      <c r="C17108" s="330" t="s">
        <v>35009</v>
      </c>
      <c r="D17108" s="330" t="s">
        <v>35010</v>
      </c>
      <c r="E17108" s="330" t="s">
        <v>4634</v>
      </c>
      <c r="F17108" s="331">
        <v>0.21</v>
      </c>
      <c r="G17108" s="332">
        <v>171</v>
      </c>
      <c r="H17108" s="333">
        <v>207</v>
      </c>
    </row>
    <row r="17109" spans="1:8">
      <c r="A17109" s="317" t="s">
        <v>42993</v>
      </c>
      <c r="B17109" s="330" t="s">
        <v>61461</v>
      </c>
      <c r="C17109" s="330" t="s">
        <v>35011</v>
      </c>
      <c r="D17109" s="330" t="s">
        <v>35012</v>
      </c>
      <c r="E17109" s="330" t="s">
        <v>37248</v>
      </c>
      <c r="F17109" s="331">
        <v>0.21</v>
      </c>
      <c r="G17109" s="332">
        <v>4503</v>
      </c>
      <c r="H17109" s="333">
        <v>5449</v>
      </c>
    </row>
    <row r="17110" spans="1:8">
      <c r="A17110" s="317" t="s">
        <v>42994</v>
      </c>
      <c r="B17110" s="330" t="s">
        <v>61462</v>
      </c>
      <c r="C17110" s="330" t="s">
        <v>35013</v>
      </c>
      <c r="D17110" s="330" t="s">
        <v>35014</v>
      </c>
      <c r="E17110" s="330" t="s">
        <v>4634</v>
      </c>
      <c r="F17110" s="331">
        <v>0.21</v>
      </c>
      <c r="G17110" s="332">
        <v>16298</v>
      </c>
      <c r="H17110" s="333">
        <v>19721</v>
      </c>
    </row>
    <row r="17111" spans="1:8">
      <c r="A17111" s="317" t="s">
        <v>42995</v>
      </c>
      <c r="B17111" s="330" t="s">
        <v>61463</v>
      </c>
      <c r="C17111" s="330" t="s">
        <v>35015</v>
      </c>
      <c r="D17111" s="330" t="s">
        <v>35016</v>
      </c>
      <c r="E17111" s="330" t="s">
        <v>4634</v>
      </c>
      <c r="F17111" s="331">
        <v>0.21</v>
      </c>
      <c r="G17111" s="332">
        <v>2915</v>
      </c>
      <c r="H17111" s="333">
        <v>3528</v>
      </c>
    </row>
    <row r="17112" spans="1:8">
      <c r="A17112" s="317" t="s">
        <v>42996</v>
      </c>
      <c r="B17112" s="330" t="s">
        <v>61464</v>
      </c>
      <c r="C17112" s="330" t="s">
        <v>35017</v>
      </c>
      <c r="D17112" s="330" t="s">
        <v>35018</v>
      </c>
      <c r="E17112" s="330" t="s">
        <v>4634</v>
      </c>
      <c r="F17112" s="331">
        <v>0.21</v>
      </c>
      <c r="G17112" s="332">
        <v>153</v>
      </c>
      <c r="H17112" s="333">
        <v>186</v>
      </c>
    </row>
    <row r="17113" spans="1:8">
      <c r="A17113" s="317" t="s">
        <v>42997</v>
      </c>
      <c r="B17113" s="330" t="s">
        <v>61465</v>
      </c>
      <c r="C17113" s="330" t="s">
        <v>35019</v>
      </c>
      <c r="D17113" s="330" t="s">
        <v>35020</v>
      </c>
      <c r="E17113" s="330" t="s">
        <v>4819</v>
      </c>
      <c r="F17113" s="331">
        <v>0.21</v>
      </c>
      <c r="G17113" s="332">
        <v>1124</v>
      </c>
      <c r="H17113" s="333">
        <v>1361</v>
      </c>
    </row>
    <row r="17114" spans="1:8">
      <c r="A17114" s="317" t="s">
        <v>42998</v>
      </c>
      <c r="B17114" s="330" t="s">
        <v>61466</v>
      </c>
      <c r="C17114" s="330" t="s">
        <v>35021</v>
      </c>
      <c r="D17114" s="330" t="s">
        <v>35022</v>
      </c>
      <c r="E17114" s="330" t="s">
        <v>4634</v>
      </c>
      <c r="F17114" s="331">
        <v>0.21</v>
      </c>
      <c r="G17114" s="332">
        <v>153</v>
      </c>
      <c r="H17114" s="333">
        <v>186</v>
      </c>
    </row>
    <row r="17115" spans="1:8">
      <c r="A17115" s="317" t="s">
        <v>42999</v>
      </c>
      <c r="B17115" s="330" t="s">
        <v>61467</v>
      </c>
      <c r="C17115" s="330" t="s">
        <v>35023</v>
      </c>
      <c r="D17115" s="330" t="s">
        <v>35024</v>
      </c>
      <c r="E17115" s="330" t="s">
        <v>4819</v>
      </c>
      <c r="F17115" s="331">
        <v>0.21</v>
      </c>
      <c r="G17115" s="332">
        <v>3607</v>
      </c>
      <c r="H17115" s="333">
        <v>4365</v>
      </c>
    </row>
    <row r="17116" spans="1:8">
      <c r="A17116" s="317" t="s">
        <v>43000</v>
      </c>
      <c r="B17116" s="330" t="s">
        <v>61468</v>
      </c>
      <c r="C17116" s="330" t="s">
        <v>35025</v>
      </c>
      <c r="D17116" s="330" t="s">
        <v>35026</v>
      </c>
      <c r="E17116" s="330" t="s">
        <v>4634</v>
      </c>
      <c r="F17116" s="331">
        <v>0.21</v>
      </c>
      <c r="G17116" s="332">
        <v>14270</v>
      </c>
      <c r="H17116" s="333">
        <v>17267</v>
      </c>
    </row>
    <row r="17117" spans="1:8">
      <c r="A17117" s="317" t="s">
        <v>43001</v>
      </c>
      <c r="B17117" s="330" t="s">
        <v>61469</v>
      </c>
      <c r="C17117" s="330" t="s">
        <v>35027</v>
      </c>
      <c r="D17117" s="330" t="s">
        <v>35028</v>
      </c>
      <c r="E17117" s="330" t="s">
        <v>4634</v>
      </c>
      <c r="F17117" s="331">
        <v>0.21</v>
      </c>
      <c r="G17117" s="332">
        <v>1505</v>
      </c>
      <c r="H17117" s="333">
        <v>1822</v>
      </c>
    </row>
    <row r="17118" spans="1:8">
      <c r="A17118" s="317" t="s">
        <v>43002</v>
      </c>
      <c r="B17118" s="330" t="s">
        <v>61470</v>
      </c>
      <c r="C17118" s="330" t="s">
        <v>35029</v>
      </c>
      <c r="D17118" s="330" t="s">
        <v>35030</v>
      </c>
      <c r="E17118" s="330" t="s">
        <v>4634</v>
      </c>
      <c r="F17118" s="331">
        <v>0.21</v>
      </c>
      <c r="G17118" s="332">
        <v>2027</v>
      </c>
      <c r="H17118" s="333">
        <v>2453</v>
      </c>
    </row>
    <row r="17119" spans="1:8">
      <c r="A17119" s="317" t="s">
        <v>43003</v>
      </c>
      <c r="B17119" s="330" t="s">
        <v>61471</v>
      </c>
      <c r="C17119" s="330" t="s">
        <v>35031</v>
      </c>
      <c r="D17119" s="330" t="s">
        <v>35032</v>
      </c>
      <c r="E17119" s="330" t="s">
        <v>4634</v>
      </c>
      <c r="F17119" s="331">
        <v>0.21</v>
      </c>
      <c r="G17119" s="332">
        <v>11017</v>
      </c>
      <c r="H17119" s="333">
        <v>13331</v>
      </c>
    </row>
    <row r="17120" spans="1:8">
      <c r="A17120" s="317" t="s">
        <v>43004</v>
      </c>
      <c r="B17120" s="330" t="s">
        <v>61472</v>
      </c>
      <c r="C17120" s="330" t="s">
        <v>35033</v>
      </c>
      <c r="D17120" s="330" t="s">
        <v>35034</v>
      </c>
      <c r="E17120" s="330" t="s">
        <v>4634</v>
      </c>
      <c r="F17120" s="331">
        <v>0.21</v>
      </c>
      <c r="G17120" s="332">
        <v>23639</v>
      </c>
      <c r="H17120" s="333">
        <v>28604</v>
      </c>
    </row>
    <row r="17121" spans="1:8">
      <c r="A17121" s="317" t="s">
        <v>43005</v>
      </c>
      <c r="B17121" s="330" t="s">
        <v>61473</v>
      </c>
      <c r="C17121" s="330" t="s">
        <v>35035</v>
      </c>
      <c r="D17121" s="330" t="s">
        <v>35036</v>
      </c>
      <c r="E17121" s="330" t="s">
        <v>4634</v>
      </c>
      <c r="F17121" s="331">
        <v>0.21</v>
      </c>
      <c r="G17121" s="332">
        <v>9166</v>
      </c>
      <c r="H17121" s="333">
        <v>11091</v>
      </c>
    </row>
    <row r="17122" spans="1:8">
      <c r="A17122" s="317" t="s">
        <v>43006</v>
      </c>
      <c r="B17122" s="330" t="s">
        <v>61474</v>
      </c>
      <c r="C17122" s="330" t="s">
        <v>35037</v>
      </c>
      <c r="D17122" s="330" t="s">
        <v>35038</v>
      </c>
      <c r="E17122" s="330" t="s">
        <v>4634</v>
      </c>
      <c r="F17122" s="331">
        <v>0.21</v>
      </c>
      <c r="G17122" s="332">
        <v>1748</v>
      </c>
      <c r="H17122" s="333">
        <v>2116</v>
      </c>
    </row>
    <row r="17123" spans="1:8">
      <c r="A17123" s="317" t="s">
        <v>43007</v>
      </c>
      <c r="B17123" s="330" t="s">
        <v>61475</v>
      </c>
      <c r="C17123" s="330" t="s">
        <v>35039</v>
      </c>
      <c r="D17123" s="330" t="s">
        <v>35040</v>
      </c>
      <c r="E17123" s="330" t="s">
        <v>4819</v>
      </c>
      <c r="F17123" s="331">
        <v>0.21</v>
      </c>
      <c r="G17123" s="332">
        <v>910</v>
      </c>
      <c r="H17123" s="333">
        <v>1102</v>
      </c>
    </row>
    <row r="17124" spans="1:8">
      <c r="A17124" s="317" t="s">
        <v>43008</v>
      </c>
      <c r="B17124" s="330" t="s">
        <v>61476</v>
      </c>
      <c r="C17124" s="330" t="s">
        <v>35041</v>
      </c>
      <c r="D17124" s="330" t="s">
        <v>35042</v>
      </c>
      <c r="E17124" s="330" t="s">
        <v>4634</v>
      </c>
      <c r="F17124" s="331">
        <v>0.21</v>
      </c>
      <c r="G17124" s="332">
        <v>13591</v>
      </c>
      <c r="H17124" s="333">
        <v>16446</v>
      </c>
    </row>
    <row r="17125" spans="1:8">
      <c r="A17125" s="317" t="s">
        <v>43009</v>
      </c>
      <c r="B17125" s="330" t="s">
        <v>61477</v>
      </c>
      <c r="C17125" s="330" t="s">
        <v>35043</v>
      </c>
      <c r="D17125" s="330" t="s">
        <v>35044</v>
      </c>
      <c r="E17125" s="330" t="s">
        <v>4634</v>
      </c>
      <c r="F17125" s="331">
        <v>0.21</v>
      </c>
      <c r="G17125" s="332">
        <v>3696</v>
      </c>
      <c r="H17125" s="333">
        <v>4473</v>
      </c>
    </row>
    <row r="17126" spans="1:8">
      <c r="A17126" s="317" t="s">
        <v>43010</v>
      </c>
      <c r="B17126" s="330" t="s">
        <v>61478</v>
      </c>
      <c r="C17126" s="330" t="s">
        <v>35045</v>
      </c>
      <c r="D17126" s="330" t="s">
        <v>35046</v>
      </c>
      <c r="E17126" s="330" t="s">
        <v>4634</v>
      </c>
      <c r="F17126" s="331">
        <v>0.21</v>
      </c>
      <c r="G17126" s="332">
        <v>7069</v>
      </c>
      <c r="H17126" s="333">
        <v>8554</v>
      </c>
    </row>
    <row r="17127" spans="1:8">
      <c r="A17127" s="317" t="s">
        <v>43011</v>
      </c>
      <c r="B17127" s="330" t="s">
        <v>61479</v>
      </c>
      <c r="C17127" s="330" t="s">
        <v>35047</v>
      </c>
      <c r="D17127" s="330" t="s">
        <v>35048</v>
      </c>
      <c r="E17127" s="330" t="s">
        <v>4634</v>
      </c>
      <c r="F17127" s="331">
        <v>0.21</v>
      </c>
      <c r="G17127" s="332">
        <v>3966</v>
      </c>
      <c r="H17127" s="333">
        <v>4799</v>
      </c>
    </row>
    <row r="17128" spans="1:8">
      <c r="A17128" s="317" t="s">
        <v>43012</v>
      </c>
      <c r="B17128" s="330" t="s">
        <v>61480</v>
      </c>
      <c r="C17128" s="330" t="s">
        <v>35049</v>
      </c>
      <c r="D17128" s="330" t="s">
        <v>35050</v>
      </c>
      <c r="E17128" s="330" t="s">
        <v>4634</v>
      </c>
      <c r="F17128" s="331">
        <v>0.21</v>
      </c>
      <c r="G17128" s="332">
        <v>25424</v>
      </c>
      <c r="H17128" s="333">
        <v>30764</v>
      </c>
    </row>
    <row r="17129" spans="1:8">
      <c r="A17129" s="317" t="s">
        <v>43013</v>
      </c>
      <c r="B17129" s="330" t="s">
        <v>61481</v>
      </c>
      <c r="C17129" s="330" t="s">
        <v>35051</v>
      </c>
      <c r="D17129" s="330" t="s">
        <v>35052</v>
      </c>
      <c r="E17129" s="330" t="s">
        <v>4634</v>
      </c>
      <c r="F17129" s="331">
        <v>0.21</v>
      </c>
      <c r="G17129" s="332">
        <v>11541</v>
      </c>
      <c r="H17129" s="333">
        <v>13965</v>
      </c>
    </row>
    <row r="17130" spans="1:8">
      <c r="A17130" s="317" t="s">
        <v>43014</v>
      </c>
      <c r="B17130" s="330" t="s">
        <v>61482</v>
      </c>
      <c r="C17130" s="330" t="s">
        <v>35053</v>
      </c>
      <c r="D17130" s="330" t="s">
        <v>35054</v>
      </c>
      <c r="E17130" s="330" t="s">
        <v>4634</v>
      </c>
      <c r="F17130" s="331">
        <v>0.21</v>
      </c>
      <c r="G17130" s="332">
        <v>1012</v>
      </c>
      <c r="H17130" s="333">
        <v>1225</v>
      </c>
    </row>
    <row r="17131" spans="1:8">
      <c r="A17131" s="317" t="s">
        <v>43015</v>
      </c>
      <c r="B17131" s="330" t="s">
        <v>61483</v>
      </c>
      <c r="C17131" s="330" t="s">
        <v>35055</v>
      </c>
      <c r="D17131" s="330" t="s">
        <v>35056</v>
      </c>
      <c r="E17131" s="330" t="s">
        <v>4634</v>
      </c>
      <c r="F17131" s="331">
        <v>0.21</v>
      </c>
      <c r="G17131" s="332">
        <v>1748</v>
      </c>
      <c r="H17131" s="333">
        <v>2116</v>
      </c>
    </row>
    <row r="17132" spans="1:8">
      <c r="A17132" s="317" t="s">
        <v>43016</v>
      </c>
      <c r="B17132" s="330" t="s">
        <v>61484</v>
      </c>
      <c r="C17132" s="330" t="s">
        <v>35057</v>
      </c>
      <c r="D17132" s="330" t="s">
        <v>35058</v>
      </c>
      <c r="E17132" s="330" t="s">
        <v>4623</v>
      </c>
      <c r="F17132" s="331">
        <v>0.21</v>
      </c>
      <c r="G17132" s="332">
        <v>3785</v>
      </c>
      <c r="H17132" s="333">
        <v>4580</v>
      </c>
    </row>
    <row r="17133" spans="1:8">
      <c r="A17133" s="317" t="s">
        <v>43017</v>
      </c>
      <c r="B17133" s="330" t="s">
        <v>61485</v>
      </c>
      <c r="C17133" s="330" t="s">
        <v>35059</v>
      </c>
      <c r="D17133" s="330" t="s">
        <v>35060</v>
      </c>
      <c r="E17133" s="330" t="s">
        <v>4634</v>
      </c>
      <c r="F17133" s="331">
        <v>0.21</v>
      </c>
      <c r="G17133" s="332">
        <v>21098</v>
      </c>
      <c r="H17133" s="333">
        <v>25529</v>
      </c>
    </row>
    <row r="17134" spans="1:8">
      <c r="A17134" s="317" t="s">
        <v>43018</v>
      </c>
      <c r="B17134" s="330" t="s">
        <v>61486</v>
      </c>
      <c r="C17134" s="330" t="s">
        <v>35061</v>
      </c>
      <c r="D17134" s="330" t="s">
        <v>35062</v>
      </c>
      <c r="E17134" s="330" t="s">
        <v>4634</v>
      </c>
      <c r="F17134" s="331">
        <v>0.21</v>
      </c>
      <c r="G17134" s="332">
        <v>1150</v>
      </c>
      <c r="H17134" s="333">
        <v>1392</v>
      </c>
    </row>
    <row r="17135" spans="1:8">
      <c r="A17135" s="317" t="s">
        <v>43019</v>
      </c>
      <c r="B17135" s="330" t="s">
        <v>61487</v>
      </c>
      <c r="C17135" s="330" t="s">
        <v>35063</v>
      </c>
      <c r="D17135" s="330" t="s">
        <v>35064</v>
      </c>
      <c r="E17135" s="330" t="s">
        <v>4634</v>
      </c>
      <c r="F17135" s="331">
        <v>0.21</v>
      </c>
      <c r="G17135" s="332">
        <v>2261</v>
      </c>
      <c r="H17135" s="333">
        <v>2736</v>
      </c>
    </row>
    <row r="17136" spans="1:8">
      <c r="A17136" s="317" t="s">
        <v>43020</v>
      </c>
      <c r="B17136" s="330" t="s">
        <v>61488</v>
      </c>
      <c r="C17136" s="330" t="s">
        <v>35065</v>
      </c>
      <c r="D17136" s="330" t="s">
        <v>35066</v>
      </c>
      <c r="E17136" s="330" t="s">
        <v>4634</v>
      </c>
      <c r="F17136" s="331">
        <v>0.21</v>
      </c>
      <c r="G17136" s="332">
        <v>289</v>
      </c>
      <c r="H17136" s="333">
        <v>350</v>
      </c>
    </row>
    <row r="17137" spans="1:8">
      <c r="A17137" s="317" t="s">
        <v>43021</v>
      </c>
      <c r="B17137" s="330" t="s">
        <v>61489</v>
      </c>
      <c r="C17137" s="330" t="s">
        <v>35067</v>
      </c>
      <c r="D17137" s="330" t="s">
        <v>35068</v>
      </c>
      <c r="E17137" s="330" t="s">
        <v>37248</v>
      </c>
      <c r="F17137" s="331">
        <v>0.21</v>
      </c>
      <c r="G17137" s="332">
        <v>22019</v>
      </c>
      <c r="H17137" s="333">
        <v>26643</v>
      </c>
    </row>
    <row r="17138" spans="1:8">
      <c r="A17138" s="317" t="s">
        <v>43022</v>
      </c>
      <c r="B17138" s="330" t="s">
        <v>61490</v>
      </c>
      <c r="C17138" s="330" t="s">
        <v>35069</v>
      </c>
      <c r="D17138" s="330" t="s">
        <v>35070</v>
      </c>
      <c r="E17138" s="330" t="s">
        <v>4634</v>
      </c>
      <c r="F17138" s="331">
        <v>0.21</v>
      </c>
      <c r="G17138" s="332">
        <v>2491</v>
      </c>
      <c r="H17138" s="333">
        <v>3015</v>
      </c>
    </row>
    <row r="17139" spans="1:8">
      <c r="A17139" s="317" t="s">
        <v>43023</v>
      </c>
      <c r="B17139" s="330" t="s">
        <v>61491</v>
      </c>
      <c r="C17139" s="330" t="s">
        <v>35071</v>
      </c>
      <c r="D17139" s="330" t="s">
        <v>35072</v>
      </c>
      <c r="E17139" s="330" t="s">
        <v>4634</v>
      </c>
      <c r="F17139" s="331">
        <v>0.21</v>
      </c>
      <c r="G17139" s="332">
        <v>1416</v>
      </c>
      <c r="H17139" s="333">
        <v>1714</v>
      </c>
    </row>
    <row r="17140" spans="1:8">
      <c r="A17140" s="317" t="s">
        <v>43024</v>
      </c>
      <c r="B17140" s="330" t="s">
        <v>61492</v>
      </c>
      <c r="C17140" s="330" t="s">
        <v>35073</v>
      </c>
      <c r="D17140" s="330" t="s">
        <v>35074</v>
      </c>
      <c r="E17140" s="330" t="s">
        <v>4634</v>
      </c>
      <c r="F17140" s="331">
        <v>0.21</v>
      </c>
      <c r="G17140" s="332">
        <v>584</v>
      </c>
      <c r="H17140" s="333">
        <v>707</v>
      </c>
    </row>
    <row r="17141" spans="1:8">
      <c r="A17141" s="317" t="s">
        <v>43025</v>
      </c>
      <c r="B17141" s="330" t="s">
        <v>61493</v>
      </c>
      <c r="C17141" s="330" t="s">
        <v>35075</v>
      </c>
      <c r="D17141" s="330" t="s">
        <v>35076</v>
      </c>
      <c r="E17141" s="330" t="s">
        <v>4634</v>
      </c>
      <c r="F17141" s="331">
        <v>0.21</v>
      </c>
      <c r="G17141" s="332">
        <v>5737</v>
      </c>
      <c r="H17141" s="333">
        <v>6942</v>
      </c>
    </row>
    <row r="17142" spans="1:8">
      <c r="A17142" s="317" t="s">
        <v>43026</v>
      </c>
      <c r="B17142" s="330" t="s">
        <v>61494</v>
      </c>
      <c r="C17142" s="330" t="s">
        <v>35077</v>
      </c>
      <c r="D17142" s="330" t="s">
        <v>35078</v>
      </c>
      <c r="E17142" s="330" t="s">
        <v>4634</v>
      </c>
      <c r="F17142" s="331">
        <v>0.21</v>
      </c>
      <c r="G17142" s="332">
        <v>10828</v>
      </c>
      <c r="H17142" s="333">
        <v>13102</v>
      </c>
    </row>
    <row r="17143" spans="1:8">
      <c r="A17143" s="317" t="s">
        <v>43027</v>
      </c>
      <c r="B17143" s="330" t="s">
        <v>61495</v>
      </c>
      <c r="C17143" s="330" t="s">
        <v>35079</v>
      </c>
      <c r="D17143" s="330" t="s">
        <v>35080</v>
      </c>
      <c r="E17143" s="330" t="s">
        <v>4634</v>
      </c>
      <c r="F17143" s="331">
        <v>0.21</v>
      </c>
      <c r="G17143" s="332">
        <v>4512</v>
      </c>
      <c r="H17143" s="333">
        <v>5460</v>
      </c>
    </row>
    <row r="17144" spans="1:8">
      <c r="A17144" s="317" t="s">
        <v>43028</v>
      </c>
      <c r="B17144" s="330" t="s">
        <v>61496</v>
      </c>
      <c r="C17144" s="330" t="s">
        <v>35081</v>
      </c>
      <c r="D17144" s="330" t="s">
        <v>35082</v>
      </c>
      <c r="E17144" s="330" t="s">
        <v>4819</v>
      </c>
      <c r="F17144" s="331">
        <v>0.21</v>
      </c>
      <c r="G17144" s="332">
        <v>339</v>
      </c>
      <c r="H17144" s="333">
        <v>411</v>
      </c>
    </row>
    <row r="17145" spans="1:8">
      <c r="A17145" s="317" t="s">
        <v>43029</v>
      </c>
      <c r="B17145" s="330" t="s">
        <v>61497</v>
      </c>
      <c r="C17145" s="330" t="s">
        <v>35083</v>
      </c>
      <c r="D17145" s="330" t="s">
        <v>35084</v>
      </c>
      <c r="E17145" s="330" t="s">
        <v>4634</v>
      </c>
      <c r="F17145" s="331">
        <v>0.21</v>
      </c>
      <c r="G17145" s="332">
        <v>9215</v>
      </c>
      <c r="H17145" s="333">
        <v>11151</v>
      </c>
    </row>
    <row r="17146" spans="1:8">
      <c r="A17146" s="317" t="s">
        <v>43030</v>
      </c>
      <c r="B17146" s="330" t="s">
        <v>61498</v>
      </c>
      <c r="C17146" s="330" t="s">
        <v>35085</v>
      </c>
      <c r="D17146" s="330" t="s">
        <v>35086</v>
      </c>
      <c r="E17146" s="330" t="s">
        <v>4623</v>
      </c>
      <c r="F17146" s="331">
        <v>0.21</v>
      </c>
      <c r="G17146" s="332">
        <v>5737</v>
      </c>
      <c r="H17146" s="333">
        <v>6942</v>
      </c>
    </row>
    <row r="17147" spans="1:8">
      <c r="A17147" s="317" t="s">
        <v>43031</v>
      </c>
      <c r="B17147" s="330" t="s">
        <v>61499</v>
      </c>
      <c r="C17147" s="330" t="s">
        <v>35087</v>
      </c>
      <c r="D17147" s="330" t="s">
        <v>35088</v>
      </c>
      <c r="E17147" s="330" t="s">
        <v>4634</v>
      </c>
      <c r="F17147" s="331">
        <v>0.21</v>
      </c>
      <c r="G17147" s="332">
        <v>1075</v>
      </c>
      <c r="H17147" s="333">
        <v>1301</v>
      </c>
    </row>
    <row r="17148" spans="1:8">
      <c r="A17148" s="317" t="s">
        <v>43032</v>
      </c>
      <c r="B17148" s="330" t="s">
        <v>61500</v>
      </c>
      <c r="C17148" s="330" t="s">
        <v>35089</v>
      </c>
      <c r="D17148" s="330" t="s">
        <v>35090</v>
      </c>
      <c r="E17148" s="330" t="s">
        <v>4634</v>
      </c>
      <c r="F17148" s="331">
        <v>0.21</v>
      </c>
      <c r="G17148" s="332">
        <v>39529</v>
      </c>
      <c r="H17148" s="333">
        <v>47831</v>
      </c>
    </row>
    <row r="17149" spans="1:8">
      <c r="A17149" s="317" t="s">
        <v>43033</v>
      </c>
      <c r="B17149" s="330" t="s">
        <v>61501</v>
      </c>
      <c r="C17149" s="330" t="s">
        <v>35091</v>
      </c>
      <c r="D17149" s="330" t="s">
        <v>35092</v>
      </c>
      <c r="E17149" s="330" t="s">
        <v>4634</v>
      </c>
      <c r="F17149" s="331">
        <v>0.21</v>
      </c>
      <c r="G17149" s="332">
        <v>2890</v>
      </c>
      <c r="H17149" s="333">
        <v>3497</v>
      </c>
    </row>
    <row r="17150" spans="1:8">
      <c r="A17150" s="317" t="s">
        <v>43034</v>
      </c>
      <c r="B17150" s="330" t="s">
        <v>61502</v>
      </c>
      <c r="C17150" s="330" t="s">
        <v>35093</v>
      </c>
      <c r="D17150" s="330" t="s">
        <v>35094</v>
      </c>
      <c r="E17150" s="330" t="s">
        <v>4634</v>
      </c>
      <c r="F17150" s="331">
        <v>0.21</v>
      </c>
      <c r="G17150" s="332">
        <v>2098</v>
      </c>
      <c r="H17150" s="333">
        <v>2539</v>
      </c>
    </row>
    <row r="17151" spans="1:8">
      <c r="A17151" s="317" t="s">
        <v>43035</v>
      </c>
      <c r="B17151" s="330" t="s">
        <v>61503</v>
      </c>
      <c r="C17151" s="330" t="s">
        <v>35095</v>
      </c>
      <c r="D17151" s="330" t="s">
        <v>35096</v>
      </c>
      <c r="E17151" s="330" t="s">
        <v>4634</v>
      </c>
      <c r="F17151" s="331">
        <v>0.21</v>
      </c>
      <c r="G17151" s="332">
        <v>678</v>
      </c>
      <c r="H17151" s="333">
        <v>821</v>
      </c>
    </row>
    <row r="17152" spans="1:8">
      <c r="A17152" s="317" t="s">
        <v>43036</v>
      </c>
      <c r="B17152" s="330" t="s">
        <v>61504</v>
      </c>
      <c r="C17152" s="330" t="s">
        <v>35097</v>
      </c>
      <c r="D17152" s="330" t="s">
        <v>35098</v>
      </c>
      <c r="E17152" s="330" t="s">
        <v>37248</v>
      </c>
      <c r="F17152" s="331">
        <v>0.21</v>
      </c>
      <c r="G17152" s="332">
        <v>67001</v>
      </c>
      <c r="H17152" s="333">
        <v>81072</v>
      </c>
    </row>
    <row r="17153" spans="1:8">
      <c r="A17153" s="317" t="s">
        <v>43037</v>
      </c>
      <c r="B17153" s="330" t="s">
        <v>61505</v>
      </c>
      <c r="C17153" s="330" t="s">
        <v>35099</v>
      </c>
      <c r="D17153" s="330" t="s">
        <v>35100</v>
      </c>
      <c r="E17153" s="330" t="s">
        <v>4634</v>
      </c>
      <c r="F17153" s="331">
        <v>0.21</v>
      </c>
      <c r="G17153" s="332">
        <v>4057</v>
      </c>
      <c r="H17153" s="333">
        <v>4909</v>
      </c>
    </row>
    <row r="17154" spans="1:8">
      <c r="A17154" s="317" t="s">
        <v>43038</v>
      </c>
      <c r="B17154" s="330" t="s">
        <v>61506</v>
      </c>
      <c r="C17154" s="330" t="s">
        <v>35101</v>
      </c>
      <c r="D17154" s="330" t="s">
        <v>32095</v>
      </c>
      <c r="E17154" s="330" t="s">
        <v>4819</v>
      </c>
      <c r="F17154" s="331">
        <v>0.21</v>
      </c>
      <c r="G17154" s="332">
        <v>1974</v>
      </c>
      <c r="H17154" s="333">
        <v>2389</v>
      </c>
    </row>
    <row r="17155" spans="1:8">
      <c r="A17155" s="317" t="s">
        <v>43039</v>
      </c>
      <c r="B17155" s="330" t="s">
        <v>61507</v>
      </c>
      <c r="C17155" s="330" t="s">
        <v>35102</v>
      </c>
      <c r="D17155" s="330" t="s">
        <v>35103</v>
      </c>
      <c r="E17155" s="330" t="s">
        <v>4634</v>
      </c>
      <c r="F17155" s="331">
        <v>0.21</v>
      </c>
      <c r="G17155" s="332">
        <v>33425</v>
      </c>
      <c r="H17155" s="333">
        <v>40445</v>
      </c>
    </row>
    <row r="17156" spans="1:8">
      <c r="A17156" s="317" t="s">
        <v>43040</v>
      </c>
      <c r="B17156" s="330" t="s">
        <v>61508</v>
      </c>
      <c r="C17156" s="330" t="s">
        <v>35104</v>
      </c>
      <c r="D17156" s="330" t="s">
        <v>35105</v>
      </c>
      <c r="E17156" s="330" t="s">
        <v>4634</v>
      </c>
      <c r="F17156" s="331">
        <v>0.21</v>
      </c>
      <c r="G17156" s="332">
        <v>34944</v>
      </c>
      <c r="H17156" s="333">
        <v>42283</v>
      </c>
    </row>
    <row r="17157" spans="1:8">
      <c r="A17157" s="317" t="s">
        <v>43041</v>
      </c>
      <c r="B17157" s="330" t="s">
        <v>61509</v>
      </c>
      <c r="C17157" s="330" t="s">
        <v>35106</v>
      </c>
      <c r="D17157" s="330" t="s">
        <v>9501</v>
      </c>
      <c r="E17157" s="330" t="s">
        <v>4634</v>
      </c>
      <c r="F17157" s="331">
        <v>0.21</v>
      </c>
      <c r="G17157" s="332">
        <v>39317</v>
      </c>
      <c r="H17157" s="333">
        <v>47574</v>
      </c>
    </row>
    <row r="17158" spans="1:8">
      <c r="A17158" s="317" t="s">
        <v>43042</v>
      </c>
      <c r="B17158" s="330" t="s">
        <v>61510</v>
      </c>
      <c r="C17158" s="330" t="s">
        <v>35107</v>
      </c>
      <c r="D17158" s="330" t="s">
        <v>35108</v>
      </c>
      <c r="E17158" s="330" t="s">
        <v>4634</v>
      </c>
      <c r="F17158" s="331">
        <v>0.21</v>
      </c>
      <c r="G17158" s="332">
        <v>38596</v>
      </c>
      <c r="H17158" s="333">
        <v>46702</v>
      </c>
    </row>
    <row r="17159" spans="1:8">
      <c r="A17159" s="317" t="s">
        <v>43043</v>
      </c>
      <c r="B17159" s="330" t="s">
        <v>61511</v>
      </c>
      <c r="C17159" s="330" t="s">
        <v>35109</v>
      </c>
      <c r="D17159" s="330" t="s">
        <v>35110</v>
      </c>
      <c r="E17159" s="330" t="s">
        <v>4634</v>
      </c>
      <c r="F17159" s="331">
        <v>0.21</v>
      </c>
      <c r="G17159" s="332">
        <v>73</v>
      </c>
      <c r="H17159" s="333">
        <v>89</v>
      </c>
    </row>
    <row r="17160" spans="1:8">
      <c r="A17160" s="317" t="s">
        <v>43044</v>
      </c>
      <c r="B17160" s="330" t="s">
        <v>61512</v>
      </c>
      <c r="C17160" s="330" t="s">
        <v>35111</v>
      </c>
      <c r="D17160" s="330" t="s">
        <v>35112</v>
      </c>
      <c r="E17160" s="330" t="s">
        <v>4819</v>
      </c>
      <c r="F17160" s="331">
        <v>0.21</v>
      </c>
      <c r="G17160" s="332">
        <v>734735</v>
      </c>
      <c r="H17160" s="333">
        <v>889030</v>
      </c>
    </row>
    <row r="17161" spans="1:8">
      <c r="A17161" s="317" t="s">
        <v>43045</v>
      </c>
      <c r="B17161" s="330" t="s">
        <v>61513</v>
      </c>
      <c r="C17161" s="330" t="s">
        <v>35113</v>
      </c>
      <c r="D17161" s="330" t="s">
        <v>35114</v>
      </c>
      <c r="E17161" s="330" t="s">
        <v>37248</v>
      </c>
      <c r="F17161" s="331">
        <v>0.21</v>
      </c>
      <c r="G17161" s="332">
        <v>20743</v>
      </c>
      <c r="H17161" s="333">
        <v>25100</v>
      </c>
    </row>
    <row r="17162" spans="1:8">
      <c r="A17162" s="317" t="s">
        <v>43046</v>
      </c>
      <c r="B17162" s="330" t="s">
        <v>61514</v>
      </c>
      <c r="C17162" s="330" t="s">
        <v>35115</v>
      </c>
      <c r="D17162" s="330" t="s">
        <v>35116</v>
      </c>
      <c r="E17162" s="330" t="s">
        <v>37248</v>
      </c>
      <c r="F17162" s="331">
        <v>0.21</v>
      </c>
      <c r="G17162" s="332">
        <v>266969</v>
      </c>
      <c r="H17162" s="333">
        <v>323033</v>
      </c>
    </row>
    <row r="17163" spans="1:8">
      <c r="A17163" s="317" t="s">
        <v>43047</v>
      </c>
      <c r="B17163" s="330" t="s">
        <v>61515</v>
      </c>
      <c r="C17163" s="330" t="s">
        <v>35117</v>
      </c>
      <c r="D17163" s="330" t="s">
        <v>35118</v>
      </c>
      <c r="E17163" s="330" t="s">
        <v>37248</v>
      </c>
      <c r="F17163" s="331">
        <v>0.21</v>
      </c>
      <c r="G17163" s="332">
        <v>51702</v>
      </c>
      <c r="H17163" s="333">
        <v>62560</v>
      </c>
    </row>
    <row r="17164" spans="1:8">
      <c r="A17164" s="317" t="s">
        <v>43048</v>
      </c>
      <c r="B17164" s="330" t="s">
        <v>61516</v>
      </c>
      <c r="C17164" s="330" t="s">
        <v>35119</v>
      </c>
      <c r="D17164" s="330" t="s">
        <v>35120</v>
      </c>
      <c r="E17164" s="330" t="s">
        <v>37248</v>
      </c>
      <c r="F17164" s="331">
        <v>0.21</v>
      </c>
      <c r="G17164" s="332">
        <v>194886</v>
      </c>
      <c r="H17164" s="333">
        <v>235813</v>
      </c>
    </row>
    <row r="17165" spans="1:8">
      <c r="A17165" s="317" t="s">
        <v>43049</v>
      </c>
      <c r="B17165" s="330" t="s">
        <v>61517</v>
      </c>
      <c r="C17165" s="330" t="s">
        <v>35121</v>
      </c>
      <c r="D17165" s="330" t="s">
        <v>35122</v>
      </c>
      <c r="E17165" s="330" t="s">
        <v>4819</v>
      </c>
      <c r="F17165" s="331">
        <v>0.21</v>
      </c>
      <c r="G17165" s="332">
        <v>196566</v>
      </c>
      <c r="H17165" s="333">
        <v>237845</v>
      </c>
    </row>
    <row r="17166" spans="1:8">
      <c r="A17166" s="317" t="s">
        <v>43050</v>
      </c>
      <c r="B17166" s="330" t="s">
        <v>61518</v>
      </c>
      <c r="C17166" s="330" t="s">
        <v>35123</v>
      </c>
      <c r="D17166" s="330" t="s">
        <v>35124</v>
      </c>
      <c r="E17166" s="330" t="s">
        <v>4819</v>
      </c>
      <c r="F17166" s="331">
        <v>0.21</v>
      </c>
      <c r="G17166" s="332">
        <v>51999</v>
      </c>
      <c r="H17166" s="333">
        <v>62919</v>
      </c>
    </row>
    <row r="17167" spans="1:8">
      <c r="A17167" s="317" t="s">
        <v>43051</v>
      </c>
      <c r="B17167" s="330" t="s">
        <v>61519</v>
      </c>
      <c r="C17167" s="330" t="s">
        <v>35125</v>
      </c>
      <c r="D17167" s="330" t="s">
        <v>35126</v>
      </c>
      <c r="E17167" s="330" t="s">
        <v>37248</v>
      </c>
      <c r="F17167" s="331">
        <v>0.21</v>
      </c>
      <c r="G17167" s="332">
        <v>42025</v>
      </c>
      <c r="H17167" s="333">
        <v>50851</v>
      </c>
    </row>
    <row r="17168" spans="1:8">
      <c r="A17168" s="317" t="s">
        <v>43052</v>
      </c>
      <c r="B17168" s="330" t="s">
        <v>61520</v>
      </c>
      <c r="C17168" s="330" t="s">
        <v>35127</v>
      </c>
      <c r="D17168" s="330" t="s">
        <v>35128</v>
      </c>
      <c r="E17168" s="330" t="s">
        <v>37248</v>
      </c>
      <c r="F17168" s="331">
        <v>0.21</v>
      </c>
      <c r="G17168" s="332">
        <v>7511</v>
      </c>
      <c r="H17168" s="333">
        <v>9089</v>
      </c>
    </row>
    <row r="17169" spans="1:8">
      <c r="A17169" s="317" t="s">
        <v>43053</v>
      </c>
      <c r="B17169" s="330" t="s">
        <v>61521</v>
      </c>
      <c r="C17169" s="330" t="s">
        <v>35129</v>
      </c>
      <c r="D17169" s="330" t="s">
        <v>35130</v>
      </c>
      <c r="E17169" s="330" t="s">
        <v>37248</v>
      </c>
      <c r="F17169" s="331">
        <v>0.21</v>
      </c>
      <c r="G17169" s="332">
        <v>141888</v>
      </c>
      <c r="H17169" s="333">
        <v>171685</v>
      </c>
    </row>
    <row r="17170" spans="1:8">
      <c r="A17170" s="317" t="s">
        <v>43054</v>
      </c>
      <c r="B17170" s="330" t="s">
        <v>61522</v>
      </c>
      <c r="C17170" s="330" t="s">
        <v>35131</v>
      </c>
      <c r="D17170" s="330" t="s">
        <v>35132</v>
      </c>
      <c r="E17170" s="330" t="s">
        <v>4634</v>
      </c>
      <c r="F17170" s="331">
        <v>0.21</v>
      </c>
      <c r="G17170" s="332">
        <v>3326</v>
      </c>
      <c r="H17170" s="333">
        <v>4025</v>
      </c>
    </row>
    <row r="17171" spans="1:8">
      <c r="A17171" s="317" t="s">
        <v>43055</v>
      </c>
      <c r="B17171" s="330" t="s">
        <v>61523</v>
      </c>
      <c r="C17171" s="330" t="s">
        <v>35133</v>
      </c>
      <c r="D17171" s="330" t="s">
        <v>35134</v>
      </c>
      <c r="E17171" s="330" t="s">
        <v>4634</v>
      </c>
      <c r="F17171" s="331">
        <v>0.21</v>
      </c>
      <c r="G17171" s="332">
        <v>4024</v>
      </c>
      <c r="H17171" s="333">
        <v>4870</v>
      </c>
    </row>
    <row r="17172" spans="1:8">
      <c r="A17172" s="317" t="s">
        <v>43056</v>
      </c>
      <c r="B17172" s="330" t="s">
        <v>61524</v>
      </c>
      <c r="C17172" s="330" t="s">
        <v>35135</v>
      </c>
      <c r="D17172" s="330" t="s">
        <v>35136</v>
      </c>
      <c r="E17172" s="330" t="s">
        <v>4634</v>
      </c>
      <c r="F17172" s="331">
        <v>0.21</v>
      </c>
      <c r="G17172" s="332">
        <v>1199</v>
      </c>
      <c r="H17172" s="333">
        <v>1451</v>
      </c>
    </row>
    <row r="17173" spans="1:8">
      <c r="A17173" s="317" t="s">
        <v>43057</v>
      </c>
      <c r="B17173" s="330" t="s">
        <v>61525</v>
      </c>
      <c r="C17173" s="330" t="s">
        <v>35137</v>
      </c>
      <c r="D17173" s="330" t="s">
        <v>35138</v>
      </c>
      <c r="E17173" s="330" t="s">
        <v>4634</v>
      </c>
      <c r="F17173" s="331">
        <v>0.21</v>
      </c>
      <c r="G17173" s="332">
        <v>702</v>
      </c>
      <c r="H17173" s="333">
        <v>850</v>
      </c>
    </row>
    <row r="17174" spans="1:8">
      <c r="A17174" s="317" t="s">
        <v>43058</v>
      </c>
      <c r="B17174" s="330" t="s">
        <v>61526</v>
      </c>
      <c r="C17174" s="330" t="s">
        <v>35139</v>
      </c>
      <c r="D17174" s="330" t="s">
        <v>35140</v>
      </c>
      <c r="E17174" s="330" t="s">
        <v>4634</v>
      </c>
      <c r="F17174" s="331">
        <v>0.21</v>
      </c>
      <c r="G17174" s="332">
        <v>5349</v>
      </c>
      <c r="H17174" s="333">
        <v>6473</v>
      </c>
    </row>
    <row r="17175" spans="1:8">
      <c r="A17175" s="317" t="s">
        <v>43059</v>
      </c>
      <c r="B17175" s="330" t="s">
        <v>61527</v>
      </c>
      <c r="C17175" s="330" t="s">
        <v>35141</v>
      </c>
      <c r="D17175" s="330" t="s">
        <v>35142</v>
      </c>
      <c r="E17175" s="330" t="s">
        <v>4623</v>
      </c>
      <c r="F17175" s="331">
        <v>0.21</v>
      </c>
      <c r="G17175" s="332">
        <v>29522</v>
      </c>
      <c r="H17175" s="333">
        <v>35722</v>
      </c>
    </row>
    <row r="17176" spans="1:8">
      <c r="A17176" s="317" t="s">
        <v>43060</v>
      </c>
      <c r="B17176" s="330" t="s">
        <v>61528</v>
      </c>
      <c r="C17176" s="330" t="s">
        <v>35143</v>
      </c>
      <c r="D17176" s="330" t="s">
        <v>35144</v>
      </c>
      <c r="E17176" s="330" t="s">
        <v>4634</v>
      </c>
      <c r="F17176" s="331">
        <v>0.21</v>
      </c>
      <c r="G17176" s="332">
        <v>3297</v>
      </c>
      <c r="H17176" s="333">
        <v>3990</v>
      </c>
    </row>
    <row r="17177" spans="1:8">
      <c r="A17177" s="317" t="s">
        <v>43061</v>
      </c>
      <c r="B17177" s="330" t="s">
        <v>61529</v>
      </c>
      <c r="C17177" s="330" t="s">
        <v>35145</v>
      </c>
      <c r="D17177" s="330" t="s">
        <v>35146</v>
      </c>
      <c r="E17177" s="330" t="s">
        <v>4634</v>
      </c>
      <c r="F17177" s="331">
        <v>0.21</v>
      </c>
      <c r="G17177" s="332">
        <v>6946</v>
      </c>
      <c r="H17177" s="333">
        <v>8405</v>
      </c>
    </row>
    <row r="17178" spans="1:8">
      <c r="A17178" s="317" t="s">
        <v>43062</v>
      </c>
      <c r="B17178" s="330" t="s">
        <v>61530</v>
      </c>
      <c r="C17178" s="330" t="s">
        <v>35147</v>
      </c>
      <c r="D17178" s="330" t="s">
        <v>35148</v>
      </c>
      <c r="E17178" s="330" t="s">
        <v>4634</v>
      </c>
      <c r="F17178" s="331">
        <v>0.21</v>
      </c>
      <c r="G17178" s="332">
        <v>29985</v>
      </c>
      <c r="H17178" s="333">
        <v>36282</v>
      </c>
    </row>
    <row r="17179" spans="1:8">
      <c r="A17179" s="317" t="s">
        <v>43063</v>
      </c>
      <c r="B17179" s="330" t="s">
        <v>61531</v>
      </c>
      <c r="C17179" s="330" t="s">
        <v>35149</v>
      </c>
      <c r="D17179" s="330" t="s">
        <v>35150</v>
      </c>
      <c r="E17179" s="330" t="s">
        <v>4634</v>
      </c>
      <c r="F17179" s="331">
        <v>0.21</v>
      </c>
      <c r="G17179" s="332">
        <v>2059</v>
      </c>
      <c r="H17179" s="333">
        <v>2492</v>
      </c>
    </row>
    <row r="17180" spans="1:8">
      <c r="A17180" s="317" t="s">
        <v>43064</v>
      </c>
      <c r="B17180" s="330" t="s">
        <v>61532</v>
      </c>
      <c r="C17180" s="330" t="s">
        <v>35151</v>
      </c>
      <c r="D17180" s="330" t="s">
        <v>35152</v>
      </c>
      <c r="E17180" s="330" t="s">
        <v>4634</v>
      </c>
      <c r="F17180" s="331">
        <v>0.21</v>
      </c>
      <c r="G17180" s="332">
        <v>17074</v>
      </c>
      <c r="H17180" s="333">
        <v>20660</v>
      </c>
    </row>
    <row r="17181" spans="1:8">
      <c r="A17181" s="317" t="s">
        <v>43065</v>
      </c>
      <c r="B17181" s="330" t="s">
        <v>61533</v>
      </c>
      <c r="C17181" s="330" t="s">
        <v>35153</v>
      </c>
      <c r="D17181" s="330" t="s">
        <v>35154</v>
      </c>
      <c r="E17181" s="330" t="s">
        <v>37248</v>
      </c>
      <c r="F17181" s="331">
        <v>0.21</v>
      </c>
      <c r="G17181" s="332">
        <v>20648</v>
      </c>
      <c r="H17181" s="333">
        <v>24985</v>
      </c>
    </row>
    <row r="17182" spans="1:8">
      <c r="A17182" s="317" t="s">
        <v>43066</v>
      </c>
      <c r="B17182" s="330" t="s">
        <v>61534</v>
      </c>
      <c r="C17182" s="330" t="s">
        <v>35155</v>
      </c>
      <c r="D17182" s="330" t="s">
        <v>35156</v>
      </c>
      <c r="E17182" s="330" t="s">
        <v>37248</v>
      </c>
      <c r="F17182" s="331">
        <v>0.21</v>
      </c>
      <c r="G17182" s="332">
        <v>20603</v>
      </c>
      <c r="H17182" s="333">
        <v>24930</v>
      </c>
    </row>
    <row r="17183" spans="1:8">
      <c r="A17183" s="317" t="s">
        <v>43067</v>
      </c>
      <c r="B17183" s="330" t="s">
        <v>61535</v>
      </c>
      <c r="C17183" s="330" t="s">
        <v>35157</v>
      </c>
      <c r="D17183" s="330" t="s">
        <v>35158</v>
      </c>
      <c r="E17183" s="330" t="s">
        <v>4634</v>
      </c>
      <c r="F17183" s="331">
        <v>0.21</v>
      </c>
      <c r="G17183" s="332">
        <v>3451</v>
      </c>
      <c r="H17183" s="333">
        <v>4176</v>
      </c>
    </row>
    <row r="17184" spans="1:8">
      <c r="A17184" s="317" t="s">
        <v>43068</v>
      </c>
      <c r="B17184" s="330" t="s">
        <v>61536</v>
      </c>
      <c r="C17184" s="330" t="s">
        <v>35159</v>
      </c>
      <c r="D17184" s="330" t="s">
        <v>35160</v>
      </c>
      <c r="E17184" s="330" t="s">
        <v>4634</v>
      </c>
      <c r="F17184" s="331">
        <v>0.21</v>
      </c>
      <c r="G17184" s="332">
        <v>3154</v>
      </c>
      <c r="H17184" s="333">
        <v>3817</v>
      </c>
    </row>
    <row r="17185" spans="1:8">
      <c r="A17185" s="317" t="s">
        <v>43069</v>
      </c>
      <c r="B17185" s="330" t="s">
        <v>61537</v>
      </c>
      <c r="C17185" s="330" t="s">
        <v>35161</v>
      </c>
      <c r="D17185" s="330" t="s">
        <v>35162</v>
      </c>
      <c r="E17185" s="330" t="s">
        <v>4623</v>
      </c>
      <c r="F17185" s="331">
        <v>0.21</v>
      </c>
      <c r="G17185" s="332">
        <v>14662</v>
      </c>
      <c r="H17185" s="333">
        <v>17742</v>
      </c>
    </row>
    <row r="17186" spans="1:8">
      <c r="A17186" s="317" t="s">
        <v>43070</v>
      </c>
      <c r="B17186" s="330" t="s">
        <v>61538</v>
      </c>
      <c r="C17186" s="330" t="s">
        <v>35163</v>
      </c>
      <c r="D17186" s="330" t="s">
        <v>35164</v>
      </c>
      <c r="E17186" s="330" t="s">
        <v>4634</v>
      </c>
      <c r="F17186" s="331">
        <v>0.21</v>
      </c>
      <c r="G17186" s="332">
        <v>2299</v>
      </c>
      <c r="H17186" s="333">
        <v>2782</v>
      </c>
    </row>
    <row r="17187" spans="1:8">
      <c r="A17187" s="317" t="s">
        <v>43071</v>
      </c>
      <c r="B17187" s="330" t="s">
        <v>61539</v>
      </c>
      <c r="C17187" s="330" t="s">
        <v>35165</v>
      </c>
      <c r="D17187" s="330" t="s">
        <v>6109</v>
      </c>
      <c r="E17187" s="330" t="s">
        <v>4634</v>
      </c>
      <c r="F17187" s="331">
        <v>0.21</v>
      </c>
      <c r="G17187" s="332">
        <v>1581</v>
      </c>
      <c r="H17187" s="333">
        <v>1914</v>
      </c>
    </row>
    <row r="17188" spans="1:8">
      <c r="A17188" s="317" t="s">
        <v>43072</v>
      </c>
      <c r="B17188" s="330" t="s">
        <v>61540</v>
      </c>
      <c r="C17188" s="330" t="s">
        <v>35166</v>
      </c>
      <c r="D17188" s="330" t="s">
        <v>35167</v>
      </c>
      <c r="E17188" s="330" t="s">
        <v>4634</v>
      </c>
      <c r="F17188" s="331">
        <v>0.21</v>
      </c>
      <c r="G17188" s="332">
        <v>5933</v>
      </c>
      <c r="H17188" s="333">
        <v>7179</v>
      </c>
    </row>
    <row r="17189" spans="1:8">
      <c r="A17189" s="317" t="s">
        <v>43073</v>
      </c>
      <c r="B17189" s="330" t="s">
        <v>61541</v>
      </c>
      <c r="C17189" s="330" t="s">
        <v>35168</v>
      </c>
      <c r="D17189" s="330" t="s">
        <v>35169</v>
      </c>
      <c r="E17189" s="330" t="s">
        <v>37248</v>
      </c>
      <c r="F17189" s="331">
        <v>0.21</v>
      </c>
      <c r="G17189" s="332">
        <v>16665</v>
      </c>
      <c r="H17189" s="333">
        <v>20165</v>
      </c>
    </row>
    <row r="17190" spans="1:8">
      <c r="A17190" s="317" t="s">
        <v>43074</v>
      </c>
      <c r="B17190" s="330" t="s">
        <v>61542</v>
      </c>
      <c r="C17190" s="330" t="s">
        <v>35170</v>
      </c>
      <c r="D17190" s="330" t="s">
        <v>35171</v>
      </c>
      <c r="E17190" s="330" t="s">
        <v>4623</v>
      </c>
      <c r="F17190" s="331">
        <v>0.21</v>
      </c>
      <c r="G17190" s="332">
        <v>15722</v>
      </c>
      <c r="H17190" s="333">
        <v>19024</v>
      </c>
    </row>
    <row r="17191" spans="1:8">
      <c r="A17191" s="317" t="s">
        <v>43075</v>
      </c>
      <c r="B17191" s="330" t="s">
        <v>61543</v>
      </c>
      <c r="C17191" s="330" t="s">
        <v>35172</v>
      </c>
      <c r="D17191" s="330" t="s">
        <v>35173</v>
      </c>
      <c r="E17191" s="330" t="s">
        <v>4634</v>
      </c>
      <c r="F17191" s="331">
        <v>0.21</v>
      </c>
      <c r="G17191" s="332">
        <v>22229</v>
      </c>
      <c r="H17191" s="333">
        <v>26898</v>
      </c>
    </row>
    <row r="17192" spans="1:8">
      <c r="A17192" s="317" t="s">
        <v>43076</v>
      </c>
      <c r="B17192" s="330" t="s">
        <v>61544</v>
      </c>
      <c r="C17192" s="330" t="s">
        <v>35174</v>
      </c>
      <c r="D17192" s="330" t="s">
        <v>35175</v>
      </c>
      <c r="E17192" s="330" t="s">
        <v>4634</v>
      </c>
      <c r="F17192" s="331">
        <v>0.21</v>
      </c>
      <c r="G17192" s="332">
        <v>4115</v>
      </c>
      <c r="H17192" s="333">
        <v>4980</v>
      </c>
    </row>
    <row r="17193" spans="1:8">
      <c r="A17193" s="317" t="s">
        <v>43077</v>
      </c>
      <c r="B17193" s="330" t="s">
        <v>61545</v>
      </c>
      <c r="C17193" s="330" t="s">
        <v>35176</v>
      </c>
      <c r="D17193" s="330" t="s">
        <v>35177</v>
      </c>
      <c r="E17193" s="330" t="s">
        <v>4634</v>
      </c>
      <c r="F17193" s="331">
        <v>0.21</v>
      </c>
      <c r="G17193" s="332">
        <v>25696</v>
      </c>
      <c r="H17193" s="333">
        <v>31093</v>
      </c>
    </row>
    <row r="17194" spans="1:8">
      <c r="A17194" s="317" t="s">
        <v>43078</v>
      </c>
      <c r="B17194" s="330" t="s">
        <v>61546</v>
      </c>
      <c r="C17194" s="330" t="s">
        <v>35178</v>
      </c>
      <c r="D17194" s="330" t="s">
        <v>35179</v>
      </c>
      <c r="E17194" s="330" t="s">
        <v>4634</v>
      </c>
      <c r="F17194" s="331">
        <v>0.21</v>
      </c>
      <c r="G17194" s="332">
        <v>2034</v>
      </c>
      <c r="H17194" s="333">
        <v>2462</v>
      </c>
    </row>
    <row r="17195" spans="1:8">
      <c r="A17195" s="317" t="s">
        <v>43079</v>
      </c>
      <c r="B17195" s="330" t="s">
        <v>61547</v>
      </c>
      <c r="C17195" s="330" t="s">
        <v>35180</v>
      </c>
      <c r="D17195" s="330" t="s">
        <v>35181</v>
      </c>
      <c r="E17195" s="330" t="s">
        <v>4819</v>
      </c>
      <c r="F17195" s="331">
        <v>0.21</v>
      </c>
      <c r="G17195" s="332">
        <v>22756</v>
      </c>
      <c r="H17195" s="333">
        <v>27535</v>
      </c>
    </row>
    <row r="17196" spans="1:8">
      <c r="A17196" s="317" t="s">
        <v>43080</v>
      </c>
      <c r="B17196" s="330" t="s">
        <v>61548</v>
      </c>
      <c r="C17196" s="330" t="s">
        <v>35182</v>
      </c>
      <c r="D17196" s="330" t="s">
        <v>35183</v>
      </c>
      <c r="E17196" s="330" t="s">
        <v>4634</v>
      </c>
      <c r="F17196" s="331">
        <v>0.21</v>
      </c>
      <c r="G17196" s="332">
        <v>2881</v>
      </c>
      <c r="H17196" s="333">
        <v>3487</v>
      </c>
    </row>
    <row r="17197" spans="1:8">
      <c r="A17197" s="317" t="s">
        <v>43081</v>
      </c>
      <c r="B17197" s="330" t="s">
        <v>61549</v>
      </c>
      <c r="C17197" s="330" t="s">
        <v>35184</v>
      </c>
      <c r="D17197" s="330" t="s">
        <v>35185</v>
      </c>
      <c r="E17197" s="330" t="s">
        <v>4634</v>
      </c>
      <c r="F17197" s="331">
        <v>0.21</v>
      </c>
      <c r="G17197" s="332">
        <v>25334</v>
      </c>
      <c r="H17197" s="333">
        <v>30655</v>
      </c>
    </row>
    <row r="17198" spans="1:8">
      <c r="A17198" s="317" t="s">
        <v>43082</v>
      </c>
      <c r="B17198" s="330" t="s">
        <v>61550</v>
      </c>
      <c r="C17198" s="330" t="s">
        <v>35186</v>
      </c>
      <c r="D17198" s="330" t="s">
        <v>35187</v>
      </c>
      <c r="E17198" s="330" t="s">
        <v>4634</v>
      </c>
      <c r="F17198" s="331">
        <v>0.21</v>
      </c>
      <c r="G17198" s="332">
        <v>8041</v>
      </c>
      <c r="H17198" s="333">
        <v>9730</v>
      </c>
    </row>
    <row r="17199" spans="1:8">
      <c r="A17199" s="317" t="s">
        <v>43083</v>
      </c>
      <c r="B17199" s="330" t="s">
        <v>61551</v>
      </c>
      <c r="C17199" s="330" t="s">
        <v>35188</v>
      </c>
      <c r="D17199" s="330" t="s">
        <v>35189</v>
      </c>
      <c r="E17199" s="330" t="s">
        <v>4634</v>
      </c>
      <c r="F17199" s="331">
        <v>0.21</v>
      </c>
      <c r="G17199" s="332">
        <v>6426</v>
      </c>
      <c r="H17199" s="333">
        <v>7776</v>
      </c>
    </row>
    <row r="17200" spans="1:8">
      <c r="A17200" s="317" t="s">
        <v>43084</v>
      </c>
      <c r="B17200" s="330" t="s">
        <v>61552</v>
      </c>
      <c r="C17200" s="330" t="s">
        <v>35190</v>
      </c>
      <c r="D17200" s="330" t="s">
        <v>9496</v>
      </c>
      <c r="E17200" s="330" t="s">
        <v>4623</v>
      </c>
      <c r="F17200" s="331">
        <v>0.21</v>
      </c>
      <c r="G17200" s="332">
        <v>4557</v>
      </c>
      <c r="H17200" s="333">
        <v>5514</v>
      </c>
    </row>
    <row r="17201" spans="1:8">
      <c r="A17201" s="317" t="s">
        <v>43085</v>
      </c>
      <c r="B17201" s="330" t="s">
        <v>61553</v>
      </c>
      <c r="C17201" s="330" t="s">
        <v>35191</v>
      </c>
      <c r="D17201" s="330" t="s">
        <v>9496</v>
      </c>
      <c r="E17201" s="330" t="s">
        <v>4634</v>
      </c>
      <c r="F17201" s="331">
        <v>0.21</v>
      </c>
      <c r="G17201" s="332">
        <v>10653</v>
      </c>
      <c r="H17201" s="333">
        <v>12891</v>
      </c>
    </row>
    <row r="17202" spans="1:8">
      <c r="A17202" s="317" t="s">
        <v>43086</v>
      </c>
      <c r="B17202" s="330" t="s">
        <v>61554</v>
      </c>
      <c r="C17202" s="330" t="s">
        <v>35192</v>
      </c>
      <c r="D17202" s="330" t="s">
        <v>35193</v>
      </c>
      <c r="E17202" s="330" t="s">
        <v>4634</v>
      </c>
      <c r="F17202" s="331">
        <v>0.21</v>
      </c>
      <c r="G17202" s="332">
        <v>2491</v>
      </c>
      <c r="H17202" s="333">
        <v>3015</v>
      </c>
    </row>
    <row r="17203" spans="1:8">
      <c r="A17203" s="317" t="s">
        <v>43087</v>
      </c>
      <c r="B17203" s="330" t="s">
        <v>61555</v>
      </c>
      <c r="C17203" s="330" t="s">
        <v>35194</v>
      </c>
      <c r="D17203" s="330" t="s">
        <v>35195</v>
      </c>
      <c r="E17203" s="330" t="s">
        <v>4634</v>
      </c>
      <c r="F17203" s="331">
        <v>0.21</v>
      </c>
      <c r="G17203" s="332">
        <v>2232</v>
      </c>
      <c r="H17203" s="333">
        <v>2701</v>
      </c>
    </row>
    <row r="17204" spans="1:8">
      <c r="A17204" s="317" t="s">
        <v>43088</v>
      </c>
      <c r="B17204" s="330" t="s">
        <v>61556</v>
      </c>
      <c r="C17204" s="330" t="s">
        <v>35196</v>
      </c>
      <c r="D17204" s="330" t="s">
        <v>35197</v>
      </c>
      <c r="E17204" s="330" t="s">
        <v>4634</v>
      </c>
      <c r="F17204" s="331">
        <v>0.21</v>
      </c>
      <c r="G17204" s="332">
        <v>2232</v>
      </c>
      <c r="H17204" s="333">
        <v>2701</v>
      </c>
    </row>
    <row r="17205" spans="1:8">
      <c r="A17205" s="317" t="s">
        <v>43089</v>
      </c>
      <c r="B17205" s="330" t="s">
        <v>61557</v>
      </c>
      <c r="C17205" s="330" t="s">
        <v>35198</v>
      </c>
      <c r="D17205" s="330" t="s">
        <v>35199</v>
      </c>
      <c r="E17205" s="330" t="s">
        <v>4634</v>
      </c>
      <c r="F17205" s="331">
        <v>0.21</v>
      </c>
      <c r="G17205" s="332">
        <v>13917</v>
      </c>
      <c r="H17205" s="333">
        <v>16840</v>
      </c>
    </row>
    <row r="17206" spans="1:8">
      <c r="A17206" s="317" t="s">
        <v>43090</v>
      </c>
      <c r="B17206" s="330" t="s">
        <v>61558</v>
      </c>
      <c r="C17206" s="330" t="s">
        <v>35200</v>
      </c>
      <c r="D17206" s="330" t="s">
        <v>35201</v>
      </c>
      <c r="E17206" s="330" t="s">
        <v>4634</v>
      </c>
      <c r="F17206" s="331">
        <v>0.21</v>
      </c>
      <c r="G17206" s="332">
        <v>29898</v>
      </c>
      <c r="H17206" s="333">
        <v>36177</v>
      </c>
    </row>
    <row r="17207" spans="1:8">
      <c r="A17207" s="317" t="s">
        <v>43091</v>
      </c>
      <c r="B17207" s="330" t="s">
        <v>61559</v>
      </c>
      <c r="C17207" s="330" t="s">
        <v>35202</v>
      </c>
      <c r="D17207" s="330" t="s">
        <v>35203</v>
      </c>
      <c r="E17207" s="330" t="s">
        <v>4634</v>
      </c>
      <c r="F17207" s="331">
        <v>0.21</v>
      </c>
      <c r="G17207" s="332">
        <v>2197</v>
      </c>
      <c r="H17207" s="333">
        <v>2659</v>
      </c>
    </row>
    <row r="17208" spans="1:8">
      <c r="A17208" s="317" t="s">
        <v>43092</v>
      </c>
      <c r="B17208" s="330" t="s">
        <v>61560</v>
      </c>
      <c r="C17208" s="330" t="s">
        <v>35204</v>
      </c>
      <c r="D17208" s="330" t="s">
        <v>35205</v>
      </c>
      <c r="E17208" s="330" t="s">
        <v>37248</v>
      </c>
      <c r="F17208" s="331">
        <v>0.21</v>
      </c>
      <c r="G17208" s="332">
        <v>55994</v>
      </c>
      <c r="H17208" s="333">
        <v>67753</v>
      </c>
    </row>
    <row r="17209" spans="1:8">
      <c r="A17209" s="317" t="s">
        <v>43093</v>
      </c>
      <c r="B17209" s="330" t="s">
        <v>61561</v>
      </c>
      <c r="C17209" s="330" t="s">
        <v>35206</v>
      </c>
      <c r="D17209" s="330" t="s">
        <v>35207</v>
      </c>
      <c r="E17209" s="330" t="s">
        <v>4634</v>
      </c>
      <c r="F17209" s="331">
        <v>0.21</v>
      </c>
      <c r="G17209" s="332">
        <v>153</v>
      </c>
      <c r="H17209" s="333">
        <v>186</v>
      </c>
    </row>
    <row r="17210" spans="1:8">
      <c r="A17210" s="317" t="s">
        <v>43094</v>
      </c>
      <c r="B17210" s="330" t="s">
        <v>61562</v>
      </c>
      <c r="C17210" s="330" t="s">
        <v>35208</v>
      </c>
      <c r="D17210" s="330" t="s">
        <v>35209</v>
      </c>
      <c r="E17210" s="330" t="s">
        <v>4634</v>
      </c>
      <c r="F17210" s="331">
        <v>0.21</v>
      </c>
      <c r="G17210" s="332">
        <v>8766</v>
      </c>
      <c r="H17210" s="333">
        <v>10607</v>
      </c>
    </row>
    <row r="17211" spans="1:8">
      <c r="A17211" s="317" t="s">
        <v>43095</v>
      </c>
      <c r="B17211" s="330" t="s">
        <v>61563</v>
      </c>
      <c r="C17211" s="330" t="s">
        <v>35210</v>
      </c>
      <c r="D17211" s="330" t="s">
        <v>35211</v>
      </c>
      <c r="E17211" s="330" t="s">
        <v>4634</v>
      </c>
      <c r="F17211" s="331">
        <v>0.21</v>
      </c>
      <c r="G17211" s="332">
        <v>8670</v>
      </c>
      <c r="H17211" s="333">
        <v>10491</v>
      </c>
    </row>
    <row r="17212" spans="1:8">
      <c r="A17212" s="317" t="s">
        <v>43096</v>
      </c>
      <c r="B17212" s="330" t="s">
        <v>61564</v>
      </c>
      <c r="C17212" s="330" t="s">
        <v>35212</v>
      </c>
      <c r="D17212" s="330" t="s">
        <v>35213</v>
      </c>
      <c r="E17212" s="330" t="s">
        <v>4634</v>
      </c>
      <c r="F17212" s="331">
        <v>0.21</v>
      </c>
      <c r="G17212" s="332">
        <v>348</v>
      </c>
      <c r="H17212" s="333">
        <v>422</v>
      </c>
    </row>
    <row r="17213" spans="1:8">
      <c r="A17213" s="317" t="s">
        <v>43097</v>
      </c>
      <c r="B17213" s="330" t="s">
        <v>61565</v>
      </c>
      <c r="C17213" s="330" t="s">
        <v>35214</v>
      </c>
      <c r="D17213" s="330" t="s">
        <v>35215</v>
      </c>
      <c r="E17213" s="330" t="s">
        <v>4634</v>
      </c>
      <c r="F17213" s="331">
        <v>0.21</v>
      </c>
      <c r="G17213" s="332">
        <v>348</v>
      </c>
      <c r="H17213" s="333">
        <v>422</v>
      </c>
    </row>
    <row r="17214" spans="1:8">
      <c r="A17214" s="317" t="s">
        <v>43098</v>
      </c>
      <c r="B17214" s="330" t="s">
        <v>61566</v>
      </c>
      <c r="C17214" s="330" t="s">
        <v>35216</v>
      </c>
      <c r="D17214" s="330" t="s">
        <v>35217</v>
      </c>
      <c r="E17214" s="330" t="s">
        <v>4819</v>
      </c>
      <c r="F17214" s="331">
        <v>0.21</v>
      </c>
      <c r="G17214" s="332">
        <v>11880</v>
      </c>
      <c r="H17214" s="333">
        <v>14375</v>
      </c>
    </row>
    <row r="17215" spans="1:8">
      <c r="A17215" s="317" t="s">
        <v>43099</v>
      </c>
      <c r="B17215" s="330" t="s">
        <v>61567</v>
      </c>
      <c r="C17215" s="330" t="s">
        <v>35218</v>
      </c>
      <c r="D17215" s="330" t="s">
        <v>35219</v>
      </c>
      <c r="E17215" s="330" t="s">
        <v>4634</v>
      </c>
      <c r="F17215" s="331">
        <v>0.21</v>
      </c>
      <c r="G17215" s="332">
        <v>38824</v>
      </c>
      <c r="H17215" s="333">
        <v>46978</v>
      </c>
    </row>
    <row r="17216" spans="1:8">
      <c r="A17216" s="317" t="s">
        <v>43100</v>
      </c>
      <c r="B17216" s="330" t="s">
        <v>61568</v>
      </c>
      <c r="C17216" s="330" t="s">
        <v>35220</v>
      </c>
      <c r="D17216" s="330" t="s">
        <v>35221</v>
      </c>
      <c r="E17216" s="330" t="s">
        <v>4634</v>
      </c>
      <c r="F17216" s="331">
        <v>0.21</v>
      </c>
      <c r="G17216" s="332">
        <v>6542</v>
      </c>
      <c r="H17216" s="333">
        <v>7916</v>
      </c>
    </row>
    <row r="17217" spans="1:8">
      <c r="A17217" s="317" t="s">
        <v>43101</v>
      </c>
      <c r="B17217" s="330" t="s">
        <v>61569</v>
      </c>
      <c r="C17217" s="330" t="s">
        <v>35222</v>
      </c>
      <c r="D17217" s="330" t="s">
        <v>35223</v>
      </c>
      <c r="E17217" s="330" t="s">
        <v>4634</v>
      </c>
      <c r="F17217" s="331">
        <v>0.21</v>
      </c>
      <c r="G17217" s="332">
        <v>3673</v>
      </c>
      <c r="H17217" s="333">
        <v>4445</v>
      </c>
    </row>
    <row r="17218" spans="1:8">
      <c r="A17218" s="317" t="s">
        <v>43102</v>
      </c>
      <c r="B17218" s="330" t="s">
        <v>61570</v>
      </c>
      <c r="C17218" s="330" t="s">
        <v>35224</v>
      </c>
      <c r="D17218" s="330" t="s">
        <v>35225</v>
      </c>
      <c r="E17218" s="330" t="s">
        <v>37248</v>
      </c>
      <c r="F17218" s="331">
        <v>0.21</v>
      </c>
      <c r="G17218" s="332">
        <v>37008</v>
      </c>
      <c r="H17218" s="333">
        <v>44780</v>
      </c>
    </row>
    <row r="17219" spans="1:8">
      <c r="A17219" s="317" t="s">
        <v>43103</v>
      </c>
      <c r="B17219" s="330" t="s">
        <v>61571</v>
      </c>
      <c r="C17219" s="330" t="s">
        <v>35226</v>
      </c>
      <c r="D17219" s="330" t="s">
        <v>5822</v>
      </c>
      <c r="E17219" s="330" t="s">
        <v>4634</v>
      </c>
      <c r="F17219" s="331">
        <v>0.21</v>
      </c>
      <c r="G17219" s="332">
        <v>58267</v>
      </c>
      <c r="H17219" s="333">
        <v>70504</v>
      </c>
    </row>
    <row r="17220" spans="1:8">
      <c r="A17220" s="317" t="s">
        <v>43104</v>
      </c>
      <c r="B17220" s="330" t="s">
        <v>61572</v>
      </c>
      <c r="C17220" s="330" t="s">
        <v>35227</v>
      </c>
      <c r="D17220" s="330" t="s">
        <v>23889</v>
      </c>
      <c r="E17220" s="330" t="s">
        <v>4634</v>
      </c>
      <c r="F17220" s="331">
        <v>0.21</v>
      </c>
      <c r="G17220" s="332">
        <v>6101</v>
      </c>
      <c r="H17220" s="333">
        <v>7383</v>
      </c>
    </row>
    <row r="17221" spans="1:8">
      <c r="A17221" s="317" t="s">
        <v>43105</v>
      </c>
      <c r="B17221" s="330" t="s">
        <v>61573</v>
      </c>
      <c r="C17221" s="330" t="s">
        <v>35228</v>
      </c>
      <c r="D17221" s="330" t="s">
        <v>35229</v>
      </c>
      <c r="E17221" s="330" t="s">
        <v>4819</v>
      </c>
      <c r="F17221" s="331">
        <v>0.21</v>
      </c>
      <c r="G17221" s="332">
        <v>33207</v>
      </c>
      <c r="H17221" s="333">
        <v>40181</v>
      </c>
    </row>
    <row r="17222" spans="1:8">
      <c r="A17222" s="317" t="s">
        <v>43106</v>
      </c>
      <c r="B17222" s="330" t="s">
        <v>61574</v>
      </c>
      <c r="C17222" s="330" t="s">
        <v>35230</v>
      </c>
      <c r="D17222" s="330" t="s">
        <v>35231</v>
      </c>
      <c r="E17222" s="330" t="s">
        <v>4819</v>
      </c>
      <c r="F17222" s="331">
        <v>0.21</v>
      </c>
      <c r="G17222" s="332">
        <v>22999</v>
      </c>
      <c r="H17222" s="333">
        <v>27829</v>
      </c>
    </row>
    <row r="17223" spans="1:8">
      <c r="A17223" s="317" t="s">
        <v>43107</v>
      </c>
      <c r="B17223" s="330" t="s">
        <v>61575</v>
      </c>
      <c r="C17223" s="330" t="s">
        <v>35232</v>
      </c>
      <c r="D17223" s="330" t="s">
        <v>35233</v>
      </c>
      <c r="E17223" s="330" t="s">
        <v>4634</v>
      </c>
      <c r="F17223" s="331">
        <v>0.21</v>
      </c>
      <c r="G17223" s="332">
        <v>3838</v>
      </c>
      <c r="H17223" s="333">
        <v>4644</v>
      </c>
    </row>
    <row r="17224" spans="1:8">
      <c r="A17224" s="317" t="s">
        <v>43108</v>
      </c>
      <c r="B17224" s="330" t="s">
        <v>61576</v>
      </c>
      <c r="C17224" s="330" t="s">
        <v>35234</v>
      </c>
      <c r="D17224" s="330" t="s">
        <v>35235</v>
      </c>
      <c r="E17224" s="330" t="s">
        <v>4634</v>
      </c>
      <c r="F17224" s="331">
        <v>0.21</v>
      </c>
      <c r="G17224" s="332">
        <v>14212</v>
      </c>
      <c r="H17224" s="333">
        <v>17197</v>
      </c>
    </row>
    <row r="17225" spans="1:8">
      <c r="A17225" s="317" t="s">
        <v>43109</v>
      </c>
      <c r="B17225" s="330" t="s">
        <v>61577</v>
      </c>
      <c r="C17225" s="330" t="s">
        <v>35236</v>
      </c>
      <c r="D17225" s="330" t="s">
        <v>35237</v>
      </c>
      <c r="E17225" s="330" t="s">
        <v>4634</v>
      </c>
      <c r="F17225" s="331">
        <v>0.21</v>
      </c>
      <c r="G17225" s="332">
        <v>2261</v>
      </c>
      <c r="H17225" s="333">
        <v>2736</v>
      </c>
    </row>
    <row r="17226" spans="1:8">
      <c r="A17226" s="317" t="s">
        <v>43110</v>
      </c>
      <c r="B17226" s="330" t="s">
        <v>61578</v>
      </c>
      <c r="C17226" s="330" t="s">
        <v>35238</v>
      </c>
      <c r="D17226" s="330" t="s">
        <v>35239</v>
      </c>
      <c r="E17226" s="330" t="s">
        <v>4634</v>
      </c>
      <c r="F17226" s="331">
        <v>0.21</v>
      </c>
      <c r="G17226" s="332">
        <v>30721</v>
      </c>
      <c r="H17226" s="333">
        <v>37173</v>
      </c>
    </row>
    <row r="17227" spans="1:8">
      <c r="A17227" s="317" t="s">
        <v>43111</v>
      </c>
      <c r="B17227" s="330" t="s">
        <v>61579</v>
      </c>
      <c r="C17227" s="330" t="s">
        <v>35240</v>
      </c>
      <c r="D17227" s="330" t="s">
        <v>35241</v>
      </c>
      <c r="E17227" s="330" t="s">
        <v>37248</v>
      </c>
      <c r="F17227" s="331">
        <v>0.21</v>
      </c>
      <c r="G17227" s="332">
        <v>3546</v>
      </c>
      <c r="H17227" s="333">
        <v>4291</v>
      </c>
    </row>
    <row r="17228" spans="1:8">
      <c r="A17228" s="317" t="s">
        <v>43112</v>
      </c>
      <c r="B17228" s="330" t="s">
        <v>61580</v>
      </c>
      <c r="C17228" s="330" t="s">
        <v>35242</v>
      </c>
      <c r="D17228" s="330" t="s">
        <v>35243</v>
      </c>
      <c r="E17228" s="330" t="s">
        <v>37248</v>
      </c>
      <c r="F17228" s="331">
        <v>0.21</v>
      </c>
      <c r="G17228" s="332">
        <v>15211</v>
      </c>
      <c r="H17228" s="333">
        <v>18406</v>
      </c>
    </row>
    <row r="17229" spans="1:8">
      <c r="A17229" s="317" t="s">
        <v>43113</v>
      </c>
      <c r="B17229" s="330" t="s">
        <v>61581</v>
      </c>
      <c r="C17229" s="330" t="s">
        <v>35244</v>
      </c>
      <c r="D17229" s="330" t="s">
        <v>35245</v>
      </c>
      <c r="E17229" s="330" t="s">
        <v>4634</v>
      </c>
      <c r="F17229" s="331">
        <v>0.21</v>
      </c>
      <c r="G17229" s="332">
        <v>3131</v>
      </c>
      <c r="H17229" s="333">
        <v>3789</v>
      </c>
    </row>
    <row r="17230" spans="1:8">
      <c r="A17230" s="317" t="s">
        <v>43114</v>
      </c>
      <c r="B17230" s="330" t="s">
        <v>61582</v>
      </c>
      <c r="C17230" s="330" t="s">
        <v>35246</v>
      </c>
      <c r="D17230" s="330" t="s">
        <v>35247</v>
      </c>
      <c r="E17230" s="330" t="s">
        <v>4634</v>
      </c>
      <c r="F17230" s="331">
        <v>0.21</v>
      </c>
      <c r="G17230" s="332">
        <v>2806</v>
      </c>
      <c r="H17230" s="333">
        <v>3396</v>
      </c>
    </row>
    <row r="17231" spans="1:8">
      <c r="A17231" s="317" t="s">
        <v>43115</v>
      </c>
      <c r="B17231" s="330" t="s">
        <v>61583</v>
      </c>
      <c r="C17231" s="330" t="s">
        <v>35248</v>
      </c>
      <c r="D17231" s="330" t="s">
        <v>35249</v>
      </c>
      <c r="E17231" s="330" t="s">
        <v>37248</v>
      </c>
      <c r="F17231" s="331">
        <v>0.21</v>
      </c>
      <c r="G17231" s="332">
        <v>32161</v>
      </c>
      <c r="H17231" s="333">
        <v>38915</v>
      </c>
    </row>
    <row r="17232" spans="1:8">
      <c r="A17232" s="317" t="s">
        <v>43116</v>
      </c>
      <c r="B17232" s="330" t="s">
        <v>61584</v>
      </c>
      <c r="C17232" s="330" t="s">
        <v>35250</v>
      </c>
      <c r="D17232" s="330" t="s">
        <v>35251</v>
      </c>
      <c r="E17232" s="330" t="s">
        <v>37248</v>
      </c>
      <c r="F17232" s="331">
        <v>0.21</v>
      </c>
      <c r="G17232" s="332">
        <v>28199</v>
      </c>
      <c r="H17232" s="333">
        <v>34121</v>
      </c>
    </row>
    <row r="17233" spans="1:8">
      <c r="A17233" s="317" t="s">
        <v>43117</v>
      </c>
      <c r="B17233" s="330" t="s">
        <v>61585</v>
      </c>
      <c r="C17233" s="330" t="s">
        <v>35252</v>
      </c>
      <c r="D17233" s="330" t="s">
        <v>35253</v>
      </c>
      <c r="E17233" s="330" t="s">
        <v>4634</v>
      </c>
      <c r="F17233" s="331">
        <v>0.21</v>
      </c>
      <c r="G17233" s="332">
        <v>10680</v>
      </c>
      <c r="H17233" s="333">
        <v>12923</v>
      </c>
    </row>
    <row r="17234" spans="1:8">
      <c r="A17234" s="317" t="s">
        <v>43118</v>
      </c>
      <c r="B17234" s="330" t="s">
        <v>61586</v>
      </c>
      <c r="C17234" s="330" t="s">
        <v>35254</v>
      </c>
      <c r="D17234" s="330" t="s">
        <v>35255</v>
      </c>
      <c r="E17234" s="330" t="s">
        <v>4623</v>
      </c>
      <c r="F17234" s="331">
        <v>0.21</v>
      </c>
      <c r="G17234" s="332">
        <v>10194</v>
      </c>
      <c r="H17234" s="333">
        <v>12335</v>
      </c>
    </row>
    <row r="17235" spans="1:8">
      <c r="A17235" s="317" t="s">
        <v>43119</v>
      </c>
      <c r="B17235" s="330" t="s">
        <v>61587</v>
      </c>
      <c r="C17235" s="330" t="s">
        <v>35256</v>
      </c>
      <c r="D17235" s="330" t="s">
        <v>35257</v>
      </c>
      <c r="E17235" s="330" t="s">
        <v>37248</v>
      </c>
      <c r="F17235" s="331">
        <v>0.21</v>
      </c>
      <c r="G17235" s="332">
        <v>47504</v>
      </c>
      <c r="H17235" s="333">
        <v>57480</v>
      </c>
    </row>
    <row r="17236" spans="1:8">
      <c r="A17236" s="317" t="s">
        <v>43120</v>
      </c>
      <c r="B17236" s="330" t="s">
        <v>61588</v>
      </c>
      <c r="C17236" s="330" t="s">
        <v>35258</v>
      </c>
      <c r="D17236" s="330" t="s">
        <v>35259</v>
      </c>
      <c r="E17236" s="330" t="s">
        <v>37248</v>
      </c>
      <c r="F17236" s="331">
        <v>0.21</v>
      </c>
      <c r="G17236" s="332">
        <v>51340</v>
      </c>
      <c r="H17236" s="333">
        <v>62122</v>
      </c>
    </row>
    <row r="17237" spans="1:8">
      <c r="A17237" s="317" t="s">
        <v>43121</v>
      </c>
      <c r="B17237" s="330" t="s">
        <v>61589</v>
      </c>
      <c r="C17237" s="330" t="s">
        <v>35260</v>
      </c>
      <c r="D17237" s="330" t="s">
        <v>35261</v>
      </c>
      <c r="E17237" s="330" t="s">
        <v>37248</v>
      </c>
      <c r="F17237" s="331">
        <v>0.21</v>
      </c>
      <c r="G17237" s="332">
        <v>46139</v>
      </c>
      <c r="H17237" s="333">
        <v>55829</v>
      </c>
    </row>
    <row r="17238" spans="1:8">
      <c r="A17238" s="317" t="s">
        <v>43122</v>
      </c>
      <c r="B17238" s="330" t="s">
        <v>61590</v>
      </c>
      <c r="C17238" s="330" t="s">
        <v>35262</v>
      </c>
      <c r="D17238" s="330" t="s">
        <v>35263</v>
      </c>
      <c r="E17238" s="330" t="s">
        <v>4634</v>
      </c>
      <c r="F17238" s="331">
        <v>0.21</v>
      </c>
      <c r="G17238" s="332">
        <v>8048</v>
      </c>
      <c r="H17238" s="333">
        <v>9739</v>
      </c>
    </row>
    <row r="17239" spans="1:8">
      <c r="A17239" s="317" t="s">
        <v>43123</v>
      </c>
      <c r="B17239" s="330" t="s">
        <v>61591</v>
      </c>
      <c r="C17239" s="330" t="s">
        <v>35264</v>
      </c>
      <c r="D17239" s="330" t="s">
        <v>35265</v>
      </c>
      <c r="E17239" s="330" t="s">
        <v>37248</v>
      </c>
      <c r="F17239" s="331">
        <v>0.21</v>
      </c>
      <c r="G17239" s="332">
        <v>51138</v>
      </c>
      <c r="H17239" s="333">
        <v>61877</v>
      </c>
    </row>
    <row r="17240" spans="1:8">
      <c r="A17240" s="317" t="s">
        <v>43124</v>
      </c>
      <c r="B17240" s="330" t="s">
        <v>61592</v>
      </c>
      <c r="C17240" s="330" t="s">
        <v>35266</v>
      </c>
      <c r="D17240" s="330" t="s">
        <v>35267</v>
      </c>
      <c r="E17240" s="330" t="s">
        <v>4634</v>
      </c>
      <c r="F17240" s="331">
        <v>0.21</v>
      </c>
      <c r="G17240" s="332">
        <v>19570</v>
      </c>
      <c r="H17240" s="333">
        <v>23680</v>
      </c>
    </row>
    <row r="17241" spans="1:8">
      <c r="A17241" s="317" t="s">
        <v>43125</v>
      </c>
      <c r="B17241" s="330" t="s">
        <v>61593</v>
      </c>
      <c r="C17241" s="330" t="s">
        <v>35268</v>
      </c>
      <c r="D17241" s="330" t="s">
        <v>35269</v>
      </c>
      <c r="E17241" s="330" t="s">
        <v>4819</v>
      </c>
      <c r="F17241" s="331">
        <v>0.21</v>
      </c>
      <c r="G17241" s="332">
        <v>52617</v>
      </c>
      <c r="H17241" s="333">
        <v>63667</v>
      </c>
    </row>
    <row r="17242" spans="1:8">
      <c r="A17242" s="317" t="s">
        <v>43126</v>
      </c>
      <c r="B17242" s="330" t="s">
        <v>61594</v>
      </c>
      <c r="C17242" s="330" t="s">
        <v>35270</v>
      </c>
      <c r="D17242" s="330" t="s">
        <v>35271</v>
      </c>
      <c r="E17242" s="330" t="s">
        <v>4819</v>
      </c>
      <c r="F17242" s="331">
        <v>0.21</v>
      </c>
      <c r="G17242" s="332">
        <v>47367</v>
      </c>
      <c r="H17242" s="333">
        <v>57315</v>
      </c>
    </row>
    <row r="17243" spans="1:8">
      <c r="A17243" s="317" t="s">
        <v>43127</v>
      </c>
      <c r="B17243" s="330" t="s">
        <v>61595</v>
      </c>
      <c r="C17243" s="330" t="s">
        <v>35272</v>
      </c>
      <c r="D17243" s="330" t="s">
        <v>35273</v>
      </c>
      <c r="E17243" s="330" t="s">
        <v>37248</v>
      </c>
      <c r="F17243" s="331">
        <v>0.21</v>
      </c>
      <c r="G17243" s="332">
        <v>15923</v>
      </c>
      <c r="H17243" s="333">
        <v>19267</v>
      </c>
    </row>
    <row r="17244" spans="1:8">
      <c r="A17244" s="317" t="s">
        <v>43128</v>
      </c>
      <c r="B17244" s="330" t="s">
        <v>61596</v>
      </c>
      <c r="C17244" s="330" t="s">
        <v>35274</v>
      </c>
      <c r="D17244" s="330" t="s">
        <v>35275</v>
      </c>
      <c r="E17244" s="330" t="s">
        <v>37248</v>
      </c>
      <c r="F17244" s="331">
        <v>0.21</v>
      </c>
      <c r="G17244" s="332">
        <v>41197</v>
      </c>
      <c r="H17244" s="333">
        <v>49849</v>
      </c>
    </row>
    <row r="17245" spans="1:8">
      <c r="A17245" s="317" t="s">
        <v>43129</v>
      </c>
      <c r="B17245" s="330" t="s">
        <v>61597</v>
      </c>
      <c r="C17245" s="330" t="s">
        <v>35276</v>
      </c>
      <c r="D17245" s="330" t="s">
        <v>35277</v>
      </c>
      <c r="E17245" s="330" t="s">
        <v>4623</v>
      </c>
      <c r="F17245" s="331">
        <v>0.21</v>
      </c>
      <c r="G17245" s="332">
        <v>35002</v>
      </c>
      <c r="H17245" s="333">
        <v>42353</v>
      </c>
    </row>
    <row r="17246" spans="1:8">
      <c r="A17246" s="317" t="s">
        <v>43130</v>
      </c>
      <c r="B17246" s="330" t="s">
        <v>61598</v>
      </c>
      <c r="C17246" s="330" t="s">
        <v>35278</v>
      </c>
      <c r="D17246" s="330" t="s">
        <v>35279</v>
      </c>
      <c r="E17246" s="330" t="s">
        <v>4623</v>
      </c>
      <c r="F17246" s="331">
        <v>0.21</v>
      </c>
      <c r="G17246" s="332">
        <v>21439</v>
      </c>
      <c r="H17246" s="333">
        <v>25942</v>
      </c>
    </row>
    <row r="17247" spans="1:8">
      <c r="A17247" s="317" t="s">
        <v>43131</v>
      </c>
      <c r="B17247" s="330" t="s">
        <v>61599</v>
      </c>
      <c r="C17247" s="330" t="s">
        <v>35280</v>
      </c>
      <c r="D17247" s="330" t="s">
        <v>35281</v>
      </c>
      <c r="E17247" s="330" t="s">
        <v>4634</v>
      </c>
      <c r="F17247" s="331">
        <v>0.21</v>
      </c>
      <c r="G17247" s="332">
        <v>2161</v>
      </c>
      <c r="H17247" s="333">
        <v>2615</v>
      </c>
    </row>
    <row r="17248" spans="1:8">
      <c r="A17248" s="317" t="s">
        <v>43132</v>
      </c>
      <c r="B17248" s="330" t="s">
        <v>61600</v>
      </c>
      <c r="C17248" s="330" t="s">
        <v>35282</v>
      </c>
      <c r="D17248" s="330" t="s">
        <v>35283</v>
      </c>
      <c r="E17248" s="330" t="s">
        <v>4634</v>
      </c>
      <c r="F17248" s="331">
        <v>0.21</v>
      </c>
      <c r="G17248" s="332">
        <v>3417</v>
      </c>
      <c r="H17248" s="333">
        <v>4135</v>
      </c>
    </row>
    <row r="17249" spans="1:8">
      <c r="A17249" s="317" t="s">
        <v>43133</v>
      </c>
      <c r="B17249" s="330" t="s">
        <v>61601</v>
      </c>
      <c r="C17249" s="330" t="s">
        <v>35284</v>
      </c>
      <c r="D17249" s="330" t="s">
        <v>35283</v>
      </c>
      <c r="E17249" s="330" t="s">
        <v>4634</v>
      </c>
      <c r="F17249" s="331">
        <v>0.21</v>
      </c>
      <c r="G17249" s="332">
        <v>22379</v>
      </c>
      <c r="H17249" s="333">
        <v>27079</v>
      </c>
    </row>
    <row r="17250" spans="1:8">
      <c r="A17250" s="317" t="s">
        <v>43134</v>
      </c>
      <c r="B17250" s="330" t="s">
        <v>61602</v>
      </c>
      <c r="C17250" s="330" t="s">
        <v>35285</v>
      </c>
      <c r="D17250" s="330" t="s">
        <v>35286</v>
      </c>
      <c r="E17250" s="330" t="s">
        <v>4634</v>
      </c>
      <c r="F17250" s="331">
        <v>0.21</v>
      </c>
      <c r="G17250" s="332">
        <v>36457</v>
      </c>
      <c r="H17250" s="333">
        <v>44113</v>
      </c>
    </row>
    <row r="17251" spans="1:8">
      <c r="A17251" s="317" t="s">
        <v>43135</v>
      </c>
      <c r="B17251" s="330" t="s">
        <v>61603</v>
      </c>
      <c r="C17251" s="330" t="s">
        <v>35287</v>
      </c>
      <c r="D17251" s="330" t="s">
        <v>35288</v>
      </c>
      <c r="E17251" s="330" t="s">
        <v>4634</v>
      </c>
      <c r="F17251" s="331">
        <v>0.21</v>
      </c>
      <c r="G17251" s="332">
        <v>9516</v>
      </c>
      <c r="H17251" s="333">
        <v>11515</v>
      </c>
    </row>
    <row r="17252" spans="1:8">
      <c r="A17252" s="317" t="s">
        <v>43136</v>
      </c>
      <c r="B17252" s="330" t="s">
        <v>61604</v>
      </c>
      <c r="C17252" s="330" t="s">
        <v>35289</v>
      </c>
      <c r="D17252" s="330" t="s">
        <v>35288</v>
      </c>
      <c r="E17252" s="330" t="s">
        <v>4634</v>
      </c>
      <c r="F17252" s="331">
        <v>0.21</v>
      </c>
      <c r="G17252" s="332">
        <v>25288</v>
      </c>
      <c r="H17252" s="333">
        <v>30599</v>
      </c>
    </row>
    <row r="17253" spans="1:8">
      <c r="A17253" s="317" t="s">
        <v>43137</v>
      </c>
      <c r="B17253" s="330" t="s">
        <v>61605</v>
      </c>
      <c r="C17253" s="330" t="s">
        <v>35290</v>
      </c>
      <c r="D17253" s="330" t="s">
        <v>35291</v>
      </c>
      <c r="E17253" s="330" t="s">
        <v>4634</v>
      </c>
      <c r="F17253" s="331">
        <v>0.21</v>
      </c>
      <c r="G17253" s="332">
        <v>14350</v>
      </c>
      <c r="H17253" s="333">
        <v>17364</v>
      </c>
    </row>
    <row r="17254" spans="1:8">
      <c r="A17254" s="317" t="s">
        <v>43138</v>
      </c>
      <c r="B17254" s="330" t="s">
        <v>61606</v>
      </c>
      <c r="C17254" s="330" t="s">
        <v>35292</v>
      </c>
      <c r="D17254" s="330" t="s">
        <v>35293</v>
      </c>
      <c r="E17254" s="330" t="s">
        <v>4634</v>
      </c>
      <c r="F17254" s="331">
        <v>0.21</v>
      </c>
      <c r="G17254" s="332">
        <v>19574</v>
      </c>
      <c r="H17254" s="333">
        <v>23685</v>
      </c>
    </row>
    <row r="17255" spans="1:8">
      <c r="A17255" s="317" t="s">
        <v>43139</v>
      </c>
      <c r="B17255" s="330" t="s">
        <v>61607</v>
      </c>
      <c r="C17255" s="330" t="s">
        <v>35294</v>
      </c>
      <c r="D17255" s="330" t="s">
        <v>35295</v>
      </c>
      <c r="E17255" s="330" t="s">
        <v>4819</v>
      </c>
      <c r="F17255" s="331">
        <v>0.21</v>
      </c>
      <c r="G17255" s="332">
        <v>34387</v>
      </c>
      <c r="H17255" s="333">
        <v>41609</v>
      </c>
    </row>
    <row r="17256" spans="1:8">
      <c r="A17256" s="317" t="s">
        <v>43140</v>
      </c>
      <c r="B17256" s="330" t="s">
        <v>61608</v>
      </c>
      <c r="C17256" s="330" t="s">
        <v>35296</v>
      </c>
      <c r="D17256" s="330" t="s">
        <v>35297</v>
      </c>
      <c r="E17256" s="330" t="s">
        <v>4819</v>
      </c>
      <c r="F17256" s="331">
        <v>0.21</v>
      </c>
      <c r="G17256" s="332">
        <v>37675</v>
      </c>
      <c r="H17256" s="333">
        <v>45587</v>
      </c>
    </row>
    <row r="17257" spans="1:8">
      <c r="A17257" s="317" t="s">
        <v>43141</v>
      </c>
      <c r="B17257" s="330" t="s">
        <v>61609</v>
      </c>
      <c r="C17257" s="330" t="s">
        <v>35298</v>
      </c>
      <c r="D17257" s="330" t="s">
        <v>35267</v>
      </c>
      <c r="E17257" s="330" t="s">
        <v>4819</v>
      </c>
      <c r="F17257" s="331">
        <v>0.21</v>
      </c>
      <c r="G17257" s="332">
        <v>40999</v>
      </c>
      <c r="H17257" s="333">
        <v>49609</v>
      </c>
    </row>
    <row r="17258" spans="1:8">
      <c r="A17258" s="317" t="s">
        <v>43142</v>
      </c>
      <c r="B17258" s="330" t="s">
        <v>61610</v>
      </c>
      <c r="C17258" s="330" t="s">
        <v>35299</v>
      </c>
      <c r="D17258" s="330" t="s">
        <v>35300</v>
      </c>
      <c r="E17258" s="330" t="s">
        <v>37248</v>
      </c>
      <c r="F17258" s="331">
        <v>0.21</v>
      </c>
      <c r="G17258" s="332">
        <v>28187</v>
      </c>
      <c r="H17258" s="333">
        <v>34107</v>
      </c>
    </row>
    <row r="17259" spans="1:8">
      <c r="A17259" s="317" t="s">
        <v>43143</v>
      </c>
      <c r="B17259" s="330" t="s">
        <v>61611</v>
      </c>
      <c r="C17259" s="330" t="s">
        <v>35301</v>
      </c>
      <c r="D17259" s="330" t="s">
        <v>35302</v>
      </c>
      <c r="E17259" s="330" t="s">
        <v>4634</v>
      </c>
      <c r="F17259" s="331">
        <v>0.21</v>
      </c>
      <c r="G17259" s="332">
        <v>8159</v>
      </c>
      <c r="H17259" s="333">
        <v>9873</v>
      </c>
    </row>
    <row r="17260" spans="1:8">
      <c r="A17260" s="317" t="s">
        <v>43144</v>
      </c>
      <c r="B17260" s="330" t="s">
        <v>61612</v>
      </c>
      <c r="C17260" s="330" t="s">
        <v>35303</v>
      </c>
      <c r="D17260" s="330" t="s">
        <v>35304</v>
      </c>
      <c r="E17260" s="330" t="s">
        <v>37248</v>
      </c>
      <c r="F17260" s="331">
        <v>0.21</v>
      </c>
      <c r="G17260" s="332">
        <v>30967</v>
      </c>
      <c r="H17260" s="333">
        <v>37471</v>
      </c>
    </row>
    <row r="17261" spans="1:8">
      <c r="A17261" s="317" t="s">
        <v>43145</v>
      </c>
      <c r="B17261" s="330" t="s">
        <v>61613</v>
      </c>
      <c r="C17261" s="330" t="s">
        <v>35305</v>
      </c>
      <c r="D17261" s="330" t="s">
        <v>35306</v>
      </c>
      <c r="E17261" s="330" t="s">
        <v>4623</v>
      </c>
      <c r="F17261" s="331">
        <v>0.21</v>
      </c>
      <c r="G17261" s="332">
        <v>29091</v>
      </c>
      <c r="H17261" s="333">
        <v>35201</v>
      </c>
    </row>
    <row r="17262" spans="1:8">
      <c r="A17262" s="317" t="s">
        <v>43146</v>
      </c>
      <c r="B17262" s="330" t="s">
        <v>61614</v>
      </c>
      <c r="C17262" s="330" t="s">
        <v>35307</v>
      </c>
      <c r="D17262" s="330" t="s">
        <v>35308</v>
      </c>
      <c r="E17262" s="330" t="s">
        <v>4634</v>
      </c>
      <c r="F17262" s="331">
        <v>0.21</v>
      </c>
      <c r="G17262" s="332">
        <v>23409</v>
      </c>
      <c r="H17262" s="333">
        <v>28325</v>
      </c>
    </row>
    <row r="17263" spans="1:8">
      <c r="A17263" s="317" t="s">
        <v>43147</v>
      </c>
      <c r="B17263" s="330" t="s">
        <v>61615</v>
      </c>
      <c r="C17263" s="330" t="s">
        <v>35309</v>
      </c>
      <c r="D17263" s="330" t="s">
        <v>35310</v>
      </c>
      <c r="E17263" s="330" t="s">
        <v>37248</v>
      </c>
      <c r="F17263" s="331">
        <v>0.21</v>
      </c>
      <c r="G17263" s="332">
        <v>37082</v>
      </c>
      <c r="H17263" s="333">
        <v>44870</v>
      </c>
    </row>
    <row r="17264" spans="1:8">
      <c r="A17264" s="317" t="s">
        <v>43148</v>
      </c>
      <c r="B17264" s="330" t="s">
        <v>61616</v>
      </c>
      <c r="C17264" s="330" t="s">
        <v>35311</v>
      </c>
      <c r="D17264" s="330" t="s">
        <v>35312</v>
      </c>
      <c r="E17264" s="330" t="s">
        <v>4634</v>
      </c>
      <c r="F17264" s="331">
        <v>0.21</v>
      </c>
      <c r="G17264" s="332">
        <v>45231</v>
      </c>
      <c r="H17264" s="333">
        <v>54730</v>
      </c>
    </row>
    <row r="17265" spans="1:8">
      <c r="A17265" s="317" t="s">
        <v>43149</v>
      </c>
      <c r="B17265" s="330" t="s">
        <v>61617</v>
      </c>
      <c r="C17265" s="330" t="s">
        <v>35313</v>
      </c>
      <c r="D17265" s="330" t="s">
        <v>35314</v>
      </c>
      <c r="E17265" s="330" t="s">
        <v>4634</v>
      </c>
      <c r="F17265" s="331">
        <v>0.21</v>
      </c>
      <c r="G17265" s="332">
        <v>8041</v>
      </c>
      <c r="H17265" s="333">
        <v>9730</v>
      </c>
    </row>
    <row r="17266" spans="1:8">
      <c r="A17266" s="317" t="s">
        <v>43150</v>
      </c>
      <c r="B17266" s="330" t="s">
        <v>61618</v>
      </c>
      <c r="C17266" s="330" t="s">
        <v>35315</v>
      </c>
      <c r="D17266" s="330" t="s">
        <v>35316</v>
      </c>
      <c r="E17266" s="330" t="s">
        <v>4634</v>
      </c>
      <c r="F17266" s="331">
        <v>0.21</v>
      </c>
      <c r="G17266" s="332">
        <v>10745</v>
      </c>
      <c r="H17266" s="333">
        <v>13002</v>
      </c>
    </row>
    <row r="17267" spans="1:8">
      <c r="A17267" s="317" t="s">
        <v>43151</v>
      </c>
      <c r="B17267" s="330" t="s">
        <v>61619</v>
      </c>
      <c r="C17267" s="330" t="s">
        <v>35317</v>
      </c>
      <c r="D17267" s="330" t="s">
        <v>35318</v>
      </c>
      <c r="E17267" s="330" t="s">
        <v>4634</v>
      </c>
      <c r="F17267" s="331">
        <v>0.21</v>
      </c>
      <c r="G17267" s="332">
        <v>9761</v>
      </c>
      <c r="H17267" s="333">
        <v>11811</v>
      </c>
    </row>
    <row r="17268" spans="1:8">
      <c r="A17268" s="317" t="s">
        <v>43152</v>
      </c>
      <c r="B17268" s="330" t="s">
        <v>61620</v>
      </c>
      <c r="C17268" s="330" t="s">
        <v>35319</v>
      </c>
      <c r="D17268" s="330" t="s">
        <v>35320</v>
      </c>
      <c r="E17268" s="330" t="s">
        <v>4634</v>
      </c>
      <c r="F17268" s="331">
        <v>0.21</v>
      </c>
      <c r="G17268" s="332">
        <v>1996</v>
      </c>
      <c r="H17268" s="333">
        <v>2416</v>
      </c>
    </row>
    <row r="17269" spans="1:8">
      <c r="A17269" s="317" t="s">
        <v>43153</v>
      </c>
      <c r="B17269" s="330" t="s">
        <v>61621</v>
      </c>
      <c r="C17269" s="330" t="s">
        <v>35321</v>
      </c>
      <c r="D17269" s="330" t="s">
        <v>35322</v>
      </c>
      <c r="E17269" s="330" t="s">
        <v>4634</v>
      </c>
      <c r="F17269" s="331">
        <v>0.21</v>
      </c>
      <c r="G17269" s="332">
        <v>34911</v>
      </c>
      <c r="H17269" s="333">
        <v>42243</v>
      </c>
    </row>
    <row r="17270" spans="1:8">
      <c r="A17270" s="317" t="s">
        <v>43154</v>
      </c>
      <c r="B17270" s="330" t="s">
        <v>61622</v>
      </c>
      <c r="C17270" s="330" t="s">
        <v>35323</v>
      </c>
      <c r="D17270" s="330" t="s">
        <v>35324</v>
      </c>
      <c r="E17270" s="330" t="s">
        <v>4634</v>
      </c>
      <c r="F17270" s="331">
        <v>0.21</v>
      </c>
      <c r="G17270" s="332">
        <v>9761</v>
      </c>
      <c r="H17270" s="333">
        <v>11811</v>
      </c>
    </row>
    <row r="17271" spans="1:8">
      <c r="A17271" s="317" t="s">
        <v>43155</v>
      </c>
      <c r="B17271" s="330" t="s">
        <v>61623</v>
      </c>
      <c r="C17271" s="330" t="s">
        <v>35325</v>
      </c>
      <c r="D17271" s="330" t="s">
        <v>35326</v>
      </c>
      <c r="E17271" s="330" t="s">
        <v>4634</v>
      </c>
      <c r="F17271" s="331">
        <v>0.21</v>
      </c>
      <c r="G17271" s="332">
        <v>15882</v>
      </c>
      <c r="H17271" s="333">
        <v>19218</v>
      </c>
    </row>
    <row r="17272" spans="1:8">
      <c r="A17272" s="317" t="s">
        <v>43156</v>
      </c>
      <c r="B17272" s="330" t="s">
        <v>61624</v>
      </c>
      <c r="C17272" s="330" t="s">
        <v>35327</v>
      </c>
      <c r="D17272" s="330" t="s">
        <v>35328</v>
      </c>
      <c r="E17272" s="330" t="s">
        <v>37248</v>
      </c>
      <c r="F17272" s="331">
        <v>0.21</v>
      </c>
      <c r="G17272" s="332">
        <v>11709</v>
      </c>
      <c r="H17272" s="333">
        <v>14168</v>
      </c>
    </row>
    <row r="17273" spans="1:8">
      <c r="A17273" s="317" t="s">
        <v>43157</v>
      </c>
      <c r="B17273" s="330" t="s">
        <v>61625</v>
      </c>
      <c r="C17273" s="330" t="s">
        <v>35329</v>
      </c>
      <c r="D17273" s="330" t="s">
        <v>35330</v>
      </c>
      <c r="E17273" s="330" t="s">
        <v>4634</v>
      </c>
      <c r="F17273" s="331">
        <v>0.21</v>
      </c>
      <c r="G17273" s="332">
        <v>11104</v>
      </c>
      <c r="H17273" s="333">
        <v>13436</v>
      </c>
    </row>
    <row r="17274" spans="1:8">
      <c r="A17274" s="317" t="s">
        <v>43158</v>
      </c>
      <c r="B17274" s="330" t="s">
        <v>61626</v>
      </c>
      <c r="C17274" s="330" t="s">
        <v>35331</v>
      </c>
      <c r="D17274" s="330" t="s">
        <v>35332</v>
      </c>
      <c r="E17274" s="330" t="s">
        <v>4634</v>
      </c>
      <c r="F17274" s="331">
        <v>0.21</v>
      </c>
      <c r="G17274" s="332">
        <v>7589</v>
      </c>
      <c r="H17274" s="333">
        <v>9183</v>
      </c>
    </row>
    <row r="17275" spans="1:8">
      <c r="A17275" s="317" t="s">
        <v>43159</v>
      </c>
      <c r="B17275" s="330" t="s">
        <v>61627</v>
      </c>
      <c r="C17275" s="330" t="s">
        <v>35333</v>
      </c>
      <c r="D17275" s="330" t="s">
        <v>35334</v>
      </c>
      <c r="E17275" s="330" t="s">
        <v>4634</v>
      </c>
      <c r="F17275" s="331">
        <v>0.21</v>
      </c>
      <c r="G17275" s="332">
        <v>36017</v>
      </c>
      <c r="H17275" s="333">
        <v>43581</v>
      </c>
    </row>
    <row r="17276" spans="1:8">
      <c r="A17276" s="317" t="s">
        <v>43160</v>
      </c>
      <c r="B17276" s="330" t="s">
        <v>61628</v>
      </c>
      <c r="C17276" s="330" t="s">
        <v>35335</v>
      </c>
      <c r="D17276" s="330" t="s">
        <v>35336</v>
      </c>
      <c r="E17276" s="330" t="s">
        <v>4634</v>
      </c>
      <c r="F17276" s="331">
        <v>0.21</v>
      </c>
      <c r="G17276" s="332">
        <v>8162</v>
      </c>
      <c r="H17276" s="333">
        <v>9877</v>
      </c>
    </row>
    <row r="17277" spans="1:8">
      <c r="A17277" s="317" t="s">
        <v>43161</v>
      </c>
      <c r="B17277" s="330" t="s">
        <v>61629</v>
      </c>
      <c r="C17277" s="330" t="s">
        <v>35337</v>
      </c>
      <c r="D17277" s="330" t="s">
        <v>35338</v>
      </c>
      <c r="E17277" s="330" t="s">
        <v>4634</v>
      </c>
      <c r="F17277" s="331">
        <v>0.21</v>
      </c>
      <c r="G17277" s="332">
        <v>6694</v>
      </c>
      <c r="H17277" s="333">
        <v>8100</v>
      </c>
    </row>
    <row r="17278" spans="1:8">
      <c r="A17278" s="317" t="s">
        <v>43162</v>
      </c>
      <c r="B17278" s="330" t="s">
        <v>61630</v>
      </c>
      <c r="C17278" s="330" t="s">
        <v>35339</v>
      </c>
      <c r="D17278" s="330" t="s">
        <v>35340</v>
      </c>
      <c r="E17278" s="330" t="s">
        <v>4819</v>
      </c>
      <c r="F17278" s="331">
        <v>0.21</v>
      </c>
      <c r="G17278" s="332">
        <v>51494</v>
      </c>
      <c r="H17278" s="333">
        <v>62308</v>
      </c>
    </row>
    <row r="17279" spans="1:8">
      <c r="A17279" s="317" t="s">
        <v>43163</v>
      </c>
      <c r="B17279" s="330" t="s">
        <v>61631</v>
      </c>
      <c r="C17279" s="330" t="s">
        <v>35341</v>
      </c>
      <c r="D17279" s="330" t="s">
        <v>35342</v>
      </c>
      <c r="E17279" s="330" t="s">
        <v>4819</v>
      </c>
      <c r="F17279" s="331">
        <v>0.21</v>
      </c>
      <c r="G17279" s="332">
        <v>43216</v>
      </c>
      <c r="H17279" s="333">
        <v>52292</v>
      </c>
    </row>
    <row r="17280" spans="1:8">
      <c r="A17280" s="317" t="s">
        <v>43164</v>
      </c>
      <c r="B17280" s="330" t="s">
        <v>61632</v>
      </c>
      <c r="C17280" s="330" t="s">
        <v>35343</v>
      </c>
      <c r="D17280" s="330" t="s">
        <v>35344</v>
      </c>
      <c r="E17280" s="330" t="s">
        <v>4634</v>
      </c>
      <c r="F17280" s="331">
        <v>0.21</v>
      </c>
      <c r="G17280" s="332">
        <v>236</v>
      </c>
      <c r="H17280" s="333">
        <v>286</v>
      </c>
    </row>
    <row r="17281" spans="1:8">
      <c r="A17281" s="317" t="s">
        <v>43165</v>
      </c>
      <c r="B17281" s="330" t="s">
        <v>61633</v>
      </c>
      <c r="C17281" s="330" t="s">
        <v>35345</v>
      </c>
      <c r="D17281" s="330" t="s">
        <v>35346</v>
      </c>
      <c r="E17281" s="330" t="s">
        <v>4634</v>
      </c>
      <c r="F17281" s="331">
        <v>0.21</v>
      </c>
      <c r="G17281" s="332">
        <v>1450</v>
      </c>
      <c r="H17281" s="333">
        <v>1755</v>
      </c>
    </row>
    <row r="17282" spans="1:8">
      <c r="A17282" s="317" t="s">
        <v>43166</v>
      </c>
      <c r="B17282" s="330" t="s">
        <v>61634</v>
      </c>
      <c r="C17282" s="330" t="s">
        <v>35347</v>
      </c>
      <c r="D17282" s="330" t="s">
        <v>6109</v>
      </c>
      <c r="E17282" s="330" t="s">
        <v>4634</v>
      </c>
      <c r="F17282" s="331">
        <v>0.21</v>
      </c>
      <c r="G17282" s="332">
        <v>303</v>
      </c>
      <c r="H17282" s="333">
        <v>367</v>
      </c>
    </row>
    <row r="17283" spans="1:8">
      <c r="A17283" s="317" t="s">
        <v>43167</v>
      </c>
      <c r="B17283" s="330" t="s">
        <v>61635</v>
      </c>
      <c r="C17283" s="330" t="s">
        <v>35348</v>
      </c>
      <c r="D17283" s="330" t="s">
        <v>28734</v>
      </c>
      <c r="E17283" s="330" t="s">
        <v>4634</v>
      </c>
      <c r="F17283" s="331">
        <v>0.21</v>
      </c>
      <c r="G17283" s="332">
        <v>153</v>
      </c>
      <c r="H17283" s="333">
        <v>186</v>
      </c>
    </row>
    <row r="17284" spans="1:8">
      <c r="A17284" s="317" t="s">
        <v>43168</v>
      </c>
      <c r="B17284" s="330" t="s">
        <v>61636</v>
      </c>
      <c r="C17284" s="330" t="s">
        <v>35349</v>
      </c>
      <c r="D17284" s="330" t="s">
        <v>35350</v>
      </c>
      <c r="E17284" s="330" t="s">
        <v>4634</v>
      </c>
      <c r="F17284" s="331">
        <v>0.21</v>
      </c>
      <c r="G17284" s="332">
        <v>863</v>
      </c>
      <c r="H17284" s="333">
        <v>1045</v>
      </c>
    </row>
    <row r="17285" spans="1:8">
      <c r="A17285" s="317" t="s">
        <v>43169</v>
      </c>
      <c r="B17285" s="330" t="s">
        <v>61637</v>
      </c>
      <c r="C17285" s="330" t="s">
        <v>35351</v>
      </c>
      <c r="D17285" s="330" t="s">
        <v>35352</v>
      </c>
      <c r="E17285" s="330" t="s">
        <v>4634</v>
      </c>
      <c r="F17285" s="331">
        <v>0.21</v>
      </c>
      <c r="G17285" s="332">
        <v>12412</v>
      </c>
      <c r="H17285" s="333">
        <v>15019</v>
      </c>
    </row>
    <row r="17286" spans="1:8">
      <c r="A17286" s="317" t="s">
        <v>43170</v>
      </c>
      <c r="B17286" s="330" t="s">
        <v>61638</v>
      </c>
      <c r="C17286" s="330" t="s">
        <v>35353</v>
      </c>
      <c r="D17286" s="330" t="s">
        <v>35354</v>
      </c>
      <c r="E17286" s="330" t="s">
        <v>37248</v>
      </c>
      <c r="F17286" s="331">
        <v>0.21</v>
      </c>
      <c r="G17286" s="332">
        <v>2730</v>
      </c>
      <c r="H17286" s="333">
        <v>3304</v>
      </c>
    </row>
    <row r="17287" spans="1:8">
      <c r="A17287" s="317" t="s">
        <v>43171</v>
      </c>
      <c r="B17287" s="330" t="s">
        <v>61639</v>
      </c>
      <c r="C17287" s="330" t="s">
        <v>35355</v>
      </c>
      <c r="D17287" s="330" t="s">
        <v>35356</v>
      </c>
      <c r="E17287" s="330" t="s">
        <v>4634</v>
      </c>
      <c r="F17287" s="331">
        <v>0.21</v>
      </c>
      <c r="G17287" s="332">
        <v>678</v>
      </c>
      <c r="H17287" s="333">
        <v>821</v>
      </c>
    </row>
    <row r="17288" spans="1:8">
      <c r="A17288" s="317" t="s">
        <v>43172</v>
      </c>
      <c r="B17288" s="330" t="s">
        <v>61640</v>
      </c>
      <c r="C17288" s="330" t="s">
        <v>35357</v>
      </c>
      <c r="D17288" s="330" t="s">
        <v>35358</v>
      </c>
      <c r="E17288" s="330" t="s">
        <v>4634</v>
      </c>
      <c r="F17288" s="331">
        <v>0.21</v>
      </c>
      <c r="G17288" s="332">
        <v>1387</v>
      </c>
      <c r="H17288" s="333">
        <v>1679</v>
      </c>
    </row>
    <row r="17289" spans="1:8">
      <c r="A17289" s="317" t="s">
        <v>43173</v>
      </c>
      <c r="B17289" s="330" t="s">
        <v>61641</v>
      </c>
      <c r="C17289" s="330" t="s">
        <v>35359</v>
      </c>
      <c r="D17289" s="330" t="s">
        <v>35360</v>
      </c>
      <c r="E17289" s="330" t="s">
        <v>4819</v>
      </c>
      <c r="F17289" s="331">
        <v>0.21</v>
      </c>
      <c r="G17289" s="332">
        <v>910</v>
      </c>
      <c r="H17289" s="333">
        <v>1102</v>
      </c>
    </row>
    <row r="17290" spans="1:8">
      <c r="A17290" s="317" t="s">
        <v>43174</v>
      </c>
      <c r="B17290" s="330" t="s">
        <v>61642</v>
      </c>
      <c r="C17290" s="330" t="s">
        <v>35361</v>
      </c>
      <c r="D17290" s="330" t="s">
        <v>35362</v>
      </c>
      <c r="E17290" s="330" t="s">
        <v>4819</v>
      </c>
      <c r="F17290" s="331">
        <v>0.21</v>
      </c>
      <c r="G17290" s="332">
        <v>1373</v>
      </c>
      <c r="H17290" s="333">
        <v>1662</v>
      </c>
    </row>
    <row r="17291" spans="1:8">
      <c r="A17291" s="317" t="s">
        <v>43175</v>
      </c>
      <c r="B17291" s="330" t="s">
        <v>61643</v>
      </c>
      <c r="C17291" s="330" t="s">
        <v>35363</v>
      </c>
      <c r="D17291" s="330" t="s">
        <v>35364</v>
      </c>
      <c r="E17291" s="330" t="s">
        <v>4819</v>
      </c>
      <c r="F17291" s="331">
        <v>0.21</v>
      </c>
      <c r="G17291" s="332">
        <v>10013</v>
      </c>
      <c r="H17291" s="333">
        <v>12116</v>
      </c>
    </row>
    <row r="17292" spans="1:8">
      <c r="A17292" s="317" t="s">
        <v>43176</v>
      </c>
      <c r="B17292" s="330" t="s">
        <v>61644</v>
      </c>
      <c r="C17292" s="330" t="s">
        <v>35365</v>
      </c>
      <c r="D17292" s="330" t="s">
        <v>35366</v>
      </c>
      <c r="E17292" s="330" t="s">
        <v>4634</v>
      </c>
      <c r="F17292" s="331">
        <v>0.21</v>
      </c>
      <c r="G17292" s="332">
        <v>4227</v>
      </c>
      <c r="H17292" s="333">
        <v>5115</v>
      </c>
    </row>
    <row r="17293" spans="1:8">
      <c r="A17293" s="317" t="s">
        <v>43177</v>
      </c>
      <c r="B17293" s="330" t="s">
        <v>61645</v>
      </c>
      <c r="C17293" s="330" t="s">
        <v>35367</v>
      </c>
      <c r="D17293" s="330" t="s">
        <v>35368</v>
      </c>
      <c r="E17293" s="330" t="s">
        <v>4634</v>
      </c>
      <c r="F17293" s="331">
        <v>0.21</v>
      </c>
      <c r="G17293" s="332">
        <v>2143</v>
      </c>
      <c r="H17293" s="333">
        <v>2594</v>
      </c>
    </row>
    <row r="17294" spans="1:8">
      <c r="A17294" s="317" t="s">
        <v>43178</v>
      </c>
      <c r="B17294" s="330" t="s">
        <v>61646</v>
      </c>
      <c r="C17294" s="330" t="s">
        <v>35369</v>
      </c>
      <c r="D17294" s="330" t="s">
        <v>35370</v>
      </c>
      <c r="E17294" s="330" t="s">
        <v>37248</v>
      </c>
      <c r="F17294" s="331">
        <v>0.21</v>
      </c>
      <c r="G17294" s="332">
        <v>1237</v>
      </c>
      <c r="H17294" s="333">
        <v>1497</v>
      </c>
    </row>
    <row r="17295" spans="1:8">
      <c r="A17295" s="317" t="s">
        <v>43179</v>
      </c>
      <c r="B17295" s="330" t="s">
        <v>61647</v>
      </c>
      <c r="C17295" s="330" t="s">
        <v>35371</v>
      </c>
      <c r="D17295" s="330" t="s">
        <v>35372</v>
      </c>
      <c r="E17295" s="330" t="s">
        <v>4634</v>
      </c>
      <c r="F17295" s="331">
        <v>0.21</v>
      </c>
      <c r="G17295" s="332">
        <v>758</v>
      </c>
      <c r="H17295" s="333">
        <v>918</v>
      </c>
    </row>
    <row r="17296" spans="1:8">
      <c r="A17296" s="317" t="s">
        <v>43180</v>
      </c>
      <c r="B17296" s="330" t="s">
        <v>61648</v>
      </c>
      <c r="C17296" s="330" t="s">
        <v>35373</v>
      </c>
      <c r="D17296" s="330" t="s">
        <v>35374</v>
      </c>
      <c r="E17296" s="330" t="s">
        <v>4623</v>
      </c>
      <c r="F17296" s="331">
        <v>0.21</v>
      </c>
      <c r="G17296" s="332">
        <v>19583</v>
      </c>
      <c r="H17296" s="333">
        <v>23696</v>
      </c>
    </row>
    <row r="17297" spans="1:8">
      <c r="A17297" s="317" t="s">
        <v>43181</v>
      </c>
      <c r="B17297" s="330" t="s">
        <v>61649</v>
      </c>
      <c r="C17297" s="330" t="s">
        <v>35375</v>
      </c>
      <c r="D17297" s="330" t="s">
        <v>35376</v>
      </c>
      <c r="E17297" s="330" t="s">
        <v>4634</v>
      </c>
      <c r="F17297" s="331">
        <v>0.21</v>
      </c>
      <c r="G17297" s="332">
        <v>280</v>
      </c>
      <c r="H17297" s="333">
        <v>339</v>
      </c>
    </row>
    <row r="17298" spans="1:8">
      <c r="A17298" s="317" t="s">
        <v>43182</v>
      </c>
      <c r="B17298" s="330" t="s">
        <v>61650</v>
      </c>
      <c r="C17298" s="330" t="s">
        <v>35377</v>
      </c>
      <c r="D17298" s="330" t="s">
        <v>35378</v>
      </c>
      <c r="E17298" s="330" t="s">
        <v>4634</v>
      </c>
      <c r="F17298" s="331">
        <v>0.21</v>
      </c>
      <c r="G17298" s="332">
        <v>37</v>
      </c>
      <c r="H17298" s="333">
        <v>45</v>
      </c>
    </row>
    <row r="17299" spans="1:8">
      <c r="A17299" s="317" t="s">
        <v>43183</v>
      </c>
      <c r="B17299" s="330" t="s">
        <v>61651</v>
      </c>
      <c r="C17299" s="330" t="s">
        <v>35379</v>
      </c>
      <c r="D17299" s="330" t="s">
        <v>35380</v>
      </c>
      <c r="E17299" s="330" t="s">
        <v>4634</v>
      </c>
      <c r="F17299" s="331">
        <v>0.21</v>
      </c>
      <c r="G17299" s="332">
        <v>153</v>
      </c>
      <c r="H17299" s="333">
        <v>186</v>
      </c>
    </row>
    <row r="17300" spans="1:8">
      <c r="A17300" s="317" t="s">
        <v>43184</v>
      </c>
      <c r="B17300" s="330" t="s">
        <v>61652</v>
      </c>
      <c r="C17300" s="330" t="s">
        <v>35381</v>
      </c>
      <c r="D17300" s="330" t="s">
        <v>35382</v>
      </c>
      <c r="E17300" s="330" t="s">
        <v>4634</v>
      </c>
      <c r="F17300" s="331">
        <v>0.21</v>
      </c>
      <c r="G17300" s="332">
        <v>280</v>
      </c>
      <c r="H17300" s="333">
        <v>339</v>
      </c>
    </row>
    <row r="17301" spans="1:8">
      <c r="A17301" s="317" t="s">
        <v>43185</v>
      </c>
      <c r="B17301" s="330" t="s">
        <v>61653</v>
      </c>
      <c r="C17301" s="330" t="s">
        <v>35383</v>
      </c>
      <c r="D17301" s="330" t="s">
        <v>35384</v>
      </c>
      <c r="E17301" s="330" t="s">
        <v>4634</v>
      </c>
      <c r="F17301" s="331">
        <v>0.21</v>
      </c>
      <c r="G17301" s="332">
        <v>280</v>
      </c>
      <c r="H17301" s="333">
        <v>339</v>
      </c>
    </row>
    <row r="17302" spans="1:8">
      <c r="A17302" s="317" t="s">
        <v>43186</v>
      </c>
      <c r="B17302" s="330" t="s">
        <v>61654</v>
      </c>
      <c r="C17302" s="330" t="s">
        <v>35385</v>
      </c>
      <c r="D17302" s="330" t="s">
        <v>35386</v>
      </c>
      <c r="E17302" s="330" t="s">
        <v>4634</v>
      </c>
      <c r="F17302" s="331">
        <v>0.21</v>
      </c>
      <c r="G17302" s="332">
        <v>280</v>
      </c>
      <c r="H17302" s="333">
        <v>339</v>
      </c>
    </row>
    <row r="17303" spans="1:8">
      <c r="A17303" s="317" t="s">
        <v>43187</v>
      </c>
      <c r="B17303" s="330" t="s">
        <v>61655</v>
      </c>
      <c r="C17303" s="330" t="s">
        <v>35387</v>
      </c>
      <c r="D17303" s="330" t="s">
        <v>35388</v>
      </c>
      <c r="E17303" s="330" t="s">
        <v>4634</v>
      </c>
      <c r="F17303" s="331">
        <v>0.21</v>
      </c>
      <c r="G17303" s="332">
        <v>1188</v>
      </c>
      <c r="H17303" s="333">
        <v>1438</v>
      </c>
    </row>
    <row r="17304" spans="1:8">
      <c r="A17304" s="317" t="s">
        <v>43188</v>
      </c>
      <c r="B17304" s="330" t="s">
        <v>61656</v>
      </c>
      <c r="C17304" s="330" t="s">
        <v>35389</v>
      </c>
      <c r="D17304" s="330" t="s">
        <v>35390</v>
      </c>
      <c r="E17304" s="330" t="s">
        <v>4634</v>
      </c>
      <c r="F17304" s="331">
        <v>0.21</v>
      </c>
      <c r="G17304" s="332">
        <v>1641</v>
      </c>
      <c r="H17304" s="333">
        <v>1986</v>
      </c>
    </row>
    <row r="17305" spans="1:8">
      <c r="A17305" s="317" t="s">
        <v>43189</v>
      </c>
      <c r="B17305" s="330" t="s">
        <v>61657</v>
      </c>
      <c r="C17305" s="330" t="s">
        <v>35391</v>
      </c>
      <c r="D17305" s="330" t="s">
        <v>35392</v>
      </c>
      <c r="E17305" s="330" t="s">
        <v>4634</v>
      </c>
      <c r="F17305" s="331">
        <v>0.21</v>
      </c>
      <c r="G17305" s="332">
        <v>348</v>
      </c>
      <c r="H17305" s="333">
        <v>422</v>
      </c>
    </row>
    <row r="17306" spans="1:8">
      <c r="A17306" s="317" t="s">
        <v>43190</v>
      </c>
      <c r="B17306" s="330" t="s">
        <v>61658</v>
      </c>
      <c r="C17306" s="330" t="s">
        <v>35393</v>
      </c>
      <c r="D17306" s="330" t="s">
        <v>35394</v>
      </c>
      <c r="E17306" s="330" t="s">
        <v>4634</v>
      </c>
      <c r="F17306" s="331">
        <v>0.21</v>
      </c>
      <c r="G17306" s="332">
        <v>1715</v>
      </c>
      <c r="H17306" s="333">
        <v>2076</v>
      </c>
    </row>
    <row r="17307" spans="1:8">
      <c r="A17307" s="317" t="s">
        <v>43191</v>
      </c>
      <c r="B17307" s="330" t="s">
        <v>61659</v>
      </c>
      <c r="C17307" s="330" t="s">
        <v>35395</v>
      </c>
      <c r="D17307" s="330" t="s">
        <v>35396</v>
      </c>
      <c r="E17307" s="330" t="s">
        <v>4634</v>
      </c>
      <c r="F17307" s="331">
        <v>0.21</v>
      </c>
      <c r="G17307" s="332">
        <v>2197</v>
      </c>
      <c r="H17307" s="333">
        <v>2659</v>
      </c>
    </row>
    <row r="17308" spans="1:8">
      <c r="A17308" s="317" t="s">
        <v>43192</v>
      </c>
      <c r="B17308" s="330" t="s">
        <v>61660</v>
      </c>
      <c r="C17308" s="330" t="s">
        <v>35397</v>
      </c>
      <c r="D17308" s="330" t="s">
        <v>35398</v>
      </c>
      <c r="E17308" s="330" t="s">
        <v>4634</v>
      </c>
      <c r="F17308" s="331">
        <v>0.21</v>
      </c>
      <c r="G17308" s="332">
        <v>234</v>
      </c>
      <c r="H17308" s="333">
        <v>284</v>
      </c>
    </row>
    <row r="17309" spans="1:8">
      <c r="A17309" s="317" t="s">
        <v>43193</v>
      </c>
      <c r="B17309" s="330" t="s">
        <v>61661</v>
      </c>
      <c r="C17309" s="330" t="s">
        <v>35399</v>
      </c>
      <c r="D17309" s="330" t="s">
        <v>35400</v>
      </c>
      <c r="E17309" s="330" t="s">
        <v>4634</v>
      </c>
      <c r="F17309" s="331">
        <v>0.21</v>
      </c>
      <c r="G17309" s="332">
        <v>638</v>
      </c>
      <c r="H17309" s="333">
        <v>772</v>
      </c>
    </row>
    <row r="17310" spans="1:8">
      <c r="A17310" s="317" t="s">
        <v>43194</v>
      </c>
      <c r="B17310" s="330" t="s">
        <v>61662</v>
      </c>
      <c r="C17310" s="330" t="s">
        <v>35401</v>
      </c>
      <c r="D17310" s="330" t="s">
        <v>35402</v>
      </c>
      <c r="E17310" s="330" t="s">
        <v>4634</v>
      </c>
      <c r="F17310" s="331">
        <v>0.21</v>
      </c>
      <c r="G17310" s="332">
        <v>49</v>
      </c>
      <c r="H17310" s="333">
        <v>60</v>
      </c>
    </row>
    <row r="17311" spans="1:8">
      <c r="A17311" s="317" t="s">
        <v>43195</v>
      </c>
      <c r="B17311" s="330" t="s">
        <v>61663</v>
      </c>
      <c r="C17311" s="330" t="s">
        <v>35403</v>
      </c>
      <c r="D17311" s="330" t="s">
        <v>35404</v>
      </c>
      <c r="E17311" s="330" t="s">
        <v>4634</v>
      </c>
      <c r="F17311" s="331">
        <v>0.21</v>
      </c>
      <c r="G17311" s="332">
        <v>3056</v>
      </c>
      <c r="H17311" s="333">
        <v>3698</v>
      </c>
    </row>
    <row r="17312" spans="1:8">
      <c r="A17312" s="317" t="s">
        <v>43196</v>
      </c>
      <c r="B17312" s="330" t="s">
        <v>61664</v>
      </c>
      <c r="C17312" s="330" t="s">
        <v>35405</v>
      </c>
      <c r="D17312" s="330" t="s">
        <v>35406</v>
      </c>
      <c r="E17312" s="330" t="s">
        <v>4634</v>
      </c>
      <c r="F17312" s="331">
        <v>0.21</v>
      </c>
      <c r="G17312" s="332">
        <v>3056</v>
      </c>
      <c r="H17312" s="333">
        <v>3698</v>
      </c>
    </row>
    <row r="17313" spans="1:8">
      <c r="A17313" s="317" t="s">
        <v>43197</v>
      </c>
      <c r="B17313" s="330" t="s">
        <v>61665</v>
      </c>
      <c r="C17313" s="330" t="s">
        <v>35407</v>
      </c>
      <c r="D17313" s="330" t="s">
        <v>35408</v>
      </c>
      <c r="E17313" s="330" t="s">
        <v>4634</v>
      </c>
      <c r="F17313" s="331">
        <v>0.21</v>
      </c>
      <c r="G17313" s="332">
        <v>300</v>
      </c>
      <c r="H17313" s="333">
        <v>363</v>
      </c>
    </row>
    <row r="17314" spans="1:8">
      <c r="A17314" s="317" t="s">
        <v>43198</v>
      </c>
      <c r="B17314" s="330" t="s">
        <v>61666</v>
      </c>
      <c r="C17314" s="330" t="s">
        <v>35409</v>
      </c>
      <c r="D17314" s="330" t="s">
        <v>35410</v>
      </c>
      <c r="E17314" s="330" t="s">
        <v>4634</v>
      </c>
      <c r="F17314" s="331">
        <v>0.21</v>
      </c>
      <c r="G17314" s="332">
        <v>3914</v>
      </c>
      <c r="H17314" s="333">
        <v>4736</v>
      </c>
    </row>
    <row r="17315" spans="1:8">
      <c r="A17315" s="317" t="s">
        <v>43199</v>
      </c>
      <c r="B17315" s="330" t="s">
        <v>61667</v>
      </c>
      <c r="C17315" s="330" t="s">
        <v>35411</v>
      </c>
      <c r="D17315" s="330" t="s">
        <v>35332</v>
      </c>
      <c r="E17315" s="330" t="s">
        <v>4634</v>
      </c>
      <c r="F17315" s="331">
        <v>0.21</v>
      </c>
      <c r="G17315" s="332">
        <v>4905</v>
      </c>
      <c r="H17315" s="333">
        <v>5936</v>
      </c>
    </row>
    <row r="17316" spans="1:8">
      <c r="A17316" s="317" t="s">
        <v>43200</v>
      </c>
      <c r="B17316" s="330" t="s">
        <v>61668</v>
      </c>
      <c r="C17316" s="330" t="s">
        <v>35412</v>
      </c>
      <c r="D17316" s="330" t="s">
        <v>35413</v>
      </c>
      <c r="E17316" s="330" t="s">
        <v>4634</v>
      </c>
      <c r="F17316" s="331">
        <v>0.21</v>
      </c>
      <c r="G17316" s="332">
        <v>919</v>
      </c>
      <c r="H17316" s="333">
        <v>1112</v>
      </c>
    </row>
    <row r="17317" spans="1:8">
      <c r="A17317" s="317" t="s">
        <v>43201</v>
      </c>
      <c r="B17317" s="330" t="s">
        <v>61669</v>
      </c>
      <c r="C17317" s="330" t="s">
        <v>35414</v>
      </c>
      <c r="D17317" s="330" t="s">
        <v>35415</v>
      </c>
      <c r="E17317" s="330" t="s">
        <v>37248</v>
      </c>
      <c r="F17317" s="331">
        <v>0.21</v>
      </c>
      <c r="G17317" s="332">
        <v>28362</v>
      </c>
      <c r="H17317" s="333">
        <v>34319</v>
      </c>
    </row>
    <row r="17318" spans="1:8">
      <c r="A17318" s="317" t="s">
        <v>43202</v>
      </c>
      <c r="B17318" s="330" t="s">
        <v>61670</v>
      </c>
      <c r="C17318" s="330" t="s">
        <v>35416</v>
      </c>
      <c r="D17318" s="330" t="s">
        <v>35417</v>
      </c>
      <c r="E17318" s="330" t="s">
        <v>4634</v>
      </c>
      <c r="F17318" s="331">
        <v>0.21</v>
      </c>
      <c r="G17318" s="332">
        <v>1434</v>
      </c>
      <c r="H17318" s="333">
        <v>1736</v>
      </c>
    </row>
    <row r="17319" spans="1:8">
      <c r="A17319" s="317" t="s">
        <v>43203</v>
      </c>
      <c r="B17319" s="330" t="s">
        <v>61671</v>
      </c>
      <c r="C17319" s="330" t="s">
        <v>35418</v>
      </c>
      <c r="D17319" s="330" t="s">
        <v>35419</v>
      </c>
      <c r="E17319" s="330" t="s">
        <v>4634</v>
      </c>
      <c r="F17319" s="331">
        <v>0.21</v>
      </c>
      <c r="G17319" s="332">
        <v>4073</v>
      </c>
      <c r="H17319" s="333">
        <v>4929</v>
      </c>
    </row>
    <row r="17320" spans="1:8">
      <c r="A17320" s="317" t="s">
        <v>43204</v>
      </c>
      <c r="B17320" s="330" t="s">
        <v>61672</v>
      </c>
      <c r="C17320" s="330" t="s">
        <v>35420</v>
      </c>
      <c r="D17320" s="330" t="s">
        <v>35421</v>
      </c>
      <c r="E17320" s="330" t="s">
        <v>4634</v>
      </c>
      <c r="F17320" s="331">
        <v>0.21</v>
      </c>
      <c r="G17320" s="332">
        <v>4711</v>
      </c>
      <c r="H17320" s="333">
        <v>5701</v>
      </c>
    </row>
    <row r="17321" spans="1:8">
      <c r="A17321" s="317" t="s">
        <v>43205</v>
      </c>
      <c r="B17321" s="330" t="s">
        <v>61673</v>
      </c>
      <c r="C17321" s="330" t="s">
        <v>35422</v>
      </c>
      <c r="D17321" s="330" t="s">
        <v>35423</v>
      </c>
      <c r="E17321" s="330" t="s">
        <v>4634</v>
      </c>
      <c r="F17321" s="331">
        <v>0.21</v>
      </c>
      <c r="G17321" s="332">
        <v>1095</v>
      </c>
      <c r="H17321" s="333">
        <v>1325</v>
      </c>
    </row>
    <row r="17322" spans="1:8">
      <c r="A17322" s="317" t="s">
        <v>43206</v>
      </c>
      <c r="B17322" s="330" t="s">
        <v>61674</v>
      </c>
      <c r="C17322" s="330" t="s">
        <v>35424</v>
      </c>
      <c r="D17322" s="330" t="s">
        <v>35425</v>
      </c>
      <c r="E17322" s="330" t="s">
        <v>4634</v>
      </c>
      <c r="F17322" s="331">
        <v>0.21</v>
      </c>
      <c r="G17322" s="332">
        <v>4633</v>
      </c>
      <c r="H17322" s="333">
        <v>5606</v>
      </c>
    </row>
    <row r="17323" spans="1:8">
      <c r="A17323" s="317" t="s">
        <v>43207</v>
      </c>
      <c r="B17323" s="330" t="s">
        <v>61675</v>
      </c>
      <c r="C17323" s="330" t="s">
        <v>35426</v>
      </c>
      <c r="D17323" s="330" t="s">
        <v>35427</v>
      </c>
      <c r="E17323" s="330" t="s">
        <v>4634</v>
      </c>
      <c r="F17323" s="331">
        <v>0.21</v>
      </c>
      <c r="G17323" s="332">
        <v>33784</v>
      </c>
      <c r="H17323" s="333">
        <v>40879</v>
      </c>
    </row>
    <row r="17324" spans="1:8">
      <c r="A17324" s="317" t="s">
        <v>43208</v>
      </c>
      <c r="B17324" s="330" t="s">
        <v>61676</v>
      </c>
      <c r="C17324" s="330" t="s">
        <v>35428</v>
      </c>
      <c r="D17324" s="330" t="s">
        <v>35429</v>
      </c>
      <c r="E17324" s="330" t="s">
        <v>4634</v>
      </c>
      <c r="F17324" s="331">
        <v>0.21</v>
      </c>
      <c r="G17324" s="332">
        <v>4218</v>
      </c>
      <c r="H17324" s="333">
        <v>5104</v>
      </c>
    </row>
    <row r="17325" spans="1:8">
      <c r="A17325" s="317" t="s">
        <v>43209</v>
      </c>
      <c r="B17325" s="330" t="s">
        <v>61677</v>
      </c>
      <c r="C17325" s="330" t="s">
        <v>35430</v>
      </c>
      <c r="D17325" s="330" t="s">
        <v>35431</v>
      </c>
      <c r="E17325" s="330" t="s">
        <v>4634</v>
      </c>
      <c r="F17325" s="331">
        <v>0.21</v>
      </c>
      <c r="G17325" s="332">
        <v>23057</v>
      </c>
      <c r="H17325" s="333">
        <v>27899</v>
      </c>
    </row>
    <row r="17326" spans="1:8">
      <c r="A17326" s="317" t="s">
        <v>43210</v>
      </c>
      <c r="B17326" s="330" t="s">
        <v>61678</v>
      </c>
      <c r="C17326" s="330" t="s">
        <v>35432</v>
      </c>
      <c r="D17326" s="330" t="s">
        <v>35433</v>
      </c>
      <c r="E17326" s="330" t="s">
        <v>4634</v>
      </c>
      <c r="F17326" s="331">
        <v>0.21</v>
      </c>
      <c r="G17326" s="332">
        <v>919</v>
      </c>
      <c r="H17326" s="333">
        <v>1112</v>
      </c>
    </row>
    <row r="17327" spans="1:8">
      <c r="A17327" s="317" t="s">
        <v>43211</v>
      </c>
      <c r="B17327" s="330" t="s">
        <v>61679</v>
      </c>
      <c r="C17327" s="330" t="s">
        <v>35434</v>
      </c>
      <c r="D17327" s="330" t="s">
        <v>35435</v>
      </c>
      <c r="E17327" s="330" t="s">
        <v>4634</v>
      </c>
      <c r="F17327" s="331">
        <v>0.21</v>
      </c>
      <c r="G17327" s="332">
        <v>214</v>
      </c>
      <c r="H17327" s="333">
        <v>259</v>
      </c>
    </row>
    <row r="17328" spans="1:8">
      <c r="A17328" s="317" t="s">
        <v>43212</v>
      </c>
      <c r="B17328" s="330" t="s">
        <v>61680</v>
      </c>
      <c r="C17328" s="330" t="s">
        <v>35436</v>
      </c>
      <c r="D17328" s="330" t="s">
        <v>35437</v>
      </c>
      <c r="E17328" s="330" t="s">
        <v>4634</v>
      </c>
      <c r="F17328" s="331">
        <v>0.21</v>
      </c>
      <c r="G17328" s="332">
        <v>1003</v>
      </c>
      <c r="H17328" s="333">
        <v>1214</v>
      </c>
    </row>
    <row r="17329" spans="1:8">
      <c r="A17329" s="317" t="s">
        <v>43213</v>
      </c>
      <c r="B17329" s="330" t="s">
        <v>61681</v>
      </c>
      <c r="C17329" s="330" t="s">
        <v>35438</v>
      </c>
      <c r="D17329" s="330" t="s">
        <v>35439</v>
      </c>
      <c r="E17329" s="330" t="s">
        <v>4634</v>
      </c>
      <c r="F17329" s="331">
        <v>0.21</v>
      </c>
      <c r="G17329" s="332">
        <v>1222</v>
      </c>
      <c r="H17329" s="333">
        <v>1479</v>
      </c>
    </row>
    <row r="17330" spans="1:8">
      <c r="A17330" s="317" t="s">
        <v>43214</v>
      </c>
      <c r="B17330" s="330" t="s">
        <v>61682</v>
      </c>
      <c r="C17330" s="330" t="s">
        <v>35440</v>
      </c>
      <c r="D17330" s="330" t="s">
        <v>35441</v>
      </c>
      <c r="E17330" s="330" t="s">
        <v>4634</v>
      </c>
      <c r="F17330" s="331">
        <v>0.21</v>
      </c>
      <c r="G17330" s="332">
        <v>919</v>
      </c>
      <c r="H17330" s="333">
        <v>1112</v>
      </c>
    </row>
    <row r="17331" spans="1:8">
      <c r="A17331" s="317" t="s">
        <v>43215</v>
      </c>
      <c r="B17331" s="330" t="s">
        <v>61683</v>
      </c>
      <c r="C17331" s="330" t="s">
        <v>35442</v>
      </c>
      <c r="D17331" s="330" t="s">
        <v>35443</v>
      </c>
      <c r="E17331" s="330" t="s">
        <v>4634</v>
      </c>
      <c r="F17331" s="331">
        <v>0.21</v>
      </c>
      <c r="G17331" s="332">
        <v>18020</v>
      </c>
      <c r="H17331" s="333">
        <v>21805</v>
      </c>
    </row>
    <row r="17332" spans="1:8">
      <c r="A17332" s="317" t="s">
        <v>43216</v>
      </c>
      <c r="B17332" s="330" t="s">
        <v>61684</v>
      </c>
      <c r="C17332" s="330" t="s">
        <v>35444</v>
      </c>
      <c r="D17332" s="330" t="s">
        <v>35445</v>
      </c>
      <c r="E17332" s="330" t="s">
        <v>4634</v>
      </c>
      <c r="F17332" s="331">
        <v>0.21</v>
      </c>
      <c r="G17332" s="332">
        <v>928</v>
      </c>
      <c r="H17332" s="333">
        <v>1123</v>
      </c>
    </row>
    <row r="17333" spans="1:8">
      <c r="A17333" s="317" t="s">
        <v>43217</v>
      </c>
      <c r="B17333" s="330" t="s">
        <v>61685</v>
      </c>
      <c r="C17333" s="330" t="s">
        <v>35446</v>
      </c>
      <c r="D17333" s="330" t="s">
        <v>35447</v>
      </c>
      <c r="E17333" s="330" t="s">
        <v>4634</v>
      </c>
      <c r="F17333" s="331">
        <v>0.21</v>
      </c>
      <c r="G17333" s="332">
        <v>673</v>
      </c>
      <c r="H17333" s="333">
        <v>815</v>
      </c>
    </row>
    <row r="17334" spans="1:8">
      <c r="A17334" s="317" t="s">
        <v>43218</v>
      </c>
      <c r="B17334" s="330" t="s">
        <v>61686</v>
      </c>
      <c r="C17334" s="330" t="s">
        <v>35448</v>
      </c>
      <c r="D17334" s="330" t="s">
        <v>35449</v>
      </c>
      <c r="E17334" s="330" t="s">
        <v>4634</v>
      </c>
      <c r="F17334" s="331">
        <v>0.21</v>
      </c>
      <c r="G17334" s="332">
        <v>7888</v>
      </c>
      <c r="H17334" s="333">
        <v>9545</v>
      </c>
    </row>
    <row r="17335" spans="1:8">
      <c r="A17335" s="317" t="s">
        <v>43219</v>
      </c>
      <c r="B17335" s="330" t="s">
        <v>61687</v>
      </c>
      <c r="C17335" s="330" t="s">
        <v>35450</v>
      </c>
      <c r="D17335" s="330" t="s">
        <v>35451</v>
      </c>
      <c r="E17335" s="330" t="s">
        <v>4634</v>
      </c>
      <c r="F17335" s="331">
        <v>0.21</v>
      </c>
      <c r="G17335" s="332">
        <v>1478</v>
      </c>
      <c r="H17335" s="333">
        <v>1789</v>
      </c>
    </row>
    <row r="17336" spans="1:8">
      <c r="A17336" s="317" t="s">
        <v>43220</v>
      </c>
      <c r="B17336" s="330" t="s">
        <v>61688</v>
      </c>
      <c r="C17336" s="330" t="s">
        <v>35452</v>
      </c>
      <c r="D17336" s="330" t="s">
        <v>30388</v>
      </c>
      <c r="E17336" s="330" t="s">
        <v>4634</v>
      </c>
      <c r="F17336" s="331">
        <v>0.21</v>
      </c>
      <c r="G17336" s="332">
        <v>1070</v>
      </c>
      <c r="H17336" s="333">
        <v>1295</v>
      </c>
    </row>
    <row r="17337" spans="1:8">
      <c r="A17337" s="317" t="s">
        <v>43221</v>
      </c>
      <c r="B17337" s="330" t="s">
        <v>61689</v>
      </c>
      <c r="C17337" s="330" t="s">
        <v>35453</v>
      </c>
      <c r="D17337" s="330" t="s">
        <v>35454</v>
      </c>
      <c r="E17337" s="330" t="s">
        <v>4634</v>
      </c>
      <c r="F17337" s="331">
        <v>0.21</v>
      </c>
      <c r="G17337" s="332">
        <v>4559</v>
      </c>
      <c r="H17337" s="333">
        <v>5517</v>
      </c>
    </row>
    <row r="17338" spans="1:8">
      <c r="A17338" s="317" t="s">
        <v>43222</v>
      </c>
      <c r="B17338" s="330" t="s">
        <v>61690</v>
      </c>
      <c r="C17338" s="330" t="s">
        <v>35455</v>
      </c>
      <c r="D17338" s="330" t="s">
        <v>35456</v>
      </c>
      <c r="E17338" s="330" t="s">
        <v>4634</v>
      </c>
      <c r="F17338" s="331">
        <v>0.21</v>
      </c>
      <c r="G17338" s="332">
        <v>2161</v>
      </c>
      <c r="H17338" s="333">
        <v>2615</v>
      </c>
    </row>
    <row r="17339" spans="1:8">
      <c r="A17339" s="317" t="s">
        <v>43223</v>
      </c>
      <c r="B17339" s="330" t="s">
        <v>61691</v>
      </c>
      <c r="C17339" s="330" t="s">
        <v>35457</v>
      </c>
      <c r="D17339" s="330" t="s">
        <v>35458</v>
      </c>
      <c r="E17339" s="330" t="s">
        <v>4634</v>
      </c>
      <c r="F17339" s="331">
        <v>0.21</v>
      </c>
      <c r="G17339" s="332">
        <v>1293</v>
      </c>
      <c r="H17339" s="333">
        <v>1565</v>
      </c>
    </row>
    <row r="17340" spans="1:8">
      <c r="A17340" s="317" t="s">
        <v>43224</v>
      </c>
      <c r="B17340" s="330" t="s">
        <v>61692</v>
      </c>
      <c r="C17340" s="330" t="s">
        <v>35459</v>
      </c>
      <c r="D17340" s="330" t="s">
        <v>35458</v>
      </c>
      <c r="E17340" s="330" t="s">
        <v>4634</v>
      </c>
      <c r="F17340" s="331">
        <v>0.21</v>
      </c>
      <c r="G17340" s="332">
        <v>8220</v>
      </c>
      <c r="H17340" s="333">
        <v>9947</v>
      </c>
    </row>
    <row r="17341" spans="1:8">
      <c r="A17341" s="317" t="s">
        <v>43225</v>
      </c>
      <c r="B17341" s="330" t="s">
        <v>61693</v>
      </c>
      <c r="C17341" s="330" t="s">
        <v>35460</v>
      </c>
      <c r="D17341" s="330" t="s">
        <v>35461</v>
      </c>
      <c r="E17341" s="330" t="s">
        <v>4634</v>
      </c>
      <c r="F17341" s="331">
        <v>0.21</v>
      </c>
      <c r="G17341" s="332">
        <v>9630</v>
      </c>
      <c r="H17341" s="333">
        <v>11653</v>
      </c>
    </row>
    <row r="17342" spans="1:8">
      <c r="A17342" s="317" t="s">
        <v>43226</v>
      </c>
      <c r="B17342" s="330" t="s">
        <v>61694</v>
      </c>
      <c r="C17342" s="330" t="s">
        <v>35462</v>
      </c>
      <c r="D17342" s="330" t="s">
        <v>35463</v>
      </c>
      <c r="E17342" s="330" t="s">
        <v>4634</v>
      </c>
      <c r="F17342" s="331">
        <v>0.21</v>
      </c>
      <c r="G17342" s="332">
        <v>1514</v>
      </c>
      <c r="H17342" s="333">
        <v>1832</v>
      </c>
    </row>
    <row r="17343" spans="1:8">
      <c r="A17343" s="317" t="s">
        <v>43227</v>
      </c>
      <c r="B17343" s="330" t="s">
        <v>61695</v>
      </c>
      <c r="C17343" s="330" t="s">
        <v>35464</v>
      </c>
      <c r="D17343" s="330" t="s">
        <v>35465</v>
      </c>
      <c r="E17343" s="330" t="s">
        <v>4634</v>
      </c>
      <c r="F17343" s="331">
        <v>0.21</v>
      </c>
      <c r="G17343" s="332">
        <v>8606</v>
      </c>
      <c r="H17343" s="333">
        <v>10414</v>
      </c>
    </row>
    <row r="17344" spans="1:8">
      <c r="A17344" s="317" t="s">
        <v>43228</v>
      </c>
      <c r="B17344" s="330" t="s">
        <v>61696</v>
      </c>
      <c r="C17344" s="330" t="s">
        <v>35466</v>
      </c>
      <c r="D17344" s="330" t="s">
        <v>35463</v>
      </c>
      <c r="E17344" s="330" t="s">
        <v>4634</v>
      </c>
      <c r="F17344" s="331">
        <v>0.21</v>
      </c>
      <c r="G17344" s="332">
        <v>1434</v>
      </c>
      <c r="H17344" s="333">
        <v>1736</v>
      </c>
    </row>
    <row r="17345" spans="1:8">
      <c r="A17345" s="317" t="s">
        <v>43229</v>
      </c>
      <c r="B17345" s="330" t="s">
        <v>61697</v>
      </c>
      <c r="C17345" s="330" t="s">
        <v>35467</v>
      </c>
      <c r="D17345" s="330" t="s">
        <v>35463</v>
      </c>
      <c r="E17345" s="330" t="s">
        <v>4634</v>
      </c>
      <c r="F17345" s="331">
        <v>0.21</v>
      </c>
      <c r="G17345" s="332">
        <v>1769</v>
      </c>
      <c r="H17345" s="333">
        <v>2141</v>
      </c>
    </row>
    <row r="17346" spans="1:8">
      <c r="A17346" s="317" t="s">
        <v>43230</v>
      </c>
      <c r="B17346" s="330" t="s">
        <v>61698</v>
      </c>
      <c r="C17346" s="330" t="s">
        <v>35468</v>
      </c>
      <c r="D17346" s="330" t="s">
        <v>35469</v>
      </c>
      <c r="E17346" s="330" t="s">
        <v>4819</v>
      </c>
      <c r="F17346" s="331">
        <v>0.21</v>
      </c>
      <c r="G17346" s="332">
        <v>2476</v>
      </c>
      <c r="H17346" s="333">
        <v>2996</v>
      </c>
    </row>
    <row r="17347" spans="1:8">
      <c r="A17347" s="317" t="s">
        <v>43231</v>
      </c>
      <c r="B17347" s="330" t="s">
        <v>61699</v>
      </c>
      <c r="C17347" s="330" t="s">
        <v>35470</v>
      </c>
      <c r="D17347" s="330" t="s">
        <v>35471</v>
      </c>
      <c r="E17347" s="330" t="s">
        <v>4634</v>
      </c>
      <c r="F17347" s="331">
        <v>0.21</v>
      </c>
      <c r="G17347" s="332">
        <v>794</v>
      </c>
      <c r="H17347" s="333">
        <v>961</v>
      </c>
    </row>
    <row r="17348" spans="1:8">
      <c r="A17348" s="317" t="s">
        <v>43232</v>
      </c>
      <c r="B17348" s="330" t="s">
        <v>61700</v>
      </c>
      <c r="C17348" s="330" t="s">
        <v>35472</v>
      </c>
      <c r="D17348" s="330" t="s">
        <v>35473</v>
      </c>
      <c r="E17348" s="330" t="s">
        <v>4819</v>
      </c>
      <c r="F17348" s="331">
        <v>0.21</v>
      </c>
      <c r="G17348" s="332">
        <v>2692</v>
      </c>
      <c r="H17348" s="333">
        <v>3258</v>
      </c>
    </row>
    <row r="17349" spans="1:8">
      <c r="A17349" s="317" t="s">
        <v>43233</v>
      </c>
      <c r="B17349" s="330" t="s">
        <v>61701</v>
      </c>
      <c r="C17349" s="330" t="s">
        <v>35474</v>
      </c>
      <c r="D17349" s="330" t="s">
        <v>35475</v>
      </c>
      <c r="E17349" s="330" t="s">
        <v>4634</v>
      </c>
      <c r="F17349" s="331">
        <v>0.21</v>
      </c>
      <c r="G17349" s="332">
        <v>764</v>
      </c>
      <c r="H17349" s="333">
        <v>925</v>
      </c>
    </row>
    <row r="17350" spans="1:8">
      <c r="A17350" s="317" t="s">
        <v>43234</v>
      </c>
      <c r="B17350" s="330" t="s">
        <v>61702</v>
      </c>
      <c r="C17350" s="330" t="s">
        <v>35476</v>
      </c>
      <c r="D17350" s="330" t="s">
        <v>35477</v>
      </c>
      <c r="E17350" s="330" t="s">
        <v>4819</v>
      </c>
      <c r="F17350" s="331">
        <v>0.21</v>
      </c>
      <c r="G17350" s="332">
        <v>12354</v>
      </c>
      <c r="H17350" s="333">
        <v>14949</v>
      </c>
    </row>
    <row r="17351" spans="1:8">
      <c r="A17351" s="317" t="s">
        <v>43235</v>
      </c>
      <c r="B17351" s="330" t="s">
        <v>61703</v>
      </c>
      <c r="C17351" s="330" t="s">
        <v>35478</v>
      </c>
      <c r="D17351" s="330" t="s">
        <v>35479</v>
      </c>
      <c r="E17351" s="330" t="s">
        <v>4819</v>
      </c>
      <c r="F17351" s="331">
        <v>0.21</v>
      </c>
      <c r="G17351" s="332">
        <v>33432</v>
      </c>
      <c r="H17351" s="333">
        <v>40453</v>
      </c>
    </row>
    <row r="17352" spans="1:8">
      <c r="A17352" s="317" t="s">
        <v>43236</v>
      </c>
      <c r="B17352" s="330" t="s">
        <v>61704</v>
      </c>
      <c r="C17352" s="330" t="s">
        <v>35480</v>
      </c>
      <c r="D17352" s="330" t="s">
        <v>35479</v>
      </c>
      <c r="E17352" s="330" t="s">
        <v>4634</v>
      </c>
      <c r="F17352" s="331">
        <v>0.21</v>
      </c>
      <c r="G17352" s="332">
        <v>3528</v>
      </c>
      <c r="H17352" s="333">
        <v>4269</v>
      </c>
    </row>
    <row r="17353" spans="1:8">
      <c r="A17353" s="317" t="s">
        <v>43237</v>
      </c>
      <c r="B17353" s="330" t="s">
        <v>61705</v>
      </c>
      <c r="C17353" s="330" t="s">
        <v>35481</v>
      </c>
      <c r="D17353" s="330" t="s">
        <v>35477</v>
      </c>
      <c r="E17353" s="330" t="s">
        <v>4634</v>
      </c>
      <c r="F17353" s="331">
        <v>0.21</v>
      </c>
      <c r="G17353" s="332">
        <v>194</v>
      </c>
      <c r="H17353" s="333">
        <v>235</v>
      </c>
    </row>
    <row r="17354" spans="1:8">
      <c r="A17354" s="317" t="s">
        <v>43238</v>
      </c>
      <c r="B17354" s="330" t="s">
        <v>61706</v>
      </c>
      <c r="C17354" s="330" t="s">
        <v>35482</v>
      </c>
      <c r="D17354" s="330" t="s">
        <v>35483</v>
      </c>
      <c r="E17354" s="330" t="s">
        <v>37248</v>
      </c>
      <c r="F17354" s="331">
        <v>0.21</v>
      </c>
      <c r="G17354" s="332">
        <v>5732</v>
      </c>
      <c r="H17354" s="333">
        <v>6936</v>
      </c>
    </row>
    <row r="17355" spans="1:8">
      <c r="A17355" s="317" t="s">
        <v>43239</v>
      </c>
      <c r="B17355" s="330" t="s">
        <v>61707</v>
      </c>
      <c r="C17355" s="330" t="s">
        <v>35484</v>
      </c>
      <c r="D17355" s="330" t="s">
        <v>35485</v>
      </c>
      <c r="E17355" s="330" t="s">
        <v>37248</v>
      </c>
      <c r="F17355" s="331">
        <v>0.21</v>
      </c>
      <c r="G17355" s="332">
        <v>65029</v>
      </c>
      <c r="H17355" s="333">
        <v>78686</v>
      </c>
    </row>
    <row r="17356" spans="1:8">
      <c r="A17356" s="317" t="s">
        <v>43240</v>
      </c>
      <c r="B17356" s="330" t="s">
        <v>61708</v>
      </c>
      <c r="C17356" s="330" t="s">
        <v>35486</v>
      </c>
      <c r="D17356" s="330" t="s">
        <v>35487</v>
      </c>
      <c r="E17356" s="330" t="s">
        <v>37248</v>
      </c>
      <c r="F17356" s="331">
        <v>0.21</v>
      </c>
      <c r="G17356" s="332">
        <v>40869</v>
      </c>
      <c r="H17356" s="333">
        <v>49452</v>
      </c>
    </row>
    <row r="17357" spans="1:8">
      <c r="A17357" s="317" t="s">
        <v>43241</v>
      </c>
      <c r="B17357" s="330" t="s">
        <v>61709</v>
      </c>
      <c r="C17357" s="330" t="s">
        <v>35488</v>
      </c>
      <c r="D17357" s="330" t="s">
        <v>35489</v>
      </c>
      <c r="E17357" s="330" t="s">
        <v>37248</v>
      </c>
      <c r="F17357" s="331">
        <v>0.21</v>
      </c>
      <c r="G17357" s="332">
        <v>5081</v>
      </c>
      <c r="H17357" s="333">
        <v>6149</v>
      </c>
    </row>
    <row r="17358" spans="1:8">
      <c r="A17358" s="317" t="s">
        <v>43242</v>
      </c>
      <c r="B17358" s="330" t="s">
        <v>61710</v>
      </c>
      <c r="C17358" s="330" t="s">
        <v>35490</v>
      </c>
      <c r="D17358" s="330" t="s">
        <v>35491</v>
      </c>
      <c r="E17358" s="330" t="s">
        <v>4634</v>
      </c>
      <c r="F17358" s="331">
        <v>0.21</v>
      </c>
      <c r="G17358" s="332">
        <v>466</v>
      </c>
      <c r="H17358" s="333">
        <v>564</v>
      </c>
    </row>
    <row r="17359" spans="1:8">
      <c r="A17359" s="317" t="s">
        <v>43243</v>
      </c>
      <c r="B17359" s="330" t="s">
        <v>61711</v>
      </c>
      <c r="C17359" s="330" t="s">
        <v>35492</v>
      </c>
      <c r="D17359" s="330" t="s">
        <v>35493</v>
      </c>
      <c r="E17359" s="330" t="s">
        <v>4819</v>
      </c>
      <c r="F17359" s="331">
        <v>0.21</v>
      </c>
      <c r="G17359" s="332">
        <v>1740</v>
      </c>
      <c r="H17359" s="333">
        <v>2106</v>
      </c>
    </row>
    <row r="17360" spans="1:8">
      <c r="A17360" s="317" t="s">
        <v>43244</v>
      </c>
      <c r="B17360" s="330" t="s">
        <v>61712</v>
      </c>
      <c r="C17360" s="330" t="s">
        <v>35494</v>
      </c>
      <c r="D17360" s="330" t="s">
        <v>35495</v>
      </c>
      <c r="E17360" s="330" t="s">
        <v>4634</v>
      </c>
      <c r="F17360" s="331">
        <v>0.21</v>
      </c>
      <c r="G17360" s="332">
        <v>963</v>
      </c>
      <c r="H17360" s="333">
        <v>1166</v>
      </c>
    </row>
    <row r="17361" spans="1:8">
      <c r="A17361" s="317" t="s">
        <v>43245</v>
      </c>
      <c r="B17361" s="330" t="s">
        <v>61713</v>
      </c>
      <c r="C17361" s="330" t="s">
        <v>35496</v>
      </c>
      <c r="D17361" s="330" t="s">
        <v>35497</v>
      </c>
      <c r="E17361" s="330" t="s">
        <v>4819</v>
      </c>
      <c r="F17361" s="331">
        <v>0.21</v>
      </c>
      <c r="G17361" s="332">
        <v>2469</v>
      </c>
      <c r="H17361" s="333">
        <v>2988</v>
      </c>
    </row>
    <row r="17362" spans="1:8">
      <c r="A17362" s="317" t="s">
        <v>43246</v>
      </c>
      <c r="B17362" s="330" t="s">
        <v>61714</v>
      </c>
      <c r="C17362" s="330" t="s">
        <v>35498</v>
      </c>
      <c r="D17362" s="330" t="s">
        <v>35499</v>
      </c>
      <c r="E17362" s="330" t="s">
        <v>4819</v>
      </c>
      <c r="F17362" s="331">
        <v>0.21</v>
      </c>
      <c r="G17362" s="332">
        <v>1383</v>
      </c>
      <c r="H17362" s="333">
        <v>1674</v>
      </c>
    </row>
    <row r="17363" spans="1:8">
      <c r="A17363" s="317" t="s">
        <v>43247</v>
      </c>
      <c r="B17363" s="330" t="s">
        <v>61715</v>
      </c>
      <c r="C17363" s="330" t="s">
        <v>35500</v>
      </c>
      <c r="D17363" s="330" t="s">
        <v>35501</v>
      </c>
      <c r="E17363" s="330" t="s">
        <v>4819</v>
      </c>
      <c r="F17363" s="331">
        <v>0.21</v>
      </c>
      <c r="G17363" s="332">
        <v>29327</v>
      </c>
      <c r="H17363" s="333">
        <v>35486</v>
      </c>
    </row>
    <row r="17364" spans="1:8">
      <c r="A17364" s="317" t="s">
        <v>43248</v>
      </c>
      <c r="B17364" s="330" t="s">
        <v>61716</v>
      </c>
      <c r="C17364" s="330" t="s">
        <v>35502</v>
      </c>
      <c r="D17364" s="330" t="s">
        <v>35503</v>
      </c>
      <c r="E17364" s="330" t="s">
        <v>4819</v>
      </c>
      <c r="F17364" s="331">
        <v>0.21</v>
      </c>
      <c r="G17364" s="332">
        <v>2873</v>
      </c>
      <c r="H17364" s="333">
        <v>3477</v>
      </c>
    </row>
    <row r="17365" spans="1:8">
      <c r="A17365" s="317" t="s">
        <v>43249</v>
      </c>
      <c r="B17365" s="330" t="s">
        <v>61717</v>
      </c>
      <c r="C17365" s="330" t="s">
        <v>35504</v>
      </c>
      <c r="D17365" s="330" t="s">
        <v>35505</v>
      </c>
      <c r="E17365" s="330" t="s">
        <v>4634</v>
      </c>
      <c r="F17365" s="331">
        <v>0.21</v>
      </c>
      <c r="G17365" s="332">
        <v>1945</v>
      </c>
      <c r="H17365" s="333">
        <v>2354</v>
      </c>
    </row>
    <row r="17366" spans="1:8">
      <c r="A17366" s="317" t="s">
        <v>43250</v>
      </c>
      <c r="B17366" s="330" t="s">
        <v>61718</v>
      </c>
      <c r="C17366" s="330" t="s">
        <v>35506</v>
      </c>
      <c r="D17366" s="330" t="s">
        <v>9732</v>
      </c>
      <c r="E17366" s="330" t="s">
        <v>4819</v>
      </c>
      <c r="F17366" s="331">
        <v>0.21</v>
      </c>
      <c r="G17366" s="332">
        <v>1610</v>
      </c>
      <c r="H17366" s="333">
        <v>1949</v>
      </c>
    </row>
    <row r="17367" spans="1:8">
      <c r="A17367" s="317" t="s">
        <v>43251</v>
      </c>
      <c r="B17367" s="330" t="s">
        <v>61719</v>
      </c>
      <c r="C17367" s="330" t="s">
        <v>35507</v>
      </c>
      <c r="D17367" s="330" t="s">
        <v>35508</v>
      </c>
      <c r="E17367" s="330" t="s">
        <v>37248</v>
      </c>
      <c r="F17367" s="331">
        <v>0.21</v>
      </c>
      <c r="G17367" s="332">
        <v>12180</v>
      </c>
      <c r="H17367" s="333">
        <v>14738</v>
      </c>
    </row>
    <row r="17368" spans="1:8">
      <c r="A17368" s="317" t="s">
        <v>43252</v>
      </c>
      <c r="B17368" s="330" t="s">
        <v>61720</v>
      </c>
      <c r="C17368" s="330" t="s">
        <v>35509</v>
      </c>
      <c r="D17368" s="330" t="s">
        <v>35510</v>
      </c>
      <c r="E17368" s="330" t="s">
        <v>37248</v>
      </c>
      <c r="F17368" s="331">
        <v>0.21</v>
      </c>
      <c r="G17368" s="332">
        <v>19099</v>
      </c>
      <c r="H17368" s="333">
        <v>23110</v>
      </c>
    </row>
    <row r="17369" spans="1:8">
      <c r="A17369" s="317" t="s">
        <v>43253</v>
      </c>
      <c r="B17369" s="330" t="s">
        <v>61721</v>
      </c>
      <c r="C17369" s="330" t="s">
        <v>35511</v>
      </c>
      <c r="D17369" s="330" t="s">
        <v>35512</v>
      </c>
      <c r="E17369" s="330" t="s">
        <v>4634</v>
      </c>
      <c r="F17369" s="331">
        <v>0.21</v>
      </c>
      <c r="G17369" s="332">
        <v>1449</v>
      </c>
      <c r="H17369" s="333">
        <v>1754</v>
      </c>
    </row>
    <row r="17370" spans="1:8">
      <c r="A17370" s="317" t="s">
        <v>43254</v>
      </c>
      <c r="B17370" s="330" t="s">
        <v>61722</v>
      </c>
      <c r="C17370" s="330" t="s">
        <v>35513</v>
      </c>
      <c r="D17370" s="330" t="s">
        <v>35514</v>
      </c>
      <c r="E17370" s="330" t="s">
        <v>4634</v>
      </c>
      <c r="F17370" s="331">
        <v>0.21</v>
      </c>
      <c r="G17370" s="332">
        <v>31067</v>
      </c>
      <c r="H17370" s="333">
        <v>37592</v>
      </c>
    </row>
    <row r="17371" spans="1:8">
      <c r="A17371" s="317" t="s">
        <v>43255</v>
      </c>
      <c r="B17371" s="330" t="s">
        <v>61723</v>
      </c>
      <c r="C17371" s="330" t="s">
        <v>35515</v>
      </c>
      <c r="D17371" s="330" t="s">
        <v>22718</v>
      </c>
      <c r="E17371" s="330" t="s">
        <v>4623</v>
      </c>
      <c r="F17371" s="331">
        <v>0.21</v>
      </c>
      <c r="G17371" s="332">
        <v>1610</v>
      </c>
      <c r="H17371" s="333">
        <v>1949</v>
      </c>
    </row>
    <row r="17372" spans="1:8">
      <c r="A17372" s="317" t="s">
        <v>43256</v>
      </c>
      <c r="B17372" s="330" t="s">
        <v>61724</v>
      </c>
      <c r="C17372" s="330" t="s">
        <v>35516</v>
      </c>
      <c r="D17372" s="330" t="s">
        <v>35517</v>
      </c>
      <c r="E17372" s="330" t="s">
        <v>4634</v>
      </c>
      <c r="F17372" s="331">
        <v>0.21</v>
      </c>
      <c r="G17372" s="332">
        <v>564</v>
      </c>
      <c r="H17372" s="333">
        <v>683</v>
      </c>
    </row>
    <row r="17373" spans="1:8">
      <c r="A17373" s="317" t="s">
        <v>43257</v>
      </c>
      <c r="B17373" s="330" t="s">
        <v>61725</v>
      </c>
      <c r="C17373" s="330" t="s">
        <v>35518</v>
      </c>
      <c r="D17373" s="330" t="s">
        <v>35519</v>
      </c>
      <c r="E17373" s="330" t="s">
        <v>37248</v>
      </c>
      <c r="F17373" s="331">
        <v>0.21</v>
      </c>
      <c r="G17373" s="332">
        <v>5902</v>
      </c>
      <c r="H17373" s="333">
        <v>7142</v>
      </c>
    </row>
    <row r="17374" spans="1:8">
      <c r="A17374" s="317" t="s">
        <v>43258</v>
      </c>
      <c r="B17374" s="330" t="s">
        <v>61726</v>
      </c>
      <c r="C17374" s="330" t="s">
        <v>35520</v>
      </c>
      <c r="D17374" s="330" t="s">
        <v>22718</v>
      </c>
      <c r="E17374" s="330" t="s">
        <v>4634</v>
      </c>
      <c r="F17374" s="331">
        <v>0.21</v>
      </c>
      <c r="G17374" s="332">
        <v>280</v>
      </c>
      <c r="H17374" s="333">
        <v>339</v>
      </c>
    </row>
    <row r="17375" spans="1:8">
      <c r="A17375" s="317" t="s">
        <v>43259</v>
      </c>
      <c r="B17375" s="330" t="s">
        <v>61727</v>
      </c>
      <c r="C17375" s="330" t="s">
        <v>35521</v>
      </c>
      <c r="D17375" s="330" t="s">
        <v>35522</v>
      </c>
      <c r="E17375" s="330" t="s">
        <v>4634</v>
      </c>
      <c r="F17375" s="331">
        <v>0.21</v>
      </c>
      <c r="G17375" s="332">
        <v>1411</v>
      </c>
      <c r="H17375" s="333">
        <v>1708</v>
      </c>
    </row>
    <row r="17376" spans="1:8">
      <c r="A17376" s="317" t="s">
        <v>43260</v>
      </c>
      <c r="B17376" s="330" t="s">
        <v>61728</v>
      </c>
      <c r="C17376" s="330" t="s">
        <v>35523</v>
      </c>
      <c r="D17376" s="330" t="s">
        <v>10123</v>
      </c>
      <c r="E17376" s="330" t="s">
        <v>4634</v>
      </c>
      <c r="F17376" s="331">
        <v>0.21</v>
      </c>
      <c r="G17376" s="332">
        <v>3049</v>
      </c>
      <c r="H17376" s="333">
        <v>3690</v>
      </c>
    </row>
    <row r="17377" spans="1:8">
      <c r="A17377" s="317" t="s">
        <v>43261</v>
      </c>
      <c r="B17377" s="330" t="s">
        <v>61729</v>
      </c>
      <c r="C17377" s="330" t="s">
        <v>35524</v>
      </c>
      <c r="D17377" s="330" t="s">
        <v>6528</v>
      </c>
      <c r="E17377" s="330" t="s">
        <v>4634</v>
      </c>
      <c r="F17377" s="331">
        <v>0.21</v>
      </c>
      <c r="G17377" s="332">
        <v>196</v>
      </c>
      <c r="H17377" s="333">
        <v>238</v>
      </c>
    </row>
    <row r="17378" spans="1:8">
      <c r="A17378" s="317" t="s">
        <v>43262</v>
      </c>
      <c r="B17378" s="330" t="s">
        <v>61730</v>
      </c>
      <c r="C17378" s="330" t="s">
        <v>35525</v>
      </c>
      <c r="D17378" s="330" t="s">
        <v>35526</v>
      </c>
      <c r="E17378" s="330" t="s">
        <v>4634</v>
      </c>
      <c r="F17378" s="331">
        <v>0.21</v>
      </c>
      <c r="G17378" s="332">
        <v>673</v>
      </c>
      <c r="H17378" s="333">
        <v>815</v>
      </c>
    </row>
    <row r="17379" spans="1:8">
      <c r="A17379" s="317" t="s">
        <v>43263</v>
      </c>
      <c r="B17379" s="330" t="s">
        <v>61731</v>
      </c>
      <c r="C17379" s="330" t="s">
        <v>35527</v>
      </c>
      <c r="D17379" s="330" t="s">
        <v>35528</v>
      </c>
      <c r="E17379" s="330" t="s">
        <v>37248</v>
      </c>
      <c r="F17379" s="331">
        <v>0.21</v>
      </c>
      <c r="G17379" s="332">
        <v>3410</v>
      </c>
      <c r="H17379" s="333">
        <v>4127</v>
      </c>
    </row>
    <row r="17380" spans="1:8">
      <c r="A17380" s="317" t="s">
        <v>43264</v>
      </c>
      <c r="B17380" s="330" t="s">
        <v>61732</v>
      </c>
      <c r="C17380" s="330" t="s">
        <v>35529</v>
      </c>
      <c r="D17380" s="330" t="s">
        <v>35530</v>
      </c>
      <c r="E17380" s="330" t="s">
        <v>4634</v>
      </c>
      <c r="F17380" s="331">
        <v>0.21</v>
      </c>
      <c r="G17380" s="332">
        <v>820</v>
      </c>
      <c r="H17380" s="333">
        <v>993</v>
      </c>
    </row>
    <row r="17381" spans="1:8">
      <c r="A17381" s="317" t="s">
        <v>43265</v>
      </c>
      <c r="B17381" s="330" t="s">
        <v>61733</v>
      </c>
      <c r="C17381" s="330" t="s">
        <v>35531</v>
      </c>
      <c r="D17381" s="330" t="s">
        <v>35532</v>
      </c>
      <c r="E17381" s="330" t="s">
        <v>4634</v>
      </c>
      <c r="F17381" s="331">
        <v>0.21</v>
      </c>
      <c r="G17381" s="332">
        <v>280</v>
      </c>
      <c r="H17381" s="333">
        <v>339</v>
      </c>
    </row>
    <row r="17382" spans="1:8">
      <c r="A17382" s="317" t="s">
        <v>43266</v>
      </c>
      <c r="B17382" s="330" t="s">
        <v>61734</v>
      </c>
      <c r="C17382" s="330" t="s">
        <v>35533</v>
      </c>
      <c r="D17382" s="330" t="s">
        <v>35534</v>
      </c>
      <c r="E17382" s="330" t="s">
        <v>4634</v>
      </c>
      <c r="F17382" s="331">
        <v>0.21</v>
      </c>
      <c r="G17382" s="332">
        <v>948</v>
      </c>
      <c r="H17382" s="333">
        <v>1148</v>
      </c>
    </row>
    <row r="17383" spans="1:8">
      <c r="A17383" s="317" t="s">
        <v>43267</v>
      </c>
      <c r="B17383" s="330" t="s">
        <v>61735</v>
      </c>
      <c r="C17383" s="330" t="s">
        <v>35535</v>
      </c>
      <c r="D17383" s="330" t="s">
        <v>35536</v>
      </c>
      <c r="E17383" s="330" t="s">
        <v>4634</v>
      </c>
      <c r="F17383" s="331">
        <v>0.21</v>
      </c>
      <c r="G17383" s="332">
        <v>564</v>
      </c>
      <c r="H17383" s="333">
        <v>683</v>
      </c>
    </row>
    <row r="17384" spans="1:8">
      <c r="A17384" s="317" t="s">
        <v>43268</v>
      </c>
      <c r="B17384" s="330" t="s">
        <v>61736</v>
      </c>
      <c r="C17384" s="330" t="s">
        <v>35537</v>
      </c>
      <c r="D17384" s="330" t="s">
        <v>35538</v>
      </c>
      <c r="E17384" s="330" t="s">
        <v>4634</v>
      </c>
      <c r="F17384" s="331">
        <v>0.21</v>
      </c>
      <c r="G17384" s="332">
        <v>3424</v>
      </c>
      <c r="H17384" s="333">
        <v>4144</v>
      </c>
    </row>
    <row r="17385" spans="1:8">
      <c r="A17385" s="317" t="s">
        <v>43269</v>
      </c>
      <c r="B17385" s="330" t="s">
        <v>61737</v>
      </c>
      <c r="C17385" s="330" t="s">
        <v>35539</v>
      </c>
      <c r="D17385" s="330" t="s">
        <v>35540</v>
      </c>
      <c r="E17385" s="330" t="s">
        <v>4634</v>
      </c>
      <c r="F17385" s="331">
        <v>0.21</v>
      </c>
      <c r="G17385" s="332">
        <v>9353</v>
      </c>
      <c r="H17385" s="333">
        <v>11318</v>
      </c>
    </row>
    <row r="17386" spans="1:8">
      <c r="A17386" s="317" t="s">
        <v>43270</v>
      </c>
      <c r="B17386" s="330" t="s">
        <v>61738</v>
      </c>
      <c r="C17386" s="330" t="s">
        <v>35541</v>
      </c>
      <c r="D17386" s="330" t="s">
        <v>35542</v>
      </c>
      <c r="E17386" s="330" t="s">
        <v>4819</v>
      </c>
      <c r="F17386" s="331">
        <v>0.21</v>
      </c>
      <c r="G17386" s="332">
        <v>23148</v>
      </c>
      <c r="H17386" s="333">
        <v>28010</v>
      </c>
    </row>
    <row r="17387" spans="1:8">
      <c r="A17387" s="317" t="s">
        <v>43271</v>
      </c>
      <c r="B17387" s="330" t="s">
        <v>61739</v>
      </c>
      <c r="C17387" s="330" t="s">
        <v>35543</v>
      </c>
      <c r="D17387" s="330" t="s">
        <v>35544</v>
      </c>
      <c r="E17387" s="330" t="s">
        <v>4634</v>
      </c>
      <c r="F17387" s="331">
        <v>0.21</v>
      </c>
      <c r="G17387" s="332">
        <v>24902</v>
      </c>
      <c r="H17387" s="333">
        <v>30132</v>
      </c>
    </row>
    <row r="17388" spans="1:8">
      <c r="A17388" s="317" t="s">
        <v>43272</v>
      </c>
      <c r="B17388" s="330" t="s">
        <v>61740</v>
      </c>
      <c r="C17388" s="330" t="s">
        <v>35545</v>
      </c>
      <c r="D17388" s="330" t="s">
        <v>35546</v>
      </c>
      <c r="E17388" s="330" t="s">
        <v>4634</v>
      </c>
      <c r="F17388" s="331">
        <v>0.21</v>
      </c>
      <c r="G17388" s="332">
        <v>5068</v>
      </c>
      <c r="H17388" s="333">
        <v>6133</v>
      </c>
    </row>
    <row r="17389" spans="1:8">
      <c r="A17389" s="317" t="s">
        <v>43273</v>
      </c>
      <c r="B17389" s="330" t="s">
        <v>61741</v>
      </c>
      <c r="C17389" s="330" t="s">
        <v>35547</v>
      </c>
      <c r="D17389" s="330" t="s">
        <v>35548</v>
      </c>
      <c r="E17389" s="330" t="s">
        <v>37248</v>
      </c>
      <c r="F17389" s="331">
        <v>0.21</v>
      </c>
      <c r="G17389" s="332">
        <v>33563</v>
      </c>
      <c r="H17389" s="333">
        <v>40612</v>
      </c>
    </row>
    <row r="17390" spans="1:8">
      <c r="A17390" s="317" t="s">
        <v>43274</v>
      </c>
      <c r="B17390" s="330" t="s">
        <v>61742</v>
      </c>
      <c r="C17390" s="330" t="s">
        <v>35549</v>
      </c>
      <c r="D17390" s="330" t="s">
        <v>35550</v>
      </c>
      <c r="E17390" s="330" t="s">
        <v>4634</v>
      </c>
      <c r="F17390" s="331">
        <v>0.21</v>
      </c>
      <c r="G17390" s="332">
        <v>29249</v>
      </c>
      <c r="H17390" s="333">
        <v>35392</v>
      </c>
    </row>
    <row r="17391" spans="1:8">
      <c r="A17391" s="317" t="s">
        <v>43275</v>
      </c>
      <c r="B17391" s="330" t="s">
        <v>61743</v>
      </c>
      <c r="C17391" s="330" t="s">
        <v>35551</v>
      </c>
      <c r="D17391" s="330" t="s">
        <v>35552</v>
      </c>
      <c r="E17391" s="330" t="s">
        <v>4634</v>
      </c>
      <c r="F17391" s="331">
        <v>0.21</v>
      </c>
      <c r="G17391" s="332">
        <v>21310</v>
      </c>
      <c r="H17391" s="333">
        <v>25786</v>
      </c>
    </row>
    <row r="17392" spans="1:8">
      <c r="A17392" s="317" t="s">
        <v>43276</v>
      </c>
      <c r="B17392" s="330" t="s">
        <v>61744</v>
      </c>
      <c r="C17392" s="330" t="s">
        <v>35553</v>
      </c>
      <c r="D17392" s="330" t="s">
        <v>35554</v>
      </c>
      <c r="E17392" s="330" t="s">
        <v>4819</v>
      </c>
      <c r="F17392" s="331">
        <v>0.21</v>
      </c>
      <c r="G17392" s="332">
        <v>70204</v>
      </c>
      <c r="H17392" s="333">
        <v>84947</v>
      </c>
    </row>
    <row r="17393" spans="1:8">
      <c r="A17393" s="317" t="s">
        <v>43277</v>
      </c>
      <c r="B17393" s="330" t="s">
        <v>61745</v>
      </c>
      <c r="C17393" s="330" t="s">
        <v>35555</v>
      </c>
      <c r="D17393" s="330" t="s">
        <v>35556</v>
      </c>
      <c r="E17393" s="330" t="s">
        <v>4634</v>
      </c>
      <c r="F17393" s="331">
        <v>0.21</v>
      </c>
      <c r="G17393" s="332">
        <v>10736</v>
      </c>
      <c r="H17393" s="333">
        <v>12991</v>
      </c>
    </row>
    <row r="17394" spans="1:8">
      <c r="A17394" s="317" t="s">
        <v>43278</v>
      </c>
      <c r="B17394" s="330" t="s">
        <v>61746</v>
      </c>
      <c r="C17394" s="330" t="s">
        <v>35557</v>
      </c>
      <c r="D17394" s="330" t="s">
        <v>35558</v>
      </c>
      <c r="E17394" s="330" t="s">
        <v>4634</v>
      </c>
      <c r="F17394" s="331">
        <v>0.21</v>
      </c>
      <c r="G17394" s="332">
        <v>4695</v>
      </c>
      <c r="H17394" s="333">
        <v>5681</v>
      </c>
    </row>
    <row r="17395" spans="1:8">
      <c r="A17395" s="317" t="s">
        <v>43279</v>
      </c>
      <c r="B17395" s="330" t="s">
        <v>61747</v>
      </c>
      <c r="C17395" s="330" t="s">
        <v>35559</v>
      </c>
      <c r="D17395" s="330" t="s">
        <v>35560</v>
      </c>
      <c r="E17395" s="330" t="s">
        <v>4634</v>
      </c>
      <c r="F17395" s="331">
        <v>0.21</v>
      </c>
      <c r="G17395" s="332">
        <v>5752</v>
      </c>
      <c r="H17395" s="333">
        <v>6960</v>
      </c>
    </row>
    <row r="17396" spans="1:8">
      <c r="A17396" s="317" t="s">
        <v>43280</v>
      </c>
      <c r="B17396" s="330" t="s">
        <v>61748</v>
      </c>
      <c r="C17396" s="330" t="s">
        <v>35561</v>
      </c>
      <c r="D17396" s="330" t="s">
        <v>35562</v>
      </c>
      <c r="E17396" s="330" t="s">
        <v>4634</v>
      </c>
      <c r="F17396" s="331">
        <v>0.21</v>
      </c>
      <c r="G17396" s="332">
        <v>19918</v>
      </c>
      <c r="H17396" s="333">
        <v>24101</v>
      </c>
    </row>
    <row r="17397" spans="1:8">
      <c r="A17397" s="317" t="s">
        <v>43281</v>
      </c>
      <c r="B17397" s="330" t="s">
        <v>61749</v>
      </c>
      <c r="C17397" s="330" t="s">
        <v>35563</v>
      </c>
      <c r="D17397" s="330" t="s">
        <v>35564</v>
      </c>
      <c r="E17397" s="330" t="s">
        <v>4634</v>
      </c>
      <c r="F17397" s="331">
        <v>0.21</v>
      </c>
      <c r="G17397" s="332">
        <v>90555</v>
      </c>
      <c r="H17397" s="333">
        <v>109572</v>
      </c>
    </row>
    <row r="17398" spans="1:8">
      <c r="A17398" s="317" t="s">
        <v>43282</v>
      </c>
      <c r="B17398" s="330" t="s">
        <v>61750</v>
      </c>
      <c r="C17398" s="330" t="s">
        <v>35565</v>
      </c>
      <c r="D17398" s="330" t="s">
        <v>35566</v>
      </c>
      <c r="E17398" s="330" t="s">
        <v>4634</v>
      </c>
      <c r="F17398" s="331">
        <v>0.21</v>
      </c>
      <c r="G17398" s="332">
        <v>12693</v>
      </c>
      <c r="H17398" s="333">
        <v>15359</v>
      </c>
    </row>
    <row r="17399" spans="1:8">
      <c r="A17399" s="317" t="s">
        <v>43283</v>
      </c>
      <c r="B17399" s="330" t="s">
        <v>61751</v>
      </c>
      <c r="C17399" s="330" t="s">
        <v>35567</v>
      </c>
      <c r="D17399" s="330" t="s">
        <v>35568</v>
      </c>
      <c r="E17399" s="330" t="s">
        <v>4634</v>
      </c>
      <c r="F17399" s="331">
        <v>0.21</v>
      </c>
      <c r="G17399" s="332">
        <v>12982</v>
      </c>
      <c r="H17399" s="333">
        <v>15709</v>
      </c>
    </row>
    <row r="17400" spans="1:8">
      <c r="A17400" s="317" t="s">
        <v>43284</v>
      </c>
      <c r="B17400" s="330" t="s">
        <v>61752</v>
      </c>
      <c r="C17400" s="330" t="s">
        <v>35569</v>
      </c>
      <c r="D17400" s="330" t="s">
        <v>35570</v>
      </c>
      <c r="E17400" s="330" t="s">
        <v>4634</v>
      </c>
      <c r="F17400" s="331">
        <v>0.21</v>
      </c>
      <c r="G17400" s="332">
        <v>20449</v>
      </c>
      <c r="H17400" s="333">
        <v>24744</v>
      </c>
    </row>
    <row r="17401" spans="1:8">
      <c r="A17401" s="317" t="s">
        <v>43285</v>
      </c>
      <c r="B17401" s="330" t="s">
        <v>61753</v>
      </c>
      <c r="C17401" s="330" t="s">
        <v>35571</v>
      </c>
      <c r="D17401" s="330" t="s">
        <v>35572</v>
      </c>
      <c r="E17401" s="330" t="s">
        <v>4634</v>
      </c>
      <c r="F17401" s="331">
        <v>0.21</v>
      </c>
      <c r="G17401" s="332">
        <v>3335</v>
      </c>
      <c r="H17401" s="333">
        <v>4036</v>
      </c>
    </row>
    <row r="17402" spans="1:8">
      <c r="A17402" s="317" t="s">
        <v>43286</v>
      </c>
      <c r="B17402" s="330" t="s">
        <v>61754</v>
      </c>
      <c r="C17402" s="330" t="s">
        <v>35573</v>
      </c>
      <c r="D17402" s="330" t="s">
        <v>35574</v>
      </c>
      <c r="E17402" s="330" t="s">
        <v>4634</v>
      </c>
      <c r="F17402" s="331">
        <v>0.21</v>
      </c>
      <c r="G17402" s="332">
        <v>21578</v>
      </c>
      <c r="H17402" s="333">
        <v>26110</v>
      </c>
    </row>
    <row r="17403" spans="1:8">
      <c r="A17403" s="317" t="s">
        <v>43287</v>
      </c>
      <c r="B17403" s="330" t="s">
        <v>61755</v>
      </c>
      <c r="C17403" s="330" t="s">
        <v>35575</v>
      </c>
      <c r="D17403" s="330" t="s">
        <v>35576</v>
      </c>
      <c r="E17403" s="330" t="s">
        <v>37248</v>
      </c>
      <c r="F17403" s="331">
        <v>0.21</v>
      </c>
      <c r="G17403" s="332">
        <v>21499</v>
      </c>
      <c r="H17403" s="333">
        <v>26014</v>
      </c>
    </row>
    <row r="17404" spans="1:8">
      <c r="A17404" s="317" t="s">
        <v>43288</v>
      </c>
      <c r="B17404" s="330" t="s">
        <v>61756</v>
      </c>
      <c r="C17404" s="330" t="s">
        <v>35577</v>
      </c>
      <c r="D17404" s="330" t="s">
        <v>35578</v>
      </c>
      <c r="E17404" s="330" t="s">
        <v>4634</v>
      </c>
      <c r="F17404" s="331">
        <v>0.21</v>
      </c>
      <c r="G17404" s="332">
        <v>33740</v>
      </c>
      <c r="H17404" s="333">
        <v>40826</v>
      </c>
    </row>
    <row r="17405" spans="1:8">
      <c r="A17405" s="317" t="s">
        <v>43289</v>
      </c>
      <c r="B17405" s="330" t="s">
        <v>61757</v>
      </c>
      <c r="C17405" s="330" t="s">
        <v>35579</v>
      </c>
      <c r="D17405" s="330" t="s">
        <v>9496</v>
      </c>
      <c r="E17405" s="330" t="s">
        <v>4634</v>
      </c>
      <c r="F17405" s="331">
        <v>0.21</v>
      </c>
      <c r="G17405" s="332">
        <v>3673</v>
      </c>
      <c r="H17405" s="333">
        <v>4445</v>
      </c>
    </row>
    <row r="17406" spans="1:8">
      <c r="A17406" s="317" t="s">
        <v>43290</v>
      </c>
      <c r="B17406" s="330" t="s">
        <v>61758</v>
      </c>
      <c r="C17406" s="330" t="s">
        <v>35580</v>
      </c>
      <c r="D17406" s="330" t="s">
        <v>35581</v>
      </c>
      <c r="E17406" s="330" t="s">
        <v>4634</v>
      </c>
      <c r="F17406" s="331">
        <v>0.21</v>
      </c>
      <c r="G17406" s="332">
        <v>17308</v>
      </c>
      <c r="H17406" s="333">
        <v>20943</v>
      </c>
    </row>
    <row r="17407" spans="1:8">
      <c r="A17407" s="317" t="s">
        <v>43291</v>
      </c>
      <c r="B17407" s="330" t="s">
        <v>61759</v>
      </c>
      <c r="C17407" s="330" t="s">
        <v>35582</v>
      </c>
      <c r="D17407" s="330" t="s">
        <v>35583</v>
      </c>
      <c r="E17407" s="330" t="s">
        <v>4634</v>
      </c>
      <c r="F17407" s="331">
        <v>0.21</v>
      </c>
      <c r="G17407" s="332">
        <v>32558</v>
      </c>
      <c r="H17407" s="333">
        <v>39396</v>
      </c>
    </row>
    <row r="17408" spans="1:8">
      <c r="A17408" s="317" t="s">
        <v>43292</v>
      </c>
      <c r="B17408" s="330" t="s">
        <v>61760</v>
      </c>
      <c r="C17408" s="330" t="s">
        <v>35584</v>
      </c>
      <c r="D17408" s="330" t="s">
        <v>35585</v>
      </c>
      <c r="E17408" s="330" t="s">
        <v>4634</v>
      </c>
      <c r="F17408" s="331">
        <v>0.21</v>
      </c>
      <c r="G17408" s="332">
        <v>60094</v>
      </c>
      <c r="H17408" s="333">
        <v>72714</v>
      </c>
    </row>
    <row r="17409" spans="1:8">
      <c r="A17409" s="317" t="s">
        <v>43293</v>
      </c>
      <c r="B17409" s="330" t="s">
        <v>61761</v>
      </c>
      <c r="C17409" s="330" t="s">
        <v>35586</v>
      </c>
      <c r="D17409" s="330" t="s">
        <v>35587</v>
      </c>
      <c r="E17409" s="330" t="s">
        <v>37248</v>
      </c>
      <c r="F17409" s="331">
        <v>0.21</v>
      </c>
      <c r="G17409" s="332">
        <v>56576</v>
      </c>
      <c r="H17409" s="333">
        <v>68457</v>
      </c>
    </row>
    <row r="17410" spans="1:8">
      <c r="A17410" s="317" t="s">
        <v>43294</v>
      </c>
      <c r="B17410" s="330" t="s">
        <v>61762</v>
      </c>
      <c r="C17410" s="330" t="s">
        <v>35588</v>
      </c>
      <c r="D17410" s="330" t="s">
        <v>35589</v>
      </c>
      <c r="E17410" s="330" t="s">
        <v>4634</v>
      </c>
      <c r="F17410" s="331">
        <v>0.21</v>
      </c>
      <c r="G17410" s="332">
        <v>44385</v>
      </c>
      <c r="H17410" s="333">
        <v>53706</v>
      </c>
    </row>
    <row r="17411" spans="1:8">
      <c r="A17411" s="317" t="s">
        <v>43295</v>
      </c>
      <c r="B17411" s="330" t="s">
        <v>61763</v>
      </c>
      <c r="C17411" s="330" t="s">
        <v>35590</v>
      </c>
      <c r="D17411" s="330" t="s">
        <v>35591</v>
      </c>
      <c r="E17411" s="330" t="s">
        <v>4634</v>
      </c>
      <c r="F17411" s="331">
        <v>0.21</v>
      </c>
      <c r="G17411" s="332">
        <v>18339</v>
      </c>
      <c r="H17411" s="333">
        <v>22191</v>
      </c>
    </row>
    <row r="17412" spans="1:8">
      <c r="A17412" s="317" t="s">
        <v>43296</v>
      </c>
      <c r="B17412" s="330" t="s">
        <v>61764</v>
      </c>
      <c r="C17412" s="330" t="s">
        <v>35592</v>
      </c>
      <c r="D17412" s="330" t="s">
        <v>35593</v>
      </c>
      <c r="E17412" s="330" t="s">
        <v>4634</v>
      </c>
      <c r="F17412" s="331">
        <v>0.21</v>
      </c>
      <c r="G17412" s="332">
        <v>5284</v>
      </c>
      <c r="H17412" s="333">
        <v>6394</v>
      </c>
    </row>
    <row r="17413" spans="1:8">
      <c r="A17413" s="317" t="s">
        <v>43297</v>
      </c>
      <c r="B17413" s="330" t="s">
        <v>61765</v>
      </c>
      <c r="C17413" s="330" t="s">
        <v>35594</v>
      </c>
      <c r="D17413" s="330" t="s">
        <v>35595</v>
      </c>
      <c r="E17413" s="330" t="s">
        <v>4634</v>
      </c>
      <c r="F17413" s="331">
        <v>0.21</v>
      </c>
      <c r="G17413" s="332">
        <v>18856</v>
      </c>
      <c r="H17413" s="333">
        <v>22816</v>
      </c>
    </row>
    <row r="17414" spans="1:8">
      <c r="A17414" s="317" t="s">
        <v>43298</v>
      </c>
      <c r="B17414" s="330" t="s">
        <v>61766</v>
      </c>
      <c r="C17414" s="330" t="s">
        <v>35596</v>
      </c>
      <c r="D17414" s="330" t="s">
        <v>35597</v>
      </c>
      <c r="E17414" s="330" t="s">
        <v>37248</v>
      </c>
      <c r="F17414" s="331">
        <v>0.21</v>
      </c>
      <c r="G17414" s="332">
        <v>49146</v>
      </c>
      <c r="H17414" s="333">
        <v>59467</v>
      </c>
    </row>
    <row r="17415" spans="1:8">
      <c r="A17415" s="317" t="s">
        <v>43299</v>
      </c>
      <c r="B17415" s="330" t="s">
        <v>61767</v>
      </c>
      <c r="C17415" s="330" t="s">
        <v>35598</v>
      </c>
      <c r="D17415" s="330" t="s">
        <v>35599</v>
      </c>
      <c r="E17415" s="330" t="s">
        <v>4634</v>
      </c>
      <c r="F17415" s="331">
        <v>0.21</v>
      </c>
      <c r="G17415" s="332">
        <v>21368</v>
      </c>
      <c r="H17415" s="333">
        <v>25856</v>
      </c>
    </row>
    <row r="17416" spans="1:8">
      <c r="A17416" s="317" t="s">
        <v>43300</v>
      </c>
      <c r="B17416" s="330" t="s">
        <v>61768</v>
      </c>
      <c r="C17416" s="330" t="s">
        <v>35600</v>
      </c>
      <c r="D17416" s="330" t="s">
        <v>35601</v>
      </c>
      <c r="E17416" s="330" t="s">
        <v>37248</v>
      </c>
      <c r="F17416" s="331">
        <v>0.21</v>
      </c>
      <c r="G17416" s="332">
        <v>61491</v>
      </c>
      <c r="H17416" s="333">
        <v>74405</v>
      </c>
    </row>
    <row r="17417" spans="1:8">
      <c r="A17417" s="317" t="s">
        <v>43301</v>
      </c>
      <c r="B17417" s="330" t="s">
        <v>61769</v>
      </c>
      <c r="C17417" s="330" t="s">
        <v>35602</v>
      </c>
      <c r="D17417" s="330" t="s">
        <v>35603</v>
      </c>
      <c r="E17417" s="330" t="s">
        <v>4634</v>
      </c>
      <c r="F17417" s="331">
        <v>0.21</v>
      </c>
      <c r="G17417" s="332">
        <v>21752</v>
      </c>
      <c r="H17417" s="333">
        <v>26320</v>
      </c>
    </row>
    <row r="17418" spans="1:8">
      <c r="A17418" s="317" t="s">
        <v>43302</v>
      </c>
      <c r="B17418" s="330" t="s">
        <v>61770</v>
      </c>
      <c r="C17418" s="330" t="s">
        <v>35604</v>
      </c>
      <c r="D17418" s="330" t="s">
        <v>35605</v>
      </c>
      <c r="E17418" s="330" t="s">
        <v>4634</v>
      </c>
      <c r="F17418" s="331">
        <v>0.21</v>
      </c>
      <c r="G17418" s="332">
        <v>21841</v>
      </c>
      <c r="H17418" s="333">
        <v>26428</v>
      </c>
    </row>
    <row r="17419" spans="1:8">
      <c r="A17419" s="317" t="s">
        <v>43303</v>
      </c>
      <c r="B17419" s="330" t="s">
        <v>61771</v>
      </c>
      <c r="C17419" s="330" t="s">
        <v>35606</v>
      </c>
      <c r="D17419" s="330" t="s">
        <v>35607</v>
      </c>
      <c r="E17419" s="330" t="s">
        <v>4634</v>
      </c>
      <c r="F17419" s="331">
        <v>0.21</v>
      </c>
      <c r="G17419" s="332">
        <v>22825</v>
      </c>
      <c r="H17419" s="333">
        <v>27619</v>
      </c>
    </row>
    <row r="17420" spans="1:8">
      <c r="A17420" s="317" t="s">
        <v>43304</v>
      </c>
      <c r="B17420" s="330" t="s">
        <v>61772</v>
      </c>
      <c r="C17420" s="330" t="s">
        <v>35608</v>
      </c>
      <c r="D17420" s="330" t="s">
        <v>35609</v>
      </c>
      <c r="E17420" s="330" t="s">
        <v>4634</v>
      </c>
      <c r="F17420" s="331">
        <v>0.21</v>
      </c>
      <c r="G17420" s="332">
        <v>21002</v>
      </c>
      <c r="H17420" s="333">
        <v>25413</v>
      </c>
    </row>
    <row r="17421" spans="1:8">
      <c r="A17421" s="317" t="s">
        <v>43305</v>
      </c>
      <c r="B17421" s="330" t="s">
        <v>61773</v>
      </c>
      <c r="C17421" s="330" t="s">
        <v>35610</v>
      </c>
      <c r="D17421" s="330" t="s">
        <v>35611</v>
      </c>
      <c r="E17421" s="330" t="s">
        <v>4634</v>
      </c>
      <c r="F17421" s="331">
        <v>0.21</v>
      </c>
      <c r="G17421" s="332">
        <v>21350</v>
      </c>
      <c r="H17421" s="333">
        <v>25834</v>
      </c>
    </row>
    <row r="17422" spans="1:8">
      <c r="A17422" s="317" t="s">
        <v>43306</v>
      </c>
      <c r="B17422" s="330" t="s">
        <v>61774</v>
      </c>
      <c r="C17422" s="330" t="s">
        <v>35612</v>
      </c>
      <c r="D17422" s="330" t="s">
        <v>35613</v>
      </c>
      <c r="E17422" s="330" t="s">
        <v>37248</v>
      </c>
      <c r="F17422" s="331">
        <v>0.21</v>
      </c>
      <c r="G17422" s="332">
        <v>29198</v>
      </c>
      <c r="H17422" s="333">
        <v>35330</v>
      </c>
    </row>
    <row r="17423" spans="1:8">
      <c r="A17423" s="317" t="s">
        <v>43307</v>
      </c>
      <c r="B17423" s="330" t="s">
        <v>61775</v>
      </c>
      <c r="C17423" s="330" t="s">
        <v>35614</v>
      </c>
      <c r="D17423" s="330" t="s">
        <v>35615</v>
      </c>
      <c r="E17423" s="330" t="s">
        <v>37248</v>
      </c>
      <c r="F17423" s="331">
        <v>0.21</v>
      </c>
      <c r="G17423" s="332">
        <v>80659</v>
      </c>
      <c r="H17423" s="333">
        <v>97598</v>
      </c>
    </row>
    <row r="17424" spans="1:8">
      <c r="A17424" s="317" t="s">
        <v>43308</v>
      </c>
      <c r="B17424" s="330" t="s">
        <v>61776</v>
      </c>
      <c r="C17424" s="330" t="s">
        <v>35616</v>
      </c>
      <c r="D17424" s="330" t="s">
        <v>35617</v>
      </c>
      <c r="E17424" s="330" t="s">
        <v>4634</v>
      </c>
      <c r="F17424" s="331">
        <v>0.21</v>
      </c>
      <c r="G17424" s="332">
        <v>15316</v>
      </c>
      <c r="H17424" s="333">
        <v>18533</v>
      </c>
    </row>
    <row r="17425" spans="1:8">
      <c r="A17425" s="317" t="s">
        <v>43309</v>
      </c>
      <c r="B17425" s="330" t="s">
        <v>61777</v>
      </c>
      <c r="C17425" s="330" t="s">
        <v>35618</v>
      </c>
      <c r="D17425" s="330" t="s">
        <v>35619</v>
      </c>
      <c r="E17425" s="330" t="s">
        <v>37248</v>
      </c>
      <c r="F17425" s="331">
        <v>0.21</v>
      </c>
      <c r="G17425" s="332">
        <v>69001</v>
      </c>
      <c r="H17425" s="333">
        <v>83492</v>
      </c>
    </row>
    <row r="17426" spans="1:8">
      <c r="A17426" s="317" t="s">
        <v>43310</v>
      </c>
      <c r="B17426" s="330" t="s">
        <v>61778</v>
      </c>
      <c r="C17426" s="330" t="s">
        <v>35620</v>
      </c>
      <c r="D17426" s="330" t="s">
        <v>35621</v>
      </c>
      <c r="E17426" s="330" t="s">
        <v>4634</v>
      </c>
      <c r="F17426" s="331">
        <v>0.21</v>
      </c>
      <c r="G17426" s="332">
        <v>145164</v>
      </c>
      <c r="H17426" s="333">
        <v>175649</v>
      </c>
    </row>
    <row r="17427" spans="1:8">
      <c r="A17427" s="317" t="s">
        <v>43311</v>
      </c>
      <c r="B17427" s="330" t="s">
        <v>61779</v>
      </c>
      <c r="C17427" s="330" t="s">
        <v>35622</v>
      </c>
      <c r="D17427" s="330" t="s">
        <v>35623</v>
      </c>
      <c r="E17427" s="330" t="s">
        <v>4634</v>
      </c>
      <c r="F17427" s="331">
        <v>0.21</v>
      </c>
      <c r="G17427" s="332">
        <v>108653</v>
      </c>
      <c r="H17427" s="333">
        <v>131471</v>
      </c>
    </row>
    <row r="17428" spans="1:8">
      <c r="A17428" s="317" t="s">
        <v>43312</v>
      </c>
      <c r="B17428" s="330" t="s">
        <v>61780</v>
      </c>
      <c r="C17428" s="330" t="s">
        <v>35624</v>
      </c>
      <c r="D17428" s="330" t="s">
        <v>35625</v>
      </c>
      <c r="E17428" s="330" t="s">
        <v>4634</v>
      </c>
      <c r="F17428" s="331">
        <v>0.21</v>
      </c>
      <c r="G17428" s="332">
        <v>24308</v>
      </c>
      <c r="H17428" s="333">
        <v>29413</v>
      </c>
    </row>
    <row r="17429" spans="1:8">
      <c r="A17429" s="317" t="s">
        <v>43313</v>
      </c>
      <c r="B17429" s="330" t="s">
        <v>61781</v>
      </c>
      <c r="C17429" s="330" t="s">
        <v>35626</v>
      </c>
      <c r="D17429" s="330" t="s">
        <v>35627</v>
      </c>
      <c r="E17429" s="330" t="s">
        <v>37248</v>
      </c>
      <c r="F17429" s="331">
        <v>0.21</v>
      </c>
      <c r="G17429" s="332">
        <v>107511</v>
      </c>
      <c r="H17429" s="333">
        <v>130089</v>
      </c>
    </row>
    <row r="17430" spans="1:8">
      <c r="A17430" s="317" t="s">
        <v>43314</v>
      </c>
      <c r="B17430" s="330" t="s">
        <v>61782</v>
      </c>
      <c r="C17430" s="330" t="s">
        <v>35628</v>
      </c>
      <c r="D17430" s="330" t="s">
        <v>29042</v>
      </c>
      <c r="E17430" s="330" t="s">
        <v>37248</v>
      </c>
      <c r="F17430" s="331">
        <v>0.21</v>
      </c>
      <c r="G17430" s="332">
        <v>84291</v>
      </c>
      <c r="H17430" s="333">
        <v>101993</v>
      </c>
    </row>
    <row r="17431" spans="1:8">
      <c r="A17431" s="317" t="s">
        <v>43315</v>
      </c>
      <c r="B17431" s="330" t="s">
        <v>61783</v>
      </c>
      <c r="C17431" s="330" t="s">
        <v>35629</v>
      </c>
      <c r="D17431" s="330" t="s">
        <v>35630</v>
      </c>
      <c r="E17431" s="330" t="s">
        <v>37248</v>
      </c>
      <c r="F17431" s="331">
        <v>0.21</v>
      </c>
      <c r="G17431" s="332">
        <v>61823</v>
      </c>
      <c r="H17431" s="333">
        <v>74806</v>
      </c>
    </row>
    <row r="17432" spans="1:8">
      <c r="A17432" s="317" t="s">
        <v>43316</v>
      </c>
      <c r="B17432" s="330" t="s">
        <v>61784</v>
      </c>
      <c r="C17432" s="330" t="s">
        <v>35631</v>
      </c>
      <c r="D17432" s="330" t="s">
        <v>5155</v>
      </c>
      <c r="E17432" s="330" t="s">
        <v>37248</v>
      </c>
      <c r="F17432" s="331">
        <v>0.21</v>
      </c>
      <c r="G17432" s="332">
        <v>63617</v>
      </c>
      <c r="H17432" s="333">
        <v>76977</v>
      </c>
    </row>
    <row r="17433" spans="1:8">
      <c r="A17433" s="317" t="s">
        <v>43317</v>
      </c>
      <c r="B17433" s="330" t="s">
        <v>61785</v>
      </c>
      <c r="C17433" s="330" t="s">
        <v>35632</v>
      </c>
      <c r="D17433" s="330" t="s">
        <v>35633</v>
      </c>
      <c r="E17433" s="330" t="s">
        <v>4819</v>
      </c>
      <c r="F17433" s="331">
        <v>0.21</v>
      </c>
      <c r="G17433" s="332">
        <v>77722</v>
      </c>
      <c r="H17433" s="333">
        <v>94044</v>
      </c>
    </row>
    <row r="17434" spans="1:8">
      <c r="A17434" s="317" t="s">
        <v>43318</v>
      </c>
      <c r="B17434" s="330" t="s">
        <v>61786</v>
      </c>
      <c r="C17434" s="330" t="s">
        <v>35634</v>
      </c>
      <c r="D17434" s="330" t="s">
        <v>35635</v>
      </c>
      <c r="E17434" s="330" t="s">
        <v>4634</v>
      </c>
      <c r="F17434" s="331">
        <v>0.21</v>
      </c>
      <c r="G17434" s="332">
        <v>62666</v>
      </c>
      <c r="H17434" s="333">
        <v>75826</v>
      </c>
    </row>
    <row r="17435" spans="1:8">
      <c r="A17435" s="317" t="s">
        <v>43319</v>
      </c>
      <c r="B17435" s="330" t="s">
        <v>61787</v>
      </c>
      <c r="C17435" s="330" t="s">
        <v>35636</v>
      </c>
      <c r="D17435" s="330" t="s">
        <v>35637</v>
      </c>
      <c r="E17435" s="330" t="s">
        <v>37248</v>
      </c>
      <c r="F17435" s="331">
        <v>0.21</v>
      </c>
      <c r="G17435" s="332">
        <v>54642</v>
      </c>
      <c r="H17435" s="333">
        <v>66117</v>
      </c>
    </row>
    <row r="17436" spans="1:8">
      <c r="A17436" s="317" t="s">
        <v>43320</v>
      </c>
      <c r="B17436" s="330" t="s">
        <v>61788</v>
      </c>
      <c r="C17436" s="330" t="s">
        <v>35638</v>
      </c>
      <c r="D17436" s="330" t="s">
        <v>35639</v>
      </c>
      <c r="E17436" s="330" t="s">
        <v>37248</v>
      </c>
      <c r="F17436" s="331">
        <v>0.21</v>
      </c>
      <c r="G17436" s="332">
        <v>49119</v>
      </c>
      <c r="H17436" s="333">
        <v>59434</v>
      </c>
    </row>
    <row r="17437" spans="1:8">
      <c r="A17437" s="317" t="s">
        <v>43321</v>
      </c>
      <c r="B17437" s="330" t="s">
        <v>61789</v>
      </c>
      <c r="C17437" s="330" t="s">
        <v>35640</v>
      </c>
      <c r="D17437" s="330" t="s">
        <v>35641</v>
      </c>
      <c r="E17437" s="330" t="s">
        <v>37248</v>
      </c>
      <c r="F17437" s="331">
        <v>0.21</v>
      </c>
      <c r="G17437" s="332">
        <v>115892</v>
      </c>
      <c r="H17437" s="333">
        <v>140230</v>
      </c>
    </row>
    <row r="17438" spans="1:8">
      <c r="A17438" s="317" t="s">
        <v>43322</v>
      </c>
      <c r="B17438" s="330" t="s">
        <v>61790</v>
      </c>
      <c r="C17438" s="330" t="s">
        <v>35642</v>
      </c>
      <c r="D17438" s="330" t="s">
        <v>35643</v>
      </c>
      <c r="E17438" s="330" t="s">
        <v>37248</v>
      </c>
      <c r="F17438" s="331">
        <v>0.21</v>
      </c>
      <c r="G17438" s="332">
        <v>22521</v>
      </c>
      <c r="H17438" s="333">
        <v>27251</v>
      </c>
    </row>
    <row r="17439" spans="1:8">
      <c r="A17439" s="317" t="s">
        <v>43323</v>
      </c>
      <c r="B17439" s="330" t="s">
        <v>61791</v>
      </c>
      <c r="C17439" s="330" t="s">
        <v>35644</v>
      </c>
      <c r="D17439" s="330" t="s">
        <v>35645</v>
      </c>
      <c r="E17439" s="330" t="s">
        <v>4634</v>
      </c>
      <c r="F17439" s="331">
        <v>0.21</v>
      </c>
      <c r="G17439" s="332">
        <v>33075</v>
      </c>
      <c r="H17439" s="333">
        <v>40021</v>
      </c>
    </row>
    <row r="17440" spans="1:8">
      <c r="A17440" s="317" t="s">
        <v>43324</v>
      </c>
      <c r="B17440" s="330" t="s">
        <v>61792</v>
      </c>
      <c r="C17440" s="330" t="s">
        <v>35646</v>
      </c>
      <c r="D17440" s="330" t="s">
        <v>35647</v>
      </c>
      <c r="E17440" s="330" t="s">
        <v>37248</v>
      </c>
      <c r="F17440" s="331">
        <v>0.21</v>
      </c>
      <c r="G17440" s="332">
        <v>30710</v>
      </c>
      <c r="H17440" s="333">
        <v>37160</v>
      </c>
    </row>
    <row r="17441" spans="1:8">
      <c r="A17441" s="317" t="s">
        <v>43325</v>
      </c>
      <c r="B17441" s="330" t="s">
        <v>61793</v>
      </c>
      <c r="C17441" s="330" t="s">
        <v>35648</v>
      </c>
      <c r="D17441" s="330" t="s">
        <v>35649</v>
      </c>
      <c r="E17441" s="330" t="s">
        <v>37248</v>
      </c>
      <c r="F17441" s="331">
        <v>0.21</v>
      </c>
      <c r="G17441" s="332">
        <v>83658</v>
      </c>
      <c r="H17441" s="333">
        <v>101227</v>
      </c>
    </row>
    <row r="17442" spans="1:8">
      <c r="A17442" s="317" t="s">
        <v>43326</v>
      </c>
      <c r="B17442" s="330" t="s">
        <v>61794</v>
      </c>
      <c r="C17442" s="330" t="s">
        <v>35650</v>
      </c>
      <c r="D17442" s="330" t="s">
        <v>35651</v>
      </c>
      <c r="E17442" s="330" t="s">
        <v>37248</v>
      </c>
      <c r="F17442" s="331">
        <v>0.21</v>
      </c>
      <c r="G17442" s="332">
        <v>35538</v>
      </c>
      <c r="H17442" s="333">
        <v>43001</v>
      </c>
    </row>
    <row r="17443" spans="1:8">
      <c r="A17443" s="317" t="s">
        <v>43327</v>
      </c>
      <c r="B17443" s="330" t="s">
        <v>61795</v>
      </c>
      <c r="C17443" s="330" t="s">
        <v>35652</v>
      </c>
      <c r="D17443" s="330" t="s">
        <v>35653</v>
      </c>
      <c r="E17443" s="330" t="s">
        <v>4623</v>
      </c>
      <c r="F17443" s="331">
        <v>0.21</v>
      </c>
      <c r="G17443" s="332">
        <v>20989</v>
      </c>
      <c r="H17443" s="333">
        <v>25397</v>
      </c>
    </row>
    <row r="17444" spans="1:8">
      <c r="A17444" s="317" t="s">
        <v>43328</v>
      </c>
      <c r="B17444" s="330" t="s">
        <v>61796</v>
      </c>
      <c r="C17444" s="330" t="s">
        <v>35654</v>
      </c>
      <c r="D17444" s="330" t="s">
        <v>35655</v>
      </c>
      <c r="E17444" s="330" t="s">
        <v>4819</v>
      </c>
      <c r="F17444" s="331">
        <v>0.21</v>
      </c>
      <c r="G17444" s="332">
        <v>16538</v>
      </c>
      <c r="H17444" s="333">
        <v>20011</v>
      </c>
    </row>
    <row r="17445" spans="1:8">
      <c r="A17445" s="317" t="s">
        <v>43329</v>
      </c>
      <c r="B17445" s="330" t="s">
        <v>61797</v>
      </c>
      <c r="C17445" s="330" t="s">
        <v>35656</v>
      </c>
      <c r="D17445" s="330" t="s">
        <v>35657</v>
      </c>
      <c r="E17445" s="330" t="s">
        <v>37248</v>
      </c>
      <c r="F17445" s="331">
        <v>0.21</v>
      </c>
      <c r="G17445" s="332">
        <v>29898</v>
      </c>
      <c r="H17445" s="333">
        <v>36177</v>
      </c>
    </row>
    <row r="17446" spans="1:8">
      <c r="A17446" s="317" t="s">
        <v>43330</v>
      </c>
      <c r="B17446" s="330" t="s">
        <v>61798</v>
      </c>
      <c r="C17446" s="330" t="s">
        <v>35658</v>
      </c>
      <c r="D17446" s="330" t="s">
        <v>35659</v>
      </c>
      <c r="E17446" s="330" t="s">
        <v>4634</v>
      </c>
      <c r="F17446" s="331">
        <v>0.21</v>
      </c>
      <c r="G17446" s="332">
        <v>39897</v>
      </c>
      <c r="H17446" s="333">
        <v>48276</v>
      </c>
    </row>
    <row r="17447" spans="1:8">
      <c r="A17447" s="317" t="s">
        <v>43331</v>
      </c>
      <c r="B17447" s="330" t="s">
        <v>61799</v>
      </c>
      <c r="C17447" s="330" t="s">
        <v>35660</v>
      </c>
      <c r="D17447" s="330" t="s">
        <v>35661</v>
      </c>
      <c r="E17447" s="330" t="s">
        <v>4819</v>
      </c>
      <c r="F17447" s="331">
        <v>0.21</v>
      </c>
      <c r="G17447" s="332">
        <v>33914</v>
      </c>
      <c r="H17447" s="333">
        <v>41036</v>
      </c>
    </row>
    <row r="17448" spans="1:8">
      <c r="A17448" s="317" t="s">
        <v>43332</v>
      </c>
      <c r="B17448" s="330" t="s">
        <v>61800</v>
      </c>
      <c r="C17448" s="330" t="s">
        <v>35662</v>
      </c>
      <c r="D17448" s="330" t="s">
        <v>35663</v>
      </c>
      <c r="E17448" s="330" t="s">
        <v>37248</v>
      </c>
      <c r="F17448" s="331">
        <v>0.21</v>
      </c>
      <c r="G17448" s="332">
        <v>28335</v>
      </c>
      <c r="H17448" s="333">
        <v>34286</v>
      </c>
    </row>
    <row r="17449" spans="1:8">
      <c r="A17449" s="317" t="s">
        <v>43333</v>
      </c>
      <c r="B17449" s="330" t="s">
        <v>61801</v>
      </c>
      <c r="C17449" s="330" t="s">
        <v>35664</v>
      </c>
      <c r="D17449" s="330" t="s">
        <v>35665</v>
      </c>
      <c r="E17449" s="330" t="s">
        <v>37248</v>
      </c>
      <c r="F17449" s="331">
        <v>0.21</v>
      </c>
      <c r="G17449" s="332">
        <v>33182</v>
      </c>
      <c r="H17449" s="333">
        <v>40151</v>
      </c>
    </row>
    <row r="17450" spans="1:8">
      <c r="A17450" s="317" t="s">
        <v>43334</v>
      </c>
      <c r="B17450" s="330" t="s">
        <v>61802</v>
      </c>
      <c r="C17450" s="330" t="s">
        <v>35666</v>
      </c>
      <c r="D17450" s="330" t="s">
        <v>35667</v>
      </c>
      <c r="E17450" s="330" t="s">
        <v>4819</v>
      </c>
      <c r="F17450" s="331">
        <v>0.21</v>
      </c>
      <c r="G17450" s="332">
        <v>32000</v>
      </c>
      <c r="H17450" s="333">
        <v>38720</v>
      </c>
    </row>
    <row r="17451" spans="1:8">
      <c r="A17451" s="317" t="s">
        <v>43335</v>
      </c>
      <c r="B17451" s="330" t="s">
        <v>61803</v>
      </c>
      <c r="C17451" s="330" t="s">
        <v>35668</v>
      </c>
      <c r="D17451" s="330" t="s">
        <v>35669</v>
      </c>
      <c r="E17451" s="330" t="s">
        <v>4634</v>
      </c>
      <c r="F17451" s="331">
        <v>0.21</v>
      </c>
      <c r="G17451" s="332">
        <v>15526</v>
      </c>
      <c r="H17451" s="333">
        <v>18787</v>
      </c>
    </row>
    <row r="17452" spans="1:8">
      <c r="A17452" s="317" t="s">
        <v>43336</v>
      </c>
      <c r="B17452" s="330" t="s">
        <v>61804</v>
      </c>
      <c r="C17452" s="330" t="s">
        <v>35670</v>
      </c>
      <c r="D17452" s="330" t="s">
        <v>35671</v>
      </c>
      <c r="E17452" s="330" t="s">
        <v>4634</v>
      </c>
      <c r="F17452" s="331">
        <v>0.21</v>
      </c>
      <c r="G17452" s="332">
        <v>3555</v>
      </c>
      <c r="H17452" s="333">
        <v>4302</v>
      </c>
    </row>
    <row r="17453" spans="1:8">
      <c r="A17453" s="317" t="s">
        <v>43337</v>
      </c>
      <c r="B17453" s="330" t="s">
        <v>61805</v>
      </c>
      <c r="C17453" s="330" t="s">
        <v>35672</v>
      </c>
      <c r="D17453" s="330" t="s">
        <v>35673</v>
      </c>
      <c r="E17453" s="330" t="s">
        <v>4634</v>
      </c>
      <c r="F17453" s="331">
        <v>0.21</v>
      </c>
      <c r="G17453" s="332">
        <v>5239</v>
      </c>
      <c r="H17453" s="333">
        <v>6340</v>
      </c>
    </row>
    <row r="17454" spans="1:8">
      <c r="A17454" s="317" t="s">
        <v>43338</v>
      </c>
      <c r="B17454" s="330" t="s">
        <v>61806</v>
      </c>
      <c r="C17454" s="330" t="s">
        <v>35674</v>
      </c>
      <c r="D17454" s="330" t="s">
        <v>35675</v>
      </c>
      <c r="E17454" s="330" t="s">
        <v>4634</v>
      </c>
      <c r="F17454" s="331">
        <v>0.21</v>
      </c>
      <c r="G17454" s="332">
        <v>7033</v>
      </c>
      <c r="H17454" s="333">
        <v>8510</v>
      </c>
    </row>
    <row r="17455" spans="1:8">
      <c r="A17455" s="317" t="s">
        <v>43339</v>
      </c>
      <c r="B17455" s="330" t="s">
        <v>61807</v>
      </c>
      <c r="C17455" s="330" t="s">
        <v>35676</v>
      </c>
      <c r="D17455" s="330" t="s">
        <v>35677</v>
      </c>
      <c r="E17455" s="330" t="s">
        <v>4634</v>
      </c>
      <c r="F17455" s="331">
        <v>0.21</v>
      </c>
      <c r="G17455" s="332">
        <v>3417</v>
      </c>
      <c r="H17455" s="333">
        <v>4135</v>
      </c>
    </row>
    <row r="17456" spans="1:8">
      <c r="A17456" s="317" t="s">
        <v>43340</v>
      </c>
      <c r="B17456" s="330" t="s">
        <v>61808</v>
      </c>
      <c r="C17456" s="330" t="s">
        <v>35678</v>
      </c>
      <c r="D17456" s="330" t="s">
        <v>35679</v>
      </c>
      <c r="E17456" s="330" t="s">
        <v>37248</v>
      </c>
      <c r="F17456" s="331">
        <v>0.21</v>
      </c>
      <c r="G17456" s="332">
        <v>28488</v>
      </c>
      <c r="H17456" s="333">
        <v>34471</v>
      </c>
    </row>
    <row r="17457" spans="1:8">
      <c r="A17457" s="317" t="s">
        <v>43341</v>
      </c>
      <c r="B17457" s="330" t="s">
        <v>61809</v>
      </c>
      <c r="C17457" s="330" t="s">
        <v>35680</v>
      </c>
      <c r="D17457" s="330" t="s">
        <v>35681</v>
      </c>
      <c r="E17457" s="330" t="s">
        <v>4634</v>
      </c>
      <c r="F17457" s="331">
        <v>0.21</v>
      </c>
      <c r="G17457" s="332">
        <v>20023</v>
      </c>
      <c r="H17457" s="333">
        <v>24228</v>
      </c>
    </row>
    <row r="17458" spans="1:8">
      <c r="A17458" s="317" t="s">
        <v>43342</v>
      </c>
      <c r="B17458" s="330" t="s">
        <v>61810</v>
      </c>
      <c r="C17458" s="330" t="s">
        <v>35682</v>
      </c>
      <c r="D17458" s="330" t="s">
        <v>35683</v>
      </c>
      <c r="E17458" s="330" t="s">
        <v>4634</v>
      </c>
      <c r="F17458" s="331">
        <v>0.21</v>
      </c>
      <c r="G17458" s="332">
        <v>20513</v>
      </c>
      <c r="H17458" s="333">
        <v>24821</v>
      </c>
    </row>
    <row r="17459" spans="1:8">
      <c r="A17459" s="317" t="s">
        <v>43343</v>
      </c>
      <c r="B17459" s="330" t="s">
        <v>61811</v>
      </c>
      <c r="C17459" s="330" t="s">
        <v>35684</v>
      </c>
      <c r="D17459" s="330" t="s">
        <v>35685</v>
      </c>
      <c r="E17459" s="330" t="s">
        <v>4634</v>
      </c>
      <c r="F17459" s="331">
        <v>0.21</v>
      </c>
      <c r="G17459" s="332">
        <v>26064</v>
      </c>
      <c r="H17459" s="333">
        <v>31538</v>
      </c>
    </row>
    <row r="17460" spans="1:8">
      <c r="A17460" s="317" t="s">
        <v>43344</v>
      </c>
      <c r="B17460" s="330" t="s">
        <v>61812</v>
      </c>
      <c r="C17460" s="330" t="s">
        <v>35686</v>
      </c>
      <c r="D17460" s="330" t="s">
        <v>35687</v>
      </c>
      <c r="E17460" s="330" t="s">
        <v>37248</v>
      </c>
      <c r="F17460" s="331">
        <v>0.21</v>
      </c>
      <c r="G17460" s="332">
        <v>11117</v>
      </c>
      <c r="H17460" s="333">
        <v>13452</v>
      </c>
    </row>
    <row r="17461" spans="1:8">
      <c r="A17461" s="317" t="s">
        <v>43345</v>
      </c>
      <c r="B17461" s="330" t="s">
        <v>61813</v>
      </c>
      <c r="C17461" s="330" t="s">
        <v>35688</v>
      </c>
      <c r="D17461" s="330" t="s">
        <v>35689</v>
      </c>
      <c r="E17461" s="330" t="s">
        <v>4634</v>
      </c>
      <c r="F17461" s="331">
        <v>0.21</v>
      </c>
      <c r="G17461" s="332">
        <v>9266</v>
      </c>
      <c r="H17461" s="333">
        <v>11212</v>
      </c>
    </row>
    <row r="17462" spans="1:8">
      <c r="A17462" s="317" t="s">
        <v>43346</v>
      </c>
      <c r="B17462" s="330" t="s">
        <v>61814</v>
      </c>
      <c r="C17462" s="330" t="s">
        <v>35690</v>
      </c>
      <c r="D17462" s="330" t="s">
        <v>5171</v>
      </c>
      <c r="E17462" s="330" t="s">
        <v>4634</v>
      </c>
      <c r="F17462" s="331">
        <v>0.21</v>
      </c>
      <c r="G17462" s="332">
        <v>1882</v>
      </c>
      <c r="H17462" s="333">
        <v>2278</v>
      </c>
    </row>
    <row r="17463" spans="1:8">
      <c r="A17463" s="317" t="s">
        <v>43347</v>
      </c>
      <c r="B17463" s="330" t="s">
        <v>61815</v>
      </c>
      <c r="C17463" s="330" t="s">
        <v>35691</v>
      </c>
      <c r="D17463" s="330" t="s">
        <v>35692</v>
      </c>
      <c r="E17463" s="330" t="s">
        <v>4634</v>
      </c>
      <c r="F17463" s="331">
        <v>0.21</v>
      </c>
      <c r="G17463" s="332">
        <v>7162</v>
      </c>
      <c r="H17463" s="333">
        <v>8667</v>
      </c>
    </row>
    <row r="17464" spans="1:8">
      <c r="A17464" s="317" t="s">
        <v>43348</v>
      </c>
      <c r="B17464" s="330" t="s">
        <v>61816</v>
      </c>
      <c r="C17464" s="330" t="s">
        <v>35693</v>
      </c>
      <c r="D17464" s="330" t="s">
        <v>35694</v>
      </c>
      <c r="E17464" s="330" t="s">
        <v>4634</v>
      </c>
      <c r="F17464" s="331">
        <v>0.21</v>
      </c>
      <c r="G17464" s="332">
        <v>3161</v>
      </c>
      <c r="H17464" s="333">
        <v>3825</v>
      </c>
    </row>
    <row r="17465" spans="1:8">
      <c r="A17465" s="317" t="s">
        <v>43349</v>
      </c>
      <c r="B17465" s="330" t="s">
        <v>61817</v>
      </c>
      <c r="C17465" s="330" t="s">
        <v>35695</v>
      </c>
      <c r="D17465" s="330" t="s">
        <v>35696</v>
      </c>
      <c r="E17465" s="330" t="s">
        <v>4819</v>
      </c>
      <c r="F17465" s="331">
        <v>0.21</v>
      </c>
      <c r="G17465" s="332">
        <v>11896</v>
      </c>
      <c r="H17465" s="333">
        <v>14395</v>
      </c>
    </row>
    <row r="17466" spans="1:8">
      <c r="A17466" s="317" t="s">
        <v>43350</v>
      </c>
      <c r="B17466" s="330" t="s">
        <v>61818</v>
      </c>
      <c r="C17466" s="330" t="s">
        <v>35697</v>
      </c>
      <c r="D17466" s="330" t="s">
        <v>35698</v>
      </c>
      <c r="E17466" s="330" t="s">
        <v>37248</v>
      </c>
      <c r="F17466" s="331">
        <v>0.21</v>
      </c>
      <c r="G17466" s="332">
        <v>49328</v>
      </c>
      <c r="H17466" s="333">
        <v>59687</v>
      </c>
    </row>
    <row r="17467" spans="1:8">
      <c r="A17467" s="317" t="s">
        <v>43351</v>
      </c>
      <c r="B17467" s="330" t="s">
        <v>61819</v>
      </c>
      <c r="C17467" s="330" t="s">
        <v>35699</v>
      </c>
      <c r="D17467" s="330" t="s">
        <v>35700</v>
      </c>
      <c r="E17467" s="330" t="s">
        <v>4634</v>
      </c>
      <c r="F17467" s="331">
        <v>0.21</v>
      </c>
      <c r="G17467" s="332">
        <v>4909</v>
      </c>
      <c r="H17467" s="333">
        <v>5940</v>
      </c>
    </row>
    <row r="17468" spans="1:8">
      <c r="A17468" s="317" t="s">
        <v>43352</v>
      </c>
      <c r="B17468" s="330" t="s">
        <v>61820</v>
      </c>
      <c r="C17468" s="330" t="s">
        <v>35701</v>
      </c>
      <c r="D17468" s="330" t="s">
        <v>35702</v>
      </c>
      <c r="E17468" s="330" t="s">
        <v>37248</v>
      </c>
      <c r="F17468" s="331">
        <v>0.21</v>
      </c>
      <c r="G17468" s="332">
        <v>25098</v>
      </c>
      <c r="H17468" s="333">
        <v>30369</v>
      </c>
    </row>
    <row r="17469" spans="1:8">
      <c r="A17469" s="317" t="s">
        <v>43353</v>
      </c>
      <c r="B17469" s="330" t="s">
        <v>61821</v>
      </c>
      <c r="C17469" s="330" t="s">
        <v>35703</v>
      </c>
      <c r="D17469" s="330" t="s">
        <v>35704</v>
      </c>
      <c r="E17469" s="330" t="s">
        <v>37248</v>
      </c>
      <c r="F17469" s="331">
        <v>0.21</v>
      </c>
      <c r="G17469" s="332">
        <v>40524</v>
      </c>
      <c r="H17469" s="333">
        <v>49035</v>
      </c>
    </row>
    <row r="17470" spans="1:8">
      <c r="A17470" s="317" t="s">
        <v>43354</v>
      </c>
      <c r="B17470" s="330" t="s">
        <v>61822</v>
      </c>
      <c r="C17470" s="330" t="s">
        <v>35705</v>
      </c>
      <c r="D17470" s="330" t="s">
        <v>35706</v>
      </c>
      <c r="E17470" s="330" t="s">
        <v>4634</v>
      </c>
      <c r="F17470" s="331">
        <v>0.21</v>
      </c>
      <c r="G17470" s="332">
        <v>4610</v>
      </c>
      <c r="H17470" s="333">
        <v>5579</v>
      </c>
    </row>
    <row r="17471" spans="1:8">
      <c r="A17471" s="317" t="s">
        <v>43355</v>
      </c>
      <c r="B17471" s="330" t="s">
        <v>61823</v>
      </c>
      <c r="C17471" s="330" t="s">
        <v>35707</v>
      </c>
      <c r="D17471" s="330" t="s">
        <v>35708</v>
      </c>
      <c r="E17471" s="330" t="s">
        <v>4634</v>
      </c>
      <c r="F17471" s="331">
        <v>0.21</v>
      </c>
      <c r="G17471" s="332">
        <v>4787</v>
      </c>
      <c r="H17471" s="333">
        <v>5793</v>
      </c>
    </row>
    <row r="17472" spans="1:8">
      <c r="A17472" s="317" t="s">
        <v>43356</v>
      </c>
      <c r="B17472" s="330" t="s">
        <v>61824</v>
      </c>
      <c r="C17472" s="330" t="s">
        <v>35709</v>
      </c>
      <c r="D17472" s="330" t="s">
        <v>9079</v>
      </c>
      <c r="E17472" s="330" t="s">
        <v>4819</v>
      </c>
      <c r="F17472" s="331">
        <v>0.21</v>
      </c>
      <c r="G17472" s="332">
        <v>40903</v>
      </c>
      <c r="H17472" s="333">
        <v>49493</v>
      </c>
    </row>
    <row r="17473" spans="1:8">
      <c r="A17473" s="317" t="s">
        <v>43357</v>
      </c>
      <c r="B17473" s="330" t="s">
        <v>61825</v>
      </c>
      <c r="C17473" s="330" t="s">
        <v>35710</v>
      </c>
      <c r="D17473" s="330" t="s">
        <v>5171</v>
      </c>
      <c r="E17473" s="330" t="s">
        <v>37248</v>
      </c>
      <c r="F17473" s="331">
        <v>0.21</v>
      </c>
      <c r="G17473" s="332">
        <v>41820</v>
      </c>
      <c r="H17473" s="333">
        <v>50603</v>
      </c>
    </row>
    <row r="17474" spans="1:8">
      <c r="A17474" s="317" t="s">
        <v>43358</v>
      </c>
      <c r="B17474" s="330" t="s">
        <v>61826</v>
      </c>
      <c r="C17474" s="330" t="s">
        <v>35711</v>
      </c>
      <c r="D17474" s="330" t="s">
        <v>35712</v>
      </c>
      <c r="E17474" s="330" t="s">
        <v>4634</v>
      </c>
      <c r="F17474" s="331">
        <v>0.21</v>
      </c>
      <c r="G17474" s="332">
        <v>21459</v>
      </c>
      <c r="H17474" s="333">
        <v>25966</v>
      </c>
    </row>
    <row r="17475" spans="1:8">
      <c r="A17475" s="317" t="s">
        <v>43359</v>
      </c>
      <c r="B17475" s="330" t="s">
        <v>61827</v>
      </c>
      <c r="C17475" s="330" t="s">
        <v>35713</v>
      </c>
      <c r="D17475" s="330" t="s">
        <v>35714</v>
      </c>
      <c r="E17475" s="330" t="s">
        <v>4634</v>
      </c>
      <c r="F17475" s="331">
        <v>0.21</v>
      </c>
      <c r="G17475" s="332">
        <v>11541</v>
      </c>
      <c r="H17475" s="333">
        <v>13965</v>
      </c>
    </row>
    <row r="17476" spans="1:8">
      <c r="A17476" s="317" t="s">
        <v>43360</v>
      </c>
      <c r="B17476" s="330" t="s">
        <v>61828</v>
      </c>
      <c r="C17476" s="330" t="s">
        <v>35715</v>
      </c>
      <c r="D17476" s="330" t="s">
        <v>35716</v>
      </c>
      <c r="E17476" s="330" t="s">
        <v>4819</v>
      </c>
      <c r="F17476" s="331">
        <v>0.21</v>
      </c>
      <c r="G17476" s="332">
        <v>33582</v>
      </c>
      <c r="H17476" s="333">
        <v>40635</v>
      </c>
    </row>
    <row r="17477" spans="1:8">
      <c r="A17477" s="317" t="s">
        <v>43361</v>
      </c>
      <c r="B17477" s="330" t="s">
        <v>61829</v>
      </c>
      <c r="C17477" s="330" t="s">
        <v>35717</v>
      </c>
      <c r="D17477" s="330" t="s">
        <v>35718</v>
      </c>
      <c r="E17477" s="330" t="s">
        <v>4634</v>
      </c>
      <c r="F17477" s="331">
        <v>0.21</v>
      </c>
      <c r="G17477" s="332">
        <v>9866</v>
      </c>
      <c r="H17477" s="333">
        <v>11938</v>
      </c>
    </row>
    <row r="17478" spans="1:8">
      <c r="A17478" s="317" t="s">
        <v>43362</v>
      </c>
      <c r="B17478" s="330" t="s">
        <v>61830</v>
      </c>
      <c r="C17478" s="330" t="s">
        <v>35719</v>
      </c>
      <c r="D17478" s="330" t="s">
        <v>35720</v>
      </c>
      <c r="E17478" s="330" t="s">
        <v>4634</v>
      </c>
      <c r="F17478" s="331">
        <v>0.21</v>
      </c>
      <c r="G17478" s="332">
        <v>8476</v>
      </c>
      <c r="H17478" s="333">
        <v>10256</v>
      </c>
    </row>
    <row r="17479" spans="1:8">
      <c r="A17479" s="317" t="s">
        <v>43363</v>
      </c>
      <c r="B17479" s="330" t="s">
        <v>61831</v>
      </c>
      <c r="C17479" s="330" t="s">
        <v>35721</v>
      </c>
      <c r="D17479" s="330" t="s">
        <v>35722</v>
      </c>
      <c r="E17479" s="330" t="s">
        <v>4623</v>
      </c>
      <c r="F17479" s="331">
        <v>0.21</v>
      </c>
      <c r="G17479" s="332">
        <v>33216</v>
      </c>
      <c r="H17479" s="333">
        <v>40192</v>
      </c>
    </row>
    <row r="17480" spans="1:8">
      <c r="A17480" s="317" t="s">
        <v>43364</v>
      </c>
      <c r="B17480" s="330" t="s">
        <v>61832</v>
      </c>
      <c r="C17480" s="330" t="s">
        <v>35723</v>
      </c>
      <c r="D17480" s="330" t="s">
        <v>35724</v>
      </c>
      <c r="E17480" s="330" t="s">
        <v>4634</v>
      </c>
      <c r="F17480" s="331">
        <v>0.21</v>
      </c>
      <c r="G17480" s="332">
        <v>16839</v>
      </c>
      <c r="H17480" s="333">
        <v>20376</v>
      </c>
    </row>
    <row r="17481" spans="1:8">
      <c r="A17481" s="317" t="s">
        <v>43365</v>
      </c>
      <c r="B17481" s="330" t="s">
        <v>61833</v>
      </c>
      <c r="C17481" s="330" t="s">
        <v>35725</v>
      </c>
      <c r="D17481" s="330" t="s">
        <v>35726</v>
      </c>
      <c r="E17481" s="330" t="s">
        <v>37248</v>
      </c>
      <c r="F17481" s="331">
        <v>0.21</v>
      </c>
      <c r="G17481" s="332">
        <v>57605</v>
      </c>
      <c r="H17481" s="333">
        <v>69703</v>
      </c>
    </row>
    <row r="17482" spans="1:8">
      <c r="A17482" s="317" t="s">
        <v>43366</v>
      </c>
      <c r="B17482" s="330" t="s">
        <v>61834</v>
      </c>
      <c r="C17482" s="330" t="s">
        <v>35727</v>
      </c>
      <c r="D17482" s="330" t="s">
        <v>35728</v>
      </c>
      <c r="E17482" s="330" t="s">
        <v>4819</v>
      </c>
      <c r="F17482" s="331">
        <v>0.21</v>
      </c>
      <c r="G17482" s="332">
        <v>25278</v>
      </c>
      <c r="H17482" s="333">
        <v>30587</v>
      </c>
    </row>
    <row r="17483" spans="1:8">
      <c r="A17483" s="317" t="s">
        <v>43367</v>
      </c>
      <c r="B17483" s="330" t="s">
        <v>61835</v>
      </c>
      <c r="C17483" s="330" t="s">
        <v>35729</v>
      </c>
      <c r="D17483" s="330" t="s">
        <v>35730</v>
      </c>
      <c r="E17483" s="330" t="s">
        <v>4634</v>
      </c>
      <c r="F17483" s="331">
        <v>0.21</v>
      </c>
      <c r="G17483" s="332">
        <v>7796</v>
      </c>
      <c r="H17483" s="333">
        <v>9434</v>
      </c>
    </row>
    <row r="17484" spans="1:8">
      <c r="A17484" s="317" t="s">
        <v>43368</v>
      </c>
      <c r="B17484" s="330" t="s">
        <v>61836</v>
      </c>
      <c r="C17484" s="330" t="s">
        <v>35731</v>
      </c>
      <c r="D17484" s="330" t="s">
        <v>35732</v>
      </c>
      <c r="E17484" s="330" t="s">
        <v>4819</v>
      </c>
      <c r="F17484" s="331">
        <v>0.21</v>
      </c>
      <c r="G17484" s="332">
        <v>54015</v>
      </c>
      <c r="H17484" s="333">
        <v>65359</v>
      </c>
    </row>
    <row r="17485" spans="1:8">
      <c r="A17485" s="317" t="s">
        <v>43369</v>
      </c>
      <c r="B17485" s="330" t="s">
        <v>61837</v>
      </c>
      <c r="C17485" s="330" t="s">
        <v>35733</v>
      </c>
      <c r="D17485" s="330" t="s">
        <v>35734</v>
      </c>
      <c r="E17485" s="330" t="s">
        <v>4623</v>
      </c>
      <c r="F17485" s="331">
        <v>0.21</v>
      </c>
      <c r="G17485" s="332">
        <v>14160</v>
      </c>
      <c r="H17485" s="333">
        <v>17134</v>
      </c>
    </row>
    <row r="17486" spans="1:8">
      <c r="A17486" s="317" t="s">
        <v>43370</v>
      </c>
      <c r="B17486" s="330" t="s">
        <v>61838</v>
      </c>
      <c r="C17486" s="330" t="s">
        <v>35735</v>
      </c>
      <c r="D17486" s="330" t="s">
        <v>35736</v>
      </c>
      <c r="E17486" s="330" t="s">
        <v>37248</v>
      </c>
      <c r="F17486" s="331">
        <v>0.21</v>
      </c>
      <c r="G17486" s="332">
        <v>62294</v>
      </c>
      <c r="H17486" s="333">
        <v>75376</v>
      </c>
    </row>
    <row r="17487" spans="1:8">
      <c r="A17487" s="317" t="s">
        <v>43371</v>
      </c>
      <c r="B17487" s="330" t="s">
        <v>61839</v>
      </c>
      <c r="C17487" s="330" t="s">
        <v>35737</v>
      </c>
      <c r="D17487" s="330" t="s">
        <v>35738</v>
      </c>
      <c r="E17487" s="330" t="s">
        <v>4634</v>
      </c>
      <c r="F17487" s="331">
        <v>0.21</v>
      </c>
      <c r="G17487" s="332">
        <v>47031</v>
      </c>
      <c r="H17487" s="333">
        <v>56908</v>
      </c>
    </row>
    <row r="17488" spans="1:8">
      <c r="A17488" s="317" t="s">
        <v>43372</v>
      </c>
      <c r="B17488" s="330" t="s">
        <v>61840</v>
      </c>
      <c r="C17488" s="330" t="s">
        <v>35739</v>
      </c>
      <c r="D17488" s="330" t="s">
        <v>35740</v>
      </c>
      <c r="E17488" s="330" t="s">
        <v>4634</v>
      </c>
      <c r="F17488" s="331">
        <v>0.21</v>
      </c>
      <c r="G17488" s="332">
        <v>28270</v>
      </c>
      <c r="H17488" s="333">
        <v>34207</v>
      </c>
    </row>
    <row r="17489" spans="1:8">
      <c r="A17489" s="317" t="s">
        <v>43373</v>
      </c>
      <c r="B17489" s="330" t="s">
        <v>61841</v>
      </c>
      <c r="C17489" s="330" t="s">
        <v>35741</v>
      </c>
      <c r="D17489" s="330" t="s">
        <v>35742</v>
      </c>
      <c r="E17489" s="330" t="s">
        <v>4819</v>
      </c>
      <c r="F17489" s="331">
        <v>0.21</v>
      </c>
      <c r="G17489" s="332">
        <v>70356</v>
      </c>
      <c r="H17489" s="333">
        <v>85131</v>
      </c>
    </row>
    <row r="17490" spans="1:8">
      <c r="A17490" s="317" t="s">
        <v>43374</v>
      </c>
      <c r="B17490" s="330" t="s">
        <v>61842</v>
      </c>
      <c r="C17490" s="330" t="s">
        <v>35743</v>
      </c>
      <c r="D17490" s="330" t="s">
        <v>29044</v>
      </c>
      <c r="E17490" s="330" t="s">
        <v>4819</v>
      </c>
      <c r="F17490" s="331">
        <v>0.21</v>
      </c>
      <c r="G17490" s="332">
        <v>63190</v>
      </c>
      <c r="H17490" s="333">
        <v>76460</v>
      </c>
    </row>
    <row r="17491" spans="1:8">
      <c r="A17491" s="317" t="s">
        <v>43375</v>
      </c>
      <c r="B17491" s="330" t="s">
        <v>61843</v>
      </c>
      <c r="C17491" s="330" t="s">
        <v>35744</v>
      </c>
      <c r="D17491" s="330" t="s">
        <v>35745</v>
      </c>
      <c r="E17491" s="330" t="s">
        <v>37248</v>
      </c>
      <c r="F17491" s="331">
        <v>0.21</v>
      </c>
      <c r="G17491" s="332">
        <v>27005</v>
      </c>
      <c r="H17491" s="333">
        <v>32677</v>
      </c>
    </row>
    <row r="17492" spans="1:8">
      <c r="A17492" s="317" t="s">
        <v>43376</v>
      </c>
      <c r="B17492" s="330" t="s">
        <v>61844</v>
      </c>
      <c r="C17492" s="330" t="s">
        <v>35746</v>
      </c>
      <c r="D17492" s="330" t="s">
        <v>35747</v>
      </c>
      <c r="E17492" s="330" t="s">
        <v>37248</v>
      </c>
      <c r="F17492" s="331">
        <v>0.21</v>
      </c>
      <c r="G17492" s="332">
        <v>44825</v>
      </c>
      <c r="H17492" s="333">
        <v>54239</v>
      </c>
    </row>
    <row r="17493" spans="1:8">
      <c r="A17493" s="317" t="s">
        <v>43377</v>
      </c>
      <c r="B17493" s="330" t="s">
        <v>61845</v>
      </c>
      <c r="C17493" s="330" t="s">
        <v>35748</v>
      </c>
      <c r="D17493" s="330" t="s">
        <v>35749</v>
      </c>
      <c r="E17493" s="330" t="s">
        <v>4634</v>
      </c>
      <c r="F17493" s="331">
        <v>0.21</v>
      </c>
      <c r="G17493" s="332">
        <v>44450</v>
      </c>
      <c r="H17493" s="333">
        <v>53785</v>
      </c>
    </row>
    <row r="17494" spans="1:8">
      <c r="A17494" s="317" t="s">
        <v>43378</v>
      </c>
      <c r="B17494" s="330" t="s">
        <v>61846</v>
      </c>
      <c r="C17494" s="330" t="s">
        <v>35750</v>
      </c>
      <c r="D17494" s="330" t="s">
        <v>35751</v>
      </c>
      <c r="E17494" s="330" t="s">
        <v>37248</v>
      </c>
      <c r="F17494" s="331">
        <v>0.21</v>
      </c>
      <c r="G17494" s="332">
        <v>16530</v>
      </c>
      <c r="H17494" s="333">
        <v>20002</v>
      </c>
    </row>
    <row r="17495" spans="1:8">
      <c r="A17495" s="317" t="s">
        <v>43379</v>
      </c>
      <c r="B17495" s="330" t="s">
        <v>61847</v>
      </c>
      <c r="C17495" s="330" t="s">
        <v>35752</v>
      </c>
      <c r="D17495" s="330" t="s">
        <v>35753</v>
      </c>
      <c r="E17495" s="330" t="s">
        <v>37248</v>
      </c>
      <c r="F17495" s="331">
        <v>0.21</v>
      </c>
      <c r="G17495" s="332">
        <v>32736</v>
      </c>
      <c r="H17495" s="333">
        <v>39611</v>
      </c>
    </row>
    <row r="17496" spans="1:8">
      <c r="A17496" s="317" t="s">
        <v>43380</v>
      </c>
      <c r="B17496" s="330" t="s">
        <v>61848</v>
      </c>
      <c r="C17496" s="330" t="s">
        <v>35754</v>
      </c>
      <c r="D17496" s="330" t="s">
        <v>35755</v>
      </c>
      <c r="E17496" s="330" t="s">
        <v>37248</v>
      </c>
      <c r="F17496" s="331">
        <v>0.21</v>
      </c>
      <c r="G17496" s="332">
        <v>21238</v>
      </c>
      <c r="H17496" s="333">
        <v>25698</v>
      </c>
    </row>
    <row r="17497" spans="1:8">
      <c r="A17497" s="317" t="s">
        <v>43381</v>
      </c>
      <c r="B17497" s="330" t="s">
        <v>61849</v>
      </c>
      <c r="C17497" s="330" t="s">
        <v>35756</v>
      </c>
      <c r="D17497" s="330" t="s">
        <v>35757</v>
      </c>
      <c r="E17497" s="330" t="s">
        <v>37248</v>
      </c>
      <c r="F17497" s="331">
        <v>0.21</v>
      </c>
      <c r="G17497" s="332">
        <v>15704</v>
      </c>
      <c r="H17497" s="333">
        <v>19002</v>
      </c>
    </row>
    <row r="17498" spans="1:8">
      <c r="A17498" s="317" t="s">
        <v>43382</v>
      </c>
      <c r="B17498" s="330" t="s">
        <v>61850</v>
      </c>
      <c r="C17498" s="330" t="s">
        <v>35758</v>
      </c>
      <c r="D17498" s="330" t="s">
        <v>35759</v>
      </c>
      <c r="E17498" s="330" t="s">
        <v>4819</v>
      </c>
      <c r="F17498" s="331">
        <v>0.21</v>
      </c>
      <c r="G17498" s="332">
        <v>21792</v>
      </c>
      <c r="H17498" s="333">
        <v>26369</v>
      </c>
    </row>
    <row r="17499" spans="1:8">
      <c r="A17499" s="317" t="s">
        <v>43383</v>
      </c>
      <c r="B17499" s="330" t="s">
        <v>61851</v>
      </c>
      <c r="C17499" s="330" t="s">
        <v>35760</v>
      </c>
      <c r="D17499" s="330" t="s">
        <v>35761</v>
      </c>
      <c r="E17499" s="330" t="s">
        <v>37248</v>
      </c>
      <c r="F17499" s="331">
        <v>0.21</v>
      </c>
      <c r="G17499" s="332">
        <v>40407</v>
      </c>
      <c r="H17499" s="333">
        <v>48893</v>
      </c>
    </row>
    <row r="17500" spans="1:8">
      <c r="A17500" s="317" t="s">
        <v>43384</v>
      </c>
      <c r="B17500" s="330" t="s">
        <v>61852</v>
      </c>
      <c r="C17500" s="330" t="s">
        <v>35762</v>
      </c>
      <c r="D17500" s="330" t="s">
        <v>35763</v>
      </c>
      <c r="E17500" s="330" t="s">
        <v>4623</v>
      </c>
      <c r="F17500" s="331">
        <v>0.21</v>
      </c>
      <c r="G17500" s="332">
        <v>24766</v>
      </c>
      <c r="H17500" s="333">
        <v>29967</v>
      </c>
    </row>
    <row r="17501" spans="1:8">
      <c r="A17501" s="317" t="s">
        <v>43385</v>
      </c>
      <c r="B17501" s="330" t="s">
        <v>61853</v>
      </c>
      <c r="C17501" s="330" t="s">
        <v>35764</v>
      </c>
      <c r="D17501" s="330" t="s">
        <v>35765</v>
      </c>
      <c r="E17501" s="330" t="s">
        <v>37248</v>
      </c>
      <c r="F17501" s="331">
        <v>0.21</v>
      </c>
      <c r="G17501" s="332">
        <v>13261</v>
      </c>
      <c r="H17501" s="333">
        <v>16046</v>
      </c>
    </row>
    <row r="17502" spans="1:8">
      <c r="A17502" s="317" t="s">
        <v>43386</v>
      </c>
      <c r="B17502" s="330" t="s">
        <v>61854</v>
      </c>
      <c r="C17502" s="330" t="s">
        <v>35766</v>
      </c>
      <c r="D17502" s="330" t="s">
        <v>9137</v>
      </c>
      <c r="E17502" s="330" t="s">
        <v>37248</v>
      </c>
      <c r="F17502" s="331">
        <v>0.21</v>
      </c>
      <c r="G17502" s="332">
        <v>24043</v>
      </c>
      <c r="H17502" s="333">
        <v>29093</v>
      </c>
    </row>
    <row r="17503" spans="1:8">
      <c r="A17503" s="317" t="s">
        <v>43387</v>
      </c>
      <c r="B17503" s="330" t="s">
        <v>61855</v>
      </c>
      <c r="C17503" s="330" t="s">
        <v>35767</v>
      </c>
      <c r="D17503" s="330" t="s">
        <v>35768</v>
      </c>
      <c r="E17503" s="330" t="s">
        <v>37248</v>
      </c>
      <c r="F17503" s="331">
        <v>0.21</v>
      </c>
      <c r="G17503" s="332">
        <v>53277</v>
      </c>
      <c r="H17503" s="333">
        <v>64466</v>
      </c>
    </row>
    <row r="17504" spans="1:8">
      <c r="A17504" s="317" t="s">
        <v>43388</v>
      </c>
      <c r="B17504" s="330" t="s">
        <v>61856</v>
      </c>
      <c r="C17504" s="330" t="s">
        <v>35769</v>
      </c>
      <c r="D17504" s="330" t="s">
        <v>35770</v>
      </c>
      <c r="E17504" s="330" t="s">
        <v>4634</v>
      </c>
      <c r="F17504" s="331">
        <v>0.21</v>
      </c>
      <c r="G17504" s="332">
        <v>2875</v>
      </c>
      <c r="H17504" s="333">
        <v>3479</v>
      </c>
    </row>
    <row r="17505" spans="1:8">
      <c r="A17505" s="317" t="s">
        <v>43389</v>
      </c>
      <c r="B17505" s="330" t="s">
        <v>61857</v>
      </c>
      <c r="C17505" s="330" t="s">
        <v>35771</v>
      </c>
      <c r="D17505" s="330" t="s">
        <v>35772</v>
      </c>
      <c r="E17505" s="330" t="s">
        <v>4634</v>
      </c>
      <c r="F17505" s="331">
        <v>0.21</v>
      </c>
      <c r="G17505" s="332">
        <v>1692</v>
      </c>
      <c r="H17505" s="333">
        <v>2048</v>
      </c>
    </row>
    <row r="17506" spans="1:8">
      <c r="A17506" s="317" t="s">
        <v>43390</v>
      </c>
      <c r="B17506" s="330" t="s">
        <v>61858</v>
      </c>
      <c r="C17506" s="330" t="s">
        <v>35773</v>
      </c>
      <c r="D17506" s="330" t="s">
        <v>35774</v>
      </c>
      <c r="E17506" s="330" t="s">
        <v>4634</v>
      </c>
      <c r="F17506" s="331">
        <v>0.21</v>
      </c>
      <c r="G17506" s="332">
        <v>7031</v>
      </c>
      <c r="H17506" s="333">
        <v>8508</v>
      </c>
    </row>
    <row r="17507" spans="1:8">
      <c r="A17507" s="317" t="s">
        <v>43391</v>
      </c>
      <c r="B17507" s="330" t="s">
        <v>61859</v>
      </c>
      <c r="C17507" s="330" t="s">
        <v>35775</v>
      </c>
      <c r="D17507" s="330" t="s">
        <v>35776</v>
      </c>
      <c r="E17507" s="330" t="s">
        <v>4634</v>
      </c>
      <c r="F17507" s="331">
        <v>0.21</v>
      </c>
      <c r="G17507" s="332">
        <v>7647</v>
      </c>
      <c r="H17507" s="333">
        <v>9253</v>
      </c>
    </row>
    <row r="17508" spans="1:8">
      <c r="A17508" s="317" t="s">
        <v>43392</v>
      </c>
      <c r="B17508" s="330" t="s">
        <v>61860</v>
      </c>
      <c r="C17508" s="330" t="s">
        <v>35777</v>
      </c>
      <c r="D17508" s="330" t="s">
        <v>35778</v>
      </c>
      <c r="E17508" s="330" t="s">
        <v>4634</v>
      </c>
      <c r="F17508" s="331">
        <v>0.21</v>
      </c>
      <c r="G17508" s="332">
        <v>6063</v>
      </c>
      <c r="H17508" s="333">
        <v>7337</v>
      </c>
    </row>
    <row r="17509" spans="1:8">
      <c r="A17509" s="317" t="s">
        <v>43393</v>
      </c>
      <c r="B17509" s="330" t="s">
        <v>61861</v>
      </c>
      <c r="C17509" s="330" t="s">
        <v>35779</v>
      </c>
      <c r="D17509" s="330" t="s">
        <v>35780</v>
      </c>
      <c r="E17509" s="330" t="s">
        <v>4634</v>
      </c>
      <c r="F17509" s="331">
        <v>0.21</v>
      </c>
      <c r="G17509" s="332">
        <v>3395</v>
      </c>
      <c r="H17509" s="333">
        <v>4108</v>
      </c>
    </row>
    <row r="17510" spans="1:8">
      <c r="A17510" s="317" t="s">
        <v>43394</v>
      </c>
      <c r="B17510" s="330" t="s">
        <v>61862</v>
      </c>
      <c r="C17510" s="330" t="s">
        <v>35781</v>
      </c>
      <c r="D17510" s="330" t="s">
        <v>35782</v>
      </c>
      <c r="E17510" s="330" t="s">
        <v>37248</v>
      </c>
      <c r="F17510" s="331">
        <v>0.21</v>
      </c>
      <c r="G17510" s="332">
        <v>1837</v>
      </c>
      <c r="H17510" s="333">
        <v>2223</v>
      </c>
    </row>
    <row r="17511" spans="1:8">
      <c r="A17511" s="317" t="s">
        <v>43395</v>
      </c>
      <c r="B17511" s="330" t="s">
        <v>61863</v>
      </c>
      <c r="C17511" s="330" t="s">
        <v>35783</v>
      </c>
      <c r="D17511" s="330" t="s">
        <v>35784</v>
      </c>
      <c r="E17511" s="330" t="s">
        <v>4634</v>
      </c>
      <c r="F17511" s="331">
        <v>0.21</v>
      </c>
      <c r="G17511" s="332">
        <v>2261</v>
      </c>
      <c r="H17511" s="333">
        <v>2736</v>
      </c>
    </row>
    <row r="17512" spans="1:8">
      <c r="A17512" s="317" t="s">
        <v>43396</v>
      </c>
      <c r="B17512" s="330" t="s">
        <v>61864</v>
      </c>
      <c r="C17512" s="330" t="s">
        <v>35785</v>
      </c>
      <c r="D17512" s="330" t="s">
        <v>35786</v>
      </c>
      <c r="E17512" s="330" t="s">
        <v>37248</v>
      </c>
      <c r="F17512" s="331">
        <v>0.21</v>
      </c>
      <c r="G17512" s="332">
        <v>9326</v>
      </c>
      <c r="H17512" s="333">
        <v>11285</v>
      </c>
    </row>
    <row r="17513" spans="1:8">
      <c r="A17513" s="317" t="s">
        <v>43397</v>
      </c>
      <c r="B17513" s="330" t="s">
        <v>61865</v>
      </c>
      <c r="C17513" s="330" t="s">
        <v>35787</v>
      </c>
      <c r="D17513" s="330" t="s">
        <v>35788</v>
      </c>
      <c r="E17513" s="330" t="s">
        <v>4634</v>
      </c>
      <c r="F17513" s="331">
        <v>0.21</v>
      </c>
      <c r="G17513" s="332">
        <v>22242</v>
      </c>
      <c r="H17513" s="333">
        <v>26913</v>
      </c>
    </row>
    <row r="17514" spans="1:8">
      <c r="A17514" s="317" t="s">
        <v>43398</v>
      </c>
      <c r="B17514" s="330" t="s">
        <v>61866</v>
      </c>
      <c r="C17514" s="330" t="s">
        <v>35789</v>
      </c>
      <c r="D17514" s="330" t="s">
        <v>35790</v>
      </c>
      <c r="E17514" s="330" t="s">
        <v>4819</v>
      </c>
      <c r="F17514" s="331">
        <v>0.21</v>
      </c>
      <c r="G17514" s="332">
        <v>1396</v>
      </c>
      <c r="H17514" s="333">
        <v>1690</v>
      </c>
    </row>
    <row r="17515" spans="1:8">
      <c r="A17515" s="317" t="s">
        <v>43399</v>
      </c>
      <c r="B17515" s="330" t="s">
        <v>61867</v>
      </c>
      <c r="C17515" s="330" t="s">
        <v>35791</v>
      </c>
      <c r="D17515" s="330" t="s">
        <v>35792</v>
      </c>
      <c r="E17515" s="330" t="s">
        <v>4634</v>
      </c>
      <c r="F17515" s="331">
        <v>0.21</v>
      </c>
      <c r="G17515" s="332">
        <v>9021</v>
      </c>
      <c r="H17515" s="333">
        <v>10916</v>
      </c>
    </row>
    <row r="17516" spans="1:8">
      <c r="A17516" s="317" t="s">
        <v>43400</v>
      </c>
      <c r="B17516" s="330" t="s">
        <v>61868</v>
      </c>
      <c r="C17516" s="330" t="s">
        <v>35793</v>
      </c>
      <c r="D17516" s="330" t="s">
        <v>8273</v>
      </c>
      <c r="E17516" s="330" t="s">
        <v>4623</v>
      </c>
      <c r="F17516" s="331">
        <v>0.21</v>
      </c>
      <c r="G17516" s="332">
        <v>6351</v>
      </c>
      <c r="H17516" s="333">
        <v>7685</v>
      </c>
    </row>
    <row r="17517" spans="1:8">
      <c r="A17517" s="317" t="s">
        <v>43401</v>
      </c>
      <c r="B17517" s="330" t="s">
        <v>61869</v>
      </c>
      <c r="C17517" s="330" t="s">
        <v>35794</v>
      </c>
      <c r="D17517" s="330" t="s">
        <v>35795</v>
      </c>
      <c r="E17517" s="330" t="s">
        <v>4819</v>
      </c>
      <c r="F17517" s="331">
        <v>0.21</v>
      </c>
      <c r="G17517" s="332">
        <v>1610</v>
      </c>
      <c r="H17517" s="333">
        <v>1949</v>
      </c>
    </row>
    <row r="17518" spans="1:8">
      <c r="A17518" s="317" t="s">
        <v>43402</v>
      </c>
      <c r="B17518" s="330" t="s">
        <v>61870</v>
      </c>
      <c r="C17518" s="330" t="s">
        <v>35796</v>
      </c>
      <c r="D17518" s="330" t="s">
        <v>35797</v>
      </c>
      <c r="E17518" s="330" t="s">
        <v>37248</v>
      </c>
      <c r="F17518" s="331">
        <v>0.21</v>
      </c>
      <c r="G17518" s="332">
        <v>1744</v>
      </c>
      <c r="H17518" s="333">
        <v>2111</v>
      </c>
    </row>
    <row r="17519" spans="1:8">
      <c r="A17519" s="317" t="s">
        <v>43403</v>
      </c>
      <c r="B17519" s="330" t="s">
        <v>61871</v>
      </c>
      <c r="C17519" s="330" t="s">
        <v>35798</v>
      </c>
      <c r="D17519" s="330" t="s">
        <v>35799</v>
      </c>
      <c r="E17519" s="330" t="s">
        <v>4634</v>
      </c>
      <c r="F17519" s="331">
        <v>0.21</v>
      </c>
      <c r="G17519" s="332">
        <v>1233</v>
      </c>
      <c r="H17519" s="333">
        <v>1492</v>
      </c>
    </row>
    <row r="17520" spans="1:8">
      <c r="A17520" s="317" t="s">
        <v>43404</v>
      </c>
      <c r="B17520" s="330" t="s">
        <v>61872</v>
      </c>
      <c r="C17520" s="330" t="s">
        <v>35800</v>
      </c>
      <c r="D17520" s="330" t="s">
        <v>35801</v>
      </c>
      <c r="E17520" s="330" t="s">
        <v>4634</v>
      </c>
      <c r="F17520" s="331">
        <v>0.21</v>
      </c>
      <c r="G17520" s="332">
        <v>2875</v>
      </c>
      <c r="H17520" s="333">
        <v>3479</v>
      </c>
    </row>
    <row r="17521" spans="1:8">
      <c r="A17521" s="317" t="s">
        <v>43405</v>
      </c>
      <c r="B17521" s="330" t="s">
        <v>61873</v>
      </c>
      <c r="C17521" s="330" t="s">
        <v>35802</v>
      </c>
      <c r="D17521" s="330" t="s">
        <v>35803</v>
      </c>
      <c r="E17521" s="330" t="s">
        <v>37248</v>
      </c>
      <c r="F17521" s="331">
        <v>0.21</v>
      </c>
      <c r="G17521" s="332">
        <v>10836</v>
      </c>
      <c r="H17521" s="333">
        <v>13112</v>
      </c>
    </row>
    <row r="17522" spans="1:8">
      <c r="A17522" s="317" t="s">
        <v>43406</v>
      </c>
      <c r="B17522" s="330" t="s">
        <v>61874</v>
      </c>
      <c r="C17522" s="330" t="s">
        <v>35804</v>
      </c>
      <c r="D17522" s="330" t="s">
        <v>35805</v>
      </c>
      <c r="E17522" s="330" t="s">
        <v>37248</v>
      </c>
      <c r="F17522" s="331">
        <v>0.21</v>
      </c>
      <c r="G17522" s="332">
        <v>17080</v>
      </c>
      <c r="H17522" s="333">
        <v>20667</v>
      </c>
    </row>
    <row r="17523" spans="1:8">
      <c r="A17523" s="317" t="s">
        <v>43407</v>
      </c>
      <c r="B17523" s="330" t="s">
        <v>61875</v>
      </c>
      <c r="C17523" s="330" t="s">
        <v>35806</v>
      </c>
      <c r="D17523" s="330" t="s">
        <v>35807</v>
      </c>
      <c r="E17523" s="330" t="s">
        <v>4634</v>
      </c>
      <c r="F17523" s="331">
        <v>0.21</v>
      </c>
      <c r="G17523" s="332">
        <v>7142</v>
      </c>
      <c r="H17523" s="333">
        <v>8642</v>
      </c>
    </row>
    <row r="17524" spans="1:8">
      <c r="A17524" s="317" t="s">
        <v>43408</v>
      </c>
      <c r="B17524" s="330" t="s">
        <v>61876</v>
      </c>
      <c r="C17524" s="330" t="s">
        <v>35808</v>
      </c>
      <c r="D17524" s="330" t="s">
        <v>35809</v>
      </c>
      <c r="E17524" s="330" t="s">
        <v>4634</v>
      </c>
      <c r="F17524" s="331">
        <v>0.21</v>
      </c>
      <c r="G17524" s="332">
        <v>3642</v>
      </c>
      <c r="H17524" s="333">
        <v>4407</v>
      </c>
    </row>
    <row r="17525" spans="1:8">
      <c r="A17525" s="317" t="s">
        <v>43409</v>
      </c>
      <c r="B17525" s="330" t="s">
        <v>61877</v>
      </c>
      <c r="C17525" s="330" t="s">
        <v>35810</v>
      </c>
      <c r="D17525" s="330" t="s">
        <v>35811</v>
      </c>
      <c r="E17525" s="330" t="s">
        <v>4634</v>
      </c>
      <c r="F17525" s="331">
        <v>0.21</v>
      </c>
      <c r="G17525" s="332">
        <v>36840</v>
      </c>
      <c r="H17525" s="333">
        <v>44577</v>
      </c>
    </row>
    <row r="17526" spans="1:8">
      <c r="A17526" s="317" t="s">
        <v>43410</v>
      </c>
      <c r="B17526" s="330" t="s">
        <v>61878</v>
      </c>
      <c r="C17526" s="330" t="s">
        <v>35812</v>
      </c>
      <c r="D17526" s="330" t="s">
        <v>35813</v>
      </c>
      <c r="E17526" s="330" t="s">
        <v>4634</v>
      </c>
      <c r="F17526" s="331">
        <v>0.21</v>
      </c>
      <c r="G17526" s="332">
        <v>7182</v>
      </c>
      <c r="H17526" s="333">
        <v>8691</v>
      </c>
    </row>
    <row r="17527" spans="1:8">
      <c r="A17527" s="317" t="s">
        <v>43411</v>
      </c>
      <c r="B17527" s="330" t="s">
        <v>61879</v>
      </c>
      <c r="C17527" s="330" t="s">
        <v>35814</v>
      </c>
      <c r="D17527" s="330" t="s">
        <v>35815</v>
      </c>
      <c r="E17527" s="330" t="s">
        <v>37248</v>
      </c>
      <c r="F17527" s="331">
        <v>0.21</v>
      </c>
      <c r="G17527" s="332">
        <v>17049</v>
      </c>
      <c r="H17527" s="333">
        <v>20630</v>
      </c>
    </row>
    <row r="17528" spans="1:8">
      <c r="A17528" s="317" t="s">
        <v>43412</v>
      </c>
      <c r="B17528" s="330" t="s">
        <v>61880</v>
      </c>
      <c r="C17528" s="330" t="s">
        <v>35816</v>
      </c>
      <c r="D17528" s="330" t="s">
        <v>35817</v>
      </c>
      <c r="E17528" s="330" t="s">
        <v>4634</v>
      </c>
      <c r="F17528" s="331">
        <v>0.21</v>
      </c>
      <c r="G17528" s="332">
        <v>2161</v>
      </c>
      <c r="H17528" s="333">
        <v>2615</v>
      </c>
    </row>
    <row r="17529" spans="1:8">
      <c r="A17529" s="317" t="s">
        <v>43413</v>
      </c>
      <c r="B17529" s="330" t="s">
        <v>61881</v>
      </c>
      <c r="C17529" s="330" t="s">
        <v>35818</v>
      </c>
      <c r="D17529" s="330" t="s">
        <v>35819</v>
      </c>
      <c r="E17529" s="330" t="s">
        <v>4634</v>
      </c>
      <c r="F17529" s="331">
        <v>0.21</v>
      </c>
      <c r="G17529" s="332">
        <v>2330</v>
      </c>
      <c r="H17529" s="333">
        <v>2820</v>
      </c>
    </row>
    <row r="17530" spans="1:8">
      <c r="A17530" s="317" t="s">
        <v>43414</v>
      </c>
      <c r="B17530" s="330" t="s">
        <v>61882</v>
      </c>
      <c r="C17530" s="330" t="s">
        <v>35820</v>
      </c>
      <c r="D17530" s="330" t="s">
        <v>35821</v>
      </c>
      <c r="E17530" s="330" t="s">
        <v>4634</v>
      </c>
      <c r="F17530" s="331">
        <v>0.21</v>
      </c>
      <c r="G17530" s="332">
        <v>8726</v>
      </c>
      <c r="H17530" s="333">
        <v>10559</v>
      </c>
    </row>
    <row r="17531" spans="1:8">
      <c r="A17531" s="317" t="s">
        <v>43415</v>
      </c>
      <c r="B17531" s="330" t="s">
        <v>61883</v>
      </c>
      <c r="C17531" s="330" t="s">
        <v>35822</v>
      </c>
      <c r="D17531" s="330" t="s">
        <v>35823</v>
      </c>
      <c r="E17531" s="330" t="s">
        <v>4634</v>
      </c>
      <c r="F17531" s="331">
        <v>0.21</v>
      </c>
      <c r="G17531" s="332">
        <v>5175</v>
      </c>
      <c r="H17531" s="333">
        <v>6262</v>
      </c>
    </row>
    <row r="17532" spans="1:8">
      <c r="A17532" s="317" t="s">
        <v>43416</v>
      </c>
      <c r="B17532" s="330" t="s">
        <v>61884</v>
      </c>
      <c r="C17532" s="330" t="s">
        <v>35824</v>
      </c>
      <c r="D17532" s="330" t="s">
        <v>35825</v>
      </c>
      <c r="E17532" s="330" t="s">
        <v>4634</v>
      </c>
      <c r="F17532" s="331">
        <v>0.21</v>
      </c>
      <c r="G17532" s="332">
        <v>377</v>
      </c>
      <c r="H17532" s="333">
        <v>457</v>
      </c>
    </row>
    <row r="17533" spans="1:8">
      <c r="A17533" s="317" t="s">
        <v>43417</v>
      </c>
      <c r="B17533" s="330" t="s">
        <v>61885</v>
      </c>
      <c r="C17533" s="330" t="s">
        <v>35826</v>
      </c>
      <c r="D17533" s="330" t="s">
        <v>35827</v>
      </c>
      <c r="E17533" s="330" t="s">
        <v>37248</v>
      </c>
      <c r="F17533" s="331">
        <v>0.21</v>
      </c>
      <c r="G17533" s="332">
        <v>10698</v>
      </c>
      <c r="H17533" s="333">
        <v>12945</v>
      </c>
    </row>
    <row r="17534" spans="1:8">
      <c r="A17534" s="317" t="s">
        <v>43418</v>
      </c>
      <c r="B17534" s="330" t="s">
        <v>61886</v>
      </c>
      <c r="C17534" s="330" t="s">
        <v>35828</v>
      </c>
      <c r="D17534" s="330" t="s">
        <v>35829</v>
      </c>
      <c r="E17534" s="330" t="s">
        <v>4819</v>
      </c>
      <c r="F17534" s="331">
        <v>0.21</v>
      </c>
      <c r="G17534" s="332">
        <v>25024</v>
      </c>
      <c r="H17534" s="333">
        <v>30280</v>
      </c>
    </row>
    <row r="17535" spans="1:8">
      <c r="A17535" s="317" t="s">
        <v>43419</v>
      </c>
      <c r="B17535" s="330" t="s">
        <v>61887</v>
      </c>
      <c r="C17535" s="330" t="s">
        <v>35830</v>
      </c>
      <c r="D17535" s="330" t="s">
        <v>35831</v>
      </c>
      <c r="E17535" s="330" t="s">
        <v>4634</v>
      </c>
      <c r="F17535" s="331">
        <v>0.21</v>
      </c>
      <c r="G17535" s="332">
        <v>285</v>
      </c>
      <c r="H17535" s="333">
        <v>345</v>
      </c>
    </row>
    <row r="17536" spans="1:8">
      <c r="A17536" s="317" t="s">
        <v>43420</v>
      </c>
      <c r="B17536" s="330" t="s">
        <v>61888</v>
      </c>
      <c r="C17536" s="330" t="s">
        <v>35832</v>
      </c>
      <c r="D17536" s="330" t="s">
        <v>35833</v>
      </c>
      <c r="E17536" s="330" t="s">
        <v>37248</v>
      </c>
      <c r="F17536" s="331">
        <v>0.21</v>
      </c>
      <c r="G17536" s="332">
        <v>15521</v>
      </c>
      <c r="H17536" s="333">
        <v>18781</v>
      </c>
    </row>
    <row r="17537" spans="1:8">
      <c r="A17537" s="317" t="s">
        <v>43421</v>
      </c>
      <c r="B17537" s="330" t="s">
        <v>61889</v>
      </c>
      <c r="C17537" s="330" t="s">
        <v>35834</v>
      </c>
      <c r="D17537" s="330" t="s">
        <v>35835</v>
      </c>
      <c r="E17537" s="330" t="s">
        <v>37248</v>
      </c>
      <c r="F17537" s="331">
        <v>0.21</v>
      </c>
      <c r="G17537" s="332">
        <v>10962</v>
      </c>
      <c r="H17537" s="333">
        <v>13265</v>
      </c>
    </row>
    <row r="17538" spans="1:8">
      <c r="A17538" s="317" t="s">
        <v>43422</v>
      </c>
      <c r="B17538" s="330" t="s">
        <v>61890</v>
      </c>
      <c r="C17538" s="330" t="s">
        <v>35836</v>
      </c>
      <c r="D17538" s="330" t="s">
        <v>35837</v>
      </c>
      <c r="E17538" s="330" t="s">
        <v>4634</v>
      </c>
      <c r="F17538" s="331">
        <v>0.21</v>
      </c>
      <c r="G17538" s="332">
        <v>5456</v>
      </c>
      <c r="H17538" s="333">
        <v>6602</v>
      </c>
    </row>
    <row r="17539" spans="1:8">
      <c r="A17539" s="317" t="s">
        <v>43423</v>
      </c>
      <c r="B17539" s="330" t="s">
        <v>61891</v>
      </c>
      <c r="C17539" s="330" t="s">
        <v>35838</v>
      </c>
      <c r="D17539" s="330" t="s">
        <v>35839</v>
      </c>
      <c r="E17539" s="330" t="s">
        <v>4634</v>
      </c>
      <c r="F17539" s="331">
        <v>0.21</v>
      </c>
      <c r="G17539" s="332">
        <v>823</v>
      </c>
      <c r="H17539" s="333">
        <v>996</v>
      </c>
    </row>
    <row r="17540" spans="1:8">
      <c r="A17540" s="317" t="s">
        <v>43424</v>
      </c>
      <c r="B17540" s="330" t="s">
        <v>61892</v>
      </c>
      <c r="C17540" s="330" t="s">
        <v>35840</v>
      </c>
      <c r="D17540" s="330" t="s">
        <v>35841</v>
      </c>
      <c r="E17540" s="330" t="s">
        <v>4819</v>
      </c>
      <c r="F17540" s="331">
        <v>0.21</v>
      </c>
      <c r="G17540" s="332">
        <v>23336</v>
      </c>
      <c r="H17540" s="333">
        <v>28237</v>
      </c>
    </row>
    <row r="17541" spans="1:8">
      <c r="A17541" s="317" t="s">
        <v>43425</v>
      </c>
      <c r="B17541" s="330" t="s">
        <v>61893</v>
      </c>
      <c r="C17541" s="330" t="s">
        <v>35842</v>
      </c>
      <c r="D17541" s="330" t="s">
        <v>35843</v>
      </c>
      <c r="E17541" s="330" t="s">
        <v>37248</v>
      </c>
      <c r="F17541" s="331">
        <v>0.21</v>
      </c>
      <c r="G17541" s="332">
        <v>18283</v>
      </c>
      <c r="H17541" s="333">
        <v>22123</v>
      </c>
    </row>
    <row r="17542" spans="1:8">
      <c r="A17542" s="317" t="s">
        <v>43426</v>
      </c>
      <c r="B17542" s="330" t="s">
        <v>61894</v>
      </c>
      <c r="C17542" s="330" t="s">
        <v>35844</v>
      </c>
      <c r="D17542" s="330" t="s">
        <v>35845</v>
      </c>
      <c r="E17542" s="330" t="s">
        <v>37248</v>
      </c>
      <c r="F17542" s="331">
        <v>0.21</v>
      </c>
      <c r="G17542" s="332">
        <v>9623</v>
      </c>
      <c r="H17542" s="333">
        <v>11644</v>
      </c>
    </row>
    <row r="17543" spans="1:8">
      <c r="A17543" s="317" t="s">
        <v>43427</v>
      </c>
      <c r="B17543" s="330" t="s">
        <v>61895</v>
      </c>
      <c r="C17543" s="330" t="s">
        <v>35846</v>
      </c>
      <c r="D17543" s="330" t="s">
        <v>35847</v>
      </c>
      <c r="E17543" s="330" t="s">
        <v>4634</v>
      </c>
      <c r="F17543" s="331">
        <v>0.21</v>
      </c>
      <c r="G17543" s="332">
        <v>1119</v>
      </c>
      <c r="H17543" s="333">
        <v>1354</v>
      </c>
    </row>
    <row r="17544" spans="1:8">
      <c r="A17544" s="317" t="s">
        <v>43428</v>
      </c>
      <c r="B17544" s="330" t="s">
        <v>61896</v>
      </c>
      <c r="C17544" s="330" t="s">
        <v>35848</v>
      </c>
      <c r="D17544" s="330" t="s">
        <v>35849</v>
      </c>
      <c r="E17544" s="330" t="s">
        <v>4634</v>
      </c>
      <c r="F17544" s="331">
        <v>0.21</v>
      </c>
      <c r="G17544" s="332">
        <v>928</v>
      </c>
      <c r="H17544" s="333">
        <v>1123</v>
      </c>
    </row>
    <row r="17545" spans="1:8">
      <c r="A17545" s="317" t="s">
        <v>43429</v>
      </c>
      <c r="B17545" s="330" t="s">
        <v>61897</v>
      </c>
      <c r="C17545" s="330" t="s">
        <v>35850</v>
      </c>
      <c r="D17545" s="330" t="s">
        <v>35851</v>
      </c>
      <c r="E17545" s="330" t="s">
        <v>4634</v>
      </c>
      <c r="F17545" s="331">
        <v>0.21</v>
      </c>
      <c r="G17545" s="332">
        <v>928</v>
      </c>
      <c r="H17545" s="333">
        <v>1123</v>
      </c>
    </row>
    <row r="17546" spans="1:8">
      <c r="A17546" s="317" t="s">
        <v>43430</v>
      </c>
      <c r="B17546" s="330" t="s">
        <v>61898</v>
      </c>
      <c r="C17546" s="330" t="s">
        <v>35852</v>
      </c>
      <c r="D17546" s="330" t="s">
        <v>35853</v>
      </c>
      <c r="E17546" s="330" t="s">
        <v>4634</v>
      </c>
      <c r="F17546" s="331">
        <v>0.21</v>
      </c>
      <c r="G17546" s="332">
        <v>22258</v>
      </c>
      <c r="H17546" s="333">
        <v>26933</v>
      </c>
    </row>
    <row r="17547" spans="1:8">
      <c r="A17547" s="317" t="s">
        <v>43431</v>
      </c>
      <c r="B17547" s="330" t="s">
        <v>61899</v>
      </c>
      <c r="C17547" s="330" t="s">
        <v>35854</v>
      </c>
      <c r="D17547" s="330" t="s">
        <v>35855</v>
      </c>
      <c r="E17547" s="330" t="s">
        <v>4634</v>
      </c>
      <c r="F17547" s="331">
        <v>0.21</v>
      </c>
      <c r="G17547" s="332">
        <v>4941</v>
      </c>
      <c r="H17547" s="333">
        <v>5979</v>
      </c>
    </row>
    <row r="17548" spans="1:8">
      <c r="A17548" s="317" t="s">
        <v>43432</v>
      </c>
      <c r="B17548" s="330" t="s">
        <v>61900</v>
      </c>
      <c r="C17548" s="330" t="s">
        <v>35856</v>
      </c>
      <c r="D17548" s="330" t="s">
        <v>35857</v>
      </c>
      <c r="E17548" s="330" t="s">
        <v>4634</v>
      </c>
      <c r="F17548" s="331">
        <v>0.21</v>
      </c>
      <c r="G17548" s="332">
        <v>4811</v>
      </c>
      <c r="H17548" s="333">
        <v>5822</v>
      </c>
    </row>
    <row r="17549" spans="1:8">
      <c r="A17549" s="317" t="s">
        <v>43433</v>
      </c>
      <c r="B17549" s="330" t="s">
        <v>61901</v>
      </c>
      <c r="C17549" s="330" t="s">
        <v>35858</v>
      </c>
      <c r="D17549" s="330" t="s">
        <v>35859</v>
      </c>
      <c r="E17549" s="330" t="s">
        <v>4634</v>
      </c>
      <c r="F17549" s="331">
        <v>0.21</v>
      </c>
      <c r="G17549" s="332">
        <v>2038</v>
      </c>
      <c r="H17549" s="333">
        <v>2466</v>
      </c>
    </row>
    <row r="17550" spans="1:8">
      <c r="A17550" s="317" t="s">
        <v>43434</v>
      </c>
      <c r="B17550" s="330" t="s">
        <v>61902</v>
      </c>
      <c r="C17550" s="330" t="s">
        <v>35860</v>
      </c>
      <c r="D17550" s="330" t="s">
        <v>35857</v>
      </c>
      <c r="E17550" s="330" t="s">
        <v>4634</v>
      </c>
      <c r="F17550" s="331">
        <v>0.21</v>
      </c>
      <c r="G17550" s="332">
        <v>18243</v>
      </c>
      <c r="H17550" s="333">
        <v>22075</v>
      </c>
    </row>
    <row r="17551" spans="1:8">
      <c r="A17551" s="317" t="s">
        <v>43435</v>
      </c>
      <c r="B17551" s="330" t="s">
        <v>61903</v>
      </c>
      <c r="C17551" s="330" t="s">
        <v>35861</v>
      </c>
      <c r="D17551" s="330" t="s">
        <v>35862</v>
      </c>
      <c r="E17551" s="330" t="s">
        <v>4634</v>
      </c>
      <c r="F17551" s="331">
        <v>0.21</v>
      </c>
      <c r="G17551" s="332">
        <v>5231</v>
      </c>
      <c r="H17551" s="333">
        <v>6330</v>
      </c>
    </row>
    <row r="17552" spans="1:8">
      <c r="A17552" s="317" t="s">
        <v>43436</v>
      </c>
      <c r="B17552" s="330" t="s">
        <v>61904</v>
      </c>
      <c r="C17552" s="330" t="s">
        <v>35863</v>
      </c>
      <c r="D17552" s="330" t="s">
        <v>35864</v>
      </c>
      <c r="E17552" s="330" t="s">
        <v>4634</v>
      </c>
      <c r="F17552" s="331">
        <v>0.21</v>
      </c>
      <c r="G17552" s="332">
        <v>2146</v>
      </c>
      <c r="H17552" s="333">
        <v>2597</v>
      </c>
    </row>
    <row r="17553" spans="1:8">
      <c r="A17553" s="317" t="s">
        <v>43437</v>
      </c>
      <c r="B17553" s="330" t="s">
        <v>61905</v>
      </c>
      <c r="C17553" s="330" t="s">
        <v>35865</v>
      </c>
      <c r="D17553" s="330" t="s">
        <v>35866</v>
      </c>
      <c r="E17553" s="330" t="s">
        <v>4634</v>
      </c>
      <c r="F17553" s="331">
        <v>0.21</v>
      </c>
      <c r="G17553" s="332">
        <v>47522</v>
      </c>
      <c r="H17553" s="333">
        <v>57502</v>
      </c>
    </row>
    <row r="17554" spans="1:8">
      <c r="A17554" s="317" t="s">
        <v>43438</v>
      </c>
      <c r="B17554" s="330" t="s">
        <v>61906</v>
      </c>
      <c r="C17554" s="330" t="s">
        <v>35867</v>
      </c>
      <c r="D17554" s="330" t="s">
        <v>35868</v>
      </c>
      <c r="E17554" s="330" t="s">
        <v>4634</v>
      </c>
      <c r="F17554" s="331">
        <v>0.21</v>
      </c>
      <c r="G17554" s="332">
        <v>12891</v>
      </c>
      <c r="H17554" s="333">
        <v>15599</v>
      </c>
    </row>
    <row r="17555" spans="1:8">
      <c r="A17555" s="317" t="s">
        <v>43439</v>
      </c>
      <c r="B17555" s="330" t="s">
        <v>61907</v>
      </c>
      <c r="C17555" s="330" t="s">
        <v>35869</v>
      </c>
      <c r="D17555" s="330" t="s">
        <v>35870</v>
      </c>
      <c r="E17555" s="330" t="s">
        <v>4634</v>
      </c>
      <c r="F17555" s="331">
        <v>0.21</v>
      </c>
      <c r="G17555" s="332">
        <v>800</v>
      </c>
      <c r="H17555" s="333">
        <v>968</v>
      </c>
    </row>
    <row r="17556" spans="1:8">
      <c r="A17556" s="317" t="s">
        <v>43440</v>
      </c>
      <c r="B17556" s="330" t="s">
        <v>61908</v>
      </c>
      <c r="C17556" s="330" t="s">
        <v>35871</v>
      </c>
      <c r="D17556" s="330" t="s">
        <v>35872</v>
      </c>
      <c r="E17556" s="330" t="s">
        <v>4634</v>
      </c>
      <c r="F17556" s="331">
        <v>0.21</v>
      </c>
      <c r="G17556" s="332">
        <v>2910</v>
      </c>
      <c r="H17556" s="333">
        <v>3522</v>
      </c>
    </row>
    <row r="17557" spans="1:8">
      <c r="A17557" s="317" t="s">
        <v>43441</v>
      </c>
      <c r="B17557" s="330" t="s">
        <v>61909</v>
      </c>
      <c r="C17557" s="330" t="s">
        <v>35873</v>
      </c>
      <c r="D17557" s="330" t="s">
        <v>35874</v>
      </c>
      <c r="E17557" s="330" t="s">
        <v>4634</v>
      </c>
      <c r="F17557" s="331">
        <v>0.21</v>
      </c>
      <c r="G17557" s="332">
        <v>13315</v>
      </c>
      <c r="H17557" s="333">
        <v>16112</v>
      </c>
    </row>
    <row r="17558" spans="1:8">
      <c r="A17558" s="317" t="s">
        <v>43442</v>
      </c>
      <c r="B17558" s="330" t="s">
        <v>61910</v>
      </c>
      <c r="C17558" s="330" t="s">
        <v>35875</v>
      </c>
      <c r="D17558" s="330" t="s">
        <v>35876</v>
      </c>
      <c r="E17558" s="330" t="s">
        <v>37248</v>
      </c>
      <c r="F17558" s="331">
        <v>0.21</v>
      </c>
      <c r="G17558" s="332">
        <v>66675</v>
      </c>
      <c r="H17558" s="333">
        <v>80677</v>
      </c>
    </row>
    <row r="17559" spans="1:8">
      <c r="A17559" s="317" t="s">
        <v>43443</v>
      </c>
      <c r="B17559" s="330" t="s">
        <v>61911</v>
      </c>
      <c r="C17559" s="330" t="s">
        <v>35877</v>
      </c>
      <c r="D17559" s="330" t="s">
        <v>35878</v>
      </c>
      <c r="E17559" s="330" t="s">
        <v>4623</v>
      </c>
      <c r="F17559" s="331">
        <v>0.21</v>
      </c>
      <c r="G17559" s="332">
        <v>3877</v>
      </c>
      <c r="H17559" s="333">
        <v>4692</v>
      </c>
    </row>
    <row r="17560" spans="1:8">
      <c r="A17560" s="317" t="s">
        <v>43444</v>
      </c>
      <c r="B17560" s="330" t="s">
        <v>61912</v>
      </c>
      <c r="C17560" s="330" t="s">
        <v>35879</v>
      </c>
      <c r="D17560" s="330" t="s">
        <v>35880</v>
      </c>
      <c r="E17560" s="330" t="s">
        <v>4634</v>
      </c>
      <c r="F17560" s="331">
        <v>0.21</v>
      </c>
      <c r="G17560" s="332">
        <v>32685</v>
      </c>
      <c r="H17560" s="333">
        <v>39549</v>
      </c>
    </row>
    <row r="17561" spans="1:8">
      <c r="A17561" s="317" t="s">
        <v>43445</v>
      </c>
      <c r="B17561" s="330" t="s">
        <v>61913</v>
      </c>
      <c r="C17561" s="330" t="s">
        <v>35881</v>
      </c>
      <c r="D17561" s="330" t="s">
        <v>35882</v>
      </c>
      <c r="E17561" s="330" t="s">
        <v>37248</v>
      </c>
      <c r="F17561" s="331">
        <v>0.21</v>
      </c>
      <c r="G17561" s="332">
        <v>11111</v>
      </c>
      <c r="H17561" s="333">
        <v>13445</v>
      </c>
    </row>
    <row r="17562" spans="1:8">
      <c r="A17562" s="317" t="s">
        <v>43446</v>
      </c>
      <c r="B17562" s="330" t="s">
        <v>61914</v>
      </c>
      <c r="C17562" s="330" t="s">
        <v>35883</v>
      </c>
      <c r="D17562" s="330" t="s">
        <v>35884</v>
      </c>
      <c r="E17562" s="330" t="s">
        <v>4819</v>
      </c>
      <c r="F17562" s="331">
        <v>0.21</v>
      </c>
      <c r="G17562" s="332">
        <v>9222</v>
      </c>
      <c r="H17562" s="333">
        <v>11159</v>
      </c>
    </row>
    <row r="17563" spans="1:8">
      <c r="A17563" s="317" t="s">
        <v>43447</v>
      </c>
      <c r="B17563" s="330" t="s">
        <v>61915</v>
      </c>
      <c r="C17563" s="330" t="s">
        <v>35885</v>
      </c>
      <c r="D17563" s="330" t="s">
        <v>35886</v>
      </c>
      <c r="E17563" s="330" t="s">
        <v>37248</v>
      </c>
      <c r="F17563" s="331">
        <v>0.21</v>
      </c>
      <c r="G17563" s="332">
        <v>11738</v>
      </c>
      <c r="H17563" s="333">
        <v>14203</v>
      </c>
    </row>
    <row r="17564" spans="1:8">
      <c r="A17564" s="317" t="s">
        <v>43448</v>
      </c>
      <c r="B17564" s="330" t="s">
        <v>61916</v>
      </c>
      <c r="C17564" s="330" t="s">
        <v>35887</v>
      </c>
      <c r="D17564" s="330" t="s">
        <v>6840</v>
      </c>
      <c r="E17564" s="330" t="s">
        <v>37248</v>
      </c>
      <c r="F17564" s="331">
        <v>0.21</v>
      </c>
      <c r="G17564" s="332">
        <v>7089</v>
      </c>
      <c r="H17564" s="333">
        <v>8578</v>
      </c>
    </row>
    <row r="17565" spans="1:8">
      <c r="A17565" s="317" t="s">
        <v>43449</v>
      </c>
      <c r="B17565" s="330" t="s">
        <v>61917</v>
      </c>
      <c r="C17565" s="330" t="s">
        <v>35888</v>
      </c>
      <c r="D17565" s="330" t="s">
        <v>35889</v>
      </c>
      <c r="E17565" s="330" t="s">
        <v>37248</v>
      </c>
      <c r="F17565" s="331">
        <v>0.21</v>
      </c>
      <c r="G17565" s="332">
        <v>12971</v>
      </c>
      <c r="H17565" s="333">
        <v>15695</v>
      </c>
    </row>
    <row r="17566" spans="1:8">
      <c r="A17566" s="317" t="s">
        <v>43450</v>
      </c>
      <c r="B17566" s="330" t="s">
        <v>61918</v>
      </c>
      <c r="C17566" s="330" t="s">
        <v>35890</v>
      </c>
      <c r="D17566" s="330" t="s">
        <v>35891</v>
      </c>
      <c r="E17566" s="330" t="s">
        <v>4819</v>
      </c>
      <c r="F17566" s="331">
        <v>0.21</v>
      </c>
      <c r="G17566" s="332">
        <v>22372</v>
      </c>
      <c r="H17566" s="333">
        <v>27071</v>
      </c>
    </row>
    <row r="17567" spans="1:8">
      <c r="A17567" s="317" t="s">
        <v>43451</v>
      </c>
      <c r="B17567" s="330" t="s">
        <v>61919</v>
      </c>
      <c r="C17567" s="330" t="s">
        <v>35892</v>
      </c>
      <c r="D17567" s="330" t="s">
        <v>35893</v>
      </c>
      <c r="E17567" s="330" t="s">
        <v>4634</v>
      </c>
      <c r="F17567" s="331">
        <v>0.21</v>
      </c>
      <c r="G17567" s="332">
        <v>9797</v>
      </c>
      <c r="H17567" s="333">
        <v>11855</v>
      </c>
    </row>
    <row r="17568" spans="1:8">
      <c r="A17568" s="317" t="s">
        <v>43452</v>
      </c>
      <c r="B17568" s="330" t="s">
        <v>61920</v>
      </c>
      <c r="C17568" s="330" t="s">
        <v>35894</v>
      </c>
      <c r="D17568" s="330" t="s">
        <v>35895</v>
      </c>
      <c r="E17568" s="330" t="s">
        <v>37248</v>
      </c>
      <c r="F17568" s="331">
        <v>0.21</v>
      </c>
      <c r="G17568" s="332">
        <v>22738</v>
      </c>
      <c r="H17568" s="333">
        <v>27513</v>
      </c>
    </row>
    <row r="17569" spans="1:8">
      <c r="A17569" s="317" t="s">
        <v>43453</v>
      </c>
      <c r="B17569" s="330" t="s">
        <v>61921</v>
      </c>
      <c r="C17569" s="330" t="s">
        <v>35896</v>
      </c>
      <c r="D17569" s="330" t="s">
        <v>35897</v>
      </c>
      <c r="E17569" s="330" t="s">
        <v>4634</v>
      </c>
      <c r="F17569" s="331">
        <v>0.21</v>
      </c>
      <c r="G17569" s="332">
        <v>7548</v>
      </c>
      <c r="H17569" s="333">
        <v>9134</v>
      </c>
    </row>
    <row r="17570" spans="1:8">
      <c r="A17570" s="317" t="s">
        <v>43454</v>
      </c>
      <c r="B17570" s="330" t="s">
        <v>61922</v>
      </c>
      <c r="C17570" s="330" t="s">
        <v>35898</v>
      </c>
      <c r="D17570" s="330" t="s">
        <v>35899</v>
      </c>
      <c r="E17570" s="330" t="s">
        <v>4819</v>
      </c>
      <c r="F17570" s="331">
        <v>0.21</v>
      </c>
      <c r="G17570" s="332">
        <v>9828</v>
      </c>
      <c r="H17570" s="333">
        <v>11892</v>
      </c>
    </row>
    <row r="17571" spans="1:8">
      <c r="A17571" s="317" t="s">
        <v>43455</v>
      </c>
      <c r="B17571" s="330" t="s">
        <v>61923</v>
      </c>
      <c r="C17571" s="330" t="s">
        <v>35900</v>
      </c>
      <c r="D17571" s="330" t="s">
        <v>35901</v>
      </c>
      <c r="E17571" s="330" t="s">
        <v>37248</v>
      </c>
      <c r="F17571" s="331">
        <v>0.21</v>
      </c>
      <c r="G17571" s="332">
        <v>47046</v>
      </c>
      <c r="H17571" s="333">
        <v>56926</v>
      </c>
    </row>
    <row r="17572" spans="1:8">
      <c r="A17572" s="317" t="s">
        <v>43456</v>
      </c>
      <c r="B17572" s="330" t="s">
        <v>61924</v>
      </c>
      <c r="C17572" s="330" t="s">
        <v>35902</v>
      </c>
      <c r="D17572" s="330" t="s">
        <v>9297</v>
      </c>
      <c r="E17572" s="330" t="s">
        <v>4634</v>
      </c>
      <c r="F17572" s="331">
        <v>0.21</v>
      </c>
      <c r="G17572" s="332">
        <v>2373</v>
      </c>
      <c r="H17572" s="333">
        <v>2872</v>
      </c>
    </row>
    <row r="17573" spans="1:8">
      <c r="A17573" s="317" t="s">
        <v>43457</v>
      </c>
      <c r="B17573" s="330" t="s">
        <v>61925</v>
      </c>
      <c r="C17573" s="330" t="s">
        <v>35903</v>
      </c>
      <c r="D17573" s="330" t="s">
        <v>35904</v>
      </c>
      <c r="E17573" s="330" t="s">
        <v>4634</v>
      </c>
      <c r="F17573" s="331">
        <v>0.21</v>
      </c>
      <c r="G17573" s="332">
        <v>62</v>
      </c>
      <c r="H17573" s="333">
        <v>76</v>
      </c>
    </row>
    <row r="17574" spans="1:8">
      <c r="A17574" s="317" t="s">
        <v>43458</v>
      </c>
      <c r="B17574" s="330" t="s">
        <v>61926</v>
      </c>
      <c r="C17574" s="330" t="s">
        <v>35905</v>
      </c>
      <c r="D17574" s="330" t="s">
        <v>11209</v>
      </c>
      <c r="E17574" s="330" t="s">
        <v>4634</v>
      </c>
      <c r="F17574" s="331">
        <v>0.21</v>
      </c>
      <c r="G17574" s="332">
        <v>285</v>
      </c>
      <c r="H17574" s="333">
        <v>345</v>
      </c>
    </row>
    <row r="17575" spans="1:8">
      <c r="A17575" s="317" t="s">
        <v>43459</v>
      </c>
      <c r="B17575" s="330" t="s">
        <v>61927</v>
      </c>
      <c r="C17575" s="330" t="s">
        <v>35906</v>
      </c>
      <c r="D17575" s="330" t="s">
        <v>9257</v>
      </c>
      <c r="E17575" s="330" t="s">
        <v>4634</v>
      </c>
      <c r="F17575" s="331">
        <v>0.21</v>
      </c>
      <c r="G17575" s="332">
        <v>10624</v>
      </c>
      <c r="H17575" s="333">
        <v>12856</v>
      </c>
    </row>
    <row r="17576" spans="1:8">
      <c r="A17576" s="317" t="s">
        <v>43460</v>
      </c>
      <c r="B17576" s="330" t="s">
        <v>61928</v>
      </c>
      <c r="C17576" s="330" t="s">
        <v>35907</v>
      </c>
      <c r="D17576" s="330" t="s">
        <v>35908</v>
      </c>
      <c r="E17576" s="330" t="s">
        <v>37248</v>
      </c>
      <c r="F17576" s="331">
        <v>0.21</v>
      </c>
      <c r="G17576" s="332">
        <v>24605</v>
      </c>
      <c r="H17576" s="333">
        <v>29773</v>
      </c>
    </row>
    <row r="17577" spans="1:8">
      <c r="A17577" s="317" t="s">
        <v>43461</v>
      </c>
      <c r="B17577" s="330" t="s">
        <v>61929</v>
      </c>
      <c r="C17577" s="330" t="s">
        <v>35909</v>
      </c>
      <c r="D17577" s="330" t="s">
        <v>35910</v>
      </c>
      <c r="E17577" s="330" t="s">
        <v>4634</v>
      </c>
      <c r="F17577" s="331">
        <v>0.21</v>
      </c>
      <c r="G17577" s="332">
        <v>19369</v>
      </c>
      <c r="H17577" s="333">
        <v>23437</v>
      </c>
    </row>
    <row r="17578" spans="1:8">
      <c r="A17578" s="317" t="s">
        <v>43462</v>
      </c>
      <c r="B17578" s="330" t="s">
        <v>61930</v>
      </c>
      <c r="C17578" s="330" t="s">
        <v>35911</v>
      </c>
      <c r="D17578" s="330" t="s">
        <v>35912</v>
      </c>
      <c r="E17578" s="330" t="s">
        <v>37248</v>
      </c>
      <c r="F17578" s="331">
        <v>0.21</v>
      </c>
      <c r="G17578" s="332">
        <v>12367</v>
      </c>
      <c r="H17578" s="333">
        <v>14965</v>
      </c>
    </row>
    <row r="17579" spans="1:8">
      <c r="A17579" s="317" t="s">
        <v>43463</v>
      </c>
      <c r="B17579" s="330" t="s">
        <v>61931</v>
      </c>
      <c r="C17579" s="330" t="s">
        <v>35913</v>
      </c>
      <c r="D17579" s="330" t="s">
        <v>9297</v>
      </c>
      <c r="E17579" s="330" t="s">
        <v>4634</v>
      </c>
      <c r="F17579" s="331">
        <v>0.21</v>
      </c>
      <c r="G17579" s="332">
        <v>7716</v>
      </c>
      <c r="H17579" s="333">
        <v>9337</v>
      </c>
    </row>
    <row r="17580" spans="1:8">
      <c r="A17580" s="317" t="s">
        <v>43464</v>
      </c>
      <c r="B17580" s="330" t="s">
        <v>61932</v>
      </c>
      <c r="C17580" s="330" t="s">
        <v>35914</v>
      </c>
      <c r="D17580" s="330" t="s">
        <v>35915</v>
      </c>
      <c r="E17580" s="330" t="s">
        <v>4634</v>
      </c>
      <c r="F17580" s="331">
        <v>0.21</v>
      </c>
      <c r="G17580" s="332">
        <v>8394</v>
      </c>
      <c r="H17580" s="333">
        <v>10157</v>
      </c>
    </row>
    <row r="17581" spans="1:8">
      <c r="A17581" s="317" t="s">
        <v>43465</v>
      </c>
      <c r="B17581" s="330" t="s">
        <v>61933</v>
      </c>
      <c r="C17581" s="330" t="s">
        <v>35916</v>
      </c>
      <c r="D17581" s="330" t="s">
        <v>35917</v>
      </c>
      <c r="E17581" s="330" t="s">
        <v>4634</v>
      </c>
      <c r="F17581" s="331">
        <v>0.21</v>
      </c>
      <c r="G17581" s="332">
        <v>18947</v>
      </c>
      <c r="H17581" s="333">
        <v>22926</v>
      </c>
    </row>
    <row r="17582" spans="1:8">
      <c r="A17582" s="317" t="s">
        <v>43466</v>
      </c>
      <c r="B17582" s="330" t="s">
        <v>61934</v>
      </c>
      <c r="C17582" s="330" t="s">
        <v>35918</v>
      </c>
      <c r="D17582" s="330" t="s">
        <v>35919</v>
      </c>
      <c r="E17582" s="330" t="s">
        <v>4634</v>
      </c>
      <c r="F17582" s="331">
        <v>0.21</v>
      </c>
      <c r="G17582" s="332">
        <v>64399</v>
      </c>
      <c r="H17582" s="333">
        <v>77923</v>
      </c>
    </row>
    <row r="17583" spans="1:8">
      <c r="A17583" s="317" t="s">
        <v>43467</v>
      </c>
      <c r="B17583" s="330" t="s">
        <v>61935</v>
      </c>
      <c r="C17583" s="330" t="s">
        <v>35920</v>
      </c>
      <c r="D17583" s="330" t="s">
        <v>35921</v>
      </c>
      <c r="E17583" s="330" t="s">
        <v>37248</v>
      </c>
      <c r="F17583" s="331">
        <v>0.21</v>
      </c>
      <c r="G17583" s="332">
        <v>1566</v>
      </c>
      <c r="H17583" s="333">
        <v>1895</v>
      </c>
    </row>
    <row r="17584" spans="1:8">
      <c r="A17584" s="317" t="s">
        <v>43468</v>
      </c>
      <c r="B17584" s="330" t="s">
        <v>61936</v>
      </c>
      <c r="C17584" s="330" t="s">
        <v>35922</v>
      </c>
      <c r="D17584" s="330" t="s">
        <v>9297</v>
      </c>
      <c r="E17584" s="330" t="s">
        <v>37248</v>
      </c>
      <c r="F17584" s="331">
        <v>0.21</v>
      </c>
      <c r="G17584" s="332">
        <v>13210</v>
      </c>
      <c r="H17584" s="333">
        <v>15985</v>
      </c>
    </row>
    <row r="17585" spans="1:8">
      <c r="A17585" s="317" t="s">
        <v>43469</v>
      </c>
      <c r="B17585" s="330" t="s">
        <v>61937</v>
      </c>
      <c r="C17585" s="330" t="s">
        <v>35923</v>
      </c>
      <c r="D17585" s="330" t="s">
        <v>35924</v>
      </c>
      <c r="E17585" s="330" t="s">
        <v>4634</v>
      </c>
      <c r="F17585" s="331">
        <v>0.21</v>
      </c>
      <c r="G17585" s="332">
        <v>3729</v>
      </c>
      <c r="H17585" s="333">
        <v>4513</v>
      </c>
    </row>
    <row r="17586" spans="1:8">
      <c r="A17586" s="317" t="s">
        <v>43470</v>
      </c>
      <c r="B17586" s="330" t="s">
        <v>61938</v>
      </c>
      <c r="C17586" s="330" t="s">
        <v>35925</v>
      </c>
      <c r="D17586" s="330" t="s">
        <v>9297</v>
      </c>
      <c r="E17586" s="330" t="s">
        <v>37248</v>
      </c>
      <c r="F17586" s="331">
        <v>0.21</v>
      </c>
      <c r="G17586" s="332">
        <v>14674</v>
      </c>
      <c r="H17586" s="333">
        <v>17756</v>
      </c>
    </row>
    <row r="17587" spans="1:8">
      <c r="A17587" s="317" t="s">
        <v>43471</v>
      </c>
      <c r="B17587" s="330" t="s">
        <v>61939</v>
      </c>
      <c r="C17587" s="330" t="s">
        <v>35926</v>
      </c>
      <c r="D17587" s="330" t="s">
        <v>9297</v>
      </c>
      <c r="E17587" s="330" t="s">
        <v>37248</v>
      </c>
      <c r="F17587" s="331">
        <v>0.21</v>
      </c>
      <c r="G17587" s="332">
        <v>9520</v>
      </c>
      <c r="H17587" s="333">
        <v>11520</v>
      </c>
    </row>
    <row r="17588" spans="1:8">
      <c r="A17588" s="317" t="s">
        <v>43472</v>
      </c>
      <c r="B17588" s="330" t="s">
        <v>61940</v>
      </c>
      <c r="C17588" s="330" t="s">
        <v>35927</v>
      </c>
      <c r="D17588" s="330" t="s">
        <v>35928</v>
      </c>
      <c r="E17588" s="330" t="s">
        <v>4634</v>
      </c>
      <c r="F17588" s="331">
        <v>0.21</v>
      </c>
      <c r="G17588" s="332">
        <v>2688</v>
      </c>
      <c r="H17588" s="333">
        <v>3253</v>
      </c>
    </row>
    <row r="17589" spans="1:8">
      <c r="A17589" s="317" t="s">
        <v>43473</v>
      </c>
      <c r="B17589" s="330" t="s">
        <v>61941</v>
      </c>
      <c r="C17589" s="330" t="s">
        <v>35929</v>
      </c>
      <c r="D17589" s="330" t="s">
        <v>4859</v>
      </c>
      <c r="E17589" s="330" t="s">
        <v>37248</v>
      </c>
      <c r="F17589" s="331">
        <v>0.21</v>
      </c>
      <c r="G17589" s="332">
        <v>14674</v>
      </c>
      <c r="H17589" s="333">
        <v>17756</v>
      </c>
    </row>
    <row r="17590" spans="1:8">
      <c r="A17590" s="317" t="s">
        <v>43474</v>
      </c>
      <c r="B17590" s="330" t="s">
        <v>61942</v>
      </c>
      <c r="C17590" s="330" t="s">
        <v>35930</v>
      </c>
      <c r="D17590" s="330" t="s">
        <v>9297</v>
      </c>
      <c r="E17590" s="330" t="s">
        <v>4634</v>
      </c>
      <c r="F17590" s="331">
        <v>0.21</v>
      </c>
      <c r="G17590" s="332">
        <v>6892</v>
      </c>
      <c r="H17590" s="333">
        <v>8340</v>
      </c>
    </row>
    <row r="17591" spans="1:8">
      <c r="A17591" s="317" t="s">
        <v>43475</v>
      </c>
      <c r="B17591" s="330" t="s">
        <v>61943</v>
      </c>
      <c r="C17591" s="330" t="s">
        <v>35931</v>
      </c>
      <c r="D17591" s="330" t="s">
        <v>9297</v>
      </c>
      <c r="E17591" s="330" t="s">
        <v>4634</v>
      </c>
      <c r="F17591" s="331">
        <v>0.21</v>
      </c>
      <c r="G17591" s="332">
        <v>8467</v>
      </c>
      <c r="H17591" s="333">
        <v>10246</v>
      </c>
    </row>
    <row r="17592" spans="1:8">
      <c r="A17592" s="317" t="s">
        <v>43476</v>
      </c>
      <c r="B17592" s="330" t="s">
        <v>61944</v>
      </c>
      <c r="C17592" s="330" t="s">
        <v>35932</v>
      </c>
      <c r="D17592" s="330" t="s">
        <v>35933</v>
      </c>
      <c r="E17592" s="330" t="s">
        <v>4819</v>
      </c>
      <c r="F17592" s="331">
        <v>0.21</v>
      </c>
      <c r="G17592" s="332">
        <v>13313</v>
      </c>
      <c r="H17592" s="333">
        <v>16109</v>
      </c>
    </row>
    <row r="17593" spans="1:8">
      <c r="A17593" s="317" t="s">
        <v>43477</v>
      </c>
      <c r="B17593" s="330" t="s">
        <v>61945</v>
      </c>
      <c r="C17593" s="330" t="s">
        <v>35934</v>
      </c>
      <c r="D17593" s="330" t="s">
        <v>35935</v>
      </c>
      <c r="E17593" s="330" t="s">
        <v>4634</v>
      </c>
      <c r="F17593" s="331">
        <v>0.21</v>
      </c>
      <c r="G17593" s="332">
        <v>274</v>
      </c>
      <c r="H17593" s="333">
        <v>332</v>
      </c>
    </row>
    <row r="17594" spans="1:8">
      <c r="A17594" s="317" t="s">
        <v>43478</v>
      </c>
      <c r="B17594" s="330" t="s">
        <v>61946</v>
      </c>
      <c r="C17594" s="330" t="s">
        <v>35936</v>
      </c>
      <c r="D17594" s="330" t="s">
        <v>35937</v>
      </c>
      <c r="E17594" s="330" t="s">
        <v>4634</v>
      </c>
      <c r="F17594" s="331">
        <v>0.21</v>
      </c>
      <c r="G17594" s="332">
        <v>392</v>
      </c>
      <c r="H17594" s="333">
        <v>475</v>
      </c>
    </row>
    <row r="17595" spans="1:8">
      <c r="A17595" s="317" t="s">
        <v>43479</v>
      </c>
      <c r="B17595" s="330" t="s">
        <v>61947</v>
      </c>
      <c r="C17595" s="330" t="s">
        <v>35938</v>
      </c>
      <c r="D17595" s="330" t="s">
        <v>35939</v>
      </c>
      <c r="E17595" s="330" t="s">
        <v>4634</v>
      </c>
      <c r="F17595" s="331">
        <v>0.21</v>
      </c>
      <c r="G17595" s="332">
        <v>426</v>
      </c>
      <c r="H17595" s="333">
        <v>516</v>
      </c>
    </row>
    <row r="17596" spans="1:8">
      <c r="A17596" s="317" t="s">
        <v>43480</v>
      </c>
      <c r="B17596" s="330" t="s">
        <v>61948</v>
      </c>
      <c r="C17596" s="330" t="s">
        <v>35940</v>
      </c>
      <c r="D17596" s="330" t="s">
        <v>35941</v>
      </c>
      <c r="E17596" s="330" t="s">
        <v>4634</v>
      </c>
      <c r="F17596" s="331">
        <v>0.21</v>
      </c>
      <c r="G17596" s="332">
        <v>584</v>
      </c>
      <c r="H17596" s="333">
        <v>707</v>
      </c>
    </row>
    <row r="17597" spans="1:8">
      <c r="A17597" s="317" t="s">
        <v>43481</v>
      </c>
      <c r="B17597" s="330" t="s">
        <v>61949</v>
      </c>
      <c r="C17597" s="330" t="s">
        <v>35942</v>
      </c>
      <c r="D17597" s="330" t="s">
        <v>35943</v>
      </c>
      <c r="E17597" s="330" t="s">
        <v>37248</v>
      </c>
      <c r="F17597" s="331">
        <v>0.21</v>
      </c>
      <c r="G17597" s="332">
        <v>994</v>
      </c>
      <c r="H17597" s="333">
        <v>1203</v>
      </c>
    </row>
    <row r="17598" spans="1:8">
      <c r="A17598" s="317" t="s">
        <v>43482</v>
      </c>
      <c r="B17598" s="330" t="s">
        <v>61950</v>
      </c>
      <c r="C17598" s="330" t="s">
        <v>35944</v>
      </c>
      <c r="D17598" s="330" t="s">
        <v>35945</v>
      </c>
      <c r="E17598" s="330" t="s">
        <v>37248</v>
      </c>
      <c r="F17598" s="331">
        <v>0.21</v>
      </c>
      <c r="G17598" s="332">
        <v>1025</v>
      </c>
      <c r="H17598" s="333">
        <v>1241</v>
      </c>
    </row>
    <row r="17599" spans="1:8">
      <c r="A17599" s="317" t="s">
        <v>43483</v>
      </c>
      <c r="B17599" s="330" t="s">
        <v>61951</v>
      </c>
      <c r="C17599" s="330" t="s">
        <v>35946</v>
      </c>
      <c r="D17599" s="330" t="s">
        <v>15670</v>
      </c>
      <c r="E17599" s="330" t="s">
        <v>4634</v>
      </c>
      <c r="F17599" s="331">
        <v>0.21</v>
      </c>
      <c r="G17599" s="332">
        <v>153</v>
      </c>
      <c r="H17599" s="333">
        <v>186</v>
      </c>
    </row>
    <row r="17600" spans="1:8">
      <c r="A17600" s="317" t="s">
        <v>43484</v>
      </c>
      <c r="B17600" s="330" t="s">
        <v>61952</v>
      </c>
      <c r="C17600" s="330" t="s">
        <v>35947</v>
      </c>
      <c r="D17600" s="330" t="s">
        <v>15670</v>
      </c>
      <c r="E17600" s="330" t="s">
        <v>4819</v>
      </c>
      <c r="F17600" s="331">
        <v>0.21</v>
      </c>
      <c r="G17600" s="332">
        <v>890</v>
      </c>
      <c r="H17600" s="333">
        <v>1077</v>
      </c>
    </row>
    <row r="17601" spans="1:8">
      <c r="A17601" s="317" t="s">
        <v>43485</v>
      </c>
      <c r="B17601" s="330" t="s">
        <v>61953</v>
      </c>
      <c r="C17601" s="330" t="s">
        <v>35948</v>
      </c>
      <c r="D17601" s="330" t="s">
        <v>35949</v>
      </c>
      <c r="E17601" s="330" t="s">
        <v>37248</v>
      </c>
      <c r="F17601" s="331">
        <v>0.21</v>
      </c>
      <c r="G17601" s="332">
        <v>994</v>
      </c>
      <c r="H17601" s="333">
        <v>1203</v>
      </c>
    </row>
    <row r="17602" spans="1:8">
      <c r="A17602" s="317" t="s">
        <v>43486</v>
      </c>
      <c r="B17602" s="330" t="s">
        <v>61954</v>
      </c>
      <c r="C17602" s="330" t="s">
        <v>35950</v>
      </c>
      <c r="D17602" s="330" t="s">
        <v>9257</v>
      </c>
      <c r="E17602" s="330" t="s">
        <v>37248</v>
      </c>
      <c r="F17602" s="331">
        <v>0.21</v>
      </c>
      <c r="G17602" s="332">
        <v>910</v>
      </c>
      <c r="H17602" s="333">
        <v>1102</v>
      </c>
    </row>
    <row r="17603" spans="1:8">
      <c r="A17603" s="317" t="s">
        <v>43487</v>
      </c>
      <c r="B17603" s="330" t="s">
        <v>61955</v>
      </c>
      <c r="C17603" s="330" t="s">
        <v>35951</v>
      </c>
      <c r="D17603" s="330" t="s">
        <v>35952</v>
      </c>
      <c r="E17603" s="330" t="s">
        <v>37248</v>
      </c>
      <c r="F17603" s="331">
        <v>0.21</v>
      </c>
      <c r="G17603" s="332">
        <v>1182</v>
      </c>
      <c r="H17603" s="333">
        <v>1431</v>
      </c>
    </row>
    <row r="17604" spans="1:8">
      <c r="A17604" s="317" t="s">
        <v>43488</v>
      </c>
      <c r="B17604" s="330" t="s">
        <v>61956</v>
      </c>
      <c r="C17604" s="330" t="s">
        <v>35953</v>
      </c>
      <c r="D17604" s="330" t="s">
        <v>35952</v>
      </c>
      <c r="E17604" s="330" t="s">
        <v>37248</v>
      </c>
      <c r="F17604" s="331">
        <v>0.21</v>
      </c>
      <c r="G17604" s="332">
        <v>1072</v>
      </c>
      <c r="H17604" s="333">
        <v>1298</v>
      </c>
    </row>
    <row r="17605" spans="1:8">
      <c r="A17605" s="317" t="s">
        <v>43489</v>
      </c>
      <c r="B17605" s="330" t="s">
        <v>61957</v>
      </c>
      <c r="C17605" s="330" t="s">
        <v>35954</v>
      </c>
      <c r="D17605" s="330" t="s">
        <v>35955</v>
      </c>
      <c r="E17605" s="330" t="s">
        <v>4819</v>
      </c>
      <c r="F17605" s="331">
        <v>0.21</v>
      </c>
      <c r="G17605" s="332">
        <v>5483</v>
      </c>
      <c r="H17605" s="333">
        <v>6635</v>
      </c>
    </row>
    <row r="17606" spans="1:8">
      <c r="A17606" s="317" t="s">
        <v>43490</v>
      </c>
      <c r="B17606" s="330" t="s">
        <v>61958</v>
      </c>
      <c r="C17606" s="330" t="s">
        <v>35956</v>
      </c>
      <c r="D17606" s="330" t="s">
        <v>35957</v>
      </c>
      <c r="E17606" s="330" t="s">
        <v>37248</v>
      </c>
      <c r="F17606" s="331">
        <v>0.21</v>
      </c>
      <c r="G17606" s="332">
        <v>8532</v>
      </c>
      <c r="H17606" s="333">
        <v>10324</v>
      </c>
    </row>
    <row r="17607" spans="1:8">
      <c r="A17607" s="317" t="s">
        <v>43491</v>
      </c>
      <c r="B17607" s="330" t="s">
        <v>61959</v>
      </c>
      <c r="C17607" s="330" t="s">
        <v>35958</v>
      </c>
      <c r="D17607" s="330" t="s">
        <v>35959</v>
      </c>
      <c r="E17607" s="330" t="s">
        <v>4634</v>
      </c>
      <c r="F17607" s="331">
        <v>0.21</v>
      </c>
      <c r="G17607" s="332">
        <v>2444</v>
      </c>
      <c r="H17607" s="333">
        <v>2958</v>
      </c>
    </row>
    <row r="17608" spans="1:8">
      <c r="A17608" s="317" t="s">
        <v>43492</v>
      </c>
      <c r="B17608" s="330" t="s">
        <v>61960</v>
      </c>
      <c r="C17608" s="330" t="s">
        <v>35960</v>
      </c>
      <c r="D17608" s="330" t="s">
        <v>35961</v>
      </c>
      <c r="E17608" s="330" t="s">
        <v>37248</v>
      </c>
      <c r="F17608" s="331">
        <v>0.21</v>
      </c>
      <c r="G17608" s="332">
        <v>8887</v>
      </c>
      <c r="H17608" s="333">
        <v>10754</v>
      </c>
    </row>
    <row r="17609" spans="1:8">
      <c r="A17609" s="317" t="s">
        <v>43493</v>
      </c>
      <c r="B17609" s="330" t="s">
        <v>61961</v>
      </c>
      <c r="C17609" s="330" t="s">
        <v>35962</v>
      </c>
      <c r="D17609" s="330" t="s">
        <v>35963</v>
      </c>
      <c r="E17609" s="330" t="s">
        <v>4634</v>
      </c>
      <c r="F17609" s="331">
        <v>0.21</v>
      </c>
      <c r="G17609" s="332">
        <v>3151</v>
      </c>
      <c r="H17609" s="333">
        <v>3813</v>
      </c>
    </row>
    <row r="17610" spans="1:8">
      <c r="A17610" s="317" t="s">
        <v>43494</v>
      </c>
      <c r="B17610" s="330" t="s">
        <v>61962</v>
      </c>
      <c r="C17610" s="330" t="s">
        <v>35964</v>
      </c>
      <c r="D17610" s="330" t="s">
        <v>5876</v>
      </c>
      <c r="E17610" s="330" t="s">
        <v>4634</v>
      </c>
      <c r="F17610" s="331">
        <v>0.21</v>
      </c>
      <c r="G17610" s="332">
        <v>2444</v>
      </c>
      <c r="H17610" s="333">
        <v>2958</v>
      </c>
    </row>
    <row r="17611" spans="1:8">
      <c r="A17611" s="317" t="s">
        <v>43495</v>
      </c>
      <c r="B17611" s="330" t="s">
        <v>61963</v>
      </c>
      <c r="C17611" s="330" t="s">
        <v>35965</v>
      </c>
      <c r="D17611" s="330" t="s">
        <v>35966</v>
      </c>
      <c r="E17611" s="330" t="s">
        <v>37248</v>
      </c>
      <c r="F17611" s="331">
        <v>0.21</v>
      </c>
      <c r="G17611" s="332">
        <v>4524</v>
      </c>
      <c r="H17611" s="333">
        <v>5475</v>
      </c>
    </row>
    <row r="17612" spans="1:8">
      <c r="A17612" s="317" t="s">
        <v>43496</v>
      </c>
      <c r="B17612" s="330" t="s">
        <v>61964</v>
      </c>
      <c r="C17612" s="330" t="s">
        <v>35967</v>
      </c>
      <c r="D17612" s="330" t="s">
        <v>21005</v>
      </c>
      <c r="E17612" s="330" t="s">
        <v>4634</v>
      </c>
      <c r="F17612" s="331">
        <v>0.21</v>
      </c>
      <c r="G17612" s="332">
        <v>11046</v>
      </c>
      <c r="H17612" s="333">
        <v>13366</v>
      </c>
    </row>
    <row r="17613" spans="1:8">
      <c r="A17613" s="317" t="s">
        <v>43497</v>
      </c>
      <c r="B17613" s="330" t="s">
        <v>61965</v>
      </c>
      <c r="C17613" s="330" t="s">
        <v>35968</v>
      </c>
      <c r="D17613" s="330" t="s">
        <v>35969</v>
      </c>
      <c r="E17613" s="330" t="s">
        <v>37248</v>
      </c>
      <c r="F17613" s="331">
        <v>0.21</v>
      </c>
      <c r="G17613" s="332">
        <v>6177</v>
      </c>
      <c r="H17613" s="333">
        <v>7475</v>
      </c>
    </row>
    <row r="17614" spans="1:8">
      <c r="A17614" s="317" t="s">
        <v>43498</v>
      </c>
      <c r="B17614" s="330" t="s">
        <v>61966</v>
      </c>
      <c r="C17614" s="330" t="s">
        <v>35970</v>
      </c>
      <c r="D17614" s="330" t="s">
        <v>4698</v>
      </c>
      <c r="E17614" s="330" t="s">
        <v>37248</v>
      </c>
      <c r="F17614" s="331">
        <v>0.21</v>
      </c>
      <c r="G17614" s="332">
        <v>4428</v>
      </c>
      <c r="H17614" s="333">
        <v>5358</v>
      </c>
    </row>
    <row r="17615" spans="1:8">
      <c r="A17615" s="317" t="s">
        <v>43499</v>
      </c>
      <c r="B17615" s="330" t="s">
        <v>61967</v>
      </c>
      <c r="C17615" s="330" t="s">
        <v>35971</v>
      </c>
      <c r="D17615" s="330" t="s">
        <v>35972</v>
      </c>
      <c r="E17615" s="330" t="s">
        <v>4819</v>
      </c>
      <c r="F17615" s="331">
        <v>0.21</v>
      </c>
      <c r="G17615" s="332">
        <v>4095</v>
      </c>
      <c r="H17615" s="333">
        <v>4955</v>
      </c>
    </row>
    <row r="17616" spans="1:8">
      <c r="A17616" s="317" t="s">
        <v>43500</v>
      </c>
      <c r="B17616" s="330" t="s">
        <v>61968</v>
      </c>
      <c r="C17616" s="330" t="s">
        <v>35973</v>
      </c>
      <c r="D17616" s="330" t="s">
        <v>35974</v>
      </c>
      <c r="E17616" s="330" t="s">
        <v>4634</v>
      </c>
      <c r="F17616" s="331">
        <v>0.21</v>
      </c>
      <c r="G17616" s="332">
        <v>2117</v>
      </c>
      <c r="H17616" s="333">
        <v>2562</v>
      </c>
    </row>
    <row r="17617" spans="1:8">
      <c r="A17617" s="317" t="s">
        <v>43501</v>
      </c>
      <c r="B17617" s="330" t="s">
        <v>61969</v>
      </c>
      <c r="C17617" s="330" t="s">
        <v>35975</v>
      </c>
      <c r="D17617" s="330" t="s">
        <v>35976</v>
      </c>
      <c r="E17617" s="330" t="s">
        <v>4634</v>
      </c>
      <c r="F17617" s="331">
        <v>0.21</v>
      </c>
      <c r="G17617" s="332">
        <v>1650</v>
      </c>
      <c r="H17617" s="333">
        <v>1997</v>
      </c>
    </row>
    <row r="17618" spans="1:8">
      <c r="A17618" s="317" t="s">
        <v>43502</v>
      </c>
      <c r="B17618" s="330" t="s">
        <v>61970</v>
      </c>
      <c r="C17618" s="330" t="s">
        <v>35977</v>
      </c>
      <c r="D17618" s="330" t="s">
        <v>35978</v>
      </c>
      <c r="E17618" s="330" t="s">
        <v>4634</v>
      </c>
      <c r="F17618" s="331">
        <v>0.21</v>
      </c>
      <c r="G17618" s="332">
        <v>2683</v>
      </c>
      <c r="H17618" s="333">
        <v>3247</v>
      </c>
    </row>
    <row r="17619" spans="1:8">
      <c r="A17619" s="317" t="s">
        <v>43503</v>
      </c>
      <c r="B17619" s="330" t="s">
        <v>61971</v>
      </c>
      <c r="C17619" s="330" t="s">
        <v>35979</v>
      </c>
      <c r="D17619" s="330" t="s">
        <v>35980</v>
      </c>
      <c r="E17619" s="330" t="s">
        <v>4634</v>
      </c>
      <c r="F17619" s="331">
        <v>0.21</v>
      </c>
      <c r="G17619" s="332">
        <v>2890</v>
      </c>
      <c r="H17619" s="333">
        <v>3497</v>
      </c>
    </row>
    <row r="17620" spans="1:8">
      <c r="A17620" s="317" t="s">
        <v>43504</v>
      </c>
      <c r="B17620" s="330" t="s">
        <v>61972</v>
      </c>
      <c r="C17620" s="330" t="s">
        <v>35981</v>
      </c>
      <c r="D17620" s="330" t="s">
        <v>35982</v>
      </c>
      <c r="E17620" s="330" t="s">
        <v>37248</v>
      </c>
      <c r="F17620" s="331">
        <v>0.21</v>
      </c>
      <c r="G17620" s="332">
        <v>4479</v>
      </c>
      <c r="H17620" s="333">
        <v>5420</v>
      </c>
    </row>
    <row r="17621" spans="1:8">
      <c r="A17621" s="317" t="s">
        <v>43505</v>
      </c>
      <c r="B17621" s="330" t="s">
        <v>61973</v>
      </c>
      <c r="C17621" s="330" t="s">
        <v>35983</v>
      </c>
      <c r="D17621" s="330" t="s">
        <v>35984</v>
      </c>
      <c r="E17621" s="330" t="s">
        <v>37248</v>
      </c>
      <c r="F17621" s="331">
        <v>0.21</v>
      </c>
      <c r="G17621" s="332">
        <v>6569</v>
      </c>
      <c r="H17621" s="333">
        <v>7949</v>
      </c>
    </row>
    <row r="17622" spans="1:8">
      <c r="A17622" s="317" t="s">
        <v>43506</v>
      </c>
      <c r="B17622" s="330" t="s">
        <v>61974</v>
      </c>
      <c r="C17622" s="330" t="s">
        <v>35985</v>
      </c>
      <c r="D17622" s="330" t="s">
        <v>35986</v>
      </c>
      <c r="E17622" s="330" t="s">
        <v>37248</v>
      </c>
      <c r="F17622" s="331">
        <v>0.21</v>
      </c>
      <c r="G17622" s="332">
        <v>6507</v>
      </c>
      <c r="H17622" s="333">
        <v>7874</v>
      </c>
    </row>
    <row r="17623" spans="1:8">
      <c r="A17623" s="317" t="s">
        <v>43507</v>
      </c>
      <c r="B17623" s="330" t="s">
        <v>61975</v>
      </c>
      <c r="C17623" s="330" t="s">
        <v>35987</v>
      </c>
      <c r="D17623" s="330" t="s">
        <v>24888</v>
      </c>
      <c r="E17623" s="330" t="s">
        <v>4634</v>
      </c>
      <c r="F17623" s="331">
        <v>0.21</v>
      </c>
      <c r="G17623" s="332">
        <v>3749</v>
      </c>
      <c r="H17623" s="333">
        <v>4537</v>
      </c>
    </row>
    <row r="17624" spans="1:8">
      <c r="A17624" s="317" t="s">
        <v>43508</v>
      </c>
      <c r="B17624" s="330" t="s">
        <v>61976</v>
      </c>
      <c r="C17624" s="330" t="s">
        <v>35988</v>
      </c>
      <c r="D17624" s="330" t="s">
        <v>35989</v>
      </c>
      <c r="E17624" s="330" t="s">
        <v>4819</v>
      </c>
      <c r="F17624" s="331">
        <v>0.21</v>
      </c>
      <c r="G17624" s="332">
        <v>6525</v>
      </c>
      <c r="H17624" s="333">
        <v>7896</v>
      </c>
    </row>
    <row r="17625" spans="1:8">
      <c r="A17625" s="317" t="s">
        <v>43509</v>
      </c>
      <c r="B17625" s="330" t="s">
        <v>61977</v>
      </c>
      <c r="C17625" s="330" t="s">
        <v>35990</v>
      </c>
      <c r="D17625" s="330" t="s">
        <v>35991</v>
      </c>
      <c r="E17625" s="330" t="s">
        <v>4819</v>
      </c>
      <c r="F17625" s="331">
        <v>0.21</v>
      </c>
      <c r="G17625" s="332">
        <v>5318</v>
      </c>
      <c r="H17625" s="333">
        <v>6435</v>
      </c>
    </row>
    <row r="17626" spans="1:8">
      <c r="A17626" s="317" t="s">
        <v>43510</v>
      </c>
      <c r="B17626" s="330" t="s">
        <v>61978</v>
      </c>
      <c r="C17626" s="330" t="s">
        <v>35992</v>
      </c>
      <c r="D17626" s="330" t="s">
        <v>35993</v>
      </c>
      <c r="E17626" s="330" t="s">
        <v>37248</v>
      </c>
      <c r="F17626" s="331">
        <v>0.21</v>
      </c>
      <c r="G17626" s="332">
        <v>3865</v>
      </c>
      <c r="H17626" s="333">
        <v>4677</v>
      </c>
    </row>
    <row r="17627" spans="1:8">
      <c r="A17627" s="317" t="s">
        <v>43511</v>
      </c>
      <c r="B17627" s="330" t="s">
        <v>61979</v>
      </c>
      <c r="C17627" s="330" t="s">
        <v>35994</v>
      </c>
      <c r="D17627" s="330" t="s">
        <v>35995</v>
      </c>
      <c r="E17627" s="330" t="s">
        <v>37248</v>
      </c>
      <c r="F17627" s="331">
        <v>0.21</v>
      </c>
      <c r="G17627" s="332">
        <v>11617</v>
      </c>
      <c r="H17627" s="333">
        <v>14057</v>
      </c>
    </row>
    <row r="17628" spans="1:8">
      <c r="A17628" s="317" t="s">
        <v>43512</v>
      </c>
      <c r="B17628" s="330" t="s">
        <v>61980</v>
      </c>
      <c r="C17628" s="330" t="s">
        <v>35996</v>
      </c>
      <c r="D17628" s="330" t="s">
        <v>35997</v>
      </c>
      <c r="E17628" s="330" t="s">
        <v>4634</v>
      </c>
      <c r="F17628" s="331">
        <v>0.21</v>
      </c>
      <c r="G17628" s="332">
        <v>3696</v>
      </c>
      <c r="H17628" s="333">
        <v>4473</v>
      </c>
    </row>
    <row r="17629" spans="1:8">
      <c r="A17629" s="317" t="s">
        <v>43513</v>
      </c>
      <c r="B17629" s="330" t="s">
        <v>61981</v>
      </c>
      <c r="C17629" s="330" t="s">
        <v>35998</v>
      </c>
      <c r="D17629" s="330" t="s">
        <v>24888</v>
      </c>
      <c r="E17629" s="330" t="s">
        <v>4634</v>
      </c>
      <c r="F17629" s="331">
        <v>0.21</v>
      </c>
      <c r="G17629" s="332">
        <v>3934</v>
      </c>
      <c r="H17629" s="333">
        <v>4761</v>
      </c>
    </row>
    <row r="17630" spans="1:8">
      <c r="A17630" s="317" t="s">
        <v>43514</v>
      </c>
      <c r="B17630" s="330" t="s">
        <v>61982</v>
      </c>
      <c r="C17630" s="330" t="s">
        <v>35999</v>
      </c>
      <c r="D17630" s="330" t="s">
        <v>36000</v>
      </c>
      <c r="E17630" s="330" t="s">
        <v>37248</v>
      </c>
      <c r="F17630" s="331">
        <v>0.21</v>
      </c>
      <c r="G17630" s="332">
        <v>9108</v>
      </c>
      <c r="H17630" s="333">
        <v>11021</v>
      </c>
    </row>
    <row r="17631" spans="1:8">
      <c r="A17631" s="317" t="s">
        <v>43515</v>
      </c>
      <c r="B17631" s="330" t="s">
        <v>61983</v>
      </c>
      <c r="C17631" s="330" t="s">
        <v>36001</v>
      </c>
      <c r="D17631" s="330" t="s">
        <v>36002</v>
      </c>
      <c r="E17631" s="330" t="s">
        <v>37248</v>
      </c>
      <c r="F17631" s="331">
        <v>0.21</v>
      </c>
      <c r="G17631" s="332">
        <v>33787</v>
      </c>
      <c r="H17631" s="333">
        <v>40883</v>
      </c>
    </row>
    <row r="17632" spans="1:8">
      <c r="A17632" s="317" t="s">
        <v>43516</v>
      </c>
      <c r="B17632" s="330" t="s">
        <v>61984</v>
      </c>
      <c r="C17632" s="330" t="s">
        <v>36003</v>
      </c>
      <c r="D17632" s="330" t="s">
        <v>36004</v>
      </c>
      <c r="E17632" s="330" t="s">
        <v>37248</v>
      </c>
      <c r="F17632" s="331">
        <v>0.21</v>
      </c>
      <c r="G17632" s="332">
        <v>3818</v>
      </c>
      <c r="H17632" s="333">
        <v>4620</v>
      </c>
    </row>
    <row r="17633" spans="1:8">
      <c r="A17633" s="317" t="s">
        <v>43517</v>
      </c>
      <c r="B17633" s="330" t="s">
        <v>61985</v>
      </c>
      <c r="C17633" s="330" t="s">
        <v>36005</v>
      </c>
      <c r="D17633" s="330" t="s">
        <v>36006</v>
      </c>
      <c r="E17633" s="330" t="s">
        <v>4819</v>
      </c>
      <c r="F17633" s="331">
        <v>0.21</v>
      </c>
      <c r="G17633" s="332">
        <v>2792</v>
      </c>
      <c r="H17633" s="333">
        <v>3379</v>
      </c>
    </row>
    <row r="17634" spans="1:8">
      <c r="A17634" s="317" t="s">
        <v>43518</v>
      </c>
      <c r="B17634" s="330" t="s">
        <v>61986</v>
      </c>
      <c r="C17634" s="330" t="s">
        <v>36007</v>
      </c>
      <c r="D17634" s="330" t="s">
        <v>36008</v>
      </c>
      <c r="E17634" s="330" t="s">
        <v>37248</v>
      </c>
      <c r="F17634" s="331">
        <v>0.21</v>
      </c>
      <c r="G17634" s="332">
        <v>16851</v>
      </c>
      <c r="H17634" s="333">
        <v>20390</v>
      </c>
    </row>
    <row r="17635" spans="1:8">
      <c r="A17635" s="317" t="s">
        <v>43519</v>
      </c>
      <c r="B17635" s="330" t="s">
        <v>61987</v>
      </c>
      <c r="C17635" s="330" t="s">
        <v>36009</v>
      </c>
      <c r="D17635" s="330" t="s">
        <v>36010</v>
      </c>
      <c r="E17635" s="330" t="s">
        <v>37248</v>
      </c>
      <c r="F17635" s="331">
        <v>0.21</v>
      </c>
      <c r="G17635" s="332">
        <v>1744</v>
      </c>
      <c r="H17635" s="333">
        <v>2111</v>
      </c>
    </row>
    <row r="17636" spans="1:8">
      <c r="A17636" s="317" t="s">
        <v>43520</v>
      </c>
      <c r="B17636" s="330" t="s">
        <v>61988</v>
      </c>
      <c r="C17636" s="330" t="s">
        <v>36011</v>
      </c>
      <c r="D17636" s="330" t="s">
        <v>36012</v>
      </c>
      <c r="E17636" s="330" t="s">
        <v>37248</v>
      </c>
      <c r="F17636" s="331">
        <v>0.21</v>
      </c>
      <c r="G17636" s="332">
        <v>4987</v>
      </c>
      <c r="H17636" s="333">
        <v>6035</v>
      </c>
    </row>
    <row r="17637" spans="1:8">
      <c r="A17637" s="317" t="s">
        <v>43521</v>
      </c>
      <c r="B17637" s="330" t="s">
        <v>61989</v>
      </c>
      <c r="C17637" s="330" t="s">
        <v>36013</v>
      </c>
      <c r="D17637" s="330" t="s">
        <v>36014</v>
      </c>
      <c r="E17637" s="330" t="s">
        <v>4634</v>
      </c>
      <c r="F17637" s="331">
        <v>0.21</v>
      </c>
      <c r="G17637" s="332">
        <v>1449</v>
      </c>
      <c r="H17637" s="333">
        <v>1754</v>
      </c>
    </row>
    <row r="17638" spans="1:8">
      <c r="A17638" s="317" t="s">
        <v>43522</v>
      </c>
      <c r="B17638" s="330" t="s">
        <v>61990</v>
      </c>
      <c r="C17638" s="330" t="s">
        <v>36015</v>
      </c>
      <c r="D17638" s="330" t="s">
        <v>36014</v>
      </c>
      <c r="E17638" s="330" t="s">
        <v>4819</v>
      </c>
      <c r="F17638" s="331">
        <v>0.21</v>
      </c>
      <c r="G17638" s="332">
        <v>8554</v>
      </c>
      <c r="H17638" s="333">
        <v>10351</v>
      </c>
    </row>
    <row r="17639" spans="1:8">
      <c r="A17639" s="317" t="s">
        <v>43523</v>
      </c>
      <c r="B17639" s="330" t="s">
        <v>61991</v>
      </c>
      <c r="C17639" s="330" t="s">
        <v>36016</v>
      </c>
      <c r="D17639" s="330" t="s">
        <v>36017</v>
      </c>
      <c r="E17639" s="330" t="s">
        <v>37248</v>
      </c>
      <c r="F17639" s="331">
        <v>0.21</v>
      </c>
      <c r="G17639" s="332">
        <v>1456</v>
      </c>
      <c r="H17639" s="333">
        <v>1762</v>
      </c>
    </row>
    <row r="17640" spans="1:8">
      <c r="A17640" s="317" t="s">
        <v>43524</v>
      </c>
      <c r="B17640" s="330" t="s">
        <v>61992</v>
      </c>
      <c r="C17640" s="330" t="s">
        <v>36018</v>
      </c>
      <c r="D17640" s="330" t="s">
        <v>36019</v>
      </c>
      <c r="E17640" s="330" t="s">
        <v>37248</v>
      </c>
      <c r="F17640" s="331">
        <v>0.21</v>
      </c>
      <c r="G17640" s="332">
        <v>1543</v>
      </c>
      <c r="H17640" s="333">
        <v>1868</v>
      </c>
    </row>
    <row r="17641" spans="1:8">
      <c r="A17641" s="317" t="s">
        <v>43525</v>
      </c>
      <c r="B17641" s="330" t="s">
        <v>61993</v>
      </c>
      <c r="C17641" s="330" t="s">
        <v>36020</v>
      </c>
      <c r="D17641" s="330" t="s">
        <v>36021</v>
      </c>
      <c r="E17641" s="330" t="s">
        <v>4634</v>
      </c>
      <c r="F17641" s="331">
        <v>0.21</v>
      </c>
      <c r="G17641" s="332">
        <v>4729</v>
      </c>
      <c r="H17641" s="333">
        <v>5723</v>
      </c>
    </row>
    <row r="17642" spans="1:8">
      <c r="A17642" s="317" t="s">
        <v>43526</v>
      </c>
      <c r="B17642" s="330" t="s">
        <v>61994</v>
      </c>
      <c r="C17642" s="330" t="s">
        <v>36022</v>
      </c>
      <c r="D17642" s="330" t="s">
        <v>5145</v>
      </c>
      <c r="E17642" s="330" t="s">
        <v>37248</v>
      </c>
      <c r="F17642" s="331">
        <v>0.21</v>
      </c>
      <c r="G17642" s="332">
        <v>9793</v>
      </c>
      <c r="H17642" s="333">
        <v>11850</v>
      </c>
    </row>
    <row r="17643" spans="1:8">
      <c r="A17643" s="317" t="s">
        <v>43527</v>
      </c>
      <c r="B17643" s="330" t="s">
        <v>61995</v>
      </c>
      <c r="C17643" s="330" t="s">
        <v>36023</v>
      </c>
      <c r="D17643" s="330" t="s">
        <v>36024</v>
      </c>
      <c r="E17643" s="330" t="s">
        <v>4819</v>
      </c>
      <c r="F17643" s="331">
        <v>0.21</v>
      </c>
      <c r="G17643" s="332">
        <v>3604</v>
      </c>
      <c r="H17643" s="333">
        <v>4361</v>
      </c>
    </row>
    <row r="17644" spans="1:8">
      <c r="A17644" s="317" t="s">
        <v>43528</v>
      </c>
      <c r="B17644" s="330" t="s">
        <v>61996</v>
      </c>
      <c r="C17644" s="330" t="s">
        <v>36025</v>
      </c>
      <c r="D17644" s="330" t="s">
        <v>36026</v>
      </c>
      <c r="E17644" s="330" t="s">
        <v>37248</v>
      </c>
      <c r="F17644" s="331">
        <v>0.21</v>
      </c>
      <c r="G17644" s="332">
        <v>9712</v>
      </c>
      <c r="H17644" s="333">
        <v>11752</v>
      </c>
    </row>
    <row r="17645" spans="1:8">
      <c r="A17645" s="317" t="s">
        <v>43529</v>
      </c>
      <c r="B17645" s="330" t="s">
        <v>61997</v>
      </c>
      <c r="C17645" s="330" t="s">
        <v>36027</v>
      </c>
      <c r="D17645" s="330" t="s">
        <v>36028</v>
      </c>
      <c r="E17645" s="330" t="s">
        <v>37248</v>
      </c>
      <c r="F17645" s="331">
        <v>0.21</v>
      </c>
      <c r="G17645" s="332">
        <v>6237</v>
      </c>
      <c r="H17645" s="333">
        <v>7547</v>
      </c>
    </row>
    <row r="17646" spans="1:8">
      <c r="A17646" s="317" t="s">
        <v>43530</v>
      </c>
      <c r="B17646" s="330" t="s">
        <v>61998</v>
      </c>
      <c r="C17646" s="330" t="s">
        <v>36029</v>
      </c>
      <c r="D17646" s="330" t="s">
        <v>36030</v>
      </c>
      <c r="E17646" s="330" t="s">
        <v>4819</v>
      </c>
      <c r="F17646" s="331">
        <v>0.21</v>
      </c>
      <c r="G17646" s="332">
        <v>2581</v>
      </c>
      <c r="H17646" s="333">
        <v>3124</v>
      </c>
    </row>
    <row r="17647" spans="1:8">
      <c r="A17647" s="317" t="s">
        <v>43531</v>
      </c>
      <c r="B17647" s="330" t="s">
        <v>61999</v>
      </c>
      <c r="C17647" s="330" t="s">
        <v>36031</v>
      </c>
      <c r="D17647" s="330" t="s">
        <v>5876</v>
      </c>
      <c r="E17647" s="330" t="s">
        <v>4634</v>
      </c>
      <c r="F17647" s="331">
        <v>0.21</v>
      </c>
      <c r="G17647" s="332">
        <v>5654</v>
      </c>
      <c r="H17647" s="333">
        <v>6842</v>
      </c>
    </row>
    <row r="17648" spans="1:8">
      <c r="A17648" s="317" t="s">
        <v>43532</v>
      </c>
      <c r="B17648" s="330" t="s">
        <v>62000</v>
      </c>
      <c r="C17648" s="330" t="s">
        <v>36032</v>
      </c>
      <c r="D17648" s="330" t="s">
        <v>36033</v>
      </c>
      <c r="E17648" s="330" t="s">
        <v>4819</v>
      </c>
      <c r="F17648" s="331">
        <v>0.21</v>
      </c>
      <c r="G17648" s="332">
        <v>4851</v>
      </c>
      <c r="H17648" s="333">
        <v>5870</v>
      </c>
    </row>
    <row r="17649" spans="1:8">
      <c r="A17649" s="317" t="s">
        <v>43533</v>
      </c>
      <c r="B17649" s="330" t="s">
        <v>62001</v>
      </c>
      <c r="C17649" s="330" t="s">
        <v>36034</v>
      </c>
      <c r="D17649" s="330" t="s">
        <v>36035</v>
      </c>
      <c r="E17649" s="330" t="s">
        <v>4819</v>
      </c>
      <c r="F17649" s="331">
        <v>0.21</v>
      </c>
      <c r="G17649" s="332">
        <v>2900</v>
      </c>
      <c r="H17649" s="333">
        <v>3509</v>
      </c>
    </row>
    <row r="17650" spans="1:8">
      <c r="A17650" s="317" t="s">
        <v>43534</v>
      </c>
      <c r="B17650" s="330" t="s">
        <v>62002</v>
      </c>
      <c r="C17650" s="330" t="s">
        <v>36036</v>
      </c>
      <c r="D17650" s="330" t="s">
        <v>6097</v>
      </c>
      <c r="E17650" s="330" t="s">
        <v>37248</v>
      </c>
      <c r="F17650" s="331">
        <v>0.21</v>
      </c>
      <c r="G17650" s="332">
        <v>4104</v>
      </c>
      <c r="H17650" s="333">
        <v>4966</v>
      </c>
    </row>
    <row r="17651" spans="1:8">
      <c r="A17651" s="317" t="s">
        <v>43535</v>
      </c>
      <c r="B17651" s="330" t="s">
        <v>62003</v>
      </c>
      <c r="C17651" s="330" t="s">
        <v>36037</v>
      </c>
      <c r="D17651" s="330" t="s">
        <v>36038</v>
      </c>
      <c r="E17651" s="330" t="s">
        <v>4634</v>
      </c>
      <c r="F17651" s="331">
        <v>0.21</v>
      </c>
      <c r="G17651" s="332">
        <v>5752</v>
      </c>
      <c r="H17651" s="333">
        <v>6960</v>
      </c>
    </row>
    <row r="17652" spans="1:8">
      <c r="A17652" s="317" t="s">
        <v>43536</v>
      </c>
      <c r="B17652" s="330" t="s">
        <v>62004</v>
      </c>
      <c r="C17652" s="330" t="s">
        <v>36039</v>
      </c>
      <c r="D17652" s="330" t="s">
        <v>36040</v>
      </c>
      <c r="E17652" s="330" t="s">
        <v>37248</v>
      </c>
      <c r="F17652" s="331">
        <v>0.21</v>
      </c>
      <c r="G17652" s="332">
        <v>13554</v>
      </c>
      <c r="H17652" s="333">
        <v>16401</v>
      </c>
    </row>
    <row r="17653" spans="1:8">
      <c r="A17653" s="317" t="s">
        <v>43537</v>
      </c>
      <c r="B17653" s="330" t="s">
        <v>62005</v>
      </c>
      <c r="C17653" s="330" t="s">
        <v>36041</v>
      </c>
      <c r="D17653" s="330" t="s">
        <v>36042</v>
      </c>
      <c r="E17653" s="330" t="s">
        <v>4634</v>
      </c>
      <c r="F17653" s="331">
        <v>0.21</v>
      </c>
      <c r="G17653" s="332">
        <v>2616</v>
      </c>
      <c r="H17653" s="333">
        <v>3166</v>
      </c>
    </row>
    <row r="17654" spans="1:8">
      <c r="A17654" s="317" t="s">
        <v>43538</v>
      </c>
      <c r="B17654" s="330" t="s">
        <v>62006</v>
      </c>
      <c r="C17654" s="330" t="s">
        <v>36043</v>
      </c>
      <c r="D17654" s="330" t="s">
        <v>36044</v>
      </c>
      <c r="E17654" s="330" t="s">
        <v>4634</v>
      </c>
      <c r="F17654" s="331">
        <v>0.21</v>
      </c>
      <c r="G17654" s="332">
        <v>928</v>
      </c>
      <c r="H17654" s="333">
        <v>1123</v>
      </c>
    </row>
    <row r="17655" spans="1:8">
      <c r="A17655" s="317" t="s">
        <v>43539</v>
      </c>
      <c r="B17655" s="330" t="s">
        <v>62007</v>
      </c>
      <c r="C17655" s="330" t="s">
        <v>36045</v>
      </c>
      <c r="D17655" s="330" t="s">
        <v>36046</v>
      </c>
      <c r="E17655" s="330" t="s">
        <v>4634</v>
      </c>
      <c r="F17655" s="331">
        <v>0.21</v>
      </c>
      <c r="G17655" s="332">
        <v>678</v>
      </c>
      <c r="H17655" s="333">
        <v>821</v>
      </c>
    </row>
    <row r="17656" spans="1:8">
      <c r="A17656" s="317" t="s">
        <v>43540</v>
      </c>
      <c r="B17656" s="330" t="s">
        <v>62008</v>
      </c>
      <c r="C17656" s="330" t="s">
        <v>36047</v>
      </c>
      <c r="D17656" s="330" t="s">
        <v>36048</v>
      </c>
      <c r="E17656" s="330" t="s">
        <v>37248</v>
      </c>
      <c r="F17656" s="331">
        <v>0.21</v>
      </c>
      <c r="G17656" s="332">
        <v>8380</v>
      </c>
      <c r="H17656" s="333">
        <v>10140</v>
      </c>
    </row>
    <row r="17657" spans="1:8">
      <c r="A17657" s="317" t="s">
        <v>43541</v>
      </c>
      <c r="B17657" s="330" t="s">
        <v>62009</v>
      </c>
      <c r="C17657" s="330" t="s">
        <v>36049</v>
      </c>
      <c r="D17657" s="330" t="s">
        <v>36050</v>
      </c>
      <c r="E17657" s="330" t="s">
        <v>37248</v>
      </c>
      <c r="F17657" s="331">
        <v>0.21</v>
      </c>
      <c r="G17657" s="332">
        <v>10163</v>
      </c>
      <c r="H17657" s="333">
        <v>12298</v>
      </c>
    </row>
    <row r="17658" spans="1:8">
      <c r="A17658" s="317" t="s">
        <v>43542</v>
      </c>
      <c r="B17658" s="330" t="s">
        <v>62010</v>
      </c>
      <c r="C17658" s="330" t="s">
        <v>36051</v>
      </c>
      <c r="D17658" s="330" t="s">
        <v>36052</v>
      </c>
      <c r="E17658" s="330" t="s">
        <v>4634</v>
      </c>
      <c r="F17658" s="331">
        <v>0.21</v>
      </c>
      <c r="G17658" s="332">
        <v>8331</v>
      </c>
      <c r="H17658" s="333">
        <v>10081</v>
      </c>
    </row>
    <row r="17659" spans="1:8">
      <c r="A17659" s="317" t="s">
        <v>43543</v>
      </c>
      <c r="B17659" s="330" t="s">
        <v>62011</v>
      </c>
      <c r="C17659" s="330" t="s">
        <v>36053</v>
      </c>
      <c r="D17659" s="330" t="s">
        <v>36054</v>
      </c>
      <c r="E17659" s="330" t="s">
        <v>4634</v>
      </c>
      <c r="F17659" s="331">
        <v>0.21</v>
      </c>
      <c r="G17659" s="332">
        <v>1126</v>
      </c>
      <c r="H17659" s="333">
        <v>1363</v>
      </c>
    </row>
    <row r="17660" spans="1:8">
      <c r="A17660" s="317" t="s">
        <v>43544</v>
      </c>
      <c r="B17660" s="330" t="s">
        <v>62012</v>
      </c>
      <c r="C17660" s="330" t="s">
        <v>36055</v>
      </c>
      <c r="D17660" s="330" t="s">
        <v>36056</v>
      </c>
      <c r="E17660" s="330" t="s">
        <v>4634</v>
      </c>
      <c r="F17660" s="331">
        <v>0.21</v>
      </c>
      <c r="G17660" s="332">
        <v>1641</v>
      </c>
      <c r="H17660" s="333">
        <v>1986</v>
      </c>
    </row>
    <row r="17661" spans="1:8">
      <c r="A17661" s="317" t="s">
        <v>43545</v>
      </c>
      <c r="B17661" s="330" t="s">
        <v>62013</v>
      </c>
      <c r="C17661" s="330" t="s">
        <v>36057</v>
      </c>
      <c r="D17661" s="330" t="s">
        <v>36058</v>
      </c>
      <c r="E17661" s="330" t="s">
        <v>4634</v>
      </c>
      <c r="F17661" s="331">
        <v>0.21</v>
      </c>
      <c r="G17661" s="332">
        <v>285</v>
      </c>
      <c r="H17661" s="333">
        <v>345</v>
      </c>
    </row>
    <row r="17662" spans="1:8">
      <c r="A17662" s="317" t="s">
        <v>43546</v>
      </c>
      <c r="B17662" s="330" t="s">
        <v>62014</v>
      </c>
      <c r="C17662" s="330" t="s">
        <v>36059</v>
      </c>
      <c r="D17662" s="330" t="s">
        <v>36060</v>
      </c>
      <c r="E17662" s="330" t="s">
        <v>4623</v>
      </c>
      <c r="F17662" s="331">
        <v>0.21</v>
      </c>
      <c r="G17662" s="332">
        <v>60433</v>
      </c>
      <c r="H17662" s="333">
        <v>73124</v>
      </c>
    </row>
    <row r="17663" spans="1:8">
      <c r="A17663" s="317" t="s">
        <v>43547</v>
      </c>
      <c r="B17663" s="330" t="s">
        <v>62015</v>
      </c>
      <c r="C17663" s="330" t="s">
        <v>36061</v>
      </c>
      <c r="D17663" s="330" t="s">
        <v>36062</v>
      </c>
      <c r="E17663" s="330" t="s">
        <v>4634</v>
      </c>
      <c r="F17663" s="331">
        <v>0.21</v>
      </c>
      <c r="G17663" s="332">
        <v>3424</v>
      </c>
      <c r="H17663" s="333">
        <v>4144</v>
      </c>
    </row>
    <row r="17664" spans="1:8">
      <c r="A17664" s="317" t="s">
        <v>43548</v>
      </c>
      <c r="B17664" s="330" t="s">
        <v>62016</v>
      </c>
      <c r="C17664" s="330" t="s">
        <v>36063</v>
      </c>
      <c r="D17664" s="330" t="s">
        <v>36064</v>
      </c>
      <c r="E17664" s="330" t="s">
        <v>4634</v>
      </c>
      <c r="F17664" s="331">
        <v>0.21</v>
      </c>
      <c r="G17664" s="332">
        <v>2491</v>
      </c>
      <c r="H17664" s="333">
        <v>3015</v>
      </c>
    </row>
    <row r="17665" spans="1:8">
      <c r="A17665" s="317" t="s">
        <v>43549</v>
      </c>
      <c r="B17665" s="330" t="s">
        <v>62017</v>
      </c>
      <c r="C17665" s="330" t="s">
        <v>36065</v>
      </c>
      <c r="D17665" s="330" t="s">
        <v>36066</v>
      </c>
      <c r="E17665" s="330" t="s">
        <v>4634</v>
      </c>
      <c r="F17665" s="331">
        <v>0.21</v>
      </c>
      <c r="G17665" s="332">
        <v>18158</v>
      </c>
      <c r="H17665" s="333">
        <v>21972</v>
      </c>
    </row>
    <row r="17666" spans="1:8">
      <c r="A17666" s="317" t="s">
        <v>43550</v>
      </c>
      <c r="B17666" s="330" t="s">
        <v>62018</v>
      </c>
      <c r="C17666" s="330" t="s">
        <v>36067</v>
      </c>
      <c r="D17666" s="330" t="s">
        <v>36068</v>
      </c>
      <c r="E17666" s="330" t="s">
        <v>4634</v>
      </c>
      <c r="F17666" s="331">
        <v>0.21</v>
      </c>
      <c r="G17666" s="332">
        <v>9563</v>
      </c>
      <c r="H17666" s="333">
        <v>11572</v>
      </c>
    </row>
    <row r="17667" spans="1:8">
      <c r="A17667" s="317" t="s">
        <v>43551</v>
      </c>
      <c r="B17667" s="330" t="s">
        <v>62019</v>
      </c>
      <c r="C17667" s="330" t="s">
        <v>36069</v>
      </c>
      <c r="D17667" s="330" t="s">
        <v>36070</v>
      </c>
      <c r="E17667" s="330" t="s">
        <v>4634</v>
      </c>
      <c r="F17667" s="331">
        <v>0.21</v>
      </c>
      <c r="G17667" s="332">
        <v>584</v>
      </c>
      <c r="H17667" s="333">
        <v>707</v>
      </c>
    </row>
    <row r="17668" spans="1:8">
      <c r="A17668" s="317" t="s">
        <v>43552</v>
      </c>
      <c r="B17668" s="330" t="s">
        <v>62020</v>
      </c>
      <c r="C17668" s="330" t="s">
        <v>36071</v>
      </c>
      <c r="D17668" s="330" t="s">
        <v>36072</v>
      </c>
      <c r="E17668" s="330" t="s">
        <v>4634</v>
      </c>
      <c r="F17668" s="331">
        <v>0.21</v>
      </c>
      <c r="G17668" s="332">
        <v>18548</v>
      </c>
      <c r="H17668" s="333">
        <v>22444</v>
      </c>
    </row>
    <row r="17669" spans="1:8">
      <c r="A17669" s="317" t="s">
        <v>43553</v>
      </c>
      <c r="B17669" s="330" t="s">
        <v>62021</v>
      </c>
      <c r="C17669" s="330" t="s">
        <v>36073</v>
      </c>
      <c r="D17669" s="330" t="s">
        <v>36074</v>
      </c>
      <c r="E17669" s="330" t="s">
        <v>4634</v>
      </c>
      <c r="F17669" s="331">
        <v>0.21</v>
      </c>
      <c r="G17669" s="332">
        <v>816</v>
      </c>
      <c r="H17669" s="333">
        <v>988</v>
      </c>
    </row>
    <row r="17670" spans="1:8">
      <c r="A17670" s="317" t="s">
        <v>43554</v>
      </c>
      <c r="B17670" s="330" t="s">
        <v>62022</v>
      </c>
      <c r="C17670" s="330" t="s">
        <v>36075</v>
      </c>
      <c r="D17670" s="330" t="s">
        <v>36076</v>
      </c>
      <c r="E17670" s="330" t="s">
        <v>4634</v>
      </c>
      <c r="F17670" s="331">
        <v>0.21</v>
      </c>
      <c r="G17670" s="332">
        <v>2355</v>
      </c>
      <c r="H17670" s="333">
        <v>2850</v>
      </c>
    </row>
    <row r="17671" spans="1:8">
      <c r="A17671" s="317" t="s">
        <v>43555</v>
      </c>
      <c r="B17671" s="330" t="s">
        <v>62023</v>
      </c>
      <c r="C17671" s="330" t="s">
        <v>36077</v>
      </c>
      <c r="D17671" s="330" t="s">
        <v>36078</v>
      </c>
      <c r="E17671" s="330" t="s">
        <v>4634</v>
      </c>
      <c r="F17671" s="331">
        <v>0.21</v>
      </c>
      <c r="G17671" s="332">
        <v>12402</v>
      </c>
      <c r="H17671" s="333">
        <v>15007</v>
      </c>
    </row>
    <row r="17672" spans="1:8">
      <c r="A17672" s="317" t="s">
        <v>43556</v>
      </c>
      <c r="B17672" s="330" t="s">
        <v>62024</v>
      </c>
      <c r="C17672" s="330" t="s">
        <v>36079</v>
      </c>
      <c r="D17672" s="330" t="s">
        <v>36080</v>
      </c>
      <c r="E17672" s="330" t="s">
        <v>4819</v>
      </c>
      <c r="F17672" s="331">
        <v>0.21</v>
      </c>
      <c r="G17672" s="332">
        <v>11555</v>
      </c>
      <c r="H17672" s="333">
        <v>13982</v>
      </c>
    </row>
    <row r="17673" spans="1:8">
      <c r="A17673" s="317" t="s">
        <v>43557</v>
      </c>
      <c r="B17673" s="330" t="s">
        <v>62025</v>
      </c>
      <c r="C17673" s="330" t="s">
        <v>36081</v>
      </c>
      <c r="D17673" s="330" t="s">
        <v>36082</v>
      </c>
      <c r="E17673" s="330" t="s">
        <v>4819</v>
      </c>
      <c r="F17673" s="331">
        <v>0.21</v>
      </c>
      <c r="G17673" s="332">
        <v>5362</v>
      </c>
      <c r="H17673" s="333">
        <v>6489</v>
      </c>
    </row>
    <row r="17674" spans="1:8">
      <c r="A17674" s="317" t="s">
        <v>43558</v>
      </c>
      <c r="B17674" s="330" t="s">
        <v>62026</v>
      </c>
      <c r="C17674" s="330" t="s">
        <v>36083</v>
      </c>
      <c r="D17674" s="330" t="s">
        <v>36084</v>
      </c>
      <c r="E17674" s="330" t="s">
        <v>37248</v>
      </c>
      <c r="F17674" s="331">
        <v>0.21</v>
      </c>
      <c r="G17674" s="332">
        <v>27436</v>
      </c>
      <c r="H17674" s="333">
        <v>33198</v>
      </c>
    </row>
    <row r="17675" spans="1:8">
      <c r="A17675" s="317" t="s">
        <v>43559</v>
      </c>
      <c r="B17675" s="330" t="s">
        <v>62027</v>
      </c>
      <c r="C17675" s="330" t="s">
        <v>36085</v>
      </c>
      <c r="D17675" s="330" t="s">
        <v>36086</v>
      </c>
      <c r="E17675" s="330" t="s">
        <v>37248</v>
      </c>
      <c r="F17675" s="331">
        <v>0.21</v>
      </c>
      <c r="G17675" s="332">
        <v>31083</v>
      </c>
      <c r="H17675" s="333">
        <v>37611</v>
      </c>
    </row>
    <row r="17676" spans="1:8">
      <c r="A17676" s="317" t="s">
        <v>43560</v>
      </c>
      <c r="B17676" s="330" t="s">
        <v>62028</v>
      </c>
      <c r="C17676" s="330" t="s">
        <v>36087</v>
      </c>
      <c r="D17676" s="330" t="s">
        <v>36088</v>
      </c>
      <c r="E17676" s="330" t="s">
        <v>4819</v>
      </c>
      <c r="F17676" s="331">
        <v>0.21</v>
      </c>
      <c r="G17676" s="332">
        <v>28335</v>
      </c>
      <c r="H17676" s="333">
        <v>34286</v>
      </c>
    </row>
    <row r="17677" spans="1:8">
      <c r="A17677" s="317" t="s">
        <v>43561</v>
      </c>
      <c r="B17677" s="330" t="s">
        <v>62029</v>
      </c>
      <c r="C17677" s="330" t="s">
        <v>36089</v>
      </c>
      <c r="D17677" s="330" t="s">
        <v>36090</v>
      </c>
      <c r="E17677" s="330" t="s">
        <v>4634</v>
      </c>
      <c r="F17677" s="331">
        <v>0.21</v>
      </c>
      <c r="G17677" s="332">
        <v>7104</v>
      </c>
      <c r="H17677" s="333">
        <v>8596</v>
      </c>
    </row>
    <row r="17678" spans="1:8">
      <c r="A17678" s="317" t="s">
        <v>43562</v>
      </c>
      <c r="B17678" s="330" t="s">
        <v>62030</v>
      </c>
      <c r="C17678" s="330" t="s">
        <v>36091</v>
      </c>
      <c r="D17678" s="330" t="s">
        <v>36092</v>
      </c>
      <c r="E17678" s="330" t="s">
        <v>4634</v>
      </c>
      <c r="F17678" s="331">
        <v>0.21</v>
      </c>
      <c r="G17678" s="332">
        <v>4737</v>
      </c>
      <c r="H17678" s="333">
        <v>5732</v>
      </c>
    </row>
    <row r="17679" spans="1:8">
      <c r="A17679" s="317" t="s">
        <v>43563</v>
      </c>
      <c r="B17679" s="330" t="s">
        <v>62031</v>
      </c>
      <c r="C17679" s="330" t="s">
        <v>36093</v>
      </c>
      <c r="D17679" s="330" t="s">
        <v>36094</v>
      </c>
      <c r="E17679" s="330" t="s">
        <v>4819</v>
      </c>
      <c r="F17679" s="331">
        <v>0.21</v>
      </c>
      <c r="G17679" s="332">
        <v>24583</v>
      </c>
      <c r="H17679" s="333">
        <v>29746</v>
      </c>
    </row>
    <row r="17680" spans="1:8">
      <c r="A17680" s="317" t="s">
        <v>43564</v>
      </c>
      <c r="B17680" s="330" t="s">
        <v>62032</v>
      </c>
      <c r="C17680" s="330" t="s">
        <v>36095</v>
      </c>
      <c r="D17680" s="330" t="s">
        <v>36096</v>
      </c>
      <c r="E17680" s="330" t="s">
        <v>4634</v>
      </c>
      <c r="F17680" s="331">
        <v>0.21</v>
      </c>
      <c r="G17680" s="332">
        <v>97</v>
      </c>
      <c r="H17680" s="333">
        <v>118</v>
      </c>
    </row>
    <row r="17681" spans="1:8">
      <c r="A17681" s="317" t="s">
        <v>43565</v>
      </c>
      <c r="B17681" s="330" t="s">
        <v>62033</v>
      </c>
      <c r="C17681" s="330" t="s">
        <v>36097</v>
      </c>
      <c r="D17681" s="330" t="s">
        <v>36098</v>
      </c>
      <c r="E17681" s="330" t="s">
        <v>37248</v>
      </c>
      <c r="F17681" s="331">
        <v>0.21</v>
      </c>
      <c r="G17681" s="332">
        <v>40115</v>
      </c>
      <c r="H17681" s="333">
        <v>48540</v>
      </c>
    </row>
    <row r="17682" spans="1:8">
      <c r="A17682" s="317" t="s">
        <v>43566</v>
      </c>
      <c r="B17682" s="330" t="s">
        <v>62034</v>
      </c>
      <c r="C17682" s="330" t="s">
        <v>36099</v>
      </c>
      <c r="D17682" s="330" t="s">
        <v>36100</v>
      </c>
      <c r="E17682" s="330" t="s">
        <v>37248</v>
      </c>
      <c r="F17682" s="331">
        <v>0.21</v>
      </c>
      <c r="G17682" s="332">
        <v>50616</v>
      </c>
      <c r="H17682" s="333">
        <v>61246</v>
      </c>
    </row>
    <row r="17683" spans="1:8">
      <c r="A17683" s="317" t="s">
        <v>43567</v>
      </c>
      <c r="B17683" s="330" t="s">
        <v>62035</v>
      </c>
      <c r="C17683" s="330" t="s">
        <v>36101</v>
      </c>
      <c r="D17683" s="330" t="s">
        <v>36102</v>
      </c>
      <c r="E17683" s="330" t="s">
        <v>4819</v>
      </c>
      <c r="F17683" s="331">
        <v>0.21</v>
      </c>
      <c r="G17683" s="332">
        <v>7096</v>
      </c>
      <c r="H17683" s="333">
        <v>8587</v>
      </c>
    </row>
    <row r="17684" spans="1:8">
      <c r="A17684" s="317" t="s">
        <v>43568</v>
      </c>
      <c r="B17684" s="330" t="s">
        <v>62036</v>
      </c>
      <c r="C17684" s="330" t="s">
        <v>36103</v>
      </c>
      <c r="D17684" s="330" t="s">
        <v>36104</v>
      </c>
      <c r="E17684" s="330" t="s">
        <v>4623</v>
      </c>
      <c r="F17684" s="331">
        <v>0.21</v>
      </c>
      <c r="G17684" s="332">
        <v>56998</v>
      </c>
      <c r="H17684" s="333">
        <v>68968</v>
      </c>
    </row>
    <row r="17685" spans="1:8">
      <c r="A17685" s="317" t="s">
        <v>43569</v>
      </c>
      <c r="B17685" s="330" t="s">
        <v>62037</v>
      </c>
      <c r="C17685" s="330" t="s">
        <v>36105</v>
      </c>
      <c r="D17685" s="330" t="s">
        <v>36106</v>
      </c>
      <c r="E17685" s="330" t="s">
        <v>4634</v>
      </c>
      <c r="F17685" s="331">
        <v>0.21</v>
      </c>
      <c r="G17685" s="332">
        <v>1858</v>
      </c>
      <c r="H17685" s="333">
        <v>2249</v>
      </c>
    </row>
    <row r="17686" spans="1:8">
      <c r="A17686" s="317" t="s">
        <v>43570</v>
      </c>
      <c r="B17686" s="330" t="s">
        <v>62038</v>
      </c>
      <c r="C17686" s="330" t="s">
        <v>36107</v>
      </c>
      <c r="D17686" s="330" t="s">
        <v>36108</v>
      </c>
      <c r="E17686" s="330" t="s">
        <v>4634</v>
      </c>
      <c r="F17686" s="331">
        <v>0.21</v>
      </c>
      <c r="G17686" s="332">
        <v>1769</v>
      </c>
      <c r="H17686" s="333">
        <v>2141</v>
      </c>
    </row>
    <row r="17687" spans="1:8">
      <c r="A17687" s="317" t="s">
        <v>43571</v>
      </c>
      <c r="B17687" s="330" t="s">
        <v>62039</v>
      </c>
      <c r="C17687" s="330" t="s">
        <v>36109</v>
      </c>
      <c r="D17687" s="330" t="s">
        <v>36110</v>
      </c>
      <c r="E17687" s="330" t="s">
        <v>4634</v>
      </c>
      <c r="F17687" s="331">
        <v>0.21</v>
      </c>
      <c r="G17687" s="332">
        <v>5034</v>
      </c>
      <c r="H17687" s="333">
        <v>6092</v>
      </c>
    </row>
    <row r="17688" spans="1:8">
      <c r="A17688" s="317" t="s">
        <v>43572</v>
      </c>
      <c r="B17688" s="330" t="s">
        <v>62040</v>
      </c>
      <c r="C17688" s="330" t="s">
        <v>36111</v>
      </c>
      <c r="D17688" s="330" t="s">
        <v>36112</v>
      </c>
      <c r="E17688" s="330" t="s">
        <v>4634</v>
      </c>
      <c r="F17688" s="331">
        <v>0.21</v>
      </c>
      <c r="G17688" s="332">
        <v>10997</v>
      </c>
      <c r="H17688" s="333">
        <v>13307</v>
      </c>
    </row>
    <row r="17689" spans="1:8">
      <c r="A17689" s="317" t="s">
        <v>43573</v>
      </c>
      <c r="B17689" s="330" t="s">
        <v>62041</v>
      </c>
      <c r="C17689" s="330" t="s">
        <v>36113</v>
      </c>
      <c r="D17689" s="330" t="s">
        <v>36114</v>
      </c>
      <c r="E17689" s="330" t="s">
        <v>4819</v>
      </c>
      <c r="F17689" s="331">
        <v>0.21</v>
      </c>
      <c r="G17689" s="332">
        <v>14658</v>
      </c>
      <c r="H17689" s="333">
        <v>17737</v>
      </c>
    </row>
    <row r="17690" spans="1:8">
      <c r="A17690" s="317" t="s">
        <v>43574</v>
      </c>
      <c r="B17690" s="330" t="s">
        <v>62042</v>
      </c>
      <c r="C17690" s="330" t="s">
        <v>36115</v>
      </c>
      <c r="D17690" s="330" t="s">
        <v>36116</v>
      </c>
      <c r="E17690" s="330" t="s">
        <v>37248</v>
      </c>
      <c r="F17690" s="331">
        <v>0.21</v>
      </c>
      <c r="G17690" s="332">
        <v>83959</v>
      </c>
      <c r="H17690" s="333">
        <v>101591</v>
      </c>
    </row>
    <row r="17691" spans="1:8">
      <c r="A17691" s="317" t="s">
        <v>43575</v>
      </c>
      <c r="B17691" s="330" t="s">
        <v>62043</v>
      </c>
      <c r="C17691" s="330" t="s">
        <v>36117</v>
      </c>
      <c r="D17691" s="330" t="s">
        <v>36118</v>
      </c>
      <c r="E17691" s="330" t="s">
        <v>37248</v>
      </c>
      <c r="F17691" s="331">
        <v>0.21</v>
      </c>
      <c r="G17691" s="332">
        <v>10807</v>
      </c>
      <c r="H17691" s="333">
        <v>13077</v>
      </c>
    </row>
    <row r="17692" spans="1:8">
      <c r="A17692" s="317" t="s">
        <v>43576</v>
      </c>
      <c r="B17692" s="330" t="s">
        <v>62044</v>
      </c>
      <c r="C17692" s="330" t="s">
        <v>36119</v>
      </c>
      <c r="D17692" s="330" t="s">
        <v>36120</v>
      </c>
      <c r="E17692" s="330" t="s">
        <v>37248</v>
      </c>
      <c r="F17692" s="331">
        <v>0.21</v>
      </c>
      <c r="G17692" s="332">
        <v>11037</v>
      </c>
      <c r="H17692" s="333">
        <v>13355</v>
      </c>
    </row>
    <row r="17693" spans="1:8">
      <c r="A17693" s="317" t="s">
        <v>43577</v>
      </c>
      <c r="B17693" s="330" t="s">
        <v>62045</v>
      </c>
      <c r="C17693" s="330" t="s">
        <v>36121</v>
      </c>
      <c r="D17693" s="330" t="s">
        <v>36122</v>
      </c>
      <c r="E17693" s="330" t="s">
        <v>4634</v>
      </c>
      <c r="F17693" s="331">
        <v>0.21</v>
      </c>
      <c r="G17693" s="332">
        <v>8267</v>
      </c>
      <c r="H17693" s="333">
        <v>10004</v>
      </c>
    </row>
    <row r="17694" spans="1:8">
      <c r="A17694" s="317" t="s">
        <v>43578</v>
      </c>
      <c r="B17694" s="330" t="s">
        <v>62046</v>
      </c>
      <c r="C17694" s="330" t="s">
        <v>36123</v>
      </c>
      <c r="D17694" s="330" t="s">
        <v>36124</v>
      </c>
      <c r="E17694" s="330" t="s">
        <v>4634</v>
      </c>
      <c r="F17694" s="331">
        <v>0.21</v>
      </c>
      <c r="G17694" s="332">
        <v>14317</v>
      </c>
      <c r="H17694" s="333">
        <v>17324</v>
      </c>
    </row>
    <row r="17695" spans="1:8">
      <c r="A17695" s="317" t="s">
        <v>43579</v>
      </c>
      <c r="B17695" s="330" t="s">
        <v>62047</v>
      </c>
      <c r="C17695" s="330" t="s">
        <v>36125</v>
      </c>
      <c r="D17695" s="330" t="s">
        <v>36126</v>
      </c>
      <c r="E17695" s="330" t="s">
        <v>37248</v>
      </c>
      <c r="F17695" s="331">
        <v>0.21</v>
      </c>
      <c r="G17695" s="332">
        <v>33086</v>
      </c>
      <c r="H17695" s="333">
        <v>40035</v>
      </c>
    </row>
    <row r="17696" spans="1:8">
      <c r="A17696" s="317" t="s">
        <v>43580</v>
      </c>
      <c r="B17696" s="330" t="s">
        <v>62048</v>
      </c>
      <c r="C17696" s="330" t="s">
        <v>36127</v>
      </c>
      <c r="D17696" s="330" t="s">
        <v>36128</v>
      </c>
      <c r="E17696" s="330" t="s">
        <v>37248</v>
      </c>
      <c r="F17696" s="331">
        <v>0.21</v>
      </c>
      <c r="G17696" s="332">
        <v>25067</v>
      </c>
      <c r="H17696" s="333">
        <v>30332</v>
      </c>
    </row>
    <row r="17697" spans="1:8">
      <c r="A17697" s="317" t="s">
        <v>43581</v>
      </c>
      <c r="B17697" s="330" t="s">
        <v>62049</v>
      </c>
      <c r="C17697" s="330" t="s">
        <v>36129</v>
      </c>
      <c r="D17697" s="330" t="s">
        <v>36130</v>
      </c>
      <c r="E17697" s="330" t="s">
        <v>4634</v>
      </c>
      <c r="F17697" s="331">
        <v>0.21</v>
      </c>
      <c r="G17697" s="332">
        <v>1998</v>
      </c>
      <c r="H17697" s="333">
        <v>2418</v>
      </c>
    </row>
    <row r="17698" spans="1:8">
      <c r="A17698" s="317" t="s">
        <v>43582</v>
      </c>
      <c r="B17698" s="330" t="s">
        <v>62050</v>
      </c>
      <c r="C17698" s="330" t="s">
        <v>36131</v>
      </c>
      <c r="D17698" s="330" t="s">
        <v>36132</v>
      </c>
      <c r="E17698" s="330" t="s">
        <v>37248</v>
      </c>
      <c r="F17698" s="331">
        <v>0.21</v>
      </c>
      <c r="G17698" s="332">
        <v>5989</v>
      </c>
      <c r="H17698" s="333">
        <v>7247</v>
      </c>
    </row>
    <row r="17699" spans="1:8">
      <c r="A17699" s="317" t="s">
        <v>43583</v>
      </c>
      <c r="B17699" s="330" t="s">
        <v>62051</v>
      </c>
      <c r="C17699" s="330" t="s">
        <v>36133</v>
      </c>
      <c r="D17699" s="330" t="s">
        <v>36134</v>
      </c>
      <c r="E17699" s="330" t="s">
        <v>4634</v>
      </c>
      <c r="F17699" s="331">
        <v>0.21</v>
      </c>
      <c r="G17699" s="332">
        <v>2315</v>
      </c>
      <c r="H17699" s="333">
        <v>2802</v>
      </c>
    </row>
    <row r="17700" spans="1:8">
      <c r="A17700" s="317" t="s">
        <v>43584</v>
      </c>
      <c r="B17700" s="330" t="s">
        <v>62052</v>
      </c>
      <c r="C17700" s="330" t="s">
        <v>36135</v>
      </c>
      <c r="D17700" s="330" t="s">
        <v>36136</v>
      </c>
      <c r="E17700" s="330" t="s">
        <v>37248</v>
      </c>
      <c r="F17700" s="331">
        <v>0.21</v>
      </c>
      <c r="G17700" s="332">
        <v>4104</v>
      </c>
      <c r="H17700" s="333">
        <v>4966</v>
      </c>
    </row>
    <row r="17701" spans="1:8">
      <c r="A17701" s="317" t="s">
        <v>43585</v>
      </c>
      <c r="B17701" s="330" t="s">
        <v>62053</v>
      </c>
      <c r="C17701" s="330" t="s">
        <v>36137</v>
      </c>
      <c r="D17701" s="330" t="s">
        <v>36138</v>
      </c>
      <c r="E17701" s="330" t="s">
        <v>37248</v>
      </c>
      <c r="F17701" s="331">
        <v>0.21</v>
      </c>
      <c r="G17701" s="332">
        <v>2417</v>
      </c>
      <c r="H17701" s="333">
        <v>2925</v>
      </c>
    </row>
    <row r="17702" spans="1:8">
      <c r="A17702" s="317" t="s">
        <v>43586</v>
      </c>
      <c r="B17702" s="330" t="s">
        <v>62054</v>
      </c>
      <c r="C17702" s="330" t="s">
        <v>36139</v>
      </c>
      <c r="D17702" s="330" t="s">
        <v>5133</v>
      </c>
      <c r="E17702" s="330" t="s">
        <v>4634</v>
      </c>
      <c r="F17702" s="331">
        <v>0.21</v>
      </c>
      <c r="G17702" s="332">
        <v>1605</v>
      </c>
      <c r="H17702" s="333">
        <v>1943</v>
      </c>
    </row>
    <row r="17703" spans="1:8">
      <c r="A17703" s="317" t="s">
        <v>43587</v>
      </c>
      <c r="B17703" s="330" t="s">
        <v>62055</v>
      </c>
      <c r="C17703" s="330" t="s">
        <v>36140</v>
      </c>
      <c r="D17703" s="330" t="s">
        <v>36141</v>
      </c>
      <c r="E17703" s="330" t="s">
        <v>4634</v>
      </c>
      <c r="F17703" s="331">
        <v>0.21</v>
      </c>
      <c r="G17703" s="332">
        <v>1782</v>
      </c>
      <c r="H17703" s="333">
        <v>2157</v>
      </c>
    </row>
    <row r="17704" spans="1:8">
      <c r="A17704" s="317" t="s">
        <v>43588</v>
      </c>
      <c r="B17704" s="330" t="s">
        <v>62056</v>
      </c>
      <c r="C17704" s="330" t="s">
        <v>36142</v>
      </c>
      <c r="D17704" s="330" t="s">
        <v>36143</v>
      </c>
      <c r="E17704" s="330" t="s">
        <v>37248</v>
      </c>
      <c r="F17704" s="331">
        <v>0.21</v>
      </c>
      <c r="G17704" s="332">
        <v>9589</v>
      </c>
      <c r="H17704" s="333">
        <v>11603</v>
      </c>
    </row>
    <row r="17705" spans="1:8">
      <c r="A17705" s="317" t="s">
        <v>43589</v>
      </c>
      <c r="B17705" s="330" t="s">
        <v>62057</v>
      </c>
      <c r="C17705" s="330" t="s">
        <v>36144</v>
      </c>
      <c r="D17705" s="330" t="s">
        <v>36145</v>
      </c>
      <c r="E17705" s="330" t="s">
        <v>37248</v>
      </c>
      <c r="F17705" s="331">
        <v>0.21</v>
      </c>
      <c r="G17705" s="332">
        <v>4104</v>
      </c>
      <c r="H17705" s="333">
        <v>4966</v>
      </c>
    </row>
    <row r="17706" spans="1:8">
      <c r="A17706" s="317" t="s">
        <v>43590</v>
      </c>
      <c r="B17706" s="330" t="s">
        <v>62058</v>
      </c>
      <c r="C17706" s="330" t="s">
        <v>36146</v>
      </c>
      <c r="D17706" s="330" t="s">
        <v>36145</v>
      </c>
      <c r="E17706" s="330" t="s">
        <v>37248</v>
      </c>
      <c r="F17706" s="331">
        <v>0.21</v>
      </c>
      <c r="G17706" s="332">
        <v>3214</v>
      </c>
      <c r="H17706" s="333">
        <v>3889</v>
      </c>
    </row>
    <row r="17707" spans="1:8">
      <c r="A17707" s="317" t="s">
        <v>43591</v>
      </c>
      <c r="B17707" s="330" t="s">
        <v>62059</v>
      </c>
      <c r="C17707" s="330" t="s">
        <v>36147</v>
      </c>
      <c r="D17707" s="330" t="s">
        <v>11779</v>
      </c>
      <c r="E17707" s="330" t="s">
        <v>4819</v>
      </c>
      <c r="F17707" s="331">
        <v>0.21</v>
      </c>
      <c r="G17707" s="332">
        <v>1055</v>
      </c>
      <c r="H17707" s="333">
        <v>1277</v>
      </c>
    </row>
    <row r="17708" spans="1:8">
      <c r="A17708" s="317" t="s">
        <v>43592</v>
      </c>
      <c r="B17708" s="330" t="s">
        <v>62060</v>
      </c>
      <c r="C17708" s="330" t="s">
        <v>36148</v>
      </c>
      <c r="D17708" s="330" t="s">
        <v>36149</v>
      </c>
      <c r="E17708" s="330" t="s">
        <v>4819</v>
      </c>
      <c r="F17708" s="331">
        <v>0.21</v>
      </c>
      <c r="G17708" s="332">
        <v>919</v>
      </c>
      <c r="H17708" s="333">
        <v>1112</v>
      </c>
    </row>
    <row r="17709" spans="1:8">
      <c r="A17709" s="317" t="s">
        <v>43593</v>
      </c>
      <c r="B17709" s="330" t="s">
        <v>62061</v>
      </c>
      <c r="C17709" s="330" t="s">
        <v>36150</v>
      </c>
      <c r="D17709" s="330" t="s">
        <v>36151</v>
      </c>
      <c r="E17709" s="330" t="s">
        <v>4819</v>
      </c>
      <c r="F17709" s="331">
        <v>0.21</v>
      </c>
      <c r="G17709" s="332">
        <v>2478</v>
      </c>
      <c r="H17709" s="333">
        <v>2999</v>
      </c>
    </row>
    <row r="17710" spans="1:8">
      <c r="A17710" s="317" t="s">
        <v>43594</v>
      </c>
      <c r="B17710" s="330" t="s">
        <v>62062</v>
      </c>
      <c r="C17710" s="330" t="s">
        <v>36152</v>
      </c>
      <c r="D17710" s="330" t="s">
        <v>36153</v>
      </c>
      <c r="E17710" s="330" t="s">
        <v>4634</v>
      </c>
      <c r="F17710" s="331">
        <v>0.21</v>
      </c>
      <c r="G17710" s="332">
        <v>854</v>
      </c>
      <c r="H17710" s="333">
        <v>1034</v>
      </c>
    </row>
    <row r="17711" spans="1:8">
      <c r="A17711" s="317" t="s">
        <v>43595</v>
      </c>
      <c r="B17711" s="330" t="s">
        <v>62063</v>
      </c>
      <c r="C17711" s="330" t="s">
        <v>36154</v>
      </c>
      <c r="D17711" s="330" t="s">
        <v>36153</v>
      </c>
      <c r="E17711" s="330" t="s">
        <v>4634</v>
      </c>
      <c r="F17711" s="331">
        <v>0.21</v>
      </c>
      <c r="G17711" s="332">
        <v>928</v>
      </c>
      <c r="H17711" s="333">
        <v>1123</v>
      </c>
    </row>
    <row r="17712" spans="1:8">
      <c r="A17712" s="317" t="s">
        <v>43596</v>
      </c>
      <c r="B17712" s="330" t="s">
        <v>62064</v>
      </c>
      <c r="C17712" s="330" t="s">
        <v>36155</v>
      </c>
      <c r="D17712" s="330" t="s">
        <v>11098</v>
      </c>
      <c r="E17712" s="330" t="s">
        <v>37248</v>
      </c>
      <c r="F17712" s="331">
        <v>0.21</v>
      </c>
      <c r="G17712" s="332">
        <v>7872</v>
      </c>
      <c r="H17712" s="333">
        <v>9526</v>
      </c>
    </row>
    <row r="17713" spans="1:8">
      <c r="A17713" s="317" t="s">
        <v>43597</v>
      </c>
      <c r="B17713" s="330" t="s">
        <v>62065</v>
      </c>
      <c r="C17713" s="330" t="s">
        <v>36156</v>
      </c>
      <c r="D17713" s="330" t="s">
        <v>5782</v>
      </c>
      <c r="E17713" s="330" t="s">
        <v>4634</v>
      </c>
      <c r="F17713" s="331">
        <v>0.21</v>
      </c>
      <c r="G17713" s="332">
        <v>854</v>
      </c>
      <c r="H17713" s="333">
        <v>1034</v>
      </c>
    </row>
    <row r="17714" spans="1:8">
      <c r="A17714" s="317" t="s">
        <v>43598</v>
      </c>
      <c r="B17714" s="330" t="s">
        <v>62066</v>
      </c>
      <c r="C17714" s="330" t="s">
        <v>36157</v>
      </c>
      <c r="D17714" s="330" t="s">
        <v>5782</v>
      </c>
      <c r="E17714" s="330" t="s">
        <v>4634</v>
      </c>
      <c r="F17714" s="331">
        <v>0.21</v>
      </c>
      <c r="G17714" s="332">
        <v>1070</v>
      </c>
      <c r="H17714" s="333">
        <v>1295</v>
      </c>
    </row>
    <row r="17715" spans="1:8">
      <c r="A17715" s="317" t="s">
        <v>43599</v>
      </c>
      <c r="B17715" s="330" t="s">
        <v>62067</v>
      </c>
      <c r="C17715" s="330" t="s">
        <v>36158</v>
      </c>
      <c r="D17715" s="330" t="s">
        <v>36159</v>
      </c>
      <c r="E17715" s="330" t="s">
        <v>4634</v>
      </c>
      <c r="F17715" s="331">
        <v>0.21</v>
      </c>
      <c r="G17715" s="332">
        <v>1621</v>
      </c>
      <c r="H17715" s="333">
        <v>1962</v>
      </c>
    </row>
    <row r="17716" spans="1:8">
      <c r="A17716" s="317" t="s">
        <v>43600</v>
      </c>
      <c r="B17716" s="330" t="s">
        <v>62068</v>
      </c>
      <c r="C17716" s="330" t="s">
        <v>36160</v>
      </c>
      <c r="D17716" s="330" t="s">
        <v>36161</v>
      </c>
      <c r="E17716" s="330" t="s">
        <v>4819</v>
      </c>
      <c r="F17716" s="331">
        <v>0.21</v>
      </c>
      <c r="G17716" s="332">
        <v>1588</v>
      </c>
      <c r="H17716" s="333">
        <v>1922</v>
      </c>
    </row>
    <row r="17717" spans="1:8">
      <c r="A17717" s="317" t="s">
        <v>43601</v>
      </c>
      <c r="B17717" s="330" t="s">
        <v>62069</v>
      </c>
      <c r="C17717" s="330" t="s">
        <v>36162</v>
      </c>
      <c r="D17717" s="330" t="s">
        <v>36163</v>
      </c>
      <c r="E17717" s="330" t="s">
        <v>4634</v>
      </c>
      <c r="F17717" s="331">
        <v>0.21</v>
      </c>
      <c r="G17717" s="332">
        <v>791</v>
      </c>
      <c r="H17717" s="333">
        <v>958</v>
      </c>
    </row>
    <row r="17718" spans="1:8">
      <c r="A17718" s="317" t="s">
        <v>43602</v>
      </c>
      <c r="B17718" s="330" t="s">
        <v>62070</v>
      </c>
      <c r="C17718" s="330" t="s">
        <v>36164</v>
      </c>
      <c r="D17718" s="330" t="s">
        <v>36165</v>
      </c>
      <c r="E17718" s="330" t="s">
        <v>4634</v>
      </c>
      <c r="F17718" s="331">
        <v>0.21</v>
      </c>
      <c r="G17718" s="332">
        <v>823</v>
      </c>
      <c r="H17718" s="333">
        <v>996</v>
      </c>
    </row>
    <row r="17719" spans="1:8">
      <c r="A17719" s="317" t="s">
        <v>43603</v>
      </c>
      <c r="B17719" s="330" t="s">
        <v>62071</v>
      </c>
      <c r="C17719" s="330" t="s">
        <v>36166</v>
      </c>
      <c r="D17719" s="330" t="s">
        <v>36167</v>
      </c>
      <c r="E17719" s="330" t="s">
        <v>4634</v>
      </c>
      <c r="F17719" s="331">
        <v>0.21</v>
      </c>
      <c r="G17719" s="332">
        <v>823</v>
      </c>
      <c r="H17719" s="333">
        <v>996</v>
      </c>
    </row>
    <row r="17720" spans="1:8">
      <c r="A17720" s="317" t="s">
        <v>43604</v>
      </c>
      <c r="B17720" s="330" t="s">
        <v>62072</v>
      </c>
      <c r="C17720" s="330" t="s">
        <v>36168</v>
      </c>
      <c r="D17720" s="330" t="s">
        <v>36167</v>
      </c>
      <c r="E17720" s="330" t="s">
        <v>4634</v>
      </c>
      <c r="F17720" s="331">
        <v>0.21</v>
      </c>
      <c r="G17720" s="332">
        <v>791</v>
      </c>
      <c r="H17720" s="333">
        <v>958</v>
      </c>
    </row>
    <row r="17721" spans="1:8">
      <c r="A17721" s="317" t="s">
        <v>43605</v>
      </c>
      <c r="B17721" s="330" t="s">
        <v>62073</v>
      </c>
      <c r="C17721" s="330" t="s">
        <v>36169</v>
      </c>
      <c r="D17721" s="330" t="s">
        <v>36170</v>
      </c>
      <c r="E17721" s="330" t="s">
        <v>4634</v>
      </c>
      <c r="F17721" s="331">
        <v>0.21</v>
      </c>
      <c r="G17721" s="332">
        <v>194</v>
      </c>
      <c r="H17721" s="333">
        <v>235</v>
      </c>
    </row>
    <row r="17722" spans="1:8">
      <c r="A17722" s="317" t="s">
        <v>43606</v>
      </c>
      <c r="B17722" s="330" t="s">
        <v>62074</v>
      </c>
      <c r="C17722" s="330" t="s">
        <v>36171</v>
      </c>
      <c r="D17722" s="330" t="s">
        <v>36170</v>
      </c>
      <c r="E17722" s="330" t="s">
        <v>4634</v>
      </c>
      <c r="F17722" s="331">
        <v>0.21</v>
      </c>
      <c r="G17722" s="332">
        <v>285</v>
      </c>
      <c r="H17722" s="333">
        <v>345</v>
      </c>
    </row>
    <row r="17723" spans="1:8">
      <c r="A17723" s="317" t="s">
        <v>43607</v>
      </c>
      <c r="B17723" s="330" t="s">
        <v>62075</v>
      </c>
      <c r="C17723" s="330" t="s">
        <v>36172</v>
      </c>
      <c r="D17723" s="330" t="s">
        <v>36170</v>
      </c>
      <c r="E17723" s="330" t="s">
        <v>4634</v>
      </c>
      <c r="F17723" s="331">
        <v>0.21</v>
      </c>
      <c r="G17723" s="332">
        <v>285</v>
      </c>
      <c r="H17723" s="333">
        <v>345</v>
      </c>
    </row>
    <row r="17724" spans="1:8">
      <c r="A17724" s="317" t="s">
        <v>43608</v>
      </c>
      <c r="B17724" s="330" t="s">
        <v>62076</v>
      </c>
      <c r="C17724" s="330" t="s">
        <v>36173</v>
      </c>
      <c r="D17724" s="330" t="s">
        <v>36174</v>
      </c>
      <c r="E17724" s="330" t="s">
        <v>4819</v>
      </c>
      <c r="F17724" s="331">
        <v>0.21</v>
      </c>
      <c r="G17724" s="332">
        <v>919</v>
      </c>
      <c r="H17724" s="333">
        <v>1112</v>
      </c>
    </row>
    <row r="17725" spans="1:8">
      <c r="A17725" s="317" t="s">
        <v>43609</v>
      </c>
      <c r="B17725" s="330" t="s">
        <v>62077</v>
      </c>
      <c r="C17725" s="330" t="s">
        <v>36175</v>
      </c>
      <c r="D17725" s="330" t="s">
        <v>36176</v>
      </c>
      <c r="E17725" s="330" t="s">
        <v>4634</v>
      </c>
      <c r="F17725" s="331">
        <v>0.21</v>
      </c>
      <c r="G17725" s="332">
        <v>372</v>
      </c>
      <c r="H17725" s="333">
        <v>451</v>
      </c>
    </row>
    <row r="17726" spans="1:8">
      <c r="A17726" s="317" t="s">
        <v>43610</v>
      </c>
      <c r="B17726" s="330" t="s">
        <v>62078</v>
      </c>
      <c r="C17726" s="330" t="s">
        <v>36177</v>
      </c>
      <c r="D17726" s="330" t="s">
        <v>36178</v>
      </c>
      <c r="E17726" s="330" t="s">
        <v>37248</v>
      </c>
      <c r="F17726" s="331">
        <v>0.21</v>
      </c>
      <c r="G17726" s="332">
        <v>5597</v>
      </c>
      <c r="H17726" s="333">
        <v>6773</v>
      </c>
    </row>
    <row r="17727" spans="1:8">
      <c r="A17727" s="317" t="s">
        <v>43611</v>
      </c>
      <c r="B17727" s="330" t="s">
        <v>62079</v>
      </c>
      <c r="C17727" s="330" t="s">
        <v>36179</v>
      </c>
      <c r="D17727" s="330" t="s">
        <v>36180</v>
      </c>
      <c r="E17727" s="330" t="s">
        <v>37248</v>
      </c>
      <c r="F17727" s="331">
        <v>0.21</v>
      </c>
      <c r="G17727" s="332">
        <v>1936</v>
      </c>
      <c r="H17727" s="333">
        <v>2343</v>
      </c>
    </row>
    <row r="17728" spans="1:8">
      <c r="A17728" s="317" t="s">
        <v>43612</v>
      </c>
      <c r="B17728" s="330" t="s">
        <v>62080</v>
      </c>
      <c r="C17728" s="330" t="s">
        <v>36181</v>
      </c>
      <c r="D17728" s="330" t="s">
        <v>36182</v>
      </c>
      <c r="E17728" s="330" t="s">
        <v>4819</v>
      </c>
      <c r="F17728" s="331">
        <v>0.21</v>
      </c>
      <c r="G17728" s="332">
        <v>2059</v>
      </c>
      <c r="H17728" s="333">
        <v>2492</v>
      </c>
    </row>
    <row r="17729" spans="1:8">
      <c r="A17729" s="317" t="s">
        <v>43613</v>
      </c>
      <c r="B17729" s="330" t="s">
        <v>62081</v>
      </c>
      <c r="C17729" s="330" t="s">
        <v>36183</v>
      </c>
      <c r="D17729" s="330" t="s">
        <v>36184</v>
      </c>
      <c r="E17729" s="330" t="s">
        <v>4819</v>
      </c>
      <c r="F17729" s="331">
        <v>0.21</v>
      </c>
      <c r="G17729" s="332">
        <v>9688</v>
      </c>
      <c r="H17729" s="333">
        <v>11723</v>
      </c>
    </row>
    <row r="17730" spans="1:8">
      <c r="A17730" s="317" t="s">
        <v>43614</v>
      </c>
      <c r="B17730" s="330" t="s">
        <v>62082</v>
      </c>
      <c r="C17730" s="330" t="s">
        <v>36185</v>
      </c>
      <c r="D17730" s="330" t="s">
        <v>28971</v>
      </c>
      <c r="E17730" s="330" t="s">
        <v>4634</v>
      </c>
      <c r="F17730" s="331">
        <v>0.21</v>
      </c>
      <c r="G17730" s="332">
        <v>854</v>
      </c>
      <c r="H17730" s="333">
        <v>1034</v>
      </c>
    </row>
    <row r="17731" spans="1:8">
      <c r="A17731" s="317" t="s">
        <v>43615</v>
      </c>
      <c r="B17731" s="330" t="s">
        <v>62083</v>
      </c>
      <c r="C17731" s="330" t="s">
        <v>36186</v>
      </c>
      <c r="D17731" s="330" t="s">
        <v>28971</v>
      </c>
      <c r="E17731" s="330" t="s">
        <v>4634</v>
      </c>
      <c r="F17731" s="331">
        <v>0.21</v>
      </c>
      <c r="G17731" s="332">
        <v>711</v>
      </c>
      <c r="H17731" s="333">
        <v>861</v>
      </c>
    </row>
    <row r="17732" spans="1:8">
      <c r="A17732" s="317" t="s">
        <v>43616</v>
      </c>
      <c r="B17732" s="330" t="s">
        <v>62084</v>
      </c>
      <c r="C17732" s="330" t="s">
        <v>36187</v>
      </c>
      <c r="D17732" s="330" t="s">
        <v>36188</v>
      </c>
      <c r="E17732" s="330" t="s">
        <v>4819</v>
      </c>
      <c r="F17732" s="331">
        <v>0.21</v>
      </c>
      <c r="G17732" s="332">
        <v>1744</v>
      </c>
      <c r="H17732" s="333">
        <v>2111</v>
      </c>
    </row>
    <row r="17733" spans="1:8">
      <c r="A17733" s="317" t="s">
        <v>43617</v>
      </c>
      <c r="B17733" s="330" t="s">
        <v>62085</v>
      </c>
      <c r="C17733" s="330" t="s">
        <v>36189</v>
      </c>
      <c r="D17733" s="330" t="s">
        <v>6107</v>
      </c>
      <c r="E17733" s="330" t="s">
        <v>4634</v>
      </c>
      <c r="F17733" s="331">
        <v>0.21</v>
      </c>
      <c r="G17733" s="332">
        <v>446</v>
      </c>
      <c r="H17733" s="333">
        <v>540</v>
      </c>
    </row>
    <row r="17734" spans="1:8">
      <c r="A17734" s="317" t="s">
        <v>43618</v>
      </c>
      <c r="B17734" s="330" t="s">
        <v>62086</v>
      </c>
      <c r="C17734" s="330" t="s">
        <v>36190</v>
      </c>
      <c r="D17734" s="330" t="s">
        <v>6740</v>
      </c>
      <c r="E17734" s="330" t="s">
        <v>4819</v>
      </c>
      <c r="F17734" s="331">
        <v>0.21</v>
      </c>
      <c r="G17734" s="332">
        <v>5378</v>
      </c>
      <c r="H17734" s="333">
        <v>6508</v>
      </c>
    </row>
    <row r="17735" spans="1:8">
      <c r="A17735" s="317" t="s">
        <v>43619</v>
      </c>
      <c r="B17735" s="330" t="s">
        <v>62087</v>
      </c>
      <c r="C17735" s="330" t="s">
        <v>36191</v>
      </c>
      <c r="D17735" s="330" t="s">
        <v>36192</v>
      </c>
      <c r="E17735" s="330" t="s">
        <v>4634</v>
      </c>
      <c r="F17735" s="331">
        <v>0.21</v>
      </c>
      <c r="G17735" s="332">
        <v>3310</v>
      </c>
      <c r="H17735" s="333">
        <v>4006</v>
      </c>
    </row>
    <row r="17736" spans="1:8">
      <c r="A17736" s="317" t="s">
        <v>43620</v>
      </c>
      <c r="B17736" s="330" t="s">
        <v>62088</v>
      </c>
      <c r="C17736" s="330" t="s">
        <v>36193</v>
      </c>
      <c r="D17736" s="330" t="s">
        <v>36194</v>
      </c>
      <c r="E17736" s="330" t="s">
        <v>4634</v>
      </c>
      <c r="F17736" s="331">
        <v>0.21</v>
      </c>
      <c r="G17736" s="332">
        <v>1461</v>
      </c>
      <c r="H17736" s="333">
        <v>1768</v>
      </c>
    </row>
    <row r="17737" spans="1:8">
      <c r="A17737" s="317" t="s">
        <v>43621</v>
      </c>
      <c r="B17737" s="330" t="s">
        <v>62089</v>
      </c>
      <c r="C17737" s="330" t="s">
        <v>36195</v>
      </c>
      <c r="D17737" s="330" t="s">
        <v>36196</v>
      </c>
      <c r="E17737" s="330" t="s">
        <v>4819</v>
      </c>
      <c r="F17737" s="331">
        <v>0.21</v>
      </c>
      <c r="G17737" s="332">
        <v>3410</v>
      </c>
      <c r="H17737" s="333">
        <v>4127</v>
      </c>
    </row>
    <row r="17738" spans="1:8">
      <c r="A17738" s="317" t="s">
        <v>43622</v>
      </c>
      <c r="B17738" s="330" t="s">
        <v>62090</v>
      </c>
      <c r="C17738" s="330" t="s">
        <v>36197</v>
      </c>
      <c r="D17738" s="330" t="s">
        <v>36198</v>
      </c>
      <c r="E17738" s="330" t="s">
        <v>4634</v>
      </c>
      <c r="F17738" s="331">
        <v>0.21</v>
      </c>
      <c r="G17738" s="332">
        <v>919</v>
      </c>
      <c r="H17738" s="333">
        <v>1112</v>
      </c>
    </row>
    <row r="17739" spans="1:8">
      <c r="A17739" s="317" t="s">
        <v>43623</v>
      </c>
      <c r="B17739" s="330" t="s">
        <v>62091</v>
      </c>
      <c r="C17739" s="330" t="s">
        <v>36199</v>
      </c>
      <c r="D17739" s="330" t="s">
        <v>36200</v>
      </c>
      <c r="E17739" s="330" t="s">
        <v>4819</v>
      </c>
      <c r="F17739" s="331">
        <v>0.21</v>
      </c>
      <c r="G17739" s="332">
        <v>4445</v>
      </c>
      <c r="H17739" s="333">
        <v>5379</v>
      </c>
    </row>
    <row r="17740" spans="1:8">
      <c r="A17740" s="317" t="s">
        <v>43624</v>
      </c>
      <c r="B17740" s="330" t="s">
        <v>62092</v>
      </c>
      <c r="C17740" s="330" t="s">
        <v>36201</v>
      </c>
      <c r="D17740" s="330" t="s">
        <v>36202</v>
      </c>
      <c r="E17740" s="330" t="s">
        <v>4819</v>
      </c>
      <c r="F17740" s="331">
        <v>0.21</v>
      </c>
      <c r="G17740" s="332">
        <v>5993</v>
      </c>
      <c r="H17740" s="333">
        <v>7252</v>
      </c>
    </row>
    <row r="17741" spans="1:8">
      <c r="A17741" s="317" t="s">
        <v>43625</v>
      </c>
      <c r="B17741" s="330" t="s">
        <v>62093</v>
      </c>
      <c r="C17741" s="330" t="s">
        <v>36203</v>
      </c>
      <c r="D17741" s="330" t="s">
        <v>36204</v>
      </c>
      <c r="E17741" s="330" t="s">
        <v>4623</v>
      </c>
      <c r="F17741" s="331">
        <v>0.21</v>
      </c>
      <c r="G17741" s="332">
        <v>5597</v>
      </c>
      <c r="H17741" s="333">
        <v>6773</v>
      </c>
    </row>
    <row r="17742" spans="1:8">
      <c r="A17742" s="317" t="s">
        <v>43626</v>
      </c>
      <c r="B17742" s="330" t="s">
        <v>62094</v>
      </c>
      <c r="C17742" s="330" t="s">
        <v>36205</v>
      </c>
      <c r="D17742" s="330" t="s">
        <v>36206</v>
      </c>
      <c r="E17742" s="330" t="s">
        <v>4634</v>
      </c>
      <c r="F17742" s="331">
        <v>0.21</v>
      </c>
      <c r="G17742" s="332">
        <v>963</v>
      </c>
      <c r="H17742" s="333">
        <v>1166</v>
      </c>
    </row>
    <row r="17743" spans="1:8">
      <c r="A17743" s="317" t="s">
        <v>43627</v>
      </c>
      <c r="B17743" s="330" t="s">
        <v>62095</v>
      </c>
      <c r="C17743" s="330" t="s">
        <v>36207</v>
      </c>
      <c r="D17743" s="330" t="s">
        <v>36208</v>
      </c>
      <c r="E17743" s="330" t="s">
        <v>4634</v>
      </c>
      <c r="F17743" s="331">
        <v>0.21</v>
      </c>
      <c r="G17743" s="332">
        <v>19360</v>
      </c>
      <c r="H17743" s="333">
        <v>23426</v>
      </c>
    </row>
    <row r="17744" spans="1:8">
      <c r="A17744" s="317" t="s">
        <v>43628</v>
      </c>
      <c r="B17744" s="330" t="s">
        <v>62096</v>
      </c>
      <c r="C17744" s="330" t="s">
        <v>36209</v>
      </c>
      <c r="D17744" s="330" t="s">
        <v>36206</v>
      </c>
      <c r="E17744" s="330" t="s">
        <v>4634</v>
      </c>
      <c r="F17744" s="331">
        <v>0.21</v>
      </c>
      <c r="G17744" s="332">
        <v>963</v>
      </c>
      <c r="H17744" s="333">
        <v>1166</v>
      </c>
    </row>
    <row r="17745" spans="1:8">
      <c r="A17745" s="317" t="s">
        <v>43629</v>
      </c>
      <c r="B17745" s="330" t="s">
        <v>62097</v>
      </c>
      <c r="C17745" s="330" t="s">
        <v>36210</v>
      </c>
      <c r="D17745" s="330" t="s">
        <v>36206</v>
      </c>
      <c r="E17745" s="330" t="s">
        <v>4634</v>
      </c>
      <c r="F17745" s="331">
        <v>0.21</v>
      </c>
      <c r="G17745" s="332">
        <v>963</v>
      </c>
      <c r="H17745" s="333">
        <v>1166</v>
      </c>
    </row>
    <row r="17746" spans="1:8">
      <c r="A17746" s="317" t="s">
        <v>43630</v>
      </c>
      <c r="B17746" s="330" t="s">
        <v>62098</v>
      </c>
      <c r="C17746" s="330" t="s">
        <v>36211</v>
      </c>
      <c r="D17746" s="330" t="s">
        <v>36208</v>
      </c>
      <c r="E17746" s="330" t="s">
        <v>4634</v>
      </c>
      <c r="F17746" s="331">
        <v>0.21</v>
      </c>
      <c r="G17746" s="332">
        <v>963</v>
      </c>
      <c r="H17746" s="333">
        <v>1166</v>
      </c>
    </row>
    <row r="17747" spans="1:8">
      <c r="A17747" s="317" t="s">
        <v>43631</v>
      </c>
      <c r="B17747" s="330" t="s">
        <v>62099</v>
      </c>
      <c r="C17747" s="330" t="s">
        <v>36212</v>
      </c>
      <c r="D17747" s="330" t="s">
        <v>36213</v>
      </c>
      <c r="E17747" s="330" t="s">
        <v>4634</v>
      </c>
      <c r="F17747" s="331">
        <v>0.21</v>
      </c>
      <c r="G17747" s="332">
        <v>3963</v>
      </c>
      <c r="H17747" s="333">
        <v>4796</v>
      </c>
    </row>
    <row r="17748" spans="1:8">
      <c r="A17748" s="317" t="s">
        <v>43632</v>
      </c>
      <c r="B17748" s="330" t="s">
        <v>62100</v>
      </c>
      <c r="C17748" s="330" t="s">
        <v>36214</v>
      </c>
      <c r="D17748" s="330" t="s">
        <v>36215</v>
      </c>
      <c r="E17748" s="330" t="s">
        <v>4634</v>
      </c>
      <c r="F17748" s="331">
        <v>0.21</v>
      </c>
      <c r="G17748" s="332">
        <v>19862</v>
      </c>
      <c r="H17748" s="333">
        <v>24034</v>
      </c>
    </row>
    <row r="17749" spans="1:8">
      <c r="A17749" s="317" t="s">
        <v>43633</v>
      </c>
      <c r="B17749" s="330" t="s">
        <v>62101</v>
      </c>
      <c r="C17749" s="330" t="s">
        <v>36216</v>
      </c>
      <c r="D17749" s="330" t="s">
        <v>36217</v>
      </c>
      <c r="E17749" s="330" t="s">
        <v>4634</v>
      </c>
      <c r="F17749" s="331">
        <v>0.21</v>
      </c>
      <c r="G17749" s="332">
        <v>8563</v>
      </c>
      <c r="H17749" s="333">
        <v>10362</v>
      </c>
    </row>
    <row r="17750" spans="1:8">
      <c r="A17750" s="317" t="s">
        <v>43634</v>
      </c>
      <c r="B17750" s="330" t="s">
        <v>62102</v>
      </c>
      <c r="C17750" s="330" t="s">
        <v>36218</v>
      </c>
      <c r="D17750" s="330" t="s">
        <v>36217</v>
      </c>
      <c r="E17750" s="330" t="s">
        <v>4634</v>
      </c>
      <c r="F17750" s="331">
        <v>0.21</v>
      </c>
      <c r="G17750" s="332">
        <v>31855</v>
      </c>
      <c r="H17750" s="333">
        <v>38545</v>
      </c>
    </row>
    <row r="17751" spans="1:8">
      <c r="A17751" s="317" t="s">
        <v>43635</v>
      </c>
      <c r="B17751" s="330" t="s">
        <v>62103</v>
      </c>
      <c r="C17751" s="330" t="s">
        <v>36219</v>
      </c>
      <c r="D17751" s="330" t="s">
        <v>36220</v>
      </c>
      <c r="E17751" s="330" t="s">
        <v>4634</v>
      </c>
      <c r="F17751" s="331">
        <v>0.21</v>
      </c>
      <c r="G17751" s="332">
        <v>9222</v>
      </c>
      <c r="H17751" s="333">
        <v>11159</v>
      </c>
    </row>
    <row r="17752" spans="1:8">
      <c r="A17752" s="317" t="s">
        <v>43636</v>
      </c>
      <c r="B17752" s="330" t="s">
        <v>62104</v>
      </c>
      <c r="C17752" s="330" t="s">
        <v>36221</v>
      </c>
      <c r="D17752" s="330" t="s">
        <v>36222</v>
      </c>
      <c r="E17752" s="330" t="s">
        <v>4634</v>
      </c>
      <c r="F17752" s="331">
        <v>0.21</v>
      </c>
      <c r="G17752" s="332">
        <v>4176</v>
      </c>
      <c r="H17752" s="333">
        <v>5053</v>
      </c>
    </row>
    <row r="17753" spans="1:8">
      <c r="A17753" s="317" t="s">
        <v>43637</v>
      </c>
      <c r="B17753" s="330" t="s">
        <v>62105</v>
      </c>
      <c r="C17753" s="330" t="s">
        <v>36223</v>
      </c>
      <c r="D17753" s="330" t="s">
        <v>36224</v>
      </c>
      <c r="E17753" s="330" t="s">
        <v>4634</v>
      </c>
      <c r="F17753" s="331">
        <v>0.21</v>
      </c>
      <c r="G17753" s="332">
        <v>1434</v>
      </c>
      <c r="H17753" s="333">
        <v>1736</v>
      </c>
    </row>
    <row r="17754" spans="1:8">
      <c r="A17754" s="317" t="s">
        <v>43638</v>
      </c>
      <c r="B17754" s="330" t="s">
        <v>62106</v>
      </c>
      <c r="C17754" s="330" t="s">
        <v>36225</v>
      </c>
      <c r="D17754" s="330" t="s">
        <v>36224</v>
      </c>
      <c r="E17754" s="330" t="s">
        <v>4634</v>
      </c>
      <c r="F17754" s="331">
        <v>0.21</v>
      </c>
      <c r="G17754" s="332">
        <v>2542</v>
      </c>
      <c r="H17754" s="333">
        <v>3076</v>
      </c>
    </row>
    <row r="17755" spans="1:8">
      <c r="A17755" s="317" t="s">
        <v>43639</v>
      </c>
      <c r="B17755" s="330" t="s">
        <v>62107</v>
      </c>
      <c r="C17755" s="330" t="s">
        <v>36226</v>
      </c>
      <c r="D17755" s="330" t="s">
        <v>36224</v>
      </c>
      <c r="E17755" s="330" t="s">
        <v>4634</v>
      </c>
      <c r="F17755" s="331">
        <v>0.21</v>
      </c>
      <c r="G17755" s="332">
        <v>3810</v>
      </c>
      <c r="H17755" s="333">
        <v>4611</v>
      </c>
    </row>
    <row r="17756" spans="1:8">
      <c r="A17756" s="317" t="s">
        <v>43640</v>
      </c>
      <c r="B17756" s="330" t="s">
        <v>62108</v>
      </c>
      <c r="C17756" s="330" t="s">
        <v>36227</v>
      </c>
      <c r="D17756" s="330" t="s">
        <v>36228</v>
      </c>
      <c r="E17756" s="330" t="s">
        <v>4634</v>
      </c>
      <c r="F17756" s="331">
        <v>0.21</v>
      </c>
      <c r="G17756" s="332">
        <v>3888</v>
      </c>
      <c r="H17756" s="333">
        <v>4705</v>
      </c>
    </row>
    <row r="17757" spans="1:8">
      <c r="A17757" s="317" t="s">
        <v>43641</v>
      </c>
      <c r="B17757" s="330" t="s">
        <v>62109</v>
      </c>
      <c r="C17757" s="330" t="s">
        <v>36229</v>
      </c>
      <c r="D17757" s="330" t="s">
        <v>36228</v>
      </c>
      <c r="E17757" s="330" t="s">
        <v>4634</v>
      </c>
      <c r="F17757" s="331">
        <v>0.21</v>
      </c>
      <c r="G17757" s="332">
        <v>5791</v>
      </c>
      <c r="H17757" s="333">
        <v>7008</v>
      </c>
    </row>
    <row r="17758" spans="1:8">
      <c r="A17758" s="317" t="s">
        <v>43642</v>
      </c>
      <c r="B17758" s="330" t="s">
        <v>62110</v>
      </c>
      <c r="C17758" s="330" t="s">
        <v>36230</v>
      </c>
      <c r="D17758" s="330" t="s">
        <v>36228</v>
      </c>
      <c r="E17758" s="330" t="s">
        <v>4634</v>
      </c>
      <c r="F17758" s="331">
        <v>0.21</v>
      </c>
      <c r="G17758" s="332">
        <v>1371</v>
      </c>
      <c r="H17758" s="333">
        <v>1659</v>
      </c>
    </row>
    <row r="17759" spans="1:8">
      <c r="A17759" s="317" t="s">
        <v>43643</v>
      </c>
      <c r="B17759" s="330" t="s">
        <v>62111</v>
      </c>
      <c r="C17759" s="330" t="s">
        <v>36231</v>
      </c>
      <c r="D17759" s="330" t="s">
        <v>36228</v>
      </c>
      <c r="E17759" s="330" t="s">
        <v>4634</v>
      </c>
      <c r="F17759" s="331">
        <v>0.21</v>
      </c>
      <c r="G17759" s="332">
        <v>3984</v>
      </c>
      <c r="H17759" s="333">
        <v>4821</v>
      </c>
    </row>
    <row r="17760" spans="1:8">
      <c r="A17760" s="317" t="s">
        <v>43644</v>
      </c>
      <c r="B17760" s="330" t="s">
        <v>62112</v>
      </c>
      <c r="C17760" s="330" t="s">
        <v>36232</v>
      </c>
      <c r="D17760" s="330" t="s">
        <v>35870</v>
      </c>
      <c r="E17760" s="330" t="s">
        <v>4634</v>
      </c>
      <c r="F17760" s="331">
        <v>0.21</v>
      </c>
      <c r="G17760" s="332">
        <v>1188</v>
      </c>
      <c r="H17760" s="333">
        <v>1438</v>
      </c>
    </row>
    <row r="17761" spans="1:8">
      <c r="A17761" s="317" t="s">
        <v>43645</v>
      </c>
      <c r="B17761" s="330" t="s">
        <v>62113</v>
      </c>
      <c r="C17761" s="330" t="s">
        <v>36233</v>
      </c>
      <c r="D17761" s="330" t="s">
        <v>36234</v>
      </c>
      <c r="E17761" s="330" t="s">
        <v>37248</v>
      </c>
      <c r="F17761" s="331">
        <v>0.21</v>
      </c>
      <c r="G17761" s="332">
        <v>7142</v>
      </c>
      <c r="H17761" s="333">
        <v>8642</v>
      </c>
    </row>
    <row r="17762" spans="1:8">
      <c r="A17762" s="317" t="s">
        <v>43646</v>
      </c>
      <c r="B17762" s="330" t="s">
        <v>62114</v>
      </c>
      <c r="C17762" s="330" t="s">
        <v>36235</v>
      </c>
      <c r="D17762" s="330" t="s">
        <v>36236</v>
      </c>
      <c r="E17762" s="330" t="s">
        <v>4819</v>
      </c>
      <c r="F17762" s="331">
        <v>0.21</v>
      </c>
      <c r="G17762" s="332">
        <v>5362</v>
      </c>
      <c r="H17762" s="333">
        <v>6489</v>
      </c>
    </row>
    <row r="17763" spans="1:8">
      <c r="A17763" s="317" t="s">
        <v>43647</v>
      </c>
      <c r="B17763" s="330" t="s">
        <v>62115</v>
      </c>
      <c r="C17763" s="330" t="s">
        <v>36237</v>
      </c>
      <c r="D17763" s="330" t="s">
        <v>36236</v>
      </c>
      <c r="E17763" s="330" t="s">
        <v>4819</v>
      </c>
      <c r="F17763" s="331">
        <v>0.21</v>
      </c>
      <c r="G17763" s="332">
        <v>5378</v>
      </c>
      <c r="H17763" s="333">
        <v>6508</v>
      </c>
    </row>
    <row r="17764" spans="1:8">
      <c r="A17764" s="317" t="s">
        <v>43648</v>
      </c>
      <c r="B17764" s="330" t="s">
        <v>62116</v>
      </c>
      <c r="C17764" s="330" t="s">
        <v>36238</v>
      </c>
      <c r="D17764" s="330" t="s">
        <v>36239</v>
      </c>
      <c r="E17764" s="330" t="s">
        <v>37248</v>
      </c>
      <c r="F17764" s="331">
        <v>0.21</v>
      </c>
      <c r="G17764" s="332">
        <v>1566</v>
      </c>
      <c r="H17764" s="333">
        <v>1895</v>
      </c>
    </row>
    <row r="17765" spans="1:8">
      <c r="A17765" s="317" t="s">
        <v>43649</v>
      </c>
      <c r="B17765" s="330" t="s">
        <v>62117</v>
      </c>
      <c r="C17765" s="330" t="s">
        <v>36240</v>
      </c>
      <c r="D17765" s="330" t="s">
        <v>36236</v>
      </c>
      <c r="E17765" s="330" t="s">
        <v>4819</v>
      </c>
      <c r="F17765" s="331">
        <v>0.21</v>
      </c>
      <c r="G17765" s="332">
        <v>8860</v>
      </c>
      <c r="H17765" s="333">
        <v>10721</v>
      </c>
    </row>
    <row r="17766" spans="1:8">
      <c r="A17766" s="317" t="s">
        <v>43650</v>
      </c>
      <c r="B17766" s="330" t="s">
        <v>62118</v>
      </c>
      <c r="C17766" s="330" t="s">
        <v>36241</v>
      </c>
      <c r="D17766" s="330" t="s">
        <v>36242</v>
      </c>
      <c r="E17766" s="330" t="s">
        <v>4819</v>
      </c>
      <c r="F17766" s="331">
        <v>0.21</v>
      </c>
      <c r="G17766" s="332">
        <v>4814</v>
      </c>
      <c r="H17766" s="333">
        <v>5825</v>
      </c>
    </row>
    <row r="17767" spans="1:8">
      <c r="A17767" s="317" t="s">
        <v>43651</v>
      </c>
      <c r="B17767" s="330" t="s">
        <v>62119</v>
      </c>
      <c r="C17767" s="330" t="s">
        <v>36243</v>
      </c>
      <c r="D17767" s="330" t="s">
        <v>36244</v>
      </c>
      <c r="E17767" s="330" t="s">
        <v>4634</v>
      </c>
      <c r="F17767" s="331">
        <v>0.21</v>
      </c>
      <c r="G17767" s="332">
        <v>3002</v>
      </c>
      <c r="H17767" s="333">
        <v>3633</v>
      </c>
    </row>
    <row r="17768" spans="1:8">
      <c r="A17768" s="317" t="s">
        <v>43652</v>
      </c>
      <c r="B17768" s="330" t="s">
        <v>62120</v>
      </c>
      <c r="C17768" s="330" t="s">
        <v>36245</v>
      </c>
      <c r="D17768" s="330" t="s">
        <v>36246</v>
      </c>
      <c r="E17768" s="330" t="s">
        <v>4634</v>
      </c>
      <c r="F17768" s="331">
        <v>0.21</v>
      </c>
      <c r="G17768" s="332">
        <v>377</v>
      </c>
      <c r="H17768" s="333">
        <v>457</v>
      </c>
    </row>
    <row r="17769" spans="1:8">
      <c r="A17769" s="317" t="s">
        <v>43653</v>
      </c>
      <c r="B17769" s="330" t="s">
        <v>62121</v>
      </c>
      <c r="C17769" s="330" t="s">
        <v>36247</v>
      </c>
      <c r="D17769" s="330" t="s">
        <v>36248</v>
      </c>
      <c r="E17769" s="330" t="s">
        <v>4819</v>
      </c>
      <c r="F17769" s="331">
        <v>0.21</v>
      </c>
      <c r="G17769" s="332">
        <v>2054</v>
      </c>
      <c r="H17769" s="333">
        <v>2486</v>
      </c>
    </row>
    <row r="17770" spans="1:8">
      <c r="A17770" s="317" t="s">
        <v>43654</v>
      </c>
      <c r="B17770" s="330" t="s">
        <v>62122</v>
      </c>
      <c r="C17770" s="330" t="s">
        <v>36249</v>
      </c>
      <c r="D17770" s="330" t="s">
        <v>36250</v>
      </c>
      <c r="E17770" s="330" t="s">
        <v>37248</v>
      </c>
      <c r="F17770" s="331">
        <v>0.21</v>
      </c>
      <c r="G17770" s="332">
        <v>23204</v>
      </c>
      <c r="H17770" s="333">
        <v>28077</v>
      </c>
    </row>
    <row r="17771" spans="1:8">
      <c r="A17771" s="317" t="s">
        <v>43655</v>
      </c>
      <c r="B17771" s="330" t="s">
        <v>62123</v>
      </c>
      <c r="C17771" s="330" t="s">
        <v>36251</v>
      </c>
      <c r="D17771" s="330" t="s">
        <v>36252</v>
      </c>
      <c r="E17771" s="330" t="s">
        <v>37248</v>
      </c>
      <c r="F17771" s="331">
        <v>0.21</v>
      </c>
      <c r="G17771" s="332">
        <v>7685</v>
      </c>
      <c r="H17771" s="333">
        <v>9299</v>
      </c>
    </row>
    <row r="17772" spans="1:8">
      <c r="A17772" s="317" t="s">
        <v>43656</v>
      </c>
      <c r="B17772" s="330" t="s">
        <v>62124</v>
      </c>
      <c r="C17772" s="330" t="s">
        <v>36253</v>
      </c>
      <c r="D17772" s="330" t="s">
        <v>36254</v>
      </c>
      <c r="E17772" s="330" t="s">
        <v>4819</v>
      </c>
      <c r="F17772" s="331">
        <v>0.21</v>
      </c>
      <c r="G17772" s="332">
        <v>1373</v>
      </c>
      <c r="H17772" s="333">
        <v>1662</v>
      </c>
    </row>
    <row r="17773" spans="1:8">
      <c r="A17773" s="317" t="s">
        <v>43657</v>
      </c>
      <c r="B17773" s="330" t="s">
        <v>62125</v>
      </c>
      <c r="C17773" s="330" t="s">
        <v>36255</v>
      </c>
      <c r="D17773" s="330" t="s">
        <v>36256</v>
      </c>
      <c r="E17773" s="330" t="s">
        <v>37248</v>
      </c>
      <c r="F17773" s="331">
        <v>0.21</v>
      </c>
      <c r="G17773" s="332">
        <v>41746</v>
      </c>
      <c r="H17773" s="333">
        <v>50513</v>
      </c>
    </row>
    <row r="17774" spans="1:8">
      <c r="A17774" s="317" t="s">
        <v>43658</v>
      </c>
      <c r="B17774" s="330" t="s">
        <v>62126</v>
      </c>
      <c r="C17774" s="330" t="s">
        <v>36257</v>
      </c>
      <c r="D17774" s="330" t="s">
        <v>36258</v>
      </c>
      <c r="E17774" s="330" t="s">
        <v>37248</v>
      </c>
      <c r="F17774" s="331">
        <v>0.21</v>
      </c>
      <c r="G17774" s="332">
        <v>37367</v>
      </c>
      <c r="H17774" s="333">
        <v>45215</v>
      </c>
    </row>
    <row r="17775" spans="1:8">
      <c r="A17775" s="317" t="s">
        <v>43659</v>
      </c>
      <c r="B17775" s="330" t="s">
        <v>62127</v>
      </c>
      <c r="C17775" s="330" t="s">
        <v>36259</v>
      </c>
      <c r="D17775" s="330" t="s">
        <v>36260</v>
      </c>
      <c r="E17775" s="330" t="s">
        <v>37248</v>
      </c>
      <c r="F17775" s="331">
        <v>0.21</v>
      </c>
      <c r="G17775" s="332">
        <v>29811</v>
      </c>
      <c r="H17775" s="333">
        <v>36072</v>
      </c>
    </row>
    <row r="17776" spans="1:8">
      <c r="A17776" s="317" t="s">
        <v>43660</v>
      </c>
      <c r="B17776" s="330" t="s">
        <v>62128</v>
      </c>
      <c r="C17776" s="330" t="s">
        <v>36261</v>
      </c>
      <c r="D17776" s="330" t="s">
        <v>36262</v>
      </c>
      <c r="E17776" s="330" t="s">
        <v>37248</v>
      </c>
      <c r="F17776" s="331">
        <v>0.21</v>
      </c>
      <c r="G17776" s="332">
        <v>34744</v>
      </c>
      <c r="H17776" s="333">
        <v>42041</v>
      </c>
    </row>
    <row r="17777" spans="1:8">
      <c r="A17777" s="317" t="s">
        <v>43661</v>
      </c>
      <c r="B17777" s="330" t="s">
        <v>62129</v>
      </c>
      <c r="C17777" s="330" t="s">
        <v>36263</v>
      </c>
      <c r="D17777" s="330" t="s">
        <v>36264</v>
      </c>
      <c r="E17777" s="330" t="s">
        <v>4819</v>
      </c>
      <c r="F17777" s="331">
        <v>0.21</v>
      </c>
      <c r="G17777" s="332">
        <v>5605</v>
      </c>
      <c r="H17777" s="333">
        <v>6783</v>
      </c>
    </row>
    <row r="17778" spans="1:8">
      <c r="A17778" s="317" t="s">
        <v>43662</v>
      </c>
      <c r="B17778" s="330" t="s">
        <v>62130</v>
      </c>
      <c r="C17778" s="330" t="s">
        <v>36265</v>
      </c>
      <c r="D17778" s="330" t="s">
        <v>36266</v>
      </c>
      <c r="E17778" s="330" t="s">
        <v>4634</v>
      </c>
      <c r="F17778" s="331">
        <v>0.21</v>
      </c>
      <c r="G17778" s="332">
        <v>820</v>
      </c>
      <c r="H17778" s="333">
        <v>993</v>
      </c>
    </row>
    <row r="17779" spans="1:8">
      <c r="A17779" s="317" t="s">
        <v>43663</v>
      </c>
      <c r="B17779" s="330" t="s">
        <v>62131</v>
      </c>
      <c r="C17779" s="330" t="s">
        <v>36267</v>
      </c>
      <c r="D17779" s="330" t="s">
        <v>36268</v>
      </c>
      <c r="E17779" s="330" t="s">
        <v>4634</v>
      </c>
      <c r="F17779" s="331">
        <v>0.21</v>
      </c>
      <c r="G17779" s="332">
        <v>1072</v>
      </c>
      <c r="H17779" s="333">
        <v>1298</v>
      </c>
    </row>
    <row r="17780" spans="1:8">
      <c r="A17780" s="317" t="s">
        <v>43664</v>
      </c>
      <c r="B17780" s="330" t="s">
        <v>62132</v>
      </c>
      <c r="C17780" s="330" t="s">
        <v>36269</v>
      </c>
      <c r="D17780" s="330" t="s">
        <v>6259</v>
      </c>
      <c r="E17780" s="330" t="s">
        <v>37248</v>
      </c>
      <c r="F17780" s="331">
        <v>0.21</v>
      </c>
      <c r="G17780" s="332">
        <v>9143</v>
      </c>
      <c r="H17780" s="333">
        <v>11064</v>
      </c>
    </row>
    <row r="17781" spans="1:8">
      <c r="A17781" s="317" t="s">
        <v>43665</v>
      </c>
      <c r="B17781" s="330" t="s">
        <v>62133</v>
      </c>
      <c r="C17781" s="330" t="s">
        <v>36270</v>
      </c>
      <c r="D17781" s="330" t="s">
        <v>36271</v>
      </c>
      <c r="E17781" s="330" t="s">
        <v>4634</v>
      </c>
      <c r="F17781" s="331">
        <v>0.21</v>
      </c>
      <c r="G17781" s="332">
        <v>194</v>
      </c>
      <c r="H17781" s="333">
        <v>235</v>
      </c>
    </row>
    <row r="17782" spans="1:8">
      <c r="A17782" s="317" t="s">
        <v>43666</v>
      </c>
      <c r="B17782" s="330" t="s">
        <v>62134</v>
      </c>
      <c r="C17782" s="330" t="s">
        <v>36272</v>
      </c>
      <c r="D17782" s="330" t="s">
        <v>36273</v>
      </c>
      <c r="E17782" s="330" t="s">
        <v>4634</v>
      </c>
      <c r="F17782" s="331">
        <v>0.21</v>
      </c>
      <c r="G17782" s="332">
        <v>194</v>
      </c>
      <c r="H17782" s="333">
        <v>235</v>
      </c>
    </row>
    <row r="17783" spans="1:8">
      <c r="A17783" s="317" t="s">
        <v>43667</v>
      </c>
      <c r="B17783" s="330" t="s">
        <v>62135</v>
      </c>
      <c r="C17783" s="330" t="s">
        <v>36274</v>
      </c>
      <c r="D17783" s="330" t="s">
        <v>36275</v>
      </c>
      <c r="E17783" s="330" t="s">
        <v>37248</v>
      </c>
      <c r="F17783" s="331">
        <v>0.21</v>
      </c>
      <c r="G17783" s="332">
        <v>1217</v>
      </c>
      <c r="H17783" s="333">
        <v>1473</v>
      </c>
    </row>
    <row r="17784" spans="1:8">
      <c r="A17784" s="317" t="s">
        <v>43668</v>
      </c>
      <c r="B17784" s="330" t="s">
        <v>62136</v>
      </c>
      <c r="C17784" s="330" t="s">
        <v>36276</v>
      </c>
      <c r="D17784" s="330" t="s">
        <v>36275</v>
      </c>
      <c r="E17784" s="330" t="s">
        <v>4634</v>
      </c>
      <c r="F17784" s="331">
        <v>0.21</v>
      </c>
      <c r="G17784" s="332">
        <v>941</v>
      </c>
      <c r="H17784" s="333">
        <v>1139</v>
      </c>
    </row>
    <row r="17785" spans="1:8">
      <c r="A17785" s="317" t="s">
        <v>43669</v>
      </c>
      <c r="B17785" s="330" t="s">
        <v>62137</v>
      </c>
      <c r="C17785" s="330" t="s">
        <v>36277</v>
      </c>
      <c r="D17785" s="330" t="s">
        <v>19427</v>
      </c>
      <c r="E17785" s="330" t="s">
        <v>4634</v>
      </c>
      <c r="F17785" s="331">
        <v>0.21</v>
      </c>
      <c r="G17785" s="332">
        <v>968</v>
      </c>
      <c r="H17785" s="333">
        <v>1172</v>
      </c>
    </row>
    <row r="17786" spans="1:8">
      <c r="A17786" s="317" t="s">
        <v>43670</v>
      </c>
      <c r="B17786" s="330" t="s">
        <v>62138</v>
      </c>
      <c r="C17786" s="330" t="s">
        <v>36278</v>
      </c>
      <c r="D17786" s="330" t="s">
        <v>36279</v>
      </c>
      <c r="E17786" s="330" t="s">
        <v>4634</v>
      </c>
      <c r="F17786" s="331">
        <v>0.21</v>
      </c>
      <c r="G17786" s="332">
        <v>194</v>
      </c>
      <c r="H17786" s="333">
        <v>235</v>
      </c>
    </row>
    <row r="17787" spans="1:8">
      <c r="A17787" s="317" t="s">
        <v>43671</v>
      </c>
      <c r="B17787" s="330" t="s">
        <v>62139</v>
      </c>
      <c r="C17787" s="330" t="s">
        <v>36280</v>
      </c>
      <c r="D17787" s="330" t="s">
        <v>36279</v>
      </c>
      <c r="E17787" s="330" t="s">
        <v>4634</v>
      </c>
      <c r="F17787" s="331">
        <v>0.21</v>
      </c>
      <c r="G17787" s="332">
        <v>194</v>
      </c>
      <c r="H17787" s="333">
        <v>235</v>
      </c>
    </row>
    <row r="17788" spans="1:8">
      <c r="A17788" s="317" t="s">
        <v>43672</v>
      </c>
      <c r="B17788" s="330" t="s">
        <v>62140</v>
      </c>
      <c r="C17788" s="330" t="s">
        <v>36281</v>
      </c>
      <c r="D17788" s="330" t="s">
        <v>36282</v>
      </c>
      <c r="E17788" s="330" t="s">
        <v>4634</v>
      </c>
      <c r="F17788" s="331">
        <v>0.21</v>
      </c>
      <c r="G17788" s="332">
        <v>280</v>
      </c>
      <c r="H17788" s="333">
        <v>339</v>
      </c>
    </row>
    <row r="17789" spans="1:8">
      <c r="A17789" s="317" t="s">
        <v>43673</v>
      </c>
      <c r="B17789" s="330" t="s">
        <v>62141</v>
      </c>
      <c r="C17789" s="330" t="s">
        <v>36283</v>
      </c>
      <c r="D17789" s="330" t="s">
        <v>28782</v>
      </c>
      <c r="E17789" s="330" t="s">
        <v>4819</v>
      </c>
      <c r="F17789" s="331">
        <v>0.21</v>
      </c>
      <c r="G17789" s="332">
        <v>1837</v>
      </c>
      <c r="H17789" s="333">
        <v>2223</v>
      </c>
    </row>
    <row r="17790" spans="1:8">
      <c r="A17790" s="317" t="s">
        <v>43674</v>
      </c>
      <c r="B17790" s="330" t="s">
        <v>62142</v>
      </c>
      <c r="C17790" s="330" t="s">
        <v>36284</v>
      </c>
      <c r="D17790" s="330" t="s">
        <v>7235</v>
      </c>
      <c r="E17790" s="330" t="s">
        <v>4634</v>
      </c>
      <c r="F17790" s="331">
        <v>0.21</v>
      </c>
      <c r="G17790" s="332">
        <v>194</v>
      </c>
      <c r="H17790" s="333">
        <v>235</v>
      </c>
    </row>
    <row r="17791" spans="1:8">
      <c r="A17791" s="317" t="s">
        <v>43675</v>
      </c>
      <c r="B17791" s="330" t="s">
        <v>62143</v>
      </c>
      <c r="C17791" s="330" t="s">
        <v>36285</v>
      </c>
      <c r="D17791" s="330" t="s">
        <v>36273</v>
      </c>
      <c r="E17791" s="330" t="s">
        <v>4634</v>
      </c>
      <c r="F17791" s="331">
        <v>0.21</v>
      </c>
      <c r="G17791" s="332">
        <v>116</v>
      </c>
      <c r="H17791" s="333">
        <v>141</v>
      </c>
    </row>
    <row r="17792" spans="1:8">
      <c r="A17792" s="317" t="s">
        <v>43676</v>
      </c>
      <c r="B17792" s="330" t="s">
        <v>62144</v>
      </c>
      <c r="C17792" s="330" t="s">
        <v>36286</v>
      </c>
      <c r="D17792" s="330" t="s">
        <v>36287</v>
      </c>
      <c r="E17792" s="330" t="s">
        <v>4634</v>
      </c>
      <c r="F17792" s="331">
        <v>0.21</v>
      </c>
      <c r="G17792" s="332">
        <v>280</v>
      </c>
      <c r="H17792" s="333">
        <v>339</v>
      </c>
    </row>
    <row r="17793" spans="1:8">
      <c r="A17793" s="317" t="s">
        <v>43677</v>
      </c>
      <c r="B17793" s="330" t="s">
        <v>62145</v>
      </c>
      <c r="C17793" s="330" t="s">
        <v>36288</v>
      </c>
      <c r="D17793" s="330" t="s">
        <v>36289</v>
      </c>
      <c r="E17793" s="330" t="s">
        <v>4634</v>
      </c>
      <c r="F17793" s="331">
        <v>0.21</v>
      </c>
      <c r="G17793" s="332">
        <v>194</v>
      </c>
      <c r="H17793" s="333">
        <v>235</v>
      </c>
    </row>
    <row r="17794" spans="1:8">
      <c r="A17794" s="317" t="s">
        <v>43678</v>
      </c>
      <c r="B17794" s="330" t="s">
        <v>62146</v>
      </c>
      <c r="C17794" s="330" t="s">
        <v>36290</v>
      </c>
      <c r="D17794" s="330" t="s">
        <v>36291</v>
      </c>
      <c r="E17794" s="330" t="s">
        <v>4634</v>
      </c>
      <c r="F17794" s="331">
        <v>0.21</v>
      </c>
      <c r="G17794" s="332">
        <v>1213</v>
      </c>
      <c r="H17794" s="333">
        <v>1468</v>
      </c>
    </row>
    <row r="17795" spans="1:8">
      <c r="A17795" s="317" t="s">
        <v>43679</v>
      </c>
      <c r="B17795" s="330" t="s">
        <v>62147</v>
      </c>
      <c r="C17795" s="330" t="s">
        <v>36292</v>
      </c>
      <c r="D17795" s="330" t="s">
        <v>36293</v>
      </c>
      <c r="E17795" s="330" t="s">
        <v>37248</v>
      </c>
      <c r="F17795" s="331">
        <v>0.21</v>
      </c>
      <c r="G17795" s="332">
        <v>4755</v>
      </c>
      <c r="H17795" s="333">
        <v>5754</v>
      </c>
    </row>
    <row r="17796" spans="1:8">
      <c r="A17796" s="317" t="s">
        <v>43680</v>
      </c>
      <c r="B17796" s="330" t="s">
        <v>62148</v>
      </c>
      <c r="C17796" s="330" t="s">
        <v>36294</v>
      </c>
      <c r="D17796" s="330" t="s">
        <v>6257</v>
      </c>
      <c r="E17796" s="330" t="s">
        <v>4634</v>
      </c>
      <c r="F17796" s="331">
        <v>0.21</v>
      </c>
      <c r="G17796" s="332">
        <v>3406</v>
      </c>
      <c r="H17796" s="333">
        <v>4122</v>
      </c>
    </row>
    <row r="17797" spans="1:8">
      <c r="A17797" s="317" t="s">
        <v>43681</v>
      </c>
      <c r="B17797" s="330" t="s">
        <v>62149</v>
      </c>
      <c r="C17797" s="330" t="s">
        <v>36295</v>
      </c>
      <c r="D17797" s="330" t="s">
        <v>36296</v>
      </c>
      <c r="E17797" s="330" t="s">
        <v>37248</v>
      </c>
      <c r="F17797" s="331">
        <v>0.21</v>
      </c>
      <c r="G17797" s="332">
        <v>1682</v>
      </c>
      <c r="H17797" s="333">
        <v>2036</v>
      </c>
    </row>
    <row r="17798" spans="1:8">
      <c r="A17798" s="317" t="s">
        <v>43682</v>
      </c>
      <c r="B17798" s="330" t="s">
        <v>62150</v>
      </c>
      <c r="C17798" s="330" t="s">
        <v>36297</v>
      </c>
      <c r="D17798" s="330" t="s">
        <v>36298</v>
      </c>
      <c r="E17798" s="330" t="s">
        <v>37248</v>
      </c>
      <c r="F17798" s="331">
        <v>0.21</v>
      </c>
      <c r="G17798" s="332">
        <v>2059</v>
      </c>
      <c r="H17798" s="333">
        <v>2492</v>
      </c>
    </row>
    <row r="17799" spans="1:8">
      <c r="A17799" s="317" t="s">
        <v>43683</v>
      </c>
      <c r="B17799" s="330" t="s">
        <v>62151</v>
      </c>
      <c r="C17799" s="330" t="s">
        <v>36299</v>
      </c>
      <c r="D17799" s="330" t="s">
        <v>36300</v>
      </c>
      <c r="E17799" s="330" t="s">
        <v>4634</v>
      </c>
      <c r="F17799" s="331">
        <v>0.21</v>
      </c>
      <c r="G17799" s="332">
        <v>24</v>
      </c>
      <c r="H17799" s="333">
        <v>30</v>
      </c>
    </row>
    <row r="17800" spans="1:8">
      <c r="A17800" s="317" t="s">
        <v>43684</v>
      </c>
      <c r="B17800" s="330" t="s">
        <v>62152</v>
      </c>
      <c r="C17800" s="330" t="s">
        <v>36301</v>
      </c>
      <c r="D17800" s="330" t="s">
        <v>36302</v>
      </c>
      <c r="E17800" s="330" t="s">
        <v>37248</v>
      </c>
      <c r="F17800" s="331">
        <v>0.21</v>
      </c>
      <c r="G17800" s="332">
        <v>1744</v>
      </c>
      <c r="H17800" s="333">
        <v>2111</v>
      </c>
    </row>
    <row r="17801" spans="1:8">
      <c r="A17801" s="317" t="s">
        <v>43685</v>
      </c>
      <c r="B17801" s="330" t="s">
        <v>62153</v>
      </c>
      <c r="C17801" s="330" t="s">
        <v>36303</v>
      </c>
      <c r="D17801" s="330" t="s">
        <v>36304</v>
      </c>
      <c r="E17801" s="330" t="s">
        <v>4634</v>
      </c>
      <c r="F17801" s="331">
        <v>0.21</v>
      </c>
      <c r="G17801" s="332">
        <v>638</v>
      </c>
      <c r="H17801" s="333">
        <v>772</v>
      </c>
    </row>
    <row r="17802" spans="1:8">
      <c r="A17802" s="317" t="s">
        <v>43686</v>
      </c>
      <c r="B17802" s="330" t="s">
        <v>62154</v>
      </c>
      <c r="C17802" s="330" t="s">
        <v>36305</v>
      </c>
      <c r="D17802" s="330" t="s">
        <v>36306</v>
      </c>
      <c r="E17802" s="330" t="s">
        <v>4634</v>
      </c>
      <c r="F17802" s="331">
        <v>0.21</v>
      </c>
      <c r="G17802" s="332">
        <v>372</v>
      </c>
      <c r="H17802" s="333">
        <v>451</v>
      </c>
    </row>
    <row r="17803" spans="1:8">
      <c r="A17803" s="317" t="s">
        <v>43687</v>
      </c>
      <c r="B17803" s="330" t="s">
        <v>62155</v>
      </c>
      <c r="C17803" s="330" t="s">
        <v>36307</v>
      </c>
      <c r="D17803" s="330" t="s">
        <v>28782</v>
      </c>
      <c r="E17803" s="330" t="s">
        <v>4819</v>
      </c>
      <c r="F17803" s="331">
        <v>0.21</v>
      </c>
      <c r="G17803" s="332">
        <v>4240</v>
      </c>
      <c r="H17803" s="333">
        <v>5131</v>
      </c>
    </row>
    <row r="17804" spans="1:8">
      <c r="A17804" s="317" t="s">
        <v>43688</v>
      </c>
      <c r="B17804" s="330" t="s">
        <v>62156</v>
      </c>
      <c r="C17804" s="330" t="s">
        <v>36308</v>
      </c>
      <c r="D17804" s="330" t="s">
        <v>36309</v>
      </c>
      <c r="E17804" s="330" t="s">
        <v>37248</v>
      </c>
      <c r="F17804" s="331">
        <v>0.21</v>
      </c>
      <c r="G17804" s="332">
        <v>4773</v>
      </c>
      <c r="H17804" s="333">
        <v>5776</v>
      </c>
    </row>
    <row r="17805" spans="1:8">
      <c r="A17805" s="317" t="s">
        <v>43689</v>
      </c>
      <c r="B17805" s="330" t="s">
        <v>62157</v>
      </c>
      <c r="C17805" s="330" t="s">
        <v>36310</v>
      </c>
      <c r="D17805" s="330" t="s">
        <v>7235</v>
      </c>
      <c r="E17805" s="330" t="s">
        <v>4634</v>
      </c>
      <c r="F17805" s="331">
        <v>0.21</v>
      </c>
      <c r="G17805" s="332">
        <v>153</v>
      </c>
      <c r="H17805" s="333">
        <v>186</v>
      </c>
    </row>
    <row r="17806" spans="1:8">
      <c r="A17806" s="317" t="s">
        <v>43690</v>
      </c>
      <c r="B17806" s="330" t="s">
        <v>62158</v>
      </c>
      <c r="C17806" s="330" t="s">
        <v>36311</v>
      </c>
      <c r="D17806" s="330" t="s">
        <v>36312</v>
      </c>
      <c r="E17806" s="330" t="s">
        <v>4623</v>
      </c>
      <c r="F17806" s="331">
        <v>0.21</v>
      </c>
      <c r="G17806" s="332">
        <v>3310</v>
      </c>
      <c r="H17806" s="333">
        <v>4006</v>
      </c>
    </row>
    <row r="17807" spans="1:8">
      <c r="A17807" s="317" t="s">
        <v>43691</v>
      </c>
      <c r="B17807" s="330" t="s">
        <v>62159</v>
      </c>
      <c r="C17807" s="330" t="s">
        <v>36313</v>
      </c>
      <c r="D17807" s="330" t="s">
        <v>36314</v>
      </c>
      <c r="E17807" s="330" t="s">
        <v>4634</v>
      </c>
      <c r="F17807" s="331">
        <v>0.21</v>
      </c>
      <c r="G17807" s="332">
        <v>147</v>
      </c>
      <c r="H17807" s="333">
        <v>178</v>
      </c>
    </row>
    <row r="17808" spans="1:8">
      <c r="A17808" s="317" t="s">
        <v>43692</v>
      </c>
      <c r="B17808" s="330" t="s">
        <v>62160</v>
      </c>
      <c r="C17808" s="330" t="s">
        <v>36315</v>
      </c>
      <c r="D17808" s="330" t="s">
        <v>36314</v>
      </c>
      <c r="E17808" s="330" t="s">
        <v>4634</v>
      </c>
      <c r="F17808" s="331">
        <v>0.21</v>
      </c>
      <c r="G17808" s="332">
        <v>171</v>
      </c>
      <c r="H17808" s="333">
        <v>207</v>
      </c>
    </row>
    <row r="17809" spans="1:8">
      <c r="A17809" s="317" t="s">
        <v>43693</v>
      </c>
      <c r="B17809" s="330" t="s">
        <v>62161</v>
      </c>
      <c r="C17809" s="330" t="s">
        <v>36316</v>
      </c>
      <c r="D17809" s="330" t="s">
        <v>36317</v>
      </c>
      <c r="E17809" s="330" t="s">
        <v>37248</v>
      </c>
      <c r="F17809" s="331">
        <v>0.21</v>
      </c>
      <c r="G17809" s="332">
        <v>1744</v>
      </c>
      <c r="H17809" s="333">
        <v>2111</v>
      </c>
    </row>
    <row r="17810" spans="1:8">
      <c r="A17810" s="317" t="s">
        <v>43694</v>
      </c>
      <c r="B17810" s="330" t="s">
        <v>62162</v>
      </c>
      <c r="C17810" s="330" t="s">
        <v>36318</v>
      </c>
      <c r="D17810" s="330" t="s">
        <v>5015</v>
      </c>
      <c r="E17810" s="330" t="s">
        <v>4634</v>
      </c>
      <c r="F17810" s="331">
        <v>0.21</v>
      </c>
      <c r="G17810" s="332">
        <v>274</v>
      </c>
      <c r="H17810" s="333">
        <v>332</v>
      </c>
    </row>
    <row r="17811" spans="1:8">
      <c r="A17811" s="317" t="s">
        <v>43695</v>
      </c>
      <c r="B17811" s="330" t="s">
        <v>62163</v>
      </c>
      <c r="C17811" s="330" t="s">
        <v>36319</v>
      </c>
      <c r="D17811" s="330" t="s">
        <v>36320</v>
      </c>
      <c r="E17811" s="330" t="s">
        <v>4634</v>
      </c>
      <c r="F17811" s="331">
        <v>0.21</v>
      </c>
      <c r="G17811" s="332">
        <v>2324</v>
      </c>
      <c r="H17811" s="333">
        <v>2813</v>
      </c>
    </row>
    <row r="17812" spans="1:8">
      <c r="A17812" s="317" t="s">
        <v>43696</v>
      </c>
      <c r="B17812" s="330" t="s">
        <v>62164</v>
      </c>
      <c r="C17812" s="330" t="s">
        <v>36321</v>
      </c>
      <c r="D17812" s="330" t="s">
        <v>36322</v>
      </c>
      <c r="E17812" s="330" t="s">
        <v>4634</v>
      </c>
      <c r="F17812" s="331">
        <v>0.21</v>
      </c>
      <c r="G17812" s="332">
        <v>131</v>
      </c>
      <c r="H17812" s="333">
        <v>159</v>
      </c>
    </row>
    <row r="17813" spans="1:8">
      <c r="A17813" s="317" t="s">
        <v>43697</v>
      </c>
      <c r="B17813" s="330" t="s">
        <v>62165</v>
      </c>
      <c r="C17813" s="330" t="s">
        <v>36323</v>
      </c>
      <c r="D17813" s="330" t="s">
        <v>36324</v>
      </c>
      <c r="E17813" s="330" t="s">
        <v>4819</v>
      </c>
      <c r="F17813" s="331">
        <v>0.21</v>
      </c>
      <c r="G17813" s="332">
        <v>1815</v>
      </c>
      <c r="H17813" s="333">
        <v>2197</v>
      </c>
    </row>
    <row r="17814" spans="1:8">
      <c r="A17814" s="317" t="s">
        <v>43698</v>
      </c>
      <c r="B17814" s="330" t="s">
        <v>62166</v>
      </c>
      <c r="C17814" s="330" t="s">
        <v>36325</v>
      </c>
      <c r="D17814" s="330" t="s">
        <v>36326</v>
      </c>
      <c r="E17814" s="330" t="s">
        <v>4634</v>
      </c>
      <c r="F17814" s="331">
        <v>0.21</v>
      </c>
      <c r="G17814" s="332">
        <v>171</v>
      </c>
      <c r="H17814" s="333">
        <v>207</v>
      </c>
    </row>
    <row r="17815" spans="1:8">
      <c r="A17815" s="317" t="s">
        <v>43699</v>
      </c>
      <c r="B17815" s="330" t="s">
        <v>62167</v>
      </c>
      <c r="C17815" s="330" t="s">
        <v>36327</v>
      </c>
      <c r="D17815" s="330" t="s">
        <v>36326</v>
      </c>
      <c r="E17815" s="330" t="s">
        <v>4634</v>
      </c>
      <c r="F17815" s="331">
        <v>0.21</v>
      </c>
      <c r="G17815" s="332">
        <v>107</v>
      </c>
      <c r="H17815" s="333">
        <v>130</v>
      </c>
    </row>
    <row r="17816" spans="1:8">
      <c r="A17816" s="317" t="s">
        <v>43700</v>
      </c>
      <c r="B17816" s="330" t="s">
        <v>62168</v>
      </c>
      <c r="C17816" s="330" t="s">
        <v>36328</v>
      </c>
      <c r="D17816" s="330" t="s">
        <v>36329</v>
      </c>
      <c r="E17816" s="330" t="s">
        <v>4634</v>
      </c>
      <c r="F17816" s="331">
        <v>0.21</v>
      </c>
      <c r="G17816" s="332">
        <v>280</v>
      </c>
      <c r="H17816" s="333">
        <v>339</v>
      </c>
    </row>
    <row r="17817" spans="1:8">
      <c r="A17817" s="317" t="s">
        <v>43701</v>
      </c>
      <c r="B17817" s="330" t="s">
        <v>62169</v>
      </c>
      <c r="C17817" s="330" t="s">
        <v>36330</v>
      </c>
      <c r="D17817" s="330" t="s">
        <v>36331</v>
      </c>
      <c r="E17817" s="330" t="s">
        <v>4634</v>
      </c>
      <c r="F17817" s="331">
        <v>0.21</v>
      </c>
      <c r="G17817" s="332">
        <v>174</v>
      </c>
      <c r="H17817" s="333">
        <v>211</v>
      </c>
    </row>
    <row r="17818" spans="1:8">
      <c r="A17818" s="317" t="s">
        <v>43702</v>
      </c>
      <c r="B17818" s="330" t="s">
        <v>62170</v>
      </c>
      <c r="C17818" s="330" t="s">
        <v>36332</v>
      </c>
      <c r="D17818" s="330" t="s">
        <v>36333</v>
      </c>
      <c r="E17818" s="330" t="s">
        <v>4634</v>
      </c>
      <c r="F17818" s="331">
        <v>0.21</v>
      </c>
      <c r="G17818" s="332">
        <v>194</v>
      </c>
      <c r="H17818" s="333">
        <v>235</v>
      </c>
    </row>
    <row r="17819" spans="1:8">
      <c r="A17819" s="317" t="s">
        <v>43703</v>
      </c>
      <c r="B17819" s="330" t="s">
        <v>62171</v>
      </c>
      <c r="C17819" s="330" t="s">
        <v>36334</v>
      </c>
      <c r="D17819" s="330" t="s">
        <v>36335</v>
      </c>
      <c r="E17819" s="330" t="s">
        <v>4634</v>
      </c>
      <c r="F17819" s="331">
        <v>0.21</v>
      </c>
      <c r="G17819" s="332">
        <v>174</v>
      </c>
      <c r="H17819" s="333">
        <v>211</v>
      </c>
    </row>
    <row r="17820" spans="1:8">
      <c r="A17820" s="317" t="s">
        <v>43704</v>
      </c>
      <c r="B17820" s="330" t="s">
        <v>62172</v>
      </c>
      <c r="C17820" s="330" t="s">
        <v>36336</v>
      </c>
      <c r="D17820" s="330" t="s">
        <v>36337</v>
      </c>
      <c r="E17820" s="330" t="s">
        <v>4634</v>
      </c>
      <c r="F17820" s="331">
        <v>0.21</v>
      </c>
      <c r="G17820" s="332">
        <v>194</v>
      </c>
      <c r="H17820" s="333">
        <v>235</v>
      </c>
    </row>
    <row r="17821" spans="1:8">
      <c r="A17821" s="317" t="s">
        <v>43705</v>
      </c>
      <c r="B17821" s="330" t="s">
        <v>62173</v>
      </c>
      <c r="C17821" s="330" t="s">
        <v>36338</v>
      </c>
      <c r="D17821" s="330" t="s">
        <v>36339</v>
      </c>
      <c r="E17821" s="330" t="s">
        <v>4634</v>
      </c>
      <c r="F17821" s="331">
        <v>0.21</v>
      </c>
      <c r="G17821" s="332">
        <v>2899</v>
      </c>
      <c r="H17821" s="333">
        <v>3508</v>
      </c>
    </row>
    <row r="17822" spans="1:8">
      <c r="A17822" s="317" t="s">
        <v>43706</v>
      </c>
      <c r="B17822" s="330" t="s">
        <v>62174</v>
      </c>
      <c r="C17822" s="330" t="s">
        <v>36340</v>
      </c>
      <c r="D17822" s="330" t="s">
        <v>36331</v>
      </c>
      <c r="E17822" s="330" t="s">
        <v>4634</v>
      </c>
      <c r="F17822" s="331">
        <v>0.21</v>
      </c>
      <c r="G17822" s="332">
        <v>234</v>
      </c>
      <c r="H17822" s="333">
        <v>284</v>
      </c>
    </row>
    <row r="17823" spans="1:8">
      <c r="A17823" s="317" t="s">
        <v>43707</v>
      </c>
      <c r="B17823" s="330" t="s">
        <v>62175</v>
      </c>
      <c r="C17823" s="330" t="s">
        <v>36341</v>
      </c>
      <c r="D17823" s="330" t="s">
        <v>36342</v>
      </c>
      <c r="E17823" s="330" t="s">
        <v>4634</v>
      </c>
      <c r="F17823" s="331">
        <v>0.21</v>
      </c>
      <c r="G17823" s="332">
        <v>209</v>
      </c>
      <c r="H17823" s="333">
        <v>253</v>
      </c>
    </row>
    <row r="17824" spans="1:8">
      <c r="A17824" s="317" t="s">
        <v>43708</v>
      </c>
      <c r="B17824" s="330" t="s">
        <v>62176</v>
      </c>
      <c r="C17824" s="330" t="s">
        <v>36343</v>
      </c>
      <c r="D17824" s="330" t="s">
        <v>36344</v>
      </c>
      <c r="E17824" s="330" t="s">
        <v>4634</v>
      </c>
      <c r="F17824" s="331">
        <v>0.21</v>
      </c>
      <c r="G17824" s="332">
        <v>194</v>
      </c>
      <c r="H17824" s="333">
        <v>235</v>
      </c>
    </row>
    <row r="17825" spans="1:8">
      <c r="A17825" s="317" t="s">
        <v>43709</v>
      </c>
      <c r="B17825" s="330" t="s">
        <v>62177</v>
      </c>
      <c r="C17825" s="330" t="s">
        <v>36345</v>
      </c>
      <c r="D17825" s="330" t="s">
        <v>36346</v>
      </c>
      <c r="E17825" s="330" t="s">
        <v>4634</v>
      </c>
      <c r="F17825" s="331">
        <v>0.21</v>
      </c>
      <c r="G17825" s="332">
        <v>194</v>
      </c>
      <c r="H17825" s="333">
        <v>235</v>
      </c>
    </row>
    <row r="17826" spans="1:8">
      <c r="A17826" s="317" t="s">
        <v>43710</v>
      </c>
      <c r="B17826" s="330" t="s">
        <v>62178</v>
      </c>
      <c r="C17826" s="330" t="s">
        <v>36347</v>
      </c>
      <c r="D17826" s="330" t="s">
        <v>36348</v>
      </c>
      <c r="E17826" s="330" t="s">
        <v>4634</v>
      </c>
      <c r="F17826" s="331">
        <v>0.21</v>
      </c>
      <c r="G17826" s="332">
        <v>37</v>
      </c>
      <c r="H17826" s="333">
        <v>45</v>
      </c>
    </row>
    <row r="17827" spans="1:8">
      <c r="A17827" s="317" t="s">
        <v>43711</v>
      </c>
      <c r="B17827" s="330" t="s">
        <v>62179</v>
      </c>
      <c r="C17827" s="330" t="s">
        <v>36349</v>
      </c>
      <c r="D17827" s="330" t="s">
        <v>36350</v>
      </c>
      <c r="E17827" s="330" t="s">
        <v>4819</v>
      </c>
      <c r="F17827" s="331">
        <v>0.21</v>
      </c>
      <c r="G17827" s="332">
        <v>919</v>
      </c>
      <c r="H17827" s="333">
        <v>1112</v>
      </c>
    </row>
    <row r="17828" spans="1:8">
      <c r="A17828" s="317" t="s">
        <v>43712</v>
      </c>
      <c r="B17828" s="330" t="s">
        <v>62180</v>
      </c>
      <c r="C17828" s="330" t="s">
        <v>36351</v>
      </c>
      <c r="D17828" s="330" t="s">
        <v>36178</v>
      </c>
      <c r="E17828" s="330" t="s">
        <v>4819</v>
      </c>
      <c r="F17828" s="331">
        <v>0.21</v>
      </c>
      <c r="G17828" s="332">
        <v>1329</v>
      </c>
      <c r="H17828" s="333">
        <v>1609</v>
      </c>
    </row>
    <row r="17829" spans="1:8">
      <c r="A17829" s="317" t="s">
        <v>43713</v>
      </c>
      <c r="B17829" s="330" t="s">
        <v>62181</v>
      </c>
      <c r="C17829" s="330" t="s">
        <v>36352</v>
      </c>
      <c r="D17829" s="330" t="s">
        <v>36353</v>
      </c>
      <c r="E17829" s="330" t="s">
        <v>4819</v>
      </c>
      <c r="F17829" s="331">
        <v>0.21</v>
      </c>
      <c r="G17829" s="332">
        <v>21210</v>
      </c>
      <c r="H17829" s="333">
        <v>25665</v>
      </c>
    </row>
    <row r="17830" spans="1:8">
      <c r="A17830" s="317" t="s">
        <v>43714</v>
      </c>
      <c r="B17830" s="330" t="s">
        <v>62182</v>
      </c>
      <c r="C17830" s="330" t="s">
        <v>36354</v>
      </c>
      <c r="D17830" s="330" t="s">
        <v>36355</v>
      </c>
      <c r="E17830" s="330" t="s">
        <v>4634</v>
      </c>
      <c r="F17830" s="331">
        <v>0.21</v>
      </c>
      <c r="G17830" s="332">
        <v>673</v>
      </c>
      <c r="H17830" s="333">
        <v>815</v>
      </c>
    </row>
    <row r="17831" spans="1:8">
      <c r="A17831" s="317" t="s">
        <v>43715</v>
      </c>
      <c r="B17831" s="330" t="s">
        <v>62183</v>
      </c>
      <c r="C17831" s="330" t="s">
        <v>36356</v>
      </c>
      <c r="D17831" s="330" t="s">
        <v>35380</v>
      </c>
      <c r="E17831" s="330" t="s">
        <v>4819</v>
      </c>
      <c r="F17831" s="331">
        <v>0.21</v>
      </c>
      <c r="G17831" s="332">
        <v>1744</v>
      </c>
      <c r="H17831" s="333">
        <v>2111</v>
      </c>
    </row>
    <row r="17832" spans="1:8">
      <c r="A17832" s="317" t="s">
        <v>43716</v>
      </c>
      <c r="B17832" s="330" t="s">
        <v>62184</v>
      </c>
      <c r="C17832" s="330" t="s">
        <v>36357</v>
      </c>
      <c r="D17832" s="330" t="s">
        <v>36342</v>
      </c>
      <c r="E17832" s="330" t="s">
        <v>4634</v>
      </c>
      <c r="F17832" s="331">
        <v>0.21</v>
      </c>
      <c r="G17832" s="332">
        <v>111</v>
      </c>
      <c r="H17832" s="333">
        <v>135</v>
      </c>
    </row>
    <row r="17833" spans="1:8">
      <c r="A17833" s="317" t="s">
        <v>43717</v>
      </c>
      <c r="B17833" s="330" t="s">
        <v>62185</v>
      </c>
      <c r="C17833" s="330" t="s">
        <v>36358</v>
      </c>
      <c r="D17833" s="330" t="s">
        <v>36359</v>
      </c>
      <c r="E17833" s="330" t="s">
        <v>4623</v>
      </c>
      <c r="F17833" s="331">
        <v>0.21</v>
      </c>
      <c r="G17833" s="332">
        <v>1373</v>
      </c>
      <c r="H17833" s="333">
        <v>1662</v>
      </c>
    </row>
    <row r="17834" spans="1:8">
      <c r="A17834" s="317" t="s">
        <v>43718</v>
      </c>
      <c r="B17834" s="330" t="s">
        <v>62186</v>
      </c>
      <c r="C17834" s="330" t="s">
        <v>36360</v>
      </c>
      <c r="D17834" s="330" t="s">
        <v>36361</v>
      </c>
      <c r="E17834" s="330" t="s">
        <v>4634</v>
      </c>
      <c r="F17834" s="331">
        <v>0.21</v>
      </c>
      <c r="G17834" s="332">
        <v>73</v>
      </c>
      <c r="H17834" s="333">
        <v>89</v>
      </c>
    </row>
    <row r="17835" spans="1:8">
      <c r="A17835" s="317" t="s">
        <v>43719</v>
      </c>
      <c r="B17835" s="330" t="s">
        <v>62187</v>
      </c>
      <c r="C17835" s="330" t="s">
        <v>36362</v>
      </c>
      <c r="D17835" s="330" t="s">
        <v>36363</v>
      </c>
      <c r="E17835" s="330" t="s">
        <v>4634</v>
      </c>
      <c r="F17835" s="331">
        <v>0.21</v>
      </c>
      <c r="G17835" s="332">
        <v>194</v>
      </c>
      <c r="H17835" s="333">
        <v>235</v>
      </c>
    </row>
    <row r="17836" spans="1:8">
      <c r="A17836" s="317" t="s">
        <v>43720</v>
      </c>
      <c r="B17836" s="330" t="s">
        <v>62188</v>
      </c>
      <c r="C17836" s="330" t="s">
        <v>36364</v>
      </c>
      <c r="D17836" s="330" t="s">
        <v>36361</v>
      </c>
      <c r="E17836" s="330" t="s">
        <v>4634</v>
      </c>
      <c r="F17836" s="331">
        <v>0.21</v>
      </c>
      <c r="G17836" s="332">
        <v>107</v>
      </c>
      <c r="H17836" s="333">
        <v>130</v>
      </c>
    </row>
    <row r="17837" spans="1:8">
      <c r="A17837" s="317" t="s">
        <v>43721</v>
      </c>
      <c r="B17837" s="330" t="s">
        <v>62189</v>
      </c>
      <c r="C17837" s="330" t="s">
        <v>36365</v>
      </c>
      <c r="D17837" s="330" t="s">
        <v>36366</v>
      </c>
      <c r="E17837" s="330" t="s">
        <v>4634</v>
      </c>
      <c r="F17837" s="331">
        <v>0.21</v>
      </c>
      <c r="G17837" s="332">
        <v>22060</v>
      </c>
      <c r="H17837" s="333">
        <v>26693</v>
      </c>
    </row>
    <row r="17838" spans="1:8">
      <c r="A17838" s="317" t="s">
        <v>43722</v>
      </c>
      <c r="B17838" s="330" t="s">
        <v>62190</v>
      </c>
      <c r="C17838" s="330" t="s">
        <v>36367</v>
      </c>
      <c r="D17838" s="330" t="s">
        <v>36368</v>
      </c>
      <c r="E17838" s="330" t="s">
        <v>4634</v>
      </c>
      <c r="F17838" s="331">
        <v>0.21</v>
      </c>
      <c r="G17838" s="332">
        <v>1566</v>
      </c>
      <c r="H17838" s="333">
        <v>1895</v>
      </c>
    </row>
    <row r="17839" spans="1:8">
      <c r="A17839" s="317" t="s">
        <v>43723</v>
      </c>
      <c r="B17839" s="330" t="s">
        <v>62191</v>
      </c>
      <c r="C17839" s="330" t="s">
        <v>36369</v>
      </c>
      <c r="D17839" s="330" t="s">
        <v>36370</v>
      </c>
      <c r="E17839" s="330" t="s">
        <v>4634</v>
      </c>
      <c r="F17839" s="331">
        <v>0.21</v>
      </c>
      <c r="G17839" s="332">
        <v>9697</v>
      </c>
      <c r="H17839" s="333">
        <v>11734</v>
      </c>
    </row>
    <row r="17840" spans="1:8">
      <c r="A17840" s="317" t="s">
        <v>43724</v>
      </c>
      <c r="B17840" s="330" t="s">
        <v>62192</v>
      </c>
      <c r="C17840" s="330" t="s">
        <v>36371</v>
      </c>
      <c r="D17840" s="330" t="s">
        <v>36372</v>
      </c>
      <c r="E17840" s="330" t="s">
        <v>4634</v>
      </c>
      <c r="F17840" s="331">
        <v>0.21</v>
      </c>
      <c r="G17840" s="332">
        <v>4088</v>
      </c>
      <c r="H17840" s="333">
        <v>4947</v>
      </c>
    </row>
    <row r="17841" spans="1:8">
      <c r="A17841" s="317" t="s">
        <v>43725</v>
      </c>
      <c r="B17841" s="330" t="s">
        <v>62193</v>
      </c>
      <c r="C17841" s="330" t="s">
        <v>36373</v>
      </c>
      <c r="D17841" s="330" t="s">
        <v>36374</v>
      </c>
      <c r="E17841" s="330" t="s">
        <v>4634</v>
      </c>
      <c r="F17841" s="331">
        <v>0.21</v>
      </c>
      <c r="G17841" s="332">
        <v>919</v>
      </c>
      <c r="H17841" s="333">
        <v>1112</v>
      </c>
    </row>
    <row r="17842" spans="1:8">
      <c r="A17842" s="317" t="s">
        <v>43726</v>
      </c>
      <c r="B17842" s="330" t="s">
        <v>62194</v>
      </c>
      <c r="C17842" s="330" t="s">
        <v>36375</v>
      </c>
      <c r="D17842" s="330" t="s">
        <v>36376</v>
      </c>
      <c r="E17842" s="330" t="s">
        <v>4634</v>
      </c>
      <c r="F17842" s="331">
        <v>0.21</v>
      </c>
      <c r="G17842" s="332">
        <v>919</v>
      </c>
      <c r="H17842" s="333">
        <v>1112</v>
      </c>
    </row>
    <row r="17843" spans="1:8">
      <c r="A17843" s="317" t="s">
        <v>43727</v>
      </c>
      <c r="B17843" s="330" t="s">
        <v>62195</v>
      </c>
      <c r="C17843" s="330" t="s">
        <v>36377</v>
      </c>
      <c r="D17843" s="330" t="s">
        <v>36378</v>
      </c>
      <c r="E17843" s="330" t="s">
        <v>4634</v>
      </c>
      <c r="F17843" s="331">
        <v>0.21</v>
      </c>
      <c r="G17843" s="332">
        <v>927</v>
      </c>
      <c r="H17843" s="333">
        <v>1122</v>
      </c>
    </row>
    <row r="17844" spans="1:8">
      <c r="A17844" s="317" t="s">
        <v>43728</v>
      </c>
      <c r="B17844" s="330" t="s">
        <v>62196</v>
      </c>
      <c r="C17844" s="330" t="s">
        <v>36379</v>
      </c>
      <c r="D17844" s="330" t="s">
        <v>36380</v>
      </c>
      <c r="E17844" s="330" t="s">
        <v>4634</v>
      </c>
      <c r="F17844" s="331">
        <v>0.21</v>
      </c>
      <c r="G17844" s="332">
        <v>919</v>
      </c>
      <c r="H17844" s="333">
        <v>1112</v>
      </c>
    </row>
    <row r="17845" spans="1:8">
      <c r="A17845" s="317" t="s">
        <v>43729</v>
      </c>
      <c r="B17845" s="330" t="s">
        <v>62197</v>
      </c>
      <c r="C17845" s="330" t="s">
        <v>36381</v>
      </c>
      <c r="D17845" s="330" t="s">
        <v>36382</v>
      </c>
      <c r="E17845" s="330" t="s">
        <v>4634</v>
      </c>
      <c r="F17845" s="331">
        <v>0.21</v>
      </c>
      <c r="G17845" s="332">
        <v>919</v>
      </c>
      <c r="H17845" s="333">
        <v>1112</v>
      </c>
    </row>
    <row r="17846" spans="1:8">
      <c r="A17846" s="317" t="s">
        <v>43730</v>
      </c>
      <c r="B17846" s="330" t="s">
        <v>62198</v>
      </c>
      <c r="C17846" s="330" t="s">
        <v>36383</v>
      </c>
      <c r="D17846" s="330" t="s">
        <v>35429</v>
      </c>
      <c r="E17846" s="330" t="s">
        <v>4634</v>
      </c>
      <c r="F17846" s="331">
        <v>0.21</v>
      </c>
      <c r="G17846" s="332">
        <v>1409</v>
      </c>
      <c r="H17846" s="333">
        <v>1705</v>
      </c>
    </row>
    <row r="17847" spans="1:8">
      <c r="A17847" s="317" t="s">
        <v>43731</v>
      </c>
      <c r="B17847" s="330" t="s">
        <v>62199</v>
      </c>
      <c r="C17847" s="330" t="s">
        <v>36384</v>
      </c>
      <c r="D17847" s="330" t="s">
        <v>36385</v>
      </c>
      <c r="E17847" s="330" t="s">
        <v>4634</v>
      </c>
      <c r="F17847" s="331">
        <v>0.21</v>
      </c>
      <c r="G17847" s="332">
        <v>564</v>
      </c>
      <c r="H17847" s="333">
        <v>683</v>
      </c>
    </row>
    <row r="17848" spans="1:8">
      <c r="A17848" s="317" t="s">
        <v>43732</v>
      </c>
      <c r="B17848" s="330" t="s">
        <v>62200</v>
      </c>
      <c r="C17848" s="330" t="s">
        <v>36386</v>
      </c>
      <c r="D17848" s="330" t="s">
        <v>36387</v>
      </c>
      <c r="E17848" s="330" t="s">
        <v>4634</v>
      </c>
      <c r="F17848" s="331">
        <v>0.21</v>
      </c>
      <c r="G17848" s="332">
        <v>1824</v>
      </c>
      <c r="H17848" s="333">
        <v>2208</v>
      </c>
    </row>
    <row r="17849" spans="1:8">
      <c r="A17849" s="317" t="s">
        <v>43733</v>
      </c>
      <c r="B17849" s="330" t="s">
        <v>62201</v>
      </c>
      <c r="C17849" s="330" t="s">
        <v>36388</v>
      </c>
      <c r="D17849" s="330" t="s">
        <v>36389</v>
      </c>
      <c r="E17849" s="330" t="s">
        <v>4634</v>
      </c>
      <c r="F17849" s="331">
        <v>0.21</v>
      </c>
      <c r="G17849" s="332">
        <v>194</v>
      </c>
      <c r="H17849" s="333">
        <v>235</v>
      </c>
    </row>
    <row r="17850" spans="1:8">
      <c r="A17850" s="317" t="s">
        <v>43734</v>
      </c>
      <c r="B17850" s="330" t="s">
        <v>62202</v>
      </c>
      <c r="C17850" s="330" t="s">
        <v>36390</v>
      </c>
      <c r="D17850" s="330" t="s">
        <v>36391</v>
      </c>
      <c r="E17850" s="330" t="s">
        <v>4634</v>
      </c>
      <c r="F17850" s="331">
        <v>0.21</v>
      </c>
      <c r="G17850" s="332">
        <v>1325</v>
      </c>
      <c r="H17850" s="333">
        <v>1604</v>
      </c>
    </row>
    <row r="17851" spans="1:8">
      <c r="A17851" s="317" t="s">
        <v>43735</v>
      </c>
      <c r="B17851" s="330" t="s">
        <v>62203</v>
      </c>
      <c r="C17851" s="330" t="s">
        <v>36392</v>
      </c>
      <c r="D17851" s="330" t="s">
        <v>36393</v>
      </c>
      <c r="E17851" s="330" t="s">
        <v>4634</v>
      </c>
      <c r="F17851" s="331">
        <v>0.21</v>
      </c>
      <c r="G17851" s="332">
        <v>377</v>
      </c>
      <c r="H17851" s="333">
        <v>457</v>
      </c>
    </row>
    <row r="17852" spans="1:8">
      <c r="A17852" s="317" t="s">
        <v>43736</v>
      </c>
      <c r="B17852" s="330" t="s">
        <v>62204</v>
      </c>
      <c r="C17852" s="330" t="s">
        <v>36394</v>
      </c>
      <c r="D17852" s="330" t="s">
        <v>36395</v>
      </c>
      <c r="E17852" s="330" t="s">
        <v>4634</v>
      </c>
      <c r="F17852" s="331">
        <v>0.21</v>
      </c>
      <c r="G17852" s="332">
        <v>1780</v>
      </c>
      <c r="H17852" s="333">
        <v>2154</v>
      </c>
    </row>
    <row r="17853" spans="1:8">
      <c r="A17853" s="317" t="s">
        <v>43737</v>
      </c>
      <c r="B17853" s="330" t="s">
        <v>62205</v>
      </c>
      <c r="C17853" s="330" t="s">
        <v>36396</v>
      </c>
      <c r="D17853" s="330" t="s">
        <v>36397</v>
      </c>
      <c r="E17853" s="330" t="s">
        <v>4634</v>
      </c>
      <c r="F17853" s="331">
        <v>0.21</v>
      </c>
      <c r="G17853" s="332">
        <v>7127</v>
      </c>
      <c r="H17853" s="333">
        <v>8624</v>
      </c>
    </row>
    <row r="17854" spans="1:8">
      <c r="A17854" s="317" t="s">
        <v>43738</v>
      </c>
      <c r="B17854" s="330" t="s">
        <v>62206</v>
      </c>
      <c r="C17854" s="330" t="s">
        <v>36398</v>
      </c>
      <c r="D17854" s="330" t="s">
        <v>36399</v>
      </c>
      <c r="E17854" s="330" t="s">
        <v>4634</v>
      </c>
      <c r="F17854" s="331">
        <v>0.21</v>
      </c>
      <c r="G17854" s="332">
        <v>1233</v>
      </c>
      <c r="H17854" s="333">
        <v>1492</v>
      </c>
    </row>
    <row r="17855" spans="1:8">
      <c r="A17855" s="317" t="s">
        <v>43739</v>
      </c>
      <c r="B17855" s="330" t="s">
        <v>62207</v>
      </c>
      <c r="C17855" s="330" t="s">
        <v>36400</v>
      </c>
      <c r="D17855" s="330" t="s">
        <v>36401</v>
      </c>
      <c r="E17855" s="330" t="s">
        <v>4634</v>
      </c>
      <c r="F17855" s="331">
        <v>0.21</v>
      </c>
      <c r="G17855" s="332">
        <v>196</v>
      </c>
      <c r="H17855" s="333">
        <v>238</v>
      </c>
    </row>
    <row r="17856" spans="1:8">
      <c r="A17856" s="317" t="s">
        <v>43740</v>
      </c>
      <c r="B17856" s="330" t="s">
        <v>62208</v>
      </c>
      <c r="C17856" s="330" t="s">
        <v>36402</v>
      </c>
      <c r="D17856" s="330" t="s">
        <v>36403</v>
      </c>
      <c r="E17856" s="330" t="s">
        <v>4819</v>
      </c>
      <c r="F17856" s="331">
        <v>0.21</v>
      </c>
      <c r="G17856" s="332">
        <v>2094</v>
      </c>
      <c r="H17856" s="333">
        <v>2534</v>
      </c>
    </row>
    <row r="17857" spans="1:8">
      <c r="A17857" s="317" t="s">
        <v>43741</v>
      </c>
      <c r="B17857" s="330" t="s">
        <v>62209</v>
      </c>
      <c r="C17857" s="330" t="s">
        <v>36404</v>
      </c>
      <c r="D17857" s="330" t="s">
        <v>36405</v>
      </c>
      <c r="E17857" s="330" t="s">
        <v>37248</v>
      </c>
      <c r="F17857" s="331">
        <v>0.21</v>
      </c>
      <c r="G17857" s="332">
        <v>863</v>
      </c>
      <c r="H17857" s="333">
        <v>1045</v>
      </c>
    </row>
    <row r="17858" spans="1:8">
      <c r="A17858" s="317" t="s">
        <v>43742</v>
      </c>
      <c r="B17858" s="330" t="s">
        <v>62210</v>
      </c>
      <c r="C17858" s="330" t="s">
        <v>36406</v>
      </c>
      <c r="D17858" s="330" t="s">
        <v>36405</v>
      </c>
      <c r="E17858" s="330" t="s">
        <v>37248</v>
      </c>
      <c r="F17858" s="331">
        <v>0.21</v>
      </c>
      <c r="G17858" s="332">
        <v>863</v>
      </c>
      <c r="H17858" s="333">
        <v>1045</v>
      </c>
    </row>
    <row r="17859" spans="1:8">
      <c r="A17859" s="317" t="s">
        <v>43743</v>
      </c>
      <c r="B17859" s="330" t="s">
        <v>62211</v>
      </c>
      <c r="C17859" s="330" t="s">
        <v>36407</v>
      </c>
      <c r="D17859" s="330" t="s">
        <v>36408</v>
      </c>
      <c r="E17859" s="330" t="s">
        <v>4634</v>
      </c>
      <c r="F17859" s="331">
        <v>0.21</v>
      </c>
      <c r="G17859" s="332">
        <v>131</v>
      </c>
      <c r="H17859" s="333">
        <v>159</v>
      </c>
    </row>
    <row r="17860" spans="1:8">
      <c r="A17860" s="317" t="s">
        <v>43744</v>
      </c>
      <c r="B17860" s="330" t="s">
        <v>62212</v>
      </c>
      <c r="C17860" s="330" t="s">
        <v>36409</v>
      </c>
      <c r="D17860" s="330" t="s">
        <v>36408</v>
      </c>
      <c r="E17860" s="330" t="s">
        <v>4634</v>
      </c>
      <c r="F17860" s="331">
        <v>0.21</v>
      </c>
      <c r="G17860" s="332">
        <v>131</v>
      </c>
      <c r="H17860" s="333">
        <v>159</v>
      </c>
    </row>
    <row r="17861" spans="1:8">
      <c r="A17861" s="317" t="s">
        <v>43745</v>
      </c>
      <c r="B17861" s="330" t="s">
        <v>62213</v>
      </c>
      <c r="C17861" s="330" t="s">
        <v>36410</v>
      </c>
      <c r="D17861" s="330" t="s">
        <v>36411</v>
      </c>
      <c r="E17861" s="330" t="s">
        <v>37248</v>
      </c>
      <c r="F17861" s="331">
        <v>0.21</v>
      </c>
      <c r="G17861" s="332">
        <v>3310</v>
      </c>
      <c r="H17861" s="333">
        <v>4006</v>
      </c>
    </row>
    <row r="17862" spans="1:8">
      <c r="A17862" s="317" t="s">
        <v>43746</v>
      </c>
      <c r="B17862" s="330" t="s">
        <v>62214</v>
      </c>
      <c r="C17862" s="330" t="s">
        <v>36412</v>
      </c>
      <c r="D17862" s="330" t="s">
        <v>36413</v>
      </c>
      <c r="E17862" s="330" t="s">
        <v>4819</v>
      </c>
      <c r="F17862" s="331">
        <v>0.21</v>
      </c>
      <c r="G17862" s="332">
        <v>1610</v>
      </c>
      <c r="H17862" s="333">
        <v>1949</v>
      </c>
    </row>
    <row r="17863" spans="1:8">
      <c r="A17863" s="317" t="s">
        <v>43747</v>
      </c>
      <c r="B17863" s="330" t="s">
        <v>62215</v>
      </c>
      <c r="C17863" s="330" t="s">
        <v>36414</v>
      </c>
      <c r="D17863" s="330" t="s">
        <v>36405</v>
      </c>
      <c r="E17863" s="330" t="s">
        <v>37248</v>
      </c>
      <c r="F17863" s="331">
        <v>0.21</v>
      </c>
      <c r="G17863" s="332">
        <v>863</v>
      </c>
      <c r="H17863" s="333">
        <v>1045</v>
      </c>
    </row>
    <row r="17864" spans="1:8">
      <c r="A17864" s="317" t="s">
        <v>43748</v>
      </c>
      <c r="B17864" s="330" t="s">
        <v>62216</v>
      </c>
      <c r="C17864" s="330" t="s">
        <v>36415</v>
      </c>
      <c r="D17864" s="330" t="s">
        <v>36405</v>
      </c>
      <c r="E17864" s="330" t="s">
        <v>37248</v>
      </c>
      <c r="F17864" s="331">
        <v>0.21</v>
      </c>
      <c r="G17864" s="332">
        <v>194</v>
      </c>
      <c r="H17864" s="333">
        <v>235</v>
      </c>
    </row>
    <row r="17865" spans="1:8">
      <c r="A17865" s="317" t="s">
        <v>43749</v>
      </c>
      <c r="B17865" s="330" t="s">
        <v>62217</v>
      </c>
      <c r="C17865" s="330" t="s">
        <v>36416</v>
      </c>
      <c r="D17865" s="330" t="s">
        <v>36417</v>
      </c>
      <c r="E17865" s="330" t="s">
        <v>37248</v>
      </c>
      <c r="F17865" s="331">
        <v>0.21</v>
      </c>
      <c r="G17865" s="332">
        <v>591</v>
      </c>
      <c r="H17865" s="333">
        <v>716</v>
      </c>
    </row>
    <row r="17866" spans="1:8">
      <c r="A17866" s="317" t="s">
        <v>43750</v>
      </c>
      <c r="B17866" s="330" t="s">
        <v>62218</v>
      </c>
      <c r="C17866" s="330" t="s">
        <v>36418</v>
      </c>
      <c r="D17866" s="330" t="s">
        <v>36419</v>
      </c>
      <c r="E17866" s="330" t="s">
        <v>4819</v>
      </c>
      <c r="F17866" s="331">
        <v>0.21</v>
      </c>
      <c r="G17866" s="332">
        <v>934</v>
      </c>
      <c r="H17866" s="333">
        <v>1131</v>
      </c>
    </row>
    <row r="17867" spans="1:8">
      <c r="A17867" s="317" t="s">
        <v>43751</v>
      </c>
      <c r="B17867" s="330" t="s">
        <v>62219</v>
      </c>
      <c r="C17867" s="330" t="s">
        <v>36420</v>
      </c>
      <c r="D17867" s="330" t="s">
        <v>36408</v>
      </c>
      <c r="E17867" s="330" t="s">
        <v>4634</v>
      </c>
      <c r="F17867" s="331">
        <v>0.21</v>
      </c>
      <c r="G17867" s="332">
        <v>432</v>
      </c>
      <c r="H17867" s="333">
        <v>523</v>
      </c>
    </row>
    <row r="17868" spans="1:8">
      <c r="A17868" s="317" t="s">
        <v>43752</v>
      </c>
      <c r="B17868" s="330" t="s">
        <v>62220</v>
      </c>
      <c r="C17868" s="330" t="s">
        <v>36421</v>
      </c>
      <c r="D17868" s="330" t="s">
        <v>36422</v>
      </c>
      <c r="E17868" s="330" t="s">
        <v>4634</v>
      </c>
      <c r="F17868" s="331">
        <v>0.21</v>
      </c>
      <c r="G17868" s="332">
        <v>131</v>
      </c>
      <c r="H17868" s="333">
        <v>159</v>
      </c>
    </row>
    <row r="17869" spans="1:8">
      <c r="A17869" s="317" t="s">
        <v>43753</v>
      </c>
      <c r="B17869" s="330" t="s">
        <v>62221</v>
      </c>
      <c r="C17869" s="330" t="s">
        <v>36423</v>
      </c>
      <c r="D17869" s="330" t="s">
        <v>36424</v>
      </c>
      <c r="E17869" s="330" t="s">
        <v>4634</v>
      </c>
      <c r="F17869" s="331">
        <v>0.21</v>
      </c>
      <c r="G17869" s="332">
        <v>194</v>
      </c>
      <c r="H17869" s="333">
        <v>235</v>
      </c>
    </row>
    <row r="17870" spans="1:8">
      <c r="A17870" s="317" t="s">
        <v>43754</v>
      </c>
      <c r="B17870" s="330" t="s">
        <v>62222</v>
      </c>
      <c r="C17870" s="330" t="s">
        <v>36425</v>
      </c>
      <c r="D17870" s="330" t="s">
        <v>36426</v>
      </c>
      <c r="E17870" s="330" t="s">
        <v>4634</v>
      </c>
      <c r="F17870" s="331">
        <v>0.21</v>
      </c>
      <c r="G17870" s="332">
        <v>194</v>
      </c>
      <c r="H17870" s="333">
        <v>235</v>
      </c>
    </row>
    <row r="17871" spans="1:8">
      <c r="A17871" s="317" t="s">
        <v>43755</v>
      </c>
      <c r="B17871" s="330" t="s">
        <v>62223</v>
      </c>
      <c r="C17871" s="330" t="s">
        <v>36427</v>
      </c>
      <c r="D17871" s="330" t="s">
        <v>36428</v>
      </c>
      <c r="E17871" s="330" t="s">
        <v>4819</v>
      </c>
      <c r="F17871" s="331">
        <v>0.21</v>
      </c>
      <c r="G17871" s="332">
        <v>13009</v>
      </c>
      <c r="H17871" s="333">
        <v>15741</v>
      </c>
    </row>
    <row r="17872" spans="1:8">
      <c r="A17872" s="317" t="s">
        <v>43756</v>
      </c>
      <c r="B17872" s="330" t="s">
        <v>62224</v>
      </c>
      <c r="C17872" s="330" t="s">
        <v>36429</v>
      </c>
      <c r="D17872" s="330" t="s">
        <v>36430</v>
      </c>
      <c r="E17872" s="330" t="s">
        <v>4634</v>
      </c>
      <c r="F17872" s="331">
        <v>0.21</v>
      </c>
      <c r="G17872" s="332">
        <v>4425</v>
      </c>
      <c r="H17872" s="333">
        <v>5355</v>
      </c>
    </row>
    <row r="17873" spans="1:8">
      <c r="A17873" s="317" t="s">
        <v>43757</v>
      </c>
      <c r="B17873" s="330" t="s">
        <v>62225</v>
      </c>
      <c r="C17873" s="330" t="s">
        <v>36431</v>
      </c>
      <c r="D17873" s="330" t="s">
        <v>36432</v>
      </c>
      <c r="E17873" s="330" t="s">
        <v>4634</v>
      </c>
      <c r="F17873" s="331">
        <v>0.21</v>
      </c>
      <c r="G17873" s="332">
        <v>131</v>
      </c>
      <c r="H17873" s="333">
        <v>159</v>
      </c>
    </row>
    <row r="17874" spans="1:8">
      <c r="A17874" s="317" t="s">
        <v>43758</v>
      </c>
      <c r="B17874" s="330" t="s">
        <v>62226</v>
      </c>
      <c r="C17874" s="330" t="s">
        <v>36433</v>
      </c>
      <c r="D17874" s="330" t="s">
        <v>36434</v>
      </c>
      <c r="E17874" s="330" t="s">
        <v>4634</v>
      </c>
      <c r="F17874" s="331">
        <v>0.21</v>
      </c>
      <c r="G17874" s="332">
        <v>245</v>
      </c>
      <c r="H17874" s="333">
        <v>297</v>
      </c>
    </row>
    <row r="17875" spans="1:8">
      <c r="A17875" s="317" t="s">
        <v>43759</v>
      </c>
      <c r="B17875" s="330" t="s">
        <v>62227</v>
      </c>
      <c r="C17875" s="330" t="s">
        <v>36435</v>
      </c>
      <c r="D17875" s="330" t="s">
        <v>36436</v>
      </c>
      <c r="E17875" s="330" t="s">
        <v>4634</v>
      </c>
      <c r="F17875" s="331">
        <v>0.21</v>
      </c>
      <c r="G17875" s="332">
        <v>3044</v>
      </c>
      <c r="H17875" s="333">
        <v>3684</v>
      </c>
    </row>
    <row r="17876" spans="1:8">
      <c r="A17876" s="317" t="s">
        <v>43760</v>
      </c>
      <c r="B17876" s="330" t="s">
        <v>62228</v>
      </c>
      <c r="C17876" s="330" t="s">
        <v>36437</v>
      </c>
      <c r="D17876" s="330" t="s">
        <v>36438</v>
      </c>
      <c r="E17876" s="330" t="s">
        <v>4634</v>
      </c>
      <c r="F17876" s="331">
        <v>0.21</v>
      </c>
      <c r="G17876" s="332">
        <v>280</v>
      </c>
      <c r="H17876" s="333">
        <v>339</v>
      </c>
    </row>
    <row r="17877" spans="1:8">
      <c r="A17877" s="317" t="s">
        <v>43761</v>
      </c>
      <c r="B17877" s="330" t="s">
        <v>62229</v>
      </c>
      <c r="C17877" s="330" t="s">
        <v>36439</v>
      </c>
      <c r="D17877" s="330" t="s">
        <v>36440</v>
      </c>
      <c r="E17877" s="330" t="s">
        <v>4634</v>
      </c>
      <c r="F17877" s="331">
        <v>0.21</v>
      </c>
      <c r="G17877" s="332">
        <v>280</v>
      </c>
      <c r="H17877" s="333">
        <v>339</v>
      </c>
    </row>
    <row r="17878" spans="1:8">
      <c r="A17878" s="317" t="s">
        <v>43762</v>
      </c>
      <c r="B17878" s="330" t="s">
        <v>62230</v>
      </c>
      <c r="C17878" s="330" t="s">
        <v>36441</v>
      </c>
      <c r="D17878" s="330" t="s">
        <v>36442</v>
      </c>
      <c r="E17878" s="330" t="s">
        <v>4634</v>
      </c>
      <c r="F17878" s="331">
        <v>0.21</v>
      </c>
      <c r="G17878" s="332">
        <v>1621</v>
      </c>
      <c r="H17878" s="333">
        <v>1962</v>
      </c>
    </row>
    <row r="17879" spans="1:8">
      <c r="A17879" s="317" t="s">
        <v>43763</v>
      </c>
      <c r="B17879" s="330" t="s">
        <v>62231</v>
      </c>
      <c r="C17879" s="330" t="s">
        <v>36443</v>
      </c>
      <c r="D17879" s="330" t="s">
        <v>36444</v>
      </c>
      <c r="E17879" s="330" t="s">
        <v>4634</v>
      </c>
      <c r="F17879" s="331">
        <v>0.21</v>
      </c>
      <c r="G17879" s="332">
        <v>1514</v>
      </c>
      <c r="H17879" s="333">
        <v>1832</v>
      </c>
    </row>
    <row r="17880" spans="1:8">
      <c r="A17880" s="317" t="s">
        <v>43764</v>
      </c>
      <c r="B17880" s="330" t="s">
        <v>62232</v>
      </c>
      <c r="C17880" s="330" t="s">
        <v>36445</v>
      </c>
      <c r="D17880" s="330" t="s">
        <v>36446</v>
      </c>
      <c r="E17880" s="330" t="s">
        <v>4634</v>
      </c>
      <c r="F17880" s="331">
        <v>0.21</v>
      </c>
      <c r="G17880" s="332">
        <v>4001</v>
      </c>
      <c r="H17880" s="333">
        <v>4842</v>
      </c>
    </row>
    <row r="17881" spans="1:8">
      <c r="A17881" s="317" t="s">
        <v>43765</v>
      </c>
      <c r="B17881" s="330" t="s">
        <v>62233</v>
      </c>
      <c r="C17881" s="330" t="s">
        <v>36447</v>
      </c>
      <c r="D17881" s="330" t="s">
        <v>36448</v>
      </c>
      <c r="E17881" s="330" t="s">
        <v>4634</v>
      </c>
      <c r="F17881" s="331">
        <v>0.21</v>
      </c>
      <c r="G17881" s="332">
        <v>673</v>
      </c>
      <c r="H17881" s="333">
        <v>815</v>
      </c>
    </row>
    <row r="17882" spans="1:8">
      <c r="A17882" s="317" t="s">
        <v>43766</v>
      </c>
      <c r="B17882" s="330" t="s">
        <v>62234</v>
      </c>
      <c r="C17882" s="330" t="s">
        <v>36449</v>
      </c>
      <c r="D17882" s="330" t="s">
        <v>36432</v>
      </c>
      <c r="E17882" s="330" t="s">
        <v>4634</v>
      </c>
      <c r="F17882" s="331">
        <v>0.21</v>
      </c>
      <c r="G17882" s="332">
        <v>214</v>
      </c>
      <c r="H17882" s="333">
        <v>259</v>
      </c>
    </row>
    <row r="17883" spans="1:8">
      <c r="A17883" s="317" t="s">
        <v>43767</v>
      </c>
      <c r="B17883" s="330" t="s">
        <v>62235</v>
      </c>
      <c r="C17883" s="330" t="s">
        <v>36450</v>
      </c>
      <c r="D17883" s="330" t="s">
        <v>35283</v>
      </c>
      <c r="E17883" s="330" t="s">
        <v>4634</v>
      </c>
      <c r="F17883" s="331">
        <v>0.21</v>
      </c>
      <c r="G17883" s="332">
        <v>2146</v>
      </c>
      <c r="H17883" s="333">
        <v>2597</v>
      </c>
    </row>
    <row r="17884" spans="1:8">
      <c r="A17884" s="317" t="s">
        <v>43768</v>
      </c>
      <c r="B17884" s="330" t="s">
        <v>62236</v>
      </c>
      <c r="C17884" s="330" t="s">
        <v>36451</v>
      </c>
      <c r="D17884" s="330" t="s">
        <v>36446</v>
      </c>
      <c r="E17884" s="330" t="s">
        <v>4634</v>
      </c>
      <c r="F17884" s="331">
        <v>0.21</v>
      </c>
      <c r="G17884" s="332">
        <v>4001</v>
      </c>
      <c r="H17884" s="333">
        <v>4842</v>
      </c>
    </row>
    <row r="17885" spans="1:8">
      <c r="A17885" s="317" t="s">
        <v>43769</v>
      </c>
      <c r="B17885" s="330" t="s">
        <v>62237</v>
      </c>
      <c r="C17885" s="330" t="s">
        <v>36452</v>
      </c>
      <c r="D17885" s="330" t="s">
        <v>36453</v>
      </c>
      <c r="E17885" s="330" t="s">
        <v>37248</v>
      </c>
      <c r="F17885" s="331">
        <v>0.21</v>
      </c>
      <c r="G17885" s="332">
        <v>5768</v>
      </c>
      <c r="H17885" s="333">
        <v>6980</v>
      </c>
    </row>
    <row r="17886" spans="1:8">
      <c r="A17886" s="317" t="s">
        <v>43770</v>
      </c>
      <c r="B17886" s="330" t="s">
        <v>62238</v>
      </c>
      <c r="C17886" s="330" t="s">
        <v>36454</v>
      </c>
      <c r="D17886" s="330" t="s">
        <v>36453</v>
      </c>
      <c r="E17886" s="330" t="s">
        <v>37248</v>
      </c>
      <c r="F17886" s="331">
        <v>0.21</v>
      </c>
      <c r="G17886" s="332">
        <v>4911</v>
      </c>
      <c r="H17886" s="333">
        <v>5943</v>
      </c>
    </row>
    <row r="17887" spans="1:8">
      <c r="A17887" s="317" t="s">
        <v>43771</v>
      </c>
      <c r="B17887" s="330" t="s">
        <v>62239</v>
      </c>
      <c r="C17887" s="330" t="s">
        <v>36455</v>
      </c>
      <c r="D17887" s="330" t="s">
        <v>27057</v>
      </c>
      <c r="E17887" s="330" t="s">
        <v>37248</v>
      </c>
      <c r="F17887" s="331">
        <v>0.21</v>
      </c>
      <c r="G17887" s="332">
        <v>2627</v>
      </c>
      <c r="H17887" s="333">
        <v>3179</v>
      </c>
    </row>
    <row r="17888" spans="1:8">
      <c r="A17888" s="317" t="s">
        <v>43772</v>
      </c>
      <c r="B17888" s="330" t="s">
        <v>62240</v>
      </c>
      <c r="C17888" s="330" t="s">
        <v>36456</v>
      </c>
      <c r="D17888" s="330" t="s">
        <v>36457</v>
      </c>
      <c r="E17888" s="330" t="s">
        <v>4819</v>
      </c>
      <c r="F17888" s="331">
        <v>0.21</v>
      </c>
      <c r="G17888" s="332">
        <v>214171</v>
      </c>
      <c r="H17888" s="333">
        <v>259147</v>
      </c>
    </row>
    <row r="17889" spans="1:8">
      <c r="A17889" s="317" t="s">
        <v>43773</v>
      </c>
      <c r="B17889" s="330" t="s">
        <v>62241</v>
      </c>
      <c r="C17889" s="330" t="s">
        <v>36458</v>
      </c>
      <c r="D17889" s="330" t="s">
        <v>36459</v>
      </c>
      <c r="E17889" s="330" t="s">
        <v>4634</v>
      </c>
      <c r="F17889" s="331">
        <v>0.21</v>
      </c>
      <c r="G17889" s="332">
        <v>3656</v>
      </c>
      <c r="H17889" s="333">
        <v>4424</v>
      </c>
    </row>
    <row r="17890" spans="1:8">
      <c r="A17890" s="317" t="s">
        <v>43774</v>
      </c>
      <c r="B17890" s="330" t="s">
        <v>62242</v>
      </c>
      <c r="C17890" s="330" t="s">
        <v>36460</v>
      </c>
      <c r="D17890" s="330" t="s">
        <v>36461</v>
      </c>
      <c r="E17890" s="330" t="s">
        <v>4634</v>
      </c>
      <c r="F17890" s="331">
        <v>0.21</v>
      </c>
      <c r="G17890" s="332">
        <v>3787</v>
      </c>
      <c r="H17890" s="333">
        <v>4583</v>
      </c>
    </row>
    <row r="17891" spans="1:8">
      <c r="A17891" s="317" t="s">
        <v>43775</v>
      </c>
      <c r="B17891" s="330" t="s">
        <v>62243</v>
      </c>
      <c r="C17891" s="330" t="s">
        <v>36462</v>
      </c>
      <c r="D17891" s="330" t="s">
        <v>36463</v>
      </c>
      <c r="E17891" s="330" t="s">
        <v>37248</v>
      </c>
      <c r="F17891" s="331">
        <v>0.21</v>
      </c>
      <c r="G17891" s="332">
        <v>2351</v>
      </c>
      <c r="H17891" s="333">
        <v>2845</v>
      </c>
    </row>
    <row r="17892" spans="1:8">
      <c r="A17892" s="317" t="s">
        <v>43776</v>
      </c>
      <c r="B17892" s="330" t="s">
        <v>62244</v>
      </c>
      <c r="C17892" s="330" t="s">
        <v>36464</v>
      </c>
      <c r="D17892" s="330" t="s">
        <v>36465</v>
      </c>
      <c r="E17892" s="330" t="s">
        <v>4623</v>
      </c>
      <c r="F17892" s="331">
        <v>0.21</v>
      </c>
      <c r="G17892" s="332">
        <v>18214</v>
      </c>
      <c r="H17892" s="333">
        <v>22039</v>
      </c>
    </row>
    <row r="17893" spans="1:8">
      <c r="A17893" s="317" t="s">
        <v>43777</v>
      </c>
      <c r="B17893" s="330" t="s">
        <v>62245</v>
      </c>
      <c r="C17893" s="330" t="s">
        <v>36466</v>
      </c>
      <c r="D17893" s="330" t="s">
        <v>36467</v>
      </c>
      <c r="E17893" s="330" t="s">
        <v>4634</v>
      </c>
      <c r="F17893" s="331">
        <v>0.21</v>
      </c>
      <c r="G17893" s="332">
        <v>1927</v>
      </c>
      <c r="H17893" s="333">
        <v>2332</v>
      </c>
    </row>
    <row r="17894" spans="1:8">
      <c r="A17894" s="317" t="s">
        <v>43778</v>
      </c>
      <c r="B17894" s="330" t="s">
        <v>62246</v>
      </c>
      <c r="C17894" s="330" t="s">
        <v>36468</v>
      </c>
      <c r="D17894" s="330" t="s">
        <v>36469</v>
      </c>
      <c r="E17894" s="330" t="s">
        <v>4623</v>
      </c>
      <c r="F17894" s="331">
        <v>0.21</v>
      </c>
      <c r="G17894" s="332">
        <v>1902</v>
      </c>
      <c r="H17894" s="333">
        <v>2302</v>
      </c>
    </row>
    <row r="17895" spans="1:8">
      <c r="A17895" s="317" t="s">
        <v>43779</v>
      </c>
      <c r="B17895" s="330" t="s">
        <v>62247</v>
      </c>
      <c r="C17895" s="330" t="s">
        <v>36470</v>
      </c>
      <c r="D17895" s="330" t="s">
        <v>36469</v>
      </c>
      <c r="E17895" s="330" t="s">
        <v>4819</v>
      </c>
      <c r="F17895" s="331">
        <v>0.21</v>
      </c>
      <c r="G17895" s="332">
        <v>1837</v>
      </c>
      <c r="H17895" s="333">
        <v>2223</v>
      </c>
    </row>
    <row r="17896" spans="1:8">
      <c r="A17896" s="317" t="s">
        <v>43780</v>
      </c>
      <c r="B17896" s="330" t="s">
        <v>62248</v>
      </c>
      <c r="C17896" s="330" t="s">
        <v>36471</v>
      </c>
      <c r="D17896" s="330" t="s">
        <v>36472</v>
      </c>
      <c r="E17896" s="330" t="s">
        <v>4623</v>
      </c>
      <c r="F17896" s="331">
        <v>0.21</v>
      </c>
      <c r="G17896" s="332">
        <v>20317</v>
      </c>
      <c r="H17896" s="333">
        <v>24584</v>
      </c>
    </row>
    <row r="17897" spans="1:8">
      <c r="A17897" s="317" t="s">
        <v>43781</v>
      </c>
      <c r="B17897" s="330" t="s">
        <v>62249</v>
      </c>
      <c r="C17897" s="330" t="s">
        <v>36473</v>
      </c>
      <c r="D17897" s="330" t="s">
        <v>36469</v>
      </c>
      <c r="E17897" s="330" t="s">
        <v>4623</v>
      </c>
      <c r="F17897" s="331">
        <v>0.21</v>
      </c>
      <c r="G17897" s="332">
        <v>1731</v>
      </c>
      <c r="H17897" s="333">
        <v>2095</v>
      </c>
    </row>
    <row r="17898" spans="1:8">
      <c r="A17898" s="317" t="s">
        <v>43782</v>
      </c>
      <c r="B17898" s="330" t="s">
        <v>62250</v>
      </c>
      <c r="C17898" s="330" t="s">
        <v>36474</v>
      </c>
      <c r="D17898" s="330" t="s">
        <v>36461</v>
      </c>
      <c r="E17898" s="330" t="s">
        <v>4819</v>
      </c>
      <c r="F17898" s="331">
        <v>0.21</v>
      </c>
      <c r="G17898" s="332">
        <v>1822</v>
      </c>
      <c r="H17898" s="333">
        <v>2205</v>
      </c>
    </row>
    <row r="17899" spans="1:8">
      <c r="A17899" s="317" t="s">
        <v>43783</v>
      </c>
      <c r="B17899" s="330" t="s">
        <v>62251</v>
      </c>
      <c r="C17899" s="330" t="s">
        <v>36475</v>
      </c>
      <c r="D17899" s="330" t="s">
        <v>27079</v>
      </c>
      <c r="E17899" s="330" t="s">
        <v>4819</v>
      </c>
      <c r="F17899" s="331">
        <v>0.21</v>
      </c>
      <c r="G17899" s="332">
        <v>8463</v>
      </c>
      <c r="H17899" s="333">
        <v>10241</v>
      </c>
    </row>
    <row r="17900" spans="1:8">
      <c r="A17900" s="317" t="s">
        <v>43784</v>
      </c>
      <c r="B17900" s="330" t="s">
        <v>62252</v>
      </c>
      <c r="C17900" s="330" t="s">
        <v>36476</v>
      </c>
      <c r="D17900" s="330" t="s">
        <v>36477</v>
      </c>
      <c r="E17900" s="330" t="s">
        <v>4623</v>
      </c>
      <c r="F17900" s="331">
        <v>0.21</v>
      </c>
      <c r="G17900" s="332">
        <v>1369</v>
      </c>
      <c r="H17900" s="333">
        <v>1657</v>
      </c>
    </row>
    <row r="17901" spans="1:8">
      <c r="A17901" s="317" t="s">
        <v>43785</v>
      </c>
      <c r="B17901" s="330" t="s">
        <v>62253</v>
      </c>
      <c r="C17901" s="330" t="s">
        <v>36478</v>
      </c>
      <c r="D17901" s="330" t="s">
        <v>36479</v>
      </c>
      <c r="E17901" s="330" t="s">
        <v>37248</v>
      </c>
      <c r="F17901" s="331">
        <v>0.21</v>
      </c>
      <c r="G17901" s="332">
        <v>727</v>
      </c>
      <c r="H17901" s="333">
        <v>880</v>
      </c>
    </row>
    <row r="17902" spans="1:8">
      <c r="A17902" s="317" t="s">
        <v>43786</v>
      </c>
      <c r="B17902" s="330" t="s">
        <v>62254</v>
      </c>
      <c r="C17902" s="330" t="s">
        <v>36480</v>
      </c>
      <c r="D17902" s="330" t="s">
        <v>27079</v>
      </c>
      <c r="E17902" s="330" t="s">
        <v>4819</v>
      </c>
      <c r="F17902" s="331">
        <v>0.21</v>
      </c>
      <c r="G17902" s="332">
        <v>3084</v>
      </c>
      <c r="H17902" s="333">
        <v>3732</v>
      </c>
    </row>
    <row r="17903" spans="1:8">
      <c r="A17903" s="317" t="s">
        <v>43787</v>
      </c>
      <c r="B17903" s="330" t="s">
        <v>62255</v>
      </c>
      <c r="C17903" s="330" t="s">
        <v>36481</v>
      </c>
      <c r="D17903" s="330" t="s">
        <v>36482</v>
      </c>
      <c r="E17903" s="330" t="s">
        <v>4634</v>
      </c>
      <c r="F17903" s="331">
        <v>0.21</v>
      </c>
      <c r="G17903" s="332">
        <v>1760</v>
      </c>
      <c r="H17903" s="333">
        <v>2130</v>
      </c>
    </row>
    <row r="17904" spans="1:8">
      <c r="A17904" s="317" t="s">
        <v>43788</v>
      </c>
      <c r="B17904" s="330" t="s">
        <v>62256</v>
      </c>
      <c r="C17904" s="330" t="s">
        <v>36483</v>
      </c>
      <c r="D17904" s="330" t="s">
        <v>27057</v>
      </c>
      <c r="E17904" s="330" t="s">
        <v>37248</v>
      </c>
      <c r="F17904" s="331">
        <v>0.21</v>
      </c>
      <c r="G17904" s="332">
        <v>7890</v>
      </c>
      <c r="H17904" s="333">
        <v>9547</v>
      </c>
    </row>
    <row r="17905" spans="1:8">
      <c r="A17905" s="317" t="s">
        <v>43789</v>
      </c>
      <c r="B17905" s="330" t="s">
        <v>62257</v>
      </c>
      <c r="C17905" s="330" t="s">
        <v>36484</v>
      </c>
      <c r="D17905" s="330" t="s">
        <v>36485</v>
      </c>
      <c r="E17905" s="330" t="s">
        <v>4634</v>
      </c>
      <c r="F17905" s="331">
        <v>0.21</v>
      </c>
      <c r="G17905" s="332">
        <v>4135</v>
      </c>
      <c r="H17905" s="333">
        <v>5004</v>
      </c>
    </row>
    <row r="17906" spans="1:8">
      <c r="A17906" s="317" t="s">
        <v>43790</v>
      </c>
      <c r="B17906" s="330" t="s">
        <v>62258</v>
      </c>
      <c r="C17906" s="330" t="s">
        <v>36486</v>
      </c>
      <c r="D17906" s="330" t="s">
        <v>36461</v>
      </c>
      <c r="E17906" s="330" t="s">
        <v>4634</v>
      </c>
      <c r="F17906" s="331">
        <v>0.21</v>
      </c>
      <c r="G17906" s="332">
        <v>1679</v>
      </c>
      <c r="H17906" s="333">
        <v>2032</v>
      </c>
    </row>
    <row r="17907" spans="1:8">
      <c r="A17907" s="317" t="s">
        <v>43791</v>
      </c>
      <c r="B17907" s="330" t="s">
        <v>62259</v>
      </c>
      <c r="C17907" s="330" t="s">
        <v>36487</v>
      </c>
      <c r="D17907" s="330" t="s">
        <v>27057</v>
      </c>
      <c r="E17907" s="330" t="s">
        <v>37248</v>
      </c>
      <c r="F17907" s="331">
        <v>0.21</v>
      </c>
      <c r="G17907" s="332">
        <v>2565</v>
      </c>
      <c r="H17907" s="333">
        <v>3104</v>
      </c>
    </row>
    <row r="17908" spans="1:8">
      <c r="A17908" s="317" t="s">
        <v>43792</v>
      </c>
      <c r="B17908" s="330" t="s">
        <v>62260</v>
      </c>
      <c r="C17908" s="330" t="s">
        <v>36488</v>
      </c>
      <c r="D17908" s="330" t="s">
        <v>36461</v>
      </c>
      <c r="E17908" s="330" t="s">
        <v>37248</v>
      </c>
      <c r="F17908" s="331">
        <v>0.21</v>
      </c>
      <c r="G17908" s="332">
        <v>2705</v>
      </c>
      <c r="H17908" s="333">
        <v>3274</v>
      </c>
    </row>
    <row r="17909" spans="1:8">
      <c r="A17909" s="317" t="s">
        <v>43793</v>
      </c>
      <c r="B17909" s="330" t="s">
        <v>62261</v>
      </c>
      <c r="C17909" s="330" t="s">
        <v>36489</v>
      </c>
      <c r="D17909" s="330" t="s">
        <v>36490</v>
      </c>
      <c r="E17909" s="330" t="s">
        <v>4634</v>
      </c>
      <c r="F17909" s="331">
        <v>0.21</v>
      </c>
      <c r="G17909" s="332">
        <v>6919</v>
      </c>
      <c r="H17909" s="333">
        <v>8372</v>
      </c>
    </row>
    <row r="17910" spans="1:8">
      <c r="A17910" s="317" t="s">
        <v>43794</v>
      </c>
      <c r="B17910" s="330" t="s">
        <v>62262</v>
      </c>
      <c r="C17910" s="330" t="s">
        <v>36491</v>
      </c>
      <c r="D17910" s="330" t="s">
        <v>36490</v>
      </c>
      <c r="E17910" s="330" t="s">
        <v>4634</v>
      </c>
      <c r="F17910" s="331">
        <v>0.21</v>
      </c>
      <c r="G17910" s="332">
        <v>2362</v>
      </c>
      <c r="H17910" s="333">
        <v>2859</v>
      </c>
    </row>
    <row r="17911" spans="1:8">
      <c r="A17911" s="317" t="s">
        <v>43795</v>
      </c>
      <c r="B17911" s="330" t="s">
        <v>62263</v>
      </c>
      <c r="C17911" s="330" t="s">
        <v>36492</v>
      </c>
      <c r="D17911" s="330" t="s">
        <v>36490</v>
      </c>
      <c r="E17911" s="330" t="s">
        <v>4623</v>
      </c>
      <c r="F17911" s="331">
        <v>0.21</v>
      </c>
      <c r="G17911" s="332">
        <v>7526</v>
      </c>
      <c r="H17911" s="333">
        <v>9107</v>
      </c>
    </row>
    <row r="17912" spans="1:8">
      <c r="A17912" s="317" t="s">
        <v>43796</v>
      </c>
      <c r="B17912" s="330" t="s">
        <v>62264</v>
      </c>
      <c r="C17912" s="330" t="s">
        <v>36493</v>
      </c>
      <c r="D17912" s="330" t="s">
        <v>36490</v>
      </c>
      <c r="E17912" s="330" t="s">
        <v>4634</v>
      </c>
      <c r="F17912" s="331">
        <v>0.21</v>
      </c>
      <c r="G17912" s="332">
        <v>1371</v>
      </c>
      <c r="H17912" s="333">
        <v>1659</v>
      </c>
    </row>
    <row r="17913" spans="1:8">
      <c r="A17913" s="317" t="s">
        <v>43797</v>
      </c>
      <c r="B17913" s="330" t="s">
        <v>62265</v>
      </c>
      <c r="C17913" s="330" t="s">
        <v>36494</v>
      </c>
      <c r="D17913" s="330" t="s">
        <v>36490</v>
      </c>
      <c r="E17913" s="330" t="s">
        <v>4634</v>
      </c>
      <c r="F17913" s="331">
        <v>0.21</v>
      </c>
      <c r="G17913" s="332">
        <v>1371</v>
      </c>
      <c r="H17913" s="333">
        <v>1659</v>
      </c>
    </row>
    <row r="17914" spans="1:8">
      <c r="A17914" s="317" t="s">
        <v>43798</v>
      </c>
      <c r="B17914" s="330" t="s">
        <v>62266</v>
      </c>
      <c r="C17914" s="330" t="s">
        <v>36495</v>
      </c>
      <c r="D17914" s="330" t="s">
        <v>36469</v>
      </c>
      <c r="E17914" s="330" t="s">
        <v>4634</v>
      </c>
      <c r="F17914" s="331">
        <v>0.21</v>
      </c>
      <c r="G17914" s="332">
        <v>1153</v>
      </c>
      <c r="H17914" s="333">
        <v>1396</v>
      </c>
    </row>
    <row r="17915" spans="1:8">
      <c r="A17915" s="317" t="s">
        <v>43799</v>
      </c>
      <c r="B17915" s="330" t="s">
        <v>62267</v>
      </c>
      <c r="C17915" s="330" t="s">
        <v>36496</v>
      </c>
      <c r="D17915" s="330" t="s">
        <v>27057</v>
      </c>
      <c r="E17915" s="330" t="s">
        <v>37248</v>
      </c>
      <c r="F17915" s="331">
        <v>0.21</v>
      </c>
      <c r="G17915" s="332">
        <v>2565</v>
      </c>
      <c r="H17915" s="333">
        <v>3104</v>
      </c>
    </row>
    <row r="17916" spans="1:8">
      <c r="A17916" s="317" t="s">
        <v>43800</v>
      </c>
      <c r="B17916" s="330" t="s">
        <v>62268</v>
      </c>
      <c r="C17916" s="330" t="s">
        <v>36497</v>
      </c>
      <c r="D17916" s="330" t="s">
        <v>36498</v>
      </c>
      <c r="E17916" s="330" t="s">
        <v>4819</v>
      </c>
      <c r="F17916" s="331">
        <v>0.21</v>
      </c>
      <c r="G17916" s="332">
        <v>60734</v>
      </c>
      <c r="H17916" s="333">
        <v>73489</v>
      </c>
    </row>
    <row r="17917" spans="1:8">
      <c r="A17917" s="317" t="s">
        <v>43801</v>
      </c>
      <c r="B17917" s="330" t="s">
        <v>62269</v>
      </c>
      <c r="C17917" s="330" t="s">
        <v>36499</v>
      </c>
      <c r="D17917" s="330" t="s">
        <v>36500</v>
      </c>
      <c r="E17917" s="330" t="s">
        <v>37248</v>
      </c>
      <c r="F17917" s="331">
        <v>0.21</v>
      </c>
      <c r="G17917" s="332">
        <v>55352</v>
      </c>
      <c r="H17917" s="333">
        <v>66976</v>
      </c>
    </row>
    <row r="17918" spans="1:8">
      <c r="A17918" s="317" t="s">
        <v>43802</v>
      </c>
      <c r="B17918" s="330" t="s">
        <v>62270</v>
      </c>
      <c r="C17918" s="330" t="s">
        <v>36501</v>
      </c>
      <c r="D17918" s="330" t="s">
        <v>36502</v>
      </c>
      <c r="E17918" s="330" t="s">
        <v>37248</v>
      </c>
      <c r="F17918" s="331">
        <v>0.21</v>
      </c>
      <c r="G17918" s="332">
        <v>8385</v>
      </c>
      <c r="H17918" s="333">
        <v>10146</v>
      </c>
    </row>
    <row r="17919" spans="1:8">
      <c r="A17919" s="317" t="s">
        <v>43803</v>
      </c>
      <c r="B17919" s="330" t="s">
        <v>62271</v>
      </c>
      <c r="C17919" s="330" t="s">
        <v>36503</v>
      </c>
      <c r="D17919" s="330" t="s">
        <v>36504</v>
      </c>
      <c r="E17919" s="330" t="s">
        <v>4819</v>
      </c>
      <c r="F17919" s="331">
        <v>0.21</v>
      </c>
      <c r="G17919" s="332">
        <v>45956</v>
      </c>
      <c r="H17919" s="333">
        <v>55607</v>
      </c>
    </row>
    <row r="17920" spans="1:8">
      <c r="A17920" s="317" t="s">
        <v>43804</v>
      </c>
      <c r="B17920" s="330" t="s">
        <v>62272</v>
      </c>
      <c r="C17920" s="330" t="s">
        <v>36505</v>
      </c>
      <c r="D17920" s="330" t="s">
        <v>36506</v>
      </c>
      <c r="E17920" s="330" t="s">
        <v>37248</v>
      </c>
      <c r="F17920" s="331">
        <v>0.21</v>
      </c>
      <c r="G17920" s="332">
        <v>50970</v>
      </c>
      <c r="H17920" s="333">
        <v>61674</v>
      </c>
    </row>
    <row r="17921" spans="1:8">
      <c r="A17921" s="317" t="s">
        <v>43805</v>
      </c>
      <c r="B17921" s="330" t="s">
        <v>62273</v>
      </c>
      <c r="C17921" s="330" t="s">
        <v>36507</v>
      </c>
      <c r="D17921" s="330" t="s">
        <v>36508</v>
      </c>
      <c r="E17921" s="330" t="s">
        <v>37248</v>
      </c>
      <c r="F17921" s="331">
        <v>0.21</v>
      </c>
      <c r="G17921" s="332">
        <v>43932</v>
      </c>
      <c r="H17921" s="333">
        <v>53158</v>
      </c>
    </row>
    <row r="17922" spans="1:8">
      <c r="A17922" s="317" t="s">
        <v>43806</v>
      </c>
      <c r="B17922" s="330" t="s">
        <v>62274</v>
      </c>
      <c r="C17922" s="330" t="s">
        <v>36509</v>
      </c>
      <c r="D17922" s="330" t="s">
        <v>36510</v>
      </c>
      <c r="E17922" s="330" t="s">
        <v>37248</v>
      </c>
      <c r="F17922" s="331">
        <v>0.21</v>
      </c>
      <c r="G17922" s="332">
        <v>3419</v>
      </c>
      <c r="H17922" s="333">
        <v>4137</v>
      </c>
    </row>
    <row r="17923" spans="1:8">
      <c r="A17923" s="317" t="s">
        <v>43807</v>
      </c>
      <c r="B17923" s="330" t="s">
        <v>62275</v>
      </c>
      <c r="C17923" s="330" t="s">
        <v>36511</v>
      </c>
      <c r="D17923" s="330" t="s">
        <v>36512</v>
      </c>
      <c r="E17923" s="330" t="s">
        <v>37248</v>
      </c>
      <c r="F17923" s="331">
        <v>0.21</v>
      </c>
      <c r="G17923" s="332">
        <v>14644</v>
      </c>
      <c r="H17923" s="333">
        <v>17720</v>
      </c>
    </row>
    <row r="17924" spans="1:8">
      <c r="A17924" s="317" t="s">
        <v>43808</v>
      </c>
      <c r="B17924" s="330" t="s">
        <v>62276</v>
      </c>
      <c r="C17924" s="330" t="s">
        <v>36513</v>
      </c>
      <c r="D17924" s="330" t="s">
        <v>36514</v>
      </c>
      <c r="E17924" s="330" t="s">
        <v>37248</v>
      </c>
      <c r="F17924" s="331">
        <v>0.21</v>
      </c>
      <c r="G17924" s="332">
        <v>15657</v>
      </c>
      <c r="H17924" s="333">
        <v>18945</v>
      </c>
    </row>
    <row r="17925" spans="1:8">
      <c r="A17925" s="317" t="s">
        <v>43809</v>
      </c>
      <c r="B17925" s="330" t="s">
        <v>62277</v>
      </c>
      <c r="C17925" s="330" t="s">
        <v>36515</v>
      </c>
      <c r="D17925" s="330" t="s">
        <v>36516</v>
      </c>
      <c r="E17925" s="330" t="s">
        <v>37248</v>
      </c>
      <c r="F17925" s="331">
        <v>0.21</v>
      </c>
      <c r="G17925" s="332">
        <v>39778</v>
      </c>
      <c r="H17925" s="333">
        <v>48132</v>
      </c>
    </row>
    <row r="17926" spans="1:8">
      <c r="A17926" s="317" t="s">
        <v>43810</v>
      </c>
      <c r="B17926" s="330" t="s">
        <v>62278</v>
      </c>
      <c r="C17926" s="330" t="s">
        <v>36517</v>
      </c>
      <c r="D17926" s="330" t="s">
        <v>36518</v>
      </c>
      <c r="E17926" s="330" t="s">
        <v>4819</v>
      </c>
      <c r="F17926" s="331">
        <v>0.21</v>
      </c>
      <c r="G17926" s="332">
        <v>9039</v>
      </c>
      <c r="H17926" s="333">
        <v>10938</v>
      </c>
    </row>
    <row r="17927" spans="1:8">
      <c r="A17927" s="317" t="s">
        <v>43811</v>
      </c>
      <c r="B17927" s="330" t="s">
        <v>62279</v>
      </c>
      <c r="C17927" s="330" t="s">
        <v>36519</v>
      </c>
      <c r="D17927" s="330" t="s">
        <v>36520</v>
      </c>
      <c r="E17927" s="330" t="s">
        <v>37248</v>
      </c>
      <c r="F17927" s="331">
        <v>0.21</v>
      </c>
      <c r="G17927" s="332">
        <v>1837</v>
      </c>
      <c r="H17927" s="333">
        <v>2223</v>
      </c>
    </row>
    <row r="17928" spans="1:8">
      <c r="A17928" s="317" t="s">
        <v>43812</v>
      </c>
      <c r="B17928" s="330" t="s">
        <v>62280</v>
      </c>
      <c r="C17928" s="330" t="s">
        <v>36521</v>
      </c>
      <c r="D17928" s="330" t="s">
        <v>19635</v>
      </c>
      <c r="E17928" s="330" t="s">
        <v>37248</v>
      </c>
      <c r="F17928" s="331">
        <v>0.21</v>
      </c>
      <c r="G17928" s="332">
        <v>1588</v>
      </c>
      <c r="H17928" s="333">
        <v>1922</v>
      </c>
    </row>
    <row r="17929" spans="1:8">
      <c r="A17929" s="317" t="s">
        <v>43813</v>
      </c>
      <c r="B17929" s="330" t="s">
        <v>62281</v>
      </c>
      <c r="C17929" s="330" t="s">
        <v>36522</v>
      </c>
      <c r="D17929" s="330" t="s">
        <v>19623</v>
      </c>
      <c r="E17929" s="330" t="s">
        <v>37248</v>
      </c>
      <c r="F17929" s="331">
        <v>0.21</v>
      </c>
      <c r="G17929" s="332">
        <v>2494</v>
      </c>
      <c r="H17929" s="333">
        <v>3018</v>
      </c>
    </row>
    <row r="17930" spans="1:8">
      <c r="A17930" s="317" t="s">
        <v>43814</v>
      </c>
      <c r="B17930" s="330" t="s">
        <v>62282</v>
      </c>
      <c r="C17930" s="330" t="s">
        <v>36523</v>
      </c>
      <c r="D17930" s="330" t="s">
        <v>36524</v>
      </c>
      <c r="E17930" s="330" t="s">
        <v>4634</v>
      </c>
      <c r="F17930" s="331">
        <v>0.21</v>
      </c>
      <c r="G17930" s="332">
        <v>254</v>
      </c>
      <c r="H17930" s="333">
        <v>308</v>
      </c>
    </row>
    <row r="17931" spans="1:8">
      <c r="A17931" s="317" t="s">
        <v>43815</v>
      </c>
      <c r="B17931" s="330" t="s">
        <v>62283</v>
      </c>
      <c r="C17931" s="330" t="s">
        <v>36525</v>
      </c>
      <c r="D17931" s="330" t="s">
        <v>36526</v>
      </c>
      <c r="E17931" s="330" t="s">
        <v>4634</v>
      </c>
      <c r="F17931" s="331">
        <v>0.21</v>
      </c>
      <c r="G17931" s="332">
        <v>245</v>
      </c>
      <c r="H17931" s="333">
        <v>297</v>
      </c>
    </row>
    <row r="17932" spans="1:8">
      <c r="A17932" s="317" t="s">
        <v>43816</v>
      </c>
      <c r="B17932" s="330" t="s">
        <v>62284</v>
      </c>
      <c r="C17932" s="330" t="s">
        <v>36527</v>
      </c>
      <c r="D17932" s="330" t="s">
        <v>36528</v>
      </c>
      <c r="E17932" s="330" t="s">
        <v>4634</v>
      </c>
      <c r="F17932" s="331">
        <v>0.21</v>
      </c>
      <c r="G17932" s="332">
        <v>285</v>
      </c>
      <c r="H17932" s="333">
        <v>345</v>
      </c>
    </row>
    <row r="17933" spans="1:8">
      <c r="A17933" s="317" t="s">
        <v>43817</v>
      </c>
      <c r="B17933" s="330" t="s">
        <v>62285</v>
      </c>
      <c r="C17933" s="330" t="s">
        <v>36529</v>
      </c>
      <c r="D17933" s="330" t="s">
        <v>36530</v>
      </c>
      <c r="E17933" s="330" t="s">
        <v>4819</v>
      </c>
      <c r="F17933" s="331">
        <v>0.21</v>
      </c>
      <c r="G17933" s="332">
        <v>653</v>
      </c>
      <c r="H17933" s="333">
        <v>791</v>
      </c>
    </row>
    <row r="17934" spans="1:8">
      <c r="A17934" s="317" t="s">
        <v>43818</v>
      </c>
      <c r="B17934" s="330" t="s">
        <v>62286</v>
      </c>
      <c r="C17934" s="330" t="s">
        <v>36531</v>
      </c>
      <c r="D17934" s="330" t="s">
        <v>13114</v>
      </c>
      <c r="E17934" s="330" t="s">
        <v>37248</v>
      </c>
      <c r="F17934" s="331">
        <v>0.21</v>
      </c>
      <c r="G17934" s="332">
        <v>2509</v>
      </c>
      <c r="H17934" s="333">
        <v>3036</v>
      </c>
    </row>
    <row r="17935" spans="1:8">
      <c r="A17935" s="317" t="s">
        <v>43819</v>
      </c>
      <c r="B17935" s="330" t="s">
        <v>62287</v>
      </c>
      <c r="C17935" s="330" t="s">
        <v>36532</v>
      </c>
      <c r="D17935" s="330" t="s">
        <v>36533</v>
      </c>
      <c r="E17935" s="330" t="s">
        <v>4819</v>
      </c>
      <c r="F17935" s="331">
        <v>0.21</v>
      </c>
      <c r="G17935" s="332">
        <v>25809</v>
      </c>
      <c r="H17935" s="333">
        <v>31229</v>
      </c>
    </row>
    <row r="17936" spans="1:8">
      <c r="A17936" s="317" t="s">
        <v>43820</v>
      </c>
      <c r="B17936" s="330" t="s">
        <v>62288</v>
      </c>
      <c r="C17936" s="330" t="s">
        <v>36534</v>
      </c>
      <c r="D17936" s="330" t="s">
        <v>36535</v>
      </c>
      <c r="E17936" s="330" t="s">
        <v>4819</v>
      </c>
      <c r="F17936" s="331">
        <v>0.21</v>
      </c>
      <c r="G17936" s="332">
        <v>5632</v>
      </c>
      <c r="H17936" s="333">
        <v>6815</v>
      </c>
    </row>
    <row r="17937" spans="1:8">
      <c r="A17937" s="317" t="s">
        <v>43821</v>
      </c>
      <c r="B17937" s="330" t="s">
        <v>62289</v>
      </c>
      <c r="C17937" s="330" t="s">
        <v>36536</v>
      </c>
      <c r="D17937" s="330" t="s">
        <v>36537</v>
      </c>
      <c r="E17937" s="330" t="s">
        <v>4819</v>
      </c>
      <c r="F17937" s="331">
        <v>0.21</v>
      </c>
      <c r="G17937" s="332">
        <v>6072</v>
      </c>
      <c r="H17937" s="333">
        <v>7348</v>
      </c>
    </row>
    <row r="17938" spans="1:8">
      <c r="A17938" s="317" t="s">
        <v>43822</v>
      </c>
      <c r="B17938" s="330" t="s">
        <v>62290</v>
      </c>
      <c r="C17938" s="330" t="s">
        <v>36538</v>
      </c>
      <c r="D17938" s="330" t="s">
        <v>36535</v>
      </c>
      <c r="E17938" s="330" t="s">
        <v>4819</v>
      </c>
      <c r="F17938" s="331">
        <v>0.21</v>
      </c>
      <c r="G17938" s="332">
        <v>3943</v>
      </c>
      <c r="H17938" s="333">
        <v>4772</v>
      </c>
    </row>
    <row r="17939" spans="1:8">
      <c r="A17939" s="317" t="s">
        <v>43823</v>
      </c>
      <c r="B17939" s="330" t="s">
        <v>62291</v>
      </c>
      <c r="C17939" s="330" t="s">
        <v>36539</v>
      </c>
      <c r="D17939" s="330" t="s">
        <v>36540</v>
      </c>
      <c r="E17939" s="330" t="s">
        <v>4634</v>
      </c>
      <c r="F17939" s="331">
        <v>0.21</v>
      </c>
      <c r="G17939" s="332">
        <v>455</v>
      </c>
      <c r="H17939" s="333">
        <v>551</v>
      </c>
    </row>
    <row r="17940" spans="1:8">
      <c r="A17940" s="317" t="s">
        <v>43824</v>
      </c>
      <c r="B17940" s="330" t="s">
        <v>62292</v>
      </c>
      <c r="C17940" s="330" t="s">
        <v>36541</v>
      </c>
      <c r="D17940" s="330" t="s">
        <v>36542</v>
      </c>
      <c r="E17940" s="330" t="s">
        <v>4819</v>
      </c>
      <c r="F17940" s="331">
        <v>0.21</v>
      </c>
      <c r="G17940" s="332">
        <v>1373</v>
      </c>
      <c r="H17940" s="333">
        <v>1662</v>
      </c>
    </row>
    <row r="17941" spans="1:8">
      <c r="A17941" s="317" t="s">
        <v>43825</v>
      </c>
      <c r="B17941" s="330" t="s">
        <v>62293</v>
      </c>
      <c r="C17941" s="330" t="s">
        <v>36543</v>
      </c>
      <c r="D17941" s="330" t="s">
        <v>36544</v>
      </c>
      <c r="E17941" s="330" t="s">
        <v>4819</v>
      </c>
      <c r="F17941" s="331">
        <v>0.21</v>
      </c>
      <c r="G17941" s="332">
        <v>5955</v>
      </c>
      <c r="H17941" s="333">
        <v>7206</v>
      </c>
    </row>
    <row r="17942" spans="1:8">
      <c r="A17942" s="317" t="s">
        <v>43826</v>
      </c>
      <c r="B17942" s="330" t="s">
        <v>62294</v>
      </c>
      <c r="C17942" s="330" t="s">
        <v>36545</v>
      </c>
      <c r="D17942" s="330" t="s">
        <v>36546</v>
      </c>
      <c r="E17942" s="330" t="s">
        <v>4819</v>
      </c>
      <c r="F17942" s="331">
        <v>0.21</v>
      </c>
      <c r="G17942" s="332">
        <v>22488</v>
      </c>
      <c r="H17942" s="333">
        <v>27211</v>
      </c>
    </row>
    <row r="17943" spans="1:8">
      <c r="A17943" s="317" t="s">
        <v>43827</v>
      </c>
      <c r="B17943" s="330" t="s">
        <v>62295</v>
      </c>
      <c r="C17943" s="330" t="s">
        <v>36547</v>
      </c>
      <c r="D17943" s="330" t="s">
        <v>36548</v>
      </c>
      <c r="E17943" s="330" t="s">
        <v>4634</v>
      </c>
      <c r="F17943" s="331">
        <v>0.21</v>
      </c>
      <c r="G17943" s="332">
        <v>834</v>
      </c>
      <c r="H17943" s="333">
        <v>1010</v>
      </c>
    </row>
    <row r="17944" spans="1:8">
      <c r="A17944" s="317" t="s">
        <v>43828</v>
      </c>
      <c r="B17944" s="330" t="s">
        <v>62296</v>
      </c>
      <c r="C17944" s="330" t="s">
        <v>36549</v>
      </c>
      <c r="D17944" s="330" t="s">
        <v>36550</v>
      </c>
      <c r="E17944" s="330" t="s">
        <v>37248</v>
      </c>
      <c r="F17944" s="331">
        <v>0.21</v>
      </c>
      <c r="G17944" s="332">
        <v>37851</v>
      </c>
      <c r="H17944" s="333">
        <v>45800</v>
      </c>
    </row>
    <row r="17945" spans="1:8">
      <c r="A17945" s="317" t="s">
        <v>43829</v>
      </c>
      <c r="B17945" s="330" t="s">
        <v>62297</v>
      </c>
      <c r="C17945" s="330" t="s">
        <v>36551</v>
      </c>
      <c r="D17945" s="330" t="s">
        <v>36552</v>
      </c>
      <c r="E17945" s="330" t="s">
        <v>4634</v>
      </c>
      <c r="F17945" s="331">
        <v>0.21</v>
      </c>
      <c r="G17945" s="332">
        <v>2574</v>
      </c>
      <c r="H17945" s="333">
        <v>3115</v>
      </c>
    </row>
    <row r="17946" spans="1:8">
      <c r="A17946" s="317" t="s">
        <v>43830</v>
      </c>
      <c r="B17946" s="330" t="s">
        <v>62298</v>
      </c>
      <c r="C17946" s="330" t="s">
        <v>36553</v>
      </c>
      <c r="D17946" s="330" t="s">
        <v>36554</v>
      </c>
      <c r="E17946" s="330" t="s">
        <v>37248</v>
      </c>
      <c r="F17946" s="331">
        <v>0.21</v>
      </c>
      <c r="G17946" s="332">
        <v>16289</v>
      </c>
      <c r="H17946" s="333">
        <v>19710</v>
      </c>
    </row>
    <row r="17947" spans="1:8">
      <c r="A17947" s="317" t="s">
        <v>43831</v>
      </c>
      <c r="B17947" s="330" t="s">
        <v>62299</v>
      </c>
      <c r="C17947" s="330" t="s">
        <v>36555</v>
      </c>
      <c r="D17947" s="330" t="s">
        <v>24682</v>
      </c>
      <c r="E17947" s="330" t="s">
        <v>4634</v>
      </c>
      <c r="F17947" s="331">
        <v>0.21</v>
      </c>
      <c r="G17947" s="332">
        <v>1258</v>
      </c>
      <c r="H17947" s="333">
        <v>1523</v>
      </c>
    </row>
    <row r="17948" spans="1:8">
      <c r="A17948" s="317" t="s">
        <v>43832</v>
      </c>
      <c r="B17948" s="330" t="s">
        <v>62300</v>
      </c>
      <c r="C17948" s="330" t="s">
        <v>36556</v>
      </c>
      <c r="D17948" s="330" t="s">
        <v>36557</v>
      </c>
      <c r="E17948" s="330" t="s">
        <v>37248</v>
      </c>
      <c r="F17948" s="331">
        <v>0.21</v>
      </c>
      <c r="G17948" s="332">
        <v>13669</v>
      </c>
      <c r="H17948" s="333">
        <v>16540</v>
      </c>
    </row>
    <row r="17949" spans="1:8">
      <c r="A17949" s="317" t="s">
        <v>43833</v>
      </c>
      <c r="B17949" s="330" t="s">
        <v>62301</v>
      </c>
      <c r="C17949" s="330" t="s">
        <v>36558</v>
      </c>
      <c r="D17949" s="330" t="s">
        <v>36559</v>
      </c>
      <c r="E17949" s="330" t="s">
        <v>4634</v>
      </c>
      <c r="F17949" s="331">
        <v>0.21</v>
      </c>
      <c r="G17949" s="332">
        <v>10819</v>
      </c>
      <c r="H17949" s="333">
        <v>13091</v>
      </c>
    </row>
    <row r="17950" spans="1:8">
      <c r="A17950" s="317" t="s">
        <v>43834</v>
      </c>
      <c r="B17950" s="330" t="s">
        <v>62302</v>
      </c>
      <c r="C17950" s="330" t="s">
        <v>36560</v>
      </c>
      <c r="D17950" s="330" t="s">
        <v>36561</v>
      </c>
      <c r="E17950" s="330" t="s">
        <v>4634</v>
      </c>
      <c r="F17950" s="331">
        <v>0.21</v>
      </c>
      <c r="G17950" s="332">
        <v>11448</v>
      </c>
      <c r="H17950" s="333">
        <v>13853</v>
      </c>
    </row>
    <row r="17951" spans="1:8">
      <c r="A17951" s="317" t="s">
        <v>43835</v>
      </c>
      <c r="B17951" s="330" t="s">
        <v>62303</v>
      </c>
      <c r="C17951" s="330" t="s">
        <v>36562</v>
      </c>
      <c r="D17951" s="330" t="s">
        <v>36563</v>
      </c>
      <c r="E17951" s="330" t="s">
        <v>37248</v>
      </c>
      <c r="F17951" s="331">
        <v>0.21</v>
      </c>
      <c r="G17951" s="332">
        <v>15684</v>
      </c>
      <c r="H17951" s="333">
        <v>18978</v>
      </c>
    </row>
    <row r="17952" spans="1:8">
      <c r="A17952" s="317" t="s">
        <v>43836</v>
      </c>
      <c r="B17952" s="330" t="s">
        <v>62304</v>
      </c>
      <c r="C17952" s="330" t="s">
        <v>36564</v>
      </c>
      <c r="D17952" s="330" t="s">
        <v>36565</v>
      </c>
      <c r="E17952" s="330" t="s">
        <v>37248</v>
      </c>
      <c r="F17952" s="331">
        <v>0.21</v>
      </c>
      <c r="G17952" s="332">
        <v>7298</v>
      </c>
      <c r="H17952" s="333">
        <v>8831</v>
      </c>
    </row>
    <row r="17953" spans="1:8">
      <c r="A17953" s="317" t="s">
        <v>43837</v>
      </c>
      <c r="B17953" s="330" t="s">
        <v>62305</v>
      </c>
      <c r="C17953" s="330" t="s">
        <v>36566</v>
      </c>
      <c r="D17953" s="330" t="s">
        <v>36567</v>
      </c>
      <c r="E17953" s="330" t="s">
        <v>4634</v>
      </c>
      <c r="F17953" s="331">
        <v>0.21</v>
      </c>
      <c r="G17953" s="332">
        <v>20826</v>
      </c>
      <c r="H17953" s="333">
        <v>25200</v>
      </c>
    </row>
    <row r="17954" spans="1:8">
      <c r="A17954" s="317" t="s">
        <v>43838</v>
      </c>
      <c r="B17954" s="330" t="s">
        <v>62306</v>
      </c>
      <c r="C17954" s="330" t="s">
        <v>36568</v>
      </c>
      <c r="D17954" s="330" t="s">
        <v>36569</v>
      </c>
      <c r="E17954" s="330" t="s">
        <v>4634</v>
      </c>
      <c r="F17954" s="331">
        <v>0.21</v>
      </c>
      <c r="G17954" s="332">
        <v>2349</v>
      </c>
      <c r="H17954" s="333">
        <v>2843</v>
      </c>
    </row>
    <row r="17955" spans="1:8">
      <c r="A17955" s="317" t="s">
        <v>43839</v>
      </c>
      <c r="B17955" s="330" t="s">
        <v>62307</v>
      </c>
      <c r="C17955" s="330" t="s">
        <v>36570</v>
      </c>
      <c r="D17955" s="330" t="s">
        <v>36571</v>
      </c>
      <c r="E17955" s="330" t="s">
        <v>4634</v>
      </c>
      <c r="F17955" s="331">
        <v>0.21</v>
      </c>
      <c r="G17955" s="332">
        <v>15989</v>
      </c>
      <c r="H17955" s="333">
        <v>19347</v>
      </c>
    </row>
    <row r="17956" spans="1:8">
      <c r="A17956" s="317" t="s">
        <v>43840</v>
      </c>
      <c r="B17956" s="330" t="s">
        <v>62308</v>
      </c>
      <c r="C17956" s="330" t="s">
        <v>36572</v>
      </c>
      <c r="D17956" s="330" t="s">
        <v>36573</v>
      </c>
      <c r="E17956" s="330" t="s">
        <v>4819</v>
      </c>
      <c r="F17956" s="331">
        <v>0.21</v>
      </c>
      <c r="G17956" s="332">
        <v>16407</v>
      </c>
      <c r="H17956" s="333">
        <v>19853</v>
      </c>
    </row>
    <row r="17957" spans="1:8">
      <c r="A17957" s="317" t="s">
        <v>43841</v>
      </c>
      <c r="B17957" s="330" t="s">
        <v>62309</v>
      </c>
      <c r="C17957" s="330" t="s">
        <v>36574</v>
      </c>
      <c r="D17957" s="330" t="s">
        <v>36575</v>
      </c>
      <c r="E17957" s="330" t="s">
        <v>4623</v>
      </c>
      <c r="F17957" s="331">
        <v>0.21</v>
      </c>
      <c r="G17957" s="332">
        <v>40909</v>
      </c>
      <c r="H17957" s="333">
        <v>49500</v>
      </c>
    </row>
    <row r="17958" spans="1:8">
      <c r="A17958" s="317" t="s">
        <v>43842</v>
      </c>
      <c r="B17958" s="330" t="s">
        <v>62310</v>
      </c>
      <c r="C17958" s="330" t="s">
        <v>36576</v>
      </c>
      <c r="D17958" s="330" t="s">
        <v>36577</v>
      </c>
      <c r="E17958" s="330" t="s">
        <v>4819</v>
      </c>
      <c r="F17958" s="331">
        <v>0.21</v>
      </c>
      <c r="G17958" s="332">
        <v>8662</v>
      </c>
      <c r="H17958" s="333">
        <v>10482</v>
      </c>
    </row>
    <row r="17959" spans="1:8">
      <c r="A17959" s="317" t="s">
        <v>43843</v>
      </c>
      <c r="B17959" s="330" t="s">
        <v>62311</v>
      </c>
      <c r="C17959" s="330" t="s">
        <v>36578</v>
      </c>
      <c r="D17959" s="330" t="s">
        <v>36579</v>
      </c>
      <c r="E17959" s="330" t="s">
        <v>4634</v>
      </c>
      <c r="F17959" s="331">
        <v>0.21</v>
      </c>
      <c r="G17959" s="332">
        <v>6823</v>
      </c>
      <c r="H17959" s="333">
        <v>8256</v>
      </c>
    </row>
    <row r="17960" spans="1:8">
      <c r="A17960" s="317" t="s">
        <v>43844</v>
      </c>
      <c r="B17960" s="330" t="s">
        <v>62312</v>
      </c>
      <c r="C17960" s="330" t="s">
        <v>36580</v>
      </c>
      <c r="D17960" s="330" t="s">
        <v>36196</v>
      </c>
      <c r="E17960" s="330" t="s">
        <v>37248</v>
      </c>
      <c r="F17960" s="331">
        <v>0.21</v>
      </c>
      <c r="G17960" s="332">
        <v>5008</v>
      </c>
      <c r="H17960" s="333">
        <v>6060</v>
      </c>
    </row>
    <row r="17961" spans="1:8">
      <c r="A17961" s="317" t="s">
        <v>43845</v>
      </c>
      <c r="B17961" s="330" t="s">
        <v>62313</v>
      </c>
      <c r="C17961" s="330" t="s">
        <v>36581</v>
      </c>
      <c r="D17961" s="330" t="s">
        <v>36582</v>
      </c>
      <c r="E17961" s="330" t="s">
        <v>4634</v>
      </c>
      <c r="F17961" s="331">
        <v>0.21</v>
      </c>
      <c r="G17961" s="332">
        <v>2438</v>
      </c>
      <c r="H17961" s="333">
        <v>2950</v>
      </c>
    </row>
    <row r="17962" spans="1:8">
      <c r="A17962" s="317" t="s">
        <v>43846</v>
      </c>
      <c r="B17962" s="330" t="s">
        <v>62314</v>
      </c>
      <c r="C17962" s="330" t="s">
        <v>36583</v>
      </c>
      <c r="D17962" s="330" t="s">
        <v>36584</v>
      </c>
      <c r="E17962" s="330" t="s">
        <v>4819</v>
      </c>
      <c r="F17962" s="331">
        <v>0.21</v>
      </c>
      <c r="G17962" s="332">
        <v>25653</v>
      </c>
      <c r="H17962" s="333">
        <v>31041</v>
      </c>
    </row>
    <row r="17963" spans="1:8">
      <c r="A17963" s="317" t="s">
        <v>43847</v>
      </c>
      <c r="B17963" s="330" t="s">
        <v>62315</v>
      </c>
      <c r="C17963" s="330" t="s">
        <v>36585</v>
      </c>
      <c r="D17963" s="330" t="s">
        <v>36586</v>
      </c>
      <c r="E17963" s="330" t="s">
        <v>37248</v>
      </c>
      <c r="F17963" s="331">
        <v>0.21</v>
      </c>
      <c r="G17963" s="332">
        <v>18887</v>
      </c>
      <c r="H17963" s="333">
        <v>22854</v>
      </c>
    </row>
    <row r="17964" spans="1:8">
      <c r="A17964" s="317" t="s">
        <v>43848</v>
      </c>
      <c r="B17964" s="330" t="s">
        <v>62316</v>
      </c>
      <c r="C17964" s="330" t="s">
        <v>36587</v>
      </c>
      <c r="D17964" s="330" t="s">
        <v>36588</v>
      </c>
      <c r="E17964" s="330" t="s">
        <v>4623</v>
      </c>
      <c r="F17964" s="331">
        <v>0.21</v>
      </c>
      <c r="G17964" s="332">
        <v>35107</v>
      </c>
      <c r="H17964" s="333">
        <v>42480</v>
      </c>
    </row>
    <row r="17965" spans="1:8">
      <c r="A17965" s="317" t="s">
        <v>43849</v>
      </c>
      <c r="B17965" s="330" t="s">
        <v>62317</v>
      </c>
      <c r="C17965" s="330" t="s">
        <v>36589</v>
      </c>
      <c r="D17965" s="330" t="s">
        <v>36590</v>
      </c>
      <c r="E17965" s="330" t="s">
        <v>37248</v>
      </c>
      <c r="F17965" s="331">
        <v>0.21</v>
      </c>
      <c r="G17965" s="332">
        <v>12791</v>
      </c>
      <c r="H17965" s="333">
        <v>15478</v>
      </c>
    </row>
    <row r="17966" spans="1:8">
      <c r="A17966" s="317" t="s">
        <v>43850</v>
      </c>
      <c r="B17966" s="330" t="s">
        <v>62318</v>
      </c>
      <c r="C17966" s="330" t="s">
        <v>36591</v>
      </c>
      <c r="D17966" s="330" t="s">
        <v>36592</v>
      </c>
      <c r="E17966" s="330" t="s">
        <v>4634</v>
      </c>
      <c r="F17966" s="331">
        <v>0.21</v>
      </c>
      <c r="G17966" s="332">
        <v>11658</v>
      </c>
      <c r="H17966" s="333">
        <v>14107</v>
      </c>
    </row>
    <row r="17967" spans="1:8">
      <c r="A17967" s="317" t="s">
        <v>43851</v>
      </c>
      <c r="B17967" s="330" t="s">
        <v>62319</v>
      </c>
      <c r="C17967" s="330" t="s">
        <v>36593</v>
      </c>
      <c r="D17967" s="330" t="s">
        <v>36594</v>
      </c>
      <c r="E17967" s="330" t="s">
        <v>4634</v>
      </c>
      <c r="F17967" s="331">
        <v>0.21</v>
      </c>
      <c r="G17967" s="332">
        <v>10230</v>
      </c>
      <c r="H17967" s="333">
        <v>12379</v>
      </c>
    </row>
    <row r="17968" spans="1:8">
      <c r="A17968" s="317" t="s">
        <v>43852</v>
      </c>
      <c r="B17968" s="330" t="s">
        <v>62320</v>
      </c>
      <c r="C17968" s="330" t="s">
        <v>36595</v>
      </c>
      <c r="D17968" s="330" t="s">
        <v>36596</v>
      </c>
      <c r="E17968" s="330" t="s">
        <v>4634</v>
      </c>
      <c r="F17968" s="331">
        <v>0.21</v>
      </c>
      <c r="G17968" s="332">
        <v>43250</v>
      </c>
      <c r="H17968" s="333">
        <v>52333</v>
      </c>
    </row>
    <row r="17969" spans="1:8">
      <c r="A17969" s="317" t="s">
        <v>43853</v>
      </c>
      <c r="B17969" s="330" t="s">
        <v>62321</v>
      </c>
      <c r="C17969" s="330" t="s">
        <v>36597</v>
      </c>
      <c r="D17969" s="330" t="s">
        <v>36598</v>
      </c>
      <c r="E17969" s="330" t="s">
        <v>4819</v>
      </c>
      <c r="F17969" s="331">
        <v>0.21</v>
      </c>
      <c r="G17969" s="332">
        <v>13239</v>
      </c>
      <c r="H17969" s="333">
        <v>16020</v>
      </c>
    </row>
    <row r="17970" spans="1:8">
      <c r="A17970" s="317" t="s">
        <v>43854</v>
      </c>
      <c r="B17970" s="330" t="s">
        <v>62322</v>
      </c>
      <c r="C17970" s="330" t="s">
        <v>36599</v>
      </c>
      <c r="D17970" s="330" t="s">
        <v>36600</v>
      </c>
      <c r="E17970" s="330" t="s">
        <v>4623</v>
      </c>
      <c r="F17970" s="331">
        <v>0.21</v>
      </c>
      <c r="G17970" s="332">
        <v>15186</v>
      </c>
      <c r="H17970" s="333">
        <v>18376</v>
      </c>
    </row>
    <row r="17971" spans="1:8">
      <c r="A17971" s="317" t="s">
        <v>43855</v>
      </c>
      <c r="B17971" s="330" t="s">
        <v>62323</v>
      </c>
      <c r="C17971" s="330" t="s">
        <v>36601</v>
      </c>
      <c r="D17971" s="330" t="s">
        <v>36602</v>
      </c>
      <c r="E17971" s="330" t="s">
        <v>4634</v>
      </c>
      <c r="F17971" s="331">
        <v>0.21</v>
      </c>
      <c r="G17971" s="332">
        <v>25357</v>
      </c>
      <c r="H17971" s="333">
        <v>30682</v>
      </c>
    </row>
    <row r="17972" spans="1:8">
      <c r="A17972" s="317" t="s">
        <v>43856</v>
      </c>
      <c r="B17972" s="330" t="s">
        <v>62324</v>
      </c>
      <c r="C17972" s="330" t="s">
        <v>36603</v>
      </c>
      <c r="D17972" s="330" t="s">
        <v>36604</v>
      </c>
      <c r="E17972" s="330" t="s">
        <v>37248</v>
      </c>
      <c r="F17972" s="331">
        <v>0.21</v>
      </c>
      <c r="G17972" s="332">
        <v>25011</v>
      </c>
      <c r="H17972" s="333">
        <v>30264</v>
      </c>
    </row>
    <row r="17973" spans="1:8">
      <c r="A17973" s="317" t="s">
        <v>43857</v>
      </c>
      <c r="B17973" s="330" t="s">
        <v>62325</v>
      </c>
      <c r="C17973" s="330" t="s">
        <v>36605</v>
      </c>
      <c r="D17973" s="330" t="s">
        <v>36606</v>
      </c>
      <c r="E17973" s="330" t="s">
        <v>4634</v>
      </c>
      <c r="F17973" s="331">
        <v>0.21</v>
      </c>
      <c r="G17973" s="332">
        <v>19249</v>
      </c>
      <c r="H17973" s="333">
        <v>23292</v>
      </c>
    </row>
    <row r="17974" spans="1:8">
      <c r="A17974" s="317" t="s">
        <v>43858</v>
      </c>
      <c r="B17974" s="330" t="s">
        <v>62326</v>
      </c>
      <c r="C17974" s="330" t="s">
        <v>36607</v>
      </c>
      <c r="D17974" s="330" t="s">
        <v>36608</v>
      </c>
      <c r="E17974" s="330" t="s">
        <v>4819</v>
      </c>
      <c r="F17974" s="331">
        <v>0.21</v>
      </c>
      <c r="G17974" s="332">
        <v>27183</v>
      </c>
      <c r="H17974" s="333">
        <v>32892</v>
      </c>
    </row>
    <row r="17975" spans="1:8">
      <c r="A17975" s="317" t="s">
        <v>43859</v>
      </c>
      <c r="B17975" s="330" t="s">
        <v>62327</v>
      </c>
      <c r="C17975" s="330" t="s">
        <v>36609</v>
      </c>
      <c r="D17975" s="330" t="s">
        <v>36569</v>
      </c>
      <c r="E17975" s="330" t="s">
        <v>4819</v>
      </c>
      <c r="F17975" s="331">
        <v>0.21</v>
      </c>
      <c r="G17975" s="332">
        <v>11513</v>
      </c>
      <c r="H17975" s="333">
        <v>13931</v>
      </c>
    </row>
    <row r="17976" spans="1:8">
      <c r="A17976" s="317" t="s">
        <v>43860</v>
      </c>
      <c r="B17976" s="330" t="s">
        <v>62328</v>
      </c>
      <c r="C17976" s="330" t="s">
        <v>36610</v>
      </c>
      <c r="D17976" s="330" t="s">
        <v>36611</v>
      </c>
      <c r="E17976" s="330" t="s">
        <v>4634</v>
      </c>
      <c r="F17976" s="331">
        <v>0.21</v>
      </c>
      <c r="G17976" s="332">
        <v>10382</v>
      </c>
      <c r="H17976" s="333">
        <v>12563</v>
      </c>
    </row>
    <row r="17977" spans="1:8">
      <c r="A17977" s="317" t="s">
        <v>43861</v>
      </c>
      <c r="B17977" s="330" t="s">
        <v>62329</v>
      </c>
      <c r="C17977" s="330" t="s">
        <v>36612</v>
      </c>
      <c r="D17977" s="330" t="s">
        <v>36613</v>
      </c>
      <c r="E17977" s="330" t="s">
        <v>4634</v>
      </c>
      <c r="F17977" s="331">
        <v>0.21</v>
      </c>
      <c r="G17977" s="332">
        <v>13587</v>
      </c>
      <c r="H17977" s="333">
        <v>16441</v>
      </c>
    </row>
    <row r="17978" spans="1:8">
      <c r="A17978" s="317" t="s">
        <v>43862</v>
      </c>
      <c r="B17978" s="330" t="s">
        <v>62330</v>
      </c>
      <c r="C17978" s="330" t="s">
        <v>36614</v>
      </c>
      <c r="D17978" s="330" t="s">
        <v>36615</v>
      </c>
      <c r="E17978" s="330" t="s">
        <v>4634</v>
      </c>
      <c r="F17978" s="331">
        <v>0.21</v>
      </c>
      <c r="G17978" s="332">
        <v>472</v>
      </c>
      <c r="H17978" s="333">
        <v>572</v>
      </c>
    </row>
    <row r="17979" spans="1:8">
      <c r="A17979" s="317" t="s">
        <v>43863</v>
      </c>
      <c r="B17979" s="330" t="s">
        <v>62331</v>
      </c>
      <c r="C17979" s="330" t="s">
        <v>36616</v>
      </c>
      <c r="D17979" s="330" t="s">
        <v>36617</v>
      </c>
      <c r="E17979" s="330" t="s">
        <v>4634</v>
      </c>
      <c r="F17979" s="331">
        <v>0.21</v>
      </c>
      <c r="G17979" s="332">
        <v>1126</v>
      </c>
      <c r="H17979" s="333">
        <v>1363</v>
      </c>
    </row>
    <row r="17980" spans="1:8">
      <c r="A17980" s="317" t="s">
        <v>43864</v>
      </c>
      <c r="B17980" s="330" t="s">
        <v>62332</v>
      </c>
      <c r="C17980" s="330" t="s">
        <v>36618</v>
      </c>
      <c r="D17980" s="330" t="s">
        <v>36619</v>
      </c>
      <c r="E17980" s="330" t="s">
        <v>4634</v>
      </c>
      <c r="F17980" s="331">
        <v>0.21</v>
      </c>
      <c r="G17980" s="332">
        <v>1641</v>
      </c>
      <c r="H17980" s="333">
        <v>1986</v>
      </c>
    </row>
    <row r="17981" spans="1:8">
      <c r="A17981" s="317" t="s">
        <v>43865</v>
      </c>
      <c r="B17981" s="330" t="s">
        <v>62333</v>
      </c>
      <c r="C17981" s="330" t="s">
        <v>36620</v>
      </c>
      <c r="D17981" s="330" t="s">
        <v>36621</v>
      </c>
      <c r="E17981" s="330" t="s">
        <v>4634</v>
      </c>
      <c r="F17981" s="331">
        <v>0.21</v>
      </c>
      <c r="G17981" s="332">
        <v>2707</v>
      </c>
      <c r="H17981" s="333">
        <v>3276</v>
      </c>
    </row>
    <row r="17982" spans="1:8">
      <c r="A17982" s="317" t="s">
        <v>43866</v>
      </c>
      <c r="B17982" s="330" t="s">
        <v>62334</v>
      </c>
      <c r="C17982" s="330" t="s">
        <v>36622</v>
      </c>
      <c r="D17982" s="330" t="s">
        <v>36623</v>
      </c>
      <c r="E17982" s="330" t="s">
        <v>4634</v>
      </c>
      <c r="F17982" s="331">
        <v>0.21</v>
      </c>
      <c r="G17982" s="332">
        <v>9630</v>
      </c>
      <c r="H17982" s="333">
        <v>11653</v>
      </c>
    </row>
    <row r="17983" spans="1:8">
      <c r="A17983" s="317" t="s">
        <v>43867</v>
      </c>
      <c r="B17983" s="330" t="s">
        <v>62335</v>
      </c>
      <c r="C17983" s="330" t="s">
        <v>36624</v>
      </c>
      <c r="D17983" s="330" t="s">
        <v>36625</v>
      </c>
      <c r="E17983" s="330" t="s">
        <v>4634</v>
      </c>
      <c r="F17983" s="331">
        <v>0.21</v>
      </c>
      <c r="G17983" s="332">
        <v>23628</v>
      </c>
      <c r="H17983" s="333">
        <v>28590</v>
      </c>
    </row>
    <row r="17984" spans="1:8">
      <c r="A17984" s="317" t="s">
        <v>43868</v>
      </c>
      <c r="B17984" s="330" t="s">
        <v>62336</v>
      </c>
      <c r="C17984" s="330" t="s">
        <v>36626</v>
      </c>
      <c r="D17984" s="330" t="s">
        <v>36627</v>
      </c>
      <c r="E17984" s="330" t="s">
        <v>4634</v>
      </c>
      <c r="F17984" s="331">
        <v>0.21</v>
      </c>
      <c r="G17984" s="332">
        <v>4316</v>
      </c>
      <c r="H17984" s="333">
        <v>5223</v>
      </c>
    </row>
    <row r="17985" spans="1:8">
      <c r="A17985" s="317" t="s">
        <v>43869</v>
      </c>
      <c r="B17985" s="330" t="s">
        <v>62337</v>
      </c>
      <c r="C17985" s="330" t="s">
        <v>36628</v>
      </c>
      <c r="D17985" s="330" t="s">
        <v>36629</v>
      </c>
      <c r="E17985" s="330" t="s">
        <v>37248</v>
      </c>
      <c r="F17985" s="331">
        <v>0.21</v>
      </c>
      <c r="G17985" s="332">
        <v>13485</v>
      </c>
      <c r="H17985" s="333">
        <v>16317</v>
      </c>
    </row>
    <row r="17986" spans="1:8">
      <c r="A17986" s="317" t="s">
        <v>43870</v>
      </c>
      <c r="B17986" s="330" t="s">
        <v>62338</v>
      </c>
      <c r="C17986" s="330" t="s">
        <v>36630</v>
      </c>
      <c r="D17986" s="330" t="s">
        <v>36631</v>
      </c>
      <c r="E17986" s="330" t="s">
        <v>37248</v>
      </c>
      <c r="F17986" s="331">
        <v>0.21</v>
      </c>
      <c r="G17986" s="332">
        <v>8253</v>
      </c>
      <c r="H17986" s="333">
        <v>9987</v>
      </c>
    </row>
    <row r="17987" spans="1:8">
      <c r="A17987" s="317" t="s">
        <v>43871</v>
      </c>
      <c r="B17987" s="330" t="s">
        <v>62339</v>
      </c>
      <c r="C17987" s="330" t="s">
        <v>36632</v>
      </c>
      <c r="D17987" s="330" t="s">
        <v>36633</v>
      </c>
      <c r="E17987" s="330" t="s">
        <v>37248</v>
      </c>
      <c r="F17987" s="331">
        <v>0.21</v>
      </c>
      <c r="G17987" s="332">
        <v>17663</v>
      </c>
      <c r="H17987" s="333">
        <v>21373</v>
      </c>
    </row>
    <row r="17988" spans="1:8">
      <c r="A17988" s="317" t="s">
        <v>43872</v>
      </c>
      <c r="B17988" s="330" t="s">
        <v>62340</v>
      </c>
      <c r="C17988" s="330" t="s">
        <v>36634</v>
      </c>
      <c r="D17988" s="330" t="s">
        <v>7916</v>
      </c>
      <c r="E17988" s="330" t="s">
        <v>4634</v>
      </c>
      <c r="F17988" s="331">
        <v>0.21</v>
      </c>
      <c r="G17988" s="332">
        <v>1976</v>
      </c>
      <c r="H17988" s="333">
        <v>2391</v>
      </c>
    </row>
    <row r="17989" spans="1:8">
      <c r="A17989" s="317" t="s">
        <v>43873</v>
      </c>
      <c r="B17989" s="330" t="s">
        <v>62341</v>
      </c>
      <c r="C17989" s="330" t="s">
        <v>36635</v>
      </c>
      <c r="D17989" s="330" t="s">
        <v>36636</v>
      </c>
      <c r="E17989" s="330" t="s">
        <v>4634</v>
      </c>
      <c r="F17989" s="331">
        <v>0.21</v>
      </c>
      <c r="G17989" s="332">
        <v>5317</v>
      </c>
      <c r="H17989" s="333">
        <v>6434</v>
      </c>
    </row>
    <row r="17990" spans="1:8">
      <c r="A17990" s="317" t="s">
        <v>43874</v>
      </c>
      <c r="B17990" s="330" t="s">
        <v>62342</v>
      </c>
      <c r="C17990" s="330" t="s">
        <v>36637</v>
      </c>
      <c r="D17990" s="330" t="s">
        <v>36638</v>
      </c>
      <c r="E17990" s="330" t="s">
        <v>4623</v>
      </c>
      <c r="F17990" s="331">
        <v>0.21</v>
      </c>
      <c r="G17990" s="332">
        <v>16295</v>
      </c>
      <c r="H17990" s="333">
        <v>19717</v>
      </c>
    </row>
    <row r="17991" spans="1:8">
      <c r="A17991" s="317" t="s">
        <v>43875</v>
      </c>
      <c r="B17991" s="330" t="s">
        <v>62343</v>
      </c>
      <c r="C17991" s="330" t="s">
        <v>36639</v>
      </c>
      <c r="D17991" s="330" t="s">
        <v>36640</v>
      </c>
      <c r="E17991" s="330" t="s">
        <v>4634</v>
      </c>
      <c r="F17991" s="331">
        <v>0.21</v>
      </c>
      <c r="G17991" s="332">
        <v>5962</v>
      </c>
      <c r="H17991" s="333">
        <v>7215</v>
      </c>
    </row>
    <row r="17992" spans="1:8">
      <c r="A17992" s="317" t="s">
        <v>43876</v>
      </c>
      <c r="B17992" s="330" t="s">
        <v>62344</v>
      </c>
      <c r="C17992" s="330" t="s">
        <v>36641</v>
      </c>
      <c r="D17992" s="330" t="s">
        <v>36642</v>
      </c>
      <c r="E17992" s="330" t="s">
        <v>4819</v>
      </c>
      <c r="F17992" s="331">
        <v>0.21</v>
      </c>
      <c r="G17992" s="332">
        <v>10872</v>
      </c>
      <c r="H17992" s="333">
        <v>13156</v>
      </c>
    </row>
    <row r="17993" spans="1:8">
      <c r="A17993" s="317" t="s">
        <v>43877</v>
      </c>
      <c r="B17993" s="330" t="s">
        <v>62345</v>
      </c>
      <c r="C17993" s="330" t="s">
        <v>36643</v>
      </c>
      <c r="D17993" s="330" t="s">
        <v>36644</v>
      </c>
      <c r="E17993" s="330" t="s">
        <v>4623</v>
      </c>
      <c r="F17993" s="331">
        <v>0.21</v>
      </c>
      <c r="G17993" s="332">
        <v>14187</v>
      </c>
      <c r="H17993" s="333">
        <v>17167</v>
      </c>
    </row>
    <row r="17994" spans="1:8">
      <c r="A17994" s="317" t="s">
        <v>43878</v>
      </c>
      <c r="B17994" s="330" t="s">
        <v>62346</v>
      </c>
      <c r="C17994" s="330" t="s">
        <v>36645</v>
      </c>
      <c r="D17994" s="330" t="s">
        <v>36646</v>
      </c>
      <c r="E17994" s="330" t="s">
        <v>4634</v>
      </c>
      <c r="F17994" s="331">
        <v>0.21</v>
      </c>
      <c r="G17994" s="332">
        <v>24382</v>
      </c>
      <c r="H17994" s="333">
        <v>29503</v>
      </c>
    </row>
    <row r="17995" spans="1:8">
      <c r="A17995" s="317" t="s">
        <v>43879</v>
      </c>
      <c r="B17995" s="330" t="s">
        <v>62347</v>
      </c>
      <c r="C17995" s="330" t="s">
        <v>36647</v>
      </c>
      <c r="D17995" s="330" t="s">
        <v>36648</v>
      </c>
      <c r="E17995" s="330" t="s">
        <v>37248</v>
      </c>
      <c r="F17995" s="331">
        <v>0.21</v>
      </c>
      <c r="G17995" s="332">
        <v>13754</v>
      </c>
      <c r="H17995" s="333">
        <v>16643</v>
      </c>
    </row>
    <row r="17996" spans="1:8">
      <c r="A17996" s="317" t="s">
        <v>43880</v>
      </c>
      <c r="B17996" s="330" t="s">
        <v>62348</v>
      </c>
      <c r="C17996" s="330" t="s">
        <v>36649</v>
      </c>
      <c r="D17996" s="330" t="s">
        <v>36650</v>
      </c>
      <c r="E17996" s="330" t="s">
        <v>4819</v>
      </c>
      <c r="F17996" s="331">
        <v>0.21</v>
      </c>
      <c r="G17996" s="332">
        <v>24728</v>
      </c>
      <c r="H17996" s="333">
        <v>29921</v>
      </c>
    </row>
    <row r="17997" spans="1:8">
      <c r="A17997" s="317" t="s">
        <v>43881</v>
      </c>
      <c r="B17997" s="330" t="s">
        <v>62349</v>
      </c>
      <c r="C17997" s="330" t="s">
        <v>36651</v>
      </c>
      <c r="D17997" s="330" t="s">
        <v>36652</v>
      </c>
      <c r="E17997" s="330" t="s">
        <v>37248</v>
      </c>
      <c r="F17997" s="331">
        <v>0.21</v>
      </c>
      <c r="G17997" s="332">
        <v>36881</v>
      </c>
      <c r="H17997" s="333">
        <v>44627</v>
      </c>
    </row>
    <row r="17998" spans="1:8">
      <c r="A17998" s="317" t="s">
        <v>43882</v>
      </c>
      <c r="B17998" s="330" t="s">
        <v>62350</v>
      </c>
      <c r="C17998" s="330" t="s">
        <v>36653</v>
      </c>
      <c r="D17998" s="330" t="s">
        <v>36654</v>
      </c>
      <c r="E17998" s="330" t="s">
        <v>37248</v>
      </c>
      <c r="F17998" s="331">
        <v>0.21</v>
      </c>
      <c r="G17998" s="332">
        <v>47270</v>
      </c>
      <c r="H17998" s="333">
        <v>57197</v>
      </c>
    </row>
    <row r="17999" spans="1:8">
      <c r="A17999" s="317" t="s">
        <v>43883</v>
      </c>
      <c r="B17999" s="330" t="s">
        <v>62351</v>
      </c>
      <c r="C17999" s="330" t="s">
        <v>36655</v>
      </c>
      <c r="D17999" s="330" t="s">
        <v>36656</v>
      </c>
      <c r="E17999" s="330" t="s">
        <v>4634</v>
      </c>
      <c r="F17999" s="331">
        <v>0.21</v>
      </c>
      <c r="G17999" s="332">
        <v>13614</v>
      </c>
      <c r="H17999" s="333">
        <v>16473</v>
      </c>
    </row>
    <row r="18000" spans="1:8">
      <c r="A18000" s="317" t="s">
        <v>43884</v>
      </c>
      <c r="B18000" s="330" t="s">
        <v>62352</v>
      </c>
      <c r="C18000" s="330" t="s">
        <v>36657</v>
      </c>
      <c r="D18000" s="330" t="s">
        <v>36658</v>
      </c>
      <c r="E18000" s="330" t="s">
        <v>37248</v>
      </c>
      <c r="F18000" s="331">
        <v>0.21</v>
      </c>
      <c r="G18000" s="332">
        <v>36769</v>
      </c>
      <c r="H18000" s="333">
        <v>44491</v>
      </c>
    </row>
    <row r="18001" spans="1:8">
      <c r="A18001" s="317" t="s">
        <v>43885</v>
      </c>
      <c r="B18001" s="330" t="s">
        <v>62353</v>
      </c>
      <c r="C18001" s="330" t="s">
        <v>36659</v>
      </c>
      <c r="D18001" s="330" t="s">
        <v>36660</v>
      </c>
      <c r="E18001" s="330" t="s">
        <v>4819</v>
      </c>
      <c r="F18001" s="331">
        <v>0.21</v>
      </c>
      <c r="G18001" s="332">
        <v>919</v>
      </c>
      <c r="H18001" s="333">
        <v>1112</v>
      </c>
    </row>
    <row r="18002" spans="1:8">
      <c r="A18002" s="317" t="s">
        <v>43886</v>
      </c>
      <c r="B18002" s="330" t="s">
        <v>62354</v>
      </c>
      <c r="C18002" s="330" t="s">
        <v>36661</v>
      </c>
      <c r="D18002" s="330" t="s">
        <v>36662</v>
      </c>
      <c r="E18002" s="330" t="s">
        <v>4819</v>
      </c>
      <c r="F18002" s="331">
        <v>0.21</v>
      </c>
      <c r="G18002" s="332">
        <v>919</v>
      </c>
      <c r="H18002" s="333">
        <v>1112</v>
      </c>
    </row>
    <row r="18003" spans="1:8">
      <c r="A18003" s="317" t="s">
        <v>43887</v>
      </c>
      <c r="B18003" s="330" t="s">
        <v>62355</v>
      </c>
      <c r="C18003" s="330" t="s">
        <v>36663</v>
      </c>
      <c r="D18003" s="330" t="s">
        <v>9384</v>
      </c>
      <c r="E18003" s="330" t="s">
        <v>4634</v>
      </c>
      <c r="F18003" s="331">
        <v>0.21</v>
      </c>
      <c r="G18003" s="332">
        <v>153</v>
      </c>
      <c r="H18003" s="333">
        <v>186</v>
      </c>
    </row>
    <row r="18004" spans="1:8">
      <c r="A18004" s="317" t="s">
        <v>43888</v>
      </c>
      <c r="B18004" s="330" t="s">
        <v>62356</v>
      </c>
      <c r="C18004" s="330" t="s">
        <v>36664</v>
      </c>
      <c r="D18004" s="330" t="s">
        <v>7991</v>
      </c>
      <c r="E18004" s="330" t="s">
        <v>37248</v>
      </c>
      <c r="F18004" s="331">
        <v>0.21</v>
      </c>
      <c r="G18004" s="332">
        <v>977</v>
      </c>
      <c r="H18004" s="333">
        <v>1183</v>
      </c>
    </row>
    <row r="18005" spans="1:8">
      <c r="A18005" s="317" t="s">
        <v>43889</v>
      </c>
      <c r="B18005" s="330" t="s">
        <v>62357</v>
      </c>
      <c r="C18005" s="330" t="s">
        <v>36665</v>
      </c>
      <c r="D18005" s="330" t="s">
        <v>36666</v>
      </c>
      <c r="E18005" s="330" t="s">
        <v>4634</v>
      </c>
      <c r="F18005" s="331">
        <v>0.21</v>
      </c>
      <c r="G18005" s="332">
        <v>1902</v>
      </c>
      <c r="H18005" s="333">
        <v>2302</v>
      </c>
    </row>
    <row r="18006" spans="1:8">
      <c r="A18006" s="317" t="s">
        <v>43890</v>
      </c>
      <c r="B18006" s="330" t="s">
        <v>62358</v>
      </c>
      <c r="C18006" s="330" t="s">
        <v>36667</v>
      </c>
      <c r="D18006" s="330" t="s">
        <v>7991</v>
      </c>
      <c r="E18006" s="330" t="s">
        <v>4634</v>
      </c>
      <c r="F18006" s="331">
        <v>0.21</v>
      </c>
      <c r="G18006" s="332">
        <v>742</v>
      </c>
      <c r="H18006" s="333">
        <v>898</v>
      </c>
    </row>
    <row r="18007" spans="1:8">
      <c r="A18007" s="317" t="s">
        <v>43891</v>
      </c>
      <c r="B18007" s="330" t="s">
        <v>62359</v>
      </c>
      <c r="C18007" s="330" t="s">
        <v>36668</v>
      </c>
      <c r="D18007" s="330" t="s">
        <v>7991</v>
      </c>
      <c r="E18007" s="330" t="s">
        <v>4634</v>
      </c>
      <c r="F18007" s="331">
        <v>0.21</v>
      </c>
      <c r="G18007" s="332">
        <v>1369</v>
      </c>
      <c r="H18007" s="333">
        <v>1657</v>
      </c>
    </row>
    <row r="18008" spans="1:8">
      <c r="A18008" s="317" t="s">
        <v>43892</v>
      </c>
      <c r="B18008" s="330" t="s">
        <v>62360</v>
      </c>
      <c r="C18008" s="330" t="s">
        <v>36669</v>
      </c>
      <c r="D18008" s="330" t="s">
        <v>36670</v>
      </c>
      <c r="E18008" s="330" t="s">
        <v>4634</v>
      </c>
      <c r="F18008" s="331">
        <v>0.21</v>
      </c>
      <c r="G18008" s="332">
        <v>142</v>
      </c>
      <c r="H18008" s="333">
        <v>172</v>
      </c>
    </row>
    <row r="18009" spans="1:8">
      <c r="A18009" s="317" t="s">
        <v>43893</v>
      </c>
      <c r="B18009" s="330" t="s">
        <v>62361</v>
      </c>
      <c r="C18009" s="330" t="s">
        <v>36671</v>
      </c>
      <c r="D18009" s="330" t="s">
        <v>36672</v>
      </c>
      <c r="E18009" s="330" t="s">
        <v>4819</v>
      </c>
      <c r="F18009" s="331">
        <v>0.21</v>
      </c>
      <c r="G18009" s="332">
        <v>919</v>
      </c>
      <c r="H18009" s="333">
        <v>1112</v>
      </c>
    </row>
    <row r="18010" spans="1:8">
      <c r="A18010" s="317" t="s">
        <v>43894</v>
      </c>
      <c r="B18010" s="330" t="s">
        <v>62362</v>
      </c>
      <c r="C18010" s="330" t="s">
        <v>36673</v>
      </c>
      <c r="D18010" s="330" t="s">
        <v>36674</v>
      </c>
      <c r="E18010" s="330" t="s">
        <v>4634</v>
      </c>
      <c r="F18010" s="331">
        <v>0.21</v>
      </c>
      <c r="G18010" s="332">
        <v>392</v>
      </c>
      <c r="H18010" s="333">
        <v>475</v>
      </c>
    </row>
    <row r="18011" spans="1:8">
      <c r="A18011" s="317" t="s">
        <v>43895</v>
      </c>
      <c r="B18011" s="330" t="s">
        <v>62363</v>
      </c>
      <c r="C18011" s="330" t="s">
        <v>36675</v>
      </c>
      <c r="D18011" s="330" t="s">
        <v>36676</v>
      </c>
      <c r="E18011" s="330" t="s">
        <v>4819</v>
      </c>
      <c r="F18011" s="331">
        <v>0.21</v>
      </c>
      <c r="G18011" s="332">
        <v>1744</v>
      </c>
      <c r="H18011" s="333">
        <v>2111</v>
      </c>
    </row>
    <row r="18012" spans="1:8">
      <c r="A18012" s="317" t="s">
        <v>43896</v>
      </c>
      <c r="B18012" s="330" t="s">
        <v>62364</v>
      </c>
      <c r="C18012" s="330" t="s">
        <v>36677</v>
      </c>
      <c r="D18012" s="330" t="s">
        <v>36678</v>
      </c>
      <c r="E18012" s="330" t="s">
        <v>4819</v>
      </c>
      <c r="F18012" s="331">
        <v>0.21</v>
      </c>
      <c r="G18012" s="332">
        <v>1740</v>
      </c>
      <c r="H18012" s="333">
        <v>2106</v>
      </c>
    </row>
    <row r="18013" spans="1:8">
      <c r="A18013" s="317" t="s">
        <v>43897</v>
      </c>
      <c r="B18013" s="330" t="s">
        <v>62365</v>
      </c>
      <c r="C18013" s="330" t="s">
        <v>36679</v>
      </c>
      <c r="D18013" s="330" t="s">
        <v>36678</v>
      </c>
      <c r="E18013" s="330" t="s">
        <v>4819</v>
      </c>
      <c r="F18013" s="331">
        <v>0.21</v>
      </c>
      <c r="G18013" s="332">
        <v>1072</v>
      </c>
      <c r="H18013" s="333">
        <v>1298</v>
      </c>
    </row>
    <row r="18014" spans="1:8">
      <c r="A18014" s="317" t="s">
        <v>43898</v>
      </c>
      <c r="B18014" s="330" t="s">
        <v>62366</v>
      </c>
      <c r="C18014" s="330" t="s">
        <v>36680</v>
      </c>
      <c r="D18014" s="330" t="s">
        <v>36681</v>
      </c>
      <c r="E18014" s="330" t="s">
        <v>4634</v>
      </c>
      <c r="F18014" s="331">
        <v>0.21</v>
      </c>
      <c r="G18014" s="332">
        <v>919</v>
      </c>
      <c r="H18014" s="333">
        <v>1112</v>
      </c>
    </row>
    <row r="18015" spans="1:8">
      <c r="A18015" s="317" t="s">
        <v>43899</v>
      </c>
      <c r="B18015" s="330" t="s">
        <v>62367</v>
      </c>
      <c r="C18015" s="330" t="s">
        <v>36682</v>
      </c>
      <c r="D18015" s="330" t="s">
        <v>36683</v>
      </c>
      <c r="E18015" s="330" t="s">
        <v>37248</v>
      </c>
      <c r="F18015" s="331">
        <v>0.21</v>
      </c>
      <c r="G18015" s="332">
        <v>5868</v>
      </c>
      <c r="H18015" s="333">
        <v>7101</v>
      </c>
    </row>
    <row r="18016" spans="1:8">
      <c r="A18016" s="317" t="s">
        <v>43900</v>
      </c>
      <c r="B18016" s="330" t="s">
        <v>62368</v>
      </c>
      <c r="C18016" s="330" t="s">
        <v>36684</v>
      </c>
      <c r="D18016" s="330" t="s">
        <v>36685</v>
      </c>
      <c r="E18016" s="330" t="s">
        <v>4634</v>
      </c>
      <c r="F18016" s="331">
        <v>0.21</v>
      </c>
      <c r="G18016" s="332">
        <v>446</v>
      </c>
      <c r="H18016" s="333">
        <v>540</v>
      </c>
    </row>
    <row r="18017" spans="1:8">
      <c r="A18017" s="317" t="s">
        <v>43901</v>
      </c>
      <c r="B18017" s="330" t="s">
        <v>62369</v>
      </c>
      <c r="C18017" s="330" t="s">
        <v>36686</v>
      </c>
      <c r="D18017" s="330" t="s">
        <v>36408</v>
      </c>
      <c r="E18017" s="330" t="s">
        <v>4819</v>
      </c>
      <c r="F18017" s="331">
        <v>0.21</v>
      </c>
      <c r="G18017" s="332">
        <v>675</v>
      </c>
      <c r="H18017" s="333">
        <v>817</v>
      </c>
    </row>
    <row r="18018" spans="1:8">
      <c r="A18018" s="317" t="s">
        <v>43902</v>
      </c>
      <c r="B18018" s="330" t="s">
        <v>62370</v>
      </c>
      <c r="C18018" s="330" t="s">
        <v>36687</v>
      </c>
      <c r="D18018" s="330" t="s">
        <v>19675</v>
      </c>
      <c r="E18018" s="330" t="s">
        <v>4634</v>
      </c>
      <c r="F18018" s="331">
        <v>0.21</v>
      </c>
      <c r="G18018" s="332">
        <v>1106</v>
      </c>
      <c r="H18018" s="333">
        <v>1339</v>
      </c>
    </row>
    <row r="18019" spans="1:8">
      <c r="A18019" s="317" t="s">
        <v>43903</v>
      </c>
      <c r="B18019" s="330" t="s">
        <v>62371</v>
      </c>
      <c r="C18019" s="330" t="s">
        <v>36688</v>
      </c>
      <c r="D18019" s="330" t="s">
        <v>36689</v>
      </c>
      <c r="E18019" s="330" t="s">
        <v>37248</v>
      </c>
      <c r="F18019" s="331">
        <v>0.21</v>
      </c>
      <c r="G18019" s="332">
        <v>1146</v>
      </c>
      <c r="H18019" s="333">
        <v>1387</v>
      </c>
    </row>
    <row r="18020" spans="1:8">
      <c r="A18020" s="317" t="s">
        <v>43904</v>
      </c>
      <c r="B18020" s="330" t="s">
        <v>62372</v>
      </c>
      <c r="C18020" s="330" t="s">
        <v>36690</v>
      </c>
      <c r="D18020" s="330" t="s">
        <v>36691</v>
      </c>
      <c r="E18020" s="330" t="s">
        <v>4634</v>
      </c>
      <c r="F18020" s="331">
        <v>0.21</v>
      </c>
      <c r="G18020" s="332">
        <v>280</v>
      </c>
      <c r="H18020" s="333">
        <v>339</v>
      </c>
    </row>
    <row r="18021" spans="1:8">
      <c r="A18021" s="317" t="s">
        <v>43905</v>
      </c>
      <c r="B18021" s="330" t="s">
        <v>62373</v>
      </c>
      <c r="C18021" s="330" t="s">
        <v>36692</v>
      </c>
      <c r="D18021" s="330" t="s">
        <v>36693</v>
      </c>
      <c r="E18021" s="330" t="s">
        <v>4634</v>
      </c>
      <c r="F18021" s="331">
        <v>0.21</v>
      </c>
      <c r="G18021" s="332">
        <v>245</v>
      </c>
      <c r="H18021" s="333">
        <v>297</v>
      </c>
    </row>
    <row r="18022" spans="1:8">
      <c r="A18022" s="317" t="s">
        <v>43906</v>
      </c>
      <c r="B18022" s="330" t="s">
        <v>62374</v>
      </c>
      <c r="C18022" s="330" t="s">
        <v>36694</v>
      </c>
      <c r="D18022" s="330" t="s">
        <v>36695</v>
      </c>
      <c r="E18022" s="330" t="s">
        <v>37248</v>
      </c>
      <c r="F18022" s="331">
        <v>0.21</v>
      </c>
      <c r="G18022" s="332">
        <v>8628</v>
      </c>
      <c r="H18022" s="333">
        <v>10440</v>
      </c>
    </row>
    <row r="18023" spans="1:8">
      <c r="A18023" s="317" t="s">
        <v>43907</v>
      </c>
      <c r="B18023" s="330" t="s">
        <v>62375</v>
      </c>
      <c r="C18023" s="330" t="s">
        <v>36696</v>
      </c>
      <c r="D18023" s="330" t="s">
        <v>36697</v>
      </c>
      <c r="E18023" s="330" t="s">
        <v>4634</v>
      </c>
      <c r="F18023" s="331">
        <v>0.21</v>
      </c>
      <c r="G18023" s="332">
        <v>71652</v>
      </c>
      <c r="H18023" s="333">
        <v>86699</v>
      </c>
    </row>
    <row r="18024" spans="1:8">
      <c r="A18024" s="317" t="s">
        <v>43908</v>
      </c>
      <c r="B18024" s="330" t="s">
        <v>62376</v>
      </c>
      <c r="C18024" s="330" t="s">
        <v>36698</v>
      </c>
      <c r="D18024" s="330" t="s">
        <v>36699</v>
      </c>
      <c r="E18024" s="330" t="s">
        <v>4634</v>
      </c>
      <c r="F18024" s="331">
        <v>0.21</v>
      </c>
      <c r="G18024" s="332">
        <v>118801</v>
      </c>
      <c r="H18024" s="333">
        <v>143750</v>
      </c>
    </row>
    <row r="18025" spans="1:8">
      <c r="A18025" s="317" t="s">
        <v>43909</v>
      </c>
      <c r="B18025" s="330" t="s">
        <v>62377</v>
      </c>
      <c r="C18025" s="330" t="s">
        <v>36700</v>
      </c>
      <c r="D18025" s="330" t="s">
        <v>36701</v>
      </c>
      <c r="E18025" s="330" t="s">
        <v>4634</v>
      </c>
      <c r="F18025" s="331">
        <v>0.21</v>
      </c>
      <c r="G18025" s="332">
        <v>90326</v>
      </c>
      <c r="H18025" s="333">
        <v>109295</v>
      </c>
    </row>
    <row r="18026" spans="1:8">
      <c r="A18026" s="317" t="s">
        <v>43910</v>
      </c>
      <c r="B18026" s="330" t="s">
        <v>62378</v>
      </c>
      <c r="C18026" s="330" t="s">
        <v>36702</v>
      </c>
      <c r="D18026" s="330" t="s">
        <v>36703</v>
      </c>
      <c r="E18026" s="330" t="s">
        <v>4634</v>
      </c>
      <c r="F18026" s="331">
        <v>0.21</v>
      </c>
      <c r="G18026" s="332">
        <v>4302</v>
      </c>
      <c r="H18026" s="333">
        <v>5206</v>
      </c>
    </row>
    <row r="18027" spans="1:8">
      <c r="A18027" s="317" t="s">
        <v>43911</v>
      </c>
      <c r="B18027" s="330" t="s">
        <v>62379</v>
      </c>
      <c r="C18027" s="330" t="s">
        <v>36704</v>
      </c>
      <c r="D18027" s="330" t="s">
        <v>36705</v>
      </c>
      <c r="E18027" s="330" t="s">
        <v>4634</v>
      </c>
      <c r="F18027" s="331">
        <v>0.21</v>
      </c>
      <c r="G18027" s="332">
        <v>30759</v>
      </c>
      <c r="H18027" s="333">
        <v>37219</v>
      </c>
    </row>
    <row r="18028" spans="1:8">
      <c r="A18028" s="317" t="s">
        <v>43912</v>
      </c>
      <c r="B18028" s="330" t="s">
        <v>62380</v>
      </c>
      <c r="C18028" s="330" t="s">
        <v>36706</v>
      </c>
      <c r="D18028" s="330" t="s">
        <v>36707</v>
      </c>
      <c r="E18028" s="330" t="s">
        <v>4634</v>
      </c>
      <c r="F18028" s="331">
        <v>0.21</v>
      </c>
      <c r="G18028" s="332">
        <v>1021</v>
      </c>
      <c r="H18028" s="333">
        <v>1236</v>
      </c>
    </row>
    <row r="18029" spans="1:8">
      <c r="A18029" s="317" t="s">
        <v>43913</v>
      </c>
      <c r="B18029" s="330" t="s">
        <v>62381</v>
      </c>
      <c r="C18029" s="330" t="s">
        <v>36708</v>
      </c>
      <c r="D18029" s="330" t="s">
        <v>5044</v>
      </c>
      <c r="E18029" s="330" t="s">
        <v>4634</v>
      </c>
      <c r="F18029" s="331">
        <v>0.21</v>
      </c>
      <c r="G18029" s="332">
        <v>2743</v>
      </c>
      <c r="H18029" s="333">
        <v>3320</v>
      </c>
    </row>
    <row r="18030" spans="1:8">
      <c r="A18030" s="317" t="s">
        <v>43914</v>
      </c>
      <c r="B18030" s="330" t="s">
        <v>62382</v>
      </c>
      <c r="C18030" s="330" t="s">
        <v>36709</v>
      </c>
      <c r="D18030" s="330" t="s">
        <v>36710</v>
      </c>
      <c r="E18030" s="330" t="s">
        <v>4634</v>
      </c>
      <c r="F18030" s="331">
        <v>0.21</v>
      </c>
      <c r="G18030" s="332">
        <v>194</v>
      </c>
      <c r="H18030" s="333">
        <v>235</v>
      </c>
    </row>
    <row r="18031" spans="1:8">
      <c r="A18031" s="317" t="s">
        <v>43915</v>
      </c>
      <c r="B18031" s="330" t="s">
        <v>62383</v>
      </c>
      <c r="C18031" s="330" t="s">
        <v>36711</v>
      </c>
      <c r="D18031" s="330" t="s">
        <v>36712</v>
      </c>
      <c r="E18031" s="330" t="s">
        <v>4634</v>
      </c>
      <c r="F18031" s="331">
        <v>0.21</v>
      </c>
      <c r="G18031" s="332">
        <v>8925</v>
      </c>
      <c r="H18031" s="333">
        <v>10800</v>
      </c>
    </row>
    <row r="18032" spans="1:8">
      <c r="A18032" s="317" t="s">
        <v>43916</v>
      </c>
      <c r="B18032" s="330" t="s">
        <v>62384</v>
      </c>
      <c r="C18032" s="330" t="s">
        <v>36713</v>
      </c>
      <c r="D18032" s="330" t="s">
        <v>36714</v>
      </c>
      <c r="E18032" s="330" t="s">
        <v>4634</v>
      </c>
      <c r="F18032" s="331">
        <v>0.21</v>
      </c>
      <c r="G18032" s="332">
        <v>26925</v>
      </c>
      <c r="H18032" s="333">
        <v>32580</v>
      </c>
    </row>
    <row r="18033" spans="1:8">
      <c r="A18033" s="317" t="s">
        <v>43917</v>
      </c>
      <c r="B18033" s="330" t="s">
        <v>62385</v>
      </c>
      <c r="C18033" s="330" t="s">
        <v>36715</v>
      </c>
      <c r="D18033" s="330" t="s">
        <v>36716</v>
      </c>
      <c r="E18033" s="330" t="s">
        <v>4634</v>
      </c>
      <c r="F18033" s="331">
        <v>0.21</v>
      </c>
      <c r="G18033" s="332">
        <v>41358</v>
      </c>
      <c r="H18033" s="333">
        <v>50044</v>
      </c>
    </row>
    <row r="18034" spans="1:8">
      <c r="A18034" s="317" t="s">
        <v>43918</v>
      </c>
      <c r="B18034" s="330" t="s">
        <v>62386</v>
      </c>
      <c r="C18034" s="330" t="s">
        <v>36717</v>
      </c>
      <c r="D18034" s="330" t="s">
        <v>36718</v>
      </c>
      <c r="E18034" s="330" t="s">
        <v>37248</v>
      </c>
      <c r="F18034" s="331">
        <v>0.21</v>
      </c>
      <c r="G18034" s="332">
        <v>1980</v>
      </c>
      <c r="H18034" s="333">
        <v>2396</v>
      </c>
    </row>
    <row r="18035" spans="1:8">
      <c r="A18035" s="317" t="s">
        <v>43919</v>
      </c>
      <c r="B18035" s="330" t="s">
        <v>62387</v>
      </c>
      <c r="C18035" s="330" t="s">
        <v>36719</v>
      </c>
      <c r="D18035" s="330" t="s">
        <v>36720</v>
      </c>
      <c r="E18035" s="330" t="s">
        <v>4634</v>
      </c>
      <c r="F18035" s="331">
        <v>0.21</v>
      </c>
      <c r="G18035" s="332">
        <v>377</v>
      </c>
      <c r="H18035" s="333">
        <v>457</v>
      </c>
    </row>
    <row r="18036" spans="1:8">
      <c r="A18036" s="317" t="s">
        <v>43920</v>
      </c>
      <c r="B18036" s="330" t="s">
        <v>62388</v>
      </c>
      <c r="C18036" s="330" t="s">
        <v>36721</v>
      </c>
      <c r="D18036" s="330" t="s">
        <v>36722</v>
      </c>
      <c r="E18036" s="330" t="s">
        <v>37248</v>
      </c>
      <c r="F18036" s="331">
        <v>0.21</v>
      </c>
      <c r="G18036" s="332">
        <v>1601</v>
      </c>
      <c r="H18036" s="333">
        <v>1938</v>
      </c>
    </row>
    <row r="18037" spans="1:8">
      <c r="A18037" s="317" t="s">
        <v>43921</v>
      </c>
      <c r="B18037" s="330" t="s">
        <v>62389</v>
      </c>
      <c r="C18037" s="330" t="s">
        <v>36723</v>
      </c>
      <c r="D18037" s="330" t="s">
        <v>36724</v>
      </c>
      <c r="E18037" s="330" t="s">
        <v>37248</v>
      </c>
      <c r="F18037" s="331">
        <v>0.21</v>
      </c>
      <c r="G18037" s="332">
        <v>3611</v>
      </c>
      <c r="H18037" s="333">
        <v>4370</v>
      </c>
    </row>
    <row r="18038" spans="1:8">
      <c r="A18038" s="317" t="s">
        <v>43922</v>
      </c>
      <c r="B18038" s="330" t="s">
        <v>62390</v>
      </c>
      <c r="C18038" s="330" t="s">
        <v>36725</v>
      </c>
      <c r="D18038" s="330" t="s">
        <v>36726</v>
      </c>
      <c r="E18038" s="330" t="s">
        <v>4819</v>
      </c>
      <c r="F18038" s="331">
        <v>0.21</v>
      </c>
      <c r="G18038" s="332">
        <v>105927</v>
      </c>
      <c r="H18038" s="333">
        <v>128172</v>
      </c>
    </row>
    <row r="18039" spans="1:8">
      <c r="A18039" s="317" t="s">
        <v>43923</v>
      </c>
      <c r="B18039" s="330" t="s">
        <v>62391</v>
      </c>
      <c r="C18039" s="330" t="s">
        <v>36727</v>
      </c>
      <c r="D18039" s="330" t="s">
        <v>36728</v>
      </c>
      <c r="E18039" s="330" t="s">
        <v>37248</v>
      </c>
      <c r="F18039" s="331">
        <v>0.21</v>
      </c>
      <c r="G18039" s="332">
        <v>6386</v>
      </c>
      <c r="H18039" s="333">
        <v>7728</v>
      </c>
    </row>
    <row r="18040" spans="1:8">
      <c r="A18040" s="317" t="s">
        <v>43924</v>
      </c>
      <c r="B18040" s="330" t="s">
        <v>62392</v>
      </c>
      <c r="C18040" s="330" t="s">
        <v>36729</v>
      </c>
      <c r="D18040" s="330" t="s">
        <v>36730</v>
      </c>
      <c r="E18040" s="330" t="s">
        <v>4623</v>
      </c>
      <c r="F18040" s="331">
        <v>0.21</v>
      </c>
      <c r="G18040" s="332">
        <v>2888</v>
      </c>
      <c r="H18040" s="333">
        <v>3495</v>
      </c>
    </row>
    <row r="18041" spans="1:8">
      <c r="A18041" s="317" t="s">
        <v>43925</v>
      </c>
      <c r="B18041" s="330" t="s">
        <v>62393</v>
      </c>
      <c r="C18041" s="330" t="s">
        <v>36731</v>
      </c>
      <c r="D18041" s="330" t="s">
        <v>36732</v>
      </c>
      <c r="E18041" s="330" t="s">
        <v>4634</v>
      </c>
      <c r="F18041" s="331">
        <v>0.21</v>
      </c>
      <c r="G18041" s="332">
        <v>898</v>
      </c>
      <c r="H18041" s="333">
        <v>1087</v>
      </c>
    </row>
    <row r="18042" spans="1:8">
      <c r="A18042" s="317" t="s">
        <v>43926</v>
      </c>
      <c r="B18042" s="330" t="s">
        <v>62394</v>
      </c>
      <c r="C18042" s="330" t="s">
        <v>36733</v>
      </c>
      <c r="D18042" s="330" t="s">
        <v>36730</v>
      </c>
      <c r="E18042" s="330" t="s">
        <v>4819</v>
      </c>
      <c r="F18042" s="331">
        <v>0.21</v>
      </c>
      <c r="G18042" s="332">
        <v>3698</v>
      </c>
      <c r="H18042" s="333">
        <v>4475</v>
      </c>
    </row>
    <row r="18043" spans="1:8">
      <c r="A18043" s="317" t="s">
        <v>43927</v>
      </c>
      <c r="B18043" s="330" t="s">
        <v>62395</v>
      </c>
      <c r="C18043" s="330" t="s">
        <v>36734</v>
      </c>
      <c r="D18043" s="330" t="s">
        <v>36735</v>
      </c>
      <c r="E18043" s="330" t="s">
        <v>4634</v>
      </c>
      <c r="F18043" s="331">
        <v>0.21</v>
      </c>
      <c r="G18043" s="332">
        <v>1782</v>
      </c>
      <c r="H18043" s="333">
        <v>2157</v>
      </c>
    </row>
    <row r="18044" spans="1:8">
      <c r="A18044" s="317" t="s">
        <v>43928</v>
      </c>
      <c r="B18044" s="330" t="s">
        <v>62396</v>
      </c>
      <c r="C18044" s="330" t="s">
        <v>36736</v>
      </c>
      <c r="D18044" s="330" t="s">
        <v>36737</v>
      </c>
      <c r="E18044" s="330" t="s">
        <v>4634</v>
      </c>
      <c r="F18044" s="331">
        <v>0.21</v>
      </c>
      <c r="G18044" s="332">
        <v>2482</v>
      </c>
      <c r="H18044" s="333">
        <v>3004</v>
      </c>
    </row>
    <row r="18045" spans="1:8">
      <c r="A18045" s="317" t="s">
        <v>43929</v>
      </c>
      <c r="B18045" s="330" t="s">
        <v>62397</v>
      </c>
      <c r="C18045" s="330" t="s">
        <v>36738</v>
      </c>
      <c r="D18045" s="330" t="s">
        <v>36739</v>
      </c>
      <c r="E18045" s="330" t="s">
        <v>4623</v>
      </c>
      <c r="F18045" s="331">
        <v>0.21</v>
      </c>
      <c r="G18045" s="332">
        <v>1369</v>
      </c>
      <c r="H18045" s="333">
        <v>1657</v>
      </c>
    </row>
    <row r="18046" spans="1:8">
      <c r="A18046" s="317" t="s">
        <v>43930</v>
      </c>
      <c r="B18046" s="330" t="s">
        <v>62398</v>
      </c>
      <c r="C18046" s="330" t="s">
        <v>36740</v>
      </c>
      <c r="D18046" s="330" t="s">
        <v>36741</v>
      </c>
      <c r="E18046" s="330" t="s">
        <v>4623</v>
      </c>
      <c r="F18046" s="331">
        <v>0.21</v>
      </c>
      <c r="G18046" s="332">
        <v>1235</v>
      </c>
      <c r="H18046" s="333">
        <v>1495</v>
      </c>
    </row>
    <row r="18047" spans="1:8">
      <c r="A18047" s="317" t="s">
        <v>43931</v>
      </c>
      <c r="B18047" s="330" t="s">
        <v>62399</v>
      </c>
      <c r="C18047" s="330" t="s">
        <v>36742</v>
      </c>
      <c r="D18047" s="330" t="s">
        <v>36743</v>
      </c>
      <c r="E18047" s="330" t="s">
        <v>4819</v>
      </c>
      <c r="F18047" s="331">
        <v>0.21</v>
      </c>
      <c r="G18047" s="332">
        <v>25653</v>
      </c>
      <c r="H18047" s="333">
        <v>31041</v>
      </c>
    </row>
    <row r="18048" spans="1:8">
      <c r="A18048" s="317" t="s">
        <v>43932</v>
      </c>
      <c r="B18048" s="330" t="s">
        <v>62400</v>
      </c>
      <c r="C18048" s="330" t="s">
        <v>36744</v>
      </c>
      <c r="D18048" s="330" t="s">
        <v>36745</v>
      </c>
      <c r="E18048" s="330" t="s">
        <v>37248</v>
      </c>
      <c r="F18048" s="331">
        <v>0.21</v>
      </c>
      <c r="G18048" s="332">
        <v>3229</v>
      </c>
      <c r="H18048" s="333">
        <v>3908</v>
      </c>
    </row>
    <row r="18049" spans="1:8">
      <c r="A18049" s="317" t="s">
        <v>43933</v>
      </c>
      <c r="B18049" s="330" t="s">
        <v>62401</v>
      </c>
      <c r="C18049" s="330" t="s">
        <v>36746</v>
      </c>
      <c r="D18049" s="330" t="s">
        <v>36747</v>
      </c>
      <c r="E18049" s="330" t="s">
        <v>37248</v>
      </c>
      <c r="F18049" s="331">
        <v>0.21</v>
      </c>
      <c r="G18049" s="332">
        <v>1195</v>
      </c>
      <c r="H18049" s="333">
        <v>1446</v>
      </c>
    </row>
    <row r="18050" spans="1:8">
      <c r="A18050" s="317" t="s">
        <v>43934</v>
      </c>
      <c r="B18050" s="330" t="s">
        <v>62402</v>
      </c>
      <c r="C18050" s="330" t="s">
        <v>36748</v>
      </c>
      <c r="D18050" s="330" t="s">
        <v>36747</v>
      </c>
      <c r="E18050" s="330" t="s">
        <v>37248</v>
      </c>
      <c r="F18050" s="331">
        <v>0.21</v>
      </c>
      <c r="G18050" s="332">
        <v>1195</v>
      </c>
      <c r="H18050" s="333">
        <v>1446</v>
      </c>
    </row>
    <row r="18051" spans="1:8">
      <c r="A18051" s="317" t="s">
        <v>43935</v>
      </c>
      <c r="B18051" s="330" t="s">
        <v>62403</v>
      </c>
      <c r="C18051" s="330" t="s">
        <v>36749</v>
      </c>
      <c r="D18051" s="330" t="s">
        <v>36750</v>
      </c>
      <c r="E18051" s="330" t="s">
        <v>4634</v>
      </c>
      <c r="F18051" s="331">
        <v>0.21</v>
      </c>
      <c r="G18051" s="332">
        <v>657</v>
      </c>
      <c r="H18051" s="333">
        <v>795</v>
      </c>
    </row>
    <row r="18052" spans="1:8">
      <c r="A18052" s="317" t="s">
        <v>43936</v>
      </c>
      <c r="B18052" s="330" t="s">
        <v>62404</v>
      </c>
      <c r="C18052" s="330" t="s">
        <v>36751</v>
      </c>
      <c r="D18052" s="330" t="s">
        <v>36752</v>
      </c>
      <c r="E18052" s="330" t="s">
        <v>4634</v>
      </c>
      <c r="F18052" s="331">
        <v>0.21</v>
      </c>
      <c r="G18052" s="332">
        <v>6569</v>
      </c>
      <c r="H18052" s="333">
        <v>7949</v>
      </c>
    </row>
    <row r="18053" spans="1:8">
      <c r="A18053" s="317" t="s">
        <v>43937</v>
      </c>
      <c r="B18053" s="330" t="s">
        <v>62405</v>
      </c>
      <c r="C18053" s="330" t="s">
        <v>36753</v>
      </c>
      <c r="D18053" s="330" t="s">
        <v>36754</v>
      </c>
      <c r="E18053" s="330" t="s">
        <v>4634</v>
      </c>
      <c r="F18053" s="331">
        <v>0.21</v>
      </c>
      <c r="G18053" s="332">
        <v>791</v>
      </c>
      <c r="H18053" s="333">
        <v>958</v>
      </c>
    </row>
    <row r="18054" spans="1:8">
      <c r="A18054" s="317" t="s">
        <v>43938</v>
      </c>
      <c r="B18054" s="330" t="s">
        <v>62406</v>
      </c>
      <c r="C18054" s="330" t="s">
        <v>36755</v>
      </c>
      <c r="D18054" s="330" t="s">
        <v>26531</v>
      </c>
      <c r="E18054" s="330" t="s">
        <v>4819</v>
      </c>
      <c r="F18054" s="331">
        <v>0.21</v>
      </c>
      <c r="G18054" s="332">
        <v>2509</v>
      </c>
      <c r="H18054" s="333">
        <v>3036</v>
      </c>
    </row>
    <row r="18055" spans="1:8">
      <c r="A18055" s="317" t="s">
        <v>43939</v>
      </c>
      <c r="B18055" s="330" t="s">
        <v>62407</v>
      </c>
      <c r="C18055" s="330" t="s">
        <v>36756</v>
      </c>
      <c r="D18055" s="330" t="s">
        <v>36757</v>
      </c>
      <c r="E18055" s="330" t="s">
        <v>37248</v>
      </c>
      <c r="F18055" s="331">
        <v>0.21</v>
      </c>
      <c r="G18055" s="332">
        <v>7899</v>
      </c>
      <c r="H18055" s="333">
        <v>9558</v>
      </c>
    </row>
    <row r="18056" spans="1:8">
      <c r="A18056" s="317" t="s">
        <v>43940</v>
      </c>
      <c r="B18056" s="330" t="s">
        <v>62408</v>
      </c>
      <c r="C18056" s="330" t="s">
        <v>36758</v>
      </c>
      <c r="D18056" s="330" t="s">
        <v>36759</v>
      </c>
      <c r="E18056" s="330" t="s">
        <v>37248</v>
      </c>
      <c r="F18056" s="331">
        <v>0.21</v>
      </c>
      <c r="G18056" s="332">
        <v>4407</v>
      </c>
      <c r="H18056" s="333">
        <v>5333</v>
      </c>
    </row>
    <row r="18057" spans="1:8">
      <c r="A18057" s="317" t="s">
        <v>43941</v>
      </c>
      <c r="B18057" s="330" t="s">
        <v>62409</v>
      </c>
      <c r="C18057" s="330" t="s">
        <v>36760</v>
      </c>
      <c r="D18057" s="330" t="s">
        <v>36759</v>
      </c>
      <c r="E18057" s="330" t="s">
        <v>37248</v>
      </c>
      <c r="F18057" s="331">
        <v>0.21</v>
      </c>
      <c r="G18057" s="332">
        <v>3350</v>
      </c>
      <c r="H18057" s="333">
        <v>4054</v>
      </c>
    </row>
    <row r="18058" spans="1:8">
      <c r="A18058" s="317" t="s">
        <v>43942</v>
      </c>
      <c r="B18058" s="330" t="s">
        <v>62410</v>
      </c>
      <c r="C18058" s="330" t="s">
        <v>36761</v>
      </c>
      <c r="D18058" s="330" t="s">
        <v>5250</v>
      </c>
      <c r="E18058" s="330" t="s">
        <v>37248</v>
      </c>
      <c r="F18058" s="331">
        <v>0.21</v>
      </c>
      <c r="G18058" s="332">
        <v>5086</v>
      </c>
      <c r="H18058" s="333">
        <v>6155</v>
      </c>
    </row>
    <row r="18059" spans="1:8">
      <c r="A18059" s="317" t="s">
        <v>43943</v>
      </c>
      <c r="B18059" s="330" t="s">
        <v>62411</v>
      </c>
      <c r="C18059" s="330" t="s">
        <v>36762</v>
      </c>
      <c r="D18059" s="330" t="s">
        <v>36763</v>
      </c>
      <c r="E18059" s="330" t="s">
        <v>4634</v>
      </c>
      <c r="F18059" s="331">
        <v>0.21</v>
      </c>
      <c r="G18059" s="332">
        <v>11040</v>
      </c>
      <c r="H18059" s="333">
        <v>13359</v>
      </c>
    </row>
    <row r="18060" spans="1:8">
      <c r="A18060" s="317" t="s">
        <v>43944</v>
      </c>
      <c r="B18060" s="330" t="s">
        <v>62412</v>
      </c>
      <c r="C18060" s="330" t="s">
        <v>36764</v>
      </c>
      <c r="D18060" s="330" t="s">
        <v>36765</v>
      </c>
      <c r="E18060" s="330" t="s">
        <v>4634</v>
      </c>
      <c r="F18060" s="331">
        <v>0.21</v>
      </c>
      <c r="G18060" s="332">
        <v>5887</v>
      </c>
      <c r="H18060" s="333">
        <v>7124</v>
      </c>
    </row>
    <row r="18061" spans="1:8">
      <c r="A18061" s="317" t="s">
        <v>43945</v>
      </c>
      <c r="B18061" s="330" t="s">
        <v>62413</v>
      </c>
      <c r="C18061" s="330" t="s">
        <v>36766</v>
      </c>
      <c r="D18061" s="330" t="s">
        <v>36767</v>
      </c>
      <c r="E18061" s="330" t="s">
        <v>4634</v>
      </c>
      <c r="F18061" s="331">
        <v>0.21</v>
      </c>
      <c r="G18061" s="332">
        <v>11597</v>
      </c>
      <c r="H18061" s="333">
        <v>14033</v>
      </c>
    </row>
    <row r="18062" spans="1:8">
      <c r="A18062" s="317" t="s">
        <v>43946</v>
      </c>
      <c r="B18062" s="330" t="s">
        <v>62414</v>
      </c>
      <c r="C18062" s="330" t="s">
        <v>36768</v>
      </c>
      <c r="D18062" s="330" t="s">
        <v>36769</v>
      </c>
      <c r="E18062" s="330" t="s">
        <v>4634</v>
      </c>
      <c r="F18062" s="331">
        <v>0.21</v>
      </c>
      <c r="G18062" s="332">
        <v>14359</v>
      </c>
      <c r="H18062" s="333">
        <v>17375</v>
      </c>
    </row>
    <row r="18063" spans="1:8">
      <c r="A18063" s="317" t="s">
        <v>43947</v>
      </c>
      <c r="B18063" s="330" t="s">
        <v>62415</v>
      </c>
      <c r="C18063" s="330" t="s">
        <v>36770</v>
      </c>
      <c r="D18063" s="330" t="s">
        <v>36771</v>
      </c>
      <c r="E18063" s="330" t="s">
        <v>37248</v>
      </c>
      <c r="F18063" s="331">
        <v>0.21</v>
      </c>
      <c r="G18063" s="332">
        <v>10247</v>
      </c>
      <c r="H18063" s="333">
        <v>12399</v>
      </c>
    </row>
    <row r="18064" spans="1:8">
      <c r="A18064" s="317" t="s">
        <v>43948</v>
      </c>
      <c r="B18064" s="330" t="s">
        <v>62416</v>
      </c>
      <c r="C18064" s="330" t="s">
        <v>36772</v>
      </c>
      <c r="D18064" s="330" t="s">
        <v>36773</v>
      </c>
      <c r="E18064" s="330" t="s">
        <v>4634</v>
      </c>
      <c r="F18064" s="331">
        <v>0.21</v>
      </c>
      <c r="G18064" s="332">
        <v>21988</v>
      </c>
      <c r="H18064" s="333">
        <v>26606</v>
      </c>
    </row>
    <row r="18065" spans="1:8">
      <c r="A18065" s="317" t="s">
        <v>43949</v>
      </c>
      <c r="B18065" s="330" t="s">
        <v>62417</v>
      </c>
      <c r="C18065" s="330" t="s">
        <v>36774</v>
      </c>
      <c r="D18065" s="330" t="s">
        <v>36775</v>
      </c>
      <c r="E18065" s="330" t="s">
        <v>4819</v>
      </c>
      <c r="F18065" s="331">
        <v>0.21</v>
      </c>
      <c r="G18065" s="332">
        <v>35020</v>
      </c>
      <c r="H18065" s="333">
        <v>42375</v>
      </c>
    </row>
    <row r="18066" spans="1:8">
      <c r="A18066" s="317" t="s">
        <v>43950</v>
      </c>
      <c r="B18066" s="330" t="s">
        <v>62418</v>
      </c>
      <c r="C18066" s="330" t="s">
        <v>36776</v>
      </c>
      <c r="D18066" s="330" t="s">
        <v>36777</v>
      </c>
      <c r="E18066" s="330" t="s">
        <v>37248</v>
      </c>
      <c r="F18066" s="331">
        <v>0.21</v>
      </c>
      <c r="G18066" s="332">
        <v>32348</v>
      </c>
      <c r="H18066" s="333">
        <v>39142</v>
      </c>
    </row>
    <row r="18067" spans="1:8">
      <c r="A18067" s="317" t="s">
        <v>43951</v>
      </c>
      <c r="B18067" s="330" t="s">
        <v>62419</v>
      </c>
      <c r="C18067" s="330" t="s">
        <v>36778</v>
      </c>
      <c r="D18067" s="330" t="s">
        <v>36779</v>
      </c>
      <c r="E18067" s="330" t="s">
        <v>4634</v>
      </c>
      <c r="F18067" s="331">
        <v>0.21</v>
      </c>
      <c r="G18067" s="332">
        <v>29073</v>
      </c>
      <c r="H18067" s="333">
        <v>35179</v>
      </c>
    </row>
    <row r="18068" spans="1:8">
      <c r="A18068" s="317" t="s">
        <v>43952</v>
      </c>
      <c r="B18068" s="330" t="s">
        <v>62420</v>
      </c>
      <c r="C18068" s="330" t="s">
        <v>36780</v>
      </c>
      <c r="D18068" s="330" t="s">
        <v>36781</v>
      </c>
      <c r="E18068" s="330" t="s">
        <v>37248</v>
      </c>
      <c r="F18068" s="331">
        <v>0.21</v>
      </c>
      <c r="G18068" s="332">
        <v>51762</v>
      </c>
      <c r="H18068" s="333">
        <v>62633</v>
      </c>
    </row>
    <row r="18069" spans="1:8">
      <c r="A18069" s="317" t="s">
        <v>43953</v>
      </c>
      <c r="B18069" s="330" t="s">
        <v>62421</v>
      </c>
      <c r="C18069" s="330" t="s">
        <v>36782</v>
      </c>
      <c r="D18069" s="330" t="s">
        <v>36783</v>
      </c>
      <c r="E18069" s="330" t="s">
        <v>4623</v>
      </c>
      <c r="F18069" s="331">
        <v>0.21</v>
      </c>
      <c r="G18069" s="332">
        <v>40394</v>
      </c>
      <c r="H18069" s="333">
        <v>48877</v>
      </c>
    </row>
    <row r="18070" spans="1:8">
      <c r="A18070" s="317" t="s">
        <v>43954</v>
      </c>
      <c r="B18070" s="330" t="s">
        <v>62422</v>
      </c>
      <c r="C18070" s="330" t="s">
        <v>36784</v>
      </c>
      <c r="D18070" s="330" t="s">
        <v>36785</v>
      </c>
      <c r="E18070" s="330" t="s">
        <v>37248</v>
      </c>
      <c r="F18070" s="331">
        <v>0.21</v>
      </c>
      <c r="G18070" s="332">
        <v>46772</v>
      </c>
      <c r="H18070" s="333">
        <v>56595</v>
      </c>
    </row>
    <row r="18071" spans="1:8">
      <c r="A18071" s="317" t="s">
        <v>43955</v>
      </c>
      <c r="B18071" s="330" t="s">
        <v>62423</v>
      </c>
      <c r="C18071" s="330" t="s">
        <v>36786</v>
      </c>
      <c r="D18071" s="330" t="s">
        <v>36787</v>
      </c>
      <c r="E18071" s="330" t="s">
        <v>37248</v>
      </c>
      <c r="F18071" s="331">
        <v>0.21</v>
      </c>
      <c r="G18071" s="332">
        <v>77037</v>
      </c>
      <c r="H18071" s="333">
        <v>93215</v>
      </c>
    </row>
    <row r="18072" spans="1:8">
      <c r="A18072" s="317" t="s">
        <v>43956</v>
      </c>
      <c r="B18072" s="330" t="s">
        <v>62424</v>
      </c>
      <c r="C18072" s="330" t="s">
        <v>36788</v>
      </c>
      <c r="D18072" s="330" t="s">
        <v>36789</v>
      </c>
      <c r="E18072" s="330" t="s">
        <v>4819</v>
      </c>
      <c r="F18072" s="331">
        <v>0.21</v>
      </c>
      <c r="G18072" s="332">
        <v>65187</v>
      </c>
      <c r="H18072" s="333">
        <v>78877</v>
      </c>
    </row>
    <row r="18073" spans="1:8">
      <c r="A18073" s="317" t="s">
        <v>43957</v>
      </c>
      <c r="B18073" s="330" t="s">
        <v>62425</v>
      </c>
      <c r="C18073" s="330" t="s">
        <v>36790</v>
      </c>
      <c r="D18073" s="330" t="s">
        <v>36791</v>
      </c>
      <c r="E18073" s="330" t="s">
        <v>4634</v>
      </c>
      <c r="F18073" s="331">
        <v>0.21</v>
      </c>
      <c r="G18073" s="332">
        <v>2707</v>
      </c>
      <c r="H18073" s="333">
        <v>3276</v>
      </c>
    </row>
    <row r="18074" spans="1:8">
      <c r="A18074" s="317" t="s">
        <v>43958</v>
      </c>
      <c r="B18074" s="330" t="s">
        <v>62426</v>
      </c>
      <c r="C18074" s="330" t="s">
        <v>36792</v>
      </c>
      <c r="D18074" s="330" t="s">
        <v>36793</v>
      </c>
      <c r="E18074" s="330" t="s">
        <v>4634</v>
      </c>
      <c r="F18074" s="331">
        <v>0.21</v>
      </c>
      <c r="G18074" s="332">
        <v>2942</v>
      </c>
      <c r="H18074" s="333">
        <v>3560</v>
      </c>
    </row>
    <row r="18075" spans="1:8">
      <c r="A18075" s="317" t="s">
        <v>43959</v>
      </c>
      <c r="B18075" s="330" t="s">
        <v>62427</v>
      </c>
      <c r="C18075" s="330" t="s">
        <v>36794</v>
      </c>
      <c r="D18075" s="330" t="s">
        <v>36795</v>
      </c>
      <c r="E18075" s="330" t="s">
        <v>4634</v>
      </c>
      <c r="F18075" s="331">
        <v>0.21</v>
      </c>
      <c r="G18075" s="332">
        <v>17725</v>
      </c>
      <c r="H18075" s="333">
        <v>21448</v>
      </c>
    </row>
    <row r="18076" spans="1:8">
      <c r="A18076" s="317" t="s">
        <v>43960</v>
      </c>
      <c r="B18076" s="330" t="s">
        <v>62428</v>
      </c>
      <c r="C18076" s="330" t="s">
        <v>36796</v>
      </c>
      <c r="D18076" s="330" t="s">
        <v>36797</v>
      </c>
      <c r="E18076" s="330" t="s">
        <v>4634</v>
      </c>
      <c r="F18076" s="331">
        <v>0.21</v>
      </c>
      <c r="G18076" s="332">
        <v>6435</v>
      </c>
      <c r="H18076" s="333">
        <v>7787</v>
      </c>
    </row>
    <row r="18077" spans="1:8">
      <c r="A18077" s="317" t="s">
        <v>43961</v>
      </c>
      <c r="B18077" s="330" t="s">
        <v>62429</v>
      </c>
      <c r="C18077" s="330" t="s">
        <v>36798</v>
      </c>
      <c r="D18077" s="330" t="s">
        <v>36799</v>
      </c>
      <c r="E18077" s="330" t="s">
        <v>37248</v>
      </c>
      <c r="F18077" s="331">
        <v>0.21</v>
      </c>
      <c r="G18077" s="332">
        <v>24513</v>
      </c>
      <c r="H18077" s="333">
        <v>29661</v>
      </c>
    </row>
    <row r="18078" spans="1:8">
      <c r="A18078" s="317" t="s">
        <v>43962</v>
      </c>
      <c r="B18078" s="330" t="s">
        <v>62430</v>
      </c>
      <c r="C18078" s="330" t="s">
        <v>36800</v>
      </c>
      <c r="D18078" s="330" t="s">
        <v>36801</v>
      </c>
      <c r="E18078" s="330" t="s">
        <v>4634</v>
      </c>
      <c r="F18078" s="331">
        <v>0.21</v>
      </c>
      <c r="G18078" s="332">
        <v>9797</v>
      </c>
      <c r="H18078" s="333">
        <v>11855</v>
      </c>
    </row>
    <row r="18079" spans="1:8">
      <c r="A18079" s="317" t="s">
        <v>43963</v>
      </c>
      <c r="B18079" s="330" t="s">
        <v>62431</v>
      </c>
      <c r="C18079" s="330" t="s">
        <v>36802</v>
      </c>
      <c r="D18079" s="330" t="s">
        <v>36803</v>
      </c>
      <c r="E18079" s="330" t="s">
        <v>4634</v>
      </c>
      <c r="F18079" s="331">
        <v>0.21</v>
      </c>
      <c r="G18079" s="332">
        <v>2817</v>
      </c>
      <c r="H18079" s="333">
        <v>3409</v>
      </c>
    </row>
    <row r="18080" spans="1:8">
      <c r="A18080" s="317" t="s">
        <v>43964</v>
      </c>
      <c r="B18080" s="330" t="s">
        <v>62432</v>
      </c>
      <c r="C18080" s="330" t="s">
        <v>36804</v>
      </c>
      <c r="D18080" s="330" t="s">
        <v>36805</v>
      </c>
      <c r="E18080" s="330" t="s">
        <v>4634</v>
      </c>
      <c r="F18080" s="331">
        <v>0.21</v>
      </c>
      <c r="G18080" s="332">
        <v>4287</v>
      </c>
      <c r="H18080" s="333">
        <v>5188</v>
      </c>
    </row>
    <row r="18081" spans="1:8">
      <c r="A18081" s="317" t="s">
        <v>43965</v>
      </c>
      <c r="B18081" s="330" t="s">
        <v>62433</v>
      </c>
      <c r="C18081" s="330" t="s">
        <v>36806</v>
      </c>
      <c r="D18081" s="330" t="s">
        <v>36807</v>
      </c>
      <c r="E18081" s="330" t="s">
        <v>4634</v>
      </c>
      <c r="F18081" s="331">
        <v>0.21</v>
      </c>
      <c r="G18081" s="332">
        <v>245</v>
      </c>
      <c r="H18081" s="333">
        <v>297</v>
      </c>
    </row>
    <row r="18082" spans="1:8">
      <c r="A18082" s="317" t="s">
        <v>43966</v>
      </c>
      <c r="B18082" s="330" t="s">
        <v>62434</v>
      </c>
      <c r="C18082" s="330" t="s">
        <v>36808</v>
      </c>
      <c r="D18082" s="330" t="s">
        <v>36809</v>
      </c>
      <c r="E18082" s="330" t="s">
        <v>37248</v>
      </c>
      <c r="F18082" s="331">
        <v>0.21</v>
      </c>
      <c r="G18082" s="332">
        <v>10150</v>
      </c>
      <c r="H18082" s="333">
        <v>12282</v>
      </c>
    </row>
    <row r="18083" spans="1:8">
      <c r="A18083" s="317" t="s">
        <v>43967</v>
      </c>
      <c r="B18083" s="330" t="s">
        <v>62435</v>
      </c>
      <c r="C18083" s="330" t="s">
        <v>36810</v>
      </c>
      <c r="D18083" s="330" t="s">
        <v>36811</v>
      </c>
      <c r="E18083" s="330" t="s">
        <v>4634</v>
      </c>
      <c r="F18083" s="331">
        <v>0.21</v>
      </c>
      <c r="G18083" s="332">
        <v>4030</v>
      </c>
      <c r="H18083" s="333">
        <v>4877</v>
      </c>
    </row>
    <row r="18084" spans="1:8">
      <c r="A18084" s="317" t="s">
        <v>43968</v>
      </c>
      <c r="B18084" s="330" t="s">
        <v>62436</v>
      </c>
      <c r="C18084" s="330" t="s">
        <v>36812</v>
      </c>
      <c r="D18084" s="330" t="s">
        <v>36813</v>
      </c>
      <c r="E18084" s="330" t="s">
        <v>4634</v>
      </c>
      <c r="F18084" s="331">
        <v>0.21</v>
      </c>
      <c r="G18084" s="332">
        <v>4508</v>
      </c>
      <c r="H18084" s="333">
        <v>5455</v>
      </c>
    </row>
    <row r="18085" spans="1:8">
      <c r="A18085" s="317" t="s">
        <v>43969</v>
      </c>
      <c r="B18085" s="330" t="s">
        <v>62437</v>
      </c>
      <c r="C18085" s="330" t="s">
        <v>36814</v>
      </c>
      <c r="D18085" s="330" t="s">
        <v>36716</v>
      </c>
      <c r="E18085" s="330" t="s">
        <v>4819</v>
      </c>
      <c r="F18085" s="331">
        <v>0.21</v>
      </c>
      <c r="G18085" s="332">
        <v>9859</v>
      </c>
      <c r="H18085" s="333">
        <v>11930</v>
      </c>
    </row>
    <row r="18086" spans="1:8">
      <c r="A18086" s="317" t="s">
        <v>43970</v>
      </c>
      <c r="B18086" s="330" t="s">
        <v>62438</v>
      </c>
      <c r="C18086" s="330" t="s">
        <v>36815</v>
      </c>
      <c r="D18086" s="330" t="s">
        <v>36816</v>
      </c>
      <c r="E18086" s="330" t="s">
        <v>4634</v>
      </c>
      <c r="F18086" s="331">
        <v>0.21</v>
      </c>
      <c r="G18086" s="332">
        <v>6748</v>
      </c>
      <c r="H18086" s="333">
        <v>8166</v>
      </c>
    </row>
    <row r="18087" spans="1:8">
      <c r="A18087" s="317" t="s">
        <v>43971</v>
      </c>
      <c r="B18087" s="330" t="s">
        <v>62439</v>
      </c>
      <c r="C18087" s="330" t="s">
        <v>36817</v>
      </c>
      <c r="D18087" s="330" t="s">
        <v>36818</v>
      </c>
      <c r="E18087" s="330" t="s">
        <v>4634</v>
      </c>
      <c r="F18087" s="331">
        <v>0.21</v>
      </c>
      <c r="G18087" s="332">
        <v>377</v>
      </c>
      <c r="H18087" s="333">
        <v>457</v>
      </c>
    </row>
    <row r="18088" spans="1:8">
      <c r="A18088" s="317" t="s">
        <v>43972</v>
      </c>
      <c r="B18088" s="330" t="s">
        <v>62440</v>
      </c>
      <c r="C18088" s="330" t="s">
        <v>36819</v>
      </c>
      <c r="D18088" s="330" t="s">
        <v>36820</v>
      </c>
      <c r="E18088" s="330" t="s">
        <v>4819</v>
      </c>
      <c r="F18088" s="331">
        <v>0.21</v>
      </c>
      <c r="G18088" s="332">
        <v>3161</v>
      </c>
      <c r="H18088" s="333">
        <v>3825</v>
      </c>
    </row>
    <row r="18089" spans="1:8">
      <c r="A18089" s="317" t="s">
        <v>43973</v>
      </c>
      <c r="B18089" s="330" t="s">
        <v>62441</v>
      </c>
      <c r="C18089" s="330" t="s">
        <v>36821</v>
      </c>
      <c r="D18089" s="330" t="s">
        <v>35479</v>
      </c>
      <c r="E18089" s="330" t="s">
        <v>37248</v>
      </c>
      <c r="F18089" s="331">
        <v>0.21</v>
      </c>
      <c r="G18089" s="332">
        <v>3654</v>
      </c>
      <c r="H18089" s="333">
        <v>4422</v>
      </c>
    </row>
    <row r="18090" spans="1:8">
      <c r="A18090" s="317" t="s">
        <v>43974</v>
      </c>
      <c r="B18090" s="330" t="s">
        <v>62442</v>
      </c>
      <c r="C18090" s="330" t="s">
        <v>36822</v>
      </c>
      <c r="D18090" s="330" t="s">
        <v>35479</v>
      </c>
      <c r="E18090" s="330" t="s">
        <v>4634</v>
      </c>
      <c r="F18090" s="331">
        <v>0.21</v>
      </c>
      <c r="G18090" s="332">
        <v>1251</v>
      </c>
      <c r="H18090" s="333">
        <v>1514</v>
      </c>
    </row>
    <row r="18091" spans="1:8">
      <c r="A18091" s="317" t="s">
        <v>43975</v>
      </c>
      <c r="B18091" s="330" t="s">
        <v>62443</v>
      </c>
      <c r="C18091" s="330" t="s">
        <v>36823</v>
      </c>
      <c r="D18091" s="330" t="s">
        <v>36824</v>
      </c>
      <c r="E18091" s="330" t="s">
        <v>4819</v>
      </c>
      <c r="F18091" s="331">
        <v>0.21</v>
      </c>
      <c r="G18091" s="332">
        <v>27322</v>
      </c>
      <c r="H18091" s="333">
        <v>33060</v>
      </c>
    </row>
    <row r="18092" spans="1:8">
      <c r="A18092" s="317" t="s">
        <v>43976</v>
      </c>
      <c r="B18092" s="330" t="s">
        <v>62444</v>
      </c>
      <c r="C18092" s="330" t="s">
        <v>36825</v>
      </c>
      <c r="D18092" s="330" t="s">
        <v>36826</v>
      </c>
      <c r="E18092" s="330" t="s">
        <v>4634</v>
      </c>
      <c r="F18092" s="331">
        <v>0.21</v>
      </c>
      <c r="G18092" s="332">
        <v>2899</v>
      </c>
      <c r="H18092" s="333">
        <v>3508</v>
      </c>
    </row>
    <row r="18093" spans="1:8">
      <c r="A18093" s="317" t="s">
        <v>43977</v>
      </c>
      <c r="B18093" s="330" t="s">
        <v>62445</v>
      </c>
      <c r="C18093" s="330" t="s">
        <v>36827</v>
      </c>
      <c r="D18093" s="330" t="s">
        <v>36828</v>
      </c>
      <c r="E18093" s="330" t="s">
        <v>4634</v>
      </c>
      <c r="F18093" s="331">
        <v>0.21</v>
      </c>
      <c r="G18093" s="332">
        <v>1003</v>
      </c>
      <c r="H18093" s="333">
        <v>1214</v>
      </c>
    </row>
    <row r="18094" spans="1:8">
      <c r="A18094" s="317" t="s">
        <v>43978</v>
      </c>
      <c r="B18094" s="330" t="s">
        <v>62446</v>
      </c>
      <c r="C18094" s="330" t="s">
        <v>36829</v>
      </c>
      <c r="D18094" s="330" t="s">
        <v>36830</v>
      </c>
      <c r="E18094" s="330" t="s">
        <v>4819</v>
      </c>
      <c r="F18094" s="331">
        <v>0.21</v>
      </c>
      <c r="G18094" s="332">
        <v>17725</v>
      </c>
      <c r="H18094" s="333">
        <v>21448</v>
      </c>
    </row>
    <row r="18095" spans="1:8">
      <c r="A18095" s="317" t="s">
        <v>43979</v>
      </c>
      <c r="B18095" s="330" t="s">
        <v>62447</v>
      </c>
      <c r="C18095" s="330" t="s">
        <v>36831</v>
      </c>
      <c r="D18095" s="330" t="s">
        <v>36832</v>
      </c>
      <c r="E18095" s="330" t="s">
        <v>37248</v>
      </c>
      <c r="F18095" s="331">
        <v>0.21</v>
      </c>
      <c r="G18095" s="332">
        <v>27690</v>
      </c>
      <c r="H18095" s="333">
        <v>33505</v>
      </c>
    </row>
    <row r="18096" spans="1:8">
      <c r="A18096" s="317" t="s">
        <v>43980</v>
      </c>
      <c r="B18096" s="330" t="s">
        <v>62448</v>
      </c>
      <c r="C18096" s="330" t="s">
        <v>36833</v>
      </c>
      <c r="D18096" s="330" t="s">
        <v>36834</v>
      </c>
      <c r="E18096" s="330" t="s">
        <v>4634</v>
      </c>
      <c r="F18096" s="331">
        <v>0.21</v>
      </c>
      <c r="G18096" s="332">
        <v>4340</v>
      </c>
      <c r="H18096" s="333">
        <v>5252</v>
      </c>
    </row>
    <row r="18097" spans="1:8">
      <c r="A18097" s="317" t="s">
        <v>43981</v>
      </c>
      <c r="B18097" s="330" t="s">
        <v>62449</v>
      </c>
      <c r="C18097" s="330" t="s">
        <v>36835</v>
      </c>
      <c r="D18097" s="330" t="s">
        <v>36836</v>
      </c>
      <c r="E18097" s="330" t="s">
        <v>4634</v>
      </c>
      <c r="F18097" s="331">
        <v>0.21</v>
      </c>
      <c r="G18097" s="332">
        <v>1327</v>
      </c>
      <c r="H18097" s="333">
        <v>1606</v>
      </c>
    </row>
    <row r="18098" spans="1:8">
      <c r="A18098" s="317" t="s">
        <v>43982</v>
      </c>
      <c r="B18098" s="330" t="s">
        <v>62450</v>
      </c>
      <c r="C18098" s="330" t="s">
        <v>36837</v>
      </c>
      <c r="D18098" s="330" t="s">
        <v>36838</v>
      </c>
      <c r="E18098" s="330" t="s">
        <v>4819</v>
      </c>
      <c r="F18098" s="331">
        <v>0.21</v>
      </c>
      <c r="G18098" s="332">
        <v>9222</v>
      </c>
      <c r="H18098" s="333">
        <v>11159</v>
      </c>
    </row>
    <row r="18099" spans="1:8">
      <c r="A18099" s="317" t="s">
        <v>43983</v>
      </c>
      <c r="B18099" s="330" t="s">
        <v>62451</v>
      </c>
      <c r="C18099" s="330" t="s">
        <v>36839</v>
      </c>
      <c r="D18099" s="330" t="s">
        <v>36840</v>
      </c>
      <c r="E18099" s="330" t="s">
        <v>37248</v>
      </c>
      <c r="F18099" s="331">
        <v>0.21</v>
      </c>
      <c r="G18099" s="332">
        <v>10259</v>
      </c>
      <c r="H18099" s="333">
        <v>12414</v>
      </c>
    </row>
    <row r="18100" spans="1:8">
      <c r="A18100" s="317" t="s">
        <v>43984</v>
      </c>
      <c r="B18100" s="330" t="s">
        <v>62452</v>
      </c>
      <c r="C18100" s="330" t="s">
        <v>36841</v>
      </c>
      <c r="D18100" s="330" t="s">
        <v>28772</v>
      </c>
      <c r="E18100" s="330" t="s">
        <v>37248</v>
      </c>
      <c r="F18100" s="331">
        <v>0.21</v>
      </c>
      <c r="G18100" s="332">
        <v>59389</v>
      </c>
      <c r="H18100" s="333">
        <v>71861</v>
      </c>
    </row>
    <row r="18101" spans="1:8">
      <c r="A18101" s="317" t="s">
        <v>43985</v>
      </c>
      <c r="B18101" s="330" t="s">
        <v>62453</v>
      </c>
      <c r="C18101" s="330" t="s">
        <v>36842</v>
      </c>
      <c r="D18101" s="330" t="s">
        <v>36843</v>
      </c>
      <c r="E18101" s="330" t="s">
        <v>4634</v>
      </c>
      <c r="F18101" s="331">
        <v>0.21</v>
      </c>
      <c r="G18101" s="332">
        <v>863</v>
      </c>
      <c r="H18101" s="333">
        <v>1045</v>
      </c>
    </row>
    <row r="18102" spans="1:8">
      <c r="A18102" s="317" t="s">
        <v>43986</v>
      </c>
      <c r="B18102" s="330" t="s">
        <v>62454</v>
      </c>
      <c r="C18102" s="330" t="s">
        <v>36844</v>
      </c>
      <c r="D18102" s="330" t="s">
        <v>36845</v>
      </c>
      <c r="E18102" s="330" t="s">
        <v>4634</v>
      </c>
      <c r="F18102" s="331">
        <v>0.21</v>
      </c>
      <c r="G18102" s="332">
        <v>256</v>
      </c>
      <c r="H18102" s="333">
        <v>310</v>
      </c>
    </row>
    <row r="18103" spans="1:8">
      <c r="A18103" s="317" t="s">
        <v>43987</v>
      </c>
      <c r="B18103" s="330" t="s">
        <v>62455</v>
      </c>
      <c r="C18103" s="330" t="s">
        <v>36846</v>
      </c>
      <c r="D18103" s="330" t="s">
        <v>36847</v>
      </c>
      <c r="E18103" s="330" t="s">
        <v>37248</v>
      </c>
      <c r="F18103" s="331">
        <v>0.21</v>
      </c>
      <c r="G18103" s="332">
        <v>7939</v>
      </c>
      <c r="H18103" s="333">
        <v>9607</v>
      </c>
    </row>
    <row r="18104" spans="1:8">
      <c r="A18104" s="317" t="s">
        <v>43988</v>
      </c>
      <c r="B18104" s="330" t="s">
        <v>62456</v>
      </c>
      <c r="C18104" s="330" t="s">
        <v>36848</v>
      </c>
      <c r="D18104" s="330" t="s">
        <v>7235</v>
      </c>
      <c r="E18104" s="330" t="s">
        <v>4634</v>
      </c>
      <c r="F18104" s="331">
        <v>0.21</v>
      </c>
      <c r="G18104" s="332">
        <v>584</v>
      </c>
      <c r="H18104" s="333">
        <v>707</v>
      </c>
    </row>
    <row r="18105" spans="1:8">
      <c r="A18105" s="317" t="s">
        <v>43989</v>
      </c>
      <c r="B18105" s="330" t="s">
        <v>62457</v>
      </c>
      <c r="C18105" s="330" t="s">
        <v>36849</v>
      </c>
      <c r="D18105" s="330" t="s">
        <v>36850</v>
      </c>
      <c r="E18105" s="330" t="s">
        <v>4634</v>
      </c>
      <c r="F18105" s="331">
        <v>0.21</v>
      </c>
      <c r="G18105" s="332">
        <v>3145</v>
      </c>
      <c r="H18105" s="333">
        <v>3806</v>
      </c>
    </row>
    <row r="18106" spans="1:8">
      <c r="A18106" s="317" t="s">
        <v>43990</v>
      </c>
      <c r="B18106" s="330" t="s">
        <v>62458</v>
      </c>
      <c r="C18106" s="330" t="s">
        <v>36851</v>
      </c>
      <c r="D18106" s="330" t="s">
        <v>36852</v>
      </c>
      <c r="E18106" s="330" t="s">
        <v>4634</v>
      </c>
      <c r="F18106" s="331">
        <v>0.21</v>
      </c>
      <c r="G18106" s="332">
        <v>16364</v>
      </c>
      <c r="H18106" s="333">
        <v>19801</v>
      </c>
    </row>
    <row r="18107" spans="1:8">
      <c r="A18107" s="317" t="s">
        <v>43991</v>
      </c>
      <c r="B18107" s="330" t="s">
        <v>62459</v>
      </c>
      <c r="C18107" s="330" t="s">
        <v>36853</v>
      </c>
      <c r="D18107" s="330" t="s">
        <v>36854</v>
      </c>
      <c r="E18107" s="330" t="s">
        <v>4634</v>
      </c>
      <c r="F18107" s="331">
        <v>0.21</v>
      </c>
      <c r="G18107" s="332">
        <v>481</v>
      </c>
      <c r="H18107" s="333">
        <v>583</v>
      </c>
    </row>
    <row r="18108" spans="1:8">
      <c r="A18108" s="317" t="s">
        <v>43992</v>
      </c>
      <c r="B18108" s="330" t="s">
        <v>62460</v>
      </c>
      <c r="C18108" s="330" t="s">
        <v>36855</v>
      </c>
      <c r="D18108" s="330" t="s">
        <v>36856</v>
      </c>
      <c r="E18108" s="330" t="s">
        <v>37248</v>
      </c>
      <c r="F18108" s="331">
        <v>0.21</v>
      </c>
      <c r="G18108" s="332">
        <v>13389</v>
      </c>
      <c r="H18108" s="333">
        <v>16201</v>
      </c>
    </row>
    <row r="18109" spans="1:8">
      <c r="A18109" s="317" t="s">
        <v>43993</v>
      </c>
      <c r="B18109" s="330" t="s">
        <v>62461</v>
      </c>
      <c r="C18109" s="330" t="s">
        <v>36857</v>
      </c>
      <c r="D18109" s="330" t="s">
        <v>36858</v>
      </c>
      <c r="E18109" s="330" t="s">
        <v>4634</v>
      </c>
      <c r="F18109" s="331">
        <v>0.21</v>
      </c>
      <c r="G18109" s="332">
        <v>62</v>
      </c>
      <c r="H18109" s="333">
        <v>76</v>
      </c>
    </row>
    <row r="18110" spans="1:8">
      <c r="A18110" s="317" t="s">
        <v>43994</v>
      </c>
      <c r="B18110" s="330" t="s">
        <v>62462</v>
      </c>
      <c r="C18110" s="330" t="s">
        <v>36859</v>
      </c>
      <c r="D18110" s="330" t="s">
        <v>36860</v>
      </c>
      <c r="E18110" s="330" t="s">
        <v>4634</v>
      </c>
      <c r="F18110" s="331">
        <v>0.21</v>
      </c>
      <c r="G18110" s="332">
        <v>711</v>
      </c>
      <c r="H18110" s="333">
        <v>861</v>
      </c>
    </row>
    <row r="18111" spans="1:8">
      <c r="A18111" s="317" t="s">
        <v>43995</v>
      </c>
      <c r="B18111" s="330" t="s">
        <v>62463</v>
      </c>
      <c r="C18111" s="330" t="s">
        <v>36861</v>
      </c>
      <c r="D18111" s="330" t="s">
        <v>36862</v>
      </c>
      <c r="E18111" s="330" t="s">
        <v>4634</v>
      </c>
      <c r="F18111" s="331">
        <v>0.21</v>
      </c>
      <c r="G18111" s="332">
        <v>174</v>
      </c>
      <c r="H18111" s="333">
        <v>211</v>
      </c>
    </row>
    <row r="18112" spans="1:8">
      <c r="A18112" s="317" t="s">
        <v>43996</v>
      </c>
      <c r="B18112" s="330" t="s">
        <v>62464</v>
      </c>
      <c r="C18112" s="330" t="s">
        <v>36863</v>
      </c>
      <c r="D18112" s="330" t="s">
        <v>36864</v>
      </c>
      <c r="E18112" s="330" t="s">
        <v>4634</v>
      </c>
      <c r="F18112" s="331">
        <v>0.21</v>
      </c>
      <c r="G18112" s="332">
        <v>153</v>
      </c>
      <c r="H18112" s="333">
        <v>186</v>
      </c>
    </row>
    <row r="18113" spans="1:8">
      <c r="A18113" s="317" t="s">
        <v>43997</v>
      </c>
      <c r="B18113" s="330" t="s">
        <v>62465</v>
      </c>
      <c r="C18113" s="330" t="s">
        <v>36865</v>
      </c>
      <c r="D18113" s="330" t="s">
        <v>36866</v>
      </c>
      <c r="E18113" s="330" t="s">
        <v>4634</v>
      </c>
      <c r="F18113" s="331">
        <v>0.21</v>
      </c>
      <c r="G18113" s="332">
        <v>4950</v>
      </c>
      <c r="H18113" s="333">
        <v>5990</v>
      </c>
    </row>
    <row r="18114" spans="1:8">
      <c r="A18114" s="317" t="s">
        <v>43998</v>
      </c>
      <c r="B18114" s="330" t="s">
        <v>62466</v>
      </c>
      <c r="C18114" s="330" t="s">
        <v>36867</v>
      </c>
      <c r="D18114" s="330" t="s">
        <v>36868</v>
      </c>
      <c r="E18114" s="330" t="s">
        <v>4634</v>
      </c>
      <c r="F18114" s="331">
        <v>0.21</v>
      </c>
      <c r="G18114" s="332">
        <v>3966</v>
      </c>
      <c r="H18114" s="333">
        <v>4799</v>
      </c>
    </row>
    <row r="18115" spans="1:8">
      <c r="A18115" s="317" t="s">
        <v>43999</v>
      </c>
      <c r="B18115" s="330" t="s">
        <v>62467</v>
      </c>
      <c r="C18115" s="330" t="s">
        <v>36869</v>
      </c>
      <c r="D18115" s="330" t="s">
        <v>36870</v>
      </c>
      <c r="E18115" s="330" t="s">
        <v>4634</v>
      </c>
      <c r="F18115" s="331">
        <v>0.21</v>
      </c>
      <c r="G18115" s="332">
        <v>3696</v>
      </c>
      <c r="H18115" s="333">
        <v>4473</v>
      </c>
    </row>
    <row r="18116" spans="1:8">
      <c r="A18116" s="317" t="s">
        <v>44000</v>
      </c>
      <c r="B18116" s="330" t="s">
        <v>62468</v>
      </c>
      <c r="C18116" s="330" t="s">
        <v>36871</v>
      </c>
      <c r="D18116" s="330" t="s">
        <v>36872</v>
      </c>
      <c r="E18116" s="330" t="s">
        <v>4634</v>
      </c>
      <c r="F18116" s="331">
        <v>0.21</v>
      </c>
      <c r="G18116" s="332">
        <v>3490</v>
      </c>
      <c r="H18116" s="333">
        <v>4223</v>
      </c>
    </row>
    <row r="18117" spans="1:8">
      <c r="A18117" s="317" t="s">
        <v>44001</v>
      </c>
      <c r="B18117" s="330" t="s">
        <v>62469</v>
      </c>
      <c r="C18117" s="330" t="s">
        <v>36873</v>
      </c>
      <c r="D18117" s="330" t="s">
        <v>36874</v>
      </c>
      <c r="E18117" s="330" t="s">
        <v>4634</v>
      </c>
      <c r="F18117" s="331">
        <v>0.21</v>
      </c>
      <c r="G18117" s="332">
        <v>15430</v>
      </c>
      <c r="H18117" s="333">
        <v>18671</v>
      </c>
    </row>
    <row r="18118" spans="1:8">
      <c r="A18118" s="317" t="s">
        <v>44002</v>
      </c>
      <c r="B18118" s="330" t="s">
        <v>62470</v>
      </c>
      <c r="C18118" s="330" t="s">
        <v>36875</v>
      </c>
      <c r="D18118" s="330" t="s">
        <v>36876</v>
      </c>
      <c r="E18118" s="330" t="s">
        <v>4634</v>
      </c>
      <c r="F18118" s="331">
        <v>0.21</v>
      </c>
      <c r="G18118" s="332">
        <v>16590</v>
      </c>
      <c r="H18118" s="333">
        <v>20074</v>
      </c>
    </row>
    <row r="18119" spans="1:8">
      <c r="A18119" s="317" t="s">
        <v>44003</v>
      </c>
      <c r="B18119" s="330" t="s">
        <v>62471</v>
      </c>
      <c r="C18119" s="330" t="s">
        <v>36877</v>
      </c>
      <c r="D18119" s="330" t="s">
        <v>36878</v>
      </c>
      <c r="E18119" s="330" t="s">
        <v>4634</v>
      </c>
      <c r="F18119" s="331">
        <v>0.21</v>
      </c>
      <c r="G18119" s="332">
        <v>17096</v>
      </c>
      <c r="H18119" s="333">
        <v>20687</v>
      </c>
    </row>
    <row r="18120" spans="1:8">
      <c r="A18120" s="317" t="s">
        <v>44004</v>
      </c>
      <c r="B18120" s="330" t="s">
        <v>62472</v>
      </c>
      <c r="C18120" s="330" t="s">
        <v>36879</v>
      </c>
      <c r="D18120" s="330" t="s">
        <v>36880</v>
      </c>
      <c r="E18120" s="330" t="s">
        <v>4634</v>
      </c>
      <c r="F18120" s="331">
        <v>0.21</v>
      </c>
      <c r="G18120" s="332">
        <v>52471</v>
      </c>
      <c r="H18120" s="333">
        <v>63490</v>
      </c>
    </row>
    <row r="18121" spans="1:8">
      <c r="A18121" s="317" t="s">
        <v>44005</v>
      </c>
      <c r="B18121" s="330" t="s">
        <v>62473</v>
      </c>
      <c r="C18121" s="330" t="s">
        <v>36881</v>
      </c>
      <c r="D18121" s="330" t="s">
        <v>36882</v>
      </c>
      <c r="E18121" s="330" t="s">
        <v>37248</v>
      </c>
      <c r="F18121" s="331">
        <v>0.21</v>
      </c>
      <c r="G18121" s="332">
        <v>19198</v>
      </c>
      <c r="H18121" s="333">
        <v>23230</v>
      </c>
    </row>
    <row r="18122" spans="1:8">
      <c r="A18122" s="317" t="s">
        <v>44006</v>
      </c>
      <c r="B18122" s="330" t="s">
        <v>62474</v>
      </c>
      <c r="C18122" s="330" t="s">
        <v>36883</v>
      </c>
      <c r="D18122" s="330" t="s">
        <v>36884</v>
      </c>
      <c r="E18122" s="330" t="s">
        <v>4819</v>
      </c>
      <c r="F18122" s="331">
        <v>0.21</v>
      </c>
      <c r="G18122" s="332">
        <v>7207</v>
      </c>
      <c r="H18122" s="333">
        <v>8721</v>
      </c>
    </row>
    <row r="18123" spans="1:8">
      <c r="A18123" s="317" t="s">
        <v>44007</v>
      </c>
      <c r="B18123" s="330" t="s">
        <v>62475</v>
      </c>
      <c r="C18123" s="330" t="s">
        <v>36885</v>
      </c>
      <c r="D18123" s="330" t="s">
        <v>36886</v>
      </c>
      <c r="E18123" s="330" t="s">
        <v>4634</v>
      </c>
      <c r="F18123" s="331">
        <v>0.21</v>
      </c>
      <c r="G18123" s="332">
        <v>11865</v>
      </c>
      <c r="H18123" s="333">
        <v>14357</v>
      </c>
    </row>
    <row r="18124" spans="1:8">
      <c r="A18124" s="317" t="s">
        <v>44008</v>
      </c>
      <c r="B18124" s="330" t="s">
        <v>62476</v>
      </c>
      <c r="C18124" s="330" t="s">
        <v>36887</v>
      </c>
      <c r="D18124" s="330" t="s">
        <v>36888</v>
      </c>
      <c r="E18124" s="330" t="s">
        <v>4634</v>
      </c>
      <c r="F18124" s="331">
        <v>0.21</v>
      </c>
      <c r="G18124" s="332">
        <v>13105</v>
      </c>
      <c r="H18124" s="333">
        <v>15858</v>
      </c>
    </row>
    <row r="18125" spans="1:8">
      <c r="A18125" s="317" t="s">
        <v>44009</v>
      </c>
      <c r="B18125" s="330" t="s">
        <v>62477</v>
      </c>
      <c r="C18125" s="330" t="s">
        <v>36889</v>
      </c>
      <c r="D18125" s="330" t="s">
        <v>36890</v>
      </c>
      <c r="E18125" s="330" t="s">
        <v>4634</v>
      </c>
      <c r="F18125" s="331">
        <v>0.21</v>
      </c>
      <c r="G18125" s="332">
        <v>6467</v>
      </c>
      <c r="H18125" s="333">
        <v>7826</v>
      </c>
    </row>
    <row r="18126" spans="1:8">
      <c r="A18126" s="317" t="s">
        <v>44010</v>
      </c>
      <c r="B18126" s="330" t="s">
        <v>62478</v>
      </c>
      <c r="C18126" s="330" t="s">
        <v>36891</v>
      </c>
      <c r="D18126" s="330" t="s">
        <v>36892</v>
      </c>
      <c r="E18126" s="330" t="s">
        <v>4634</v>
      </c>
      <c r="F18126" s="331">
        <v>0.21</v>
      </c>
      <c r="G18126" s="332">
        <v>4423</v>
      </c>
      <c r="H18126" s="333">
        <v>5352</v>
      </c>
    </row>
    <row r="18127" spans="1:8">
      <c r="A18127" s="317" t="s">
        <v>44011</v>
      </c>
      <c r="B18127" s="330" t="s">
        <v>62479</v>
      </c>
      <c r="C18127" s="330" t="s">
        <v>36893</v>
      </c>
      <c r="D18127" s="330" t="s">
        <v>36894</v>
      </c>
      <c r="E18127" s="330" t="s">
        <v>4634</v>
      </c>
      <c r="F18127" s="331">
        <v>0.21</v>
      </c>
      <c r="G18127" s="332">
        <v>5701</v>
      </c>
      <c r="H18127" s="333">
        <v>6899</v>
      </c>
    </row>
    <row r="18128" spans="1:8">
      <c r="A18128" s="317" t="s">
        <v>44012</v>
      </c>
      <c r="B18128" s="330" t="s">
        <v>62480</v>
      </c>
      <c r="C18128" s="330" t="s">
        <v>36895</v>
      </c>
      <c r="D18128" s="330" t="s">
        <v>36896</v>
      </c>
      <c r="E18128" s="330" t="s">
        <v>4634</v>
      </c>
      <c r="F18128" s="331">
        <v>0.21</v>
      </c>
      <c r="G18128" s="332">
        <v>2881</v>
      </c>
      <c r="H18128" s="333">
        <v>3487</v>
      </c>
    </row>
    <row r="18129" spans="1:8">
      <c r="A18129" s="317" t="s">
        <v>44013</v>
      </c>
      <c r="B18129" s="330" t="s">
        <v>62481</v>
      </c>
      <c r="C18129" s="330" t="s">
        <v>36897</v>
      </c>
      <c r="D18129" s="330" t="s">
        <v>36898</v>
      </c>
      <c r="E18129" s="330" t="s">
        <v>4634</v>
      </c>
      <c r="F18129" s="331">
        <v>0.21</v>
      </c>
      <c r="G18129" s="332">
        <v>5186</v>
      </c>
      <c r="H18129" s="333">
        <v>6276</v>
      </c>
    </row>
    <row r="18130" spans="1:8">
      <c r="A18130" s="317" t="s">
        <v>44014</v>
      </c>
      <c r="B18130" s="330" t="s">
        <v>62482</v>
      </c>
      <c r="C18130" s="330" t="s">
        <v>36899</v>
      </c>
      <c r="D18130" s="330" t="s">
        <v>36900</v>
      </c>
      <c r="E18130" s="330" t="s">
        <v>4634</v>
      </c>
      <c r="F18130" s="331">
        <v>0.21</v>
      </c>
      <c r="G18130" s="332">
        <v>4041</v>
      </c>
      <c r="H18130" s="333">
        <v>4890</v>
      </c>
    </row>
    <row r="18131" spans="1:8">
      <c r="A18131" s="317" t="s">
        <v>44015</v>
      </c>
      <c r="B18131" s="330" t="s">
        <v>62483</v>
      </c>
      <c r="C18131" s="330" t="s">
        <v>36901</v>
      </c>
      <c r="D18131" s="330" t="s">
        <v>36902</v>
      </c>
      <c r="E18131" s="330" t="s">
        <v>4634</v>
      </c>
      <c r="F18131" s="331">
        <v>0.21</v>
      </c>
      <c r="G18131" s="332">
        <v>5824</v>
      </c>
      <c r="H18131" s="333">
        <v>7048</v>
      </c>
    </row>
    <row r="18132" spans="1:8">
      <c r="A18132" s="317" t="s">
        <v>44016</v>
      </c>
      <c r="B18132" s="330" t="s">
        <v>62484</v>
      </c>
      <c r="C18132" s="330" t="s">
        <v>36903</v>
      </c>
      <c r="D18132" s="330" t="s">
        <v>36904</v>
      </c>
      <c r="E18132" s="330" t="s">
        <v>4634</v>
      </c>
      <c r="F18132" s="331">
        <v>0.21</v>
      </c>
      <c r="G18132" s="332">
        <v>2596</v>
      </c>
      <c r="H18132" s="333">
        <v>3142</v>
      </c>
    </row>
    <row r="18133" spans="1:8">
      <c r="A18133" s="317" t="s">
        <v>44017</v>
      </c>
      <c r="B18133" s="330" t="s">
        <v>62485</v>
      </c>
      <c r="C18133" s="330" t="s">
        <v>36905</v>
      </c>
      <c r="D18133" s="330" t="s">
        <v>36906</v>
      </c>
      <c r="E18133" s="330" t="s">
        <v>4634</v>
      </c>
      <c r="F18133" s="331">
        <v>0.21</v>
      </c>
      <c r="G18133" s="332">
        <v>7055</v>
      </c>
      <c r="H18133" s="333">
        <v>8537</v>
      </c>
    </row>
    <row r="18134" spans="1:8">
      <c r="A18134" s="317" t="s">
        <v>44018</v>
      </c>
      <c r="B18134" s="330" t="s">
        <v>62486</v>
      </c>
      <c r="C18134" s="330" t="s">
        <v>36907</v>
      </c>
      <c r="D18134" s="330" t="s">
        <v>36908</v>
      </c>
      <c r="E18134" s="330" t="s">
        <v>4819</v>
      </c>
      <c r="F18134" s="331">
        <v>0.21</v>
      </c>
      <c r="G18134" s="332">
        <v>1019</v>
      </c>
      <c r="H18134" s="333">
        <v>1233</v>
      </c>
    </row>
    <row r="18135" spans="1:8">
      <c r="A18135" s="317" t="s">
        <v>44019</v>
      </c>
      <c r="B18135" s="330" t="s">
        <v>62487</v>
      </c>
      <c r="C18135" s="330" t="s">
        <v>36909</v>
      </c>
      <c r="D18135" s="330" t="s">
        <v>36910</v>
      </c>
      <c r="E18135" s="330" t="s">
        <v>4634</v>
      </c>
      <c r="F18135" s="331">
        <v>0.21</v>
      </c>
      <c r="G18135" s="332">
        <v>174</v>
      </c>
      <c r="H18135" s="333">
        <v>211</v>
      </c>
    </row>
    <row r="18136" spans="1:8">
      <c r="A18136" s="317" t="s">
        <v>44020</v>
      </c>
      <c r="B18136" s="330" t="s">
        <v>62488</v>
      </c>
      <c r="C18136" s="330" t="s">
        <v>36911</v>
      </c>
      <c r="D18136" s="330" t="s">
        <v>36912</v>
      </c>
      <c r="E18136" s="330" t="s">
        <v>4819</v>
      </c>
      <c r="F18136" s="331">
        <v>0.21</v>
      </c>
      <c r="G18136" s="332">
        <v>410</v>
      </c>
      <c r="H18136" s="333">
        <v>497</v>
      </c>
    </row>
    <row r="18137" spans="1:8">
      <c r="A18137" s="317" t="s">
        <v>44021</v>
      </c>
      <c r="B18137" s="330" t="s">
        <v>62489</v>
      </c>
      <c r="C18137" s="330" t="s">
        <v>36913</v>
      </c>
      <c r="D18137" s="330" t="s">
        <v>36914</v>
      </c>
      <c r="E18137" s="330" t="s">
        <v>4634</v>
      </c>
      <c r="F18137" s="331">
        <v>0.21</v>
      </c>
      <c r="G18137" s="332">
        <v>387</v>
      </c>
      <c r="H18137" s="333">
        <v>469</v>
      </c>
    </row>
    <row r="18138" spans="1:8">
      <c r="A18138" s="317" t="s">
        <v>44022</v>
      </c>
      <c r="B18138" s="330" t="s">
        <v>62490</v>
      </c>
      <c r="C18138" s="330" t="s">
        <v>36915</v>
      </c>
      <c r="D18138" s="330" t="s">
        <v>36916</v>
      </c>
      <c r="E18138" s="330" t="s">
        <v>4819</v>
      </c>
      <c r="F18138" s="331">
        <v>0.21</v>
      </c>
      <c r="G18138" s="332">
        <v>410</v>
      </c>
      <c r="H18138" s="333">
        <v>497</v>
      </c>
    </row>
    <row r="18139" spans="1:8">
      <c r="A18139" s="317" t="s">
        <v>36917</v>
      </c>
      <c r="B18139" s="330" t="s">
        <v>36917</v>
      </c>
      <c r="C18139" s="330" t="s">
        <v>36918</v>
      </c>
      <c r="D18139" s="330" t="s">
        <v>36919</v>
      </c>
      <c r="E18139" s="330" t="s">
        <v>37248</v>
      </c>
      <c r="F18139" s="331">
        <v>0.21</v>
      </c>
      <c r="G18139" s="332">
        <v>3403</v>
      </c>
      <c r="H18139" s="333">
        <v>4118</v>
      </c>
    </row>
    <row r="18140" spans="1:8">
      <c r="A18140" s="317" t="s">
        <v>44023</v>
      </c>
      <c r="B18140" s="330" t="s">
        <v>62491</v>
      </c>
      <c r="C18140" s="330" t="s">
        <v>36920</v>
      </c>
      <c r="D18140" s="330" t="s">
        <v>36921</v>
      </c>
      <c r="E18140" s="330" t="s">
        <v>4634</v>
      </c>
      <c r="F18140" s="331">
        <v>0.21</v>
      </c>
      <c r="G18140" s="332">
        <v>5848</v>
      </c>
      <c r="H18140" s="333">
        <v>7077</v>
      </c>
    </row>
    <row r="18141" spans="1:8">
      <c r="A18141" s="317" t="s">
        <v>44024</v>
      </c>
      <c r="B18141" s="330" t="s">
        <v>62492</v>
      </c>
      <c r="C18141" s="330" t="s">
        <v>36922</v>
      </c>
      <c r="D18141" s="330" t="s">
        <v>36923</v>
      </c>
      <c r="E18141" s="330" t="s">
        <v>4634</v>
      </c>
      <c r="F18141" s="331">
        <v>0.21</v>
      </c>
      <c r="G18141" s="332">
        <v>2146</v>
      </c>
      <c r="H18141" s="333">
        <v>2597</v>
      </c>
    </row>
    <row r="18142" spans="1:8">
      <c r="A18142" s="317" t="s">
        <v>44025</v>
      </c>
      <c r="B18142" s="330" t="s">
        <v>62493</v>
      </c>
      <c r="C18142" s="330" t="s">
        <v>36924</v>
      </c>
      <c r="D18142" s="330" t="s">
        <v>36925</v>
      </c>
      <c r="E18142" s="330" t="s">
        <v>4634</v>
      </c>
      <c r="F18142" s="331">
        <v>0.21</v>
      </c>
      <c r="G18142" s="332">
        <v>1322</v>
      </c>
      <c r="H18142" s="333">
        <v>1600</v>
      </c>
    </row>
    <row r="18143" spans="1:8">
      <c r="A18143" s="317" t="s">
        <v>44026</v>
      </c>
      <c r="B18143" s="330" t="s">
        <v>62494</v>
      </c>
      <c r="C18143" s="330" t="s">
        <v>36926</v>
      </c>
      <c r="D18143" s="330" t="s">
        <v>36927</v>
      </c>
      <c r="E18143" s="330" t="s">
        <v>4634</v>
      </c>
      <c r="F18143" s="331">
        <v>0.21</v>
      </c>
      <c r="G18143" s="332">
        <v>9712</v>
      </c>
      <c r="H18143" s="333">
        <v>11752</v>
      </c>
    </row>
    <row r="18144" spans="1:8">
      <c r="A18144" s="317" t="s">
        <v>44027</v>
      </c>
      <c r="B18144" s="330" t="s">
        <v>62495</v>
      </c>
      <c r="C18144" s="330" t="s">
        <v>36928</v>
      </c>
      <c r="D18144" s="330" t="s">
        <v>36929</v>
      </c>
      <c r="E18144" s="330" t="s">
        <v>4634</v>
      </c>
      <c r="F18144" s="331">
        <v>0.21</v>
      </c>
      <c r="G18144" s="332">
        <v>3857</v>
      </c>
      <c r="H18144" s="333">
        <v>4667</v>
      </c>
    </row>
    <row r="18145" spans="1:8">
      <c r="A18145" s="317" t="s">
        <v>44028</v>
      </c>
      <c r="B18145" s="330" t="s">
        <v>62496</v>
      </c>
      <c r="C18145" s="330" t="s">
        <v>36930</v>
      </c>
      <c r="D18145" s="330" t="s">
        <v>36931</v>
      </c>
      <c r="E18145" s="330" t="s">
        <v>4634</v>
      </c>
      <c r="F18145" s="331">
        <v>0.21</v>
      </c>
      <c r="G18145" s="332">
        <v>2855</v>
      </c>
      <c r="H18145" s="333">
        <v>3455</v>
      </c>
    </row>
    <row r="18146" spans="1:8">
      <c r="A18146" s="317" t="s">
        <v>44029</v>
      </c>
      <c r="B18146" s="330" t="s">
        <v>62497</v>
      </c>
      <c r="C18146" s="330" t="s">
        <v>36932</v>
      </c>
      <c r="D18146" s="330" t="s">
        <v>36933</v>
      </c>
      <c r="E18146" s="330" t="s">
        <v>4634</v>
      </c>
      <c r="F18146" s="331">
        <v>0.21</v>
      </c>
      <c r="G18146" s="332">
        <v>7731</v>
      </c>
      <c r="H18146" s="333">
        <v>9355</v>
      </c>
    </row>
    <row r="18147" spans="1:8">
      <c r="A18147" s="317" t="s">
        <v>44030</v>
      </c>
      <c r="B18147" s="330" t="s">
        <v>62498</v>
      </c>
      <c r="C18147" s="330" t="s">
        <v>36934</v>
      </c>
      <c r="D18147" s="330" t="s">
        <v>36935</v>
      </c>
      <c r="E18147" s="330" t="s">
        <v>4623</v>
      </c>
      <c r="F18147" s="331">
        <v>0.21</v>
      </c>
      <c r="G18147" s="332">
        <v>2476</v>
      </c>
      <c r="H18147" s="333">
        <v>2996</v>
      </c>
    </row>
    <row r="18148" spans="1:8">
      <c r="A18148" s="317" t="s">
        <v>44031</v>
      </c>
      <c r="B18148" s="330" t="s">
        <v>62499</v>
      </c>
      <c r="C18148" s="330" t="s">
        <v>36936</v>
      </c>
      <c r="D18148" s="330" t="s">
        <v>36937</v>
      </c>
      <c r="E18148" s="330" t="s">
        <v>4634</v>
      </c>
      <c r="F18148" s="331">
        <v>0.21</v>
      </c>
      <c r="G18148" s="332">
        <v>8916</v>
      </c>
      <c r="H18148" s="333">
        <v>10789</v>
      </c>
    </row>
    <row r="18149" spans="1:8">
      <c r="A18149" s="317" t="s">
        <v>44032</v>
      </c>
      <c r="B18149" s="330" t="s">
        <v>62500</v>
      </c>
      <c r="C18149" s="330" t="s">
        <v>36938</v>
      </c>
      <c r="D18149" s="330" t="s">
        <v>36939</v>
      </c>
      <c r="E18149" s="330" t="s">
        <v>4634</v>
      </c>
      <c r="F18149" s="331">
        <v>0.21</v>
      </c>
      <c r="G18149" s="332">
        <v>2830</v>
      </c>
      <c r="H18149" s="333">
        <v>3425</v>
      </c>
    </row>
    <row r="18150" spans="1:8">
      <c r="A18150" s="317" t="s">
        <v>44033</v>
      </c>
      <c r="B18150" s="330" t="s">
        <v>62501</v>
      </c>
      <c r="C18150" s="330" t="s">
        <v>36940</v>
      </c>
      <c r="D18150" s="330" t="s">
        <v>36941</v>
      </c>
      <c r="E18150" s="330" t="s">
        <v>4634</v>
      </c>
      <c r="F18150" s="331">
        <v>0.21</v>
      </c>
      <c r="G18150" s="332">
        <v>1222</v>
      </c>
      <c r="H18150" s="333">
        <v>1479</v>
      </c>
    </row>
    <row r="18151" spans="1:8">
      <c r="A18151" s="317" t="s">
        <v>44034</v>
      </c>
      <c r="B18151" s="330" t="s">
        <v>62502</v>
      </c>
      <c r="C18151" s="330" t="s">
        <v>36942</v>
      </c>
      <c r="D18151" s="330" t="s">
        <v>36943</v>
      </c>
      <c r="E18151" s="330" t="s">
        <v>4634</v>
      </c>
      <c r="F18151" s="331">
        <v>0.21</v>
      </c>
      <c r="G18151" s="332">
        <v>4936</v>
      </c>
      <c r="H18151" s="333">
        <v>5973</v>
      </c>
    </row>
    <row r="18152" spans="1:8">
      <c r="A18152" s="317" t="s">
        <v>44035</v>
      </c>
      <c r="B18152" s="330" t="s">
        <v>62503</v>
      </c>
      <c r="C18152" s="330" t="s">
        <v>36944</v>
      </c>
      <c r="D18152" s="330" t="s">
        <v>36945</v>
      </c>
      <c r="E18152" s="330" t="s">
        <v>4634</v>
      </c>
      <c r="F18152" s="331">
        <v>0.21</v>
      </c>
      <c r="G18152" s="332">
        <v>2576</v>
      </c>
      <c r="H18152" s="333">
        <v>3117</v>
      </c>
    </row>
    <row r="18153" spans="1:8">
      <c r="A18153" s="317" t="s">
        <v>44036</v>
      </c>
      <c r="B18153" s="330" t="s">
        <v>62504</v>
      </c>
      <c r="C18153" s="330" t="s">
        <v>36946</v>
      </c>
      <c r="D18153" s="330" t="s">
        <v>36947</v>
      </c>
      <c r="E18153" s="330" t="s">
        <v>4634</v>
      </c>
      <c r="F18153" s="331">
        <v>0.21</v>
      </c>
      <c r="G18153" s="332">
        <v>4245</v>
      </c>
      <c r="H18153" s="333">
        <v>5137</v>
      </c>
    </row>
    <row r="18154" spans="1:8">
      <c r="A18154" s="317" t="s">
        <v>44037</v>
      </c>
      <c r="B18154" s="330" t="s">
        <v>62505</v>
      </c>
      <c r="C18154" s="330" t="s">
        <v>36948</v>
      </c>
      <c r="D18154" s="330" t="s">
        <v>36949</v>
      </c>
      <c r="E18154" s="330" t="s">
        <v>4634</v>
      </c>
      <c r="F18154" s="331">
        <v>0.21</v>
      </c>
      <c r="G18154" s="332">
        <v>1867</v>
      </c>
      <c r="H18154" s="333">
        <v>2260</v>
      </c>
    </row>
    <row r="18155" spans="1:8">
      <c r="A18155" s="317" t="s">
        <v>44038</v>
      </c>
      <c r="B18155" s="330" t="s">
        <v>62506</v>
      </c>
      <c r="C18155" s="330" t="s">
        <v>36950</v>
      </c>
      <c r="D18155" s="330" t="s">
        <v>36951</v>
      </c>
      <c r="E18155" s="330" t="s">
        <v>4634</v>
      </c>
      <c r="F18155" s="331">
        <v>0.21</v>
      </c>
      <c r="G18155" s="332">
        <v>934</v>
      </c>
      <c r="H18155" s="333">
        <v>1131</v>
      </c>
    </row>
    <row r="18156" spans="1:8">
      <c r="A18156" s="317" t="s">
        <v>44039</v>
      </c>
      <c r="B18156" s="330" t="s">
        <v>62507</v>
      </c>
      <c r="C18156" s="330" t="s">
        <v>36952</v>
      </c>
      <c r="D18156" s="330" t="s">
        <v>36953</v>
      </c>
      <c r="E18156" s="330" t="s">
        <v>4634</v>
      </c>
      <c r="F18156" s="331">
        <v>0.21</v>
      </c>
      <c r="G18156" s="332">
        <v>3832</v>
      </c>
      <c r="H18156" s="333">
        <v>4637</v>
      </c>
    </row>
    <row r="18157" spans="1:8">
      <c r="A18157" s="317" t="s">
        <v>44040</v>
      </c>
      <c r="B18157" s="330" t="s">
        <v>62508</v>
      </c>
      <c r="C18157" s="330" t="s">
        <v>36954</v>
      </c>
      <c r="D18157" s="330" t="s">
        <v>36955</v>
      </c>
      <c r="E18157" s="330" t="s">
        <v>4634</v>
      </c>
      <c r="F18157" s="331">
        <v>0.21</v>
      </c>
      <c r="G18157" s="332">
        <v>7662</v>
      </c>
      <c r="H18157" s="333">
        <v>9272</v>
      </c>
    </row>
    <row r="18158" spans="1:8">
      <c r="A18158" s="317" t="s">
        <v>44041</v>
      </c>
      <c r="B18158" s="330" t="s">
        <v>62509</v>
      </c>
      <c r="C18158" s="330" t="s">
        <v>36956</v>
      </c>
      <c r="D18158" s="330" t="s">
        <v>36957</v>
      </c>
      <c r="E18158" s="330" t="s">
        <v>4634</v>
      </c>
      <c r="F18158" s="331">
        <v>0.21</v>
      </c>
      <c r="G18158" s="332">
        <v>3857</v>
      </c>
      <c r="H18158" s="333">
        <v>4667</v>
      </c>
    </row>
    <row r="18159" spans="1:8">
      <c r="A18159" s="317" t="s">
        <v>44042</v>
      </c>
      <c r="B18159" s="330" t="s">
        <v>62510</v>
      </c>
      <c r="C18159" s="330" t="s">
        <v>36958</v>
      </c>
      <c r="D18159" s="330" t="s">
        <v>36959</v>
      </c>
      <c r="E18159" s="330" t="s">
        <v>4634</v>
      </c>
      <c r="F18159" s="331">
        <v>0.21</v>
      </c>
      <c r="G18159" s="332">
        <v>1086</v>
      </c>
      <c r="H18159" s="333">
        <v>1315</v>
      </c>
    </row>
    <row r="18160" spans="1:8">
      <c r="A18160" s="317" t="s">
        <v>44043</v>
      </c>
      <c r="B18160" s="330" t="s">
        <v>62511</v>
      </c>
      <c r="C18160" s="330" t="s">
        <v>36960</v>
      </c>
      <c r="D18160" s="330" t="s">
        <v>36961</v>
      </c>
      <c r="E18160" s="330" t="s">
        <v>4634</v>
      </c>
      <c r="F18160" s="331">
        <v>0.21</v>
      </c>
      <c r="G18160" s="332">
        <v>3549</v>
      </c>
      <c r="H18160" s="333">
        <v>4295</v>
      </c>
    </row>
    <row r="18161" spans="1:8">
      <c r="A18161" s="317" t="s">
        <v>44044</v>
      </c>
      <c r="B18161" s="330" t="s">
        <v>62512</v>
      </c>
      <c r="C18161" s="330" t="s">
        <v>36962</v>
      </c>
      <c r="D18161" s="330" t="s">
        <v>36963</v>
      </c>
      <c r="E18161" s="330" t="s">
        <v>4634</v>
      </c>
      <c r="F18161" s="331">
        <v>0.21</v>
      </c>
      <c r="G18161" s="332">
        <v>2968</v>
      </c>
      <c r="H18161" s="333">
        <v>3592</v>
      </c>
    </row>
    <row r="18162" spans="1:8">
      <c r="A18162" s="317" t="s">
        <v>44045</v>
      </c>
      <c r="B18162" s="330" t="s">
        <v>62513</v>
      </c>
      <c r="C18162" s="330" t="s">
        <v>36964</v>
      </c>
      <c r="D18162" s="330" t="s">
        <v>36965</v>
      </c>
      <c r="E18162" s="330" t="s">
        <v>4634</v>
      </c>
      <c r="F18162" s="331">
        <v>0.21</v>
      </c>
      <c r="G18162" s="332">
        <v>13239</v>
      </c>
      <c r="H18162" s="333">
        <v>16020</v>
      </c>
    </row>
    <row r="18163" spans="1:8">
      <c r="A18163" s="317" t="s">
        <v>44046</v>
      </c>
      <c r="B18163" s="330" t="s">
        <v>62514</v>
      </c>
      <c r="C18163" s="330" t="s">
        <v>36966</v>
      </c>
      <c r="D18163" s="330" t="s">
        <v>36967</v>
      </c>
      <c r="E18163" s="330" t="s">
        <v>4634</v>
      </c>
      <c r="F18163" s="331">
        <v>0.21</v>
      </c>
      <c r="G18163" s="332">
        <v>4626</v>
      </c>
      <c r="H18163" s="333">
        <v>5598</v>
      </c>
    </row>
    <row r="18164" spans="1:8">
      <c r="A18164" s="317" t="s">
        <v>44047</v>
      </c>
      <c r="B18164" s="330" t="s">
        <v>62515</v>
      </c>
      <c r="C18164" s="330" t="s">
        <v>36968</v>
      </c>
      <c r="D18164" s="330" t="s">
        <v>36969</v>
      </c>
      <c r="E18164" s="330" t="s">
        <v>4634</v>
      </c>
      <c r="F18164" s="331">
        <v>0.21</v>
      </c>
      <c r="G18164" s="332">
        <v>1927</v>
      </c>
      <c r="H18164" s="333">
        <v>2332</v>
      </c>
    </row>
    <row r="18165" spans="1:8">
      <c r="A18165" s="317" t="s">
        <v>44048</v>
      </c>
      <c r="B18165" s="330" t="s">
        <v>62516</v>
      </c>
      <c r="C18165" s="330" t="s">
        <v>36970</v>
      </c>
      <c r="D18165" s="330" t="s">
        <v>36971</v>
      </c>
      <c r="E18165" s="330" t="s">
        <v>4634</v>
      </c>
      <c r="F18165" s="331">
        <v>0.21</v>
      </c>
      <c r="G18165" s="332">
        <v>2830</v>
      </c>
      <c r="H18165" s="333">
        <v>3425</v>
      </c>
    </row>
    <row r="18166" spans="1:8">
      <c r="A18166" s="317" t="s">
        <v>44049</v>
      </c>
      <c r="B18166" s="330" t="s">
        <v>62517</v>
      </c>
      <c r="C18166" s="330" t="s">
        <v>36972</v>
      </c>
      <c r="D18166" s="330" t="s">
        <v>35179</v>
      </c>
      <c r="E18166" s="330" t="s">
        <v>4634</v>
      </c>
      <c r="F18166" s="331">
        <v>0.21</v>
      </c>
      <c r="G18166" s="332">
        <v>1692</v>
      </c>
      <c r="H18166" s="333">
        <v>2048</v>
      </c>
    </row>
    <row r="18167" spans="1:8">
      <c r="A18167" s="317" t="s">
        <v>44050</v>
      </c>
      <c r="B18167" s="330" t="s">
        <v>62518</v>
      </c>
      <c r="C18167" s="330" t="s">
        <v>36973</v>
      </c>
      <c r="D18167" s="330" t="s">
        <v>36974</v>
      </c>
      <c r="E18167" s="330" t="s">
        <v>4634</v>
      </c>
      <c r="F18167" s="331">
        <v>0.21</v>
      </c>
      <c r="G18167" s="332">
        <v>3549</v>
      </c>
      <c r="H18167" s="333">
        <v>4295</v>
      </c>
    </row>
    <row r="18168" spans="1:8">
      <c r="A18168" s="317" t="s">
        <v>44051</v>
      </c>
      <c r="B18168" s="330" t="s">
        <v>62519</v>
      </c>
      <c r="C18168" s="330" t="s">
        <v>36975</v>
      </c>
      <c r="D18168" s="330" t="s">
        <v>36976</v>
      </c>
      <c r="E18168" s="330" t="s">
        <v>4634</v>
      </c>
      <c r="F18168" s="331">
        <v>0.21</v>
      </c>
      <c r="G18168" s="332">
        <v>702</v>
      </c>
      <c r="H18168" s="333">
        <v>850</v>
      </c>
    </row>
    <row r="18169" spans="1:8">
      <c r="A18169" s="317" t="s">
        <v>44052</v>
      </c>
      <c r="B18169" s="330" t="s">
        <v>62520</v>
      </c>
      <c r="C18169" s="330" t="s">
        <v>36977</v>
      </c>
      <c r="D18169" s="330" t="s">
        <v>36978</v>
      </c>
      <c r="E18169" s="330" t="s">
        <v>4634</v>
      </c>
      <c r="F18169" s="331">
        <v>0.21</v>
      </c>
      <c r="G18169" s="332">
        <v>923</v>
      </c>
      <c r="H18169" s="333">
        <v>1117</v>
      </c>
    </row>
    <row r="18170" spans="1:8">
      <c r="A18170" s="317" t="s">
        <v>44053</v>
      </c>
      <c r="B18170" s="330" t="s">
        <v>62521</v>
      </c>
      <c r="C18170" s="330" t="s">
        <v>36979</v>
      </c>
      <c r="D18170" s="330" t="s">
        <v>36980</v>
      </c>
      <c r="E18170" s="330" t="s">
        <v>4634</v>
      </c>
      <c r="F18170" s="331">
        <v>0.21</v>
      </c>
      <c r="G18170" s="332">
        <v>3528</v>
      </c>
      <c r="H18170" s="333">
        <v>4269</v>
      </c>
    </row>
    <row r="18171" spans="1:8">
      <c r="A18171" s="317" t="s">
        <v>44054</v>
      </c>
      <c r="B18171" s="330" t="s">
        <v>62522</v>
      </c>
      <c r="C18171" s="330" t="s">
        <v>36981</v>
      </c>
      <c r="D18171" s="330" t="s">
        <v>36982</v>
      </c>
      <c r="E18171" s="330" t="s">
        <v>4634</v>
      </c>
      <c r="F18171" s="331">
        <v>0.21</v>
      </c>
      <c r="G18171" s="332">
        <v>1126</v>
      </c>
      <c r="H18171" s="333">
        <v>1363</v>
      </c>
    </row>
    <row r="18172" spans="1:8">
      <c r="A18172" s="317" t="s">
        <v>44055</v>
      </c>
      <c r="B18172" s="330" t="s">
        <v>62523</v>
      </c>
      <c r="C18172" s="330" t="s">
        <v>36983</v>
      </c>
      <c r="D18172" s="330" t="s">
        <v>36984</v>
      </c>
      <c r="E18172" s="330" t="s">
        <v>4634</v>
      </c>
      <c r="F18172" s="331">
        <v>0.21</v>
      </c>
      <c r="G18172" s="332">
        <v>963</v>
      </c>
      <c r="H18172" s="333">
        <v>1166</v>
      </c>
    </row>
    <row r="18173" spans="1:8">
      <c r="A18173" s="317" t="s">
        <v>44056</v>
      </c>
      <c r="B18173" s="330" t="s">
        <v>62524</v>
      </c>
      <c r="C18173" s="330" t="s">
        <v>36985</v>
      </c>
      <c r="D18173" s="330" t="s">
        <v>36986</v>
      </c>
      <c r="E18173" s="330" t="s">
        <v>4634</v>
      </c>
      <c r="F18173" s="331">
        <v>0.21</v>
      </c>
      <c r="G18173" s="332">
        <v>1380</v>
      </c>
      <c r="H18173" s="333">
        <v>1670</v>
      </c>
    </row>
    <row r="18174" spans="1:8">
      <c r="A18174" s="317" t="s">
        <v>44057</v>
      </c>
      <c r="B18174" s="330" t="s">
        <v>62525</v>
      </c>
      <c r="C18174" s="330" t="s">
        <v>36987</v>
      </c>
      <c r="D18174" s="330" t="s">
        <v>36988</v>
      </c>
      <c r="E18174" s="330" t="s">
        <v>4634</v>
      </c>
      <c r="F18174" s="331">
        <v>0.21</v>
      </c>
      <c r="G18174" s="332">
        <v>13431</v>
      </c>
      <c r="H18174" s="333">
        <v>16252</v>
      </c>
    </row>
    <row r="18175" spans="1:8">
      <c r="A18175" s="317" t="s">
        <v>44058</v>
      </c>
      <c r="B18175" s="330" t="s">
        <v>62526</v>
      </c>
      <c r="C18175" s="330" t="s">
        <v>36989</v>
      </c>
      <c r="D18175" s="330" t="s">
        <v>36990</v>
      </c>
      <c r="E18175" s="330" t="s">
        <v>4634</v>
      </c>
      <c r="F18175" s="331">
        <v>0.21</v>
      </c>
      <c r="G18175" s="332">
        <v>1842</v>
      </c>
      <c r="H18175" s="333">
        <v>2229</v>
      </c>
    </row>
    <row r="18176" spans="1:8">
      <c r="A18176" s="317" t="s">
        <v>44059</v>
      </c>
      <c r="B18176" s="330" t="s">
        <v>62527</v>
      </c>
      <c r="C18176" s="330" t="s">
        <v>36991</v>
      </c>
      <c r="D18176" s="330" t="s">
        <v>12142</v>
      </c>
      <c r="E18176" s="330" t="s">
        <v>4634</v>
      </c>
      <c r="F18176" s="331">
        <v>0.21</v>
      </c>
      <c r="G18176" s="332">
        <v>678</v>
      </c>
      <c r="H18176" s="333">
        <v>821</v>
      </c>
    </row>
    <row r="18177" spans="1:8">
      <c r="A18177" s="317" t="s">
        <v>44060</v>
      </c>
      <c r="B18177" s="330" t="s">
        <v>62528</v>
      </c>
      <c r="C18177" s="330" t="s">
        <v>36992</v>
      </c>
      <c r="D18177" s="330" t="s">
        <v>36993</v>
      </c>
      <c r="E18177" s="330" t="s">
        <v>4634</v>
      </c>
      <c r="F18177" s="331">
        <v>0.21</v>
      </c>
      <c r="G18177" s="332">
        <v>1150</v>
      </c>
      <c r="H18177" s="333">
        <v>1392</v>
      </c>
    </row>
    <row r="18178" spans="1:8">
      <c r="A18178" s="317" t="s">
        <v>44061</v>
      </c>
      <c r="B18178" s="330" t="s">
        <v>62529</v>
      </c>
      <c r="C18178" s="330" t="s">
        <v>36994</v>
      </c>
      <c r="D18178" s="330" t="s">
        <v>36995</v>
      </c>
      <c r="E18178" s="330" t="s">
        <v>4634</v>
      </c>
      <c r="F18178" s="331">
        <v>0.21</v>
      </c>
      <c r="G18178" s="332">
        <v>2270</v>
      </c>
      <c r="H18178" s="333">
        <v>2747</v>
      </c>
    </row>
    <row r="18179" spans="1:8">
      <c r="A18179" s="317" t="s">
        <v>44062</v>
      </c>
      <c r="B18179" s="330" t="s">
        <v>62530</v>
      </c>
      <c r="C18179" s="330" t="s">
        <v>36996</v>
      </c>
      <c r="D18179" s="330" t="s">
        <v>12142</v>
      </c>
      <c r="E18179" s="330" t="s">
        <v>4634</v>
      </c>
      <c r="F18179" s="331">
        <v>0.21</v>
      </c>
      <c r="G18179" s="332">
        <v>678</v>
      </c>
      <c r="H18179" s="333">
        <v>821</v>
      </c>
    </row>
    <row r="18180" spans="1:8">
      <c r="A18180" s="317" t="s">
        <v>44063</v>
      </c>
      <c r="B18180" s="330" t="s">
        <v>62531</v>
      </c>
      <c r="C18180" s="330" t="s">
        <v>36997</v>
      </c>
      <c r="D18180" s="330" t="s">
        <v>36998</v>
      </c>
      <c r="E18180" s="330" t="s">
        <v>4634</v>
      </c>
      <c r="F18180" s="331">
        <v>0.21</v>
      </c>
      <c r="G18180" s="332">
        <v>928</v>
      </c>
      <c r="H18180" s="333">
        <v>1123</v>
      </c>
    </row>
    <row r="18181" spans="1:8">
      <c r="A18181" s="317" t="s">
        <v>44064</v>
      </c>
      <c r="B18181" s="330" t="s">
        <v>62532</v>
      </c>
      <c r="C18181" s="330" t="s">
        <v>36999</v>
      </c>
      <c r="D18181" s="330" t="s">
        <v>37000</v>
      </c>
      <c r="E18181" s="330" t="s">
        <v>4634</v>
      </c>
      <c r="F18181" s="331">
        <v>0.21</v>
      </c>
      <c r="G18181" s="332">
        <v>2462</v>
      </c>
      <c r="H18181" s="333">
        <v>2980</v>
      </c>
    </row>
    <row r="18182" spans="1:8">
      <c r="A18182" s="317" t="s">
        <v>44065</v>
      </c>
      <c r="B18182" s="330" t="s">
        <v>62533</v>
      </c>
      <c r="C18182" s="330" t="s">
        <v>37001</v>
      </c>
      <c r="D18182" s="330" t="s">
        <v>37002</v>
      </c>
      <c r="E18182" s="330" t="s">
        <v>4634</v>
      </c>
      <c r="F18182" s="331">
        <v>0.21</v>
      </c>
      <c r="G18182" s="332">
        <v>928</v>
      </c>
      <c r="H18182" s="333">
        <v>1123</v>
      </c>
    </row>
    <row r="18183" spans="1:8">
      <c r="A18183" s="317" t="s">
        <v>44066</v>
      </c>
      <c r="B18183" s="330" t="s">
        <v>62534</v>
      </c>
      <c r="C18183" s="330" t="s">
        <v>37003</v>
      </c>
      <c r="D18183" s="330" t="s">
        <v>37004</v>
      </c>
      <c r="E18183" s="330" t="s">
        <v>4634</v>
      </c>
      <c r="F18183" s="331">
        <v>0.21</v>
      </c>
      <c r="G18183" s="332">
        <v>2270</v>
      </c>
      <c r="H18183" s="333">
        <v>2747</v>
      </c>
    </row>
    <row r="18184" spans="1:8">
      <c r="A18184" s="317" t="s">
        <v>44067</v>
      </c>
      <c r="B18184" s="330" t="s">
        <v>62535</v>
      </c>
      <c r="C18184" s="330" t="s">
        <v>37005</v>
      </c>
      <c r="D18184" s="330" t="s">
        <v>37006</v>
      </c>
      <c r="E18184" s="330" t="s">
        <v>4634</v>
      </c>
      <c r="F18184" s="331">
        <v>0.21</v>
      </c>
      <c r="G18184" s="332">
        <v>1371</v>
      </c>
      <c r="H18184" s="333">
        <v>1659</v>
      </c>
    </row>
    <row r="18185" spans="1:8">
      <c r="A18185" s="317" t="s">
        <v>44068</v>
      </c>
      <c r="B18185" s="330" t="s">
        <v>62536</v>
      </c>
      <c r="C18185" s="330" t="s">
        <v>37007</v>
      </c>
      <c r="D18185" s="330" t="s">
        <v>37008</v>
      </c>
      <c r="E18185" s="330" t="s">
        <v>4634</v>
      </c>
      <c r="F18185" s="331">
        <v>0.21</v>
      </c>
      <c r="G18185" s="332">
        <v>14491</v>
      </c>
      <c r="H18185" s="333">
        <v>17535</v>
      </c>
    </row>
    <row r="18186" spans="1:8">
      <c r="A18186" s="317" t="s">
        <v>44069</v>
      </c>
      <c r="B18186" s="330" t="s">
        <v>62537</v>
      </c>
      <c r="C18186" s="330" t="s">
        <v>37009</v>
      </c>
      <c r="D18186" s="330" t="s">
        <v>37010</v>
      </c>
      <c r="E18186" s="330" t="s">
        <v>4634</v>
      </c>
      <c r="F18186" s="331">
        <v>0.21</v>
      </c>
      <c r="G18186" s="332">
        <v>1547</v>
      </c>
      <c r="H18186" s="333">
        <v>1872</v>
      </c>
    </row>
    <row r="18187" spans="1:8">
      <c r="A18187" s="317" t="s">
        <v>44070</v>
      </c>
      <c r="B18187" s="330" t="s">
        <v>62538</v>
      </c>
      <c r="C18187" s="330" t="s">
        <v>37011</v>
      </c>
      <c r="D18187" s="330" t="s">
        <v>37012</v>
      </c>
      <c r="E18187" s="330" t="s">
        <v>4634</v>
      </c>
      <c r="F18187" s="331">
        <v>0.21</v>
      </c>
      <c r="G18187" s="332">
        <v>5123</v>
      </c>
      <c r="H18187" s="333">
        <v>6199</v>
      </c>
    </row>
    <row r="18188" spans="1:8">
      <c r="A18188" s="317" t="s">
        <v>44071</v>
      </c>
      <c r="B18188" s="330" t="s">
        <v>62539</v>
      </c>
      <c r="C18188" s="330" t="s">
        <v>37013</v>
      </c>
      <c r="D18188" s="330" t="s">
        <v>36993</v>
      </c>
      <c r="E18188" s="330" t="s">
        <v>4634</v>
      </c>
      <c r="F18188" s="331">
        <v>0.21</v>
      </c>
      <c r="G18188" s="332">
        <v>1882</v>
      </c>
      <c r="H18188" s="333">
        <v>2278</v>
      </c>
    </row>
    <row r="18189" spans="1:8">
      <c r="A18189" s="317" t="s">
        <v>44072</v>
      </c>
      <c r="B18189" s="330" t="s">
        <v>62540</v>
      </c>
      <c r="C18189" s="330" t="s">
        <v>37014</v>
      </c>
      <c r="D18189" s="330" t="s">
        <v>37015</v>
      </c>
      <c r="E18189" s="330" t="s">
        <v>4634</v>
      </c>
      <c r="F18189" s="331">
        <v>0.21</v>
      </c>
      <c r="G18189" s="332">
        <v>928</v>
      </c>
      <c r="H18189" s="333">
        <v>1123</v>
      </c>
    </row>
    <row r="18190" spans="1:8">
      <c r="A18190" s="317" t="s">
        <v>44073</v>
      </c>
      <c r="B18190" s="330" t="s">
        <v>62541</v>
      </c>
      <c r="C18190" s="330" t="s">
        <v>37016</v>
      </c>
      <c r="D18190" s="330" t="s">
        <v>37017</v>
      </c>
      <c r="E18190" s="330" t="s">
        <v>4634</v>
      </c>
      <c r="F18190" s="331">
        <v>0.21</v>
      </c>
      <c r="G18190" s="332">
        <v>2712</v>
      </c>
      <c r="H18190" s="333">
        <v>3282</v>
      </c>
    </row>
    <row r="18191" spans="1:8">
      <c r="A18191" s="317" t="s">
        <v>44074</v>
      </c>
      <c r="B18191" s="330" t="s">
        <v>62542</v>
      </c>
      <c r="C18191" s="330" t="s">
        <v>37018</v>
      </c>
      <c r="D18191" s="330" t="s">
        <v>37015</v>
      </c>
      <c r="E18191" s="330" t="s">
        <v>4634</v>
      </c>
      <c r="F18191" s="331">
        <v>0.21</v>
      </c>
      <c r="G18191" s="332">
        <v>678</v>
      </c>
      <c r="H18191" s="333">
        <v>821</v>
      </c>
    </row>
    <row r="18192" spans="1:8">
      <c r="A18192" s="317" t="s">
        <v>44075</v>
      </c>
      <c r="B18192" s="330" t="s">
        <v>62543</v>
      </c>
      <c r="C18192" s="330" t="s">
        <v>37019</v>
      </c>
      <c r="D18192" s="330" t="s">
        <v>37020</v>
      </c>
      <c r="E18192" s="330" t="s">
        <v>4634</v>
      </c>
      <c r="F18192" s="331">
        <v>0.21</v>
      </c>
      <c r="G18192" s="332">
        <v>928</v>
      </c>
      <c r="H18192" s="333">
        <v>1123</v>
      </c>
    </row>
    <row r="18193" spans="1:8">
      <c r="A18193" s="317" t="s">
        <v>44076</v>
      </c>
      <c r="B18193" s="330" t="s">
        <v>62544</v>
      </c>
      <c r="C18193" s="330" t="s">
        <v>37021</v>
      </c>
      <c r="D18193" s="330" t="s">
        <v>37022</v>
      </c>
      <c r="E18193" s="330" t="s">
        <v>4634</v>
      </c>
      <c r="F18193" s="331">
        <v>0.21</v>
      </c>
      <c r="G18193" s="332">
        <v>2881</v>
      </c>
      <c r="H18193" s="333">
        <v>3487</v>
      </c>
    </row>
    <row r="18194" spans="1:8">
      <c r="A18194" s="317" t="s">
        <v>44077</v>
      </c>
      <c r="B18194" s="330" t="s">
        <v>62545</v>
      </c>
      <c r="C18194" s="330" t="s">
        <v>37023</v>
      </c>
      <c r="D18194" s="330" t="s">
        <v>37024</v>
      </c>
      <c r="E18194" s="330" t="s">
        <v>4634</v>
      </c>
      <c r="F18194" s="331">
        <v>0.21</v>
      </c>
      <c r="G18194" s="332">
        <v>13366</v>
      </c>
      <c r="H18194" s="333">
        <v>16173</v>
      </c>
    </row>
    <row r="18195" spans="1:8">
      <c r="A18195" s="317" t="s">
        <v>44078</v>
      </c>
      <c r="B18195" s="330" t="s">
        <v>62546</v>
      </c>
      <c r="C18195" s="330" t="s">
        <v>37025</v>
      </c>
      <c r="D18195" s="330" t="s">
        <v>37026</v>
      </c>
      <c r="E18195" s="330" t="s">
        <v>4634</v>
      </c>
      <c r="F18195" s="331">
        <v>0.21</v>
      </c>
      <c r="G18195" s="332">
        <v>2491</v>
      </c>
      <c r="H18195" s="333">
        <v>3015</v>
      </c>
    </row>
    <row r="18196" spans="1:8">
      <c r="A18196" s="317" t="s">
        <v>44079</v>
      </c>
      <c r="B18196" s="330" t="s">
        <v>62547</v>
      </c>
      <c r="C18196" s="330" t="s">
        <v>37027</v>
      </c>
      <c r="D18196" s="330" t="s">
        <v>12142</v>
      </c>
      <c r="E18196" s="330" t="s">
        <v>4634</v>
      </c>
      <c r="F18196" s="331">
        <v>0.21</v>
      </c>
      <c r="G18196" s="332">
        <v>678</v>
      </c>
      <c r="H18196" s="333">
        <v>821</v>
      </c>
    </row>
    <row r="18197" spans="1:8">
      <c r="A18197" s="317" t="s">
        <v>44080</v>
      </c>
      <c r="B18197" s="330" t="s">
        <v>62548</v>
      </c>
      <c r="C18197" s="330" t="s">
        <v>37028</v>
      </c>
      <c r="D18197" s="330" t="s">
        <v>37029</v>
      </c>
      <c r="E18197" s="330" t="s">
        <v>4634</v>
      </c>
      <c r="F18197" s="331">
        <v>0.21</v>
      </c>
      <c r="G18197" s="332">
        <v>2270</v>
      </c>
      <c r="H18197" s="333">
        <v>2747</v>
      </c>
    </row>
    <row r="18198" spans="1:8">
      <c r="A18198" s="317" t="s">
        <v>44081</v>
      </c>
      <c r="B18198" s="330" t="s">
        <v>62549</v>
      </c>
      <c r="C18198" s="330" t="s">
        <v>37030</v>
      </c>
      <c r="D18198" s="330" t="s">
        <v>37031</v>
      </c>
      <c r="E18198" s="330" t="s">
        <v>4634</v>
      </c>
      <c r="F18198" s="331">
        <v>0.21</v>
      </c>
      <c r="G18198" s="332">
        <v>2775</v>
      </c>
      <c r="H18198" s="333">
        <v>3358</v>
      </c>
    </row>
    <row r="18199" spans="1:8">
      <c r="A18199" s="317" t="s">
        <v>44082</v>
      </c>
      <c r="B18199" s="330" t="s">
        <v>62550</v>
      </c>
      <c r="C18199" s="330" t="s">
        <v>37032</v>
      </c>
      <c r="D18199" s="330" t="s">
        <v>37033</v>
      </c>
      <c r="E18199" s="330" t="s">
        <v>4634</v>
      </c>
      <c r="F18199" s="331">
        <v>0.21</v>
      </c>
      <c r="G18199" s="332">
        <v>9128</v>
      </c>
      <c r="H18199" s="333">
        <v>11045</v>
      </c>
    </row>
    <row r="18200" spans="1:8">
      <c r="A18200" s="317" t="s">
        <v>44083</v>
      </c>
      <c r="B18200" s="330" t="s">
        <v>62551</v>
      </c>
      <c r="C18200" s="330" t="s">
        <v>37034</v>
      </c>
      <c r="D18200" s="330" t="s">
        <v>37035</v>
      </c>
      <c r="E18200" s="330" t="s">
        <v>4634</v>
      </c>
      <c r="F18200" s="331">
        <v>0.21</v>
      </c>
      <c r="G18200" s="332">
        <v>6902</v>
      </c>
      <c r="H18200" s="333">
        <v>8352</v>
      </c>
    </row>
    <row r="18201" spans="1:8">
      <c r="A18201" s="317" t="s">
        <v>44084</v>
      </c>
      <c r="B18201" s="330" t="s">
        <v>62552</v>
      </c>
      <c r="C18201" s="330" t="s">
        <v>37036</v>
      </c>
      <c r="D18201" s="330" t="s">
        <v>37037</v>
      </c>
      <c r="E18201" s="330" t="s">
        <v>4634</v>
      </c>
      <c r="F18201" s="331">
        <v>0.21</v>
      </c>
      <c r="G18201" s="332">
        <v>3154</v>
      </c>
      <c r="H18201" s="333">
        <v>3817</v>
      </c>
    </row>
    <row r="18202" spans="1:8">
      <c r="A18202" s="317" t="s">
        <v>44085</v>
      </c>
      <c r="B18202" s="330" t="s">
        <v>62553</v>
      </c>
      <c r="C18202" s="330" t="s">
        <v>37038</v>
      </c>
      <c r="D18202" s="330" t="s">
        <v>37039</v>
      </c>
      <c r="E18202" s="330" t="s">
        <v>4634</v>
      </c>
      <c r="F18202" s="331">
        <v>0.21</v>
      </c>
      <c r="G18202" s="332">
        <v>9237</v>
      </c>
      <c r="H18202" s="333">
        <v>11177</v>
      </c>
    </row>
    <row r="18203" spans="1:8">
      <c r="A18203" s="317" t="s">
        <v>44086</v>
      </c>
      <c r="B18203" s="330" t="s">
        <v>62554</v>
      </c>
      <c r="C18203" s="330" t="s">
        <v>37040</v>
      </c>
      <c r="D18203" s="330" t="s">
        <v>37041</v>
      </c>
      <c r="E18203" s="330" t="s">
        <v>4634</v>
      </c>
      <c r="F18203" s="331">
        <v>0.21</v>
      </c>
      <c r="G18203" s="332">
        <v>7406</v>
      </c>
      <c r="H18203" s="333">
        <v>8962</v>
      </c>
    </row>
    <row r="18204" spans="1:8">
      <c r="A18204" s="317" t="s">
        <v>44087</v>
      </c>
      <c r="B18204" s="330" t="s">
        <v>62555</v>
      </c>
      <c r="C18204" s="330" t="s">
        <v>37042</v>
      </c>
      <c r="D18204" s="330" t="s">
        <v>37043</v>
      </c>
      <c r="E18204" s="330" t="s">
        <v>4634</v>
      </c>
      <c r="F18204" s="331">
        <v>0.21</v>
      </c>
      <c r="G18204" s="332">
        <v>7236</v>
      </c>
      <c r="H18204" s="333">
        <v>8756</v>
      </c>
    </row>
    <row r="18205" spans="1:8">
      <c r="A18205" s="317" t="s">
        <v>44088</v>
      </c>
      <c r="B18205" s="330" t="s">
        <v>62556</v>
      </c>
      <c r="C18205" s="330" t="s">
        <v>37044</v>
      </c>
      <c r="D18205" s="330" t="s">
        <v>37045</v>
      </c>
      <c r="E18205" s="330" t="s">
        <v>4634</v>
      </c>
      <c r="F18205" s="331">
        <v>0.21</v>
      </c>
      <c r="G18205" s="332">
        <v>10845</v>
      </c>
      <c r="H18205" s="333">
        <v>13123</v>
      </c>
    </row>
    <row r="18206" spans="1:8">
      <c r="A18206" s="317" t="s">
        <v>44089</v>
      </c>
      <c r="B18206" s="330" t="s">
        <v>62557</v>
      </c>
      <c r="C18206" s="330" t="s">
        <v>37046</v>
      </c>
      <c r="D18206" s="330" t="s">
        <v>37047</v>
      </c>
      <c r="E18206" s="330" t="s">
        <v>4634</v>
      </c>
      <c r="F18206" s="331">
        <v>0.21</v>
      </c>
      <c r="G18206" s="332">
        <v>2462</v>
      </c>
      <c r="H18206" s="333">
        <v>2980</v>
      </c>
    </row>
    <row r="18207" spans="1:8">
      <c r="A18207" s="317" t="s">
        <v>44090</v>
      </c>
      <c r="B18207" s="330" t="s">
        <v>62558</v>
      </c>
      <c r="C18207" s="330" t="s">
        <v>37048</v>
      </c>
      <c r="D18207" s="330" t="s">
        <v>37049</v>
      </c>
      <c r="E18207" s="330" t="s">
        <v>4634</v>
      </c>
      <c r="F18207" s="331">
        <v>0.21</v>
      </c>
      <c r="G18207" s="332">
        <v>3120</v>
      </c>
      <c r="H18207" s="333">
        <v>3776</v>
      </c>
    </row>
    <row r="18208" spans="1:8">
      <c r="A18208" s="317" t="s">
        <v>44091</v>
      </c>
      <c r="B18208" s="330" t="s">
        <v>62559</v>
      </c>
      <c r="C18208" s="330" t="s">
        <v>37050</v>
      </c>
      <c r="D18208" s="330" t="s">
        <v>37051</v>
      </c>
      <c r="E18208" s="330" t="s">
        <v>4634</v>
      </c>
      <c r="F18208" s="331">
        <v>0.21</v>
      </c>
      <c r="G18208" s="332">
        <v>4233</v>
      </c>
      <c r="H18208" s="333">
        <v>5122</v>
      </c>
    </row>
    <row r="18209" spans="1:8">
      <c r="A18209" s="317" t="s">
        <v>44092</v>
      </c>
      <c r="B18209" s="330" t="s">
        <v>62560</v>
      </c>
      <c r="C18209" s="330" t="s">
        <v>37052</v>
      </c>
      <c r="D18209" s="330" t="s">
        <v>12142</v>
      </c>
      <c r="E18209" s="330" t="s">
        <v>4634</v>
      </c>
      <c r="F18209" s="331">
        <v>0.21</v>
      </c>
      <c r="G18209" s="332">
        <v>928</v>
      </c>
      <c r="H18209" s="333">
        <v>1123</v>
      </c>
    </row>
    <row r="18210" spans="1:8">
      <c r="A18210" s="317" t="s">
        <v>44093</v>
      </c>
      <c r="B18210" s="330" t="s">
        <v>62561</v>
      </c>
      <c r="C18210" s="330" t="s">
        <v>37053</v>
      </c>
      <c r="D18210" s="330" t="s">
        <v>37054</v>
      </c>
      <c r="E18210" s="330" t="s">
        <v>4634</v>
      </c>
      <c r="F18210" s="331">
        <v>0.21</v>
      </c>
      <c r="G18210" s="332">
        <v>5559</v>
      </c>
      <c r="H18210" s="333">
        <v>6727</v>
      </c>
    </row>
    <row r="18211" spans="1:8">
      <c r="A18211" s="317" t="s">
        <v>44094</v>
      </c>
      <c r="B18211" s="330" t="s">
        <v>62562</v>
      </c>
      <c r="C18211" s="330" t="s">
        <v>37055</v>
      </c>
      <c r="D18211" s="330" t="s">
        <v>37000</v>
      </c>
      <c r="E18211" s="330" t="s">
        <v>4634</v>
      </c>
      <c r="F18211" s="331">
        <v>0.21</v>
      </c>
      <c r="G18211" s="332">
        <v>934</v>
      </c>
      <c r="H18211" s="333">
        <v>1131</v>
      </c>
    </row>
    <row r="18212" spans="1:8">
      <c r="A18212" s="317" t="s">
        <v>44095</v>
      </c>
      <c r="B18212" s="330" t="s">
        <v>62563</v>
      </c>
      <c r="C18212" s="330" t="s">
        <v>37056</v>
      </c>
      <c r="D18212" s="330" t="s">
        <v>37057</v>
      </c>
      <c r="E18212" s="330" t="s">
        <v>4634</v>
      </c>
      <c r="F18212" s="331">
        <v>0.21</v>
      </c>
      <c r="G18212" s="332">
        <v>372</v>
      </c>
      <c r="H18212" s="333">
        <v>451</v>
      </c>
    </row>
    <row r="18213" spans="1:8">
      <c r="A18213" s="317" t="s">
        <v>44096</v>
      </c>
      <c r="B18213" s="330" t="s">
        <v>62564</v>
      </c>
      <c r="C18213" s="330" t="s">
        <v>37058</v>
      </c>
      <c r="D18213" s="330" t="s">
        <v>37059</v>
      </c>
      <c r="E18213" s="330" t="s">
        <v>4634</v>
      </c>
      <c r="F18213" s="331">
        <v>0.21</v>
      </c>
      <c r="G18213" s="332">
        <v>4004</v>
      </c>
      <c r="H18213" s="333">
        <v>4845</v>
      </c>
    </row>
    <row r="18214" spans="1:8">
      <c r="A18214" s="317" t="s">
        <v>44097</v>
      </c>
      <c r="B18214" s="330" t="s">
        <v>62565</v>
      </c>
      <c r="C18214" s="330" t="s">
        <v>37060</v>
      </c>
      <c r="D18214" s="330" t="s">
        <v>37061</v>
      </c>
      <c r="E18214" s="330" t="s">
        <v>4634</v>
      </c>
      <c r="F18214" s="331">
        <v>0.21</v>
      </c>
      <c r="G18214" s="332">
        <v>5481</v>
      </c>
      <c r="H18214" s="333">
        <v>6633</v>
      </c>
    </row>
    <row r="18215" spans="1:8">
      <c r="A18215" s="317" t="s">
        <v>44098</v>
      </c>
      <c r="B18215" s="330" t="s">
        <v>62566</v>
      </c>
      <c r="C18215" s="330" t="s">
        <v>37062</v>
      </c>
      <c r="D18215" s="330" t="s">
        <v>37063</v>
      </c>
      <c r="E18215" s="330" t="s">
        <v>4634</v>
      </c>
      <c r="F18215" s="331">
        <v>0.21</v>
      </c>
      <c r="G18215" s="332">
        <v>22785</v>
      </c>
      <c r="H18215" s="333">
        <v>27570</v>
      </c>
    </row>
    <row r="18216" spans="1:8">
      <c r="A18216" s="317" t="s">
        <v>44099</v>
      </c>
      <c r="B18216" s="330" t="s">
        <v>62567</v>
      </c>
      <c r="C18216" s="330" t="s">
        <v>37064</v>
      </c>
      <c r="D18216" s="330" t="s">
        <v>37065</v>
      </c>
      <c r="E18216" s="330" t="s">
        <v>4634</v>
      </c>
      <c r="F18216" s="331">
        <v>0.21</v>
      </c>
      <c r="G18216" s="332">
        <v>6593</v>
      </c>
      <c r="H18216" s="333">
        <v>7978</v>
      </c>
    </row>
    <row r="18217" spans="1:8">
      <c r="A18217" s="317" t="s">
        <v>44100</v>
      </c>
      <c r="B18217" s="330" t="s">
        <v>62568</v>
      </c>
      <c r="C18217" s="330" t="s">
        <v>37066</v>
      </c>
      <c r="D18217" s="330" t="s">
        <v>37067</v>
      </c>
      <c r="E18217" s="330" t="s">
        <v>4634</v>
      </c>
      <c r="F18217" s="331">
        <v>0.21</v>
      </c>
      <c r="G18217" s="332">
        <v>1170</v>
      </c>
      <c r="H18217" s="333">
        <v>1416</v>
      </c>
    </row>
    <row r="18218" spans="1:8">
      <c r="A18218" s="317" t="s">
        <v>44101</v>
      </c>
      <c r="B18218" s="330" t="s">
        <v>62569</v>
      </c>
      <c r="C18218" s="330" t="s">
        <v>37068</v>
      </c>
      <c r="D18218" s="330" t="s">
        <v>37069</v>
      </c>
      <c r="E18218" s="330" t="s">
        <v>4634</v>
      </c>
      <c r="F18218" s="331">
        <v>0.21</v>
      </c>
      <c r="G18218" s="332">
        <v>9540</v>
      </c>
      <c r="H18218" s="333">
        <v>11544</v>
      </c>
    </row>
    <row r="18219" spans="1:8">
      <c r="A18219" s="317" t="s">
        <v>44102</v>
      </c>
      <c r="B18219" s="330" t="s">
        <v>62570</v>
      </c>
      <c r="C18219" s="330" t="s">
        <v>37070</v>
      </c>
      <c r="D18219" s="330" t="s">
        <v>37071</v>
      </c>
      <c r="E18219" s="330" t="s">
        <v>4634</v>
      </c>
      <c r="F18219" s="331">
        <v>0.21</v>
      </c>
      <c r="G18219" s="332">
        <v>6734</v>
      </c>
      <c r="H18219" s="333">
        <v>8149</v>
      </c>
    </row>
    <row r="18220" spans="1:8">
      <c r="A18220" s="317" t="s">
        <v>44103</v>
      </c>
      <c r="B18220" s="330" t="s">
        <v>62571</v>
      </c>
      <c r="C18220" s="330" t="s">
        <v>37072</v>
      </c>
      <c r="D18220" s="330" t="s">
        <v>37073</v>
      </c>
      <c r="E18220" s="330" t="s">
        <v>4634</v>
      </c>
      <c r="F18220" s="331">
        <v>0.21</v>
      </c>
      <c r="G18220" s="332">
        <v>1474</v>
      </c>
      <c r="H18220" s="333">
        <v>1784</v>
      </c>
    </row>
    <row r="18221" spans="1:8">
      <c r="A18221" s="317" t="s">
        <v>44104</v>
      </c>
      <c r="B18221" s="330" t="s">
        <v>62572</v>
      </c>
      <c r="C18221" s="330" t="s">
        <v>37074</v>
      </c>
      <c r="D18221" s="330" t="s">
        <v>37075</v>
      </c>
      <c r="E18221" s="330" t="s">
        <v>4634</v>
      </c>
      <c r="F18221" s="331">
        <v>0.21</v>
      </c>
      <c r="G18221" s="332">
        <v>26242</v>
      </c>
      <c r="H18221" s="333">
        <v>31753</v>
      </c>
    </row>
    <row r="18222" spans="1:8">
      <c r="A18222" s="317" t="s">
        <v>44105</v>
      </c>
      <c r="B18222" s="330" t="s">
        <v>62573</v>
      </c>
      <c r="C18222" s="330" t="s">
        <v>37076</v>
      </c>
      <c r="D18222" s="330" t="s">
        <v>37077</v>
      </c>
      <c r="E18222" s="330" t="s">
        <v>4634</v>
      </c>
      <c r="F18222" s="331">
        <v>0.21</v>
      </c>
      <c r="G18222" s="332">
        <v>4423</v>
      </c>
      <c r="H18222" s="333">
        <v>5352</v>
      </c>
    </row>
    <row r="18223" spans="1:8">
      <c r="A18223" s="317" t="s">
        <v>44106</v>
      </c>
      <c r="B18223" s="330" t="s">
        <v>62574</v>
      </c>
      <c r="C18223" s="330" t="s">
        <v>37078</v>
      </c>
      <c r="D18223" s="330" t="s">
        <v>37079</v>
      </c>
      <c r="E18223" s="330" t="s">
        <v>4634</v>
      </c>
      <c r="F18223" s="331">
        <v>0.21</v>
      </c>
      <c r="G18223" s="332">
        <v>2197</v>
      </c>
      <c r="H18223" s="333">
        <v>2659</v>
      </c>
    </row>
    <row r="18224" spans="1:8">
      <c r="A18224" s="317" t="s">
        <v>44107</v>
      </c>
      <c r="B18224" s="330" t="s">
        <v>62575</v>
      </c>
      <c r="C18224" s="330" t="s">
        <v>37080</v>
      </c>
      <c r="D18224" s="330" t="s">
        <v>37081</v>
      </c>
      <c r="E18224" s="330" t="s">
        <v>4634</v>
      </c>
      <c r="F18224" s="331">
        <v>0.21</v>
      </c>
      <c r="G18224" s="332">
        <v>648</v>
      </c>
      <c r="H18224" s="333">
        <v>785</v>
      </c>
    </row>
    <row r="18225" spans="1:8">
      <c r="A18225" s="317" t="s">
        <v>44108</v>
      </c>
      <c r="B18225" s="330" t="s">
        <v>62576</v>
      </c>
      <c r="C18225" s="330" t="s">
        <v>37082</v>
      </c>
      <c r="D18225" s="330" t="s">
        <v>37083</v>
      </c>
      <c r="E18225" s="330" t="s">
        <v>4634</v>
      </c>
      <c r="F18225" s="331">
        <v>0.21</v>
      </c>
      <c r="G18225" s="332">
        <v>24855</v>
      </c>
      <c r="H18225" s="333">
        <v>30075</v>
      </c>
    </row>
    <row r="18226" spans="1:8">
      <c r="A18226" s="317" t="s">
        <v>44109</v>
      </c>
      <c r="B18226" s="330" t="s">
        <v>62577</v>
      </c>
      <c r="C18226" s="330" t="s">
        <v>37084</v>
      </c>
      <c r="D18226" s="330" t="s">
        <v>37085</v>
      </c>
      <c r="E18226" s="330" t="s">
        <v>4634</v>
      </c>
      <c r="F18226" s="331">
        <v>0.21</v>
      </c>
      <c r="G18226" s="332">
        <v>1170</v>
      </c>
      <c r="H18226" s="333">
        <v>1416</v>
      </c>
    </row>
    <row r="18227" spans="1:8">
      <c r="A18227" s="317" t="s">
        <v>44110</v>
      </c>
      <c r="B18227" s="330" t="s">
        <v>62578</v>
      </c>
      <c r="C18227" s="330" t="s">
        <v>37086</v>
      </c>
      <c r="D18227" s="330" t="s">
        <v>37087</v>
      </c>
      <c r="E18227" s="330" t="s">
        <v>4634</v>
      </c>
      <c r="F18227" s="331">
        <v>0.21</v>
      </c>
      <c r="G18227" s="332">
        <v>7156</v>
      </c>
      <c r="H18227" s="333">
        <v>8659</v>
      </c>
    </row>
    <row r="18228" spans="1:8">
      <c r="A18228" s="317" t="s">
        <v>44111</v>
      </c>
      <c r="B18228" s="330" t="s">
        <v>62579</v>
      </c>
      <c r="C18228" s="330" t="s">
        <v>37088</v>
      </c>
      <c r="D18228" s="330" t="s">
        <v>37089</v>
      </c>
      <c r="E18228" s="330" t="s">
        <v>4634</v>
      </c>
      <c r="F18228" s="331">
        <v>0.21</v>
      </c>
      <c r="G18228" s="332">
        <v>928</v>
      </c>
      <c r="H18228" s="333">
        <v>1123</v>
      </c>
    </row>
    <row r="18229" spans="1:8">
      <c r="A18229" s="317" t="s">
        <v>44112</v>
      </c>
      <c r="B18229" s="330" t="s">
        <v>62580</v>
      </c>
      <c r="C18229" s="330" t="s">
        <v>37090</v>
      </c>
      <c r="D18229" s="330" t="s">
        <v>37089</v>
      </c>
      <c r="E18229" s="330" t="s">
        <v>4634</v>
      </c>
      <c r="F18229" s="331">
        <v>0.21</v>
      </c>
      <c r="G18229" s="332">
        <v>180</v>
      </c>
      <c r="H18229" s="333">
        <v>218</v>
      </c>
    </row>
    <row r="18230" spans="1:8">
      <c r="A18230" s="317" t="s">
        <v>44113</v>
      </c>
      <c r="B18230" s="330" t="s">
        <v>62581</v>
      </c>
      <c r="C18230" s="330" t="s">
        <v>37091</v>
      </c>
      <c r="D18230" s="330" t="s">
        <v>37092</v>
      </c>
      <c r="E18230" s="330" t="s">
        <v>4634</v>
      </c>
      <c r="F18230" s="331">
        <v>0.21</v>
      </c>
      <c r="G18230" s="332">
        <v>820</v>
      </c>
      <c r="H18230" s="333">
        <v>993</v>
      </c>
    </row>
    <row r="18231" spans="1:8">
      <c r="A18231" s="317" t="s">
        <v>44114</v>
      </c>
      <c r="B18231" s="330" t="s">
        <v>62582</v>
      </c>
      <c r="C18231" s="330" t="s">
        <v>37093</v>
      </c>
      <c r="D18231" s="330" t="s">
        <v>37094</v>
      </c>
      <c r="E18231" s="330" t="s">
        <v>4634</v>
      </c>
      <c r="F18231" s="331">
        <v>0.21</v>
      </c>
      <c r="G18231" s="332">
        <v>678</v>
      </c>
      <c r="H18231" s="333">
        <v>821</v>
      </c>
    </row>
    <row r="18232" spans="1:8">
      <c r="A18232" s="317" t="s">
        <v>44115</v>
      </c>
      <c r="B18232" s="330" t="s">
        <v>62583</v>
      </c>
      <c r="C18232" s="330" t="s">
        <v>37095</v>
      </c>
      <c r="D18232" s="330" t="s">
        <v>37096</v>
      </c>
      <c r="E18232" s="330" t="s">
        <v>4634</v>
      </c>
      <c r="F18232" s="331">
        <v>0.21</v>
      </c>
      <c r="G18232" s="332">
        <v>2186</v>
      </c>
      <c r="H18232" s="333">
        <v>2646</v>
      </c>
    </row>
    <row r="18233" spans="1:8">
      <c r="A18233" s="317" t="s">
        <v>44116</v>
      </c>
      <c r="B18233" s="330" t="s">
        <v>62584</v>
      </c>
      <c r="C18233" s="330" t="s">
        <v>37097</v>
      </c>
      <c r="D18233" s="330" t="s">
        <v>37098</v>
      </c>
      <c r="E18233" s="330" t="s">
        <v>4634</v>
      </c>
      <c r="F18233" s="331">
        <v>0.21</v>
      </c>
      <c r="G18233" s="332">
        <v>1411</v>
      </c>
      <c r="H18233" s="333">
        <v>1708</v>
      </c>
    </row>
    <row r="18234" spans="1:8">
      <c r="A18234" s="317" t="s">
        <v>44117</v>
      </c>
      <c r="B18234" s="330" t="s">
        <v>62585</v>
      </c>
      <c r="C18234" s="330" t="s">
        <v>37099</v>
      </c>
      <c r="D18234" s="330" t="s">
        <v>37100</v>
      </c>
      <c r="E18234" s="330" t="s">
        <v>4634</v>
      </c>
      <c r="F18234" s="331">
        <v>0.21</v>
      </c>
      <c r="G18234" s="332">
        <v>3171</v>
      </c>
      <c r="H18234" s="333">
        <v>3837</v>
      </c>
    </row>
    <row r="18235" spans="1:8">
      <c r="A18235" s="317" t="s">
        <v>44118</v>
      </c>
      <c r="B18235" s="330" t="s">
        <v>62586</v>
      </c>
      <c r="C18235" s="330" t="s">
        <v>37101</v>
      </c>
      <c r="D18235" s="330" t="s">
        <v>37102</v>
      </c>
      <c r="E18235" s="330" t="s">
        <v>4634</v>
      </c>
      <c r="F18235" s="331">
        <v>0.21</v>
      </c>
      <c r="G18235" s="332">
        <v>4115</v>
      </c>
      <c r="H18235" s="333">
        <v>4980</v>
      </c>
    </row>
    <row r="18236" spans="1:8">
      <c r="A18236" s="317" t="s">
        <v>44119</v>
      </c>
      <c r="B18236" s="330" t="s">
        <v>62587</v>
      </c>
      <c r="C18236" s="330" t="s">
        <v>37103</v>
      </c>
      <c r="D18236" s="330" t="s">
        <v>37104</v>
      </c>
      <c r="E18236" s="330" t="s">
        <v>4634</v>
      </c>
      <c r="F18236" s="331">
        <v>0.21</v>
      </c>
      <c r="G18236" s="332">
        <v>928</v>
      </c>
      <c r="H18236" s="333">
        <v>1123</v>
      </c>
    </row>
    <row r="18237" spans="1:8">
      <c r="A18237" s="317" t="s">
        <v>44120</v>
      </c>
      <c r="B18237" s="330" t="s">
        <v>62588</v>
      </c>
      <c r="C18237" s="330" t="s">
        <v>37105</v>
      </c>
      <c r="D18237" s="330" t="s">
        <v>37106</v>
      </c>
      <c r="E18237" s="330" t="s">
        <v>4634</v>
      </c>
      <c r="F18237" s="331">
        <v>0.21</v>
      </c>
      <c r="G18237" s="332">
        <v>671</v>
      </c>
      <c r="H18237" s="333">
        <v>812</v>
      </c>
    </row>
    <row r="18238" spans="1:8">
      <c r="A18238" s="317" t="s">
        <v>44121</v>
      </c>
      <c r="B18238" s="330" t="s">
        <v>62589</v>
      </c>
      <c r="C18238" s="330" t="s">
        <v>37107</v>
      </c>
      <c r="D18238" s="330" t="s">
        <v>37108</v>
      </c>
      <c r="E18238" s="330" t="s">
        <v>4634</v>
      </c>
      <c r="F18238" s="331">
        <v>0.21</v>
      </c>
      <c r="G18238" s="332">
        <v>928</v>
      </c>
      <c r="H18238" s="333">
        <v>1123</v>
      </c>
    </row>
    <row r="18239" spans="1:8">
      <c r="A18239" s="317" t="s">
        <v>44122</v>
      </c>
      <c r="B18239" s="330" t="s">
        <v>62590</v>
      </c>
      <c r="C18239" s="330" t="s">
        <v>37109</v>
      </c>
      <c r="D18239" s="330" t="s">
        <v>37110</v>
      </c>
      <c r="E18239" s="330" t="s">
        <v>4634</v>
      </c>
      <c r="F18239" s="331">
        <v>0.21</v>
      </c>
      <c r="G18239" s="332">
        <v>10598</v>
      </c>
      <c r="H18239" s="333">
        <v>12824</v>
      </c>
    </row>
    <row r="18240" spans="1:8">
      <c r="A18240" s="317" t="s">
        <v>44123</v>
      </c>
      <c r="B18240" s="330" t="s">
        <v>62591</v>
      </c>
      <c r="C18240" s="330" t="s">
        <v>37111</v>
      </c>
      <c r="D18240" s="330" t="s">
        <v>37112</v>
      </c>
      <c r="E18240" s="330" t="s">
        <v>4634</v>
      </c>
      <c r="F18240" s="331">
        <v>0.21</v>
      </c>
      <c r="G18240" s="332">
        <v>678</v>
      </c>
      <c r="H18240" s="333">
        <v>821</v>
      </c>
    </row>
    <row r="18241" spans="1:8">
      <c r="A18241" s="317" t="s">
        <v>44124</v>
      </c>
      <c r="B18241" s="330" t="s">
        <v>62592</v>
      </c>
      <c r="C18241" s="330" t="s">
        <v>37113</v>
      </c>
      <c r="D18241" s="330" t="s">
        <v>37114</v>
      </c>
      <c r="E18241" s="330" t="s">
        <v>4634</v>
      </c>
      <c r="F18241" s="331">
        <v>0.21</v>
      </c>
      <c r="G18241" s="332">
        <v>5559</v>
      </c>
      <c r="H18241" s="333">
        <v>6727</v>
      </c>
    </row>
    <row r="18242" spans="1:8">
      <c r="A18242" s="317" t="s">
        <v>44125</v>
      </c>
      <c r="B18242" s="330" t="s">
        <v>62593</v>
      </c>
      <c r="C18242" s="330" t="s">
        <v>37115</v>
      </c>
      <c r="D18242" s="330" t="s">
        <v>37116</v>
      </c>
      <c r="E18242" s="330" t="s">
        <v>4634</v>
      </c>
      <c r="F18242" s="331">
        <v>0.21</v>
      </c>
      <c r="G18242" s="332">
        <v>1150</v>
      </c>
      <c r="H18242" s="333">
        <v>1392</v>
      </c>
    </row>
    <row r="18243" spans="1:8">
      <c r="A18243" s="317" t="s">
        <v>44126</v>
      </c>
      <c r="B18243" s="330" t="s">
        <v>62594</v>
      </c>
      <c r="C18243" s="330" t="s">
        <v>37117</v>
      </c>
      <c r="D18243" s="330" t="s">
        <v>37118</v>
      </c>
      <c r="E18243" s="330" t="s">
        <v>4634</v>
      </c>
      <c r="F18243" s="331">
        <v>0.21</v>
      </c>
      <c r="G18243" s="332">
        <v>15987</v>
      </c>
      <c r="H18243" s="333">
        <v>19345</v>
      </c>
    </row>
    <row r="18244" spans="1:8">
      <c r="A18244" s="317" t="s">
        <v>44127</v>
      </c>
      <c r="B18244" s="330" t="s">
        <v>62595</v>
      </c>
      <c r="C18244" s="330" t="s">
        <v>37119</v>
      </c>
      <c r="D18244" s="330" t="s">
        <v>37120</v>
      </c>
      <c r="E18244" s="330" t="s">
        <v>4634</v>
      </c>
      <c r="F18244" s="331">
        <v>0.21</v>
      </c>
      <c r="G18244" s="332">
        <v>1581</v>
      </c>
      <c r="H18244" s="333">
        <v>1914</v>
      </c>
    </row>
    <row r="18245" spans="1:8">
      <c r="A18245" s="317" t="s">
        <v>44128</v>
      </c>
      <c r="B18245" s="330" t="s">
        <v>62596</v>
      </c>
      <c r="C18245" s="330" t="s">
        <v>37252</v>
      </c>
      <c r="D18245" s="330" t="s">
        <v>37253</v>
      </c>
      <c r="E18245" s="330" t="s">
        <v>37248</v>
      </c>
      <c r="F18245" s="331">
        <v>0.21</v>
      </c>
      <c r="G18245" s="332">
        <v>24968</v>
      </c>
      <c r="H18245" s="333">
        <v>30212</v>
      </c>
    </row>
  </sheetData>
  <conditionalFormatting sqref="C1:C3 C18246:C1048576">
    <cfRule type="duplicateValues" dxfId="6" priority="6"/>
    <cfRule type="duplicateValues" dxfId="5" priority="7"/>
  </conditionalFormatting>
  <conditionalFormatting sqref="C4:C18245">
    <cfRule type="duplicateValues" dxfId="4" priority="4"/>
    <cfRule type="duplicateValues" dxfId="3" priority="5"/>
  </conditionalFormatting>
  <conditionalFormatting sqref="B5574:B18245">
    <cfRule type="duplicateValues" dxfId="2" priority="2"/>
    <cfRule type="duplicateValues" dxfId="1" priority="3"/>
  </conditionalFormatting>
  <conditionalFormatting sqref="C4:C18245">
    <cfRule type="duplicateValues" dxfId="0" priority="1"/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B1:L57"/>
  <sheetViews>
    <sheetView showGridLines="0" topLeftCell="A28" workbookViewId="0">
      <selection activeCell="B49" sqref="B49"/>
    </sheetView>
  </sheetViews>
  <sheetFormatPr baseColWidth="10" defaultRowHeight="15"/>
  <cols>
    <col min="1" max="1" width="3.5" customWidth="1"/>
    <col min="2" max="2" width="74.6640625" customWidth="1"/>
    <col min="3" max="5" width="13.83203125" bestFit="1" customWidth="1"/>
    <col min="6" max="6" width="1.5" customWidth="1"/>
    <col min="8" max="8" width="13.1640625" bestFit="1" customWidth="1"/>
    <col min="9" max="9" width="11.5" style="11"/>
    <col min="256" max="256" width="3.5" customWidth="1"/>
    <col min="257" max="257" width="57.6640625" bestFit="1" customWidth="1"/>
    <col min="258" max="258" width="13.83203125" bestFit="1" customWidth="1"/>
    <col min="259" max="259" width="11.33203125" bestFit="1" customWidth="1"/>
    <col min="260" max="260" width="12.6640625" customWidth="1"/>
    <col min="261" max="261" width="1.5" customWidth="1"/>
    <col min="512" max="512" width="3.5" customWidth="1"/>
    <col min="513" max="513" width="57.6640625" bestFit="1" customWidth="1"/>
    <col min="514" max="514" width="13.83203125" bestFit="1" customWidth="1"/>
    <col min="515" max="515" width="11.33203125" bestFit="1" customWidth="1"/>
    <col min="516" max="516" width="12.6640625" customWidth="1"/>
    <col min="517" max="517" width="1.5" customWidth="1"/>
    <col min="768" max="768" width="3.5" customWidth="1"/>
    <col min="769" max="769" width="57.6640625" bestFit="1" customWidth="1"/>
    <col min="770" max="770" width="13.83203125" bestFit="1" customWidth="1"/>
    <col min="771" max="771" width="11.33203125" bestFit="1" customWidth="1"/>
    <col min="772" max="772" width="12.6640625" customWidth="1"/>
    <col min="773" max="773" width="1.5" customWidth="1"/>
    <col min="1024" max="1024" width="3.5" customWidth="1"/>
    <col min="1025" max="1025" width="57.6640625" bestFit="1" customWidth="1"/>
    <col min="1026" max="1026" width="13.83203125" bestFit="1" customWidth="1"/>
    <col min="1027" max="1027" width="11.33203125" bestFit="1" customWidth="1"/>
    <col min="1028" max="1028" width="12.6640625" customWidth="1"/>
    <col min="1029" max="1029" width="1.5" customWidth="1"/>
    <col min="1280" max="1280" width="3.5" customWidth="1"/>
    <col min="1281" max="1281" width="57.6640625" bestFit="1" customWidth="1"/>
    <col min="1282" max="1282" width="13.83203125" bestFit="1" customWidth="1"/>
    <col min="1283" max="1283" width="11.33203125" bestFit="1" customWidth="1"/>
    <col min="1284" max="1284" width="12.6640625" customWidth="1"/>
    <col min="1285" max="1285" width="1.5" customWidth="1"/>
    <col min="1536" max="1536" width="3.5" customWidth="1"/>
    <col min="1537" max="1537" width="57.6640625" bestFit="1" customWidth="1"/>
    <col min="1538" max="1538" width="13.83203125" bestFit="1" customWidth="1"/>
    <col min="1539" max="1539" width="11.33203125" bestFit="1" customWidth="1"/>
    <col min="1540" max="1540" width="12.6640625" customWidth="1"/>
    <col min="1541" max="1541" width="1.5" customWidth="1"/>
    <col min="1792" max="1792" width="3.5" customWidth="1"/>
    <col min="1793" max="1793" width="57.6640625" bestFit="1" customWidth="1"/>
    <col min="1794" max="1794" width="13.83203125" bestFit="1" customWidth="1"/>
    <col min="1795" max="1795" width="11.33203125" bestFit="1" customWidth="1"/>
    <col min="1796" max="1796" width="12.6640625" customWidth="1"/>
    <col min="1797" max="1797" width="1.5" customWidth="1"/>
    <col min="2048" max="2048" width="3.5" customWidth="1"/>
    <col min="2049" max="2049" width="57.6640625" bestFit="1" customWidth="1"/>
    <col min="2050" max="2050" width="13.83203125" bestFit="1" customWidth="1"/>
    <col min="2051" max="2051" width="11.33203125" bestFit="1" customWidth="1"/>
    <col min="2052" max="2052" width="12.6640625" customWidth="1"/>
    <col min="2053" max="2053" width="1.5" customWidth="1"/>
    <col min="2304" max="2304" width="3.5" customWidth="1"/>
    <col min="2305" max="2305" width="57.6640625" bestFit="1" customWidth="1"/>
    <col min="2306" max="2306" width="13.83203125" bestFit="1" customWidth="1"/>
    <col min="2307" max="2307" width="11.33203125" bestFit="1" customWidth="1"/>
    <col min="2308" max="2308" width="12.6640625" customWidth="1"/>
    <col min="2309" max="2309" width="1.5" customWidth="1"/>
    <col min="2560" max="2560" width="3.5" customWidth="1"/>
    <col min="2561" max="2561" width="57.6640625" bestFit="1" customWidth="1"/>
    <col min="2562" max="2562" width="13.83203125" bestFit="1" customWidth="1"/>
    <col min="2563" max="2563" width="11.33203125" bestFit="1" customWidth="1"/>
    <col min="2564" max="2564" width="12.6640625" customWidth="1"/>
    <col min="2565" max="2565" width="1.5" customWidth="1"/>
    <col min="2816" max="2816" width="3.5" customWidth="1"/>
    <col min="2817" max="2817" width="57.6640625" bestFit="1" customWidth="1"/>
    <col min="2818" max="2818" width="13.83203125" bestFit="1" customWidth="1"/>
    <col min="2819" max="2819" width="11.33203125" bestFit="1" customWidth="1"/>
    <col min="2820" max="2820" width="12.6640625" customWidth="1"/>
    <col min="2821" max="2821" width="1.5" customWidth="1"/>
    <col min="3072" max="3072" width="3.5" customWidth="1"/>
    <col min="3073" max="3073" width="57.6640625" bestFit="1" customWidth="1"/>
    <col min="3074" max="3074" width="13.83203125" bestFit="1" customWidth="1"/>
    <col min="3075" max="3075" width="11.33203125" bestFit="1" customWidth="1"/>
    <col min="3076" max="3076" width="12.6640625" customWidth="1"/>
    <col min="3077" max="3077" width="1.5" customWidth="1"/>
    <col min="3328" max="3328" width="3.5" customWidth="1"/>
    <col min="3329" max="3329" width="57.6640625" bestFit="1" customWidth="1"/>
    <col min="3330" max="3330" width="13.83203125" bestFit="1" customWidth="1"/>
    <col min="3331" max="3331" width="11.33203125" bestFit="1" customWidth="1"/>
    <col min="3332" max="3332" width="12.6640625" customWidth="1"/>
    <col min="3333" max="3333" width="1.5" customWidth="1"/>
    <col min="3584" max="3584" width="3.5" customWidth="1"/>
    <col min="3585" max="3585" width="57.6640625" bestFit="1" customWidth="1"/>
    <col min="3586" max="3586" width="13.83203125" bestFit="1" customWidth="1"/>
    <col min="3587" max="3587" width="11.33203125" bestFit="1" customWidth="1"/>
    <col min="3588" max="3588" width="12.6640625" customWidth="1"/>
    <col min="3589" max="3589" width="1.5" customWidth="1"/>
    <col min="3840" max="3840" width="3.5" customWidth="1"/>
    <col min="3841" max="3841" width="57.6640625" bestFit="1" customWidth="1"/>
    <col min="3842" max="3842" width="13.83203125" bestFit="1" customWidth="1"/>
    <col min="3843" max="3843" width="11.33203125" bestFit="1" customWidth="1"/>
    <col min="3844" max="3844" width="12.6640625" customWidth="1"/>
    <col min="3845" max="3845" width="1.5" customWidth="1"/>
    <col min="4096" max="4096" width="3.5" customWidth="1"/>
    <col min="4097" max="4097" width="57.6640625" bestFit="1" customWidth="1"/>
    <col min="4098" max="4098" width="13.83203125" bestFit="1" customWidth="1"/>
    <col min="4099" max="4099" width="11.33203125" bestFit="1" customWidth="1"/>
    <col min="4100" max="4100" width="12.6640625" customWidth="1"/>
    <col min="4101" max="4101" width="1.5" customWidth="1"/>
    <col min="4352" max="4352" width="3.5" customWidth="1"/>
    <col min="4353" max="4353" width="57.6640625" bestFit="1" customWidth="1"/>
    <col min="4354" max="4354" width="13.83203125" bestFit="1" customWidth="1"/>
    <col min="4355" max="4355" width="11.33203125" bestFit="1" customWidth="1"/>
    <col min="4356" max="4356" width="12.6640625" customWidth="1"/>
    <col min="4357" max="4357" width="1.5" customWidth="1"/>
    <col min="4608" max="4608" width="3.5" customWidth="1"/>
    <col min="4609" max="4609" width="57.6640625" bestFit="1" customWidth="1"/>
    <col min="4610" max="4610" width="13.83203125" bestFit="1" customWidth="1"/>
    <col min="4611" max="4611" width="11.33203125" bestFit="1" customWidth="1"/>
    <col min="4612" max="4612" width="12.6640625" customWidth="1"/>
    <col min="4613" max="4613" width="1.5" customWidth="1"/>
    <col min="4864" max="4864" width="3.5" customWidth="1"/>
    <col min="4865" max="4865" width="57.6640625" bestFit="1" customWidth="1"/>
    <col min="4866" max="4866" width="13.83203125" bestFit="1" customWidth="1"/>
    <col min="4867" max="4867" width="11.33203125" bestFit="1" customWidth="1"/>
    <col min="4868" max="4868" width="12.6640625" customWidth="1"/>
    <col min="4869" max="4869" width="1.5" customWidth="1"/>
    <col min="5120" max="5120" width="3.5" customWidth="1"/>
    <col min="5121" max="5121" width="57.6640625" bestFit="1" customWidth="1"/>
    <col min="5122" max="5122" width="13.83203125" bestFit="1" customWidth="1"/>
    <col min="5123" max="5123" width="11.33203125" bestFit="1" customWidth="1"/>
    <col min="5124" max="5124" width="12.6640625" customWidth="1"/>
    <col min="5125" max="5125" width="1.5" customWidth="1"/>
    <col min="5376" max="5376" width="3.5" customWidth="1"/>
    <col min="5377" max="5377" width="57.6640625" bestFit="1" customWidth="1"/>
    <col min="5378" max="5378" width="13.83203125" bestFit="1" customWidth="1"/>
    <col min="5379" max="5379" width="11.33203125" bestFit="1" customWidth="1"/>
    <col min="5380" max="5380" width="12.6640625" customWidth="1"/>
    <col min="5381" max="5381" width="1.5" customWidth="1"/>
    <col min="5632" max="5632" width="3.5" customWidth="1"/>
    <col min="5633" max="5633" width="57.6640625" bestFit="1" customWidth="1"/>
    <col min="5634" max="5634" width="13.83203125" bestFit="1" customWidth="1"/>
    <col min="5635" max="5635" width="11.33203125" bestFit="1" customWidth="1"/>
    <col min="5636" max="5636" width="12.6640625" customWidth="1"/>
    <col min="5637" max="5637" width="1.5" customWidth="1"/>
    <col min="5888" max="5888" width="3.5" customWidth="1"/>
    <col min="5889" max="5889" width="57.6640625" bestFit="1" customWidth="1"/>
    <col min="5890" max="5890" width="13.83203125" bestFit="1" customWidth="1"/>
    <col min="5891" max="5891" width="11.33203125" bestFit="1" customWidth="1"/>
    <col min="5892" max="5892" width="12.6640625" customWidth="1"/>
    <col min="5893" max="5893" width="1.5" customWidth="1"/>
    <col min="6144" max="6144" width="3.5" customWidth="1"/>
    <col min="6145" max="6145" width="57.6640625" bestFit="1" customWidth="1"/>
    <col min="6146" max="6146" width="13.83203125" bestFit="1" customWidth="1"/>
    <col min="6147" max="6147" width="11.33203125" bestFit="1" customWidth="1"/>
    <col min="6148" max="6148" width="12.6640625" customWidth="1"/>
    <col min="6149" max="6149" width="1.5" customWidth="1"/>
    <col min="6400" max="6400" width="3.5" customWidth="1"/>
    <col min="6401" max="6401" width="57.6640625" bestFit="1" customWidth="1"/>
    <col min="6402" max="6402" width="13.83203125" bestFit="1" customWidth="1"/>
    <col min="6403" max="6403" width="11.33203125" bestFit="1" customWidth="1"/>
    <col min="6404" max="6404" width="12.6640625" customWidth="1"/>
    <col min="6405" max="6405" width="1.5" customWidth="1"/>
    <col min="6656" max="6656" width="3.5" customWidth="1"/>
    <col min="6657" max="6657" width="57.6640625" bestFit="1" customWidth="1"/>
    <col min="6658" max="6658" width="13.83203125" bestFit="1" customWidth="1"/>
    <col min="6659" max="6659" width="11.33203125" bestFit="1" customWidth="1"/>
    <col min="6660" max="6660" width="12.6640625" customWidth="1"/>
    <col min="6661" max="6661" width="1.5" customWidth="1"/>
    <col min="6912" max="6912" width="3.5" customWidth="1"/>
    <col min="6913" max="6913" width="57.6640625" bestFit="1" customWidth="1"/>
    <col min="6914" max="6914" width="13.83203125" bestFit="1" customWidth="1"/>
    <col min="6915" max="6915" width="11.33203125" bestFit="1" customWidth="1"/>
    <col min="6916" max="6916" width="12.6640625" customWidth="1"/>
    <col min="6917" max="6917" width="1.5" customWidth="1"/>
    <col min="7168" max="7168" width="3.5" customWidth="1"/>
    <col min="7169" max="7169" width="57.6640625" bestFit="1" customWidth="1"/>
    <col min="7170" max="7170" width="13.83203125" bestFit="1" customWidth="1"/>
    <col min="7171" max="7171" width="11.33203125" bestFit="1" customWidth="1"/>
    <col min="7172" max="7172" width="12.6640625" customWidth="1"/>
    <col min="7173" max="7173" width="1.5" customWidth="1"/>
    <col min="7424" max="7424" width="3.5" customWidth="1"/>
    <col min="7425" max="7425" width="57.6640625" bestFit="1" customWidth="1"/>
    <col min="7426" max="7426" width="13.83203125" bestFit="1" customWidth="1"/>
    <col min="7427" max="7427" width="11.33203125" bestFit="1" customWidth="1"/>
    <col min="7428" max="7428" width="12.6640625" customWidth="1"/>
    <col min="7429" max="7429" width="1.5" customWidth="1"/>
    <col min="7680" max="7680" width="3.5" customWidth="1"/>
    <col min="7681" max="7681" width="57.6640625" bestFit="1" customWidth="1"/>
    <col min="7682" max="7682" width="13.83203125" bestFit="1" customWidth="1"/>
    <col min="7683" max="7683" width="11.33203125" bestFit="1" customWidth="1"/>
    <col min="7684" max="7684" width="12.6640625" customWidth="1"/>
    <col min="7685" max="7685" width="1.5" customWidth="1"/>
    <col min="7936" max="7936" width="3.5" customWidth="1"/>
    <col min="7937" max="7937" width="57.6640625" bestFit="1" customWidth="1"/>
    <col min="7938" max="7938" width="13.83203125" bestFit="1" customWidth="1"/>
    <col min="7939" max="7939" width="11.33203125" bestFit="1" customWidth="1"/>
    <col min="7940" max="7940" width="12.6640625" customWidth="1"/>
    <col min="7941" max="7941" width="1.5" customWidth="1"/>
    <col min="8192" max="8192" width="3.5" customWidth="1"/>
    <col min="8193" max="8193" width="57.6640625" bestFit="1" customWidth="1"/>
    <col min="8194" max="8194" width="13.83203125" bestFit="1" customWidth="1"/>
    <col min="8195" max="8195" width="11.33203125" bestFit="1" customWidth="1"/>
    <col min="8196" max="8196" width="12.6640625" customWidth="1"/>
    <col min="8197" max="8197" width="1.5" customWidth="1"/>
    <col min="8448" max="8448" width="3.5" customWidth="1"/>
    <col min="8449" max="8449" width="57.6640625" bestFit="1" customWidth="1"/>
    <col min="8450" max="8450" width="13.83203125" bestFit="1" customWidth="1"/>
    <col min="8451" max="8451" width="11.33203125" bestFit="1" customWidth="1"/>
    <col min="8452" max="8452" width="12.6640625" customWidth="1"/>
    <col min="8453" max="8453" width="1.5" customWidth="1"/>
    <col min="8704" max="8704" width="3.5" customWidth="1"/>
    <col min="8705" max="8705" width="57.6640625" bestFit="1" customWidth="1"/>
    <col min="8706" max="8706" width="13.83203125" bestFit="1" customWidth="1"/>
    <col min="8707" max="8707" width="11.33203125" bestFit="1" customWidth="1"/>
    <col min="8708" max="8708" width="12.6640625" customWidth="1"/>
    <col min="8709" max="8709" width="1.5" customWidth="1"/>
    <col min="8960" max="8960" width="3.5" customWidth="1"/>
    <col min="8961" max="8961" width="57.6640625" bestFit="1" customWidth="1"/>
    <col min="8962" max="8962" width="13.83203125" bestFit="1" customWidth="1"/>
    <col min="8963" max="8963" width="11.33203125" bestFit="1" customWidth="1"/>
    <col min="8964" max="8964" width="12.6640625" customWidth="1"/>
    <col min="8965" max="8965" width="1.5" customWidth="1"/>
    <col min="9216" max="9216" width="3.5" customWidth="1"/>
    <col min="9217" max="9217" width="57.6640625" bestFit="1" customWidth="1"/>
    <col min="9218" max="9218" width="13.83203125" bestFit="1" customWidth="1"/>
    <col min="9219" max="9219" width="11.33203125" bestFit="1" customWidth="1"/>
    <col min="9220" max="9220" width="12.6640625" customWidth="1"/>
    <col min="9221" max="9221" width="1.5" customWidth="1"/>
    <col min="9472" max="9472" width="3.5" customWidth="1"/>
    <col min="9473" max="9473" width="57.6640625" bestFit="1" customWidth="1"/>
    <col min="9474" max="9474" width="13.83203125" bestFit="1" customWidth="1"/>
    <col min="9475" max="9475" width="11.33203125" bestFit="1" customWidth="1"/>
    <col min="9476" max="9476" width="12.6640625" customWidth="1"/>
    <col min="9477" max="9477" width="1.5" customWidth="1"/>
    <col min="9728" max="9728" width="3.5" customWidth="1"/>
    <col min="9729" max="9729" width="57.6640625" bestFit="1" customWidth="1"/>
    <col min="9730" max="9730" width="13.83203125" bestFit="1" customWidth="1"/>
    <col min="9731" max="9731" width="11.33203125" bestFit="1" customWidth="1"/>
    <col min="9732" max="9732" width="12.6640625" customWidth="1"/>
    <col min="9733" max="9733" width="1.5" customWidth="1"/>
    <col min="9984" max="9984" width="3.5" customWidth="1"/>
    <col min="9985" max="9985" width="57.6640625" bestFit="1" customWidth="1"/>
    <col min="9986" max="9986" width="13.83203125" bestFit="1" customWidth="1"/>
    <col min="9987" max="9987" width="11.33203125" bestFit="1" customWidth="1"/>
    <col min="9988" max="9988" width="12.6640625" customWidth="1"/>
    <col min="9989" max="9989" width="1.5" customWidth="1"/>
    <col min="10240" max="10240" width="3.5" customWidth="1"/>
    <col min="10241" max="10241" width="57.6640625" bestFit="1" customWidth="1"/>
    <col min="10242" max="10242" width="13.83203125" bestFit="1" customWidth="1"/>
    <col min="10243" max="10243" width="11.33203125" bestFit="1" customWidth="1"/>
    <col min="10244" max="10244" width="12.6640625" customWidth="1"/>
    <col min="10245" max="10245" width="1.5" customWidth="1"/>
    <col min="10496" max="10496" width="3.5" customWidth="1"/>
    <col min="10497" max="10497" width="57.6640625" bestFit="1" customWidth="1"/>
    <col min="10498" max="10498" width="13.83203125" bestFit="1" customWidth="1"/>
    <col min="10499" max="10499" width="11.33203125" bestFit="1" customWidth="1"/>
    <col min="10500" max="10500" width="12.6640625" customWidth="1"/>
    <col min="10501" max="10501" width="1.5" customWidth="1"/>
    <col min="10752" max="10752" width="3.5" customWidth="1"/>
    <col min="10753" max="10753" width="57.6640625" bestFit="1" customWidth="1"/>
    <col min="10754" max="10754" width="13.83203125" bestFit="1" customWidth="1"/>
    <col min="10755" max="10755" width="11.33203125" bestFit="1" customWidth="1"/>
    <col min="10756" max="10756" width="12.6640625" customWidth="1"/>
    <col min="10757" max="10757" width="1.5" customWidth="1"/>
    <col min="11008" max="11008" width="3.5" customWidth="1"/>
    <col min="11009" max="11009" width="57.6640625" bestFit="1" customWidth="1"/>
    <col min="11010" max="11010" width="13.83203125" bestFit="1" customWidth="1"/>
    <col min="11011" max="11011" width="11.33203125" bestFit="1" customWidth="1"/>
    <col min="11012" max="11012" width="12.6640625" customWidth="1"/>
    <col min="11013" max="11013" width="1.5" customWidth="1"/>
    <col min="11264" max="11264" width="3.5" customWidth="1"/>
    <col min="11265" max="11265" width="57.6640625" bestFit="1" customWidth="1"/>
    <col min="11266" max="11266" width="13.83203125" bestFit="1" customWidth="1"/>
    <col min="11267" max="11267" width="11.33203125" bestFit="1" customWidth="1"/>
    <col min="11268" max="11268" width="12.6640625" customWidth="1"/>
    <col min="11269" max="11269" width="1.5" customWidth="1"/>
    <col min="11520" max="11520" width="3.5" customWidth="1"/>
    <col min="11521" max="11521" width="57.6640625" bestFit="1" customWidth="1"/>
    <col min="11522" max="11522" width="13.83203125" bestFit="1" customWidth="1"/>
    <col min="11523" max="11523" width="11.33203125" bestFit="1" customWidth="1"/>
    <col min="11524" max="11524" width="12.6640625" customWidth="1"/>
    <col min="11525" max="11525" width="1.5" customWidth="1"/>
    <col min="11776" max="11776" width="3.5" customWidth="1"/>
    <col min="11777" max="11777" width="57.6640625" bestFit="1" customWidth="1"/>
    <col min="11778" max="11778" width="13.83203125" bestFit="1" customWidth="1"/>
    <col min="11779" max="11779" width="11.33203125" bestFit="1" customWidth="1"/>
    <col min="11780" max="11780" width="12.6640625" customWidth="1"/>
    <col min="11781" max="11781" width="1.5" customWidth="1"/>
    <col min="12032" max="12032" width="3.5" customWidth="1"/>
    <col min="12033" max="12033" width="57.6640625" bestFit="1" customWidth="1"/>
    <col min="12034" max="12034" width="13.83203125" bestFit="1" customWidth="1"/>
    <col min="12035" max="12035" width="11.33203125" bestFit="1" customWidth="1"/>
    <col min="12036" max="12036" width="12.6640625" customWidth="1"/>
    <col min="12037" max="12037" width="1.5" customWidth="1"/>
    <col min="12288" max="12288" width="3.5" customWidth="1"/>
    <col min="12289" max="12289" width="57.6640625" bestFit="1" customWidth="1"/>
    <col min="12290" max="12290" width="13.83203125" bestFit="1" customWidth="1"/>
    <col min="12291" max="12291" width="11.33203125" bestFit="1" customWidth="1"/>
    <col min="12292" max="12292" width="12.6640625" customWidth="1"/>
    <col min="12293" max="12293" width="1.5" customWidth="1"/>
    <col min="12544" max="12544" width="3.5" customWidth="1"/>
    <col min="12545" max="12545" width="57.6640625" bestFit="1" customWidth="1"/>
    <col min="12546" max="12546" width="13.83203125" bestFit="1" customWidth="1"/>
    <col min="12547" max="12547" width="11.33203125" bestFit="1" customWidth="1"/>
    <col min="12548" max="12548" width="12.6640625" customWidth="1"/>
    <col min="12549" max="12549" width="1.5" customWidth="1"/>
    <col min="12800" max="12800" width="3.5" customWidth="1"/>
    <col min="12801" max="12801" width="57.6640625" bestFit="1" customWidth="1"/>
    <col min="12802" max="12802" width="13.83203125" bestFit="1" customWidth="1"/>
    <col min="12803" max="12803" width="11.33203125" bestFit="1" customWidth="1"/>
    <col min="12804" max="12804" width="12.6640625" customWidth="1"/>
    <col min="12805" max="12805" width="1.5" customWidth="1"/>
    <col min="13056" max="13056" width="3.5" customWidth="1"/>
    <col min="13057" max="13057" width="57.6640625" bestFit="1" customWidth="1"/>
    <col min="13058" max="13058" width="13.83203125" bestFit="1" customWidth="1"/>
    <col min="13059" max="13059" width="11.33203125" bestFit="1" customWidth="1"/>
    <col min="13060" max="13060" width="12.6640625" customWidth="1"/>
    <col min="13061" max="13061" width="1.5" customWidth="1"/>
    <col min="13312" max="13312" width="3.5" customWidth="1"/>
    <col min="13313" max="13313" width="57.6640625" bestFit="1" customWidth="1"/>
    <col min="13314" max="13314" width="13.83203125" bestFit="1" customWidth="1"/>
    <col min="13315" max="13315" width="11.33203125" bestFit="1" customWidth="1"/>
    <col min="13316" max="13316" width="12.6640625" customWidth="1"/>
    <col min="13317" max="13317" width="1.5" customWidth="1"/>
    <col min="13568" max="13568" width="3.5" customWidth="1"/>
    <col min="13569" max="13569" width="57.6640625" bestFit="1" customWidth="1"/>
    <col min="13570" max="13570" width="13.83203125" bestFit="1" customWidth="1"/>
    <col min="13571" max="13571" width="11.33203125" bestFit="1" customWidth="1"/>
    <col min="13572" max="13572" width="12.6640625" customWidth="1"/>
    <col min="13573" max="13573" width="1.5" customWidth="1"/>
    <col min="13824" max="13824" width="3.5" customWidth="1"/>
    <col min="13825" max="13825" width="57.6640625" bestFit="1" customWidth="1"/>
    <col min="13826" max="13826" width="13.83203125" bestFit="1" customWidth="1"/>
    <col min="13827" max="13827" width="11.33203125" bestFit="1" customWidth="1"/>
    <col min="13828" max="13828" width="12.6640625" customWidth="1"/>
    <col min="13829" max="13829" width="1.5" customWidth="1"/>
    <col min="14080" max="14080" width="3.5" customWidth="1"/>
    <col min="14081" max="14081" width="57.6640625" bestFit="1" customWidth="1"/>
    <col min="14082" max="14082" width="13.83203125" bestFit="1" customWidth="1"/>
    <col min="14083" max="14083" width="11.33203125" bestFit="1" customWidth="1"/>
    <col min="14084" max="14084" width="12.6640625" customWidth="1"/>
    <col min="14085" max="14085" width="1.5" customWidth="1"/>
    <col min="14336" max="14336" width="3.5" customWidth="1"/>
    <col min="14337" max="14337" width="57.6640625" bestFit="1" customWidth="1"/>
    <col min="14338" max="14338" width="13.83203125" bestFit="1" customWidth="1"/>
    <col min="14339" max="14339" width="11.33203125" bestFit="1" customWidth="1"/>
    <col min="14340" max="14340" width="12.6640625" customWidth="1"/>
    <col min="14341" max="14341" width="1.5" customWidth="1"/>
    <col min="14592" max="14592" width="3.5" customWidth="1"/>
    <col min="14593" max="14593" width="57.6640625" bestFit="1" customWidth="1"/>
    <col min="14594" max="14594" width="13.83203125" bestFit="1" customWidth="1"/>
    <col min="14595" max="14595" width="11.33203125" bestFit="1" customWidth="1"/>
    <col min="14596" max="14596" width="12.6640625" customWidth="1"/>
    <col min="14597" max="14597" width="1.5" customWidth="1"/>
    <col min="14848" max="14848" width="3.5" customWidth="1"/>
    <col min="14849" max="14849" width="57.6640625" bestFit="1" customWidth="1"/>
    <col min="14850" max="14850" width="13.83203125" bestFit="1" customWidth="1"/>
    <col min="14851" max="14851" width="11.33203125" bestFit="1" customWidth="1"/>
    <col min="14852" max="14852" width="12.6640625" customWidth="1"/>
    <col min="14853" max="14853" width="1.5" customWidth="1"/>
    <col min="15104" max="15104" width="3.5" customWidth="1"/>
    <col min="15105" max="15105" width="57.6640625" bestFit="1" customWidth="1"/>
    <col min="15106" max="15106" width="13.83203125" bestFit="1" customWidth="1"/>
    <col min="15107" max="15107" width="11.33203125" bestFit="1" customWidth="1"/>
    <col min="15108" max="15108" width="12.6640625" customWidth="1"/>
    <col min="15109" max="15109" width="1.5" customWidth="1"/>
    <col min="15360" max="15360" width="3.5" customWidth="1"/>
    <col min="15361" max="15361" width="57.6640625" bestFit="1" customWidth="1"/>
    <col min="15362" max="15362" width="13.83203125" bestFit="1" customWidth="1"/>
    <col min="15363" max="15363" width="11.33203125" bestFit="1" customWidth="1"/>
    <col min="15364" max="15364" width="12.6640625" customWidth="1"/>
    <col min="15365" max="15365" width="1.5" customWidth="1"/>
    <col min="15616" max="15616" width="3.5" customWidth="1"/>
    <col min="15617" max="15617" width="57.6640625" bestFit="1" customWidth="1"/>
    <col min="15618" max="15618" width="13.83203125" bestFit="1" customWidth="1"/>
    <col min="15619" max="15619" width="11.33203125" bestFit="1" customWidth="1"/>
    <col min="15620" max="15620" width="12.6640625" customWidth="1"/>
    <col min="15621" max="15621" width="1.5" customWidth="1"/>
    <col min="15872" max="15872" width="3.5" customWidth="1"/>
    <col min="15873" max="15873" width="57.6640625" bestFit="1" customWidth="1"/>
    <col min="15874" max="15874" width="13.83203125" bestFit="1" customWidth="1"/>
    <col min="15875" max="15875" width="11.33203125" bestFit="1" customWidth="1"/>
    <col min="15876" max="15876" width="12.6640625" customWidth="1"/>
    <col min="15877" max="15877" width="1.5" customWidth="1"/>
    <col min="16128" max="16128" width="3.5" customWidth="1"/>
    <col min="16129" max="16129" width="57.6640625" bestFit="1" customWidth="1"/>
    <col min="16130" max="16130" width="13.83203125" bestFit="1" customWidth="1"/>
    <col min="16131" max="16131" width="11.33203125" bestFit="1" customWidth="1"/>
    <col min="16132" max="16132" width="12.6640625" customWidth="1"/>
    <col min="16133" max="16133" width="1.5" customWidth="1"/>
  </cols>
  <sheetData>
    <row r="1" spans="2:12" ht="16" thickBot="1"/>
    <row r="2" spans="2:12" ht="16" thickBot="1">
      <c r="B2" s="344" t="s">
        <v>2056</v>
      </c>
      <c r="C2" s="344"/>
      <c r="D2" s="345"/>
      <c r="E2" s="83" t="s">
        <v>2057</v>
      </c>
      <c r="F2" s="84"/>
    </row>
    <row r="3" spans="2:12">
      <c r="B3" s="6"/>
      <c r="C3" s="7"/>
      <c r="D3" s="8"/>
      <c r="E3" s="8"/>
      <c r="F3" s="86"/>
      <c r="G3" s="9"/>
    </row>
    <row r="4" spans="2:12">
      <c r="B4" s="12" t="s">
        <v>1199</v>
      </c>
      <c r="C4" s="13"/>
      <c r="D4" s="14"/>
      <c r="E4" s="15"/>
      <c r="F4" s="87"/>
      <c r="G4" s="16"/>
    </row>
    <row r="5" spans="2:12">
      <c r="B5" s="12" t="s">
        <v>1201</v>
      </c>
      <c r="C5" s="88" t="s">
        <v>2058</v>
      </c>
      <c r="D5" s="18" t="s">
        <v>1202</v>
      </c>
      <c r="E5" s="19" t="s">
        <v>1203</v>
      </c>
      <c r="F5" s="89"/>
      <c r="G5" s="90" t="s">
        <v>1200</v>
      </c>
      <c r="H5" t="s">
        <v>2059</v>
      </c>
      <c r="I5" s="11" t="s">
        <v>2294</v>
      </c>
      <c r="J5" s="303" t="s">
        <v>4498</v>
      </c>
    </row>
    <row r="6" spans="2:12" ht="16">
      <c r="B6" s="20" t="s">
        <v>37241</v>
      </c>
      <c r="C6" s="91">
        <f>+ROUNDUP(I6,-1)</f>
        <v>362400</v>
      </c>
      <c r="D6" s="21">
        <f t="shared" ref="D6:D17" si="0">+C6*1.21</f>
        <v>438504</v>
      </c>
      <c r="E6" s="92"/>
      <c r="F6" s="93"/>
      <c r="G6" s="95">
        <v>45350</v>
      </c>
      <c r="H6" s="11">
        <f>0.8*0.97*0.95*0.94*339588*1.1</f>
        <v>258855.97890240001</v>
      </c>
      <c r="I6" s="11">
        <f>+H6*1.4</f>
        <v>362398.37046335998</v>
      </c>
    </row>
    <row r="7" spans="2:12" ht="16">
      <c r="B7" s="20" t="s">
        <v>3496</v>
      </c>
      <c r="C7" s="91">
        <f>+ROUNDUP(I7,-1)</f>
        <v>281200</v>
      </c>
      <c r="D7" s="21">
        <f>+C7*1.21</f>
        <v>340252</v>
      </c>
      <c r="E7" s="92"/>
      <c r="F7" s="93"/>
      <c r="G7" s="95">
        <v>45350</v>
      </c>
      <c r="H7" s="11">
        <f>0.8*0.97*0.95*0.94*263496*1.1</f>
        <v>200853.7257408</v>
      </c>
      <c r="I7" s="11">
        <f>+H7*1.4</f>
        <v>281195.21603711997</v>
      </c>
    </row>
    <row r="8" spans="2:12" ht="16">
      <c r="B8" s="20" t="s">
        <v>3472</v>
      </c>
      <c r="C8" s="91">
        <f t="shared" ref="C8:C13" si="1">+ROUNDUP(I8,-1)</f>
        <v>127530</v>
      </c>
      <c r="D8" s="21">
        <f t="shared" si="0"/>
        <v>154311.29999999999</v>
      </c>
      <c r="E8" s="92"/>
      <c r="F8" s="93"/>
      <c r="G8" s="95">
        <v>45350</v>
      </c>
      <c r="H8" s="11">
        <f>0.8*0.97*0.95*0.94*119501*1.1</f>
        <v>91091.405864800006</v>
      </c>
      <c r="I8" s="11">
        <f>+H8*1.4</f>
        <v>127527.96821072001</v>
      </c>
    </row>
    <row r="9" spans="2:12" ht="16">
      <c r="B9" s="20" t="s">
        <v>3426</v>
      </c>
      <c r="C9" s="91">
        <f t="shared" si="1"/>
        <v>0</v>
      </c>
      <c r="D9" s="21">
        <f t="shared" si="0"/>
        <v>0</v>
      </c>
      <c r="E9" s="92"/>
      <c r="F9" s="93"/>
      <c r="G9" s="95">
        <v>44961</v>
      </c>
      <c r="H9" s="11"/>
      <c r="I9" s="11">
        <f>+H9*1.35</f>
        <v>0</v>
      </c>
    </row>
    <row r="10" spans="2:12" ht="16">
      <c r="B10" s="20" t="s">
        <v>2255</v>
      </c>
      <c r="C10" s="91">
        <f t="shared" si="1"/>
        <v>78850</v>
      </c>
      <c r="D10" s="21">
        <f t="shared" si="0"/>
        <v>95408.5</v>
      </c>
      <c r="E10" s="92"/>
      <c r="F10" s="93"/>
      <c r="G10" s="95">
        <v>45350</v>
      </c>
      <c r="H10" s="11">
        <f>0.8*0.94*0.97*0.95*73885*1.1</f>
        <v>56319.934748</v>
      </c>
      <c r="I10" s="11">
        <f>+H10*1.4</f>
        <v>78847.908647199991</v>
      </c>
      <c r="J10" s="254"/>
      <c r="K10" s="254"/>
      <c r="L10" s="255"/>
    </row>
    <row r="11" spans="2:12" ht="16">
      <c r="B11" s="20" t="s">
        <v>2254</v>
      </c>
      <c r="C11" s="91">
        <f t="shared" si="1"/>
        <v>209910</v>
      </c>
      <c r="D11" s="21">
        <f t="shared" si="0"/>
        <v>253991.1</v>
      </c>
      <c r="E11" s="22"/>
      <c r="F11" s="93"/>
      <c r="G11" s="95">
        <v>45350</v>
      </c>
      <c r="H11" s="11">
        <f>0.8*0.94*0.97*0.95*196695*1.1</f>
        <v>149933.67483599999</v>
      </c>
      <c r="I11" s="11">
        <f>+H11*1.4</f>
        <v>209907.14477039999</v>
      </c>
    </row>
    <row r="12" spans="2:12" ht="16">
      <c r="B12" s="20" t="s">
        <v>2253</v>
      </c>
      <c r="C12" s="91">
        <f t="shared" si="1"/>
        <v>209910</v>
      </c>
      <c r="D12" s="21">
        <f t="shared" si="0"/>
        <v>253991.1</v>
      </c>
      <c r="E12" s="22"/>
      <c r="F12" s="93"/>
      <c r="G12" s="95">
        <v>45350</v>
      </c>
      <c r="H12" s="11">
        <f>0.8*0.94*0.97*0.95*196695*1.1</f>
        <v>149933.67483599999</v>
      </c>
      <c r="I12" s="11">
        <f>+H12*1.4</f>
        <v>209907.14477039999</v>
      </c>
    </row>
    <row r="13" spans="2:12" ht="16">
      <c r="B13" s="20" t="s">
        <v>4497</v>
      </c>
      <c r="C13" s="91">
        <f t="shared" si="1"/>
        <v>201090</v>
      </c>
      <c r="D13" s="21">
        <f t="shared" si="0"/>
        <v>243318.9</v>
      </c>
      <c r="E13" s="22"/>
      <c r="F13" s="93"/>
      <c r="G13" s="95">
        <v>45350</v>
      </c>
      <c r="H13" s="11">
        <f>0.8*0.97*0.95*0.94*188431*1.1</f>
        <v>143634.31852880001</v>
      </c>
      <c r="I13" s="11">
        <f>+H13*1.4</f>
        <v>201088.04594032001</v>
      </c>
    </row>
    <row r="14" spans="2:12" ht="16">
      <c r="B14" s="20" t="s">
        <v>4496</v>
      </c>
      <c r="C14" s="91">
        <f>+ROUNDUP(I14,-1)</f>
        <v>167840</v>
      </c>
      <c r="D14" s="21">
        <f>+C14*1.21</f>
        <v>203086.4</v>
      </c>
      <c r="E14" s="22"/>
      <c r="F14" s="93"/>
      <c r="G14" s="95">
        <v>45350</v>
      </c>
      <c r="H14" s="11">
        <f>0.8*0.97*0.95*0.94*157274*1.1</f>
        <v>119884.4341552</v>
      </c>
      <c r="I14" s="11">
        <f>+H14*1.4</f>
        <v>167838.20781728</v>
      </c>
    </row>
    <row r="15" spans="2:12" ht="16">
      <c r="B15" s="20" t="s">
        <v>2252</v>
      </c>
      <c r="C15" s="91">
        <f>+ROUNDUP(I15,-1)</f>
        <v>0</v>
      </c>
      <c r="D15" s="21">
        <f t="shared" si="0"/>
        <v>0</v>
      </c>
      <c r="E15" s="22"/>
      <c r="F15" s="93"/>
      <c r="G15" s="95">
        <v>44961</v>
      </c>
      <c r="H15" s="11"/>
      <c r="I15" s="11">
        <f>+H15*1.35</f>
        <v>0</v>
      </c>
    </row>
    <row r="16" spans="2:12" ht="16">
      <c r="B16" s="20" t="s">
        <v>2251</v>
      </c>
      <c r="C16" s="91">
        <f>+ROUNDUP(I16,-1)</f>
        <v>0</v>
      </c>
      <c r="D16" s="21">
        <f t="shared" si="0"/>
        <v>0</v>
      </c>
      <c r="E16" s="22"/>
      <c r="F16" s="93"/>
      <c r="G16" s="95">
        <v>44961</v>
      </c>
      <c r="H16" s="11"/>
      <c r="I16" s="11">
        <f>+H16*1.35</f>
        <v>0</v>
      </c>
    </row>
    <row r="17" spans="2:10" ht="16">
      <c r="B17" s="20" t="s">
        <v>2256</v>
      </c>
      <c r="C17" s="91">
        <f>+ROUNDUP(I17,-1)</f>
        <v>0</v>
      </c>
      <c r="D17" s="21">
        <f t="shared" si="0"/>
        <v>0</v>
      </c>
      <c r="E17" s="92"/>
      <c r="F17" s="93"/>
      <c r="G17" s="95">
        <v>44961</v>
      </c>
      <c r="H17" s="171"/>
      <c r="I17" s="11">
        <f>+H17*1.35</f>
        <v>0</v>
      </c>
    </row>
    <row r="18" spans="2:10" ht="16">
      <c r="B18" s="20" t="s">
        <v>4479</v>
      </c>
      <c r="C18" s="91">
        <f>+ROUNDUP(I18,-1)</f>
        <v>217940</v>
      </c>
      <c r="D18" s="21">
        <f>+C18*1.21</f>
        <v>263707.39999999997</v>
      </c>
      <c r="E18" s="92"/>
      <c r="F18" s="93"/>
      <c r="G18" s="95">
        <v>45278</v>
      </c>
      <c r="H18" s="171">
        <f>0.8*0.94*0.97*0.95*204216*1.1</f>
        <v>155666.6683968</v>
      </c>
      <c r="I18" s="11">
        <f>+H18*1.4</f>
        <v>217933.33575551998</v>
      </c>
    </row>
    <row r="19" spans="2:10" ht="16">
      <c r="B19" s="20" t="s">
        <v>2060</v>
      </c>
      <c r="C19" s="91"/>
      <c r="D19" s="21"/>
      <c r="E19" s="92">
        <f>+C19*1.105</f>
        <v>0</v>
      </c>
      <c r="F19" s="93"/>
      <c r="G19" s="95">
        <v>43616</v>
      </c>
      <c r="H19" s="171">
        <f>0.8*0.94*0.97*0.95*1.35*8656*1.12*1.12*1.032*1.25*1.1</f>
        <v>14413.937586644095</v>
      </c>
      <c r="I19" s="11">
        <f>+H19*1.4</f>
        <v>20179.512621301732</v>
      </c>
    </row>
    <row r="20" spans="2:10" ht="16">
      <c r="B20" s="20" t="s">
        <v>2257</v>
      </c>
      <c r="C20" s="91">
        <f>+ROUNDUP(I20,-1)</f>
        <v>223100</v>
      </c>
      <c r="D20" s="21" t="s">
        <v>1248</v>
      </c>
      <c r="E20" s="92">
        <f>+C20*1.105</f>
        <v>246525.5</v>
      </c>
      <c r="F20" s="93"/>
      <c r="G20" s="95">
        <v>45278</v>
      </c>
      <c r="H20" s="171">
        <f>0.8*0.94*0.97*0.95*209051*1.1</f>
        <v>159352.21870479998</v>
      </c>
      <c r="I20" s="11">
        <f>+H20*1.4</f>
        <v>223093.10618671996</v>
      </c>
    </row>
    <row r="21" spans="2:10" ht="16">
      <c r="B21" s="20" t="s">
        <v>4514</v>
      </c>
      <c r="C21" s="91">
        <f>+ROUNDUP(I21,-1)</f>
        <v>640210</v>
      </c>
      <c r="D21" s="21" t="s">
        <v>1248</v>
      </c>
      <c r="E21" s="92">
        <f>+C21*1.105</f>
        <v>707432.05</v>
      </c>
      <c r="F21" s="93"/>
      <c r="G21" s="95">
        <v>45278</v>
      </c>
      <c r="H21" s="171">
        <f>0.8*0.94*0.97*0.95*599912*1.1</f>
        <v>457291.8006976</v>
      </c>
      <c r="I21" s="11">
        <f>+H21*1.4</f>
        <v>640208.52097663993</v>
      </c>
    </row>
    <row r="22" spans="2:10" ht="16">
      <c r="B22" s="20" t="s">
        <v>2843</v>
      </c>
      <c r="C22" s="91">
        <f>+ROUNDUP(I22,-1)</f>
        <v>16430</v>
      </c>
      <c r="D22" s="21">
        <f>+C22*1.21</f>
        <v>19880.3</v>
      </c>
      <c r="E22" s="92"/>
      <c r="F22" s="93"/>
      <c r="G22" s="95">
        <v>45278</v>
      </c>
      <c r="H22" s="171">
        <f>0.8*0.94*0.97*0.95*14364*1.1</f>
        <v>10949.171587199999</v>
      </c>
      <c r="I22" s="11">
        <f>+H22*1.5</f>
        <v>16423.757380799998</v>
      </c>
    </row>
    <row r="23" spans="2:10" ht="16">
      <c r="B23" s="20" t="s">
        <v>2061</v>
      </c>
      <c r="C23" s="91"/>
      <c r="D23" s="21"/>
      <c r="E23" s="92"/>
      <c r="F23" s="93"/>
      <c r="G23" s="95"/>
      <c r="H23" s="171">
        <f>0.8*0.94*0.97*0.95*1.35*8656*1.12*1.12*1.032*1.1</f>
        <v>11531.150069315278</v>
      </c>
      <c r="I23" s="11">
        <f t="shared" ref="I23:I35" si="2">+H23*1.4</f>
        <v>16143.610097041388</v>
      </c>
    </row>
    <row r="24" spans="2:10" ht="16">
      <c r="B24" s="20" t="s">
        <v>3761</v>
      </c>
      <c r="C24" s="91">
        <f>+ROUNDUP(I24,-1)</f>
        <v>133620</v>
      </c>
      <c r="D24" s="21" t="s">
        <v>1248</v>
      </c>
      <c r="E24" s="92">
        <f t="shared" ref="E24:E29" si="3">+C24*1.105</f>
        <v>147650.1</v>
      </c>
      <c r="F24" s="93"/>
      <c r="G24" s="95">
        <v>45278</v>
      </c>
      <c r="H24" s="171">
        <f>0.8*0.94*0.97*0.95*125208*1.1</f>
        <v>95441.651078399998</v>
      </c>
      <c r="I24" s="11">
        <f t="shared" si="2"/>
        <v>133618.31150975998</v>
      </c>
    </row>
    <row r="25" spans="2:10" ht="16">
      <c r="B25" s="20" t="s">
        <v>3627</v>
      </c>
      <c r="C25" s="91">
        <f t="shared" ref="C25:C56" si="4">+ROUNDUP(I25,-1)</f>
        <v>521130</v>
      </c>
      <c r="D25" s="21" t="s">
        <v>1248</v>
      </c>
      <c r="E25" s="92">
        <f t="shared" si="3"/>
        <v>575848.65</v>
      </c>
      <c r="F25" s="93"/>
      <c r="G25" s="95">
        <v>45278</v>
      </c>
      <c r="H25" s="171">
        <f>0.8*0.94*0.97*0.95*488328*1.1</f>
        <v>372235.24525440001</v>
      </c>
      <c r="I25" s="11">
        <f t="shared" si="2"/>
        <v>521129.34335615998</v>
      </c>
    </row>
    <row r="26" spans="2:10" ht="16">
      <c r="B26" s="20" t="s">
        <v>3762</v>
      </c>
      <c r="C26" s="91">
        <f t="shared" si="4"/>
        <v>367000</v>
      </c>
      <c r="D26" s="21" t="s">
        <v>1248</v>
      </c>
      <c r="E26" s="92">
        <f t="shared" si="3"/>
        <v>405535</v>
      </c>
      <c r="F26" s="93"/>
      <c r="G26" s="95">
        <v>45278</v>
      </c>
      <c r="H26" s="171">
        <f>0.8*0.94*0.97*0.95*343893*1.1</f>
        <v>262137.52886640001</v>
      </c>
      <c r="I26" s="11">
        <f t="shared" si="2"/>
        <v>366992.54041295999</v>
      </c>
    </row>
    <row r="27" spans="2:10" ht="16">
      <c r="B27" s="20" t="s">
        <v>2581</v>
      </c>
      <c r="C27" s="91">
        <f t="shared" si="4"/>
        <v>809030</v>
      </c>
      <c r="D27" s="21" t="s">
        <v>1248</v>
      </c>
      <c r="E27" s="92">
        <f t="shared" si="3"/>
        <v>893978.15</v>
      </c>
      <c r="F27" s="93"/>
      <c r="G27" s="95">
        <v>45278</v>
      </c>
      <c r="H27" s="11">
        <f>0.8*0.94*0.97*0.95*758103*1.1</f>
        <v>577875.23167440004</v>
      </c>
      <c r="I27" s="11">
        <f t="shared" si="2"/>
        <v>809025.32434416004</v>
      </c>
    </row>
    <row r="28" spans="2:10" ht="16">
      <c r="B28" s="20" t="s">
        <v>2260</v>
      </c>
      <c r="C28" s="91">
        <f t="shared" si="4"/>
        <v>88950</v>
      </c>
      <c r="D28" s="21" t="s">
        <v>1248</v>
      </c>
      <c r="E28" s="92">
        <f t="shared" si="3"/>
        <v>98289.75</v>
      </c>
      <c r="F28" s="93"/>
      <c r="G28" s="95">
        <v>45278</v>
      </c>
      <c r="H28" s="11">
        <f>0.8*0.94*0.97*0.95*83349*1.1</f>
        <v>63534.008815200003</v>
      </c>
      <c r="I28" s="11">
        <f t="shared" si="2"/>
        <v>88947.612341279993</v>
      </c>
    </row>
    <row r="29" spans="2:10" ht="16">
      <c r="B29" s="20" t="s">
        <v>3802</v>
      </c>
      <c r="C29" s="91">
        <f t="shared" si="4"/>
        <v>154330</v>
      </c>
      <c r="D29" s="21" t="s">
        <v>1248</v>
      </c>
      <c r="E29" s="92">
        <f t="shared" si="3"/>
        <v>170534.65</v>
      </c>
      <c r="F29" s="93"/>
      <c r="G29" s="95">
        <v>45278</v>
      </c>
      <c r="H29" s="11">
        <f>0.8*0.94*0.97*0.95*144616*1.1</f>
        <v>110235.6863168</v>
      </c>
      <c r="I29" s="11">
        <f t="shared" si="2"/>
        <v>154329.96084351998</v>
      </c>
    </row>
    <row r="30" spans="2:10" ht="16">
      <c r="B30" s="20" t="s">
        <v>3653</v>
      </c>
      <c r="C30" s="91">
        <f t="shared" si="4"/>
        <v>141740</v>
      </c>
      <c r="D30" s="21">
        <f>+C30*1.21</f>
        <v>171505.4</v>
      </c>
      <c r="E30" s="22"/>
      <c r="F30" s="93"/>
      <c r="G30" s="95">
        <v>45278</v>
      </c>
      <c r="H30" s="11">
        <f>0.8*0.94*0.97*0.95*132811*1.1</f>
        <v>101237.15035279999</v>
      </c>
      <c r="I30" s="11">
        <f t="shared" si="2"/>
        <v>141732.01049391998</v>
      </c>
      <c r="J30" s="11"/>
    </row>
    <row r="31" spans="2:10" ht="16">
      <c r="B31" s="20" t="s">
        <v>3430</v>
      </c>
      <c r="C31" s="91">
        <f t="shared" si="4"/>
        <v>200740</v>
      </c>
      <c r="D31" s="21">
        <f t="shared" ref="D31:D51" si="5">+C31*1.21</f>
        <v>242895.4</v>
      </c>
      <c r="E31" s="22"/>
      <c r="F31" s="93"/>
      <c r="G31" s="95">
        <v>45278</v>
      </c>
      <c r="H31" s="11">
        <f>0.8*0.94*0.97*0.95*188100*1.1</f>
        <v>143382.00887999998</v>
      </c>
      <c r="I31" s="11">
        <f t="shared" si="2"/>
        <v>200734.81243199995</v>
      </c>
      <c r="J31" s="11"/>
    </row>
    <row r="32" spans="2:10" ht="16">
      <c r="B32" s="20" t="s">
        <v>4480</v>
      </c>
      <c r="C32" s="91">
        <f>+ROUNDUP(I32,-1)</f>
        <v>102400</v>
      </c>
      <c r="D32" s="21">
        <f>+C32*1.21</f>
        <v>123904</v>
      </c>
      <c r="E32" s="22"/>
      <c r="F32" s="93"/>
      <c r="G32" s="95">
        <v>45365</v>
      </c>
      <c r="H32" s="11">
        <f>0.8*0.94*0.97*0.95*95951*1.1</f>
        <v>73140.069824799997</v>
      </c>
      <c r="I32" s="11">
        <f t="shared" si="2"/>
        <v>102396.09775471999</v>
      </c>
      <c r="J32" s="11"/>
    </row>
    <row r="33" spans="2:10" ht="16">
      <c r="B33" s="20" t="s">
        <v>4517</v>
      </c>
      <c r="C33" s="91">
        <f>+ROUNDUP(I33,-1)</f>
        <v>199770</v>
      </c>
      <c r="D33" s="21">
        <f>+C33*1.21</f>
        <v>241721.69999999998</v>
      </c>
      <c r="E33" s="22"/>
      <c r="F33" s="93"/>
      <c r="G33" s="95">
        <v>45278</v>
      </c>
      <c r="H33" s="11">
        <f>0.8*0.94*0.97*0.95*187191*1.1</f>
        <v>142689.11017679999</v>
      </c>
      <c r="I33" s="11">
        <f t="shared" si="2"/>
        <v>199764.75424751997</v>
      </c>
      <c r="J33" s="11"/>
    </row>
    <row r="34" spans="2:10" ht="16">
      <c r="B34" s="20" t="s">
        <v>3678</v>
      </c>
      <c r="C34" s="91">
        <f t="shared" si="4"/>
        <v>43220</v>
      </c>
      <c r="D34" s="21">
        <f t="shared" si="5"/>
        <v>52296.2</v>
      </c>
      <c r="E34" s="22"/>
      <c r="F34" s="93"/>
      <c r="G34" s="95">
        <v>45365</v>
      </c>
      <c r="H34" s="11">
        <f>0.8*0.94*0.97*0.95*40496*1.1</f>
        <v>30868.6753408</v>
      </c>
      <c r="I34" s="11">
        <f t="shared" si="2"/>
        <v>43216.145477120001</v>
      </c>
    </row>
    <row r="35" spans="2:10" ht="16">
      <c r="B35" s="20" t="s">
        <v>2786</v>
      </c>
      <c r="C35" s="91">
        <f t="shared" si="4"/>
        <v>235220</v>
      </c>
      <c r="D35" s="21">
        <f>+C35*1.21</f>
        <v>284616.2</v>
      </c>
      <c r="E35" s="22"/>
      <c r="F35" s="93"/>
      <c r="G35" s="95">
        <v>45278</v>
      </c>
      <c r="H35" s="11">
        <f>0.8*0.97*0.95*0.94*(130414+90000)*1.1</f>
        <v>168013.83362720002</v>
      </c>
      <c r="I35" s="11">
        <f t="shared" si="2"/>
        <v>235219.36707808002</v>
      </c>
    </row>
    <row r="36" spans="2:10" ht="16">
      <c r="B36" s="20" t="s">
        <v>2258</v>
      </c>
      <c r="C36" s="91"/>
      <c r="D36" s="21">
        <f t="shared" si="5"/>
        <v>0</v>
      </c>
      <c r="E36" s="92"/>
      <c r="F36" s="93"/>
      <c r="G36" s="95">
        <v>44961</v>
      </c>
      <c r="H36" s="11">
        <f>124300*1.1</f>
        <v>136730</v>
      </c>
      <c r="I36" s="11">
        <f>+H36*1.35</f>
        <v>184585.5</v>
      </c>
    </row>
    <row r="37" spans="2:10" ht="16">
      <c r="B37" s="20" t="s">
        <v>4518</v>
      </c>
      <c r="C37" s="91">
        <f>+ROUNDUP(I37,-1)</f>
        <v>232080</v>
      </c>
      <c r="D37" s="21">
        <f>+C37*1.21</f>
        <v>280816.8</v>
      </c>
      <c r="E37" s="22"/>
      <c r="F37" s="93">
        <v>3.8</v>
      </c>
      <c r="G37" s="95">
        <v>45306</v>
      </c>
      <c r="H37" s="11">
        <f>0.8*0.94*0.97*0.95*217467*1.1</f>
        <v>165767.4392616</v>
      </c>
      <c r="I37" s="11">
        <f>+H37*1.4</f>
        <v>232074.41496623997</v>
      </c>
    </row>
    <row r="38" spans="2:10" ht="16">
      <c r="B38" s="20" t="s">
        <v>2259</v>
      </c>
      <c r="C38" s="91">
        <f t="shared" si="4"/>
        <v>258250</v>
      </c>
      <c r="D38" s="21">
        <f t="shared" si="5"/>
        <v>312482.5</v>
      </c>
      <c r="E38" s="22"/>
      <c r="F38" s="93">
        <v>3.8</v>
      </c>
      <c r="G38" s="95">
        <v>45278</v>
      </c>
      <c r="H38" s="11">
        <f>0.8*0.94*0.97*0.95*241992*1.1</f>
        <v>184461.98348159998</v>
      </c>
      <c r="I38" s="11">
        <f>+H38*1.4</f>
        <v>258246.77687423996</v>
      </c>
    </row>
    <row r="39" spans="2:10" ht="16">
      <c r="B39" s="20" t="s">
        <v>37262</v>
      </c>
      <c r="C39" s="91">
        <f>+ROUNDUP(I39,-1)</f>
        <v>143520</v>
      </c>
      <c r="D39" s="21">
        <f>+C39*1.21</f>
        <v>173659.19999999998</v>
      </c>
      <c r="E39" s="22"/>
      <c r="F39" s="93">
        <v>3.8</v>
      </c>
      <c r="G39" s="95">
        <v>45278</v>
      </c>
      <c r="H39" s="11">
        <f>0.8*0.94*0.97*0.95*134481*1.1</f>
        <v>102510.13256879999</v>
      </c>
      <c r="I39" s="11">
        <f>+H39*1.4</f>
        <v>143514.18559631999</v>
      </c>
    </row>
    <row r="40" spans="2:10" ht="16">
      <c r="B40" s="20" t="s">
        <v>3797</v>
      </c>
      <c r="C40" s="91">
        <f t="shared" si="4"/>
        <v>192630</v>
      </c>
      <c r="D40" s="21">
        <f>+C40*1.21</f>
        <v>233082.3</v>
      </c>
      <c r="E40" s="22"/>
      <c r="F40" s="93">
        <v>3.8</v>
      </c>
      <c r="G40" s="95">
        <v>45278</v>
      </c>
      <c r="H40" s="11">
        <f>0.8*0.94*0.97*0.95*180497*1.1</f>
        <v>137586.50960559997</v>
      </c>
      <c r="I40" s="11">
        <f>+H40*1.4</f>
        <v>192621.11344783995</v>
      </c>
    </row>
    <row r="41" spans="2:10" ht="16">
      <c r="B41" s="20" t="s">
        <v>2842</v>
      </c>
      <c r="C41" s="91">
        <f t="shared" si="4"/>
        <v>50640</v>
      </c>
      <c r="D41" s="21">
        <f t="shared" si="5"/>
        <v>61274.400000000001</v>
      </c>
      <c r="E41" s="22"/>
      <c r="F41" s="93"/>
      <c r="G41" s="95">
        <v>45278</v>
      </c>
      <c r="H41" s="11">
        <f>0.8*0.94*0.97*0.95*44282*1.1</f>
        <v>33754.609873599999</v>
      </c>
      <c r="I41" s="11">
        <f>+H41*1.5</f>
        <v>50631.914810399998</v>
      </c>
    </row>
    <row r="42" spans="2:10" ht="16">
      <c r="B42" s="20" t="s">
        <v>3798</v>
      </c>
      <c r="C42" s="91">
        <f t="shared" si="4"/>
        <v>141780</v>
      </c>
      <c r="D42" s="21">
        <f t="shared" si="5"/>
        <v>171553.8</v>
      </c>
      <c r="E42" s="22"/>
      <c r="F42" s="93"/>
      <c r="G42" s="95">
        <v>45278</v>
      </c>
      <c r="H42" s="11">
        <f>0.8*0.94*0.97*0.95*132849*1.1</f>
        <v>101266.1164152</v>
      </c>
      <c r="I42" s="11">
        <f>+H42*1.4</f>
        <v>141772.56298127997</v>
      </c>
    </row>
    <row r="43" spans="2:10" ht="16">
      <c r="B43" s="20" t="s">
        <v>4481</v>
      </c>
      <c r="C43" s="91">
        <f t="shared" si="4"/>
        <v>255690</v>
      </c>
      <c r="D43" s="21">
        <f t="shared" si="5"/>
        <v>309384.89999999997</v>
      </c>
      <c r="E43" s="92"/>
      <c r="F43" s="93"/>
      <c r="G43" s="95">
        <v>45278</v>
      </c>
      <c r="H43" s="11">
        <f>0.8*0.94*0.97*0.95*239588*1.1</f>
        <v>182629.4989024</v>
      </c>
      <c r="I43" s="11">
        <f>+H43*1.4</f>
        <v>255681.29846335997</v>
      </c>
    </row>
    <row r="44" spans="2:10" ht="16">
      <c r="B44" s="20" t="s">
        <v>2811</v>
      </c>
      <c r="C44" s="91">
        <f t="shared" si="4"/>
        <v>0</v>
      </c>
      <c r="D44" s="21">
        <f t="shared" si="5"/>
        <v>0</v>
      </c>
      <c r="E44" s="22"/>
      <c r="F44" s="93"/>
      <c r="G44" s="95">
        <v>44961</v>
      </c>
      <c r="H44" s="11"/>
      <c r="I44" s="11">
        <f>+H44*1.35</f>
        <v>0</v>
      </c>
    </row>
    <row r="45" spans="2:10" ht="16">
      <c r="B45" s="20" t="s">
        <v>2810</v>
      </c>
      <c r="C45" s="91">
        <f t="shared" si="4"/>
        <v>0</v>
      </c>
      <c r="D45" s="21">
        <f t="shared" si="5"/>
        <v>0</v>
      </c>
      <c r="E45" s="22"/>
      <c r="F45" s="93"/>
      <c r="G45" s="95">
        <v>44961</v>
      </c>
      <c r="H45" s="11"/>
      <c r="I45" s="11">
        <f>+H45*1.35</f>
        <v>0</v>
      </c>
    </row>
    <row r="46" spans="2:10" ht="16">
      <c r="B46" s="20" t="s">
        <v>2582</v>
      </c>
      <c r="C46" s="91">
        <f t="shared" si="4"/>
        <v>96050</v>
      </c>
      <c r="D46" s="21">
        <f t="shared" si="5"/>
        <v>116220.5</v>
      </c>
      <c r="E46" s="22"/>
      <c r="F46" s="93"/>
      <c r="G46" s="95">
        <v>45278</v>
      </c>
      <c r="H46" s="11">
        <f>0.8*0.94*0.97*0.95*90000*1.1</f>
        <v>68603.831999999995</v>
      </c>
      <c r="I46" s="11">
        <f>+H46*1.4</f>
        <v>96045.364799999981</v>
      </c>
    </row>
    <row r="47" spans="2:10" ht="16">
      <c r="B47" s="20" t="s">
        <v>2262</v>
      </c>
      <c r="C47" s="91">
        <f t="shared" si="4"/>
        <v>0</v>
      </c>
      <c r="D47" s="21">
        <f t="shared" si="5"/>
        <v>0</v>
      </c>
      <c r="E47" s="92"/>
      <c r="F47" s="93"/>
      <c r="G47" s="95">
        <v>44961</v>
      </c>
      <c r="H47" s="11"/>
      <c r="I47" s="11">
        <f>+H47*1.35</f>
        <v>0</v>
      </c>
    </row>
    <row r="48" spans="2:10" ht="16">
      <c r="B48" s="20" t="s">
        <v>3494</v>
      </c>
      <c r="C48" s="91">
        <f t="shared" si="4"/>
        <v>103370</v>
      </c>
      <c r="D48" s="21">
        <f t="shared" si="5"/>
        <v>125077.7</v>
      </c>
      <c r="E48" s="92"/>
      <c r="F48" s="93"/>
      <c r="G48" s="95">
        <v>45278</v>
      </c>
      <c r="H48" s="11">
        <f>0.8*0.97*0.95*0.94*96860*1.1</f>
        <v>73832.968527999998</v>
      </c>
      <c r="I48" s="11">
        <f>+H48*1.4</f>
        <v>103366.15593919999</v>
      </c>
    </row>
    <row r="49" spans="2:9" ht="16">
      <c r="B49" s="20" t="s">
        <v>2841</v>
      </c>
      <c r="C49" s="91">
        <f t="shared" si="4"/>
        <v>261850</v>
      </c>
      <c r="D49" s="21">
        <f>+C49*1.21</f>
        <v>316838.5</v>
      </c>
      <c r="E49" s="92"/>
      <c r="F49" s="93"/>
      <c r="G49" s="95">
        <v>45278</v>
      </c>
      <c r="H49" s="11">
        <f>0.8*0.94*0.97*0.95*269905</f>
        <v>187035.52803999998</v>
      </c>
      <c r="I49" s="11">
        <f>+H49*1.4</f>
        <v>261849.73925599994</v>
      </c>
    </row>
    <row r="50" spans="2:9" ht="16">
      <c r="B50" s="20" t="s">
        <v>2263</v>
      </c>
      <c r="C50" s="91">
        <f t="shared" si="4"/>
        <v>0</v>
      </c>
      <c r="D50" s="21">
        <f t="shared" si="5"/>
        <v>0</v>
      </c>
      <c r="E50" s="22"/>
      <c r="F50" s="93"/>
      <c r="G50" s="95">
        <v>44961</v>
      </c>
      <c r="H50" s="11"/>
      <c r="I50" s="11">
        <f>+H50*1.35</f>
        <v>0</v>
      </c>
    </row>
    <row r="51" spans="2:9" ht="16">
      <c r="B51" s="20" t="s">
        <v>3665</v>
      </c>
      <c r="C51" s="91">
        <f t="shared" si="4"/>
        <v>271210</v>
      </c>
      <c r="D51" s="21">
        <f t="shared" si="5"/>
        <v>328164.09999999998</v>
      </c>
      <c r="E51" s="22"/>
      <c r="F51" s="93"/>
      <c r="G51" s="95">
        <v>45278</v>
      </c>
      <c r="H51" s="11">
        <f>0.8*0.97*0.95*0.94*254134*1.1</f>
        <v>193717.40268319999</v>
      </c>
      <c r="I51" s="11">
        <f t="shared" ref="I51:I56" si="6">+H51*1.4</f>
        <v>271204.36375647999</v>
      </c>
    </row>
    <row r="52" spans="2:9" ht="16">
      <c r="B52" s="20" t="s">
        <v>3495</v>
      </c>
      <c r="C52" s="91">
        <f>+ROUNDUP(I52,-1)</f>
        <v>312310</v>
      </c>
      <c r="D52" s="21">
        <f>+C52*1.21</f>
        <v>377895.1</v>
      </c>
      <c r="E52" s="22"/>
      <c r="F52" s="93"/>
      <c r="G52" s="95">
        <v>45278</v>
      </c>
      <c r="H52" s="11">
        <f>0.8*0.97*0.95*0.94*292646*1.1</f>
        <v>223073.7446608</v>
      </c>
      <c r="I52" s="11">
        <f t="shared" si="6"/>
        <v>312303.24252511997</v>
      </c>
    </row>
    <row r="53" spans="2:9" ht="16">
      <c r="B53" s="20" t="s">
        <v>4515</v>
      </c>
      <c r="C53" s="91">
        <f>+ROUNDUP(I53,-1)</f>
        <v>355790</v>
      </c>
      <c r="D53" s="21">
        <f>+C53*1.21</f>
        <v>430505.89999999997</v>
      </c>
      <c r="E53" s="22"/>
      <c r="F53" s="93"/>
      <c r="G53" s="95">
        <v>45278</v>
      </c>
      <c r="H53" s="11">
        <f>0.8*0.97*0.95*0.94*333390*1.1</f>
        <v>254131.46167199998</v>
      </c>
      <c r="I53" s="11">
        <f t="shared" si="6"/>
        <v>355784.04634079995</v>
      </c>
    </row>
    <row r="54" spans="2:9" ht="16">
      <c r="B54" s="20" t="s">
        <v>4516</v>
      </c>
      <c r="C54" s="91">
        <f>+ROUNDUP(I54,-1)</f>
        <v>324920</v>
      </c>
      <c r="D54" s="21">
        <f>+C54*1.21</f>
        <v>393153.2</v>
      </c>
      <c r="E54" s="22"/>
      <c r="F54" s="93"/>
      <c r="G54" s="95">
        <v>45278</v>
      </c>
      <c r="H54" s="11">
        <f>0.8*0.97*0.95*0.94*304464*1.1</f>
        <v>232082.19006719999</v>
      </c>
      <c r="I54" s="11">
        <f t="shared" si="6"/>
        <v>324915.06609407999</v>
      </c>
    </row>
    <row r="55" spans="2:9" ht="16">
      <c r="B55" s="20" t="s">
        <v>3986</v>
      </c>
      <c r="C55" s="91">
        <f t="shared" si="4"/>
        <v>148970</v>
      </c>
      <c r="D55" s="21">
        <f>+C55*1.21</f>
        <v>180253.69999999998</v>
      </c>
      <c r="E55" s="22"/>
      <c r="F55" s="93"/>
      <c r="G55" s="95">
        <v>45278</v>
      </c>
      <c r="H55" s="11">
        <f>0.8*0.97*0.95*0.94*139588*1.1</f>
        <v>106403.01890239998</v>
      </c>
      <c r="I55" s="11">
        <f t="shared" si="6"/>
        <v>148964.22646335996</v>
      </c>
    </row>
    <row r="56" spans="2:9" ht="16">
      <c r="B56" s="20" t="s">
        <v>2261</v>
      </c>
      <c r="C56" s="91">
        <f t="shared" si="4"/>
        <v>229320</v>
      </c>
      <c r="D56" s="21"/>
      <c r="E56" s="92">
        <f>+C56*1.105</f>
        <v>253398.6</v>
      </c>
      <c r="F56" s="93"/>
      <c r="G56" s="95">
        <v>45278</v>
      </c>
      <c r="H56" s="11">
        <f>0.8*0.94*0.97*0.95*214880*1.1</f>
        <v>163795.46022399998</v>
      </c>
      <c r="I56" s="11">
        <f t="shared" si="6"/>
        <v>229313.64431359997</v>
      </c>
    </row>
    <row r="57" spans="2:9" ht="16">
      <c r="B57" s="20"/>
      <c r="C57" s="96"/>
      <c r="D57" s="21"/>
      <c r="E57" s="22"/>
      <c r="F57" s="93"/>
      <c r="G57" s="95"/>
      <c r="H57" s="11"/>
    </row>
  </sheetData>
  <sortState xmlns:xlrd2="http://schemas.microsoft.com/office/spreadsheetml/2017/richdata2" ref="B6:I29">
    <sortCondition ref="B6:B29"/>
  </sortState>
  <mergeCells count="1">
    <mergeCell ref="B2:D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1:O243"/>
  <sheetViews>
    <sheetView showGridLines="0" topLeftCell="A17" workbookViewId="0">
      <selection activeCell="J36" sqref="J36"/>
    </sheetView>
  </sheetViews>
  <sheetFormatPr baseColWidth="10" defaultRowHeight="15"/>
  <cols>
    <col min="1" max="1" width="1.83203125" customWidth="1"/>
    <col min="2" max="2" width="3.83203125" style="125" customWidth="1"/>
    <col min="3" max="3" width="23.83203125" bestFit="1" customWidth="1"/>
    <col min="4" max="5" width="11.5" style="99"/>
    <col min="6" max="6" width="14.1640625" style="98" bestFit="1" customWidth="1"/>
    <col min="7" max="7" width="2.33203125" customWidth="1"/>
    <col min="8" max="8" width="4.5" style="98" customWidth="1"/>
    <col min="9" max="9" width="21.5" style="98" bestFit="1" customWidth="1"/>
    <col min="10" max="11" width="9.5" style="98" bestFit="1" customWidth="1"/>
    <col min="12" max="12" width="14.1640625" style="98" bestFit="1" customWidth="1"/>
    <col min="13" max="13" width="1.5" customWidth="1"/>
    <col min="14" max="14" width="4.6640625" customWidth="1"/>
    <col min="15" max="15" width="19.6640625" style="98" bestFit="1" customWidth="1"/>
  </cols>
  <sheetData>
    <row r="1" spans="2:15" ht="16" thickBot="1"/>
    <row r="2" spans="2:15" ht="16" thickBot="1">
      <c r="D2" s="346" t="s">
        <v>2384</v>
      </c>
      <c r="E2" s="347"/>
      <c r="J2" s="346" t="s">
        <v>2384</v>
      </c>
      <c r="K2" s="347"/>
      <c r="M2" s="125"/>
    </row>
    <row r="3" spans="2:15" ht="16" thickBot="1">
      <c r="B3" s="125" t="s">
        <v>2383</v>
      </c>
      <c r="C3" s="127" t="s">
        <v>2382</v>
      </c>
      <c r="D3" s="128" t="s">
        <v>2283</v>
      </c>
      <c r="E3" s="130" t="s">
        <v>2284</v>
      </c>
      <c r="F3" s="129" t="s">
        <v>2289</v>
      </c>
      <c r="H3" s="125" t="s">
        <v>2383</v>
      </c>
      <c r="I3" s="127" t="s">
        <v>2382</v>
      </c>
      <c r="J3" s="128" t="s">
        <v>2283</v>
      </c>
      <c r="K3" s="130" t="s">
        <v>2284</v>
      </c>
      <c r="L3" s="129" t="s">
        <v>2289</v>
      </c>
      <c r="M3" s="124"/>
      <c r="N3" s="125" t="s">
        <v>2383</v>
      </c>
      <c r="O3" s="127" t="s">
        <v>2382</v>
      </c>
    </row>
    <row r="4" spans="2:15">
      <c r="B4" s="125">
        <v>10</v>
      </c>
      <c r="C4" s="126" t="s">
        <v>2309</v>
      </c>
      <c r="F4" s="99"/>
      <c r="H4" s="125">
        <v>57</v>
      </c>
      <c r="I4" s="126" t="s">
        <v>2311</v>
      </c>
      <c r="J4" s="198"/>
      <c r="K4" s="198"/>
      <c r="L4" s="123"/>
      <c r="M4" s="124"/>
      <c r="O4" s="126" t="s">
        <v>2318</v>
      </c>
    </row>
    <row r="5" spans="2:15">
      <c r="B5" s="125">
        <v>11</v>
      </c>
      <c r="C5" s="112" t="s">
        <v>2310</v>
      </c>
      <c r="F5" s="99"/>
      <c r="H5" s="125">
        <v>58</v>
      </c>
      <c r="I5" s="112" t="s">
        <v>2312</v>
      </c>
      <c r="J5" s="198"/>
      <c r="K5" s="198"/>
      <c r="L5" s="123"/>
      <c r="M5" s="124"/>
      <c r="O5" s="112" t="s">
        <v>2322</v>
      </c>
    </row>
    <row r="6" spans="2:15">
      <c r="B6" s="125">
        <v>12</v>
      </c>
      <c r="C6" s="112" t="s">
        <v>2314</v>
      </c>
      <c r="D6" s="99">
        <v>895</v>
      </c>
      <c r="F6" s="99"/>
      <c r="H6" s="125">
        <v>59</v>
      </c>
      <c r="I6" s="112" t="s">
        <v>2317</v>
      </c>
      <c r="J6" s="99">
        <v>885</v>
      </c>
      <c r="K6" s="198"/>
      <c r="L6" s="123"/>
      <c r="M6" s="124"/>
      <c r="O6" s="112" t="s">
        <v>2334</v>
      </c>
    </row>
    <row r="7" spans="2:15">
      <c r="B7" s="125">
        <v>13</v>
      </c>
      <c r="C7" s="112" t="s">
        <v>0</v>
      </c>
      <c r="F7" s="99"/>
      <c r="H7" s="125">
        <v>60</v>
      </c>
      <c r="I7" s="112" t="s">
        <v>2319</v>
      </c>
      <c r="J7" s="198"/>
      <c r="K7" s="198"/>
      <c r="L7" s="123"/>
      <c r="M7" s="124"/>
      <c r="O7" s="112" t="s">
        <v>2348</v>
      </c>
    </row>
    <row r="8" spans="2:15">
      <c r="B8" s="125">
        <v>14</v>
      </c>
      <c r="C8" s="112" t="s">
        <v>2313</v>
      </c>
      <c r="D8" s="99">
        <v>885</v>
      </c>
      <c r="F8" s="99"/>
      <c r="H8" s="125">
        <v>61</v>
      </c>
      <c r="I8" s="112" t="s">
        <v>2321</v>
      </c>
      <c r="J8" s="198"/>
      <c r="K8" s="198"/>
      <c r="L8" s="123"/>
      <c r="M8" s="124"/>
      <c r="O8" s="112" t="s">
        <v>2352</v>
      </c>
    </row>
    <row r="9" spans="2:15">
      <c r="B9" s="125">
        <v>15</v>
      </c>
      <c r="C9" s="112" t="s">
        <v>2315</v>
      </c>
      <c r="D9" s="99">
        <v>885</v>
      </c>
      <c r="F9" s="99"/>
      <c r="H9" s="125">
        <v>62</v>
      </c>
      <c r="I9" s="112" t="s">
        <v>2323</v>
      </c>
      <c r="J9" s="198"/>
      <c r="K9" s="198"/>
      <c r="L9" s="123"/>
      <c r="M9" s="124"/>
      <c r="O9" s="112" t="s">
        <v>2355</v>
      </c>
    </row>
    <row r="10" spans="2:15">
      <c r="B10" s="125">
        <v>16</v>
      </c>
      <c r="C10" s="112" t="s">
        <v>2316</v>
      </c>
      <c r="F10" s="99"/>
      <c r="H10" s="125">
        <v>63</v>
      </c>
      <c r="I10" s="112" t="s">
        <v>2324</v>
      </c>
      <c r="J10" s="198"/>
      <c r="K10" s="198"/>
      <c r="L10" s="123"/>
      <c r="M10" s="124"/>
      <c r="O10" s="112" t="s">
        <v>2356</v>
      </c>
    </row>
    <row r="11" spans="2:15">
      <c r="B11" s="125">
        <v>17</v>
      </c>
      <c r="C11" s="112" t="s">
        <v>2320</v>
      </c>
      <c r="F11" s="99"/>
      <c r="H11" s="125">
        <v>64</v>
      </c>
      <c r="I11" s="112" t="s">
        <v>2325</v>
      </c>
      <c r="J11" s="198"/>
      <c r="K11" s="198"/>
      <c r="L11" s="123"/>
      <c r="M11" s="124"/>
      <c r="N11" s="125"/>
      <c r="O11" s="112" t="s">
        <v>2362</v>
      </c>
    </row>
    <row r="12" spans="2:15">
      <c r="B12" s="125">
        <v>18</v>
      </c>
      <c r="C12" s="120" t="s">
        <v>2296</v>
      </c>
      <c r="H12" s="125">
        <v>65</v>
      </c>
      <c r="I12" s="112" t="s">
        <v>2329</v>
      </c>
      <c r="J12" s="198"/>
      <c r="K12" s="198"/>
      <c r="L12" s="123"/>
      <c r="M12" s="124"/>
    </row>
    <row r="13" spans="2:15">
      <c r="B13" s="125">
        <v>19</v>
      </c>
      <c r="C13" s="116" t="s">
        <v>1737</v>
      </c>
      <c r="H13" s="125">
        <v>66</v>
      </c>
      <c r="I13" s="112" t="s">
        <v>2301</v>
      </c>
      <c r="J13" s="198"/>
      <c r="K13" s="198"/>
      <c r="L13" s="123"/>
      <c r="M13" s="124"/>
    </row>
    <row r="14" spans="2:15">
      <c r="B14" s="125">
        <v>20</v>
      </c>
      <c r="C14" s="112" t="s">
        <v>2326</v>
      </c>
      <c r="H14" s="125">
        <v>67</v>
      </c>
      <c r="I14" s="112" t="s">
        <v>2332</v>
      </c>
      <c r="J14" s="198"/>
      <c r="K14" s="198"/>
      <c r="L14" s="123"/>
      <c r="M14" s="124"/>
    </row>
    <row r="15" spans="2:15">
      <c r="B15" s="125">
        <v>21</v>
      </c>
      <c r="C15" s="118" t="s">
        <v>2327</v>
      </c>
      <c r="D15" s="99">
        <v>885</v>
      </c>
      <c r="E15" s="99">
        <v>980</v>
      </c>
      <c r="H15" s="125">
        <v>68</v>
      </c>
      <c r="I15" s="112" t="s">
        <v>2335</v>
      </c>
      <c r="J15" s="198"/>
      <c r="K15" s="198"/>
      <c r="L15" s="123"/>
      <c r="M15" s="124"/>
    </row>
    <row r="16" spans="2:15">
      <c r="B16" s="125">
        <v>22</v>
      </c>
      <c r="C16" s="112" t="s">
        <v>2328</v>
      </c>
      <c r="D16" s="99">
        <v>885</v>
      </c>
      <c r="H16" s="125">
        <v>69</v>
      </c>
      <c r="I16" s="112" t="s">
        <v>2336</v>
      </c>
      <c r="J16" s="198"/>
      <c r="K16" s="198"/>
      <c r="L16" s="123"/>
      <c r="M16" s="124"/>
    </row>
    <row r="17" spans="2:13">
      <c r="B17" s="125">
        <v>23</v>
      </c>
      <c r="C17" s="112" t="s">
        <v>2330</v>
      </c>
      <c r="H17" s="125">
        <v>70</v>
      </c>
      <c r="I17" s="112" t="s">
        <v>2346</v>
      </c>
      <c r="J17" s="198"/>
      <c r="K17" s="198"/>
      <c r="L17" s="123"/>
      <c r="M17" s="124"/>
    </row>
    <row r="18" spans="2:13">
      <c r="B18" s="125">
        <v>24</v>
      </c>
      <c r="C18" s="117" t="s">
        <v>2247</v>
      </c>
      <c r="D18" s="99">
        <v>1060</v>
      </c>
      <c r="H18" s="125">
        <v>71</v>
      </c>
      <c r="I18" s="112" t="s">
        <v>2340</v>
      </c>
      <c r="J18" s="198"/>
      <c r="K18" s="198"/>
      <c r="L18" s="123"/>
      <c r="M18" s="124"/>
    </row>
    <row r="19" spans="2:13">
      <c r="B19" s="125">
        <v>25</v>
      </c>
      <c r="C19" s="112" t="s">
        <v>2299</v>
      </c>
      <c r="H19" s="125">
        <v>72</v>
      </c>
      <c r="I19" s="112" t="s">
        <v>2343</v>
      </c>
      <c r="J19" s="198"/>
      <c r="K19" s="198"/>
      <c r="L19" s="123"/>
      <c r="M19" s="124"/>
    </row>
    <row r="20" spans="2:13">
      <c r="B20" s="125">
        <v>26</v>
      </c>
      <c r="C20" s="112" t="s">
        <v>2306</v>
      </c>
      <c r="D20" s="99">
        <v>885</v>
      </c>
      <c r="E20" s="99">
        <v>950</v>
      </c>
      <c r="H20" s="125">
        <v>73</v>
      </c>
      <c r="I20" s="112" t="s">
        <v>2303</v>
      </c>
      <c r="J20" s="198"/>
      <c r="K20" s="198"/>
      <c r="L20" s="123"/>
      <c r="M20" s="124"/>
    </row>
    <row r="21" spans="2:13">
      <c r="B21" s="125">
        <v>27</v>
      </c>
      <c r="C21" s="112" t="s">
        <v>2331</v>
      </c>
      <c r="H21" s="125">
        <v>74</v>
      </c>
      <c r="I21" s="112" t="s">
        <v>2344</v>
      </c>
      <c r="J21" s="198"/>
      <c r="K21" s="198"/>
      <c r="L21" s="123"/>
      <c r="M21" s="124"/>
    </row>
    <row r="22" spans="2:13">
      <c r="B22" s="125">
        <v>28</v>
      </c>
      <c r="C22" s="112" t="s">
        <v>2333</v>
      </c>
      <c r="D22" s="99">
        <v>900</v>
      </c>
      <c r="H22" s="125">
        <v>75</v>
      </c>
      <c r="I22" s="112" t="s">
        <v>2304</v>
      </c>
      <c r="J22" s="198"/>
      <c r="K22" s="198"/>
      <c r="L22" s="123"/>
      <c r="M22" s="124"/>
    </row>
    <row r="23" spans="2:13">
      <c r="B23" s="125">
        <v>29</v>
      </c>
      <c r="C23" s="119" t="s">
        <v>2338</v>
      </c>
      <c r="D23" s="99">
        <v>885</v>
      </c>
      <c r="H23" s="125">
        <v>76</v>
      </c>
      <c r="I23" s="112" t="s">
        <v>2351</v>
      </c>
      <c r="J23" s="198"/>
      <c r="K23" s="198"/>
      <c r="L23" s="123"/>
      <c r="M23" s="124"/>
    </row>
    <row r="24" spans="2:13">
      <c r="B24" s="125">
        <v>30</v>
      </c>
      <c r="C24" s="112" t="s">
        <v>2337</v>
      </c>
      <c r="D24" s="99">
        <v>885</v>
      </c>
      <c r="H24" s="125">
        <v>77</v>
      </c>
      <c r="I24" s="112" t="s">
        <v>2388</v>
      </c>
      <c r="J24" s="198"/>
      <c r="K24" s="198"/>
      <c r="L24" s="123"/>
      <c r="M24" s="124"/>
    </row>
    <row r="25" spans="2:13">
      <c r="B25" s="125">
        <v>31</v>
      </c>
      <c r="C25" s="112" t="s">
        <v>2339</v>
      </c>
      <c r="H25" s="125">
        <v>78</v>
      </c>
      <c r="I25" s="112" t="s">
        <v>2381</v>
      </c>
      <c r="J25" s="198"/>
      <c r="K25" s="198"/>
      <c r="L25" s="123"/>
      <c r="M25" s="124"/>
    </row>
    <row r="26" spans="2:13">
      <c r="B26" s="125">
        <v>32</v>
      </c>
      <c r="C26" s="112" t="s">
        <v>2342</v>
      </c>
      <c r="D26" s="99">
        <v>885</v>
      </c>
      <c r="H26" s="125">
        <v>79</v>
      </c>
      <c r="I26" s="112" t="s">
        <v>2354</v>
      </c>
      <c r="J26" s="198"/>
      <c r="K26" s="198"/>
      <c r="L26" s="123"/>
      <c r="M26" s="124"/>
    </row>
    <row r="27" spans="2:13">
      <c r="B27" s="125">
        <v>33</v>
      </c>
      <c r="C27" s="112" t="s">
        <v>2302</v>
      </c>
      <c r="H27" s="125">
        <v>80</v>
      </c>
      <c r="I27" s="112" t="s">
        <v>2359</v>
      </c>
      <c r="J27" s="198"/>
      <c r="K27" s="198"/>
      <c r="L27" s="123"/>
      <c r="M27" s="124"/>
    </row>
    <row r="28" spans="2:13">
      <c r="B28" s="125">
        <v>34</v>
      </c>
      <c r="C28" s="112" t="s">
        <v>2345</v>
      </c>
      <c r="H28" s="125">
        <v>81</v>
      </c>
      <c r="I28" s="112" t="s">
        <v>2360</v>
      </c>
      <c r="J28" s="198"/>
      <c r="K28" s="198"/>
      <c r="L28" s="123"/>
      <c r="M28" s="124"/>
    </row>
    <row r="29" spans="2:13">
      <c r="B29" s="125">
        <v>35</v>
      </c>
      <c r="C29" s="112" t="s">
        <v>2347</v>
      </c>
      <c r="D29" s="99">
        <v>885</v>
      </c>
      <c r="H29" s="125">
        <v>82</v>
      </c>
      <c r="I29" s="112" t="s">
        <v>2364</v>
      </c>
      <c r="J29" s="99">
        <v>885</v>
      </c>
      <c r="K29" s="198"/>
      <c r="L29" s="123"/>
      <c r="M29" s="124"/>
    </row>
    <row r="30" spans="2:13">
      <c r="B30" s="125">
        <v>36</v>
      </c>
      <c r="C30" s="115" t="s">
        <v>2297</v>
      </c>
      <c r="H30" s="125">
        <v>83</v>
      </c>
      <c r="I30" s="112" t="s">
        <v>2361</v>
      </c>
      <c r="J30" s="198"/>
      <c r="K30" s="198"/>
      <c r="L30" s="123"/>
      <c r="M30" s="124"/>
    </row>
    <row r="31" spans="2:13">
      <c r="B31" s="125">
        <v>37</v>
      </c>
      <c r="C31" s="112" t="s">
        <v>2349</v>
      </c>
      <c r="D31" s="99">
        <v>885</v>
      </c>
      <c r="H31" s="125">
        <v>84</v>
      </c>
      <c r="I31" s="112" t="s">
        <v>2365</v>
      </c>
      <c r="J31" s="198"/>
      <c r="K31" s="198"/>
      <c r="L31" s="123"/>
      <c r="M31" s="124"/>
    </row>
    <row r="32" spans="2:13">
      <c r="B32" s="125">
        <v>38</v>
      </c>
      <c r="C32" s="122" t="s">
        <v>2285</v>
      </c>
      <c r="D32" s="99">
        <v>1050</v>
      </c>
      <c r="H32" s="125">
        <v>85</v>
      </c>
      <c r="I32" s="112" t="s">
        <v>2367</v>
      </c>
      <c r="J32" s="198"/>
      <c r="K32" s="198"/>
      <c r="L32" s="123"/>
      <c r="M32" s="124"/>
    </row>
    <row r="33" spans="2:13">
      <c r="B33" s="125">
        <v>39</v>
      </c>
      <c r="C33" s="112" t="s">
        <v>2350</v>
      </c>
      <c r="H33" s="125">
        <v>86</v>
      </c>
      <c r="I33" s="112" t="s">
        <v>2368</v>
      </c>
      <c r="J33" s="198"/>
      <c r="K33" s="198"/>
      <c r="L33" s="123"/>
      <c r="M33" s="124"/>
    </row>
    <row r="34" spans="2:13">
      <c r="B34" s="125">
        <v>40</v>
      </c>
      <c r="C34" s="112" t="s">
        <v>2288</v>
      </c>
      <c r="D34" s="99">
        <v>885</v>
      </c>
      <c r="H34" s="125">
        <v>87</v>
      </c>
      <c r="I34" s="112" t="s">
        <v>2411</v>
      </c>
      <c r="J34" s="198"/>
      <c r="K34" s="198"/>
      <c r="L34" s="123"/>
      <c r="M34" s="124"/>
    </row>
    <row r="35" spans="2:13">
      <c r="B35" s="125">
        <v>41</v>
      </c>
      <c r="C35" s="114" t="s">
        <v>2286</v>
      </c>
      <c r="D35" s="99">
        <v>1070</v>
      </c>
      <c r="E35" s="99">
        <v>1050</v>
      </c>
      <c r="H35" s="125">
        <v>88</v>
      </c>
      <c r="I35" s="112" t="s">
        <v>2370</v>
      </c>
      <c r="J35" s="198"/>
      <c r="K35" s="198"/>
      <c r="L35" s="123"/>
      <c r="M35" s="124"/>
    </row>
    <row r="36" spans="2:13">
      <c r="B36" s="125">
        <v>42</v>
      </c>
      <c r="C36" s="112" t="s">
        <v>2353</v>
      </c>
      <c r="D36" s="99">
        <v>885</v>
      </c>
      <c r="H36" s="125">
        <v>89</v>
      </c>
      <c r="I36" s="112" t="s">
        <v>2371</v>
      </c>
      <c r="J36" s="99">
        <v>885</v>
      </c>
      <c r="K36" s="198"/>
      <c r="L36" s="123"/>
      <c r="M36" s="124"/>
    </row>
    <row r="37" spans="2:13">
      <c r="B37" s="125">
        <v>43</v>
      </c>
      <c r="C37" s="112" t="s">
        <v>2341</v>
      </c>
      <c r="H37" s="125">
        <v>90</v>
      </c>
      <c r="I37" s="112" t="s">
        <v>2372</v>
      </c>
      <c r="J37" s="198"/>
      <c r="K37" s="198"/>
      <c r="L37" s="123"/>
      <c r="M37" s="124"/>
    </row>
    <row r="38" spans="2:13">
      <c r="B38" s="125">
        <v>44</v>
      </c>
      <c r="C38" s="121" t="s">
        <v>2300</v>
      </c>
      <c r="D38" s="99">
        <v>885</v>
      </c>
      <c r="H38" s="125">
        <v>91</v>
      </c>
      <c r="I38" s="112" t="s">
        <v>2373</v>
      </c>
      <c r="J38" s="198"/>
      <c r="K38" s="198"/>
      <c r="L38" s="123"/>
      <c r="M38" s="124"/>
    </row>
    <row r="39" spans="2:13">
      <c r="B39" s="125">
        <v>45</v>
      </c>
      <c r="C39" s="112" t="s">
        <v>2357</v>
      </c>
      <c r="D39" s="99">
        <v>885</v>
      </c>
      <c r="H39" s="125">
        <v>92</v>
      </c>
      <c r="I39" s="112" t="s">
        <v>2374</v>
      </c>
      <c r="J39" s="198"/>
      <c r="K39" s="198"/>
      <c r="L39" s="123"/>
      <c r="M39" s="124"/>
    </row>
    <row r="40" spans="2:13">
      <c r="B40" s="125">
        <v>46</v>
      </c>
      <c r="C40" s="112" t="s">
        <v>2358</v>
      </c>
      <c r="D40" s="99">
        <v>1000</v>
      </c>
      <c r="E40" s="99" t="s">
        <v>3801</v>
      </c>
      <c r="H40" s="125">
        <v>93</v>
      </c>
      <c r="I40" s="112" t="s">
        <v>2376</v>
      </c>
      <c r="J40" s="198"/>
      <c r="K40" s="198"/>
      <c r="L40" s="123"/>
      <c r="M40" s="124"/>
    </row>
    <row r="41" spans="2:13">
      <c r="B41" s="125">
        <v>47</v>
      </c>
      <c r="C41" s="112" t="s">
        <v>2298</v>
      </c>
      <c r="H41" s="125">
        <v>94</v>
      </c>
      <c r="I41" s="112" t="s">
        <v>2375</v>
      </c>
      <c r="J41" s="198"/>
      <c r="K41" s="198"/>
      <c r="L41" s="123"/>
      <c r="M41" s="124"/>
    </row>
    <row r="42" spans="2:13">
      <c r="B42" s="125">
        <v>48</v>
      </c>
      <c r="C42" s="112" t="s">
        <v>1316</v>
      </c>
      <c r="D42" s="99">
        <v>885</v>
      </c>
      <c r="H42" s="125">
        <v>95</v>
      </c>
      <c r="I42" s="112" t="s">
        <v>2380</v>
      </c>
      <c r="J42" s="198"/>
      <c r="K42" s="198"/>
      <c r="L42" s="123"/>
      <c r="M42" s="124"/>
    </row>
    <row r="43" spans="2:13">
      <c r="B43" s="125">
        <v>49</v>
      </c>
      <c r="C43" s="112" t="s">
        <v>2363</v>
      </c>
      <c r="H43" s="125">
        <v>96</v>
      </c>
      <c r="I43" s="112" t="s">
        <v>2378</v>
      </c>
      <c r="J43" s="198"/>
      <c r="K43" s="198"/>
      <c r="L43" s="123"/>
      <c r="M43" s="124"/>
    </row>
    <row r="44" spans="2:13">
      <c r="B44" s="125">
        <v>50</v>
      </c>
      <c r="C44" s="112" t="s">
        <v>2287</v>
      </c>
      <c r="D44" s="99">
        <v>885</v>
      </c>
      <c r="H44" s="125">
        <v>97</v>
      </c>
      <c r="I44" s="112" t="s">
        <v>2379</v>
      </c>
      <c r="J44" s="99">
        <v>885</v>
      </c>
      <c r="K44" s="198"/>
      <c r="L44" s="123"/>
      <c r="M44" s="124"/>
    </row>
    <row r="45" spans="2:13">
      <c r="B45" s="125">
        <v>51</v>
      </c>
      <c r="C45" s="113" t="s">
        <v>2366</v>
      </c>
      <c r="H45" s="125">
        <v>98</v>
      </c>
      <c r="I45" s="112" t="s">
        <v>1982</v>
      </c>
      <c r="J45" s="198"/>
      <c r="K45" s="198"/>
      <c r="L45" s="123"/>
      <c r="M45" s="124"/>
    </row>
    <row r="46" spans="2:13">
      <c r="B46" s="125">
        <v>52</v>
      </c>
      <c r="C46" s="112" t="s">
        <v>2369</v>
      </c>
      <c r="D46" s="99">
        <v>1050</v>
      </c>
      <c r="H46" s="125">
        <v>99</v>
      </c>
      <c r="I46" s="112" t="s">
        <v>3527</v>
      </c>
      <c r="J46" s="99"/>
      <c r="K46" s="99"/>
    </row>
    <row r="47" spans="2:13">
      <c r="B47" s="125">
        <v>53</v>
      </c>
      <c r="C47" s="112" t="s">
        <v>2305</v>
      </c>
      <c r="D47" s="99">
        <v>970</v>
      </c>
      <c r="H47" s="125"/>
      <c r="J47" s="99"/>
      <c r="K47" s="99"/>
    </row>
    <row r="48" spans="2:13">
      <c r="B48" s="125">
        <v>54</v>
      </c>
      <c r="C48" s="112" t="s">
        <v>2308</v>
      </c>
      <c r="H48" s="125"/>
      <c r="J48" s="99"/>
      <c r="K48" s="99"/>
    </row>
    <row r="49" spans="2:9">
      <c r="B49" s="125">
        <v>55</v>
      </c>
      <c r="C49" s="112" t="s">
        <v>1357</v>
      </c>
      <c r="H49" s="125"/>
      <c r="I49" s="98" t="s">
        <v>2307</v>
      </c>
    </row>
    <row r="50" spans="2:9">
      <c r="B50" s="125">
        <v>56</v>
      </c>
      <c r="C50" s="112" t="s">
        <v>2377</v>
      </c>
      <c r="D50" s="99">
        <v>885</v>
      </c>
      <c r="H50" s="125">
        <v>101</v>
      </c>
      <c r="I50" s="98" t="s">
        <v>2399</v>
      </c>
    </row>
    <row r="51" spans="2:9">
      <c r="H51" s="125"/>
      <c r="I51" s="98" t="s">
        <v>2400</v>
      </c>
    </row>
    <row r="52" spans="2:9">
      <c r="H52" s="125">
        <v>104</v>
      </c>
      <c r="I52" s="98" t="s">
        <v>2407</v>
      </c>
    </row>
    <row r="53" spans="2:9">
      <c r="H53" s="125"/>
      <c r="I53" s="98" t="s">
        <v>2409</v>
      </c>
    </row>
    <row r="54" spans="2:9">
      <c r="I54" s="98" t="s">
        <v>2413</v>
      </c>
    </row>
    <row r="55" spans="2:9">
      <c r="I55" s="98" t="s">
        <v>2439</v>
      </c>
    </row>
    <row r="56" spans="2:9">
      <c r="H56" s="98">
        <v>105</v>
      </c>
      <c r="I56" s="98" t="s">
        <v>2428</v>
      </c>
    </row>
    <row r="57" spans="2:9">
      <c r="I57" s="98" t="s">
        <v>2429</v>
      </c>
    </row>
    <row r="58" spans="2:9">
      <c r="I58" s="98" t="s">
        <v>2430</v>
      </c>
    </row>
    <row r="59" spans="2:9">
      <c r="I59" s="98" t="s">
        <v>2443</v>
      </c>
    </row>
    <row r="60" spans="2:9">
      <c r="H60" s="98">
        <v>102</v>
      </c>
      <c r="I60" s="98" t="s">
        <v>3723</v>
      </c>
    </row>
    <row r="61" spans="2:9">
      <c r="H61" s="98">
        <v>103</v>
      </c>
      <c r="I61" s="98" t="s">
        <v>3779</v>
      </c>
    </row>
    <row r="62" spans="2:9">
      <c r="H62" s="98">
        <v>106</v>
      </c>
      <c r="I62" s="98" t="s">
        <v>3964</v>
      </c>
    </row>
    <row r="63" spans="2:9">
      <c r="I63" s="98" t="s">
        <v>4171</v>
      </c>
    </row>
    <row r="64" spans="2:9">
      <c r="H64" s="98">
        <v>107</v>
      </c>
      <c r="I64" s="98" t="s">
        <v>4520</v>
      </c>
    </row>
    <row r="65" spans="8:9">
      <c r="H65" s="98">
        <v>108</v>
      </c>
      <c r="I65" s="98" t="s">
        <v>4554</v>
      </c>
    </row>
    <row r="66" spans="8:9">
      <c r="H66" s="98">
        <v>109</v>
      </c>
      <c r="I66" s="98" t="s">
        <v>4564</v>
      </c>
    </row>
    <row r="67" spans="8:9">
      <c r="H67" s="98">
        <v>110</v>
      </c>
      <c r="I67" s="98" t="s">
        <v>44346</v>
      </c>
    </row>
    <row r="243" spans="10:11">
      <c r="J243" s="98">
        <f>PROVEEDORES!D40*284*0.72</f>
        <v>204480</v>
      </c>
      <c r="K243" s="98">
        <f>17889.16*0.72*1.35*2</f>
        <v>34776.527040000001</v>
      </c>
    </row>
  </sheetData>
  <autoFilter ref="H3:L46" xr:uid="{00000000-0009-0000-0000-000005000000}"/>
  <sortState xmlns:xlrd2="http://schemas.microsoft.com/office/spreadsheetml/2017/richdata2" ref="B3:C49">
    <sortCondition ref="C2"/>
  </sortState>
  <mergeCells count="2">
    <mergeCell ref="D2:E2"/>
    <mergeCell ref="J2:K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G41"/>
  <sheetViews>
    <sheetView workbookViewId="0">
      <selection activeCell="B17" sqref="B17"/>
    </sheetView>
  </sheetViews>
  <sheetFormatPr baseColWidth="10" defaultRowHeight="15"/>
  <cols>
    <col min="1" max="1" width="30.1640625" bestFit="1" customWidth="1"/>
  </cols>
  <sheetData>
    <row r="2" spans="1:7">
      <c r="B2" s="293" t="s">
        <v>2502</v>
      </c>
      <c r="C2" s="293" t="s">
        <v>4390</v>
      </c>
      <c r="D2" s="293" t="s">
        <v>2247</v>
      </c>
      <c r="G2" t="s">
        <v>1200</v>
      </c>
    </row>
    <row r="4" spans="1:7">
      <c r="A4" t="s">
        <v>4336</v>
      </c>
      <c r="B4">
        <v>1</v>
      </c>
      <c r="G4" s="290"/>
    </row>
    <row r="5" spans="1:7">
      <c r="A5" t="s">
        <v>4340</v>
      </c>
      <c r="B5">
        <v>1</v>
      </c>
      <c r="G5" s="290"/>
    </row>
    <row r="6" spans="1:7">
      <c r="A6" t="s">
        <v>4341</v>
      </c>
      <c r="B6">
        <v>1</v>
      </c>
      <c r="G6" s="290"/>
    </row>
    <row r="7" spans="1:7">
      <c r="A7" t="s">
        <v>4342</v>
      </c>
      <c r="B7">
        <v>1</v>
      </c>
      <c r="G7" s="290"/>
    </row>
    <row r="8" spans="1:7">
      <c r="A8" t="s">
        <v>4350</v>
      </c>
      <c r="B8">
        <v>1</v>
      </c>
      <c r="G8" s="290"/>
    </row>
    <row r="9" spans="1:7">
      <c r="A9" t="s">
        <v>4401</v>
      </c>
      <c r="B9">
        <v>1</v>
      </c>
      <c r="G9" s="290"/>
    </row>
    <row r="10" spans="1:7">
      <c r="A10" t="s">
        <v>4337</v>
      </c>
      <c r="B10">
        <v>1</v>
      </c>
      <c r="G10" s="290"/>
    </row>
    <row r="11" spans="1:7">
      <c r="A11" t="s">
        <v>4338</v>
      </c>
      <c r="C11">
        <v>1</v>
      </c>
      <c r="D11">
        <v>1</v>
      </c>
      <c r="G11" s="290"/>
    </row>
    <row r="12" spans="1:7">
      <c r="A12" t="s">
        <v>4339</v>
      </c>
      <c r="C12">
        <v>1</v>
      </c>
      <c r="D12">
        <v>1</v>
      </c>
      <c r="G12" s="290"/>
    </row>
    <row r="13" spans="1:7">
      <c r="A13" t="s">
        <v>4466</v>
      </c>
      <c r="C13">
        <v>1</v>
      </c>
      <c r="D13">
        <v>1</v>
      </c>
      <c r="G13" s="290"/>
    </row>
    <row r="14" spans="1:7">
      <c r="A14" t="s">
        <v>4467</v>
      </c>
      <c r="C14">
        <v>1</v>
      </c>
      <c r="D14">
        <v>1</v>
      </c>
      <c r="G14" s="290"/>
    </row>
    <row r="15" spans="1:7">
      <c r="A15" t="s">
        <v>4391</v>
      </c>
      <c r="C15">
        <v>1</v>
      </c>
      <c r="D15">
        <v>1</v>
      </c>
      <c r="G15" s="290"/>
    </row>
    <row r="16" spans="1:7">
      <c r="A16" t="s">
        <v>4350</v>
      </c>
      <c r="B16">
        <v>1</v>
      </c>
      <c r="G16" s="290"/>
    </row>
    <row r="17" spans="1:7">
      <c r="A17" t="s">
        <v>4351</v>
      </c>
      <c r="B17">
        <v>1</v>
      </c>
      <c r="G17" s="290"/>
    </row>
    <row r="18" spans="1:7">
      <c r="A18" t="s">
        <v>2358</v>
      </c>
      <c r="B18">
        <v>1.05</v>
      </c>
      <c r="G18" s="290"/>
    </row>
    <row r="19" spans="1:7">
      <c r="A19" t="s">
        <v>4366</v>
      </c>
      <c r="B19">
        <v>1</v>
      </c>
      <c r="G19" s="290"/>
    </row>
    <row r="20" spans="1:7">
      <c r="A20" t="s">
        <v>4392</v>
      </c>
      <c r="B20">
        <v>1</v>
      </c>
      <c r="G20" s="290"/>
    </row>
    <row r="21" spans="1:7">
      <c r="B21">
        <v>1</v>
      </c>
      <c r="G21" s="290"/>
    </row>
    <row r="22" spans="1:7">
      <c r="G22" s="290"/>
    </row>
    <row r="23" spans="1:7">
      <c r="G23" s="290"/>
    </row>
    <row r="24" spans="1:7">
      <c r="G24" s="290"/>
    </row>
    <row r="25" spans="1:7">
      <c r="G25" s="290"/>
    </row>
    <row r="26" spans="1:7">
      <c r="G26" s="290"/>
    </row>
    <row r="27" spans="1:7">
      <c r="G27" s="290"/>
    </row>
    <row r="28" spans="1:7">
      <c r="G28" s="290"/>
    </row>
    <row r="29" spans="1:7">
      <c r="G29" s="290"/>
    </row>
    <row r="30" spans="1:7">
      <c r="G30" s="290"/>
    </row>
    <row r="31" spans="1:7">
      <c r="G31" s="290"/>
    </row>
    <row r="32" spans="1:7">
      <c r="G32" s="290"/>
    </row>
    <row r="33" spans="7:7">
      <c r="G33" s="290"/>
    </row>
    <row r="34" spans="7:7">
      <c r="G34" s="290"/>
    </row>
    <row r="35" spans="7:7">
      <c r="G35" s="290"/>
    </row>
    <row r="36" spans="7:7">
      <c r="G36" s="290"/>
    </row>
    <row r="37" spans="7:7">
      <c r="G37" s="290"/>
    </row>
    <row r="38" spans="7:7">
      <c r="G38" s="290"/>
    </row>
    <row r="39" spans="7:7">
      <c r="G39" s="290"/>
    </row>
    <row r="40" spans="7:7">
      <c r="G40" s="290"/>
    </row>
    <row r="41" spans="7:7">
      <c r="G41" s="29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/>
  <dimension ref="B1:G39"/>
  <sheetViews>
    <sheetView showGridLines="0" workbookViewId="0">
      <selection activeCell="B13" sqref="B13"/>
    </sheetView>
  </sheetViews>
  <sheetFormatPr baseColWidth="10" defaultRowHeight="15"/>
  <cols>
    <col min="1" max="1" width="2" customWidth="1"/>
    <col min="2" max="2" width="63.83203125" style="81" bestFit="1" customWidth="1"/>
    <col min="3" max="3" width="13.83203125" style="7" bestFit="1" customWidth="1"/>
    <col min="4" max="4" width="13.83203125" style="8" bestFit="1" customWidth="1"/>
    <col min="5" max="5" width="17" style="8" customWidth="1"/>
    <col min="6" max="6" width="0.83203125" style="86" customWidth="1"/>
    <col min="7" max="7" width="11.5" style="9"/>
    <col min="257" max="257" width="2" customWidth="1"/>
    <col min="258" max="258" width="63.83203125" bestFit="1" customWidth="1"/>
    <col min="259" max="260" width="13.83203125" bestFit="1" customWidth="1"/>
    <col min="261" max="261" width="17" customWidth="1"/>
    <col min="262" max="262" width="0.83203125" customWidth="1"/>
    <col min="513" max="513" width="2" customWidth="1"/>
    <col min="514" max="514" width="63.83203125" bestFit="1" customWidth="1"/>
    <col min="515" max="516" width="13.83203125" bestFit="1" customWidth="1"/>
    <col min="517" max="517" width="17" customWidth="1"/>
    <col min="518" max="518" width="0.83203125" customWidth="1"/>
    <col min="769" max="769" width="2" customWidth="1"/>
    <col min="770" max="770" width="63.83203125" bestFit="1" customWidth="1"/>
    <col min="771" max="772" width="13.83203125" bestFit="1" customWidth="1"/>
    <col min="773" max="773" width="17" customWidth="1"/>
    <col min="774" max="774" width="0.83203125" customWidth="1"/>
    <col min="1025" max="1025" width="2" customWidth="1"/>
    <col min="1026" max="1026" width="63.83203125" bestFit="1" customWidth="1"/>
    <col min="1027" max="1028" width="13.83203125" bestFit="1" customWidth="1"/>
    <col min="1029" max="1029" width="17" customWidth="1"/>
    <col min="1030" max="1030" width="0.83203125" customWidth="1"/>
    <col min="1281" max="1281" width="2" customWidth="1"/>
    <col min="1282" max="1282" width="63.83203125" bestFit="1" customWidth="1"/>
    <col min="1283" max="1284" width="13.83203125" bestFit="1" customWidth="1"/>
    <col min="1285" max="1285" width="17" customWidth="1"/>
    <col min="1286" max="1286" width="0.83203125" customWidth="1"/>
    <col min="1537" max="1537" width="2" customWidth="1"/>
    <col min="1538" max="1538" width="63.83203125" bestFit="1" customWidth="1"/>
    <col min="1539" max="1540" width="13.83203125" bestFit="1" customWidth="1"/>
    <col min="1541" max="1541" width="17" customWidth="1"/>
    <col min="1542" max="1542" width="0.83203125" customWidth="1"/>
    <col min="1793" max="1793" width="2" customWidth="1"/>
    <col min="1794" max="1794" width="63.83203125" bestFit="1" customWidth="1"/>
    <col min="1795" max="1796" width="13.83203125" bestFit="1" customWidth="1"/>
    <col min="1797" max="1797" width="17" customWidth="1"/>
    <col min="1798" max="1798" width="0.83203125" customWidth="1"/>
    <col min="2049" max="2049" width="2" customWidth="1"/>
    <col min="2050" max="2050" width="63.83203125" bestFit="1" customWidth="1"/>
    <col min="2051" max="2052" width="13.83203125" bestFit="1" customWidth="1"/>
    <col min="2053" max="2053" width="17" customWidth="1"/>
    <col min="2054" max="2054" width="0.83203125" customWidth="1"/>
    <col min="2305" max="2305" width="2" customWidth="1"/>
    <col min="2306" max="2306" width="63.83203125" bestFit="1" customWidth="1"/>
    <col min="2307" max="2308" width="13.83203125" bestFit="1" customWidth="1"/>
    <col min="2309" max="2309" width="17" customWidth="1"/>
    <col min="2310" max="2310" width="0.83203125" customWidth="1"/>
    <col min="2561" max="2561" width="2" customWidth="1"/>
    <col min="2562" max="2562" width="63.83203125" bestFit="1" customWidth="1"/>
    <col min="2563" max="2564" width="13.83203125" bestFit="1" customWidth="1"/>
    <col min="2565" max="2565" width="17" customWidth="1"/>
    <col min="2566" max="2566" width="0.83203125" customWidth="1"/>
    <col min="2817" max="2817" width="2" customWidth="1"/>
    <col min="2818" max="2818" width="63.83203125" bestFit="1" customWidth="1"/>
    <col min="2819" max="2820" width="13.83203125" bestFit="1" customWidth="1"/>
    <col min="2821" max="2821" width="17" customWidth="1"/>
    <col min="2822" max="2822" width="0.83203125" customWidth="1"/>
    <col min="3073" max="3073" width="2" customWidth="1"/>
    <col min="3074" max="3074" width="63.83203125" bestFit="1" customWidth="1"/>
    <col min="3075" max="3076" width="13.83203125" bestFit="1" customWidth="1"/>
    <col min="3077" max="3077" width="17" customWidth="1"/>
    <col min="3078" max="3078" width="0.83203125" customWidth="1"/>
    <col min="3329" max="3329" width="2" customWidth="1"/>
    <col min="3330" max="3330" width="63.83203125" bestFit="1" customWidth="1"/>
    <col min="3331" max="3332" width="13.83203125" bestFit="1" customWidth="1"/>
    <col min="3333" max="3333" width="17" customWidth="1"/>
    <col min="3334" max="3334" width="0.83203125" customWidth="1"/>
    <col min="3585" max="3585" width="2" customWidth="1"/>
    <col min="3586" max="3586" width="63.83203125" bestFit="1" customWidth="1"/>
    <col min="3587" max="3588" width="13.83203125" bestFit="1" customWidth="1"/>
    <col min="3589" max="3589" width="17" customWidth="1"/>
    <col min="3590" max="3590" width="0.83203125" customWidth="1"/>
    <col min="3841" max="3841" width="2" customWidth="1"/>
    <col min="3842" max="3842" width="63.83203125" bestFit="1" customWidth="1"/>
    <col min="3843" max="3844" width="13.83203125" bestFit="1" customWidth="1"/>
    <col min="3845" max="3845" width="17" customWidth="1"/>
    <col min="3846" max="3846" width="0.83203125" customWidth="1"/>
    <col min="4097" max="4097" width="2" customWidth="1"/>
    <col min="4098" max="4098" width="63.83203125" bestFit="1" customWidth="1"/>
    <col min="4099" max="4100" width="13.83203125" bestFit="1" customWidth="1"/>
    <col min="4101" max="4101" width="17" customWidth="1"/>
    <col min="4102" max="4102" width="0.83203125" customWidth="1"/>
    <col min="4353" max="4353" width="2" customWidth="1"/>
    <col min="4354" max="4354" width="63.83203125" bestFit="1" customWidth="1"/>
    <col min="4355" max="4356" width="13.83203125" bestFit="1" customWidth="1"/>
    <col min="4357" max="4357" width="17" customWidth="1"/>
    <col min="4358" max="4358" width="0.83203125" customWidth="1"/>
    <col min="4609" max="4609" width="2" customWidth="1"/>
    <col min="4610" max="4610" width="63.83203125" bestFit="1" customWidth="1"/>
    <col min="4611" max="4612" width="13.83203125" bestFit="1" customWidth="1"/>
    <col min="4613" max="4613" width="17" customWidth="1"/>
    <col min="4614" max="4614" width="0.83203125" customWidth="1"/>
    <col min="4865" max="4865" width="2" customWidth="1"/>
    <col min="4866" max="4866" width="63.83203125" bestFit="1" customWidth="1"/>
    <col min="4867" max="4868" width="13.83203125" bestFit="1" customWidth="1"/>
    <col min="4869" max="4869" width="17" customWidth="1"/>
    <col min="4870" max="4870" width="0.83203125" customWidth="1"/>
    <col min="5121" max="5121" width="2" customWidth="1"/>
    <col min="5122" max="5122" width="63.83203125" bestFit="1" customWidth="1"/>
    <col min="5123" max="5124" width="13.83203125" bestFit="1" customWidth="1"/>
    <col min="5125" max="5125" width="17" customWidth="1"/>
    <col min="5126" max="5126" width="0.83203125" customWidth="1"/>
    <col min="5377" max="5377" width="2" customWidth="1"/>
    <col min="5378" max="5378" width="63.83203125" bestFit="1" customWidth="1"/>
    <col min="5379" max="5380" width="13.83203125" bestFit="1" customWidth="1"/>
    <col min="5381" max="5381" width="17" customWidth="1"/>
    <col min="5382" max="5382" width="0.83203125" customWidth="1"/>
    <col min="5633" max="5633" width="2" customWidth="1"/>
    <col min="5634" max="5634" width="63.83203125" bestFit="1" customWidth="1"/>
    <col min="5635" max="5636" width="13.83203125" bestFit="1" customWidth="1"/>
    <col min="5637" max="5637" width="17" customWidth="1"/>
    <col min="5638" max="5638" width="0.83203125" customWidth="1"/>
    <col min="5889" max="5889" width="2" customWidth="1"/>
    <col min="5890" max="5890" width="63.83203125" bestFit="1" customWidth="1"/>
    <col min="5891" max="5892" width="13.83203125" bestFit="1" customWidth="1"/>
    <col min="5893" max="5893" width="17" customWidth="1"/>
    <col min="5894" max="5894" width="0.83203125" customWidth="1"/>
    <col min="6145" max="6145" width="2" customWidth="1"/>
    <col min="6146" max="6146" width="63.83203125" bestFit="1" customWidth="1"/>
    <col min="6147" max="6148" width="13.83203125" bestFit="1" customWidth="1"/>
    <col min="6149" max="6149" width="17" customWidth="1"/>
    <col min="6150" max="6150" width="0.83203125" customWidth="1"/>
    <col min="6401" max="6401" width="2" customWidth="1"/>
    <col min="6402" max="6402" width="63.83203125" bestFit="1" customWidth="1"/>
    <col min="6403" max="6404" width="13.83203125" bestFit="1" customWidth="1"/>
    <col min="6405" max="6405" width="17" customWidth="1"/>
    <col min="6406" max="6406" width="0.83203125" customWidth="1"/>
    <col min="6657" max="6657" width="2" customWidth="1"/>
    <col min="6658" max="6658" width="63.83203125" bestFit="1" customWidth="1"/>
    <col min="6659" max="6660" width="13.83203125" bestFit="1" customWidth="1"/>
    <col min="6661" max="6661" width="17" customWidth="1"/>
    <col min="6662" max="6662" width="0.83203125" customWidth="1"/>
    <col min="6913" max="6913" width="2" customWidth="1"/>
    <col min="6914" max="6914" width="63.83203125" bestFit="1" customWidth="1"/>
    <col min="6915" max="6916" width="13.83203125" bestFit="1" customWidth="1"/>
    <col min="6917" max="6917" width="17" customWidth="1"/>
    <col min="6918" max="6918" width="0.83203125" customWidth="1"/>
    <col min="7169" max="7169" width="2" customWidth="1"/>
    <col min="7170" max="7170" width="63.83203125" bestFit="1" customWidth="1"/>
    <col min="7171" max="7172" width="13.83203125" bestFit="1" customWidth="1"/>
    <col min="7173" max="7173" width="17" customWidth="1"/>
    <col min="7174" max="7174" width="0.83203125" customWidth="1"/>
    <col min="7425" max="7425" width="2" customWidth="1"/>
    <col min="7426" max="7426" width="63.83203125" bestFit="1" customWidth="1"/>
    <col min="7427" max="7428" width="13.83203125" bestFit="1" customWidth="1"/>
    <col min="7429" max="7429" width="17" customWidth="1"/>
    <col min="7430" max="7430" width="0.83203125" customWidth="1"/>
    <col min="7681" max="7681" width="2" customWidth="1"/>
    <col min="7682" max="7682" width="63.83203125" bestFit="1" customWidth="1"/>
    <col min="7683" max="7684" width="13.83203125" bestFit="1" customWidth="1"/>
    <col min="7685" max="7685" width="17" customWidth="1"/>
    <col min="7686" max="7686" width="0.83203125" customWidth="1"/>
    <col min="7937" max="7937" width="2" customWidth="1"/>
    <col min="7938" max="7938" width="63.83203125" bestFit="1" customWidth="1"/>
    <col min="7939" max="7940" width="13.83203125" bestFit="1" customWidth="1"/>
    <col min="7941" max="7941" width="17" customWidth="1"/>
    <col min="7942" max="7942" width="0.83203125" customWidth="1"/>
    <col min="8193" max="8193" width="2" customWidth="1"/>
    <col min="8194" max="8194" width="63.83203125" bestFit="1" customWidth="1"/>
    <col min="8195" max="8196" width="13.83203125" bestFit="1" customWidth="1"/>
    <col min="8197" max="8197" width="17" customWidth="1"/>
    <col min="8198" max="8198" width="0.83203125" customWidth="1"/>
    <col min="8449" max="8449" width="2" customWidth="1"/>
    <col min="8450" max="8450" width="63.83203125" bestFit="1" customWidth="1"/>
    <col min="8451" max="8452" width="13.83203125" bestFit="1" customWidth="1"/>
    <col min="8453" max="8453" width="17" customWidth="1"/>
    <col min="8454" max="8454" width="0.83203125" customWidth="1"/>
    <col min="8705" max="8705" width="2" customWidth="1"/>
    <col min="8706" max="8706" width="63.83203125" bestFit="1" customWidth="1"/>
    <col min="8707" max="8708" width="13.83203125" bestFit="1" customWidth="1"/>
    <col min="8709" max="8709" width="17" customWidth="1"/>
    <col min="8710" max="8710" width="0.83203125" customWidth="1"/>
    <col min="8961" max="8961" width="2" customWidth="1"/>
    <col min="8962" max="8962" width="63.83203125" bestFit="1" customWidth="1"/>
    <col min="8963" max="8964" width="13.83203125" bestFit="1" customWidth="1"/>
    <col min="8965" max="8965" width="17" customWidth="1"/>
    <col min="8966" max="8966" width="0.83203125" customWidth="1"/>
    <col min="9217" max="9217" width="2" customWidth="1"/>
    <col min="9218" max="9218" width="63.83203125" bestFit="1" customWidth="1"/>
    <col min="9219" max="9220" width="13.83203125" bestFit="1" customWidth="1"/>
    <col min="9221" max="9221" width="17" customWidth="1"/>
    <col min="9222" max="9222" width="0.83203125" customWidth="1"/>
    <col min="9473" max="9473" width="2" customWidth="1"/>
    <col min="9474" max="9474" width="63.83203125" bestFit="1" customWidth="1"/>
    <col min="9475" max="9476" width="13.83203125" bestFit="1" customWidth="1"/>
    <col min="9477" max="9477" width="17" customWidth="1"/>
    <col min="9478" max="9478" width="0.83203125" customWidth="1"/>
    <col min="9729" max="9729" width="2" customWidth="1"/>
    <col min="9730" max="9730" width="63.83203125" bestFit="1" customWidth="1"/>
    <col min="9731" max="9732" width="13.83203125" bestFit="1" customWidth="1"/>
    <col min="9733" max="9733" width="17" customWidth="1"/>
    <col min="9734" max="9734" width="0.83203125" customWidth="1"/>
    <col min="9985" max="9985" width="2" customWidth="1"/>
    <col min="9986" max="9986" width="63.83203125" bestFit="1" customWidth="1"/>
    <col min="9987" max="9988" width="13.83203125" bestFit="1" customWidth="1"/>
    <col min="9989" max="9989" width="17" customWidth="1"/>
    <col min="9990" max="9990" width="0.83203125" customWidth="1"/>
    <col min="10241" max="10241" width="2" customWidth="1"/>
    <col min="10242" max="10242" width="63.83203125" bestFit="1" customWidth="1"/>
    <col min="10243" max="10244" width="13.83203125" bestFit="1" customWidth="1"/>
    <col min="10245" max="10245" width="17" customWidth="1"/>
    <col min="10246" max="10246" width="0.83203125" customWidth="1"/>
    <col min="10497" max="10497" width="2" customWidth="1"/>
    <col min="10498" max="10498" width="63.83203125" bestFit="1" customWidth="1"/>
    <col min="10499" max="10500" width="13.83203125" bestFit="1" customWidth="1"/>
    <col min="10501" max="10501" width="17" customWidth="1"/>
    <col min="10502" max="10502" width="0.83203125" customWidth="1"/>
    <col min="10753" max="10753" width="2" customWidth="1"/>
    <col min="10754" max="10754" width="63.83203125" bestFit="1" customWidth="1"/>
    <col min="10755" max="10756" width="13.83203125" bestFit="1" customWidth="1"/>
    <col min="10757" max="10757" width="17" customWidth="1"/>
    <col min="10758" max="10758" width="0.83203125" customWidth="1"/>
    <col min="11009" max="11009" width="2" customWidth="1"/>
    <col min="11010" max="11010" width="63.83203125" bestFit="1" customWidth="1"/>
    <col min="11011" max="11012" width="13.83203125" bestFit="1" customWidth="1"/>
    <col min="11013" max="11013" width="17" customWidth="1"/>
    <col min="11014" max="11014" width="0.83203125" customWidth="1"/>
    <col min="11265" max="11265" width="2" customWidth="1"/>
    <col min="11266" max="11266" width="63.83203125" bestFit="1" customWidth="1"/>
    <col min="11267" max="11268" width="13.83203125" bestFit="1" customWidth="1"/>
    <col min="11269" max="11269" width="17" customWidth="1"/>
    <col min="11270" max="11270" width="0.83203125" customWidth="1"/>
    <col min="11521" max="11521" width="2" customWidth="1"/>
    <col min="11522" max="11522" width="63.83203125" bestFit="1" customWidth="1"/>
    <col min="11523" max="11524" width="13.83203125" bestFit="1" customWidth="1"/>
    <col min="11525" max="11525" width="17" customWidth="1"/>
    <col min="11526" max="11526" width="0.83203125" customWidth="1"/>
    <col min="11777" max="11777" width="2" customWidth="1"/>
    <col min="11778" max="11778" width="63.83203125" bestFit="1" customWidth="1"/>
    <col min="11779" max="11780" width="13.83203125" bestFit="1" customWidth="1"/>
    <col min="11781" max="11781" width="17" customWidth="1"/>
    <col min="11782" max="11782" width="0.83203125" customWidth="1"/>
    <col min="12033" max="12033" width="2" customWidth="1"/>
    <col min="12034" max="12034" width="63.83203125" bestFit="1" customWidth="1"/>
    <col min="12035" max="12036" width="13.83203125" bestFit="1" customWidth="1"/>
    <col min="12037" max="12037" width="17" customWidth="1"/>
    <col min="12038" max="12038" width="0.83203125" customWidth="1"/>
    <col min="12289" max="12289" width="2" customWidth="1"/>
    <col min="12290" max="12290" width="63.83203125" bestFit="1" customWidth="1"/>
    <col min="12291" max="12292" width="13.83203125" bestFit="1" customWidth="1"/>
    <col min="12293" max="12293" width="17" customWidth="1"/>
    <col min="12294" max="12294" width="0.83203125" customWidth="1"/>
    <col min="12545" max="12545" width="2" customWidth="1"/>
    <col min="12546" max="12546" width="63.83203125" bestFit="1" customWidth="1"/>
    <col min="12547" max="12548" width="13.83203125" bestFit="1" customWidth="1"/>
    <col min="12549" max="12549" width="17" customWidth="1"/>
    <col min="12550" max="12550" width="0.83203125" customWidth="1"/>
    <col min="12801" max="12801" width="2" customWidth="1"/>
    <col min="12802" max="12802" width="63.83203125" bestFit="1" customWidth="1"/>
    <col min="12803" max="12804" width="13.83203125" bestFit="1" customWidth="1"/>
    <col min="12805" max="12805" width="17" customWidth="1"/>
    <col min="12806" max="12806" width="0.83203125" customWidth="1"/>
    <col min="13057" max="13057" width="2" customWidth="1"/>
    <col min="13058" max="13058" width="63.83203125" bestFit="1" customWidth="1"/>
    <col min="13059" max="13060" width="13.83203125" bestFit="1" customWidth="1"/>
    <col min="13061" max="13061" width="17" customWidth="1"/>
    <col min="13062" max="13062" width="0.83203125" customWidth="1"/>
    <col min="13313" max="13313" width="2" customWidth="1"/>
    <col min="13314" max="13314" width="63.83203125" bestFit="1" customWidth="1"/>
    <col min="13315" max="13316" width="13.83203125" bestFit="1" customWidth="1"/>
    <col min="13317" max="13317" width="17" customWidth="1"/>
    <col min="13318" max="13318" width="0.83203125" customWidth="1"/>
    <col min="13569" max="13569" width="2" customWidth="1"/>
    <col min="13570" max="13570" width="63.83203125" bestFit="1" customWidth="1"/>
    <col min="13571" max="13572" width="13.83203125" bestFit="1" customWidth="1"/>
    <col min="13573" max="13573" width="17" customWidth="1"/>
    <col min="13574" max="13574" width="0.83203125" customWidth="1"/>
    <col min="13825" max="13825" width="2" customWidth="1"/>
    <col min="13826" max="13826" width="63.83203125" bestFit="1" customWidth="1"/>
    <col min="13827" max="13828" width="13.83203125" bestFit="1" customWidth="1"/>
    <col min="13829" max="13829" width="17" customWidth="1"/>
    <col min="13830" max="13830" width="0.83203125" customWidth="1"/>
    <col min="14081" max="14081" width="2" customWidth="1"/>
    <col min="14082" max="14082" width="63.83203125" bestFit="1" customWidth="1"/>
    <col min="14083" max="14084" width="13.83203125" bestFit="1" customWidth="1"/>
    <col min="14085" max="14085" width="17" customWidth="1"/>
    <col min="14086" max="14086" width="0.83203125" customWidth="1"/>
    <col min="14337" max="14337" width="2" customWidth="1"/>
    <col min="14338" max="14338" width="63.83203125" bestFit="1" customWidth="1"/>
    <col min="14339" max="14340" width="13.83203125" bestFit="1" customWidth="1"/>
    <col min="14341" max="14341" width="17" customWidth="1"/>
    <col min="14342" max="14342" width="0.83203125" customWidth="1"/>
    <col min="14593" max="14593" width="2" customWidth="1"/>
    <col min="14594" max="14594" width="63.83203125" bestFit="1" customWidth="1"/>
    <col min="14595" max="14596" width="13.83203125" bestFit="1" customWidth="1"/>
    <col min="14597" max="14597" width="17" customWidth="1"/>
    <col min="14598" max="14598" width="0.83203125" customWidth="1"/>
    <col min="14849" max="14849" width="2" customWidth="1"/>
    <col min="14850" max="14850" width="63.83203125" bestFit="1" customWidth="1"/>
    <col min="14851" max="14852" width="13.83203125" bestFit="1" customWidth="1"/>
    <col min="14853" max="14853" width="17" customWidth="1"/>
    <col min="14854" max="14854" width="0.83203125" customWidth="1"/>
    <col min="15105" max="15105" width="2" customWidth="1"/>
    <col min="15106" max="15106" width="63.83203125" bestFit="1" customWidth="1"/>
    <col min="15107" max="15108" width="13.83203125" bestFit="1" customWidth="1"/>
    <col min="15109" max="15109" width="17" customWidth="1"/>
    <col min="15110" max="15110" width="0.83203125" customWidth="1"/>
    <col min="15361" max="15361" width="2" customWidth="1"/>
    <col min="15362" max="15362" width="63.83203125" bestFit="1" customWidth="1"/>
    <col min="15363" max="15364" width="13.83203125" bestFit="1" customWidth="1"/>
    <col min="15365" max="15365" width="17" customWidth="1"/>
    <col min="15366" max="15366" width="0.83203125" customWidth="1"/>
    <col min="15617" max="15617" width="2" customWidth="1"/>
    <col min="15618" max="15618" width="63.83203125" bestFit="1" customWidth="1"/>
    <col min="15619" max="15620" width="13.83203125" bestFit="1" customWidth="1"/>
    <col min="15621" max="15621" width="17" customWidth="1"/>
    <col min="15622" max="15622" width="0.83203125" customWidth="1"/>
    <col min="15873" max="15873" width="2" customWidth="1"/>
    <col min="15874" max="15874" width="63.83203125" bestFit="1" customWidth="1"/>
    <col min="15875" max="15876" width="13.83203125" bestFit="1" customWidth="1"/>
    <col min="15877" max="15877" width="17" customWidth="1"/>
    <col min="15878" max="15878" width="0.83203125" customWidth="1"/>
    <col min="16129" max="16129" width="2" customWidth="1"/>
    <col min="16130" max="16130" width="63.83203125" bestFit="1" customWidth="1"/>
    <col min="16131" max="16132" width="13.83203125" bestFit="1" customWidth="1"/>
    <col min="16133" max="16133" width="17" customWidth="1"/>
    <col min="16134" max="16134" width="0.83203125" customWidth="1"/>
  </cols>
  <sheetData>
    <row r="1" spans="2:7" ht="16" thickBot="1"/>
    <row r="2" spans="2:7" ht="16" thickBot="1">
      <c r="B2" s="344" t="s">
        <v>2062</v>
      </c>
      <c r="C2" s="344"/>
      <c r="D2" s="345"/>
      <c r="E2" s="83" t="s">
        <v>2057</v>
      </c>
      <c r="F2" s="84"/>
      <c r="G2" s="85">
        <v>865</v>
      </c>
    </row>
    <row r="3" spans="2:7">
      <c r="B3" s="6"/>
    </row>
    <row r="4" spans="2:7">
      <c r="B4" s="12" t="s">
        <v>1199</v>
      </c>
      <c r="C4" s="13"/>
      <c r="D4" s="14"/>
      <c r="E4" s="15"/>
      <c r="F4" s="87"/>
      <c r="G4" s="16"/>
    </row>
    <row r="5" spans="2:7">
      <c r="B5" s="12" t="s">
        <v>1201</v>
      </c>
      <c r="C5" s="17" t="s">
        <v>2058</v>
      </c>
      <c r="D5" s="18" t="s">
        <v>1202</v>
      </c>
      <c r="E5" s="19" t="s">
        <v>1203</v>
      </c>
      <c r="F5" s="89"/>
      <c r="G5" s="90" t="s">
        <v>2059</v>
      </c>
    </row>
    <row r="6" spans="2:7" ht="16">
      <c r="B6" s="20" t="s">
        <v>2063</v>
      </c>
      <c r="C6" s="96">
        <f t="shared" ref="C6:C14" si="0">+G6*1.3</f>
        <v>52550.696250000008</v>
      </c>
      <c r="D6" s="21">
        <f>+C6*1.21</f>
        <v>63586.342462500012</v>
      </c>
      <c r="E6" s="22"/>
      <c r="F6" s="93"/>
      <c r="G6" s="94">
        <f>67*$G$2*0.75*0.93</f>
        <v>40423.612500000003</v>
      </c>
    </row>
    <row r="7" spans="2:7" ht="16">
      <c r="B7" s="20" t="s">
        <v>2064</v>
      </c>
      <c r="C7" s="96">
        <f t="shared" si="0"/>
        <v>127847.21625000003</v>
      </c>
      <c r="D7" s="21">
        <f>+C7*1.21</f>
        <v>154695.13166250003</v>
      </c>
      <c r="E7" s="22"/>
      <c r="F7" s="93"/>
      <c r="G7" s="94">
        <f>163*$G$2*0.75*0.93</f>
        <v>98344.012500000012</v>
      </c>
    </row>
    <row r="8" spans="2:7" ht="16">
      <c r="B8" s="20" t="s">
        <v>2065</v>
      </c>
      <c r="C8" s="96">
        <f t="shared" si="0"/>
        <v>133337.58749999999</v>
      </c>
      <c r="D8" s="21">
        <f>+C8*1.21</f>
        <v>161338.48087499998</v>
      </c>
      <c r="E8" s="22"/>
      <c r="F8" s="93"/>
      <c r="G8" s="94">
        <f>170*$G$2*0.75*0.93</f>
        <v>102567.375</v>
      </c>
    </row>
    <row r="9" spans="2:7" ht="16">
      <c r="B9" s="309" t="s">
        <v>2066</v>
      </c>
      <c r="C9" s="96">
        <f t="shared" si="0"/>
        <v>319225.87125000003</v>
      </c>
      <c r="D9" s="21"/>
      <c r="E9" s="92">
        <f>+C9*1.105</f>
        <v>352744.58773125004</v>
      </c>
      <c r="F9" s="93"/>
      <c r="G9" s="94">
        <f>407*$G$2*0.75*0.93</f>
        <v>245558.36250000002</v>
      </c>
    </row>
    <row r="10" spans="2:7" ht="16">
      <c r="B10" s="20" t="s">
        <v>2067</v>
      </c>
      <c r="C10" s="96">
        <f t="shared" si="0"/>
        <v>433739.32875000004</v>
      </c>
      <c r="D10" s="21"/>
      <c r="E10" s="92">
        <f>+C10*1.105</f>
        <v>479281.95826875005</v>
      </c>
      <c r="F10" s="93"/>
      <c r="G10" s="94">
        <f>553*$G$2*0.75*0.93</f>
        <v>333645.63750000001</v>
      </c>
    </row>
    <row r="11" spans="2:7" ht="16">
      <c r="B11" s="20" t="s">
        <v>2068</v>
      </c>
      <c r="C11" s="96">
        <f t="shared" si="0"/>
        <v>163926.79875000002</v>
      </c>
      <c r="D11" s="21"/>
      <c r="E11" s="92">
        <f>+C11*1.105</f>
        <v>181139.11261875002</v>
      </c>
      <c r="F11" s="93"/>
      <c r="G11" s="94">
        <f>209*$G$2*0.75*0.93</f>
        <v>126097.53750000001</v>
      </c>
    </row>
    <row r="12" spans="2:7" ht="16">
      <c r="B12" s="20" t="s">
        <v>2069</v>
      </c>
      <c r="C12" s="96">
        <f t="shared" si="0"/>
        <v>410209.16625000001</v>
      </c>
      <c r="D12" s="21"/>
      <c r="E12" s="92">
        <f>+C12*1.105</f>
        <v>453281.12870624999</v>
      </c>
      <c r="F12" s="93"/>
      <c r="G12" s="94">
        <f>523*$G$2*0.75*0.93</f>
        <v>315545.51250000001</v>
      </c>
    </row>
    <row r="13" spans="2:7" ht="16">
      <c r="B13" s="20" t="s">
        <v>2070</v>
      </c>
      <c r="C13" s="96">
        <f t="shared" si="0"/>
        <v>46275.986250000002</v>
      </c>
      <c r="D13" s="21">
        <f>+C13*1.21</f>
        <v>55993.943362500002</v>
      </c>
      <c r="E13" s="22"/>
      <c r="F13" s="93"/>
      <c r="G13" s="94">
        <f>59*$G$2*0.75*0.93</f>
        <v>35596.912499999999</v>
      </c>
    </row>
    <row r="14" spans="2:7" ht="16">
      <c r="B14" s="20" t="s">
        <v>2071</v>
      </c>
      <c r="C14" s="96">
        <f t="shared" si="0"/>
        <v>53335.035000000011</v>
      </c>
      <c r="D14" s="21">
        <f>+C14*1.21</f>
        <v>64535.392350000009</v>
      </c>
      <c r="E14" s="22"/>
      <c r="F14" s="93"/>
      <c r="G14" s="94">
        <f>68*$G$2*0.75*0.93</f>
        <v>41026.950000000004</v>
      </c>
    </row>
    <row r="18" spans="5:5">
      <c r="E18" s="8">
        <f>+E9*1.06</f>
        <v>373909.26299512509</v>
      </c>
    </row>
    <row r="39" spans="2:2">
      <c r="B39" s="82"/>
    </row>
  </sheetData>
  <mergeCells count="1">
    <mergeCell ref="B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Lista de Precios (Nueva)</vt:lpstr>
      <vt:lpstr>ALIAFOR</vt:lpstr>
      <vt:lpstr>REP DEWALT</vt:lpstr>
      <vt:lpstr>BOSCH REP</vt:lpstr>
      <vt:lpstr>EINHELL</vt:lpstr>
      <vt:lpstr>PROVEEDORES</vt:lpstr>
      <vt:lpstr>AUMENTOS %</vt:lpstr>
      <vt:lpstr>UMI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Fontichelli</dc:creator>
  <cp:lastModifiedBy>Toth, Carlos M</cp:lastModifiedBy>
  <cp:lastPrinted>2023-12-14T18:22:51Z</cp:lastPrinted>
  <dcterms:created xsi:type="dcterms:W3CDTF">2019-01-24T14:30:47Z</dcterms:created>
  <dcterms:modified xsi:type="dcterms:W3CDTF">2024-04-23T22:19:42Z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0-bc88714345d2_Enabled">
    <vt:lpwstr>true</vt:lpwstr>
  </property>
  <property fmtid="{D5CDD505-2E9C-101B-9397-08002B2CF9AE}" pid="3" name="MSIP_Label_defa4170-0d19-0005-0000-bc88714345d2_SetDate">
    <vt:lpwstr>2024-04-23T22:08:44Z</vt:lpwstr>
  </property>
  <property fmtid="{D5CDD505-2E9C-101B-9397-08002B2CF9AE}" pid="4" name="MSIP_Label_defa4170-0d19-0005-0000-bc88714345d2_Method">
    <vt:lpwstr>Privileged</vt:lpwstr>
  </property>
  <property fmtid="{D5CDD505-2E9C-101B-9397-08002B2CF9AE}" pid="5" name="MSIP_Label_defa4170-0d19-0005-0000-bc88714345d2_Name">
    <vt:lpwstr>defa4170-0d19-0005-0000-bc88714345d2</vt:lpwstr>
  </property>
  <property fmtid="{D5CDD505-2E9C-101B-9397-08002B2CF9AE}" pid="6" name="MSIP_Label_defa4170-0d19-0005-0000-bc88714345d2_SiteId">
    <vt:lpwstr>6539da08-b835-422b-bc32-76ca20bec464</vt:lpwstr>
  </property>
  <property fmtid="{D5CDD505-2E9C-101B-9397-08002B2CF9AE}" pid="7" name="MSIP_Label_defa4170-0d19-0005-0000-bc88714345d2_ActionId">
    <vt:lpwstr>b9eb0442-076c-4219-a8b9-103fae1e7f13</vt:lpwstr>
  </property>
  <property fmtid="{D5CDD505-2E9C-101B-9397-08002B2CF9AE}" pid="8" name="MSIP_Label_defa4170-0d19-0005-0000-bc88714345d2_ContentBits">
    <vt:lpwstr>0</vt:lpwstr>
  </property>
</Properties>
</file>